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IPR/2023 2024/Month 01 - April/"/>
    </mc:Choice>
  </mc:AlternateContent>
  <xr:revisionPtr revIDLastSave="0" documentId="8_{5529338E-EA90-4B4E-81AD-B063BA329EA2}" xr6:coauthVersionLast="47" xr6:coauthVersionMax="47" xr10:uidLastSave="{00000000-0000-0000-0000-000000000000}"/>
  <bookViews>
    <workbookView xWindow="28680" yWindow="-120" windowWidth="29040" windowHeight="15840" tabRatio="837" firstSheet="3" activeTab="9"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E - Resource Limits" sheetId="8" r:id="rId15"/>
    <sheet name="E1 - Invoiced Income" sheetId="91" r:id="rId16"/>
    <sheet name="F - SoFP" sheetId="3"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4">'E - Resource Limits'!$A$1:$L$119</definedName>
    <definedName name="_xlnm.Print_Area" localSheetId="15">'E1 - Invoiced Income'!$A$1:$U$84</definedName>
    <definedName name="_xlnm.Print_Area" localSheetId="16">'F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53" l="1"/>
  <c r="M10" i="53"/>
  <c r="L10" i="53"/>
  <c r="J10" i="53"/>
  <c r="I10" i="53"/>
  <c r="H10" i="53"/>
  <c r="G10" i="53"/>
  <c r="F10" i="53"/>
  <c r="K10" i="53"/>
  <c r="E10" i="53"/>
  <c r="D10" i="53"/>
  <c r="E52" i="53" l="1"/>
  <c r="F52" i="53" s="1"/>
  <c r="G52" i="53" s="1"/>
  <c r="H52" i="53" s="1"/>
  <c r="I52" i="53" s="1"/>
  <c r="J52" i="53" s="1"/>
  <c r="K52" i="53" s="1"/>
  <c r="L52" i="53" s="1"/>
  <c r="M52" i="53" s="1"/>
  <c r="N52" i="53" s="1"/>
  <c r="E53" i="53"/>
  <c r="F53" i="53" s="1"/>
  <c r="G53" i="53" s="1"/>
  <c r="H53" i="53" s="1"/>
  <c r="I53" i="53" s="1"/>
  <c r="J53" i="53" s="1"/>
  <c r="K53" i="53" s="1"/>
  <c r="L53" i="53" s="1"/>
  <c r="M53" i="53" s="1"/>
  <c r="N53" i="53" s="1"/>
  <c r="D53" i="53"/>
  <c r="D52" i="53"/>
  <c r="E34" i="53" l="1"/>
  <c r="F34" i="53" s="1"/>
  <c r="G34" i="53" s="1"/>
  <c r="H34" i="53" s="1"/>
  <c r="I34" i="53" s="1"/>
  <c r="J34" i="53" s="1"/>
  <c r="K34" i="53" s="1"/>
  <c r="L34" i="53" s="1"/>
  <c r="M34" i="53" s="1"/>
  <c r="N34" i="53" s="1"/>
  <c r="E33" i="53"/>
  <c r="F33" i="53" s="1"/>
  <c r="G33" i="53" s="1"/>
  <c r="H33" i="53" s="1"/>
  <c r="I33" i="53" s="1"/>
  <c r="J33" i="53" s="1"/>
  <c r="K33" i="53" s="1"/>
  <c r="L33" i="53" s="1"/>
  <c r="M33" i="53" s="1"/>
  <c r="N33" i="53" s="1"/>
  <c r="D34" i="53"/>
  <c r="D35" i="53"/>
  <c r="E35" i="53" s="1"/>
  <c r="F35" i="53" s="1"/>
  <c r="G35" i="53" s="1"/>
  <c r="H35" i="53" s="1"/>
  <c r="I35" i="53" s="1"/>
  <c r="J35" i="53" s="1"/>
  <c r="K35" i="53" s="1"/>
  <c r="L35" i="53" s="1"/>
  <c r="M35" i="53" s="1"/>
  <c r="N35" i="53" s="1"/>
  <c r="D36" i="53"/>
  <c r="E36" i="53" s="1"/>
  <c r="F36" i="53" s="1"/>
  <c r="G36" i="53" s="1"/>
  <c r="H36" i="53" s="1"/>
  <c r="I36" i="53" s="1"/>
  <c r="J36" i="53" s="1"/>
  <c r="K36" i="53" s="1"/>
  <c r="L36" i="53" s="1"/>
  <c r="M36" i="53" s="1"/>
  <c r="N36" i="53" s="1"/>
  <c r="D37" i="53"/>
  <c r="E37" i="53" s="1"/>
  <c r="F37" i="53" s="1"/>
  <c r="G37" i="53" s="1"/>
  <c r="H37" i="53" s="1"/>
  <c r="I37" i="53" s="1"/>
  <c r="J37" i="53" s="1"/>
  <c r="K37" i="53" s="1"/>
  <c r="L37" i="53" s="1"/>
  <c r="M37" i="53" s="1"/>
  <c r="N37" i="53" s="1"/>
  <c r="D38" i="53"/>
  <c r="E38" i="53" s="1"/>
  <c r="F38" i="53" s="1"/>
  <c r="G38" i="53" s="1"/>
  <c r="H38" i="53" s="1"/>
  <c r="I38" i="53" s="1"/>
  <c r="J38" i="53" s="1"/>
  <c r="K38" i="53" s="1"/>
  <c r="L38" i="53" s="1"/>
  <c r="M38" i="53" s="1"/>
  <c r="N38" i="53" s="1"/>
  <c r="D39" i="53"/>
  <c r="E39" i="53" s="1"/>
  <c r="F39" i="53" s="1"/>
  <c r="G39" i="53" s="1"/>
  <c r="H39" i="53" s="1"/>
  <c r="I39" i="53" s="1"/>
  <c r="J39" i="53" s="1"/>
  <c r="K39" i="53" s="1"/>
  <c r="L39" i="53" s="1"/>
  <c r="M39" i="53" s="1"/>
  <c r="N39" i="53" s="1"/>
  <c r="D40" i="53"/>
  <c r="E40" i="53" s="1"/>
  <c r="F40" i="53" s="1"/>
  <c r="G40" i="53" s="1"/>
  <c r="H40" i="53" s="1"/>
  <c r="I40" i="53" s="1"/>
  <c r="J40" i="53" s="1"/>
  <c r="K40" i="53" s="1"/>
  <c r="L40" i="53" s="1"/>
  <c r="M40" i="53" s="1"/>
  <c r="N40" i="53" s="1"/>
  <c r="D41" i="53"/>
  <c r="E41" i="53" s="1"/>
  <c r="F41" i="53" s="1"/>
  <c r="G41" i="53" s="1"/>
  <c r="H41" i="53" s="1"/>
  <c r="I41" i="53" s="1"/>
  <c r="J41" i="53" s="1"/>
  <c r="K41" i="53" s="1"/>
  <c r="L41" i="53" s="1"/>
  <c r="M41" i="53" s="1"/>
  <c r="N41" i="53" s="1"/>
  <c r="D33" i="53"/>
  <c r="U12" i="69" l="1"/>
  <c r="T12" i="69"/>
  <c r="S12" i="69"/>
  <c r="R12" i="69"/>
  <c r="Q12" i="69"/>
  <c r="P12" i="69"/>
  <c r="O12" i="69"/>
  <c r="N12" i="69"/>
  <c r="M12" i="69"/>
  <c r="L12" i="69"/>
  <c r="K12" i="69"/>
  <c r="J12" i="69"/>
  <c r="F14" i="69"/>
  <c r="N16" i="53" l="1"/>
  <c r="M16" i="53"/>
  <c r="L16" i="53"/>
  <c r="K16" i="53"/>
  <c r="J16" i="53"/>
  <c r="I16" i="53"/>
  <c r="H16" i="53"/>
  <c r="G16" i="53"/>
  <c r="F16" i="53"/>
  <c r="E16" i="53"/>
  <c r="D16" i="53"/>
  <c r="N14" i="53"/>
  <c r="M14" i="53"/>
  <c r="L14" i="53"/>
  <c r="K14" i="53"/>
  <c r="J14" i="53"/>
  <c r="I14" i="53"/>
  <c r="H14" i="53"/>
  <c r="G14" i="53"/>
  <c r="F14" i="53"/>
  <c r="E14" i="53"/>
  <c r="D14" i="53"/>
  <c r="N11" i="53" l="1"/>
  <c r="M11" i="53"/>
  <c r="L11" i="53"/>
  <c r="K11" i="53"/>
  <c r="J11" i="53"/>
  <c r="I11" i="53"/>
  <c r="H11" i="53"/>
  <c r="G11" i="53"/>
  <c r="F11" i="53"/>
  <c r="E11" i="53"/>
  <c r="D11" i="53"/>
  <c r="C10" i="53"/>
  <c r="C17" i="53"/>
  <c r="C16" i="53"/>
  <c r="C15" i="53"/>
  <c r="C14" i="53"/>
  <c r="C12" i="53"/>
  <c r="C11" i="53"/>
  <c r="D53" i="78" l="1"/>
  <c r="D72" i="78" l="1"/>
  <c r="O72" i="78"/>
  <c r="N72" i="78"/>
  <c r="M72" i="78"/>
  <c r="L72" i="78"/>
  <c r="K72" i="78"/>
  <c r="J72" i="78"/>
  <c r="I72" i="78"/>
  <c r="H72" i="78"/>
  <c r="G72" i="78"/>
  <c r="F72" i="78"/>
  <c r="E72" i="78"/>
  <c r="AI48" i="89" l="1"/>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K46" i="89" s="1"/>
  <c r="AL46" i="89" s="1"/>
  <c r="AM46" i="89" s="1"/>
  <c r="AN46" i="89" s="1"/>
  <c r="AO46" i="89" s="1"/>
  <c r="AP46" i="89" s="1"/>
  <c r="AQ46" i="89" s="1"/>
  <c r="AR46" i="89" s="1"/>
  <c r="AS46" i="89" s="1"/>
  <c r="AT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AC18" i="89" l="1"/>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G13"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T3" i="97" l="1"/>
  <c r="S299" i="94"/>
  <c r="S300" i="94"/>
  <c r="S301" i="94"/>
  <c r="S302" i="94"/>
  <c r="S303" i="94"/>
  <c r="S304" i="94"/>
  <c r="S305" i="94"/>
  <c r="S307" i="94"/>
  <c r="S308" i="94"/>
  <c r="S309" i="94"/>
  <c r="S298" i="94"/>
  <c r="F322" i="94"/>
  <c r="E322" i="94"/>
  <c r="C322" i="94"/>
  <c r="Q65" i="97" l="1"/>
  <c r="Y34" i="97" s="1"/>
  <c r="Q64" i="97"/>
  <c r="Q63" i="97"/>
  <c r="Q62" i="97"/>
  <c r="Y31" i="97" s="1"/>
  <c r="Q61" i="97"/>
  <c r="Y30" i="97" s="1"/>
  <c r="Q60" i="97"/>
  <c r="Q59" i="97"/>
  <c r="Q58" i="97"/>
  <c r="Y27" i="97" s="1"/>
  <c r="Q57" i="97"/>
  <c r="Y26" i="97" s="1"/>
  <c r="Q56" i="97"/>
  <c r="Q55" i="97"/>
  <c r="Q54" i="97"/>
  <c r="Y23" i="97" s="1"/>
  <c r="Q53" i="97"/>
  <c r="Y22" i="97" s="1"/>
  <c r="Q52" i="97"/>
  <c r="Q51" i="97"/>
  <c r="Q50" i="97"/>
  <c r="Y19" i="97" s="1"/>
  <c r="Q49" i="97"/>
  <c r="Y18" i="97" s="1"/>
  <c r="Q48" i="97"/>
  <c r="Q46" i="97"/>
  <c r="Q45" i="97"/>
  <c r="Y14" i="97" s="1"/>
  <c r="Q44" i="97"/>
  <c r="Y13" i="97" s="1"/>
  <c r="Q43" i="97"/>
  <c r="Q42" i="97"/>
  <c r="Q41" i="97"/>
  <c r="Y10" i="97" s="1"/>
  <c r="Y21" i="97" l="1"/>
  <c r="Y25" i="97"/>
  <c r="Y29" i="97"/>
  <c r="Y33" i="97"/>
  <c r="Y11" i="97"/>
  <c r="Y15" i="97"/>
  <c r="Y20" i="97"/>
  <c r="Y24" i="97"/>
  <c r="Y28" i="97"/>
  <c r="Y32" i="97"/>
  <c r="Y12"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60" i="94" l="1"/>
  <c r="D1621" i="94"/>
  <c r="D1706" i="94"/>
  <c r="B11" i="97"/>
  <c r="B12" i="97"/>
  <c r="D1707" i="94"/>
  <c r="D1622" i="94"/>
  <c r="D1734" i="94"/>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D34" i="97" s="1"/>
  <c r="O97" i="97"/>
  <c r="R1700" i="94" s="1"/>
  <c r="N97" i="97"/>
  <c r="M97" i="97"/>
  <c r="P1700" i="94" s="1"/>
  <c r="L97" i="97"/>
  <c r="K97" i="97"/>
  <c r="J97" i="97"/>
  <c r="I97" i="97"/>
  <c r="L1700" i="94" s="1"/>
  <c r="H97" i="97"/>
  <c r="G97" i="97"/>
  <c r="J1700" i="94" s="1"/>
  <c r="F97" i="97"/>
  <c r="E97" i="97"/>
  <c r="H1700" i="94" s="1"/>
  <c r="D97" i="97"/>
  <c r="S33" i="97" s="1"/>
  <c r="W33" i="97" s="1"/>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O93" i="97"/>
  <c r="R1696" i="94" s="1"/>
  <c r="N93" i="97"/>
  <c r="M93" i="97"/>
  <c r="P1696" i="94" s="1"/>
  <c r="L93" i="97"/>
  <c r="K93" i="97"/>
  <c r="K29" i="97" s="1"/>
  <c r="J93" i="97"/>
  <c r="J29" i="97" s="1"/>
  <c r="M1638" i="94" s="1"/>
  <c r="I93" i="97"/>
  <c r="L1696" i="94" s="1"/>
  <c r="H93" i="97"/>
  <c r="G93" i="97"/>
  <c r="J1696" i="94" s="1"/>
  <c r="F93" i="97"/>
  <c r="E93" i="97"/>
  <c r="H1696" i="94" s="1"/>
  <c r="D93" i="97"/>
  <c r="S29" i="97" s="1"/>
  <c r="W29" i="97" s="1"/>
  <c r="O92" i="97"/>
  <c r="R1695" i="94" s="1"/>
  <c r="N92" i="97"/>
  <c r="M92" i="97"/>
  <c r="L92" i="97"/>
  <c r="O1695" i="94" s="1"/>
  <c r="K92" i="97"/>
  <c r="J92" i="97"/>
  <c r="I92" i="97"/>
  <c r="H92" i="97"/>
  <c r="K1695" i="94" s="1"/>
  <c r="G92" i="97"/>
  <c r="J1695" i="94" s="1"/>
  <c r="F92" i="97"/>
  <c r="E92" i="97"/>
  <c r="D92" i="97"/>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O89" i="97"/>
  <c r="R1692" i="94" s="1"/>
  <c r="N89" i="97"/>
  <c r="M89" i="97"/>
  <c r="P1692" i="94" s="1"/>
  <c r="L89" i="97"/>
  <c r="K89" i="97"/>
  <c r="K25" i="97" s="1"/>
  <c r="J89" i="97"/>
  <c r="J25" i="97" s="1"/>
  <c r="M1634" i="94" s="1"/>
  <c r="I89" i="97"/>
  <c r="L1692" i="94" s="1"/>
  <c r="H89" i="97"/>
  <c r="G89" i="97"/>
  <c r="J1692" i="94" s="1"/>
  <c r="F89" i="97"/>
  <c r="E89" i="97"/>
  <c r="H1692" i="94" s="1"/>
  <c r="D89" i="97"/>
  <c r="S25" i="97" s="1"/>
  <c r="W25" i="97" s="1"/>
  <c r="O88" i="97"/>
  <c r="R1691" i="94" s="1"/>
  <c r="N88" i="97"/>
  <c r="M88" i="97"/>
  <c r="L88" i="97"/>
  <c r="O1691" i="94" s="1"/>
  <c r="K88" i="97"/>
  <c r="J88" i="97"/>
  <c r="I88" i="97"/>
  <c r="H88" i="97"/>
  <c r="K1691" i="94" s="1"/>
  <c r="G88" i="97"/>
  <c r="J1691" i="94" s="1"/>
  <c r="F88" i="97"/>
  <c r="E88" i="97"/>
  <c r="D88" i="97"/>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S21" i="97" s="1"/>
  <c r="W21" i="97" s="1"/>
  <c r="D83" i="97"/>
  <c r="D19" i="97" s="1"/>
  <c r="O82" i="97"/>
  <c r="R1685" i="94" s="1"/>
  <c r="N82" i="97"/>
  <c r="M82" i="97"/>
  <c r="P1685" i="94" s="1"/>
  <c r="L82" i="97"/>
  <c r="O1685" i="94" s="1"/>
  <c r="K82" i="97"/>
  <c r="J82" i="97"/>
  <c r="I82" i="97"/>
  <c r="L1685" i="94" s="1"/>
  <c r="H82" i="97"/>
  <c r="K1685" i="94" s="1"/>
  <c r="G82" i="97"/>
  <c r="J1685" i="94" s="1"/>
  <c r="F82" i="97"/>
  <c r="E82" i="97"/>
  <c r="H1685" i="94" s="1"/>
  <c r="D82" i="97"/>
  <c r="O81" i="97"/>
  <c r="N81" i="97"/>
  <c r="Q1684" i="94" s="1"/>
  <c r="M81" i="97"/>
  <c r="P1684" i="94" s="1"/>
  <c r="L81" i="97"/>
  <c r="K81" i="97"/>
  <c r="J81" i="97"/>
  <c r="M1684" i="94" s="1"/>
  <c r="I81" i="97"/>
  <c r="L1684" i="94" s="1"/>
  <c r="H81" i="97"/>
  <c r="G81" i="97"/>
  <c r="J1684" i="94" s="1"/>
  <c r="F81" i="97"/>
  <c r="I1684" i="94" s="1"/>
  <c r="E81" i="97"/>
  <c r="H1684" i="94" s="1"/>
  <c r="D81" i="97"/>
  <c r="S17" i="97" s="1"/>
  <c r="W17" i="97" s="1"/>
  <c r="O79" i="97"/>
  <c r="N79" i="97"/>
  <c r="M79" i="97"/>
  <c r="P1682" i="94" s="1"/>
  <c r="L79" i="97"/>
  <c r="O1682" i="94" s="1"/>
  <c r="K79" i="97"/>
  <c r="J79" i="97"/>
  <c r="I79" i="97"/>
  <c r="L1682" i="94" s="1"/>
  <c r="H79" i="97"/>
  <c r="K1682" i="94" s="1"/>
  <c r="G79" i="97"/>
  <c r="F79" i="97"/>
  <c r="E79" i="97"/>
  <c r="H1682" i="94" s="1"/>
  <c r="D79" i="97"/>
  <c r="D15" i="97" s="1"/>
  <c r="D78" i="97"/>
  <c r="S14" i="97" s="1"/>
  <c r="W14" i="97" s="1"/>
  <c r="O77" i="97"/>
  <c r="N77" i="97"/>
  <c r="Q1680" i="94" s="1"/>
  <c r="M77" i="97"/>
  <c r="P1680" i="94" s="1"/>
  <c r="L77" i="97"/>
  <c r="O1680" i="94" s="1"/>
  <c r="K77" i="97"/>
  <c r="J77" i="97"/>
  <c r="M1680" i="94" s="1"/>
  <c r="I77" i="97"/>
  <c r="L1680" i="94" s="1"/>
  <c r="H77" i="97"/>
  <c r="K1680" i="94" s="1"/>
  <c r="G77" i="97"/>
  <c r="F77" i="97"/>
  <c r="I1680" i="94" s="1"/>
  <c r="E77" i="97"/>
  <c r="H1680" i="94" s="1"/>
  <c r="D77" i="97"/>
  <c r="S13" i="97" s="1"/>
  <c r="W13" i="97" s="1"/>
  <c r="O76" i="97"/>
  <c r="R1679" i="94" s="1"/>
  <c r="N76" i="97"/>
  <c r="Q1679" i="94" s="1"/>
  <c r="M76" i="97"/>
  <c r="L76" i="97"/>
  <c r="K76" i="97"/>
  <c r="J76" i="97"/>
  <c r="M1679" i="94" s="1"/>
  <c r="I76" i="97"/>
  <c r="H76" i="97"/>
  <c r="G76" i="97"/>
  <c r="J1679" i="94" s="1"/>
  <c r="F76" i="97"/>
  <c r="I1679" i="94" s="1"/>
  <c r="E76" i="97"/>
  <c r="D76" i="97"/>
  <c r="S12" i="97" s="1"/>
  <c r="W12" i="97" s="1"/>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E33" i="97"/>
  <c r="H1642" i="94" s="1"/>
  <c r="L30" i="97"/>
  <c r="O1639" i="94" s="1"/>
  <c r="H30" i="97"/>
  <c r="K1639" i="94" s="1"/>
  <c r="D30" i="97"/>
  <c r="L28" i="97"/>
  <c r="O1637" i="94" s="1"/>
  <c r="H28" i="97"/>
  <c r="K1637" i="94" s="1"/>
  <c r="D28" i="97"/>
  <c r="L27" i="97"/>
  <c r="O1636" i="94" s="1"/>
  <c r="I27" i="97"/>
  <c r="L1636" i="94" s="1"/>
  <c r="H27" i="97"/>
  <c r="K1636" i="94" s="1"/>
  <c r="L26" i="97"/>
  <c r="O1635" i="94" s="1"/>
  <c r="D26" i="97"/>
  <c r="I25" i="97"/>
  <c r="L1634" i="94" s="1"/>
  <c r="L24" i="97"/>
  <c r="O1633" i="94" s="1"/>
  <c r="D24" i="97"/>
  <c r="H23" i="97"/>
  <c r="K1632" i="94" s="1"/>
  <c r="M22" i="97"/>
  <c r="P1631" i="94" s="1"/>
  <c r="L22" i="97"/>
  <c r="O1631" i="94" s="1"/>
  <c r="D22" i="97"/>
  <c r="I21" i="97"/>
  <c r="L1630" i="94" s="1"/>
  <c r="L18" i="97"/>
  <c r="O1627" i="94" s="1"/>
  <c r="G18" i="97"/>
  <c r="J1627" i="94" s="1"/>
  <c r="D18" i="97"/>
  <c r="E15" i="97"/>
  <c r="H1624" i="94" s="1"/>
  <c r="F12" i="97"/>
  <c r="I1621" i="94" s="1"/>
  <c r="M10" i="97" l="1"/>
  <c r="P1619" i="94" s="1"/>
  <c r="G12" i="97"/>
  <c r="J1621" i="94" s="1"/>
  <c r="H22" i="97"/>
  <c r="K1631" i="94" s="1"/>
  <c r="H34" i="97"/>
  <c r="K1643" i="94" s="1"/>
  <c r="L34" i="97"/>
  <c r="O1643" i="94" s="1"/>
  <c r="M15" i="97"/>
  <c r="P1624" i="94" s="1"/>
  <c r="L15" i="97"/>
  <c r="O1624" i="94" s="1"/>
  <c r="L13" i="97"/>
  <c r="O1622" i="94" s="1"/>
  <c r="D13" i="97"/>
  <c r="AE2" i="97"/>
  <c r="G1632" i="94"/>
  <c r="T23" i="97"/>
  <c r="X23" i="97" s="1"/>
  <c r="G1628" i="94"/>
  <c r="T19" i="97"/>
  <c r="X19" i="97" s="1"/>
  <c r="H15" i="97"/>
  <c r="K1624" i="94" s="1"/>
  <c r="G1637" i="94"/>
  <c r="T28" i="97"/>
  <c r="X28" i="97" s="1"/>
  <c r="S10" i="97"/>
  <c r="W10" i="97" s="1"/>
  <c r="G1694" i="94"/>
  <c r="S27" i="97"/>
  <c r="W27" i="97" s="1"/>
  <c r="H26" i="97"/>
  <c r="K1635" i="94" s="1"/>
  <c r="Q47" i="97"/>
  <c r="G1622" i="94"/>
  <c r="T13" i="97"/>
  <c r="X13" i="97" s="1"/>
  <c r="G1635" i="94"/>
  <c r="T26" i="97"/>
  <c r="X26" i="97" s="1"/>
  <c r="F13" i="97"/>
  <c r="I1622" i="94" s="1"/>
  <c r="H13" i="97"/>
  <c r="K1622" i="94" s="1"/>
  <c r="G1627" i="94"/>
  <c r="T18" i="97"/>
  <c r="X18" i="97" s="1"/>
  <c r="G1690" i="94"/>
  <c r="S23" i="97"/>
  <c r="W23" i="97" s="1"/>
  <c r="L23" i="97"/>
  <c r="O1632" i="94" s="1"/>
  <c r="D27" i="97"/>
  <c r="G1639" i="94"/>
  <c r="T30" i="97"/>
  <c r="X30" i="97" s="1"/>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S19" i="97"/>
  <c r="W19" i="97" s="1"/>
  <c r="H18" i="97"/>
  <c r="K1627" i="94" s="1"/>
  <c r="G1633" i="94"/>
  <c r="T24" i="97"/>
  <c r="X24" i="97" s="1"/>
  <c r="H11" i="97"/>
  <c r="K1620" i="94" s="1"/>
  <c r="G1624" i="94"/>
  <c r="T15" i="97"/>
  <c r="X15" i="97" s="1"/>
  <c r="G1631" i="94"/>
  <c r="T22" i="97"/>
  <c r="X22" i="97" s="1"/>
  <c r="H24" i="97"/>
  <c r="K1633" i="94" s="1"/>
  <c r="G1643" i="94"/>
  <c r="T34" i="97"/>
  <c r="X34" i="97" s="1"/>
  <c r="S1648" i="94"/>
  <c r="U1648" i="94" s="1"/>
  <c r="J12" i="97"/>
  <c r="M1621" i="94" s="1"/>
  <c r="N13" i="97"/>
  <c r="Q1622" i="94" s="1"/>
  <c r="F34" i="97"/>
  <c r="I1643" i="94" s="1"/>
  <c r="N1678" i="94"/>
  <c r="N1679" i="94"/>
  <c r="N1684" i="94"/>
  <c r="N1685" i="94"/>
  <c r="N1688" i="94"/>
  <c r="E171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S1745" i="94" s="1"/>
  <c r="U1745" i="94" s="1"/>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S1746" i="94" s="1"/>
  <c r="U1746"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S1738" i="94" s="1"/>
  <c r="U1738" i="94" s="1"/>
  <c r="N1682" i="94"/>
  <c r="O15" i="97"/>
  <c r="R1624" i="94" s="1"/>
  <c r="R1682" i="94"/>
  <c r="I12" i="97"/>
  <c r="L1621" i="94" s="1"/>
  <c r="L1679" i="94"/>
  <c r="M11" i="97"/>
  <c r="P1620" i="94" s="1"/>
  <c r="E1709" i="94"/>
  <c r="S1708" i="94"/>
  <c r="U1708"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S1741" i="94"/>
  <c r="U1741" i="94" s="1"/>
  <c r="I1673" i="94"/>
  <c r="M1673" i="94"/>
  <c r="Q1673" i="94"/>
  <c r="N1635" i="94"/>
  <c r="J1673" i="94"/>
  <c r="N1673" i="94"/>
  <c r="R1673" i="94"/>
  <c r="N1632"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T17" i="97" s="1"/>
  <c r="X17" i="97" s="1"/>
  <c r="P74" i="97"/>
  <c r="P10" i="97" s="1"/>
  <c r="U10" i="97" s="1"/>
  <c r="K10" i="97"/>
  <c r="J11" i="97"/>
  <c r="M1620" i="94" s="1"/>
  <c r="P47" i="97"/>
  <c r="S1654" i="94" s="1"/>
  <c r="U1654" i="94" s="1"/>
  <c r="S1753" i="94" l="1"/>
  <c r="U1753" i="94" s="1"/>
  <c r="S1749" i="94"/>
  <c r="U1749" i="94" s="1"/>
  <c r="E1716" i="94"/>
  <c r="G1630" i="94"/>
  <c r="T21" i="97"/>
  <c r="X21" i="97" s="1"/>
  <c r="G1634" i="94"/>
  <c r="T25" i="97"/>
  <c r="S1715" i="94"/>
  <c r="U1715" i="94" s="1"/>
  <c r="G1636" i="94"/>
  <c r="T27" i="97"/>
  <c r="X27" i="97" s="1"/>
  <c r="G1638" i="94"/>
  <c r="T29" i="97"/>
  <c r="G1623" i="94"/>
  <c r="T14" i="97"/>
  <c r="X14" i="97" s="1"/>
  <c r="G1621" i="94"/>
  <c r="T12" i="97"/>
  <c r="S1751" i="94"/>
  <c r="U1751" i="94" s="1"/>
  <c r="G1642" i="94"/>
  <c r="T33" i="97"/>
  <c r="X33" i="97" s="1"/>
  <c r="S1747" i="94"/>
  <c r="U1747" i="94" s="1"/>
  <c r="T10" i="97"/>
  <c r="X10" i="97" s="1"/>
  <c r="T11" i="97"/>
  <c r="X11" i="97" s="1"/>
  <c r="S1717" i="94"/>
  <c r="U1717" i="94" s="1"/>
  <c r="N1624" i="94"/>
  <c r="N1639" i="94"/>
  <c r="S1742" i="94"/>
  <c r="U1742" i="94" s="1"/>
  <c r="S1757" i="94"/>
  <c r="U1757" i="94" s="1"/>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10" i="94"/>
  <c r="U1710" i="94" s="1"/>
  <c r="E1711" i="94"/>
  <c r="S1707" i="94"/>
  <c r="U1707" i="94" s="1"/>
  <c r="E1708" i="94"/>
  <c r="P12" i="97"/>
  <c r="U12" i="97" s="1"/>
  <c r="S1762" i="94" s="1"/>
  <c r="U1762" i="94" s="1"/>
  <c r="S1679" i="94"/>
  <c r="U1679" i="94" s="1"/>
  <c r="S1706" i="94"/>
  <c r="U1706" i="94" s="1"/>
  <c r="E1707" i="94"/>
  <c r="S1677" i="94"/>
  <c r="U1677" i="94" s="1"/>
  <c r="P15" i="97"/>
  <c r="U15" i="97" s="1"/>
  <c r="S1765" i="94" s="1"/>
  <c r="U1765" i="94" s="1"/>
  <c r="S1682" i="94"/>
  <c r="U1682" i="94" s="1"/>
  <c r="P13" i="97"/>
  <c r="S1622" i="94" s="1"/>
  <c r="U1622" i="94" s="1"/>
  <c r="E1710" i="94"/>
  <c r="S1709" i="94"/>
  <c r="U1709" i="94" s="1"/>
  <c r="S1711" i="94"/>
  <c r="U1711" i="94" s="1"/>
  <c r="E1712" i="94"/>
  <c r="S1636" i="94"/>
  <c r="U1636" i="94" s="1"/>
  <c r="U28" i="97"/>
  <c r="S1778" i="94" s="1"/>
  <c r="U1778" i="94" s="1"/>
  <c r="S1740" i="94"/>
  <c r="U1740" i="94" s="1"/>
  <c r="N1626" i="94"/>
  <c r="U18" i="97"/>
  <c r="S1768" i="94" s="1"/>
  <c r="U1768" i="94" s="1"/>
  <c r="S1736" i="94"/>
  <c r="U1736" i="94" s="1"/>
  <c r="N1622" i="94"/>
  <c r="N1619" i="94"/>
  <c r="P67" i="97"/>
  <c r="S1674" i="94" s="1"/>
  <c r="U1674" i="94" s="1"/>
  <c r="S1737" i="94" l="1"/>
  <c r="U1737"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c r="U1767" i="94" s="1"/>
  <c r="Y17" i="97"/>
  <c r="S1734" i="94"/>
  <c r="U1734" i="94" s="1"/>
  <c r="S1631" i="94"/>
  <c r="U1631" i="94" s="1"/>
  <c r="S1733" i="94"/>
  <c r="U1733" i="94" s="1"/>
  <c r="S1634" i="94"/>
  <c r="U1634" i="94" s="1"/>
  <c r="S1760" i="94"/>
  <c r="U1760" i="94" s="1"/>
  <c r="U13" i="97"/>
  <c r="S1763" i="94" s="1"/>
  <c r="U1763" i="94" s="1"/>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B16" i="97" l="1"/>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I157" i="84"/>
  <c r="DM152" i="84"/>
  <c r="L507" i="94"/>
  <c r="DI152" i="84"/>
  <c r="H507" i="94"/>
  <c r="DM153" i="84"/>
  <c r="L508" i="94"/>
  <c r="DP157" i="8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M15" i="78" s="1"/>
  <c r="M78" i="97" s="1"/>
  <c r="D154" i="92"/>
  <c r="E15" i="78" s="1"/>
  <c r="E78" i="97" s="1"/>
  <c r="N141" i="92"/>
  <c r="DS140" i="84"/>
  <c r="O13" i="69"/>
  <c r="DM147" i="84"/>
  <c r="DQ151" i="84"/>
  <c r="S15" i="69"/>
  <c r="DI151" i="84"/>
  <c r="K15" i="69"/>
  <c r="I154" i="92"/>
  <c r="K88" i="92"/>
  <c r="DP87" i="84"/>
  <c r="DK151" i="84"/>
  <c r="M15" i="69"/>
  <c r="K154" i="92"/>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J509" i="94" l="1"/>
  <c r="G15" i="78"/>
  <c r="G78" i="97" s="1"/>
  <c r="R509" i="94"/>
  <c r="O15" i="78"/>
  <c r="O78" i="97" s="1"/>
  <c r="M509" i="94"/>
  <c r="J15" i="78"/>
  <c r="J78" i="97" s="1"/>
  <c r="H1681" i="94"/>
  <c r="P78" i="97"/>
  <c r="E14" i="97"/>
  <c r="H1623" i="94" s="1"/>
  <c r="K509" i="94"/>
  <c r="H15" i="78"/>
  <c r="H78" i="97" s="1"/>
  <c r="O509" i="94"/>
  <c r="L15" i="78"/>
  <c r="L78" i="97" s="1"/>
  <c r="N509" i="94"/>
  <c r="K15" i="78"/>
  <c r="K78" i="97" s="1"/>
  <c r="L509" i="94"/>
  <c r="I15" i="78"/>
  <c r="I78" i="97" s="1"/>
  <c r="Q509" i="94"/>
  <c r="N15" i="78"/>
  <c r="N78" i="97" s="1"/>
  <c r="P1681" i="94"/>
  <c r="M14" i="97"/>
  <c r="P1623" i="94" s="1"/>
  <c r="I509" i="94"/>
  <c r="F15" i="78"/>
  <c r="F78" i="97" s="1"/>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S1681" i="94" l="1"/>
  <c r="U1681" i="94" s="1"/>
  <c r="P14" i="97"/>
  <c r="I1681" i="94"/>
  <c r="F14" i="97"/>
  <c r="I1623" i="94" s="1"/>
  <c r="N1681" i="94"/>
  <c r="K14" i="97"/>
  <c r="N1623" i="94" s="1"/>
  <c r="M1681" i="94"/>
  <c r="J14" i="97"/>
  <c r="M1623" i="94" s="1"/>
  <c r="L14" i="97"/>
  <c r="O1623" i="94" s="1"/>
  <c r="O1681" i="94"/>
  <c r="O14" i="97"/>
  <c r="R1623" i="94" s="1"/>
  <c r="R1681" i="94"/>
  <c r="Q1681" i="94"/>
  <c r="N14" i="97"/>
  <c r="Q1623" i="94" s="1"/>
  <c r="H14" i="97"/>
  <c r="K1623" i="94" s="1"/>
  <c r="K1681" i="94"/>
  <c r="G14" i="97"/>
  <c r="J1623" i="94" s="1"/>
  <c r="J1681" i="94"/>
  <c r="L1681" i="94"/>
  <c r="I14" i="97"/>
  <c r="L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S1623" i="94" l="1"/>
  <c r="U1623" i="94" s="1"/>
  <c r="U14" i="97"/>
  <c r="S1764" i="94" s="1"/>
  <c r="U1764" i="94" s="1"/>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NJ49" i="84"/>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3"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O41" i="84" l="1"/>
  <c r="S32" i="94" s="1"/>
  <c r="U32" i="94" s="1"/>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J138" i="12" s="1"/>
  <c r="EH138" i="84" s="1"/>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B28" i="97" l="1"/>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T19" i="9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DS76" i="84" s="1"/>
  <c r="M76" i="92"/>
  <c r="DR76" i="84" s="1"/>
  <c r="L76" i="92"/>
  <c r="DQ76" i="84" s="1"/>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P33" i="84" l="1"/>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D35" i="69"/>
  <c r="P35" i="84" s="1"/>
  <c r="C35" i="69"/>
  <c r="O35" i="84" s="1"/>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P452" i="94"/>
  <c r="K450" i="94"/>
  <c r="R450" i="94"/>
  <c r="O450" i="94"/>
  <c r="C31" i="86"/>
  <c r="BZ31" i="84" s="1"/>
  <c r="B60" i="97" l="1"/>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c r="B67" i="97" l="1"/>
  <c r="D1675" i="94"/>
  <c r="W27" i="84"/>
  <c r="D37" i="69"/>
  <c r="P37" i="84" s="1"/>
  <c r="S70" i="94" s="1"/>
  <c r="U70" i="94" s="1"/>
  <c r="A71" i="91"/>
  <c r="D1403" i="94" s="1"/>
  <c r="D1371" i="94"/>
  <c r="GT70" i="84"/>
  <c r="A106" i="8"/>
  <c r="D1150" i="94"/>
  <c r="D1181" i="94" s="1"/>
  <c r="D1212" i="94" s="1"/>
  <c r="D1243" i="94" s="1"/>
  <c r="D1274" i="94" s="1"/>
  <c r="D1305" i="94" s="1"/>
  <c r="GF105" i="84"/>
  <c r="P38" i="84"/>
  <c r="S71" i="94" s="1"/>
  <c r="U71" i="94" s="1"/>
  <c r="D13" i="69"/>
  <c r="P13" i="84" s="1"/>
  <c r="O13" i="84"/>
  <c r="H38" i="69"/>
  <c r="B72" i="97" l="1"/>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Z13" i="5"/>
  <c r="AA13" i="5" s="1"/>
  <c r="Q33" i="16"/>
  <c r="Q30" i="16"/>
  <c r="Q21" i="16"/>
  <c r="Q12" i="16"/>
  <c r="Q29" i="16"/>
  <c r="Q20" i="16"/>
  <c r="Q11" i="16"/>
  <c r="Q18" i="16"/>
  <c r="Q26" i="16"/>
  <c r="Q7" i="16"/>
  <c r="O5" i="60"/>
  <c r="Q15" i="16"/>
  <c r="Q34" i="16"/>
  <c r="Q14" i="16"/>
  <c r="Q22" i="16"/>
  <c r="Q13" i="16"/>
  <c r="Q28" i="16"/>
  <c r="Q19" i="16"/>
  <c r="Q10" i="16"/>
  <c r="O9" i="60"/>
  <c r="Q27" i="16"/>
  <c r="Q8" i="16"/>
  <c r="O7" i="60"/>
  <c r="Q16" i="16"/>
  <c r="Q25" i="16"/>
  <c r="Q6" i="16"/>
  <c r="Q23" i="16"/>
  <c r="Q5" i="16"/>
  <c r="Z4" i="5"/>
  <c r="X5" i="78"/>
  <c r="X14" i="78"/>
  <c r="X22" i="78"/>
  <c r="I8" i="3"/>
  <c r="I17" i="3"/>
  <c r="Z6" i="5"/>
  <c r="AA6" i="5" s="1"/>
  <c r="X6" i="78"/>
  <c r="X15" i="78"/>
  <c r="X24" i="78"/>
  <c r="I9" i="3"/>
  <c r="I18" i="3"/>
  <c r="Z8" i="5"/>
  <c r="AA8" i="5" s="1"/>
  <c r="X16" i="78"/>
  <c r="I11" i="3"/>
  <c r="I19" i="3"/>
  <c r="Z9" i="5"/>
  <c r="AA9" i="5" s="1"/>
  <c r="X17" i="78"/>
  <c r="I3" i="3"/>
  <c r="I12" i="3"/>
  <c r="I20" i="3"/>
  <c r="Z10" i="5"/>
  <c r="AA10" i="5" s="1"/>
  <c r="I10" i="3"/>
  <c r="X10" i="78"/>
  <c r="X18" i="78"/>
  <c r="I4" i="3"/>
  <c r="I13" i="3"/>
  <c r="R3" i="10"/>
  <c r="S3" i="10" s="1"/>
  <c r="N14" i="6"/>
  <c r="O14" i="6" s="1"/>
  <c r="Z19" i="5"/>
  <c r="X3" i="78"/>
  <c r="X11" i="78"/>
  <c r="X19" i="78"/>
  <c r="I5" i="3"/>
  <c r="I14" i="3"/>
  <c r="R4" i="10"/>
  <c r="Z14" i="5"/>
  <c r="AA14" i="5" s="1"/>
  <c r="X7" i="78"/>
  <c r="X12" i="78"/>
  <c r="I6" i="3"/>
  <c r="I15" i="3"/>
  <c r="R5" i="10"/>
  <c r="X4" i="78"/>
  <c r="X13" i="78"/>
  <c r="I7" i="3"/>
  <c r="I16" i="3"/>
  <c r="Z5" i="5"/>
  <c r="AA5" i="5" s="1"/>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1" i="3"/>
  <c r="J10"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L14" i="69" s="1"/>
  <c r="Y14" i="84" s="1"/>
  <c r="K18" i="69"/>
  <c r="K14" i="69" s="1"/>
  <c r="X14" i="84" s="1"/>
  <c r="J18" i="69"/>
  <c r="J14" i="69" s="1"/>
  <c r="W14" i="84" s="1"/>
  <c r="F18" i="69"/>
  <c r="B80" i="97" l="1"/>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R16" i="16"/>
  <c r="C3" i="92"/>
  <c r="C5" i="53"/>
  <c r="B85" i="97" l="1"/>
  <c r="D1689" i="94"/>
  <c r="A55" i="53"/>
  <c r="D378" i="94"/>
  <c r="R8" i="16"/>
  <c r="P9" i="60"/>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CO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II32" i="84"/>
  <c r="IH32" i="84"/>
  <c r="IG32" i="84"/>
  <c r="IF32" i="84"/>
  <c r="IE32" i="84"/>
  <c r="ID32" i="84"/>
  <c r="IC32" i="84"/>
  <c r="IB32" i="84"/>
  <c r="IA32" i="84"/>
  <c r="HZ32" i="84"/>
  <c r="HY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H31" i="84"/>
  <c r="LG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I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J20" i="84"/>
  <c r="LH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I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J15" i="84"/>
  <c r="LH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J14" i="84"/>
  <c r="LH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J13" i="84"/>
  <c r="LH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J11" i="84"/>
  <c r="LH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HJ10" i="84"/>
  <c r="HI10" i="84"/>
  <c r="HH10" i="84"/>
  <c r="HG10" i="84"/>
  <c r="HF10" i="84"/>
  <c r="HE10" i="84"/>
  <c r="HD10" i="84"/>
  <c r="HC10" i="84"/>
  <c r="HB10" i="84"/>
  <c r="HA10" i="84"/>
  <c r="GZ10" i="84"/>
  <c r="GY10" i="84"/>
  <c r="GX10" i="84"/>
  <c r="GW10" i="84"/>
  <c r="GV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M19" i="92"/>
  <c r="L19" i="92"/>
  <c r="K19" i="92"/>
  <c r="J19" i="92"/>
  <c r="I19" i="92"/>
  <c r="H19" i="92"/>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J20" i="78"/>
  <c r="DO19" i="84"/>
  <c r="K20" i="78"/>
  <c r="DP19" i="84"/>
  <c r="L20" i="78"/>
  <c r="DI19" i="84"/>
  <c r="E20" i="78"/>
  <c r="DQ19" i="84"/>
  <c r="M20" i="78"/>
  <c r="DJ19" i="84"/>
  <c r="F20" i="78"/>
  <c r="DR19" i="84"/>
  <c r="N20" i="78"/>
  <c r="DK19" i="84"/>
  <c r="G20" i="78"/>
  <c r="DS19" i="84"/>
  <c r="O20" i="78"/>
  <c r="DL19" i="84"/>
  <c r="H20" i="78"/>
  <c r="DM19" i="84"/>
  <c r="I20" i="78"/>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P1686" i="94" l="1"/>
  <c r="M19" i="97"/>
  <c r="P1628" i="94" s="1"/>
  <c r="N1686" i="94"/>
  <c r="K19" i="97"/>
  <c r="N1628" i="94" s="1"/>
  <c r="K1686" i="94"/>
  <c r="H19" i="97"/>
  <c r="K1628" i="94" s="1"/>
  <c r="N19" i="97"/>
  <c r="Q1628" i="94" s="1"/>
  <c r="Q1686" i="94"/>
  <c r="H362" i="94"/>
  <c r="CR24" i="84"/>
  <c r="D26" i="53"/>
  <c r="P24" i="53"/>
  <c r="Q362" i="94"/>
  <c r="DA24" i="84"/>
  <c r="M26" i="53"/>
  <c r="H1686" i="94"/>
  <c r="P83" i="97"/>
  <c r="E19" i="97"/>
  <c r="H1628" i="94" s="1"/>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G27" i="53" l="1"/>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D395" i="94"/>
  <c r="S418" i="94"/>
  <c r="U418" i="94" s="1"/>
  <c r="O80" i="92"/>
  <c r="DT80" i="84" s="1"/>
  <c r="O133" i="92"/>
  <c r="DT133" i="84" s="1"/>
  <c r="O37" i="92"/>
  <c r="DT37" i="84" s="1"/>
  <c r="AF52" i="84"/>
  <c r="P42" i="94" s="1"/>
  <c r="W52" i="84"/>
  <c r="G42" i="94" s="1"/>
  <c r="W28" i="69"/>
  <c r="AJ28" i="84" s="1"/>
  <c r="J19" i="94"/>
  <c r="Q19" i="94"/>
  <c r="P19" i="94"/>
  <c r="H19" i="94"/>
  <c r="O19" i="94"/>
  <c r="M19" i="94"/>
  <c r="G19" i="94"/>
  <c r="A14" i="92"/>
  <c r="DF14" i="84" s="1"/>
  <c r="DD26" i="84" l="1"/>
  <c r="S364" i="94"/>
  <c r="U364" i="94" s="1"/>
  <c r="S1628" i="94"/>
  <c r="U1628" i="94" s="1"/>
  <c r="U19" i="97"/>
  <c r="S1769" i="94" s="1"/>
  <c r="U1769" i="94" s="1"/>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D396" i="94"/>
  <c r="X52" i="84"/>
  <c r="H42" i="94" s="1"/>
  <c r="AB52" i="84"/>
  <c r="L42" i="94" s="1"/>
  <c r="AG52" i="84"/>
  <c r="Q42" i="94" s="1"/>
  <c r="O28" i="84"/>
  <c r="W34" i="69"/>
  <c r="AJ34" i="84" s="1"/>
  <c r="A15" i="92"/>
  <c r="DF15" i="84" s="1"/>
  <c r="B93" i="97" l="1"/>
  <c r="D1697" i="94"/>
  <c r="DU159" i="84"/>
  <c r="S513" i="94"/>
  <c r="U513" i="94" s="1"/>
  <c r="A63" i="53"/>
  <c r="A65" i="53" s="1"/>
  <c r="D386" i="94"/>
  <c r="CO62" i="84"/>
  <c r="A16" i="92"/>
  <c r="DF16" i="84" s="1"/>
  <c r="D397" i="94"/>
  <c r="AH52" i="84"/>
  <c r="R42" i="94" s="1"/>
  <c r="AE52" i="84"/>
  <c r="O42" i="94" s="1"/>
  <c r="B94" i="97" l="1"/>
  <c r="D1698" i="94"/>
  <c r="D387" i="94"/>
  <c r="CO63" i="84"/>
  <c r="A17" i="92"/>
  <c r="DF17" i="84" s="1"/>
  <c r="D398" i="94"/>
  <c r="P28" i="84"/>
  <c r="W52" i="69"/>
  <c r="C52" i="69" s="1"/>
  <c r="B95" i="97" l="1"/>
  <c r="D1699" i="94"/>
  <c r="D388" i="94"/>
  <c r="CO64" i="84"/>
  <c r="A18" i="92"/>
  <c r="D399" i="94"/>
  <c r="B96" i="97" l="1"/>
  <c r="D1700" i="94"/>
  <c r="A19" i="92"/>
  <c r="DF19" i="84" s="1"/>
  <c r="DF18" i="84"/>
  <c r="D389" i="94"/>
  <c r="CO65" i="84"/>
  <c r="D401" i="94"/>
  <c r="D400" i="94"/>
  <c r="A6" i="6"/>
  <c r="AE18" i="89"/>
  <c r="AE17" i="89"/>
  <c r="AE16" i="89"/>
  <c r="AE14" i="89"/>
  <c r="AE11" i="89"/>
  <c r="AE10" i="89"/>
  <c r="AG19" i="89"/>
  <c r="AF19" i="89"/>
  <c r="A20" i="92" l="1"/>
  <c r="DF20" i="84" s="1"/>
  <c r="B97" i="97"/>
  <c r="D1701" i="94"/>
  <c r="W26" i="78"/>
  <c r="JD6" i="84"/>
  <c r="AE8" i="89"/>
  <c r="A21" i="92" l="1"/>
  <c r="DF21" i="84" s="1"/>
  <c r="D402" i="94"/>
  <c r="B98" i="97"/>
  <c r="D1702" i="94"/>
  <c r="D403" i="94"/>
  <c r="D514" i="94" s="1"/>
  <c r="A22" i="92" l="1"/>
  <c r="DF22" i="84" s="1"/>
  <c r="B99" i="97"/>
  <c r="D1703" i="94"/>
  <c r="D404" i="94"/>
  <c r="D515" i="94" s="1"/>
  <c r="A23" i="92"/>
  <c r="DF23" i="84" s="1"/>
  <c r="B100" i="97" l="1"/>
  <c r="D1705" i="94" s="1"/>
  <c r="D1704" i="94"/>
  <c r="A24" i="92"/>
  <c r="DF24" i="84" s="1"/>
  <c r="D405" i="94"/>
  <c r="D516" i="94" s="1"/>
  <c r="A25" i="92" l="1"/>
  <c r="DF25" i="84" s="1"/>
  <c r="D406" i="94"/>
  <c r="D517" i="94" s="1"/>
  <c r="A26" i="92" l="1"/>
  <c r="DF26" i="84" s="1"/>
  <c r="D407" i="94"/>
  <c r="D518" i="94" s="1"/>
  <c r="A27" i="92" l="1"/>
  <c r="DF27" i="84" s="1"/>
  <c r="D408" i="94"/>
  <c r="D519" i="94" s="1"/>
  <c r="A28" i="92" l="1"/>
  <c r="DF28" i="84" s="1"/>
  <c r="D409" i="94"/>
  <c r="D520" i="94" s="1"/>
  <c r="A29" i="92" l="1"/>
  <c r="DF29" i="84" s="1"/>
  <c r="D410" i="94"/>
  <c r="D521" i="94" s="1"/>
  <c r="A30" i="92" l="1"/>
  <c r="DF30" i="84" s="1"/>
  <c r="D411" i="94"/>
  <c r="D522" i="94" s="1"/>
  <c r="A31" i="92" l="1"/>
  <c r="DF31" i="84" s="1"/>
  <c r="D412" i="94"/>
  <c r="D523" i="94" s="1"/>
  <c r="A32" i="92" l="1"/>
  <c r="DF32" i="84" s="1"/>
  <c r="D413" i="94"/>
  <c r="D524" i="94" s="1"/>
  <c r="D414" i="94" l="1"/>
  <c r="D525" i="94" s="1"/>
  <c r="A33" i="92"/>
  <c r="DF33" i="8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A34" i="92" l="1"/>
  <c r="DF34" i="84" s="1"/>
  <c r="D415" i="94"/>
  <c r="D526"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416" i="94" l="1"/>
  <c r="D527" i="94" s="1"/>
  <c r="A36" i="92"/>
  <c r="DF36" i="84" s="1"/>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417" i="94" l="1"/>
  <c r="A37" i="92"/>
  <c r="DF37" i="84" s="1"/>
  <c r="AC76" i="5"/>
  <c r="Z21" i="5" s="1"/>
  <c r="AA21" i="5" s="1"/>
  <c r="R78" i="5"/>
  <c r="KH78" i="84" s="1"/>
  <c r="AG2" i="78"/>
  <c r="AG3" i="78"/>
  <c r="AG4" i="78"/>
  <c r="AG5" i="78"/>
  <c r="AG6" i="78"/>
  <c r="AG7" i="78"/>
  <c r="AG8" i="78"/>
  <c r="AG9" i="78"/>
  <c r="AG10" i="78"/>
  <c r="AG11" i="78"/>
  <c r="AG12" i="78"/>
  <c r="AG1" i="78"/>
  <c r="A52" i="92" l="1"/>
  <c r="DF52" i="84" s="1"/>
  <c r="A41" i="92"/>
  <c r="D419" i="94" s="1"/>
  <c r="D418" i="94"/>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A42" i="92" l="1"/>
  <c r="D420" i="94" s="1"/>
  <c r="DF41" i="84"/>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A43" i="92" l="1"/>
  <c r="D421" i="94" s="1"/>
  <c r="DF42" i="84"/>
  <c r="F21" i="9"/>
  <c r="F22" i="9"/>
  <c r="F23" i="9"/>
  <c r="F24" i="9"/>
  <c r="F25" i="9"/>
  <c r="F26" i="9"/>
  <c r="F27" i="9"/>
  <c r="F28" i="9"/>
  <c r="F29" i="9"/>
  <c r="F30" i="9"/>
  <c r="F31" i="9"/>
  <c r="F32" i="9"/>
  <c r="F33" i="9"/>
  <c r="F36" i="9"/>
  <c r="F38" i="9"/>
  <c r="F39" i="9"/>
  <c r="F41" i="9"/>
  <c r="F42" i="9"/>
  <c r="F20" i="9"/>
  <c r="A44" i="92" l="1"/>
  <c r="D422" i="94" s="1"/>
  <c r="DF43" i="84"/>
  <c r="F59" i="3"/>
  <c r="G4" i="3"/>
  <c r="A45" i="92" l="1"/>
  <c r="D423" i="94" s="1"/>
  <c r="DF44" i="84"/>
  <c r="A47" i="92" l="1"/>
  <c r="DF45" i="84"/>
  <c r="DF47" i="84" l="1"/>
  <c r="D424" i="94"/>
  <c r="E13" i="90"/>
  <c r="LI13" i="84" s="1"/>
  <c r="G9" i="9" l="1"/>
  <c r="G8" i="9"/>
  <c r="G13" i="9"/>
  <c r="G14" i="9"/>
  <c r="G15" i="9"/>
  <c r="G16" i="9"/>
  <c r="G17" i="9"/>
  <c r="G18" i="9"/>
  <c r="G19" i="9"/>
  <c r="G20" i="9"/>
  <c r="G21" i="9"/>
  <c r="G22" i="9"/>
  <c r="G23" i="9"/>
  <c r="G24" i="9"/>
  <c r="G25" i="9"/>
  <c r="G26" i="9"/>
  <c r="G27" i="9"/>
  <c r="G28" i="9"/>
  <c r="G29" i="9"/>
  <c r="G30" i="9"/>
  <c r="G31" i="9"/>
  <c r="G32" i="9"/>
  <c r="G33" i="9"/>
  <c r="G38" i="9"/>
  <c r="G39" i="9"/>
  <c r="G41" i="9"/>
  <c r="G42" i="9"/>
  <c r="G36" i="9"/>
  <c r="J115" i="6" l="1"/>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T10" i="91"/>
  <c r="Q48" i="91"/>
  <c r="A13" i="86" l="1"/>
  <c r="BX13" i="84" s="1"/>
  <c r="A17" i="9"/>
  <c r="AZ16" i="84"/>
  <c r="D240" i="94" s="1"/>
  <c r="C231" i="86"/>
  <c r="BZ231" i="84" s="1"/>
  <c r="S1319" i="94"/>
  <c r="U1319" i="94" s="1"/>
  <c r="HL10" i="84"/>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N48" i="91"/>
  <c r="HG48" i="84" s="1"/>
  <c r="M48" i="91"/>
  <c r="HF48" i="84" s="1"/>
  <c r="S1" i="91"/>
  <c r="HK1" i="84" s="1"/>
  <c r="A1" i="91"/>
  <c r="GT1" i="84" s="1"/>
  <c r="S48" i="91"/>
  <c r="HK48" i="84" s="1"/>
  <c r="R48" i="91"/>
  <c r="HJ48" i="84" s="1"/>
  <c r="O48" i="91"/>
  <c r="HH48" i="84" s="1"/>
  <c r="J48" i="91"/>
  <c r="HC48" i="84" s="1"/>
  <c r="L48" i="91"/>
  <c r="HE48" i="84" s="1"/>
  <c r="K48" i="91"/>
  <c r="HD48" i="84" s="1"/>
  <c r="I48" i="91"/>
  <c r="HB48" i="84" s="1"/>
  <c r="H48" i="91"/>
  <c r="HA48" i="84" s="1"/>
  <c r="G48" i="91"/>
  <c r="GZ48" i="84" s="1"/>
  <c r="F48" i="91"/>
  <c r="GY48" i="84" s="1"/>
  <c r="E48" i="91"/>
  <c r="D48" i="91"/>
  <c r="C48" i="91"/>
  <c r="GV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M18" i="84"/>
  <c r="A66" i="92"/>
  <c r="DF66" i="84" s="1"/>
  <c r="D438" i="94"/>
  <c r="GX48" i="84"/>
  <c r="GW48" i="8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24" i="94"/>
  <c r="U1324" i="94" s="1"/>
  <c r="HL19"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I19" i="69"/>
  <c r="U19" i="84" s="1"/>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V17" i="91"/>
  <c r="W32" i="91"/>
  <c r="W19" i="91"/>
  <c r="W26" i="91"/>
  <c r="W34" i="91"/>
  <c r="W42" i="91"/>
  <c r="W28" i="91"/>
  <c r="W37" i="91"/>
  <c r="W1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P48" i="91"/>
  <c r="HI48" i="84" s="1"/>
  <c r="I20" i="69"/>
  <c r="U20" i="84" s="1"/>
  <c r="D92" i="94"/>
  <c r="D132" i="94"/>
  <c r="D52" i="94"/>
  <c r="D10" i="94"/>
  <c r="AZ42" i="84" l="1"/>
  <c r="D265" i="94" s="1"/>
  <c r="A43" i="9"/>
  <c r="C18" i="60"/>
  <c r="MJ17" i="84"/>
  <c r="A22" i="69"/>
  <c r="M21" i="84"/>
  <c r="D441" i="94"/>
  <c r="A69" i="92"/>
  <c r="DF69" i="84" s="1"/>
  <c r="S1327" i="94"/>
  <c r="U1327" i="94" s="1"/>
  <c r="V20" i="91"/>
  <c r="V46" i="91" s="1"/>
  <c r="Z3" i="91" s="1"/>
  <c r="AA3" i="91" s="1"/>
  <c r="HL22" i="84"/>
  <c r="T48" i="91"/>
  <c r="W20" i="91"/>
  <c r="W46" i="91" s="1"/>
  <c r="Z4" i="91" s="1"/>
  <c r="AA4" i="91" s="1"/>
  <c r="I21" i="69"/>
  <c r="U21" i="84" s="1"/>
  <c r="D93" i="94"/>
  <c r="D133" i="94"/>
  <c r="D53" i="94"/>
  <c r="D11" i="94"/>
  <c r="BF1" i="68"/>
  <c r="A12" i="10"/>
  <c r="A13" i="10" s="1"/>
  <c r="A14" i="10" s="1"/>
  <c r="O31" i="10"/>
  <c r="O30" i="10"/>
  <c r="O18" i="10"/>
  <c r="O17" i="10"/>
  <c r="O16" i="10"/>
  <c r="A9" i="3"/>
  <c r="E20" i="14"/>
  <c r="I20" i="14"/>
  <c r="E21" i="14"/>
  <c r="I21" i="14"/>
  <c r="E22" i="14"/>
  <c r="I22" i="14"/>
  <c r="A12" i="78"/>
  <c r="S26" i="78"/>
  <c r="S25" i="78"/>
  <c r="E1" i="90"/>
  <c r="A1" i="90"/>
  <c r="E11" i="90"/>
  <c r="LI11" i="84" s="1"/>
  <c r="G11" i="90"/>
  <c r="H11" i="90"/>
  <c r="E12" i="90"/>
  <c r="LI12" i="84" s="1"/>
  <c r="E14" i="90"/>
  <c r="LI14" i="84" s="1"/>
  <c r="E15" i="90"/>
  <c r="LI15" i="84" s="1"/>
  <c r="E16" i="90"/>
  <c r="LI16" i="84" s="1"/>
  <c r="E17" i="90"/>
  <c r="LI17" i="84" s="1"/>
  <c r="E18" i="90"/>
  <c r="LI18" i="84" s="1"/>
  <c r="E20" i="90"/>
  <c r="LI20" i="84" s="1"/>
  <c r="E21" i="90"/>
  <c r="LI21" i="84" s="1"/>
  <c r="E23" i="90"/>
  <c r="E24" i="90"/>
  <c r="LI24" i="84" s="1"/>
  <c r="E25" i="90"/>
  <c r="LI25" i="84" s="1"/>
  <c r="E26" i="90"/>
  <c r="E27" i="90"/>
  <c r="LI27" i="84" s="1"/>
  <c r="C28" i="90"/>
  <c r="LG28" i="84" s="1"/>
  <c r="D28" i="90"/>
  <c r="LH28" i="84" s="1"/>
  <c r="F28" i="90"/>
  <c r="LJ28" i="84" s="1"/>
  <c r="C29" i="90"/>
  <c r="LG29" i="84" s="1"/>
  <c r="D29" i="90"/>
  <c r="LH29" i="84" s="1"/>
  <c r="F29" i="90"/>
  <c r="LJ29" i="84" s="1"/>
  <c r="E31" i="90"/>
  <c r="LI31" i="84" s="1"/>
  <c r="E32" i="90"/>
  <c r="LI32" i="84" s="1"/>
  <c r="E33" i="90"/>
  <c r="LI33" i="84" s="1"/>
  <c r="E34" i="90"/>
  <c r="LI34" i="84" s="1"/>
  <c r="C36" i="90"/>
  <c r="LG36" i="84" s="1"/>
  <c r="D36" i="90"/>
  <c r="LH36" i="84" s="1"/>
  <c r="F36" i="90"/>
  <c r="LJ36" i="84" s="1"/>
  <c r="LE1" i="84" l="1"/>
  <c r="I4" i="90"/>
  <c r="J4" i="90" s="1"/>
  <c r="I3" i="90"/>
  <c r="J3" i="90" s="1"/>
  <c r="E36" i="90"/>
  <c r="LI36" i="84" s="1"/>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E29" i="90"/>
  <c r="LI29" i="84" s="1"/>
  <c r="LI26" i="84"/>
  <c r="S625" i="94"/>
  <c r="U625" i="94" s="1"/>
  <c r="FY21" i="84"/>
  <c r="IJ31" i="84"/>
  <c r="A13" i="78"/>
  <c r="A14" i="78" s="1"/>
  <c r="D272" i="94"/>
  <c r="BE12" i="84"/>
  <c r="A23" i="69"/>
  <c r="M22" i="84"/>
  <c r="D442" i="94"/>
  <c r="A70" i="92"/>
  <c r="DF70" i="84" s="1"/>
  <c r="AA5" i="91"/>
  <c r="C15" i="83" s="1"/>
  <c r="S1353" i="94"/>
  <c r="U1353" i="94" s="1"/>
  <c r="HL48" i="84"/>
  <c r="I22" i="69"/>
  <c r="U22" i="84" s="1"/>
  <c r="D54" i="94"/>
  <c r="D94" i="94"/>
  <c r="D134" i="94"/>
  <c r="D12" i="94"/>
  <c r="G10" i="90"/>
  <c r="LI1" i="84"/>
  <c r="A10" i="3"/>
  <c r="HO9" i="84"/>
  <c r="J5" i="90" l="1"/>
  <c r="AZ45" i="84"/>
  <c r="D267" i="94" s="1"/>
  <c r="A47" i="9"/>
  <c r="C20" i="60"/>
  <c r="MJ19" i="84"/>
  <c r="A16" i="10"/>
  <c r="HV15" i="84"/>
  <c r="Z1" i="91"/>
  <c r="D274" i="94"/>
  <c r="BE14" i="84"/>
  <c r="D273" i="94"/>
  <c r="BE13" i="84"/>
  <c r="A24" i="69"/>
  <c r="M23" i="84"/>
  <c r="A71" i="92"/>
  <c r="DF71" i="84" s="1"/>
  <c r="D443" i="94"/>
  <c r="C5" i="91"/>
  <c r="GV5" i="84" s="1"/>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T6" i="86"/>
  <c r="D25" i="69"/>
  <c r="P25" i="84" s="1"/>
  <c r="AK25" i="84" s="1"/>
  <c r="P23" i="84"/>
  <c r="AK23" i="84" s="1"/>
  <c r="A27" i="69"/>
  <c r="A28" i="69" s="1"/>
  <c r="A29" i="69" s="1"/>
  <c r="A30" i="69" s="1"/>
  <c r="A31" i="69" s="1"/>
  <c r="A32" i="69" s="1"/>
  <c r="A33" i="69" s="1"/>
  <c r="A34" i="69" s="1"/>
  <c r="A35" i="69" s="1"/>
  <c r="M26" i="84"/>
  <c r="A74" i="92"/>
  <c r="DF74" i="84" s="1"/>
  <c r="D446" i="94"/>
  <c r="A15" i="3"/>
  <c r="HO13" i="84"/>
  <c r="A20" i="78" l="1"/>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BE22" i="84"/>
  <c r="T5" i="86"/>
  <c r="D449" i="94"/>
  <c r="A77" i="92"/>
  <c r="DF77" i="84" s="1"/>
  <c r="A18" i="3"/>
  <c r="HO17" i="84"/>
  <c r="D282" i="94" l="1"/>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6" i="94"/>
  <c r="U26" i="94" s="1"/>
  <c r="AK35" i="84"/>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8" i="94"/>
  <c r="U68"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E83" i="84"/>
  <c r="J570" i="94" s="1"/>
  <c r="EL84" i="84"/>
  <c r="Q571" i="94" s="1"/>
  <c r="EI83" i="84"/>
  <c r="N570" i="94" s="1"/>
  <c r="EH83" i="84"/>
  <c r="M570" i="94" s="1"/>
  <c r="EC83" i="84"/>
  <c r="H570" i="94" s="1"/>
  <c r="ED84" i="84"/>
  <c r="I571"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56" i="12"/>
  <c r="S71" i="12" s="1"/>
  <c r="S25" i="12" s="1"/>
  <c r="G49" i="89"/>
  <c r="S68" i="12"/>
  <c r="AB15" i="89"/>
  <c r="S57" i="12"/>
  <c r="V57" i="12"/>
  <c r="W57" i="12" s="1"/>
  <c r="AB13" i="89"/>
  <c r="S69" i="12"/>
  <c r="S70" i="12" s="1"/>
  <c r="S23" i="12"/>
  <c r="EQ23" i="84" s="1"/>
  <c r="V23" i="12"/>
  <c r="ET23" i="84" s="1"/>
  <c r="AC15" i="89"/>
  <c r="AE15" i="89" s="1"/>
  <c r="AC13" i="89"/>
  <c r="U23" i="12"/>
  <c r="ES23" i="84" s="1"/>
  <c r="S22" i="12"/>
  <c r="D39" i="94"/>
  <c r="D161" i="94"/>
  <c r="D81" i="94"/>
  <c r="A50" i="69"/>
  <c r="M49" i="84"/>
  <c r="D82" i="94" s="1"/>
  <c r="I49" i="69"/>
  <c r="S14" i="12"/>
  <c r="V14" i="12"/>
  <c r="ET14" i="84" s="1"/>
  <c r="S33" i="89"/>
  <c r="FP11" i="84"/>
  <c r="T11" i="89"/>
  <c r="V69" i="12"/>
  <c r="W69" i="12" s="1"/>
  <c r="T69" i="12"/>
  <c r="T72" i="12" s="1"/>
  <c r="T26" i="12" s="1"/>
  <c r="G43" i="89"/>
  <c r="T68" i="12"/>
  <c r="C48" i="60"/>
  <c r="MJ47" i="84"/>
  <c r="A25" i="86"/>
  <c r="BX24" i="84"/>
  <c r="A80" i="78"/>
  <c r="D317" i="94"/>
  <c r="BE80" i="84"/>
  <c r="D162" i="94"/>
  <c r="D122" i="9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O54" i="89"/>
  <c r="I58" i="89"/>
  <c r="BO58" i="89"/>
  <c r="I62" i="89"/>
  <c r="BO62" i="89"/>
  <c r="I66" i="89"/>
  <c r="BO66" i="89"/>
  <c r="I70" i="89"/>
  <c r="BO70" i="89"/>
  <c r="I74" i="89"/>
  <c r="BO74" i="89"/>
  <c r="I78" i="89"/>
  <c r="BO78" i="89"/>
  <c r="I82" i="89"/>
  <c r="BO82" i="89"/>
  <c r="I86" i="89"/>
  <c r="BO86" i="89"/>
  <c r="I90" i="89"/>
  <c r="BO90" i="89"/>
  <c r="I94" i="89"/>
  <c r="BO94" i="89"/>
  <c r="I98" i="89"/>
  <c r="BO98" i="89"/>
  <c r="I102" i="89"/>
  <c r="BO102" i="89"/>
  <c r="I106" i="89"/>
  <c r="BO106" i="89"/>
  <c r="I110" i="89"/>
  <c r="BO110" i="89"/>
  <c r="I114" i="89"/>
  <c r="BO114" i="89"/>
  <c r="I118" i="89"/>
  <c r="BO118" i="89"/>
  <c r="I122" i="89"/>
  <c r="BO122" i="89"/>
  <c r="I126" i="89"/>
  <c r="BO126" i="89"/>
  <c r="I130" i="89"/>
  <c r="BO130" i="89"/>
  <c r="I134" i="89"/>
  <c r="BO134" i="89"/>
  <c r="I138" i="89"/>
  <c r="BO138" i="89"/>
  <c r="I142" i="89"/>
  <c r="BO142" i="89"/>
  <c r="I146" i="89"/>
  <c r="BO146" i="89"/>
  <c r="I150" i="89"/>
  <c r="BO150" i="89"/>
  <c r="I154" i="89"/>
  <c r="BO154" i="89"/>
  <c r="I158" i="89"/>
  <c r="BO158" i="89"/>
  <c r="I162" i="89"/>
  <c r="BO162" i="89"/>
  <c r="I166" i="89"/>
  <c r="BO166" i="89"/>
  <c r="I170" i="89"/>
  <c r="BO170" i="89"/>
  <c r="I174" i="89"/>
  <c r="BO174" i="89"/>
  <c r="I178" i="89"/>
  <c r="BO178" i="89"/>
  <c r="I182" i="89"/>
  <c r="BO182" i="89"/>
  <c r="I186" i="89"/>
  <c r="BO186" i="89"/>
  <c r="I190" i="89"/>
  <c r="BO190" i="89"/>
  <c r="I194" i="89"/>
  <c r="BO194" i="89"/>
  <c r="I198" i="89"/>
  <c r="BO198" i="89"/>
  <c r="I202" i="89"/>
  <c r="BO202" i="89"/>
  <c r="I206" i="89"/>
  <c r="BO206" i="89"/>
  <c r="I210" i="89"/>
  <c r="BO210" i="89"/>
  <c r="I214" i="89"/>
  <c r="BO214" i="89"/>
  <c r="I218" i="89"/>
  <c r="BO218" i="89"/>
  <c r="I222" i="89"/>
  <c r="BO222" i="89"/>
  <c r="I226" i="89"/>
  <c r="BO226" i="89"/>
  <c r="I230" i="89"/>
  <c r="BO230" i="89"/>
  <c r="I234" i="89"/>
  <c r="BO234" i="89"/>
  <c r="I238" i="89"/>
  <c r="BO238" i="89"/>
  <c r="I242" i="89"/>
  <c r="BO242" i="89"/>
  <c r="I246" i="89"/>
  <c r="BO246" i="89"/>
  <c r="I250" i="89"/>
  <c r="BO250" i="89"/>
  <c r="I254" i="89"/>
  <c r="BO254" i="89"/>
  <c r="I258" i="89"/>
  <c r="BO258" i="89"/>
  <c r="I262" i="89"/>
  <c r="BO262" i="89"/>
  <c r="I266" i="89"/>
  <c r="BO266" i="89"/>
  <c r="I270" i="89"/>
  <c r="BO270" i="89"/>
  <c r="I274" i="89"/>
  <c r="BO274" i="89"/>
  <c r="I278" i="89"/>
  <c r="BO278" i="89"/>
  <c r="I282" i="89"/>
  <c r="BO282" i="89"/>
  <c r="I286" i="89"/>
  <c r="BO286" i="89"/>
  <c r="I290" i="89"/>
  <c r="BO290" i="89"/>
  <c r="I294" i="89"/>
  <c r="BO294" i="89"/>
  <c r="I298" i="89"/>
  <c r="BO298" i="89"/>
  <c r="I302" i="89"/>
  <c r="BO302" i="89"/>
  <c r="I306" i="89"/>
  <c r="BO306" i="89"/>
  <c r="I310" i="89"/>
  <c r="BO310" i="89"/>
  <c r="I314" i="89"/>
  <c r="BO314" i="89"/>
  <c r="I318" i="89"/>
  <c r="BO318" i="89"/>
  <c r="I322" i="89"/>
  <c r="BO322" i="89"/>
  <c r="I326" i="89"/>
  <c r="BO326" i="89"/>
  <c r="I330" i="89"/>
  <c r="BO330" i="89"/>
  <c r="I334" i="89"/>
  <c r="BO334" i="89"/>
  <c r="I338" i="89"/>
  <c r="BO338" i="89"/>
  <c r="I342" i="89"/>
  <c r="BO342" i="89"/>
  <c r="I346" i="89"/>
  <c r="BO346" i="89"/>
  <c r="I350" i="89"/>
  <c r="BO350" i="89"/>
  <c r="I354" i="89"/>
  <c r="BO354" i="89"/>
  <c r="I358" i="89"/>
  <c r="BO358" i="89"/>
  <c r="I362" i="89"/>
  <c r="BO362" i="89"/>
  <c r="I366" i="89"/>
  <c r="BO366" i="89"/>
  <c r="I370" i="89"/>
  <c r="BO370" i="89"/>
  <c r="I374" i="89"/>
  <c r="BO374" i="89"/>
  <c r="I378" i="89"/>
  <c r="BO378" i="89"/>
  <c r="I382" i="89"/>
  <c r="BO382" i="89"/>
  <c r="I386" i="89"/>
  <c r="BO386" i="89"/>
  <c r="I390" i="89"/>
  <c r="BO390" i="89"/>
  <c r="I394" i="89"/>
  <c r="BO394" i="89"/>
  <c r="I398" i="89"/>
  <c r="BO398" i="89"/>
  <c r="I402" i="89"/>
  <c r="BO402" i="89"/>
  <c r="I406" i="89"/>
  <c r="BO406" i="89"/>
  <c r="I410" i="89"/>
  <c r="BO410" i="89"/>
  <c r="I414" i="89"/>
  <c r="BO414" i="89"/>
  <c r="I418" i="89"/>
  <c r="BO418" i="89"/>
  <c r="I422" i="89"/>
  <c r="BO422" i="89"/>
  <c r="I426" i="89"/>
  <c r="BO426" i="89"/>
  <c r="I430" i="89"/>
  <c r="BO430" i="89"/>
  <c r="I434" i="89"/>
  <c r="BO434" i="89"/>
  <c r="I438" i="89"/>
  <c r="BO438" i="89"/>
  <c r="I442" i="89"/>
  <c r="BO442" i="89"/>
  <c r="I446" i="89"/>
  <c r="BO446" i="89"/>
  <c r="I450" i="89"/>
  <c r="BO450" i="89"/>
  <c r="I454" i="89"/>
  <c r="BO454" i="89"/>
  <c r="I458" i="89"/>
  <c r="BO458" i="89"/>
  <c r="I462" i="89"/>
  <c r="BO462" i="89"/>
  <c r="I466" i="89"/>
  <c r="BO466" i="89"/>
  <c r="I470" i="89"/>
  <c r="BO470" i="89"/>
  <c r="I474" i="89"/>
  <c r="BO474" i="89"/>
  <c r="I478" i="89"/>
  <c r="BO478" i="89"/>
  <c r="I482" i="89"/>
  <c r="BO482" i="89"/>
  <c r="I53" i="89"/>
  <c r="BO53" i="89"/>
  <c r="I57" i="89"/>
  <c r="BO57" i="89"/>
  <c r="I61" i="89"/>
  <c r="BO61" i="89"/>
  <c r="I65" i="89"/>
  <c r="BO65" i="89"/>
  <c r="I69" i="89"/>
  <c r="BO69" i="89"/>
  <c r="I73" i="89"/>
  <c r="BO73" i="89"/>
  <c r="I77" i="89"/>
  <c r="BO77" i="89"/>
  <c r="I81" i="89"/>
  <c r="BO81" i="89"/>
  <c r="I85" i="89"/>
  <c r="BO85" i="89"/>
  <c r="I89" i="89"/>
  <c r="BO89" i="89"/>
  <c r="I93" i="89"/>
  <c r="BO93" i="89"/>
  <c r="I97" i="89"/>
  <c r="BO97" i="89"/>
  <c r="I101" i="89"/>
  <c r="BO101" i="89"/>
  <c r="I105" i="89"/>
  <c r="BO105" i="89"/>
  <c r="I109" i="89"/>
  <c r="BO109" i="89"/>
  <c r="I113" i="89"/>
  <c r="BO113" i="89"/>
  <c r="I117" i="89"/>
  <c r="BO117" i="89"/>
  <c r="I121" i="89"/>
  <c r="BO121" i="89"/>
  <c r="I125" i="89"/>
  <c r="BO125" i="89"/>
  <c r="I129" i="89"/>
  <c r="BO129" i="89"/>
  <c r="I133" i="89"/>
  <c r="BO133" i="89"/>
  <c r="I137" i="89"/>
  <c r="BO137" i="89"/>
  <c r="I141" i="89"/>
  <c r="BO141" i="89"/>
  <c r="I145" i="89"/>
  <c r="BO145" i="89"/>
  <c r="I149" i="89"/>
  <c r="BO149" i="89"/>
  <c r="I153" i="89"/>
  <c r="BO153" i="89"/>
  <c r="I157" i="89"/>
  <c r="BO157" i="89"/>
  <c r="I161" i="89"/>
  <c r="BO161" i="89"/>
  <c r="I165" i="89"/>
  <c r="BO165" i="89"/>
  <c r="I169" i="89"/>
  <c r="BO169" i="89"/>
  <c r="I173" i="89"/>
  <c r="BO173" i="89"/>
  <c r="I177" i="89"/>
  <c r="BO177" i="89"/>
  <c r="I181" i="89"/>
  <c r="BO181" i="89"/>
  <c r="I185" i="89"/>
  <c r="BO185" i="89"/>
  <c r="I189" i="89"/>
  <c r="BO189" i="89"/>
  <c r="I193" i="89"/>
  <c r="BO193" i="89"/>
  <c r="I197" i="89"/>
  <c r="BO197" i="89"/>
  <c r="I201" i="89"/>
  <c r="BO201" i="89"/>
  <c r="I205" i="89"/>
  <c r="BO205" i="89"/>
  <c r="I209" i="89"/>
  <c r="BO209" i="89"/>
  <c r="I213" i="89"/>
  <c r="BO213" i="89"/>
  <c r="I217" i="89"/>
  <c r="BO217" i="89"/>
  <c r="I221" i="89"/>
  <c r="BO221" i="89"/>
  <c r="I225" i="89"/>
  <c r="BO225" i="89"/>
  <c r="I229" i="89"/>
  <c r="BO229" i="89"/>
  <c r="I233" i="89"/>
  <c r="BO233" i="89"/>
  <c r="I237" i="89"/>
  <c r="BO237" i="89"/>
  <c r="I241" i="89"/>
  <c r="BO241" i="89"/>
  <c r="I245" i="89"/>
  <c r="BO245" i="89"/>
  <c r="I249" i="89"/>
  <c r="BO249" i="89"/>
  <c r="I253" i="89"/>
  <c r="BO253" i="89"/>
  <c r="I257" i="89"/>
  <c r="BO257" i="89"/>
  <c r="I261" i="89"/>
  <c r="BO261" i="89"/>
  <c r="I265" i="89"/>
  <c r="BO265" i="89"/>
  <c r="I269" i="89"/>
  <c r="BO269" i="89"/>
  <c r="I273" i="89"/>
  <c r="BO273" i="89"/>
  <c r="I277" i="89"/>
  <c r="BO277" i="89"/>
  <c r="I281" i="89"/>
  <c r="BO281" i="89"/>
  <c r="I285" i="89"/>
  <c r="BO285" i="89"/>
  <c r="I289" i="89"/>
  <c r="BO289" i="89"/>
  <c r="I293" i="89"/>
  <c r="BO293" i="89"/>
  <c r="I297" i="89"/>
  <c r="BO297" i="89"/>
  <c r="I301" i="89"/>
  <c r="BO301" i="89"/>
  <c r="I305" i="89"/>
  <c r="BO305" i="89"/>
  <c r="I309" i="89"/>
  <c r="BO309" i="89"/>
  <c r="I313" i="89"/>
  <c r="BO313" i="89"/>
  <c r="I317" i="89"/>
  <c r="BO317" i="89"/>
  <c r="I321" i="89"/>
  <c r="BO321" i="89"/>
  <c r="I325" i="89"/>
  <c r="BO325" i="89"/>
  <c r="I329" i="89"/>
  <c r="BO329" i="89"/>
  <c r="I333" i="89"/>
  <c r="BO333" i="89"/>
  <c r="I337" i="89"/>
  <c r="BO337" i="89"/>
  <c r="I341" i="89"/>
  <c r="BO341" i="89"/>
  <c r="I345" i="89"/>
  <c r="BO345" i="89"/>
  <c r="I349" i="89"/>
  <c r="BO349" i="89"/>
  <c r="I353" i="89"/>
  <c r="BO353" i="89"/>
  <c r="I357" i="89"/>
  <c r="BO357" i="89"/>
  <c r="I361" i="89"/>
  <c r="BO361" i="89"/>
  <c r="I365" i="89"/>
  <c r="BO365" i="89"/>
  <c r="I369" i="89"/>
  <c r="BO369" i="89"/>
  <c r="I373" i="89"/>
  <c r="BO373" i="89"/>
  <c r="I377" i="89"/>
  <c r="BO377" i="89"/>
  <c r="I381" i="89"/>
  <c r="BO381" i="89"/>
  <c r="I385" i="89"/>
  <c r="BO385" i="89"/>
  <c r="I389" i="89"/>
  <c r="BO389" i="89"/>
  <c r="I393" i="89"/>
  <c r="BO393" i="89"/>
  <c r="I397" i="89"/>
  <c r="BO397" i="89"/>
  <c r="I401" i="89"/>
  <c r="BO401" i="89"/>
  <c r="I405" i="89"/>
  <c r="BO405" i="89"/>
  <c r="I409" i="89"/>
  <c r="BO409" i="89"/>
  <c r="I413" i="89"/>
  <c r="BO413" i="89"/>
  <c r="I417" i="89"/>
  <c r="BO417" i="89"/>
  <c r="I421" i="89"/>
  <c r="BO421" i="89"/>
  <c r="I425" i="89"/>
  <c r="BO425" i="89"/>
  <c r="I429" i="89"/>
  <c r="BO429" i="89"/>
  <c r="I433" i="89"/>
  <c r="BO433" i="89"/>
  <c r="I437" i="89"/>
  <c r="BO437" i="89"/>
  <c r="I441" i="89"/>
  <c r="BO441" i="89"/>
  <c r="I445" i="89"/>
  <c r="BO445" i="89"/>
  <c r="I449" i="89"/>
  <c r="BO449" i="89"/>
  <c r="I453" i="89"/>
  <c r="BO453" i="89"/>
  <c r="I457" i="89"/>
  <c r="BO457" i="89"/>
  <c r="I461" i="89"/>
  <c r="BO461" i="89"/>
  <c r="I465" i="89"/>
  <c r="BO465" i="89"/>
  <c r="I469" i="89"/>
  <c r="BO469" i="89"/>
  <c r="I473" i="89"/>
  <c r="BO473" i="89"/>
  <c r="I477" i="89"/>
  <c r="BO477" i="89"/>
  <c r="I481" i="89"/>
  <c r="BO481" i="89"/>
  <c r="I52" i="89"/>
  <c r="BO52" i="89"/>
  <c r="I56" i="89"/>
  <c r="BO56" i="89"/>
  <c r="I60" i="89"/>
  <c r="BO60" i="89"/>
  <c r="I64" i="89"/>
  <c r="BO64" i="89"/>
  <c r="I68" i="89"/>
  <c r="BO68" i="89"/>
  <c r="I72" i="89"/>
  <c r="BO72" i="89"/>
  <c r="I76" i="89"/>
  <c r="BO76" i="89"/>
  <c r="I80" i="89"/>
  <c r="BO80" i="89"/>
  <c r="I84" i="89"/>
  <c r="BO84" i="89"/>
  <c r="I88" i="89"/>
  <c r="BO88" i="89"/>
  <c r="I92" i="89"/>
  <c r="BO92" i="89"/>
  <c r="I96" i="89"/>
  <c r="BO96" i="89"/>
  <c r="I100" i="89"/>
  <c r="BO100" i="89"/>
  <c r="I104" i="89"/>
  <c r="BO104" i="89"/>
  <c r="I108" i="89"/>
  <c r="BO108" i="89"/>
  <c r="I112" i="89"/>
  <c r="BO112" i="89"/>
  <c r="I116" i="89"/>
  <c r="BO116" i="89"/>
  <c r="I120" i="89"/>
  <c r="BO120" i="89"/>
  <c r="I124" i="89"/>
  <c r="BO124" i="89"/>
  <c r="I128" i="89"/>
  <c r="BO128" i="89"/>
  <c r="I132" i="89"/>
  <c r="BO132" i="89"/>
  <c r="I136" i="89"/>
  <c r="BO136" i="89"/>
  <c r="I140" i="89"/>
  <c r="BO140" i="89"/>
  <c r="I144" i="89"/>
  <c r="BO144" i="89"/>
  <c r="I148" i="89"/>
  <c r="BO148" i="89"/>
  <c r="I152" i="89"/>
  <c r="BO152" i="89"/>
  <c r="I156" i="89"/>
  <c r="BO156" i="89"/>
  <c r="I160" i="89"/>
  <c r="BO160" i="89"/>
  <c r="I164" i="89"/>
  <c r="BO164" i="89"/>
  <c r="I168" i="89"/>
  <c r="BO168" i="89"/>
  <c r="I172" i="89"/>
  <c r="BO172" i="89"/>
  <c r="I176" i="89"/>
  <c r="BO176" i="89"/>
  <c r="I180" i="89"/>
  <c r="BO180" i="89"/>
  <c r="I184" i="89"/>
  <c r="BO184" i="89"/>
  <c r="I188" i="89"/>
  <c r="BO188" i="89"/>
  <c r="I192" i="89"/>
  <c r="BO192" i="89"/>
  <c r="I196" i="89"/>
  <c r="BO196" i="89"/>
  <c r="I200" i="89"/>
  <c r="BO200" i="89"/>
  <c r="I204" i="89"/>
  <c r="BO204" i="89"/>
  <c r="I208" i="89"/>
  <c r="BO208" i="89"/>
  <c r="I212" i="89"/>
  <c r="BO212" i="89"/>
  <c r="I216" i="89"/>
  <c r="BO216" i="89"/>
  <c r="I220" i="89"/>
  <c r="BO220" i="89"/>
  <c r="I224" i="89"/>
  <c r="BO224" i="89"/>
  <c r="I228" i="89"/>
  <c r="BO228" i="89"/>
  <c r="I232" i="89"/>
  <c r="BO232" i="89"/>
  <c r="I236" i="89"/>
  <c r="BO236" i="89"/>
  <c r="I240" i="89"/>
  <c r="BO240" i="89"/>
  <c r="I244" i="89"/>
  <c r="BO244" i="89"/>
  <c r="I248" i="89"/>
  <c r="BO248" i="89"/>
  <c r="I252" i="89"/>
  <c r="BO252" i="89"/>
  <c r="I256" i="89"/>
  <c r="BO256" i="89"/>
  <c r="I260" i="89"/>
  <c r="BO260" i="89"/>
  <c r="I264" i="89"/>
  <c r="BO264" i="89"/>
  <c r="I268" i="89"/>
  <c r="BO268" i="89"/>
  <c r="I272" i="89"/>
  <c r="BO272" i="89"/>
  <c r="I276" i="89"/>
  <c r="BO276" i="89"/>
  <c r="I280" i="89"/>
  <c r="BO280" i="89"/>
  <c r="I284" i="89"/>
  <c r="BO284" i="89"/>
  <c r="I288" i="89"/>
  <c r="BO288" i="89"/>
  <c r="I292" i="89"/>
  <c r="BO292" i="89"/>
  <c r="I296" i="89"/>
  <c r="BO296" i="89"/>
  <c r="I300" i="89"/>
  <c r="BO300" i="89"/>
  <c r="I304" i="89"/>
  <c r="BO304" i="89"/>
  <c r="I308" i="89"/>
  <c r="BO308" i="89"/>
  <c r="I312" i="89"/>
  <c r="BO312" i="89"/>
  <c r="I316" i="89"/>
  <c r="BO316" i="89"/>
  <c r="I320" i="89"/>
  <c r="BO320" i="89"/>
  <c r="I324" i="89"/>
  <c r="BO324" i="89"/>
  <c r="I328" i="89"/>
  <c r="BO328" i="89"/>
  <c r="I332" i="89"/>
  <c r="BO332" i="89"/>
  <c r="I336" i="89"/>
  <c r="BO336" i="89"/>
  <c r="I340" i="89"/>
  <c r="BO340" i="89"/>
  <c r="I344" i="89"/>
  <c r="BO344" i="89"/>
  <c r="I348" i="89"/>
  <c r="BO348" i="89"/>
  <c r="I352" i="89"/>
  <c r="BO352" i="89"/>
  <c r="I356" i="89"/>
  <c r="BO356" i="89"/>
  <c r="I360" i="89"/>
  <c r="BO360" i="89"/>
  <c r="I364" i="89"/>
  <c r="BO364" i="89"/>
  <c r="I368" i="89"/>
  <c r="BO368" i="89"/>
  <c r="I372" i="89"/>
  <c r="BO372" i="89"/>
  <c r="I376" i="89"/>
  <c r="BO376" i="89"/>
  <c r="I380" i="89"/>
  <c r="BO380" i="89"/>
  <c r="I384" i="89"/>
  <c r="BO384" i="89"/>
  <c r="I388" i="89"/>
  <c r="BO388" i="89"/>
  <c r="I392" i="89"/>
  <c r="BO392" i="89"/>
  <c r="I396" i="89"/>
  <c r="BO396" i="89"/>
  <c r="I400" i="89"/>
  <c r="BO400" i="89"/>
  <c r="I404" i="89"/>
  <c r="BO404" i="89"/>
  <c r="I408" i="89"/>
  <c r="BO408" i="89"/>
  <c r="I412" i="89"/>
  <c r="BO412" i="89"/>
  <c r="I416" i="89"/>
  <c r="BO416" i="89"/>
  <c r="I420" i="89"/>
  <c r="BO420" i="89"/>
  <c r="I424" i="89"/>
  <c r="BO424" i="89"/>
  <c r="I428" i="89"/>
  <c r="BO428" i="89"/>
  <c r="I432" i="89"/>
  <c r="BO432" i="89"/>
  <c r="I436" i="89"/>
  <c r="BO436" i="89"/>
  <c r="I440" i="89"/>
  <c r="BO440" i="89"/>
  <c r="I444" i="89"/>
  <c r="BO444" i="89"/>
  <c r="I448" i="89"/>
  <c r="BO448" i="89"/>
  <c r="I452" i="89"/>
  <c r="BO452" i="89"/>
  <c r="I456" i="89"/>
  <c r="BO456" i="89"/>
  <c r="I460" i="89"/>
  <c r="BO460" i="89"/>
  <c r="I464" i="89"/>
  <c r="BO464" i="89"/>
  <c r="I468" i="89"/>
  <c r="BO468" i="89"/>
  <c r="I472" i="89"/>
  <c r="BO472" i="89"/>
  <c r="I476" i="89"/>
  <c r="BO476" i="89"/>
  <c r="I480" i="89"/>
  <c r="BO480" i="89"/>
  <c r="I51" i="89"/>
  <c r="BO51" i="89"/>
  <c r="I55" i="89"/>
  <c r="BO55" i="89"/>
  <c r="I59" i="89"/>
  <c r="BO59" i="89"/>
  <c r="I63" i="89"/>
  <c r="BO63" i="89"/>
  <c r="I67" i="89"/>
  <c r="BO67" i="89"/>
  <c r="I71" i="89"/>
  <c r="BO71" i="89"/>
  <c r="I75" i="89"/>
  <c r="BO75" i="89"/>
  <c r="I79" i="89"/>
  <c r="BO79" i="89"/>
  <c r="I83" i="89"/>
  <c r="BO83" i="89"/>
  <c r="I87" i="89"/>
  <c r="BO87" i="89"/>
  <c r="I91" i="89"/>
  <c r="BO91" i="89"/>
  <c r="I95" i="89"/>
  <c r="BO95" i="89"/>
  <c r="I99" i="89"/>
  <c r="BO99" i="89"/>
  <c r="I103" i="89"/>
  <c r="BO103" i="89"/>
  <c r="I107" i="89"/>
  <c r="BO107" i="89"/>
  <c r="I111" i="89"/>
  <c r="BO111" i="89"/>
  <c r="I115" i="89"/>
  <c r="BO115" i="89"/>
  <c r="I119" i="89"/>
  <c r="BO119" i="89"/>
  <c r="I123" i="89"/>
  <c r="BO123" i="89"/>
  <c r="I127" i="89"/>
  <c r="BO127" i="89"/>
  <c r="I131" i="89"/>
  <c r="BO131" i="89"/>
  <c r="I135" i="89"/>
  <c r="BO135" i="89"/>
  <c r="I139" i="89"/>
  <c r="BO139" i="89"/>
  <c r="I143" i="89"/>
  <c r="BO143" i="89"/>
  <c r="I147" i="89"/>
  <c r="BO147" i="89"/>
  <c r="I151" i="89"/>
  <c r="BO151" i="89"/>
  <c r="I155" i="89"/>
  <c r="BO155" i="89"/>
  <c r="I159" i="89"/>
  <c r="BO159" i="89"/>
  <c r="I163" i="89"/>
  <c r="BO163" i="89"/>
  <c r="I167" i="89"/>
  <c r="BO167" i="89"/>
  <c r="I171" i="89"/>
  <c r="BO171" i="89"/>
  <c r="I175" i="89"/>
  <c r="BO175" i="89"/>
  <c r="I179" i="89"/>
  <c r="BO179" i="89"/>
  <c r="I183" i="89"/>
  <c r="BO183" i="89"/>
  <c r="I187" i="89"/>
  <c r="BO187" i="89"/>
  <c r="I191" i="89"/>
  <c r="BO191" i="89"/>
  <c r="I195" i="89"/>
  <c r="BO195" i="89"/>
  <c r="I199" i="89"/>
  <c r="BO199" i="89"/>
  <c r="I203" i="89"/>
  <c r="BO203" i="89"/>
  <c r="I207" i="89"/>
  <c r="BO207" i="89"/>
  <c r="I211" i="89"/>
  <c r="BO211" i="89"/>
  <c r="I215" i="89"/>
  <c r="BO215" i="89"/>
  <c r="I219" i="89"/>
  <c r="BO219" i="89"/>
  <c r="I223" i="89"/>
  <c r="BO223" i="89"/>
  <c r="I227" i="89"/>
  <c r="BO227" i="89"/>
  <c r="I231" i="89"/>
  <c r="BO231" i="89"/>
  <c r="I235" i="89"/>
  <c r="BO235" i="89"/>
  <c r="I239" i="89"/>
  <c r="BO239" i="89"/>
  <c r="I243" i="89"/>
  <c r="BO243" i="89"/>
  <c r="I247" i="89"/>
  <c r="BO247" i="89"/>
  <c r="I251" i="89"/>
  <c r="BO251" i="89"/>
  <c r="I255" i="89"/>
  <c r="BO255" i="89"/>
  <c r="I259" i="89"/>
  <c r="BO259" i="89"/>
  <c r="I263" i="89"/>
  <c r="BO263" i="89"/>
  <c r="I267" i="89"/>
  <c r="BO267" i="89"/>
  <c r="I271" i="89"/>
  <c r="BO271" i="89"/>
  <c r="I275" i="89"/>
  <c r="BO275" i="89"/>
  <c r="I279" i="89"/>
  <c r="BO279" i="89"/>
  <c r="I283" i="89"/>
  <c r="BO283" i="89"/>
  <c r="I287" i="89"/>
  <c r="BO287" i="89"/>
  <c r="I291" i="89"/>
  <c r="BO291" i="89"/>
  <c r="I295" i="89"/>
  <c r="BO295" i="89"/>
  <c r="I299" i="89"/>
  <c r="BO299" i="89"/>
  <c r="I303" i="89"/>
  <c r="BO303" i="89"/>
  <c r="I307" i="89"/>
  <c r="BO307" i="89"/>
  <c r="I311" i="89"/>
  <c r="BO311" i="89"/>
  <c r="I315" i="89"/>
  <c r="BO315" i="89"/>
  <c r="I319" i="89"/>
  <c r="BO319" i="89"/>
  <c r="I323" i="89"/>
  <c r="BO323" i="89"/>
  <c r="I327" i="89"/>
  <c r="BO327" i="89"/>
  <c r="I331" i="89"/>
  <c r="BO331" i="89"/>
  <c r="I335" i="89"/>
  <c r="BO335" i="89"/>
  <c r="I339" i="89"/>
  <c r="BO339" i="89"/>
  <c r="I343" i="89"/>
  <c r="BO343" i="89"/>
  <c r="I347" i="89"/>
  <c r="BO347" i="89"/>
  <c r="I351" i="89"/>
  <c r="BO351" i="89"/>
  <c r="I355" i="89"/>
  <c r="BO355" i="89"/>
  <c r="I359" i="89"/>
  <c r="BO359" i="89"/>
  <c r="I363" i="89"/>
  <c r="BO363" i="89"/>
  <c r="I367" i="89"/>
  <c r="BO367" i="89"/>
  <c r="I371" i="89"/>
  <c r="BO371" i="89"/>
  <c r="I375" i="89"/>
  <c r="BO375" i="89"/>
  <c r="I379" i="89"/>
  <c r="BO379" i="89"/>
  <c r="I383" i="89"/>
  <c r="BO383" i="89"/>
  <c r="I387" i="89"/>
  <c r="BO387" i="89"/>
  <c r="I391" i="89"/>
  <c r="BO391" i="89"/>
  <c r="I395" i="89"/>
  <c r="BO395" i="89"/>
  <c r="I399" i="89"/>
  <c r="BO399" i="89"/>
  <c r="I403" i="89"/>
  <c r="BO403" i="89"/>
  <c r="I407" i="89"/>
  <c r="BO407" i="89"/>
  <c r="I411" i="89"/>
  <c r="BO411" i="89"/>
  <c r="I415" i="89"/>
  <c r="BO415" i="89"/>
  <c r="I419" i="89"/>
  <c r="BO419" i="89"/>
  <c r="I423" i="89"/>
  <c r="BO423" i="89"/>
  <c r="I427" i="89"/>
  <c r="BO427" i="89"/>
  <c r="I431" i="89"/>
  <c r="BO431" i="89"/>
  <c r="I435" i="89"/>
  <c r="BO435" i="89"/>
  <c r="I439" i="89"/>
  <c r="BO439" i="89"/>
  <c r="I443" i="89"/>
  <c r="BO443" i="89"/>
  <c r="I447" i="89"/>
  <c r="BO447" i="89"/>
  <c r="I451" i="89"/>
  <c r="BO451" i="89"/>
  <c r="I455" i="89"/>
  <c r="BO455" i="89"/>
  <c r="I459" i="89"/>
  <c r="BO459" i="89"/>
  <c r="I463" i="89"/>
  <c r="BO463" i="89"/>
  <c r="I467" i="89"/>
  <c r="BO467" i="89"/>
  <c r="I471" i="89"/>
  <c r="BO471" i="89"/>
  <c r="I475" i="89"/>
  <c r="BO475" i="89"/>
  <c r="I479" i="89"/>
  <c r="BO479" i="89"/>
  <c r="I483" i="89"/>
  <c r="BO483" i="89"/>
  <c r="I486" i="89"/>
  <c r="BO486" i="89"/>
  <c r="I490" i="89"/>
  <c r="BO490" i="89"/>
  <c r="I494" i="89"/>
  <c r="BO494" i="89"/>
  <c r="I498" i="89"/>
  <c r="BO498" i="89"/>
  <c r="I502" i="89"/>
  <c r="BO502" i="89"/>
  <c r="I506" i="89"/>
  <c r="BO506" i="89"/>
  <c r="I510" i="89"/>
  <c r="BO510" i="89"/>
  <c r="I514" i="89"/>
  <c r="BO514" i="89"/>
  <c r="I518" i="89"/>
  <c r="BO518" i="89"/>
  <c r="I522" i="89"/>
  <c r="BO522" i="89"/>
  <c r="I526" i="89"/>
  <c r="BO526" i="89"/>
  <c r="I530" i="89"/>
  <c r="BO530" i="89"/>
  <c r="I534" i="89"/>
  <c r="BO534" i="89"/>
  <c r="I538" i="89"/>
  <c r="BO538" i="89"/>
  <c r="I542" i="89"/>
  <c r="BO542" i="89"/>
  <c r="I546" i="89"/>
  <c r="BO546" i="89"/>
  <c r="I550" i="89"/>
  <c r="BO550" i="89"/>
  <c r="I554" i="89"/>
  <c r="BO554" i="89"/>
  <c r="I558" i="89"/>
  <c r="BO558" i="89"/>
  <c r="I562" i="89"/>
  <c r="BO562" i="89"/>
  <c r="I566" i="89"/>
  <c r="BO566" i="89"/>
  <c r="I570" i="89"/>
  <c r="BO570" i="89"/>
  <c r="I574" i="89"/>
  <c r="BO574" i="89"/>
  <c r="I578" i="89"/>
  <c r="BO578" i="89"/>
  <c r="I582" i="89"/>
  <c r="BO582" i="89"/>
  <c r="I586" i="89"/>
  <c r="BO586" i="89"/>
  <c r="I590" i="89"/>
  <c r="BO590" i="89"/>
  <c r="I594" i="89"/>
  <c r="BO594" i="89"/>
  <c r="I598" i="89"/>
  <c r="BO598" i="89"/>
  <c r="I602" i="89"/>
  <c r="BO602" i="89"/>
  <c r="I606" i="89"/>
  <c r="BO606" i="89"/>
  <c r="I610" i="89"/>
  <c r="BO610" i="89"/>
  <c r="I614" i="89"/>
  <c r="BO614" i="89"/>
  <c r="I618" i="89"/>
  <c r="BO618" i="89"/>
  <c r="I622" i="89"/>
  <c r="BO622" i="89"/>
  <c r="I626" i="89"/>
  <c r="BO626" i="89"/>
  <c r="I630" i="89"/>
  <c r="BO630" i="89"/>
  <c r="I634" i="89"/>
  <c r="BO634" i="89"/>
  <c r="I638" i="89"/>
  <c r="BO638" i="89"/>
  <c r="I642" i="89"/>
  <c r="BO642" i="89"/>
  <c r="I646" i="89"/>
  <c r="BO646" i="89"/>
  <c r="I650" i="89"/>
  <c r="BO650" i="89"/>
  <c r="I654" i="89"/>
  <c r="BO654" i="89"/>
  <c r="I658" i="89"/>
  <c r="BO658" i="89"/>
  <c r="I662" i="89"/>
  <c r="BO662" i="89"/>
  <c r="I666" i="89"/>
  <c r="BO666" i="89"/>
  <c r="I670" i="89"/>
  <c r="BO670" i="89"/>
  <c r="I674" i="89"/>
  <c r="BO674" i="89"/>
  <c r="I678" i="89"/>
  <c r="BO678" i="89"/>
  <c r="I682" i="89"/>
  <c r="BO682" i="89"/>
  <c r="I686" i="89"/>
  <c r="BO686" i="89"/>
  <c r="I690" i="89"/>
  <c r="BO690" i="89"/>
  <c r="I694" i="89"/>
  <c r="BO694" i="89"/>
  <c r="I698" i="89"/>
  <c r="BO698" i="89"/>
  <c r="I702" i="89"/>
  <c r="BO702" i="89"/>
  <c r="I706" i="89"/>
  <c r="BO706" i="89"/>
  <c r="I710" i="89"/>
  <c r="BO710" i="89"/>
  <c r="I714" i="89"/>
  <c r="BO714" i="89"/>
  <c r="I718" i="89"/>
  <c r="BO718" i="89"/>
  <c r="I722" i="89"/>
  <c r="BO722" i="89"/>
  <c r="I726" i="89"/>
  <c r="BO726" i="89"/>
  <c r="I730" i="89"/>
  <c r="BO730" i="89"/>
  <c r="I734" i="89"/>
  <c r="BO734" i="89"/>
  <c r="I738" i="89"/>
  <c r="BO738" i="89"/>
  <c r="I742" i="89"/>
  <c r="BO742" i="89"/>
  <c r="I746" i="89"/>
  <c r="BO746" i="89"/>
  <c r="I750" i="89"/>
  <c r="BO750" i="89"/>
  <c r="I754" i="89"/>
  <c r="BO754" i="89"/>
  <c r="I758" i="89"/>
  <c r="BO758" i="89"/>
  <c r="I762" i="89"/>
  <c r="BO762" i="89"/>
  <c r="I766" i="89"/>
  <c r="BO766" i="89"/>
  <c r="I770" i="89"/>
  <c r="BO770" i="89"/>
  <c r="I774" i="89"/>
  <c r="BO774" i="89"/>
  <c r="I778" i="89"/>
  <c r="BO778" i="89"/>
  <c r="I782" i="89"/>
  <c r="BO782" i="89"/>
  <c r="I786" i="89"/>
  <c r="BO786" i="89"/>
  <c r="I790" i="89"/>
  <c r="BO790" i="89"/>
  <c r="I794" i="89"/>
  <c r="BO794" i="89"/>
  <c r="I798" i="89"/>
  <c r="BO798" i="89"/>
  <c r="I802" i="89"/>
  <c r="BO802" i="89"/>
  <c r="I806" i="89"/>
  <c r="BO806" i="89"/>
  <c r="I810" i="89"/>
  <c r="BO810" i="89"/>
  <c r="I814" i="89"/>
  <c r="BO814" i="89"/>
  <c r="I818" i="89"/>
  <c r="BO818" i="89"/>
  <c r="I822" i="89"/>
  <c r="BO822" i="89"/>
  <c r="I826" i="89"/>
  <c r="BO826" i="89"/>
  <c r="I830" i="89"/>
  <c r="BO830" i="89"/>
  <c r="I834" i="89"/>
  <c r="BO834" i="89"/>
  <c r="I838" i="89"/>
  <c r="BO838" i="89"/>
  <c r="I842" i="89"/>
  <c r="BO842" i="89"/>
  <c r="I846" i="89"/>
  <c r="BO846" i="89"/>
  <c r="I850" i="89"/>
  <c r="BO850" i="89"/>
  <c r="I854" i="89"/>
  <c r="BO854" i="89"/>
  <c r="I858" i="89"/>
  <c r="BO858" i="89"/>
  <c r="I862" i="89"/>
  <c r="BO862" i="89"/>
  <c r="I866" i="89"/>
  <c r="BO866" i="89"/>
  <c r="I870" i="89"/>
  <c r="BO870" i="89"/>
  <c r="I874" i="89"/>
  <c r="BO874" i="89"/>
  <c r="I878" i="89"/>
  <c r="BO878" i="89"/>
  <c r="I882" i="89"/>
  <c r="BO882" i="89"/>
  <c r="I886" i="89"/>
  <c r="BO886" i="89"/>
  <c r="I890" i="89"/>
  <c r="BO890" i="89"/>
  <c r="I894" i="89"/>
  <c r="BO894" i="89"/>
  <c r="I898" i="89"/>
  <c r="BO898" i="89"/>
  <c r="I902" i="89"/>
  <c r="BO902" i="89"/>
  <c r="I906" i="89"/>
  <c r="BO906" i="89"/>
  <c r="I910" i="89"/>
  <c r="BO910" i="89"/>
  <c r="I914" i="89"/>
  <c r="BO914" i="89"/>
  <c r="I918" i="89"/>
  <c r="BO918" i="89"/>
  <c r="I922" i="89"/>
  <c r="BO922" i="89"/>
  <c r="I926" i="89"/>
  <c r="BO926" i="89"/>
  <c r="I930" i="89"/>
  <c r="BO930" i="89"/>
  <c r="I934" i="89"/>
  <c r="BO934" i="89"/>
  <c r="I938" i="89"/>
  <c r="BO938" i="89"/>
  <c r="I942" i="89"/>
  <c r="BO942" i="89"/>
  <c r="I946" i="89"/>
  <c r="BO946" i="89"/>
  <c r="I950" i="89"/>
  <c r="BO950" i="89"/>
  <c r="I954" i="89"/>
  <c r="BO954" i="89"/>
  <c r="I958" i="89"/>
  <c r="BO958" i="89"/>
  <c r="I962" i="89"/>
  <c r="BO962" i="89"/>
  <c r="I966" i="89"/>
  <c r="BO966" i="89"/>
  <c r="I970" i="89"/>
  <c r="BO970" i="89"/>
  <c r="I974" i="89"/>
  <c r="BO974" i="89"/>
  <c r="I978" i="89"/>
  <c r="BO978" i="89"/>
  <c r="I982" i="89"/>
  <c r="BO982" i="89"/>
  <c r="I986" i="89"/>
  <c r="BO986" i="89"/>
  <c r="I990" i="89"/>
  <c r="BO990" i="89"/>
  <c r="I994" i="89"/>
  <c r="BO994" i="89"/>
  <c r="I998" i="89"/>
  <c r="BO998" i="89"/>
  <c r="I1002" i="89"/>
  <c r="BO1002" i="89"/>
  <c r="I1006" i="89"/>
  <c r="BO1006" i="89"/>
  <c r="I1010" i="89"/>
  <c r="BO1010" i="89"/>
  <c r="I1014" i="89"/>
  <c r="BO1014" i="89"/>
  <c r="I1018" i="89"/>
  <c r="BO1018" i="89"/>
  <c r="I1022" i="89"/>
  <c r="BO1022" i="89"/>
  <c r="I1026" i="89"/>
  <c r="BO1026" i="89"/>
  <c r="I1030" i="89"/>
  <c r="BO1030" i="89"/>
  <c r="I1034" i="89"/>
  <c r="BO1034" i="89"/>
  <c r="I1038" i="89"/>
  <c r="BO1038" i="89"/>
  <c r="I1042" i="89"/>
  <c r="BO1042" i="89"/>
  <c r="I1046" i="89"/>
  <c r="BO1046" i="89"/>
  <c r="I1050" i="89"/>
  <c r="BO1050" i="89"/>
  <c r="I1054" i="89"/>
  <c r="BO1054" i="89"/>
  <c r="I1058" i="89"/>
  <c r="BO1058" i="89"/>
  <c r="I1062" i="89"/>
  <c r="BO1062" i="89"/>
  <c r="I1066" i="89"/>
  <c r="BO1066" i="89"/>
  <c r="I1070" i="89"/>
  <c r="BO1070" i="89"/>
  <c r="I1074" i="89"/>
  <c r="BO1074" i="89"/>
  <c r="I1078" i="89"/>
  <c r="BO1078" i="89"/>
  <c r="I1082" i="89"/>
  <c r="BO1082" i="89"/>
  <c r="I1086" i="89"/>
  <c r="BO1086" i="89"/>
  <c r="I1090" i="89"/>
  <c r="BO1090" i="89"/>
  <c r="I1094" i="89"/>
  <c r="BO1094" i="89"/>
  <c r="I1098" i="89"/>
  <c r="BO1098" i="89"/>
  <c r="I1102" i="89"/>
  <c r="BO1102" i="89"/>
  <c r="I1106" i="89"/>
  <c r="BO1106" i="89"/>
  <c r="I1110" i="89"/>
  <c r="BO1110" i="89"/>
  <c r="I1114" i="89"/>
  <c r="BO1114" i="89"/>
  <c r="I1118" i="89"/>
  <c r="BO1118" i="89"/>
  <c r="I1122" i="89"/>
  <c r="BO1122" i="89"/>
  <c r="I1126" i="89"/>
  <c r="BO1126" i="89"/>
  <c r="I1130" i="89"/>
  <c r="BO1130" i="89"/>
  <c r="I1134" i="89"/>
  <c r="BO1134" i="89"/>
  <c r="I1138" i="89"/>
  <c r="BO1138" i="89"/>
  <c r="I1142" i="89"/>
  <c r="BO1142" i="89"/>
  <c r="I1146" i="89"/>
  <c r="BO1146" i="89"/>
  <c r="I1150" i="89"/>
  <c r="BO1150" i="89"/>
  <c r="I1154" i="89"/>
  <c r="BO1154" i="89"/>
  <c r="I1158" i="89"/>
  <c r="BO1158" i="89"/>
  <c r="I1162" i="89"/>
  <c r="BO1162" i="89"/>
  <c r="I1166" i="89"/>
  <c r="BO1166" i="89"/>
  <c r="I1170" i="89"/>
  <c r="BO1170" i="89"/>
  <c r="I1174" i="89"/>
  <c r="BO1174" i="89"/>
  <c r="I1178" i="89"/>
  <c r="BO1178" i="89"/>
  <c r="I1182" i="89"/>
  <c r="BO1182" i="89"/>
  <c r="I1186" i="89"/>
  <c r="BO1186" i="89"/>
  <c r="I1190" i="89"/>
  <c r="BO1190" i="89"/>
  <c r="I1194" i="89"/>
  <c r="BO1194" i="89"/>
  <c r="I1198" i="89"/>
  <c r="BO1198" i="89"/>
  <c r="I1202" i="89"/>
  <c r="BO1202" i="89"/>
  <c r="I1206" i="89"/>
  <c r="BO1206" i="89"/>
  <c r="I1210" i="89"/>
  <c r="BO1210" i="89"/>
  <c r="I1214" i="89"/>
  <c r="BO1214" i="89"/>
  <c r="I1218" i="89"/>
  <c r="BO1218" i="89"/>
  <c r="I1222" i="89"/>
  <c r="BO1222" i="89"/>
  <c r="I1226" i="89"/>
  <c r="BO1226" i="89"/>
  <c r="I1230" i="89"/>
  <c r="BO1230" i="89"/>
  <c r="I1234" i="89"/>
  <c r="BO1234" i="89"/>
  <c r="I1238" i="89"/>
  <c r="BO1238" i="89"/>
  <c r="I1242" i="89"/>
  <c r="BO1242" i="89"/>
  <c r="I1246" i="89"/>
  <c r="BO1246" i="89"/>
  <c r="I1250" i="89"/>
  <c r="BO1250" i="89"/>
  <c r="I1254" i="89"/>
  <c r="BO1254" i="89"/>
  <c r="I1258" i="89"/>
  <c r="BO1258" i="89"/>
  <c r="I1262" i="89"/>
  <c r="BO1262" i="89"/>
  <c r="I1266" i="89"/>
  <c r="BO1266" i="89"/>
  <c r="I1270" i="89"/>
  <c r="BO1270" i="89"/>
  <c r="I1274" i="89"/>
  <c r="BO1274" i="89"/>
  <c r="I1278" i="89"/>
  <c r="BO1278" i="89"/>
  <c r="I1282" i="89"/>
  <c r="BO1282" i="89"/>
  <c r="I1286" i="89"/>
  <c r="BO1286" i="89"/>
  <c r="I1290" i="89"/>
  <c r="BO1290" i="89"/>
  <c r="I1294" i="89"/>
  <c r="BO1294" i="89"/>
  <c r="I1298" i="89"/>
  <c r="BO1298" i="89"/>
  <c r="I1302" i="89"/>
  <c r="BO1302" i="89"/>
  <c r="I1306" i="89"/>
  <c r="BO1306" i="89"/>
  <c r="I1310" i="89"/>
  <c r="BO1310" i="89"/>
  <c r="I1314" i="89"/>
  <c r="BO1314" i="89"/>
  <c r="I1318" i="89"/>
  <c r="BO1318" i="89"/>
  <c r="I1322" i="89"/>
  <c r="BO1322" i="89"/>
  <c r="I1326" i="89"/>
  <c r="BO1326" i="89"/>
  <c r="I1330" i="89"/>
  <c r="BO1330" i="89"/>
  <c r="I1334" i="89"/>
  <c r="BO1334" i="89"/>
  <c r="I1338" i="89"/>
  <c r="BO1338" i="89"/>
  <c r="I1342" i="89"/>
  <c r="BO1342" i="89"/>
  <c r="I1346" i="89"/>
  <c r="BO1346" i="89"/>
  <c r="I1350" i="89"/>
  <c r="BO1350" i="89"/>
  <c r="I1354" i="89"/>
  <c r="BO1354" i="89"/>
  <c r="I1358" i="89"/>
  <c r="BO1358" i="89"/>
  <c r="I1362" i="89"/>
  <c r="BO1362" i="89"/>
  <c r="I1366" i="89"/>
  <c r="BO1366" i="89"/>
  <c r="I1370" i="89"/>
  <c r="BO1370" i="89"/>
  <c r="I1374" i="89"/>
  <c r="BO1374" i="89"/>
  <c r="I1378" i="89"/>
  <c r="BO1378" i="89"/>
  <c r="I1382" i="89"/>
  <c r="BO1382" i="89"/>
  <c r="I1386" i="89"/>
  <c r="BO1386" i="89"/>
  <c r="I1390" i="89"/>
  <c r="BO1390" i="89"/>
  <c r="I1394" i="89"/>
  <c r="BO1394" i="89"/>
  <c r="I1398" i="89"/>
  <c r="BO1398" i="89"/>
  <c r="I1402" i="89"/>
  <c r="BO1402" i="89"/>
  <c r="I1406" i="89"/>
  <c r="BO1406" i="89"/>
  <c r="I1410" i="89"/>
  <c r="BO1410" i="89"/>
  <c r="I1414" i="89"/>
  <c r="BO1414" i="89"/>
  <c r="I1418" i="89"/>
  <c r="BO1418" i="89"/>
  <c r="I1422" i="89"/>
  <c r="BO1422" i="89"/>
  <c r="I1426" i="89"/>
  <c r="BO1426" i="89"/>
  <c r="I1430" i="89"/>
  <c r="BO1430" i="89"/>
  <c r="I1434" i="89"/>
  <c r="BO1434" i="89"/>
  <c r="I1438" i="89"/>
  <c r="BO1438" i="89"/>
  <c r="I1442" i="89"/>
  <c r="BO1442" i="89"/>
  <c r="I1446" i="89"/>
  <c r="BO1446" i="89"/>
  <c r="I1450" i="89"/>
  <c r="BO1450" i="89"/>
  <c r="I1454" i="89"/>
  <c r="BO1454" i="89"/>
  <c r="I1458" i="89"/>
  <c r="BO1458" i="89"/>
  <c r="I1462" i="89"/>
  <c r="BO1462" i="89"/>
  <c r="I1466" i="89"/>
  <c r="BO1466" i="89"/>
  <c r="I1470" i="89"/>
  <c r="BO1470" i="89"/>
  <c r="I1474" i="89"/>
  <c r="BO1474" i="89"/>
  <c r="I1478" i="89"/>
  <c r="BO1478" i="89"/>
  <c r="I1482" i="89"/>
  <c r="BO1482" i="89"/>
  <c r="I1486" i="89"/>
  <c r="BO1486" i="89"/>
  <c r="I1490" i="89"/>
  <c r="BO1490" i="89"/>
  <c r="I1494" i="89"/>
  <c r="BO1494" i="89"/>
  <c r="I49" i="89"/>
  <c r="BO49" i="89"/>
  <c r="I45" i="89"/>
  <c r="BJ45" i="89" s="1"/>
  <c r="BO45" i="89"/>
  <c r="I485" i="89"/>
  <c r="BO485" i="89"/>
  <c r="I489" i="89"/>
  <c r="BO489" i="89"/>
  <c r="I493" i="89"/>
  <c r="BO493" i="89"/>
  <c r="I497" i="89"/>
  <c r="BO497" i="89"/>
  <c r="I501" i="89"/>
  <c r="BO501" i="89"/>
  <c r="I505" i="89"/>
  <c r="BO505" i="89"/>
  <c r="I509" i="89"/>
  <c r="BO509" i="89"/>
  <c r="I513" i="89"/>
  <c r="BO513" i="89"/>
  <c r="I517" i="89"/>
  <c r="BO517" i="89"/>
  <c r="I521" i="89"/>
  <c r="BO521" i="89"/>
  <c r="I525" i="89"/>
  <c r="BO525" i="89"/>
  <c r="I529" i="89"/>
  <c r="BO529" i="89"/>
  <c r="I533" i="89"/>
  <c r="BO533" i="89"/>
  <c r="I537" i="89"/>
  <c r="BO537" i="89"/>
  <c r="I541" i="89"/>
  <c r="BO541" i="89"/>
  <c r="I545" i="89"/>
  <c r="BO545" i="89"/>
  <c r="I549" i="89"/>
  <c r="BO549" i="89"/>
  <c r="I553" i="89"/>
  <c r="BO553" i="89"/>
  <c r="I557" i="89"/>
  <c r="BO557" i="89"/>
  <c r="I561" i="89"/>
  <c r="BO561" i="89"/>
  <c r="I565" i="89"/>
  <c r="BO565" i="89"/>
  <c r="I569" i="89"/>
  <c r="BO569" i="89"/>
  <c r="I573" i="89"/>
  <c r="BO573" i="89"/>
  <c r="I577" i="89"/>
  <c r="BO577" i="89"/>
  <c r="I581" i="89"/>
  <c r="BO581" i="89"/>
  <c r="I585" i="89"/>
  <c r="BO585" i="89"/>
  <c r="I589" i="89"/>
  <c r="BO589" i="89"/>
  <c r="I593" i="89"/>
  <c r="BO593" i="89"/>
  <c r="I597" i="89"/>
  <c r="BO597" i="89"/>
  <c r="I601" i="89"/>
  <c r="BO601" i="89"/>
  <c r="I605" i="89"/>
  <c r="BO605" i="89"/>
  <c r="I609" i="89"/>
  <c r="BO609" i="89"/>
  <c r="I613" i="89"/>
  <c r="BO613" i="89"/>
  <c r="I617" i="89"/>
  <c r="BO617" i="89"/>
  <c r="I621" i="89"/>
  <c r="BO621" i="89"/>
  <c r="I625" i="89"/>
  <c r="BO625" i="89"/>
  <c r="I629" i="89"/>
  <c r="BO629" i="89"/>
  <c r="I633" i="89"/>
  <c r="BO633" i="89"/>
  <c r="I637" i="89"/>
  <c r="BO637" i="89"/>
  <c r="I641" i="89"/>
  <c r="BO641" i="89"/>
  <c r="I645" i="89"/>
  <c r="BO645" i="89"/>
  <c r="I649" i="89"/>
  <c r="BO649" i="89"/>
  <c r="I653" i="89"/>
  <c r="BO653" i="89"/>
  <c r="I657" i="89"/>
  <c r="BO657" i="89"/>
  <c r="I661" i="89"/>
  <c r="BO661" i="89"/>
  <c r="I665" i="89"/>
  <c r="BO665" i="89"/>
  <c r="I669" i="89"/>
  <c r="BO669" i="89"/>
  <c r="I673" i="89"/>
  <c r="BO673" i="89"/>
  <c r="I677" i="89"/>
  <c r="BO677" i="89"/>
  <c r="I681" i="89"/>
  <c r="BO681" i="89"/>
  <c r="I685" i="89"/>
  <c r="BO685" i="89"/>
  <c r="I689" i="89"/>
  <c r="BO689" i="89"/>
  <c r="I693" i="89"/>
  <c r="BO693" i="89"/>
  <c r="I697" i="89"/>
  <c r="BO697" i="89"/>
  <c r="I701" i="89"/>
  <c r="BO701" i="89"/>
  <c r="I705" i="89"/>
  <c r="BO705" i="89"/>
  <c r="I709" i="89"/>
  <c r="BO709" i="89"/>
  <c r="I713" i="89"/>
  <c r="BO713" i="89"/>
  <c r="I717" i="89"/>
  <c r="BO717" i="89"/>
  <c r="I721" i="89"/>
  <c r="BO721" i="89"/>
  <c r="I725" i="89"/>
  <c r="BO725" i="89"/>
  <c r="I729" i="89"/>
  <c r="BO729" i="89"/>
  <c r="I733" i="89"/>
  <c r="BO733" i="89"/>
  <c r="I737" i="89"/>
  <c r="BO737" i="89"/>
  <c r="I741" i="89"/>
  <c r="BO741" i="89"/>
  <c r="I745" i="89"/>
  <c r="BO745" i="89"/>
  <c r="I749" i="89"/>
  <c r="BO749" i="89"/>
  <c r="I753" i="89"/>
  <c r="BO753" i="89"/>
  <c r="I757" i="89"/>
  <c r="BO757" i="89"/>
  <c r="I761" i="89"/>
  <c r="BO761" i="89"/>
  <c r="I765" i="89"/>
  <c r="BO765" i="89"/>
  <c r="I769" i="89"/>
  <c r="BO769" i="89"/>
  <c r="I773" i="89"/>
  <c r="BO773" i="89"/>
  <c r="I777" i="89"/>
  <c r="BO777" i="89"/>
  <c r="I781" i="89"/>
  <c r="BO781" i="89"/>
  <c r="I785" i="89"/>
  <c r="BO785" i="89"/>
  <c r="I789" i="89"/>
  <c r="BO789" i="89"/>
  <c r="I793" i="89"/>
  <c r="BO793" i="89"/>
  <c r="I797" i="89"/>
  <c r="BO797" i="89"/>
  <c r="I801" i="89"/>
  <c r="BO801" i="89"/>
  <c r="I805" i="89"/>
  <c r="BO805" i="89"/>
  <c r="I809" i="89"/>
  <c r="BO809" i="89"/>
  <c r="I813" i="89"/>
  <c r="BO813" i="89"/>
  <c r="I817" i="89"/>
  <c r="BO817" i="89"/>
  <c r="I821" i="89"/>
  <c r="BO821" i="89"/>
  <c r="I825" i="89"/>
  <c r="BO825" i="89"/>
  <c r="I829" i="89"/>
  <c r="BO829" i="89"/>
  <c r="I833" i="89"/>
  <c r="BO833" i="89"/>
  <c r="I837" i="89"/>
  <c r="BO837" i="89"/>
  <c r="I841" i="89"/>
  <c r="BO841" i="89"/>
  <c r="I845" i="89"/>
  <c r="BO845" i="89"/>
  <c r="I849" i="89"/>
  <c r="BO849" i="89"/>
  <c r="I853" i="89"/>
  <c r="BO853" i="89"/>
  <c r="I857" i="89"/>
  <c r="BO857" i="89"/>
  <c r="I861" i="89"/>
  <c r="BO861" i="89"/>
  <c r="I865" i="89"/>
  <c r="BO865" i="89"/>
  <c r="I869" i="89"/>
  <c r="BO869" i="89"/>
  <c r="I873" i="89"/>
  <c r="BO873" i="89"/>
  <c r="I877" i="89"/>
  <c r="BO877" i="89"/>
  <c r="I881" i="89"/>
  <c r="BO881" i="89"/>
  <c r="I885" i="89"/>
  <c r="BO885" i="89"/>
  <c r="I889" i="89"/>
  <c r="BO889" i="89"/>
  <c r="I893" i="89"/>
  <c r="BO893" i="89"/>
  <c r="I897" i="89"/>
  <c r="BO897" i="89"/>
  <c r="I901" i="89"/>
  <c r="BO901" i="89"/>
  <c r="I905" i="89"/>
  <c r="BO905" i="89"/>
  <c r="I909" i="89"/>
  <c r="BO909" i="89"/>
  <c r="I913" i="89"/>
  <c r="BO913" i="89"/>
  <c r="I917" i="89"/>
  <c r="BO917" i="89"/>
  <c r="I921" i="89"/>
  <c r="BO921" i="89"/>
  <c r="I925" i="89"/>
  <c r="BO925" i="89"/>
  <c r="I929" i="89"/>
  <c r="BO929" i="89"/>
  <c r="I933" i="89"/>
  <c r="BO933" i="89"/>
  <c r="I937" i="89"/>
  <c r="BO937" i="89"/>
  <c r="I941" i="89"/>
  <c r="BO941" i="89"/>
  <c r="I945" i="89"/>
  <c r="BO945" i="89"/>
  <c r="I949" i="89"/>
  <c r="BO949" i="89"/>
  <c r="I953" i="89"/>
  <c r="BO953" i="89"/>
  <c r="I957" i="89"/>
  <c r="BO957" i="89"/>
  <c r="I961" i="89"/>
  <c r="BO961" i="89"/>
  <c r="I965" i="89"/>
  <c r="BO965" i="89"/>
  <c r="I969" i="89"/>
  <c r="BO969" i="89"/>
  <c r="I973" i="89"/>
  <c r="BO973" i="89"/>
  <c r="I977" i="89"/>
  <c r="BO977" i="89"/>
  <c r="I981" i="89"/>
  <c r="BO981" i="89"/>
  <c r="I985" i="89"/>
  <c r="BO985" i="89"/>
  <c r="I989" i="89"/>
  <c r="BO989" i="89"/>
  <c r="I993" i="89"/>
  <c r="BO993" i="89"/>
  <c r="I997" i="89"/>
  <c r="BO997" i="89"/>
  <c r="I1001" i="89"/>
  <c r="BO1001" i="89"/>
  <c r="I1005" i="89"/>
  <c r="BO1005" i="89"/>
  <c r="I1009" i="89"/>
  <c r="BO1009" i="89"/>
  <c r="I1013" i="89"/>
  <c r="BO1013" i="89"/>
  <c r="I1017" i="89"/>
  <c r="BO1017" i="89"/>
  <c r="I1021" i="89"/>
  <c r="BO1021" i="89"/>
  <c r="I1025" i="89"/>
  <c r="BO1025" i="89"/>
  <c r="I1029" i="89"/>
  <c r="BO1029" i="89"/>
  <c r="I1033" i="89"/>
  <c r="BO1033" i="89"/>
  <c r="I1037" i="89"/>
  <c r="BO1037" i="89"/>
  <c r="I1041" i="89"/>
  <c r="BO1041" i="89"/>
  <c r="I1045" i="89"/>
  <c r="BO1045" i="89"/>
  <c r="I1049" i="89"/>
  <c r="BO1049" i="89"/>
  <c r="I1053" i="89"/>
  <c r="BO1053" i="89"/>
  <c r="I1057" i="89"/>
  <c r="BO1057" i="89"/>
  <c r="I1061" i="89"/>
  <c r="BO1061" i="89"/>
  <c r="I1065" i="89"/>
  <c r="BO1065" i="89"/>
  <c r="I1069" i="89"/>
  <c r="BO1069" i="89"/>
  <c r="I1073" i="89"/>
  <c r="BO1073" i="89"/>
  <c r="I1077" i="89"/>
  <c r="BO1077" i="89"/>
  <c r="I1081" i="89"/>
  <c r="BO1081" i="89"/>
  <c r="I1085" i="89"/>
  <c r="BO1085" i="89"/>
  <c r="I1089" i="89"/>
  <c r="BO1089" i="89"/>
  <c r="I1093" i="89"/>
  <c r="BO1093" i="89"/>
  <c r="I1097" i="89"/>
  <c r="BO1097" i="89"/>
  <c r="I1101" i="89"/>
  <c r="BO1101" i="89"/>
  <c r="I1105" i="89"/>
  <c r="BO1105" i="89"/>
  <c r="I1109" i="89"/>
  <c r="BO1109" i="89"/>
  <c r="I1113" i="89"/>
  <c r="BO1113" i="89"/>
  <c r="I1117" i="89"/>
  <c r="BO1117" i="89"/>
  <c r="I1121" i="89"/>
  <c r="BO1121" i="89"/>
  <c r="I1125" i="89"/>
  <c r="BO1125" i="89"/>
  <c r="I1129" i="89"/>
  <c r="BO1129" i="89"/>
  <c r="I1133" i="89"/>
  <c r="BO1133" i="89"/>
  <c r="I1137" i="89"/>
  <c r="BO1137" i="89"/>
  <c r="I1141" i="89"/>
  <c r="BO1141" i="89"/>
  <c r="I1145" i="89"/>
  <c r="BO1145" i="89"/>
  <c r="I1149" i="89"/>
  <c r="BO1149" i="89"/>
  <c r="I1153" i="89"/>
  <c r="BO1153" i="89"/>
  <c r="I1157" i="89"/>
  <c r="BO1157" i="89"/>
  <c r="I1161" i="89"/>
  <c r="BO1161" i="89"/>
  <c r="I1165" i="89"/>
  <c r="BO1165" i="89"/>
  <c r="I1169" i="89"/>
  <c r="BO1169" i="89"/>
  <c r="I1173" i="89"/>
  <c r="BO1173" i="89"/>
  <c r="I1177" i="89"/>
  <c r="BO1177" i="89"/>
  <c r="I1181" i="89"/>
  <c r="BO1181" i="89"/>
  <c r="I1185" i="89"/>
  <c r="BO1185" i="89"/>
  <c r="I1189" i="89"/>
  <c r="BO1189" i="89"/>
  <c r="I1193" i="89"/>
  <c r="BO1193" i="89"/>
  <c r="I1197" i="89"/>
  <c r="BO1197" i="89"/>
  <c r="I1201" i="89"/>
  <c r="BO1201" i="89"/>
  <c r="I1205" i="89"/>
  <c r="BO1205" i="89"/>
  <c r="I1209" i="89"/>
  <c r="BO1209" i="89"/>
  <c r="I1213" i="89"/>
  <c r="BO1213" i="89"/>
  <c r="I1217" i="89"/>
  <c r="BO1217" i="89"/>
  <c r="I1221" i="89"/>
  <c r="BO1221" i="89"/>
  <c r="I1225" i="89"/>
  <c r="BO1225" i="89"/>
  <c r="I1229" i="89"/>
  <c r="BO1229" i="89"/>
  <c r="I1233" i="89"/>
  <c r="BO1233" i="89"/>
  <c r="I1237" i="89"/>
  <c r="BO1237" i="89"/>
  <c r="I1241" i="89"/>
  <c r="BO1241" i="89"/>
  <c r="I1245" i="89"/>
  <c r="BO1245" i="89"/>
  <c r="I1249" i="89"/>
  <c r="BO1249" i="89"/>
  <c r="I1253" i="89"/>
  <c r="BO1253" i="89"/>
  <c r="I1257" i="89"/>
  <c r="BO1257" i="89"/>
  <c r="I1261" i="89"/>
  <c r="BO1261" i="89"/>
  <c r="I1265" i="89"/>
  <c r="BO1265" i="89"/>
  <c r="I1269" i="89"/>
  <c r="BO1269" i="89"/>
  <c r="I1273" i="89"/>
  <c r="BO1273" i="89"/>
  <c r="I1277" i="89"/>
  <c r="BO1277" i="89"/>
  <c r="I1281" i="89"/>
  <c r="BO1281" i="89"/>
  <c r="I1285" i="89"/>
  <c r="BO1285" i="89"/>
  <c r="I1289" i="89"/>
  <c r="BO1289" i="89"/>
  <c r="I1293" i="89"/>
  <c r="BO1293" i="89"/>
  <c r="I1297" i="89"/>
  <c r="BO1297" i="89"/>
  <c r="I1301" i="89"/>
  <c r="BO1301" i="89"/>
  <c r="I1305" i="89"/>
  <c r="BO1305" i="89"/>
  <c r="I1309" i="89"/>
  <c r="BO1309" i="89"/>
  <c r="I1313" i="89"/>
  <c r="BO1313" i="89"/>
  <c r="I1317" i="89"/>
  <c r="BO1317" i="89"/>
  <c r="I1321" i="89"/>
  <c r="BO1321" i="89"/>
  <c r="I1325" i="89"/>
  <c r="BO1325" i="89"/>
  <c r="I1329" i="89"/>
  <c r="BO1329" i="89"/>
  <c r="I1333" i="89"/>
  <c r="BO1333" i="89"/>
  <c r="I1337" i="89"/>
  <c r="BO1337" i="89"/>
  <c r="I1341" i="89"/>
  <c r="BO1341" i="89"/>
  <c r="I1345" i="89"/>
  <c r="BO1345" i="89"/>
  <c r="I1349" i="89"/>
  <c r="BO1349" i="89"/>
  <c r="I1353" i="89"/>
  <c r="BO1353" i="89"/>
  <c r="I1357" i="89"/>
  <c r="BO1357" i="89"/>
  <c r="I1361" i="89"/>
  <c r="BO1361" i="89"/>
  <c r="I1365" i="89"/>
  <c r="BO1365" i="89"/>
  <c r="I1369" i="89"/>
  <c r="BO1369" i="89"/>
  <c r="I1373" i="89"/>
  <c r="BO1373" i="89"/>
  <c r="I1377" i="89"/>
  <c r="BO1377" i="89"/>
  <c r="I1381" i="89"/>
  <c r="BO1381" i="89"/>
  <c r="I1385" i="89"/>
  <c r="BO1385" i="89"/>
  <c r="I1389" i="89"/>
  <c r="BO1389" i="89"/>
  <c r="I1393" i="89"/>
  <c r="BO1393" i="89"/>
  <c r="I1397" i="89"/>
  <c r="BO1397" i="89"/>
  <c r="I1401" i="89"/>
  <c r="BO1401" i="89"/>
  <c r="I1405" i="89"/>
  <c r="BO1405" i="89"/>
  <c r="I1409" i="89"/>
  <c r="BO1409" i="89"/>
  <c r="I1413" i="89"/>
  <c r="BO1413" i="89"/>
  <c r="I1417" i="89"/>
  <c r="BO1417" i="89"/>
  <c r="I1421" i="89"/>
  <c r="BO1421" i="89"/>
  <c r="I1425" i="89"/>
  <c r="BO1425" i="89"/>
  <c r="I1429" i="89"/>
  <c r="BO1429" i="89"/>
  <c r="I1433" i="89"/>
  <c r="BO1433" i="89"/>
  <c r="I1437" i="89"/>
  <c r="BO1437" i="89"/>
  <c r="I1441" i="89"/>
  <c r="BO1441" i="89"/>
  <c r="I1445" i="89"/>
  <c r="BO1445" i="89"/>
  <c r="I1449" i="89"/>
  <c r="BO1449" i="89"/>
  <c r="I1453" i="89"/>
  <c r="BO1453" i="89"/>
  <c r="I1457" i="89"/>
  <c r="BO1457" i="89"/>
  <c r="I1461" i="89"/>
  <c r="BO1461" i="89"/>
  <c r="I1465" i="89"/>
  <c r="BO1465" i="89"/>
  <c r="I1469" i="89"/>
  <c r="BO1469" i="89"/>
  <c r="I1473" i="89"/>
  <c r="BO1473" i="89"/>
  <c r="I1477" i="89"/>
  <c r="BO1477" i="89"/>
  <c r="I1481" i="89"/>
  <c r="BO1481" i="89"/>
  <c r="I1485" i="89"/>
  <c r="BO1485" i="89"/>
  <c r="I1489" i="89"/>
  <c r="BO1489" i="89"/>
  <c r="I1493" i="89"/>
  <c r="BO1493" i="89"/>
  <c r="I50" i="89"/>
  <c r="BO50" i="89"/>
  <c r="I46" i="89"/>
  <c r="R9" i="89" s="1"/>
  <c r="BO46" i="89"/>
  <c r="I484" i="89"/>
  <c r="BO484" i="89"/>
  <c r="I488" i="89"/>
  <c r="BO488" i="89"/>
  <c r="I492" i="89"/>
  <c r="BO492" i="89"/>
  <c r="I496" i="89"/>
  <c r="BO496" i="89"/>
  <c r="I500" i="89"/>
  <c r="BO500" i="89"/>
  <c r="I504" i="89"/>
  <c r="BO504" i="89"/>
  <c r="I508" i="89"/>
  <c r="BO508" i="89"/>
  <c r="I512" i="89"/>
  <c r="BO512" i="89"/>
  <c r="I516" i="89"/>
  <c r="BO516" i="89"/>
  <c r="I520" i="89"/>
  <c r="BO520" i="89"/>
  <c r="I524" i="89"/>
  <c r="BO524" i="89"/>
  <c r="I528" i="89"/>
  <c r="BO528" i="89"/>
  <c r="I532" i="89"/>
  <c r="BO532" i="89"/>
  <c r="I536" i="89"/>
  <c r="BO536" i="89"/>
  <c r="I540" i="89"/>
  <c r="BO540" i="89"/>
  <c r="I544" i="89"/>
  <c r="BO544" i="89"/>
  <c r="I548" i="89"/>
  <c r="BO548" i="89"/>
  <c r="I552" i="89"/>
  <c r="BO552" i="89"/>
  <c r="I556" i="89"/>
  <c r="BO556" i="89"/>
  <c r="I560" i="89"/>
  <c r="BO560" i="89"/>
  <c r="I564" i="89"/>
  <c r="BO564" i="89"/>
  <c r="I568" i="89"/>
  <c r="BO568" i="89"/>
  <c r="I572" i="89"/>
  <c r="BO572" i="89"/>
  <c r="I576" i="89"/>
  <c r="BO576" i="89"/>
  <c r="I580" i="89"/>
  <c r="BO580" i="89"/>
  <c r="I584" i="89"/>
  <c r="BO584" i="89"/>
  <c r="I588" i="89"/>
  <c r="BO588" i="89"/>
  <c r="I592" i="89"/>
  <c r="BO592" i="89"/>
  <c r="I596" i="89"/>
  <c r="BO596" i="89"/>
  <c r="I600" i="89"/>
  <c r="BO600" i="89"/>
  <c r="I604" i="89"/>
  <c r="BO604" i="89"/>
  <c r="I608" i="89"/>
  <c r="BO608" i="89"/>
  <c r="I612" i="89"/>
  <c r="BO612" i="89"/>
  <c r="I616" i="89"/>
  <c r="BO616" i="89"/>
  <c r="I620" i="89"/>
  <c r="BO620" i="89"/>
  <c r="I624" i="89"/>
  <c r="BO624" i="89"/>
  <c r="I628" i="89"/>
  <c r="BO628" i="89"/>
  <c r="I632" i="89"/>
  <c r="BO632" i="89"/>
  <c r="I636" i="89"/>
  <c r="BO636" i="89"/>
  <c r="I640" i="89"/>
  <c r="BO640" i="89"/>
  <c r="I644" i="89"/>
  <c r="BO644" i="89"/>
  <c r="I648" i="89"/>
  <c r="BO648" i="89"/>
  <c r="I652" i="89"/>
  <c r="BO652" i="89"/>
  <c r="I656" i="89"/>
  <c r="BO656" i="89"/>
  <c r="I660" i="89"/>
  <c r="BO660" i="89"/>
  <c r="I664" i="89"/>
  <c r="BO664" i="89"/>
  <c r="I668" i="89"/>
  <c r="BO668" i="89"/>
  <c r="I672" i="89"/>
  <c r="BO672" i="89"/>
  <c r="I676" i="89"/>
  <c r="BO676" i="89"/>
  <c r="I680" i="89"/>
  <c r="BO680" i="89"/>
  <c r="I684" i="89"/>
  <c r="BO684" i="89"/>
  <c r="I688" i="89"/>
  <c r="BO688" i="89"/>
  <c r="I692" i="89"/>
  <c r="BO692" i="89"/>
  <c r="I696" i="89"/>
  <c r="BO696" i="89"/>
  <c r="I700" i="89"/>
  <c r="BO700" i="89"/>
  <c r="I704" i="89"/>
  <c r="BO704" i="89"/>
  <c r="I708" i="89"/>
  <c r="BO708" i="89"/>
  <c r="I712" i="89"/>
  <c r="BO712" i="89"/>
  <c r="I716" i="89"/>
  <c r="BO716" i="89"/>
  <c r="I720" i="89"/>
  <c r="BO720" i="89"/>
  <c r="I724" i="89"/>
  <c r="BO724" i="89"/>
  <c r="I728" i="89"/>
  <c r="BO728" i="89"/>
  <c r="I732" i="89"/>
  <c r="BO732" i="89"/>
  <c r="I736" i="89"/>
  <c r="BO736" i="89"/>
  <c r="I740" i="89"/>
  <c r="BO740" i="89"/>
  <c r="I744" i="89"/>
  <c r="BO744" i="89"/>
  <c r="I748" i="89"/>
  <c r="BO748" i="89"/>
  <c r="I752" i="89"/>
  <c r="BO752" i="89"/>
  <c r="I756" i="89"/>
  <c r="BO756" i="89"/>
  <c r="I760" i="89"/>
  <c r="BO760" i="89"/>
  <c r="I764" i="89"/>
  <c r="BO764" i="89"/>
  <c r="I768" i="89"/>
  <c r="BO768" i="89"/>
  <c r="I772" i="89"/>
  <c r="BO772" i="89"/>
  <c r="I776" i="89"/>
  <c r="BO776" i="89"/>
  <c r="I780" i="89"/>
  <c r="BO780" i="89"/>
  <c r="I784" i="89"/>
  <c r="BO784" i="89"/>
  <c r="I788" i="89"/>
  <c r="BO788" i="89"/>
  <c r="I792" i="89"/>
  <c r="BO792" i="89"/>
  <c r="I796" i="89"/>
  <c r="BO796" i="89"/>
  <c r="I800" i="89"/>
  <c r="BO800" i="89"/>
  <c r="I804" i="89"/>
  <c r="BO804" i="89"/>
  <c r="I808" i="89"/>
  <c r="BO808" i="89"/>
  <c r="I812" i="89"/>
  <c r="BO812" i="89"/>
  <c r="I816" i="89"/>
  <c r="BO816" i="89"/>
  <c r="I820" i="89"/>
  <c r="BO820" i="89"/>
  <c r="I824" i="89"/>
  <c r="BO824" i="89"/>
  <c r="I828" i="89"/>
  <c r="BO828" i="89"/>
  <c r="I832" i="89"/>
  <c r="BO832" i="89"/>
  <c r="I836" i="89"/>
  <c r="BO836" i="89"/>
  <c r="I840" i="89"/>
  <c r="BO840" i="89"/>
  <c r="I844" i="89"/>
  <c r="BO844" i="89"/>
  <c r="I848" i="89"/>
  <c r="BO848" i="89"/>
  <c r="I852" i="89"/>
  <c r="BO852" i="89"/>
  <c r="I856" i="89"/>
  <c r="BO856" i="89"/>
  <c r="I860" i="89"/>
  <c r="BO860" i="89"/>
  <c r="I864" i="89"/>
  <c r="BO864" i="89"/>
  <c r="I868" i="89"/>
  <c r="BO868" i="89"/>
  <c r="I872" i="89"/>
  <c r="BO872" i="89"/>
  <c r="I876" i="89"/>
  <c r="BO876" i="89"/>
  <c r="I880" i="89"/>
  <c r="BO880" i="89"/>
  <c r="I884" i="89"/>
  <c r="BO884" i="89"/>
  <c r="I888" i="89"/>
  <c r="BO888" i="89"/>
  <c r="I892" i="89"/>
  <c r="BO892" i="89"/>
  <c r="I896" i="89"/>
  <c r="BO896" i="89"/>
  <c r="I900" i="89"/>
  <c r="BO900" i="89"/>
  <c r="I904" i="89"/>
  <c r="BO904" i="89"/>
  <c r="I908" i="89"/>
  <c r="BO908" i="89"/>
  <c r="I912" i="89"/>
  <c r="BO912" i="89"/>
  <c r="I916" i="89"/>
  <c r="BO916" i="89"/>
  <c r="I920" i="89"/>
  <c r="BO920" i="89"/>
  <c r="I924" i="89"/>
  <c r="BO924" i="89"/>
  <c r="I928" i="89"/>
  <c r="BO928" i="89"/>
  <c r="I932" i="89"/>
  <c r="BO932" i="89"/>
  <c r="I936" i="89"/>
  <c r="BO936" i="89"/>
  <c r="I940" i="89"/>
  <c r="BO940" i="89"/>
  <c r="I944" i="89"/>
  <c r="BO944" i="89"/>
  <c r="I948" i="89"/>
  <c r="BO948" i="89"/>
  <c r="I952" i="89"/>
  <c r="BO952" i="89"/>
  <c r="I956" i="89"/>
  <c r="BO956" i="89"/>
  <c r="I960" i="89"/>
  <c r="BO960" i="89"/>
  <c r="I964" i="89"/>
  <c r="BO964" i="89"/>
  <c r="I968" i="89"/>
  <c r="BO968" i="89"/>
  <c r="I972" i="89"/>
  <c r="BO972" i="89"/>
  <c r="I976" i="89"/>
  <c r="BO976" i="89"/>
  <c r="I980" i="89"/>
  <c r="BO980" i="89"/>
  <c r="I984" i="89"/>
  <c r="BO984" i="89"/>
  <c r="I988" i="89"/>
  <c r="BO988" i="89"/>
  <c r="I992" i="89"/>
  <c r="BO992" i="89"/>
  <c r="I996" i="89"/>
  <c r="BO996" i="89"/>
  <c r="I1000" i="89"/>
  <c r="BO1000" i="89"/>
  <c r="I1004" i="89"/>
  <c r="BO1004" i="89"/>
  <c r="I1008" i="89"/>
  <c r="BO1008" i="89"/>
  <c r="I1012" i="89"/>
  <c r="BO1012" i="89"/>
  <c r="I1016" i="89"/>
  <c r="BO1016" i="89"/>
  <c r="I1020" i="89"/>
  <c r="BO1020" i="89"/>
  <c r="I1024" i="89"/>
  <c r="BO1024" i="89"/>
  <c r="I1028" i="89"/>
  <c r="BO1028" i="89"/>
  <c r="I1032" i="89"/>
  <c r="BO1032" i="89"/>
  <c r="I1036" i="89"/>
  <c r="BO1036" i="89"/>
  <c r="I1040" i="89"/>
  <c r="BO1040" i="89"/>
  <c r="I1044" i="89"/>
  <c r="BO1044" i="89"/>
  <c r="I1048" i="89"/>
  <c r="BO1048" i="89"/>
  <c r="I1052" i="89"/>
  <c r="BO1052" i="89"/>
  <c r="I1056" i="89"/>
  <c r="BO1056" i="89"/>
  <c r="I1060" i="89"/>
  <c r="BO1060" i="89"/>
  <c r="I1064" i="89"/>
  <c r="BO1064" i="89"/>
  <c r="I1068" i="89"/>
  <c r="BO1068" i="89"/>
  <c r="I1072" i="89"/>
  <c r="BO1072" i="89"/>
  <c r="I1076" i="89"/>
  <c r="BO1076" i="89"/>
  <c r="I1080" i="89"/>
  <c r="BO1080" i="89"/>
  <c r="I1084" i="89"/>
  <c r="BO1084" i="89"/>
  <c r="I1088" i="89"/>
  <c r="BO1088" i="89"/>
  <c r="I1092" i="89"/>
  <c r="BO1092" i="89"/>
  <c r="I1096" i="89"/>
  <c r="BO1096" i="89"/>
  <c r="I1100" i="89"/>
  <c r="BO1100" i="89"/>
  <c r="I1104" i="89"/>
  <c r="BO1104" i="89"/>
  <c r="I1108" i="89"/>
  <c r="BO1108" i="89"/>
  <c r="I1112" i="89"/>
  <c r="BO1112" i="89"/>
  <c r="I1116" i="89"/>
  <c r="BO1116" i="89"/>
  <c r="I1120" i="89"/>
  <c r="BO1120" i="89"/>
  <c r="I1124" i="89"/>
  <c r="BO1124" i="89"/>
  <c r="I1128" i="89"/>
  <c r="BO1128" i="89"/>
  <c r="I1132" i="89"/>
  <c r="BO1132" i="89"/>
  <c r="I1136" i="89"/>
  <c r="BO1136" i="89"/>
  <c r="I1140" i="89"/>
  <c r="BO1140" i="89"/>
  <c r="I1144" i="89"/>
  <c r="BO1144" i="89"/>
  <c r="I1148" i="89"/>
  <c r="BO1148" i="89"/>
  <c r="I1152" i="89"/>
  <c r="BO1152" i="89"/>
  <c r="I1156" i="89"/>
  <c r="BO1156" i="89"/>
  <c r="I1160" i="89"/>
  <c r="BO1160" i="89"/>
  <c r="I1164" i="89"/>
  <c r="BO1164" i="89"/>
  <c r="I1168" i="89"/>
  <c r="BO1168" i="89"/>
  <c r="I1172" i="89"/>
  <c r="BO1172" i="89"/>
  <c r="I1176" i="89"/>
  <c r="BO1176" i="89"/>
  <c r="I1180" i="89"/>
  <c r="BO1180" i="89"/>
  <c r="I1184" i="89"/>
  <c r="BO1184" i="89"/>
  <c r="I1188" i="89"/>
  <c r="BO1188" i="89"/>
  <c r="I1192" i="89"/>
  <c r="BO1192" i="89"/>
  <c r="I1196" i="89"/>
  <c r="BO1196" i="89"/>
  <c r="I1200" i="89"/>
  <c r="BO1200" i="89"/>
  <c r="I1204" i="89"/>
  <c r="BO1204" i="89"/>
  <c r="I1208" i="89"/>
  <c r="BO1208" i="89"/>
  <c r="I1212" i="89"/>
  <c r="BO1212" i="89"/>
  <c r="I1216" i="89"/>
  <c r="BO1216" i="89"/>
  <c r="I1220" i="89"/>
  <c r="BO1220" i="89"/>
  <c r="I1224" i="89"/>
  <c r="BO1224" i="89"/>
  <c r="I1228" i="89"/>
  <c r="BO1228" i="89"/>
  <c r="I1232" i="89"/>
  <c r="BO1232" i="89"/>
  <c r="I1236" i="89"/>
  <c r="BO1236" i="89"/>
  <c r="I1240" i="89"/>
  <c r="BO1240" i="89"/>
  <c r="I1244" i="89"/>
  <c r="BO1244" i="89"/>
  <c r="I1248" i="89"/>
  <c r="BO1248" i="89"/>
  <c r="I1252" i="89"/>
  <c r="BO1252" i="89"/>
  <c r="I1256" i="89"/>
  <c r="BO1256" i="89"/>
  <c r="I1260" i="89"/>
  <c r="BO1260" i="89"/>
  <c r="I1264" i="89"/>
  <c r="BO1264" i="89"/>
  <c r="I1268" i="89"/>
  <c r="BO1268" i="89"/>
  <c r="I1272" i="89"/>
  <c r="BO1272" i="89"/>
  <c r="I1276" i="89"/>
  <c r="BO1276" i="89"/>
  <c r="I1280" i="89"/>
  <c r="BO1280" i="89"/>
  <c r="I1284" i="89"/>
  <c r="BO1284" i="89"/>
  <c r="I1288" i="89"/>
  <c r="BO1288" i="89"/>
  <c r="I1292" i="89"/>
  <c r="BO1292" i="89"/>
  <c r="I1296" i="89"/>
  <c r="BO1296" i="89"/>
  <c r="I1300" i="89"/>
  <c r="BO1300" i="89"/>
  <c r="I1304" i="89"/>
  <c r="BO1304" i="89"/>
  <c r="I1308" i="89"/>
  <c r="BO1308" i="89"/>
  <c r="I1312" i="89"/>
  <c r="BO1312" i="89"/>
  <c r="I1316" i="89"/>
  <c r="BO1316" i="89"/>
  <c r="I1320" i="89"/>
  <c r="BO1320" i="89"/>
  <c r="I1324" i="89"/>
  <c r="BO1324" i="89"/>
  <c r="I1328" i="89"/>
  <c r="BO1328" i="89"/>
  <c r="I1332" i="89"/>
  <c r="BO1332" i="89"/>
  <c r="I1336" i="89"/>
  <c r="BO1336" i="89"/>
  <c r="I1340" i="89"/>
  <c r="BO1340" i="89"/>
  <c r="I1344" i="89"/>
  <c r="BO1344" i="89"/>
  <c r="I1348" i="89"/>
  <c r="BO1348" i="89"/>
  <c r="I1352" i="89"/>
  <c r="BO1352" i="89"/>
  <c r="I1356" i="89"/>
  <c r="BO1356" i="89"/>
  <c r="I1360" i="89"/>
  <c r="BO1360" i="89"/>
  <c r="I1364" i="89"/>
  <c r="BO1364" i="89"/>
  <c r="I1368" i="89"/>
  <c r="BO1368" i="89"/>
  <c r="I1372" i="89"/>
  <c r="BO1372" i="89"/>
  <c r="I1376" i="89"/>
  <c r="BO1376" i="89"/>
  <c r="I1380" i="89"/>
  <c r="BO1380" i="89"/>
  <c r="I1384" i="89"/>
  <c r="BO1384" i="89"/>
  <c r="I1388" i="89"/>
  <c r="BO1388" i="89"/>
  <c r="I1392" i="89"/>
  <c r="BO1392" i="89"/>
  <c r="I1396" i="89"/>
  <c r="BO1396" i="89"/>
  <c r="I1400" i="89"/>
  <c r="BO1400" i="89"/>
  <c r="I1404" i="89"/>
  <c r="BO1404" i="89"/>
  <c r="I1408" i="89"/>
  <c r="BO1408" i="89"/>
  <c r="I1412" i="89"/>
  <c r="BO1412" i="89"/>
  <c r="I1416" i="89"/>
  <c r="BO1416" i="89"/>
  <c r="I1420" i="89"/>
  <c r="BO1420" i="89"/>
  <c r="I1424" i="89"/>
  <c r="BO1424" i="89"/>
  <c r="I1428" i="89"/>
  <c r="BO1428" i="89"/>
  <c r="I1432" i="89"/>
  <c r="BO1432" i="89"/>
  <c r="I1436" i="89"/>
  <c r="BO1436" i="89"/>
  <c r="I1440" i="89"/>
  <c r="BO1440" i="89"/>
  <c r="I1444" i="89"/>
  <c r="BO1444" i="89"/>
  <c r="I1448" i="89"/>
  <c r="BO1448" i="89"/>
  <c r="I1452" i="89"/>
  <c r="BO1452" i="89"/>
  <c r="I1456" i="89"/>
  <c r="BO1456" i="89"/>
  <c r="I1460" i="89"/>
  <c r="BO1460" i="89"/>
  <c r="I1464" i="89"/>
  <c r="BO1464" i="89"/>
  <c r="I1468" i="89"/>
  <c r="BO1468" i="89"/>
  <c r="I1472" i="89"/>
  <c r="BO1472" i="89"/>
  <c r="I1476" i="89"/>
  <c r="BO1476" i="89"/>
  <c r="I1480" i="89"/>
  <c r="BO1480" i="89"/>
  <c r="I1484" i="89"/>
  <c r="BO1484" i="89"/>
  <c r="I1488" i="89"/>
  <c r="BO1488" i="89"/>
  <c r="I1492" i="89"/>
  <c r="BO1492" i="89"/>
  <c r="I1496" i="89"/>
  <c r="BO1496" i="89"/>
  <c r="I487" i="89"/>
  <c r="BO487" i="89"/>
  <c r="I491" i="89"/>
  <c r="BO491" i="89"/>
  <c r="I495" i="89"/>
  <c r="BO495" i="89"/>
  <c r="I499" i="89"/>
  <c r="BO499" i="89"/>
  <c r="I503" i="89"/>
  <c r="BO503" i="89"/>
  <c r="I507" i="89"/>
  <c r="BO507" i="89"/>
  <c r="I511" i="89"/>
  <c r="BO511" i="89"/>
  <c r="I515" i="89"/>
  <c r="BO515" i="89"/>
  <c r="I519" i="89"/>
  <c r="BO519" i="89"/>
  <c r="I523" i="89"/>
  <c r="BO523" i="89"/>
  <c r="I527" i="89"/>
  <c r="BO527" i="89"/>
  <c r="I531" i="89"/>
  <c r="BO531" i="89"/>
  <c r="I535" i="89"/>
  <c r="BO535" i="89"/>
  <c r="I539" i="89"/>
  <c r="BO539" i="89"/>
  <c r="I543" i="89"/>
  <c r="BO543" i="89"/>
  <c r="I547" i="89"/>
  <c r="BO547" i="89"/>
  <c r="I551" i="89"/>
  <c r="BO551" i="89"/>
  <c r="I555" i="89"/>
  <c r="BO555" i="89"/>
  <c r="I559" i="89"/>
  <c r="BO559" i="89"/>
  <c r="I563" i="89"/>
  <c r="BO563" i="89"/>
  <c r="I567" i="89"/>
  <c r="BO567" i="89"/>
  <c r="I571" i="89"/>
  <c r="BO571" i="89"/>
  <c r="I575" i="89"/>
  <c r="BO575" i="89"/>
  <c r="I579" i="89"/>
  <c r="BO579" i="89"/>
  <c r="I583" i="89"/>
  <c r="BO583" i="89"/>
  <c r="I587" i="89"/>
  <c r="BO587" i="89"/>
  <c r="I591" i="89"/>
  <c r="BO591" i="89"/>
  <c r="I595" i="89"/>
  <c r="BO595" i="89"/>
  <c r="I599" i="89"/>
  <c r="BO599" i="89"/>
  <c r="I603" i="89"/>
  <c r="BO603" i="89"/>
  <c r="I607" i="89"/>
  <c r="BO607" i="89"/>
  <c r="I611" i="89"/>
  <c r="BO611" i="89"/>
  <c r="I615" i="89"/>
  <c r="BO615" i="89"/>
  <c r="I619" i="89"/>
  <c r="BO619" i="89"/>
  <c r="I623" i="89"/>
  <c r="BO623" i="89"/>
  <c r="I627" i="89"/>
  <c r="BO627" i="89"/>
  <c r="I631" i="89"/>
  <c r="BO631" i="89"/>
  <c r="I635" i="89"/>
  <c r="BO635" i="89"/>
  <c r="I639" i="89"/>
  <c r="BO639" i="89"/>
  <c r="I643" i="89"/>
  <c r="BO643" i="89"/>
  <c r="I647" i="89"/>
  <c r="BO647" i="89"/>
  <c r="I651" i="89"/>
  <c r="BO651" i="89"/>
  <c r="I655" i="89"/>
  <c r="BO655" i="89"/>
  <c r="I659" i="89"/>
  <c r="BO659" i="89"/>
  <c r="I663" i="89"/>
  <c r="BO663" i="89"/>
  <c r="I667" i="89"/>
  <c r="BO667" i="89"/>
  <c r="I671" i="89"/>
  <c r="BO671" i="89"/>
  <c r="I675" i="89"/>
  <c r="BO675" i="89"/>
  <c r="I679" i="89"/>
  <c r="BO679" i="89"/>
  <c r="I683" i="89"/>
  <c r="BO683" i="89"/>
  <c r="I687" i="89"/>
  <c r="BO687" i="89"/>
  <c r="I691" i="89"/>
  <c r="BO691" i="89"/>
  <c r="I695" i="89"/>
  <c r="BO695" i="89"/>
  <c r="I699" i="89"/>
  <c r="BO699" i="89"/>
  <c r="I703" i="89"/>
  <c r="BO703" i="89"/>
  <c r="I707" i="89"/>
  <c r="BO707" i="89"/>
  <c r="I711" i="89"/>
  <c r="BO711" i="89"/>
  <c r="I715" i="89"/>
  <c r="BO715" i="89"/>
  <c r="I719" i="89"/>
  <c r="BO719" i="89"/>
  <c r="I723" i="89"/>
  <c r="BO723" i="89"/>
  <c r="I727" i="89"/>
  <c r="BO727" i="89"/>
  <c r="I731" i="89"/>
  <c r="BO731" i="89"/>
  <c r="I735" i="89"/>
  <c r="BO735" i="89"/>
  <c r="I739" i="89"/>
  <c r="BO739" i="89"/>
  <c r="I743" i="89"/>
  <c r="BO743" i="89"/>
  <c r="I747" i="89"/>
  <c r="BO747" i="89"/>
  <c r="I751" i="89"/>
  <c r="BO751" i="89"/>
  <c r="I755" i="89"/>
  <c r="BO755" i="89"/>
  <c r="I759" i="89"/>
  <c r="BO759" i="89"/>
  <c r="I763" i="89"/>
  <c r="BO763" i="89"/>
  <c r="I767" i="89"/>
  <c r="BO767" i="89"/>
  <c r="I771" i="89"/>
  <c r="BO771" i="89"/>
  <c r="I775" i="89"/>
  <c r="BO775" i="89"/>
  <c r="I779" i="89"/>
  <c r="BO779" i="89"/>
  <c r="I783" i="89"/>
  <c r="BO783" i="89"/>
  <c r="I787" i="89"/>
  <c r="BO787" i="89"/>
  <c r="I791" i="89"/>
  <c r="BO791" i="89"/>
  <c r="I795" i="89"/>
  <c r="BO795" i="89"/>
  <c r="I799" i="89"/>
  <c r="BO799" i="89"/>
  <c r="I803" i="89"/>
  <c r="BO803" i="89"/>
  <c r="I807" i="89"/>
  <c r="BO807" i="89"/>
  <c r="I811" i="89"/>
  <c r="BO811" i="89"/>
  <c r="I815" i="89"/>
  <c r="BO815" i="89"/>
  <c r="I819" i="89"/>
  <c r="BO819" i="89"/>
  <c r="I823" i="89"/>
  <c r="BO823" i="89"/>
  <c r="I827" i="89"/>
  <c r="BO827" i="89"/>
  <c r="I831" i="89"/>
  <c r="BO831" i="89"/>
  <c r="I835" i="89"/>
  <c r="BO835" i="89"/>
  <c r="I839" i="89"/>
  <c r="BO839" i="89"/>
  <c r="I843" i="89"/>
  <c r="BO843" i="89"/>
  <c r="I847" i="89"/>
  <c r="BO847" i="89"/>
  <c r="I851" i="89"/>
  <c r="BO851" i="89"/>
  <c r="I855" i="89"/>
  <c r="BO855" i="89"/>
  <c r="I859" i="89"/>
  <c r="BO859" i="89"/>
  <c r="I863" i="89"/>
  <c r="BO863" i="89"/>
  <c r="I867" i="89"/>
  <c r="BO867" i="89"/>
  <c r="I871" i="89"/>
  <c r="BO871" i="89"/>
  <c r="I875" i="89"/>
  <c r="BO875" i="89"/>
  <c r="I879" i="89"/>
  <c r="BO879" i="89"/>
  <c r="I883" i="89"/>
  <c r="BO883" i="89"/>
  <c r="I887" i="89"/>
  <c r="BO887" i="89"/>
  <c r="I891" i="89"/>
  <c r="BO891" i="89"/>
  <c r="I895" i="89"/>
  <c r="BO895" i="89"/>
  <c r="I899" i="89"/>
  <c r="BO899" i="89"/>
  <c r="I903" i="89"/>
  <c r="BO903" i="89"/>
  <c r="I907" i="89"/>
  <c r="BO907" i="89"/>
  <c r="I911" i="89"/>
  <c r="BO911" i="89"/>
  <c r="I915" i="89"/>
  <c r="BO915" i="89"/>
  <c r="I919" i="89"/>
  <c r="BO919" i="89"/>
  <c r="I923" i="89"/>
  <c r="BO923" i="89"/>
  <c r="I927" i="89"/>
  <c r="BO927" i="89"/>
  <c r="I931" i="89"/>
  <c r="BO931" i="89"/>
  <c r="I935" i="89"/>
  <c r="BO935" i="89"/>
  <c r="I939" i="89"/>
  <c r="BO939" i="89"/>
  <c r="I943" i="89"/>
  <c r="BO943" i="89"/>
  <c r="I947" i="89"/>
  <c r="BO947" i="89"/>
  <c r="I951" i="89"/>
  <c r="BO951" i="89"/>
  <c r="I955" i="89"/>
  <c r="BO955" i="89"/>
  <c r="I959" i="89"/>
  <c r="BO959" i="89"/>
  <c r="I963" i="89"/>
  <c r="BO963" i="89"/>
  <c r="I967" i="89"/>
  <c r="BO967" i="89"/>
  <c r="I971" i="89"/>
  <c r="BO971" i="89"/>
  <c r="I975" i="89"/>
  <c r="BO975" i="89"/>
  <c r="I979" i="89"/>
  <c r="BO979" i="89"/>
  <c r="I983" i="89"/>
  <c r="BO983" i="89"/>
  <c r="I987" i="89"/>
  <c r="BO987" i="89"/>
  <c r="I991" i="89"/>
  <c r="BO991" i="89"/>
  <c r="I995" i="89"/>
  <c r="BO995" i="89"/>
  <c r="I999" i="89"/>
  <c r="BO999" i="89"/>
  <c r="I1003" i="89"/>
  <c r="BO1003" i="89"/>
  <c r="I1007" i="89"/>
  <c r="BO1007" i="89"/>
  <c r="I1011" i="89"/>
  <c r="BO1011" i="89"/>
  <c r="I1015" i="89"/>
  <c r="BO1015" i="89"/>
  <c r="I1019" i="89"/>
  <c r="BO1019" i="89"/>
  <c r="I1023" i="89"/>
  <c r="BO1023" i="89"/>
  <c r="I1027" i="89"/>
  <c r="BO1027" i="89"/>
  <c r="I1031" i="89"/>
  <c r="BO1031" i="89"/>
  <c r="I1035" i="89"/>
  <c r="BO1035" i="89"/>
  <c r="I1039" i="89"/>
  <c r="BO1039" i="89"/>
  <c r="I1043" i="89"/>
  <c r="BO1043" i="89"/>
  <c r="I1047" i="89"/>
  <c r="BO1047" i="89"/>
  <c r="I1051" i="89"/>
  <c r="BO1051" i="89"/>
  <c r="I1055" i="89"/>
  <c r="BO1055" i="89"/>
  <c r="I1059" i="89"/>
  <c r="BO1059" i="89"/>
  <c r="I1063" i="89"/>
  <c r="BO1063" i="89"/>
  <c r="I1067" i="89"/>
  <c r="BO1067" i="89"/>
  <c r="I1071" i="89"/>
  <c r="BO1071" i="89"/>
  <c r="I1075" i="89"/>
  <c r="BO1075" i="89"/>
  <c r="I1079" i="89"/>
  <c r="BO1079" i="89"/>
  <c r="I1083" i="89"/>
  <c r="BO1083" i="89"/>
  <c r="I1087" i="89"/>
  <c r="BO1087" i="89"/>
  <c r="I1091" i="89"/>
  <c r="BO1091" i="89"/>
  <c r="I1095" i="89"/>
  <c r="BO1095" i="89"/>
  <c r="I1099" i="89"/>
  <c r="BO1099" i="89"/>
  <c r="I1103" i="89"/>
  <c r="BO1103" i="89"/>
  <c r="I1107" i="89"/>
  <c r="BO1107" i="89"/>
  <c r="I1111" i="89"/>
  <c r="BO1111" i="89"/>
  <c r="I1115" i="89"/>
  <c r="BO1115" i="89"/>
  <c r="I1119" i="89"/>
  <c r="BO1119" i="89"/>
  <c r="I1123" i="89"/>
  <c r="BO1123" i="89"/>
  <c r="I1127" i="89"/>
  <c r="BO1127" i="89"/>
  <c r="I1131" i="89"/>
  <c r="BO1131" i="89"/>
  <c r="I1135" i="89"/>
  <c r="BO1135" i="89"/>
  <c r="I1139" i="89"/>
  <c r="BO1139" i="89"/>
  <c r="I1143" i="89"/>
  <c r="BO1143" i="89"/>
  <c r="I1147" i="89"/>
  <c r="BO1147" i="89"/>
  <c r="I1151" i="89"/>
  <c r="BO1151" i="89"/>
  <c r="I1155" i="89"/>
  <c r="BO1155" i="89"/>
  <c r="I1159" i="89"/>
  <c r="BO1159" i="89"/>
  <c r="I1163" i="89"/>
  <c r="BO1163" i="89"/>
  <c r="I1167" i="89"/>
  <c r="BO1167" i="89"/>
  <c r="I1171" i="89"/>
  <c r="BO1171" i="89"/>
  <c r="I1175" i="89"/>
  <c r="BO1175" i="89"/>
  <c r="I1179" i="89"/>
  <c r="BO1179" i="89"/>
  <c r="I1183" i="89"/>
  <c r="BO1183" i="89"/>
  <c r="I1187" i="89"/>
  <c r="BO1187" i="89"/>
  <c r="I1191" i="89"/>
  <c r="BO1191" i="89"/>
  <c r="I1195" i="89"/>
  <c r="BO1195" i="89"/>
  <c r="I1199" i="89"/>
  <c r="BO1199" i="89"/>
  <c r="I1203" i="89"/>
  <c r="BO1203" i="89"/>
  <c r="I1207" i="89"/>
  <c r="BO1207" i="89"/>
  <c r="I1211" i="89"/>
  <c r="BO1211" i="89"/>
  <c r="I1215" i="89"/>
  <c r="BO1215" i="89"/>
  <c r="I1219" i="89"/>
  <c r="BO1219" i="89"/>
  <c r="I1223" i="89"/>
  <c r="BO1223" i="89"/>
  <c r="I1227" i="89"/>
  <c r="BO1227" i="89"/>
  <c r="I1231" i="89"/>
  <c r="BO1231" i="89"/>
  <c r="I1235" i="89"/>
  <c r="BO1235" i="89"/>
  <c r="I1239" i="89"/>
  <c r="BO1239" i="89"/>
  <c r="I1243" i="89"/>
  <c r="BO1243" i="89"/>
  <c r="I1247" i="89"/>
  <c r="BO1247" i="89"/>
  <c r="I1251" i="89"/>
  <c r="BO1251" i="89"/>
  <c r="I1255" i="89"/>
  <c r="BO1255" i="89"/>
  <c r="I1259" i="89"/>
  <c r="BO1259" i="89"/>
  <c r="I1263" i="89"/>
  <c r="BO1263" i="89"/>
  <c r="I1267" i="89"/>
  <c r="BO1267" i="89"/>
  <c r="I1271" i="89"/>
  <c r="BO1271" i="89"/>
  <c r="I1275" i="89"/>
  <c r="BO1275" i="89"/>
  <c r="I1279" i="89"/>
  <c r="BO1279" i="89"/>
  <c r="I1283" i="89"/>
  <c r="BO1283" i="89"/>
  <c r="I1287" i="89"/>
  <c r="BO1287" i="89"/>
  <c r="I1291" i="89"/>
  <c r="BO1291" i="89"/>
  <c r="I1295" i="89"/>
  <c r="BO1295" i="89"/>
  <c r="I1299" i="89"/>
  <c r="BO1299" i="89"/>
  <c r="I1303" i="89"/>
  <c r="BO1303" i="89"/>
  <c r="I1307" i="89"/>
  <c r="BO1307" i="89"/>
  <c r="I1311" i="89"/>
  <c r="BO1311" i="89"/>
  <c r="I1315" i="89"/>
  <c r="BO1315" i="89"/>
  <c r="I1319" i="89"/>
  <c r="BO1319" i="89"/>
  <c r="I1323" i="89"/>
  <c r="BO1323" i="89"/>
  <c r="I1327" i="89"/>
  <c r="BO1327" i="89"/>
  <c r="I1331" i="89"/>
  <c r="BO1331" i="89"/>
  <c r="I1335" i="89"/>
  <c r="BO1335" i="89"/>
  <c r="I1339" i="89"/>
  <c r="BO1339" i="89"/>
  <c r="I1343" i="89"/>
  <c r="BO1343" i="89"/>
  <c r="I1347" i="89"/>
  <c r="BO1347" i="89"/>
  <c r="I1351" i="89"/>
  <c r="BO1351" i="89"/>
  <c r="I1355" i="89"/>
  <c r="BO1355" i="89"/>
  <c r="I1359" i="89"/>
  <c r="BO1359" i="89"/>
  <c r="I1363" i="89"/>
  <c r="BO1363" i="89"/>
  <c r="I1367" i="89"/>
  <c r="BO1367" i="89"/>
  <c r="I1371" i="89"/>
  <c r="BO1371" i="89"/>
  <c r="I1375" i="89"/>
  <c r="BO1375" i="89"/>
  <c r="I1379" i="89"/>
  <c r="BO1379" i="89"/>
  <c r="I1383" i="89"/>
  <c r="BO1383" i="89"/>
  <c r="I1387" i="89"/>
  <c r="BO1387" i="89"/>
  <c r="I1391" i="89"/>
  <c r="BO1391" i="89"/>
  <c r="I1395" i="89"/>
  <c r="BO1395" i="89"/>
  <c r="I1399" i="89"/>
  <c r="BO1399" i="89"/>
  <c r="I1403" i="89"/>
  <c r="BO1403" i="89"/>
  <c r="I1407" i="89"/>
  <c r="BO1407" i="89"/>
  <c r="I1411" i="89"/>
  <c r="BO1411" i="89"/>
  <c r="I1415" i="89"/>
  <c r="BO1415" i="89"/>
  <c r="I1419" i="89"/>
  <c r="BO1419" i="89"/>
  <c r="I1423" i="89"/>
  <c r="BO1423" i="89"/>
  <c r="I1427" i="89"/>
  <c r="BO1427" i="89"/>
  <c r="I1431" i="89"/>
  <c r="BO1431" i="89"/>
  <c r="I1435" i="89"/>
  <c r="BO1435" i="89"/>
  <c r="I1439" i="89"/>
  <c r="BO1439" i="89"/>
  <c r="I1443" i="89"/>
  <c r="BO1443" i="89"/>
  <c r="I1447" i="89"/>
  <c r="BO1447" i="89"/>
  <c r="I1451" i="89"/>
  <c r="BO1451" i="89"/>
  <c r="I1455" i="89"/>
  <c r="BO1455" i="89"/>
  <c r="I1459" i="89"/>
  <c r="BO1459" i="89"/>
  <c r="I1463" i="89"/>
  <c r="BO1463" i="89"/>
  <c r="I1467" i="89"/>
  <c r="BO1467" i="89"/>
  <c r="I1471" i="89"/>
  <c r="BO1471" i="89"/>
  <c r="I1475" i="89"/>
  <c r="BO1475" i="89"/>
  <c r="I1479" i="89"/>
  <c r="BO1479" i="89"/>
  <c r="I1483" i="89"/>
  <c r="BO1483" i="89"/>
  <c r="I1487" i="89"/>
  <c r="BO1487" i="89"/>
  <c r="I1491" i="89"/>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54" i="89"/>
  <c r="BJ62" i="89"/>
  <c r="BJ66" i="89"/>
  <c r="BJ70" i="89"/>
  <c r="BJ78" i="89"/>
  <c r="BJ82" i="89"/>
  <c r="BJ86" i="89"/>
  <c r="BJ94" i="89"/>
  <c r="BJ98" i="89"/>
  <c r="BJ102" i="89"/>
  <c r="BJ110" i="89"/>
  <c r="BJ114" i="89"/>
  <c r="BJ118" i="89"/>
  <c r="BJ126" i="89"/>
  <c r="BJ130" i="89"/>
  <c r="BJ134" i="89"/>
  <c r="BJ142" i="89"/>
  <c r="BJ146" i="89"/>
  <c r="BJ150" i="89"/>
  <c r="BJ158" i="89"/>
  <c r="BJ162" i="89"/>
  <c r="BJ166" i="89"/>
  <c r="BJ174" i="89"/>
  <c r="BJ178" i="89"/>
  <c r="BJ182" i="89"/>
  <c r="BJ190" i="89"/>
  <c r="BJ194" i="89"/>
  <c r="BJ198" i="89"/>
  <c r="BJ206" i="89"/>
  <c r="BJ210" i="89"/>
  <c r="BJ214" i="89"/>
  <c r="BJ222" i="89"/>
  <c r="BJ226" i="89"/>
  <c r="BJ230" i="89"/>
  <c r="BJ238" i="89"/>
  <c r="BJ242" i="89"/>
  <c r="BJ246" i="89"/>
  <c r="BJ254" i="89"/>
  <c r="BJ258" i="89"/>
  <c r="BJ262" i="89"/>
  <c r="BJ270" i="89"/>
  <c r="BJ274" i="89"/>
  <c r="BJ278" i="89"/>
  <c r="BJ286" i="89"/>
  <c r="BJ290" i="89"/>
  <c r="BJ294" i="89"/>
  <c r="BJ302" i="89"/>
  <c r="BJ306" i="89"/>
  <c r="BJ310" i="89"/>
  <c r="BJ318" i="89"/>
  <c r="BJ322" i="89"/>
  <c r="BJ326" i="89"/>
  <c r="BJ334" i="89"/>
  <c r="BJ338" i="89"/>
  <c r="BJ342" i="89"/>
  <c r="BJ350" i="89"/>
  <c r="BJ354" i="89"/>
  <c r="BJ358" i="89"/>
  <c r="BJ366" i="89"/>
  <c r="BJ370" i="89"/>
  <c r="BJ374" i="89"/>
  <c r="BJ382" i="89"/>
  <c r="BJ386" i="89"/>
  <c r="BJ390" i="89"/>
  <c r="BJ398" i="89"/>
  <c r="BJ402" i="89"/>
  <c r="BJ406" i="89"/>
  <c r="BJ414" i="89"/>
  <c r="BJ418" i="89"/>
  <c r="BJ422" i="89"/>
  <c r="BJ430" i="89"/>
  <c r="BJ434" i="89"/>
  <c r="BJ438" i="89"/>
  <c r="BJ446" i="89"/>
  <c r="BJ450" i="89"/>
  <c r="BJ454" i="89"/>
  <c r="BJ462" i="89"/>
  <c r="BJ466" i="89"/>
  <c r="BJ470" i="89"/>
  <c r="BJ478" i="89"/>
  <c r="BJ482" i="89"/>
  <c r="BJ53" i="89"/>
  <c r="BJ61" i="89"/>
  <c r="BJ65" i="89"/>
  <c r="BJ69" i="89"/>
  <c r="BJ77" i="89"/>
  <c r="BJ81" i="89"/>
  <c r="BJ85" i="89"/>
  <c r="BJ93" i="89"/>
  <c r="BJ97" i="89"/>
  <c r="BJ101" i="89"/>
  <c r="BJ109" i="89"/>
  <c r="BJ113" i="89"/>
  <c r="BJ117" i="89"/>
  <c r="BJ125" i="89"/>
  <c r="BJ129" i="89"/>
  <c r="BJ133" i="89"/>
  <c r="BJ141" i="89"/>
  <c r="BJ145" i="89"/>
  <c r="BJ149" i="89"/>
  <c r="BJ157" i="89"/>
  <c r="BJ161" i="89"/>
  <c r="BJ165" i="89"/>
  <c r="BJ173" i="89"/>
  <c r="BJ177" i="89"/>
  <c r="BJ181" i="89"/>
  <c r="BJ189" i="89"/>
  <c r="BJ193" i="89"/>
  <c r="BJ197" i="89"/>
  <c r="BJ205" i="89"/>
  <c r="BJ209" i="89"/>
  <c r="BJ213" i="89"/>
  <c r="BJ221" i="89"/>
  <c r="BJ225" i="89"/>
  <c r="BJ229" i="89"/>
  <c r="BJ237" i="89"/>
  <c r="BJ241" i="89"/>
  <c r="BJ245" i="89"/>
  <c r="BJ253" i="89"/>
  <c r="BJ257" i="89"/>
  <c r="BJ261" i="89"/>
  <c r="BJ269" i="89"/>
  <c r="BJ273" i="89"/>
  <c r="BJ277" i="89"/>
  <c r="BJ285" i="89"/>
  <c r="BJ289" i="89"/>
  <c r="BJ293" i="89"/>
  <c r="BJ301" i="89"/>
  <c r="BJ305" i="89"/>
  <c r="BJ309" i="89"/>
  <c r="BJ317" i="89"/>
  <c r="BJ321" i="89"/>
  <c r="BJ325" i="89"/>
  <c r="BJ333" i="89"/>
  <c r="BJ337" i="89"/>
  <c r="BJ341" i="89"/>
  <c r="BJ349" i="89"/>
  <c r="BJ353" i="89"/>
  <c r="BJ357" i="89"/>
  <c r="BJ365" i="89"/>
  <c r="BJ369" i="89"/>
  <c r="BJ373" i="89"/>
  <c r="BJ381" i="89"/>
  <c r="BJ385" i="89"/>
  <c r="BJ389" i="89"/>
  <c r="BJ397" i="89"/>
  <c r="BJ401" i="89"/>
  <c r="BJ405" i="89"/>
  <c r="BJ413" i="89"/>
  <c r="BJ417" i="89"/>
  <c r="BJ421" i="89"/>
  <c r="BJ429" i="89"/>
  <c r="BJ433" i="89"/>
  <c r="BJ437" i="89"/>
  <c r="BJ445" i="89"/>
  <c r="BJ449" i="89"/>
  <c r="BJ453" i="89"/>
  <c r="BJ461" i="89"/>
  <c r="BJ465" i="89"/>
  <c r="BJ469" i="89"/>
  <c r="BJ52" i="89"/>
  <c r="BJ60" i="89"/>
  <c r="BJ64" i="89"/>
  <c r="BJ68" i="89"/>
  <c r="BJ76" i="89"/>
  <c r="BJ80" i="89"/>
  <c r="BJ84" i="89"/>
  <c r="BJ92" i="89"/>
  <c r="BJ96" i="89"/>
  <c r="BJ100" i="89"/>
  <c r="BJ108" i="89"/>
  <c r="BJ112" i="89"/>
  <c r="BJ116" i="89"/>
  <c r="BJ124" i="89"/>
  <c r="BJ128" i="89"/>
  <c r="BJ132" i="89"/>
  <c r="BJ140" i="89"/>
  <c r="BJ144" i="89"/>
  <c r="BJ148" i="89"/>
  <c r="BJ156" i="89"/>
  <c r="BJ160" i="89"/>
  <c r="BJ164" i="89"/>
  <c r="BJ172" i="89"/>
  <c r="BJ176" i="89"/>
  <c r="BJ180" i="89"/>
  <c r="BJ188" i="89"/>
  <c r="BJ192" i="89"/>
  <c r="BJ196" i="89"/>
  <c r="BJ204" i="89"/>
  <c r="BJ208" i="89"/>
  <c r="BJ212" i="89"/>
  <c r="BJ220" i="89"/>
  <c r="BJ224" i="89"/>
  <c r="BJ228" i="89"/>
  <c r="BJ236" i="89"/>
  <c r="BJ240" i="89"/>
  <c r="BJ244" i="89"/>
  <c r="BJ252" i="89"/>
  <c r="BJ256" i="89"/>
  <c r="BJ260" i="89"/>
  <c r="BJ268" i="89"/>
  <c r="BJ272" i="89"/>
  <c r="BJ276" i="89"/>
  <c r="BJ284" i="89"/>
  <c r="BJ288" i="89"/>
  <c r="BJ292" i="89"/>
  <c r="BJ300" i="89"/>
  <c r="BJ304" i="89"/>
  <c r="BJ308" i="89"/>
  <c r="BJ316" i="89"/>
  <c r="BJ320" i="89"/>
  <c r="BJ324" i="89"/>
  <c r="BJ332" i="89"/>
  <c r="BJ336" i="89"/>
  <c r="BJ340" i="89"/>
  <c r="BJ348" i="89"/>
  <c r="BJ352" i="89"/>
  <c r="BJ356" i="89"/>
  <c r="BJ364" i="89"/>
  <c r="BJ368" i="89"/>
  <c r="BJ372" i="89"/>
  <c r="BJ380" i="89"/>
  <c r="BJ384" i="89"/>
  <c r="BJ388" i="89"/>
  <c r="BJ392" i="89"/>
  <c r="BJ396" i="89"/>
  <c r="BJ400" i="89"/>
  <c r="BJ404" i="89"/>
  <c r="BJ412" i="89"/>
  <c r="BJ416" i="89"/>
  <c r="BJ420" i="89"/>
  <c r="BJ428" i="89"/>
  <c r="BJ432" i="89"/>
  <c r="BJ436" i="89"/>
  <c r="BJ444" i="89"/>
  <c r="BJ448" i="89"/>
  <c r="BJ452" i="89"/>
  <c r="BJ460" i="89"/>
  <c r="BJ464" i="89"/>
  <c r="BJ468" i="89"/>
  <c r="BJ476" i="89"/>
  <c r="BJ480" i="89"/>
  <c r="BJ484" i="89"/>
  <c r="BJ488" i="89"/>
  <c r="BJ500" i="89"/>
  <c r="BJ504" i="89"/>
  <c r="BJ520" i="89"/>
  <c r="BJ532" i="89"/>
  <c r="BJ536" i="89"/>
  <c r="BJ552" i="89"/>
  <c r="BJ564" i="89"/>
  <c r="BJ568" i="89"/>
  <c r="BJ584" i="89"/>
  <c r="BJ596" i="89"/>
  <c r="BJ51" i="89"/>
  <c r="BJ59" i="89"/>
  <c r="BJ63" i="89"/>
  <c r="BJ67" i="89"/>
  <c r="BJ75" i="89"/>
  <c r="BJ79" i="89"/>
  <c r="BJ83" i="89"/>
  <c r="BJ91" i="89"/>
  <c r="BJ95" i="89"/>
  <c r="BJ99" i="89"/>
  <c r="BJ107" i="89"/>
  <c r="BJ111" i="89"/>
  <c r="BJ115" i="89"/>
  <c r="BJ123" i="89"/>
  <c r="BJ127" i="89"/>
  <c r="BJ131" i="89"/>
  <c r="BJ139" i="89"/>
  <c r="BJ143" i="89"/>
  <c r="BJ147" i="89"/>
  <c r="BJ155" i="89"/>
  <c r="BJ159" i="89"/>
  <c r="BJ163" i="89"/>
  <c r="BJ171" i="89"/>
  <c r="BJ175" i="89"/>
  <c r="BJ179" i="89"/>
  <c r="BJ187" i="89"/>
  <c r="BJ191" i="89"/>
  <c r="BJ195" i="89"/>
  <c r="BJ203" i="89"/>
  <c r="BJ207" i="89"/>
  <c r="BJ211" i="89"/>
  <c r="BJ219" i="89"/>
  <c r="BJ223" i="89"/>
  <c r="BJ227" i="89"/>
  <c r="BJ235" i="89"/>
  <c r="BJ239" i="89"/>
  <c r="BJ243" i="89"/>
  <c r="BJ251" i="89"/>
  <c r="BJ255" i="89"/>
  <c r="BJ259" i="89"/>
  <c r="BJ267" i="89"/>
  <c r="BJ271" i="89"/>
  <c r="BJ275" i="89"/>
  <c r="BJ283" i="89"/>
  <c r="BJ287" i="89"/>
  <c r="BJ291" i="89"/>
  <c r="BJ299" i="89"/>
  <c r="BJ303" i="89"/>
  <c r="BJ307" i="89"/>
  <c r="BJ315" i="89"/>
  <c r="BJ319" i="89"/>
  <c r="BJ323" i="89"/>
  <c r="BJ331" i="89"/>
  <c r="BJ335" i="89"/>
  <c r="BJ339" i="89"/>
  <c r="BJ347" i="89"/>
  <c r="BJ351" i="89"/>
  <c r="BJ355" i="89"/>
  <c r="BJ363" i="89"/>
  <c r="BJ367" i="89"/>
  <c r="BJ371" i="89"/>
  <c r="BJ379" i="89"/>
  <c r="BJ383" i="89"/>
  <c r="BJ387" i="89"/>
  <c r="BJ395" i="89"/>
  <c r="BJ399" i="89"/>
  <c r="BJ403" i="89"/>
  <c r="BJ411" i="89"/>
  <c r="BJ415" i="89"/>
  <c r="BJ419" i="89"/>
  <c r="BJ427" i="89"/>
  <c r="BJ431" i="89"/>
  <c r="BJ435" i="89"/>
  <c r="BJ443" i="89"/>
  <c r="BJ447" i="89"/>
  <c r="BJ451" i="89"/>
  <c r="BJ459" i="89"/>
  <c r="BJ463" i="89"/>
  <c r="BJ467" i="89"/>
  <c r="BJ475" i="89"/>
  <c r="BJ479" i="89"/>
  <c r="BJ483" i="89"/>
  <c r="BJ490" i="89"/>
  <c r="BJ494" i="89"/>
  <c r="BJ498" i="89"/>
  <c r="BJ506" i="89"/>
  <c r="BJ510" i="89"/>
  <c r="BJ514" i="89"/>
  <c r="BJ522" i="89"/>
  <c r="BJ526" i="89"/>
  <c r="BJ530" i="89"/>
  <c r="BJ538" i="89"/>
  <c r="BJ542" i="89"/>
  <c r="BJ546" i="89"/>
  <c r="BJ554" i="89"/>
  <c r="BJ558" i="89"/>
  <c r="BJ562" i="89"/>
  <c r="BJ570" i="89"/>
  <c r="BJ574" i="89"/>
  <c r="BJ578" i="89"/>
  <c r="BJ586" i="89"/>
  <c r="BJ590" i="89"/>
  <c r="BJ594" i="89"/>
  <c r="BJ602" i="89"/>
  <c r="BJ606" i="89"/>
  <c r="BJ610" i="89"/>
  <c r="BJ618" i="89"/>
  <c r="BJ622" i="89"/>
  <c r="BJ626" i="89"/>
  <c r="BJ634" i="89"/>
  <c r="BJ638" i="89"/>
  <c r="BJ642" i="89"/>
  <c r="BJ650" i="89"/>
  <c r="BJ654" i="89"/>
  <c r="BJ658" i="89"/>
  <c r="BJ666" i="89"/>
  <c r="BJ670" i="89"/>
  <c r="BJ674" i="89"/>
  <c r="BJ682" i="89"/>
  <c r="BJ686" i="89"/>
  <c r="BJ690" i="89"/>
  <c r="BJ698" i="89"/>
  <c r="BJ702" i="89"/>
  <c r="BJ706" i="89"/>
  <c r="BJ714" i="89"/>
  <c r="BJ718" i="89"/>
  <c r="BJ722" i="89"/>
  <c r="BJ730" i="89"/>
  <c r="BJ734" i="89"/>
  <c r="BJ738" i="89"/>
  <c r="BJ746" i="89"/>
  <c r="BJ750" i="89"/>
  <c r="BJ754" i="89"/>
  <c r="BJ762" i="89"/>
  <c r="BJ766" i="89"/>
  <c r="BJ770" i="89"/>
  <c r="BJ778" i="89"/>
  <c r="BJ782" i="89"/>
  <c r="BJ786" i="89"/>
  <c r="BJ794" i="89"/>
  <c r="BJ798" i="89"/>
  <c r="BJ802" i="89"/>
  <c r="BJ810" i="89"/>
  <c r="BJ814" i="89"/>
  <c r="BJ818" i="89"/>
  <c r="BJ826" i="89"/>
  <c r="BJ830" i="89"/>
  <c r="BJ834" i="89"/>
  <c r="BJ842" i="89"/>
  <c r="BJ846" i="89"/>
  <c r="BJ850" i="89"/>
  <c r="BJ858" i="89"/>
  <c r="BJ862" i="89"/>
  <c r="BJ866" i="89"/>
  <c r="BJ874" i="89"/>
  <c r="BJ878" i="89"/>
  <c r="BJ882" i="89"/>
  <c r="BJ890" i="89"/>
  <c r="BJ894" i="89"/>
  <c r="BJ898" i="89"/>
  <c r="BJ906" i="89"/>
  <c r="BJ910" i="89"/>
  <c r="BJ914" i="89"/>
  <c r="BJ922" i="89"/>
  <c r="BJ926" i="89"/>
  <c r="BJ930" i="89"/>
  <c r="BJ938" i="89"/>
  <c r="BJ942" i="89"/>
  <c r="BJ946" i="89"/>
  <c r="BJ954" i="89"/>
  <c r="BJ958" i="89"/>
  <c r="BJ962" i="89"/>
  <c r="BJ970" i="89"/>
  <c r="BJ974" i="89"/>
  <c r="BJ978" i="89"/>
  <c r="BJ986" i="89"/>
  <c r="BJ990" i="89"/>
  <c r="BJ994" i="89"/>
  <c r="BJ1002" i="89"/>
  <c r="BJ1006" i="89"/>
  <c r="BJ1010" i="89"/>
  <c r="BJ1018" i="89"/>
  <c r="BJ1022" i="89"/>
  <c r="BJ1026" i="89"/>
  <c r="BJ1034" i="89"/>
  <c r="BJ1038" i="89"/>
  <c r="BJ1042" i="89"/>
  <c r="BJ1050" i="89"/>
  <c r="BJ1054" i="89"/>
  <c r="BJ1058" i="89"/>
  <c r="BJ1066" i="89"/>
  <c r="BJ1070" i="89"/>
  <c r="BJ1074" i="89"/>
  <c r="BJ1082" i="89"/>
  <c r="BJ1086" i="89"/>
  <c r="BJ1090" i="89"/>
  <c r="BJ1098" i="89"/>
  <c r="BJ1102" i="89"/>
  <c r="BJ1106" i="89"/>
  <c r="BJ1114" i="89"/>
  <c r="BJ1118" i="89"/>
  <c r="BJ1122" i="89"/>
  <c r="BJ1130" i="89"/>
  <c r="BJ1134" i="89"/>
  <c r="BJ1138" i="89"/>
  <c r="BJ1146" i="89"/>
  <c r="BJ1150" i="89"/>
  <c r="BJ1154" i="89"/>
  <c r="BJ1162" i="89"/>
  <c r="BJ1166" i="89"/>
  <c r="BJ1170" i="89"/>
  <c r="BJ1178" i="89"/>
  <c r="BJ1182" i="89"/>
  <c r="BJ1186" i="89"/>
  <c r="BJ1194" i="89"/>
  <c r="BJ1198" i="89"/>
  <c r="BJ1202" i="89"/>
  <c r="BJ1210" i="89"/>
  <c r="BJ1214" i="89"/>
  <c r="BJ1218" i="89"/>
  <c r="BJ1226" i="89"/>
  <c r="BJ1230" i="89"/>
  <c r="BJ1234" i="89"/>
  <c r="BJ1242" i="89"/>
  <c r="BJ1246" i="89"/>
  <c r="BJ1250" i="89"/>
  <c r="BJ1258" i="89"/>
  <c r="BJ1262" i="89"/>
  <c r="BJ1266" i="89"/>
  <c r="BJ1274" i="89"/>
  <c r="BJ1278" i="89"/>
  <c r="BJ1282" i="89"/>
  <c r="BJ1294" i="89"/>
  <c r="BJ1298" i="89"/>
  <c r="BJ1310" i="89"/>
  <c r="BJ1314" i="89"/>
  <c r="BJ1326" i="89"/>
  <c r="BJ1330" i="89"/>
  <c r="BJ1342" i="89"/>
  <c r="BJ1346" i="89"/>
  <c r="BJ1358" i="89"/>
  <c r="BJ1362" i="89"/>
  <c r="BJ1374" i="89"/>
  <c r="BJ1378" i="89"/>
  <c r="BJ1382" i="89"/>
  <c r="BJ1390" i="89"/>
  <c r="BJ1394" i="89"/>
  <c r="BJ1406" i="89"/>
  <c r="BJ1410" i="89"/>
  <c r="BJ1422" i="89"/>
  <c r="BJ1426" i="89"/>
  <c r="BJ1438" i="89"/>
  <c r="BJ1442" i="89"/>
  <c r="BJ1454" i="89"/>
  <c r="BJ1458" i="89"/>
  <c r="BJ1470" i="89"/>
  <c r="BJ1474" i="89"/>
  <c r="BJ1486" i="89"/>
  <c r="BJ1490" i="89"/>
  <c r="BJ477" i="89"/>
  <c r="BJ481" i="89"/>
  <c r="BJ485" i="89"/>
  <c r="BJ493" i="89"/>
  <c r="BJ497" i="89"/>
  <c r="BJ501" i="89"/>
  <c r="BJ513" i="89"/>
  <c r="BJ517" i="89"/>
  <c r="BJ521" i="89"/>
  <c r="BJ525" i="89"/>
  <c r="BJ529" i="89"/>
  <c r="BJ533" i="89"/>
  <c r="BJ545" i="89"/>
  <c r="BJ549" i="89"/>
  <c r="BJ557" i="89"/>
  <c r="BJ561" i="89"/>
  <c r="BJ565" i="89"/>
  <c r="BJ577" i="89"/>
  <c r="BJ581" i="89"/>
  <c r="BJ589" i="89"/>
  <c r="BJ593" i="89"/>
  <c r="BJ597" i="89"/>
  <c r="BJ609" i="89"/>
  <c r="BJ613" i="89"/>
  <c r="BJ625" i="89"/>
  <c r="BJ629" i="89"/>
  <c r="BJ641" i="89"/>
  <c r="BJ645" i="89"/>
  <c r="BJ653" i="89"/>
  <c r="BJ657" i="89"/>
  <c r="BJ661" i="89"/>
  <c r="BJ673" i="89"/>
  <c r="BJ677" i="89"/>
  <c r="BJ685" i="89"/>
  <c r="BJ689" i="89"/>
  <c r="BJ693" i="89"/>
  <c r="BJ705" i="89"/>
  <c r="BJ709" i="89"/>
  <c r="BJ717" i="89"/>
  <c r="BJ721" i="89"/>
  <c r="BJ725" i="89"/>
  <c r="BJ737" i="89"/>
  <c r="BJ741" i="89"/>
  <c r="BJ753" i="89"/>
  <c r="BJ757" i="89"/>
  <c r="BJ769" i="89"/>
  <c r="BJ773" i="89"/>
  <c r="BJ781" i="89"/>
  <c r="BJ785" i="89"/>
  <c r="BJ789" i="89"/>
  <c r="BJ801" i="89"/>
  <c r="BJ805" i="89"/>
  <c r="BJ813" i="89"/>
  <c r="BJ817" i="89"/>
  <c r="BJ821" i="89"/>
  <c r="BJ833" i="89"/>
  <c r="BJ837" i="89"/>
  <c r="BJ845" i="89"/>
  <c r="BJ849" i="89"/>
  <c r="BJ853" i="89"/>
  <c r="BJ865" i="89"/>
  <c r="BJ869" i="89"/>
  <c r="BJ881" i="89"/>
  <c r="BJ885" i="89"/>
  <c r="BJ897" i="89"/>
  <c r="BJ901" i="89"/>
  <c r="BJ909" i="89"/>
  <c r="BJ913" i="89"/>
  <c r="BJ917" i="89"/>
  <c r="BJ929" i="89"/>
  <c r="BJ933" i="89"/>
  <c r="BJ941" i="89"/>
  <c r="BJ945" i="89"/>
  <c r="BJ949" i="89"/>
  <c r="BJ961" i="89"/>
  <c r="BJ965" i="89"/>
  <c r="BJ973" i="89"/>
  <c r="BJ977" i="89"/>
  <c r="BJ981" i="89"/>
  <c r="BJ993" i="89"/>
  <c r="BJ997" i="89"/>
  <c r="BJ1009" i="89"/>
  <c r="BJ1013" i="89"/>
  <c r="BJ1025" i="89"/>
  <c r="BJ1029" i="89"/>
  <c r="BJ1033" i="89"/>
  <c r="BJ1037" i="89"/>
  <c r="BJ1041" i="89"/>
  <c r="BJ1045" i="89"/>
  <c r="BJ1057" i="89"/>
  <c r="BJ1061" i="89"/>
  <c r="BJ1069" i="89"/>
  <c r="BJ1073" i="89"/>
  <c r="BJ1077" i="89"/>
  <c r="BJ1089" i="89"/>
  <c r="BJ1093" i="89"/>
  <c r="BJ1105" i="89"/>
  <c r="BJ1109" i="89"/>
  <c r="BJ1121" i="89"/>
  <c r="BJ1125" i="89"/>
  <c r="BJ1133" i="89"/>
  <c r="BJ1137" i="89"/>
  <c r="BJ1141" i="89"/>
  <c r="BJ1153" i="89"/>
  <c r="BJ1157" i="89"/>
  <c r="BJ1169" i="89"/>
  <c r="BJ1173" i="89"/>
  <c r="BJ1185" i="89"/>
  <c r="BJ1189" i="89"/>
  <c r="BJ1197" i="89"/>
  <c r="BJ1201" i="89"/>
  <c r="BJ1205" i="89"/>
  <c r="BJ1217" i="89"/>
  <c r="BJ1221" i="89"/>
  <c r="BJ1233" i="89"/>
  <c r="BJ1237" i="89"/>
  <c r="BJ1249" i="89"/>
  <c r="BJ1253" i="89"/>
  <c r="BJ1261" i="89"/>
  <c r="BJ1265" i="89"/>
  <c r="BJ1269" i="89"/>
  <c r="BJ1281" i="89"/>
  <c r="BJ1285" i="89"/>
  <c r="BJ1293" i="89"/>
  <c r="BJ1297" i="89"/>
  <c r="BJ1301" i="89"/>
  <c r="BJ1313" i="89"/>
  <c r="BJ1317" i="89"/>
  <c r="BJ1325" i="89"/>
  <c r="BJ1329" i="89"/>
  <c r="BJ1333" i="89"/>
  <c r="BJ1345" i="89"/>
  <c r="BJ1349" i="89"/>
  <c r="BJ1361" i="89"/>
  <c r="BJ1365" i="89"/>
  <c r="BJ1377" i="89"/>
  <c r="BJ1381" i="89"/>
  <c r="BJ1389" i="89"/>
  <c r="BJ1393" i="89"/>
  <c r="BJ1397" i="89"/>
  <c r="BJ600" i="89"/>
  <c r="BJ608" i="89"/>
  <c r="BJ612" i="89"/>
  <c r="BJ616" i="89"/>
  <c r="BJ628" i="89"/>
  <c r="BJ632" i="89"/>
  <c r="BJ644" i="89"/>
  <c r="BJ648" i="89"/>
  <c r="BJ660" i="89"/>
  <c r="BJ664" i="89"/>
  <c r="BJ672" i="89"/>
  <c r="BJ676" i="89"/>
  <c r="BJ680" i="89"/>
  <c r="BJ692" i="89"/>
  <c r="BJ696" i="89"/>
  <c r="BJ704" i="89"/>
  <c r="BJ708" i="89"/>
  <c r="BJ712" i="89"/>
  <c r="BJ720" i="89"/>
  <c r="BJ724" i="89"/>
  <c r="BJ728" i="89"/>
  <c r="BJ736" i="89"/>
  <c r="BJ740" i="89"/>
  <c r="BJ744" i="89"/>
  <c r="BJ756" i="89"/>
  <c r="BJ760" i="89"/>
  <c r="BJ772" i="89"/>
  <c r="BJ776" i="89"/>
  <c r="BJ788" i="89"/>
  <c r="BJ792" i="89"/>
  <c r="BJ800" i="89"/>
  <c r="BJ804" i="89"/>
  <c r="BJ808" i="89"/>
  <c r="BJ820" i="89"/>
  <c r="BJ824" i="89"/>
  <c r="BJ832" i="89"/>
  <c r="BJ836" i="89"/>
  <c r="BJ840" i="89"/>
  <c r="BJ848" i="89"/>
  <c r="BJ852" i="89"/>
  <c r="BJ856" i="89"/>
  <c r="BJ864" i="89"/>
  <c r="BJ868" i="89"/>
  <c r="BJ872" i="89"/>
  <c r="BJ884" i="89"/>
  <c r="BJ888" i="89"/>
  <c r="BJ900" i="89"/>
  <c r="BJ904" i="89"/>
  <c r="BJ916" i="89"/>
  <c r="BJ920" i="89"/>
  <c r="BJ928" i="89"/>
  <c r="BJ932" i="89"/>
  <c r="BJ936" i="89"/>
  <c r="BJ948" i="89"/>
  <c r="BJ952" i="89"/>
  <c r="BJ960" i="89"/>
  <c r="BJ964" i="89"/>
  <c r="BJ968" i="89"/>
  <c r="BJ976" i="89"/>
  <c r="BJ980" i="89"/>
  <c r="BJ984" i="89"/>
  <c r="BJ992" i="89"/>
  <c r="BJ996" i="89"/>
  <c r="BJ1000" i="89"/>
  <c r="BJ1012" i="89"/>
  <c r="BJ1016" i="89"/>
  <c r="BJ1028" i="89"/>
  <c r="BJ1032" i="89"/>
  <c r="BJ1044" i="89"/>
  <c r="BJ1048" i="89"/>
  <c r="BJ1056" i="89"/>
  <c r="BJ1060" i="89"/>
  <c r="BJ1064" i="89"/>
  <c r="BJ1076" i="89"/>
  <c r="BJ1080" i="89"/>
  <c r="BJ1088" i="89"/>
  <c r="BJ1092" i="89"/>
  <c r="BJ1096" i="89"/>
  <c r="BJ1104" i="89"/>
  <c r="BJ1108" i="89"/>
  <c r="BJ1112" i="89"/>
  <c r="BJ1120" i="89"/>
  <c r="BJ1124" i="89"/>
  <c r="BJ1128" i="89"/>
  <c r="BJ1140" i="89"/>
  <c r="BJ1144" i="89"/>
  <c r="BJ1156" i="89"/>
  <c r="BJ1160" i="89"/>
  <c r="BJ1172" i="89"/>
  <c r="BJ1176" i="89"/>
  <c r="BJ1184" i="89"/>
  <c r="BJ1188" i="89"/>
  <c r="BJ1192" i="89"/>
  <c r="BJ1204" i="89"/>
  <c r="BJ1208" i="89"/>
  <c r="BJ1216" i="89"/>
  <c r="BJ1220" i="89"/>
  <c r="BJ1224" i="89"/>
  <c r="BJ1232" i="89"/>
  <c r="BJ1236" i="89"/>
  <c r="BJ1240" i="89"/>
  <c r="BJ1248" i="89"/>
  <c r="BJ1252" i="89"/>
  <c r="BJ1256" i="89"/>
  <c r="BJ1268" i="89"/>
  <c r="BJ1272" i="89"/>
  <c r="BJ1284" i="89"/>
  <c r="BJ1288" i="89"/>
  <c r="BJ1300" i="89"/>
  <c r="BJ1304" i="89"/>
  <c r="BJ1312" i="89"/>
  <c r="BJ1316" i="89"/>
  <c r="BJ487" i="89"/>
  <c r="BJ495" i="89"/>
  <c r="BJ499" i="89"/>
  <c r="BJ511" i="89"/>
  <c r="BJ515" i="89"/>
  <c r="BJ527" i="89"/>
  <c r="BJ531" i="89"/>
  <c r="BJ543" i="89"/>
  <c r="BJ547" i="89"/>
  <c r="BJ559" i="89"/>
  <c r="BJ563" i="89"/>
  <c r="BJ575" i="89"/>
  <c r="BJ579" i="89"/>
  <c r="BJ591" i="89"/>
  <c r="BJ595" i="89"/>
  <c r="BJ607" i="89"/>
  <c r="BJ611" i="89"/>
  <c r="BJ623" i="89"/>
  <c r="BJ627" i="89"/>
  <c r="BJ639" i="89"/>
  <c r="BJ643" i="89"/>
  <c r="BJ655" i="89"/>
  <c r="BJ659" i="89"/>
  <c r="BJ671" i="89"/>
  <c r="BJ675" i="89"/>
  <c r="BJ687" i="89"/>
  <c r="BJ691" i="89"/>
  <c r="BJ703" i="89"/>
  <c r="BJ707" i="89"/>
  <c r="BJ719" i="89"/>
  <c r="BJ723" i="89"/>
  <c r="BJ735" i="89"/>
  <c r="BJ739" i="89"/>
  <c r="BJ751" i="89"/>
  <c r="BJ755" i="89"/>
  <c r="BJ767" i="89"/>
  <c r="BJ771" i="89"/>
  <c r="BJ783" i="89"/>
  <c r="BJ787" i="89"/>
  <c r="BJ799" i="89"/>
  <c r="BJ803" i="89"/>
  <c r="BJ815" i="89"/>
  <c r="BJ819" i="89"/>
  <c r="BJ831" i="89"/>
  <c r="BJ835" i="89"/>
  <c r="BJ847" i="89"/>
  <c r="BJ851" i="89"/>
  <c r="BJ863" i="89"/>
  <c r="BJ867" i="89"/>
  <c r="BJ879" i="89"/>
  <c r="BJ883" i="89"/>
  <c r="BJ895" i="89"/>
  <c r="BJ899" i="89"/>
  <c r="BJ911" i="89"/>
  <c r="BJ915" i="89"/>
  <c r="BJ927" i="89"/>
  <c r="BJ931" i="89"/>
  <c r="BJ943" i="89"/>
  <c r="BJ947" i="89"/>
  <c r="BJ959" i="89"/>
  <c r="BJ963" i="89"/>
  <c r="BJ975" i="89"/>
  <c r="BJ979" i="89"/>
  <c r="BJ991" i="89"/>
  <c r="BJ995" i="89"/>
  <c r="BJ999" i="89"/>
  <c r="BJ1007" i="89"/>
  <c r="BJ1011" i="89"/>
  <c r="BJ1027" i="89"/>
  <c r="BJ1039" i="89"/>
  <c r="BJ1043" i="89"/>
  <c r="BJ1059" i="89"/>
  <c r="BJ1071" i="89"/>
  <c r="BJ1075" i="89"/>
  <c r="BJ1091" i="89"/>
  <c r="BJ1103" i="89"/>
  <c r="BJ1107" i="89"/>
  <c r="BJ1123" i="89"/>
  <c r="BJ1135" i="89"/>
  <c r="BJ1139" i="89"/>
  <c r="BJ1155" i="89"/>
  <c r="BJ1167" i="89"/>
  <c r="BJ1171" i="89"/>
  <c r="BJ1187" i="89"/>
  <c r="BJ1199" i="89"/>
  <c r="BJ1203" i="89"/>
  <c r="BJ1219" i="89"/>
  <c r="BJ1231" i="89"/>
  <c r="BJ1235" i="89"/>
  <c r="BJ1251" i="89"/>
  <c r="BJ1263" i="89"/>
  <c r="BJ1267" i="89"/>
  <c r="BJ1283" i="89"/>
  <c r="BJ1295" i="89"/>
  <c r="BJ1299" i="89"/>
  <c r="BJ1315" i="89"/>
  <c r="BJ1327" i="89"/>
  <c r="BJ1331" i="89"/>
  <c r="BJ1347" i="89"/>
  <c r="BJ1359" i="89"/>
  <c r="BJ1363" i="89"/>
  <c r="BJ1379" i="89"/>
  <c r="BJ1391" i="89"/>
  <c r="BJ1395" i="89"/>
  <c r="BJ1411" i="89"/>
  <c r="BJ1423" i="89"/>
  <c r="BJ1427" i="89"/>
  <c r="BJ1443" i="89"/>
  <c r="BJ1459" i="89"/>
  <c r="BJ1475" i="89"/>
  <c r="BJ1487" i="89"/>
  <c r="BJ1491" i="89"/>
  <c r="U96" i="12"/>
  <c r="U63" i="12" s="1"/>
  <c r="U72" i="12" s="1"/>
  <c r="U26" i="12" s="1"/>
  <c r="ES26" i="84" s="1"/>
  <c r="BJ1401" i="89"/>
  <c r="BJ1405" i="89"/>
  <c r="BJ1409" i="89"/>
  <c r="BJ1413" i="89"/>
  <c r="BJ1421" i="89"/>
  <c r="BJ1425" i="89"/>
  <c r="BJ1429" i="89"/>
  <c r="BJ1437" i="89"/>
  <c r="BJ1441" i="89"/>
  <c r="BJ1445" i="89"/>
  <c r="BJ1457" i="89"/>
  <c r="BJ1461" i="89"/>
  <c r="BJ1469" i="89"/>
  <c r="BJ1473" i="89"/>
  <c r="BJ1477" i="89"/>
  <c r="BJ1485" i="89"/>
  <c r="BJ1489" i="89"/>
  <c r="BJ1493" i="89"/>
  <c r="BJ1320" i="89"/>
  <c r="BJ1332" i="89"/>
  <c r="BJ1336" i="89"/>
  <c r="BJ1348" i="89"/>
  <c r="BJ1352" i="89"/>
  <c r="BJ1364" i="89"/>
  <c r="BJ1368" i="89"/>
  <c r="BJ1380" i="89"/>
  <c r="BJ1384" i="89"/>
  <c r="BJ1396" i="89"/>
  <c r="BJ1400" i="89"/>
  <c r="BJ1412" i="89"/>
  <c r="BJ1416" i="89"/>
  <c r="BJ1428" i="89"/>
  <c r="BJ1432" i="89"/>
  <c r="BJ1444" i="89"/>
  <c r="BJ1448" i="89"/>
  <c r="BJ1452" i="89"/>
  <c r="BJ1460" i="89"/>
  <c r="BJ1464" i="89"/>
  <c r="BJ1476" i="89"/>
  <c r="BJ1480" i="89"/>
  <c r="BJ1492" i="89"/>
  <c r="BJ1496"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MF49" i="84" s="1"/>
  <c r="F49" i="16"/>
  <c r="MC49" i="84" s="1"/>
  <c r="E49" i="16"/>
  <c r="MB49" i="84" s="1"/>
  <c r="AE13" i="89" l="1"/>
  <c r="S58" i="12"/>
  <c r="S72" i="12"/>
  <c r="FO9" i="84"/>
  <c r="R31" i="89"/>
  <c r="R15" i="89"/>
  <c r="FO15" i="84" s="1"/>
  <c r="BJ47" i="89"/>
  <c r="S9" i="89"/>
  <c r="S31" i="89" s="1"/>
  <c r="P18" i="84"/>
  <c r="D29" i="69"/>
  <c r="S24" i="12"/>
  <c r="S31" i="12"/>
  <c r="R8" i="89"/>
  <c r="D40" i="94"/>
  <c r="I50" i="69"/>
  <c r="M50" i="84"/>
  <c r="D163" i="94" s="1"/>
  <c r="A52" i="69"/>
  <c r="S34" i="89"/>
  <c r="FP40" i="84" s="1"/>
  <c r="FP12" i="84"/>
  <c r="T12" i="89"/>
  <c r="T13" i="89" s="1"/>
  <c r="FQ13" i="84" s="1"/>
  <c r="EQ14" i="84"/>
  <c r="S15" i="12"/>
  <c r="T33" i="89"/>
  <c r="FQ11" i="84"/>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U1428" i="89"/>
  <c r="BQ1412" i="89"/>
  <c r="BS1412" i="89"/>
  <c r="BU1412" i="89"/>
  <c r="BQ1396" i="89"/>
  <c r="BS1396" i="89"/>
  <c r="BU1396" i="89"/>
  <c r="BQ1380" i="89"/>
  <c r="BS1380" i="89"/>
  <c r="BU1380" i="89"/>
  <c r="BQ1364" i="89"/>
  <c r="BS1364" i="89"/>
  <c r="BU1364" i="89"/>
  <c r="BQ1348" i="89"/>
  <c r="BS1348" i="89"/>
  <c r="BU1348" i="89"/>
  <c r="BW1348" i="89" s="1"/>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W836" i="89" s="1"/>
  <c r="BQ820" i="89"/>
  <c r="BS820" i="89"/>
  <c r="BU820" i="89"/>
  <c r="BQ804" i="89"/>
  <c r="BS804" i="89"/>
  <c r="BU804" i="89"/>
  <c r="BQ788" i="89"/>
  <c r="BS788" i="89"/>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W1384" i="89" s="1"/>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W1256" i="89" s="1"/>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W1000" i="89" s="1"/>
  <c r="BQ984" i="89"/>
  <c r="BS984" i="89"/>
  <c r="BU984" i="89"/>
  <c r="BQ968" i="89"/>
  <c r="BS968" i="89"/>
  <c r="BU968" i="89"/>
  <c r="BQ952" i="89"/>
  <c r="BS952" i="89"/>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U824" i="89"/>
  <c r="BQ808" i="89"/>
  <c r="BS808" i="89"/>
  <c r="BU808" i="89"/>
  <c r="BQ792" i="89"/>
  <c r="BS792" i="89"/>
  <c r="BU792" i="89"/>
  <c r="BW792" i="89" s="1"/>
  <c r="BQ776" i="89"/>
  <c r="BS776" i="89"/>
  <c r="BU776" i="89"/>
  <c r="BQ760" i="89"/>
  <c r="BS760" i="89"/>
  <c r="BU760" i="89"/>
  <c r="BQ744" i="89"/>
  <c r="BS744" i="89"/>
  <c r="BU744" i="89"/>
  <c r="BW744" i="89" s="1"/>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W789" i="89" s="1"/>
  <c r="BQ773" i="89"/>
  <c r="BS773" i="89"/>
  <c r="BU773" i="89"/>
  <c r="BQ757" i="89"/>
  <c r="BS757" i="89"/>
  <c r="BU757" i="89"/>
  <c r="BQ741" i="89"/>
  <c r="BS741" i="89"/>
  <c r="BU741" i="89"/>
  <c r="BQ725" i="89"/>
  <c r="BS725" i="89"/>
  <c r="BU725" i="89"/>
  <c r="BQ709" i="89"/>
  <c r="BS709" i="89"/>
  <c r="BU709" i="89"/>
  <c r="BQ693" i="89"/>
  <c r="BS693" i="89"/>
  <c r="BU693" i="89"/>
  <c r="BW693" i="89" s="1"/>
  <c r="BQ677" i="89"/>
  <c r="BS677" i="89"/>
  <c r="BU677" i="89"/>
  <c r="BQ661" i="89"/>
  <c r="BS661" i="89"/>
  <c r="BU661" i="89"/>
  <c r="BW661" i="89" s="1"/>
  <c r="BQ645" i="89"/>
  <c r="BS645" i="89"/>
  <c r="BU645" i="89"/>
  <c r="BQ629" i="89"/>
  <c r="BS629" i="89"/>
  <c r="BU629" i="89"/>
  <c r="BQ613" i="89"/>
  <c r="BS613" i="89"/>
  <c r="BU613" i="89"/>
  <c r="BQ597" i="89"/>
  <c r="BS597" i="89"/>
  <c r="BU597" i="89"/>
  <c r="BQ581" i="89"/>
  <c r="BS581" i="89"/>
  <c r="BU581" i="89"/>
  <c r="BQ565" i="89"/>
  <c r="BS565" i="89"/>
  <c r="BU565" i="89"/>
  <c r="BW565" i="89" s="1"/>
  <c r="BQ549" i="89"/>
  <c r="BS549" i="89"/>
  <c r="BU549" i="89"/>
  <c r="BQ533" i="89"/>
  <c r="BS533" i="89"/>
  <c r="BU533" i="89"/>
  <c r="BW533" i="89" s="1"/>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W1378" i="89" s="1"/>
  <c r="BQ1362" i="89"/>
  <c r="BS1362" i="89"/>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W1250" i="89" s="1"/>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W1122" i="89" s="1"/>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W994" i="89" s="1"/>
  <c r="BQ978" i="89"/>
  <c r="BS978" i="89"/>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W866" i="89" s="1"/>
  <c r="BQ850" i="89"/>
  <c r="BS850" i="89"/>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W738" i="89" s="1"/>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W610" i="89" s="1"/>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W67" i="89" s="1"/>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W660" i="89" s="1"/>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W532" i="89" s="1"/>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W1377" i="89" s="1"/>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W1249" i="89" s="1"/>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W1121" i="89" s="1"/>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W993" i="89" s="1"/>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W865" i="89" s="1"/>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W737" i="89" s="1"/>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W1216" i="89" s="1"/>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W1088" i="89" s="1"/>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W960" i="89" s="1"/>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W832" i="89" s="1"/>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W704" i="89" s="1"/>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W1469" i="89" s="1"/>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W490" i="89" s="1"/>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W364" i="89" s="1"/>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Q1343" i="89"/>
  <c r="BQ1327" i="89"/>
  <c r="BQ1311" i="89"/>
  <c r="BQ1295" i="89"/>
  <c r="BW1295" i="89" s="1"/>
  <c r="BQ1279" i="89"/>
  <c r="BQ1263" i="89"/>
  <c r="BQ1247" i="89"/>
  <c r="BQ1231" i="89"/>
  <c r="BQ1215" i="89"/>
  <c r="BQ1199" i="89"/>
  <c r="BQ1183" i="89"/>
  <c r="BQ1167" i="89"/>
  <c r="BW1167" i="89" s="1"/>
  <c r="BQ1151" i="89"/>
  <c r="BQ1135" i="89"/>
  <c r="BQ1119" i="89"/>
  <c r="BQ1103" i="89"/>
  <c r="BQ1087" i="89"/>
  <c r="BQ1071" i="89"/>
  <c r="BQ1055" i="89"/>
  <c r="BQ1039" i="89"/>
  <c r="BW1039" i="89" s="1"/>
  <c r="BQ1023" i="89"/>
  <c r="BQ1007" i="89"/>
  <c r="BQ991" i="89"/>
  <c r="BW991" i="89" s="1"/>
  <c r="BQ975" i="89"/>
  <c r="BW975" i="89" s="1"/>
  <c r="BQ959" i="89"/>
  <c r="BQ943" i="89"/>
  <c r="BQ927" i="89"/>
  <c r="BQ911" i="89"/>
  <c r="BW911" i="89" s="1"/>
  <c r="BQ895" i="89"/>
  <c r="BQ879" i="89"/>
  <c r="BQ863" i="89"/>
  <c r="BW863" i="89" s="1"/>
  <c r="BQ847" i="89"/>
  <c r="BW847" i="89" s="1"/>
  <c r="BQ831" i="89"/>
  <c r="BQ815" i="89"/>
  <c r="BQ799" i="89"/>
  <c r="BQ783" i="89"/>
  <c r="BW783" i="89" s="1"/>
  <c r="BQ767" i="89"/>
  <c r="BQ751" i="89"/>
  <c r="BQ735" i="89"/>
  <c r="BW735" i="89" s="1"/>
  <c r="BQ719" i="89"/>
  <c r="BW719" i="89" s="1"/>
  <c r="BQ703" i="89"/>
  <c r="BQ687" i="89"/>
  <c r="BQ671" i="89"/>
  <c r="BQ655" i="89"/>
  <c r="BW655" i="89" s="1"/>
  <c r="BQ639" i="89"/>
  <c r="BQ623" i="89"/>
  <c r="BQ607" i="89"/>
  <c r="BW607" i="89" s="1"/>
  <c r="BQ591" i="89"/>
  <c r="BW591" i="89" s="1"/>
  <c r="BQ575" i="89"/>
  <c r="BQ543" i="89"/>
  <c r="BQ527" i="89"/>
  <c r="BQ511" i="89"/>
  <c r="BQ484" i="89"/>
  <c r="BQ609" i="89"/>
  <c r="BQ593" i="89"/>
  <c r="BQ577" i="89"/>
  <c r="BQ561" i="89"/>
  <c r="BQ545" i="89"/>
  <c r="BQ529" i="89"/>
  <c r="BQ513" i="89"/>
  <c r="BW513" i="89" s="1"/>
  <c r="BQ497" i="89"/>
  <c r="BQ45" i="89"/>
  <c r="BQ1486" i="89"/>
  <c r="BQ1470" i="89"/>
  <c r="BQ1454" i="89"/>
  <c r="BQ1438" i="89"/>
  <c r="BQ1422" i="89"/>
  <c r="BQ1406" i="89"/>
  <c r="BW1406" i="89" s="1"/>
  <c r="BQ1390" i="89"/>
  <c r="BQ1374" i="89"/>
  <c r="BQ1358" i="89"/>
  <c r="BQ1342" i="89"/>
  <c r="BQ1326" i="89"/>
  <c r="BQ1310" i="89"/>
  <c r="BQ1294" i="89"/>
  <c r="BQ1278" i="89"/>
  <c r="BW1278" i="89" s="1"/>
  <c r="BQ1262" i="89"/>
  <c r="BQ1246" i="89"/>
  <c r="BQ1230" i="89"/>
  <c r="BQ1214" i="89"/>
  <c r="BQ1198" i="89"/>
  <c r="BQ1182" i="89"/>
  <c r="BQ1166" i="89"/>
  <c r="BQ1150" i="89"/>
  <c r="BW1150" i="89" s="1"/>
  <c r="BQ1134" i="89"/>
  <c r="BQ1118" i="89"/>
  <c r="BQ1102" i="89"/>
  <c r="BQ1086" i="89"/>
  <c r="BQ1070" i="89"/>
  <c r="BQ1054" i="89"/>
  <c r="BQ1038" i="89"/>
  <c r="BQ1022" i="89"/>
  <c r="BW1022" i="89" s="1"/>
  <c r="BQ1006" i="89"/>
  <c r="BQ990" i="89"/>
  <c r="BQ974" i="89"/>
  <c r="BQ958" i="89"/>
  <c r="BQ942" i="89"/>
  <c r="BQ926" i="89"/>
  <c r="BQ910" i="89"/>
  <c r="BQ894" i="89"/>
  <c r="BW894" i="89" s="1"/>
  <c r="BQ878" i="89"/>
  <c r="BQ862" i="89"/>
  <c r="BQ846" i="89"/>
  <c r="BQ830" i="89"/>
  <c r="BQ814" i="89"/>
  <c r="BQ798" i="89"/>
  <c r="BQ782" i="89"/>
  <c r="BQ766" i="89"/>
  <c r="BW766" i="89" s="1"/>
  <c r="BQ750" i="89"/>
  <c r="BQ734" i="89"/>
  <c r="BQ718" i="89"/>
  <c r="BQ702" i="89"/>
  <c r="BQ686" i="89"/>
  <c r="BQ670" i="89"/>
  <c r="BQ654" i="89"/>
  <c r="BQ638" i="89"/>
  <c r="BW638" i="89" s="1"/>
  <c r="BQ622" i="89"/>
  <c r="BQ606" i="89"/>
  <c r="BQ590" i="89"/>
  <c r="BQ574" i="89"/>
  <c r="BQ558" i="89"/>
  <c r="BQ542" i="89"/>
  <c r="BQ510" i="89"/>
  <c r="BQ494" i="89"/>
  <c r="BW494" i="89" s="1"/>
  <c r="BQ479" i="89"/>
  <c r="BQ463" i="89"/>
  <c r="BQ447" i="89"/>
  <c r="BQ431" i="89"/>
  <c r="BW431" i="89" s="1"/>
  <c r="BQ415" i="89"/>
  <c r="BQ399" i="89"/>
  <c r="BQ383" i="89"/>
  <c r="BQ367" i="89"/>
  <c r="BW367" i="89" s="1"/>
  <c r="BQ351" i="89"/>
  <c r="BQ335" i="89"/>
  <c r="BQ319" i="89"/>
  <c r="BQ303" i="89"/>
  <c r="BW303" i="89" s="1"/>
  <c r="BQ287" i="89"/>
  <c r="BQ271" i="89"/>
  <c r="BQ255" i="89"/>
  <c r="BQ239" i="89"/>
  <c r="BW239" i="89" s="1"/>
  <c r="BQ223" i="89"/>
  <c r="BQ207" i="89"/>
  <c r="BQ191" i="89"/>
  <c r="BQ175" i="89"/>
  <c r="BW175" i="89" s="1"/>
  <c r="BQ159" i="89"/>
  <c r="BQ143" i="89"/>
  <c r="BQ127" i="89"/>
  <c r="BQ111" i="89"/>
  <c r="BW111" i="89" s="1"/>
  <c r="BQ95" i="89"/>
  <c r="BQ79" i="89"/>
  <c r="BQ63" i="89"/>
  <c r="BQ480" i="89"/>
  <c r="BW480" i="89" s="1"/>
  <c r="BQ464" i="89"/>
  <c r="BQ448" i="89"/>
  <c r="BQ432" i="89"/>
  <c r="BQ416" i="89"/>
  <c r="BW416" i="89" s="1"/>
  <c r="BQ384" i="89"/>
  <c r="BQ368" i="89"/>
  <c r="BQ352" i="89"/>
  <c r="BQ336" i="89"/>
  <c r="BQ320" i="89"/>
  <c r="BQ304" i="89"/>
  <c r="BQ288" i="89"/>
  <c r="BQ256" i="89"/>
  <c r="BW256" i="89" s="1"/>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W1448" i="89"/>
  <c r="BW1320" i="89"/>
  <c r="BW1029" i="89"/>
  <c r="BW1218"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W219" i="89" s="1"/>
  <c r="BQ203" i="89"/>
  <c r="BQ187" i="89"/>
  <c r="BQ171" i="89"/>
  <c r="BQ155" i="89"/>
  <c r="BQ139" i="89"/>
  <c r="BQ123" i="89"/>
  <c r="BQ107" i="89"/>
  <c r="BQ91" i="89"/>
  <c r="BW91" i="89" s="1"/>
  <c r="BQ75" i="89"/>
  <c r="BQ59" i="89"/>
  <c r="BQ476" i="89"/>
  <c r="BQ460" i="89"/>
  <c r="BQ444" i="89"/>
  <c r="BQ428" i="89"/>
  <c r="BQ412" i="89"/>
  <c r="BQ396" i="89"/>
  <c r="BW396" i="89" s="1"/>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W1172" i="89"/>
  <c r="BW788" i="89"/>
  <c r="BW756" i="89"/>
  <c r="BW500" i="89"/>
  <c r="BW1474" i="89"/>
  <c r="BW495" i="89"/>
  <c r="BW1473" i="89"/>
  <c r="BW1345" i="89"/>
  <c r="BW1313" i="89"/>
  <c r="BW1185" i="89"/>
  <c r="BW1089" i="89"/>
  <c r="BW961" i="89"/>
  <c r="BW833" i="89"/>
  <c r="BW705" i="89"/>
  <c r="BW674" i="89"/>
  <c r="BW559" i="89"/>
  <c r="BQ1431" i="89"/>
  <c r="BQ1383" i="89"/>
  <c r="BQ1303" i="89"/>
  <c r="BQ1255" i="89"/>
  <c r="BQ1175" i="89"/>
  <c r="BQ1127" i="89"/>
  <c r="BQ1047" i="89"/>
  <c r="BQ999" i="89"/>
  <c r="BW999" i="89" s="1"/>
  <c r="BQ919" i="89"/>
  <c r="BQ871" i="89"/>
  <c r="BQ791" i="89"/>
  <c r="BQ743" i="89"/>
  <c r="BQ663" i="89"/>
  <c r="BQ615" i="89"/>
  <c r="BQ535" i="89"/>
  <c r="BQ487" i="89"/>
  <c r="BQ1462" i="89"/>
  <c r="BQ1382" i="89"/>
  <c r="BW1382" i="89" s="1"/>
  <c r="BQ1334" i="89"/>
  <c r="BQ456" i="89"/>
  <c r="BQ424" i="89"/>
  <c r="BQ392" i="89"/>
  <c r="BW392" i="89" s="1"/>
  <c r="BQ360" i="89"/>
  <c r="BQ328" i="89"/>
  <c r="BQ296" i="89"/>
  <c r="BQ264" i="89"/>
  <c r="BQ1491" i="89"/>
  <c r="BW1491" i="89" s="1"/>
  <c r="BQ1475" i="89"/>
  <c r="BQ1459" i="89"/>
  <c r="BQ1443" i="89"/>
  <c r="BW1443" i="89" s="1"/>
  <c r="BQ1427" i="89"/>
  <c r="BW1427" i="89" s="1"/>
  <c r="BQ1411" i="89"/>
  <c r="BQ1395" i="89"/>
  <c r="BQ1379" i="89"/>
  <c r="BW1379" i="89" s="1"/>
  <c r="BQ1363" i="89"/>
  <c r="BQ1347" i="89"/>
  <c r="BQ1331" i="89"/>
  <c r="BQ1315" i="89"/>
  <c r="BW1315" i="89" s="1"/>
  <c r="BQ1299" i="89"/>
  <c r="BW1299" i="89" s="1"/>
  <c r="BQ1283" i="89"/>
  <c r="BQ1267" i="89"/>
  <c r="BQ1251" i="89"/>
  <c r="BW1251" i="89" s="1"/>
  <c r="BQ1235" i="89"/>
  <c r="BQ1219" i="89"/>
  <c r="BQ1203" i="89"/>
  <c r="BQ1187" i="89"/>
  <c r="BW1187" i="89" s="1"/>
  <c r="BQ1171" i="89"/>
  <c r="BW1171" i="89" s="1"/>
  <c r="BQ1155" i="89"/>
  <c r="BQ1139" i="89"/>
  <c r="BQ1123" i="89"/>
  <c r="BW1123" i="89" s="1"/>
  <c r="BQ1107" i="89"/>
  <c r="BQ1091" i="89"/>
  <c r="BQ1075" i="89"/>
  <c r="BQ1059" i="89"/>
  <c r="BQ1043" i="89"/>
  <c r="BW1043" i="89" s="1"/>
  <c r="BQ1027" i="89"/>
  <c r="BQ1011" i="89"/>
  <c r="BQ995" i="89"/>
  <c r="BW995" i="89" s="1"/>
  <c r="BQ979" i="89"/>
  <c r="BQ963" i="89"/>
  <c r="BQ947" i="89"/>
  <c r="BQ931" i="89"/>
  <c r="BQ915" i="89"/>
  <c r="BW915" i="89" s="1"/>
  <c r="BQ899" i="89"/>
  <c r="BQ883" i="89"/>
  <c r="BQ867" i="89"/>
  <c r="BW867" i="89" s="1"/>
  <c r="BQ851" i="89"/>
  <c r="BW851" i="89" s="1"/>
  <c r="BQ835" i="89"/>
  <c r="BQ819" i="89"/>
  <c r="BQ803" i="89"/>
  <c r="BW803" i="89" s="1"/>
  <c r="BQ787" i="89"/>
  <c r="BQ771" i="89"/>
  <c r="BQ755" i="89"/>
  <c r="BQ739" i="89"/>
  <c r="BQ723" i="89"/>
  <c r="BW723" i="89" s="1"/>
  <c r="BQ707" i="89"/>
  <c r="BQ691" i="89"/>
  <c r="BQ675" i="89"/>
  <c r="BW675" i="89" s="1"/>
  <c r="BQ659" i="89"/>
  <c r="BW659" i="89" s="1"/>
  <c r="BQ643" i="89"/>
  <c r="BQ627" i="89"/>
  <c r="BQ611" i="89"/>
  <c r="BW611" i="89" s="1"/>
  <c r="BQ595" i="89"/>
  <c r="BW595" i="89" s="1"/>
  <c r="BQ579" i="89"/>
  <c r="BQ563" i="89"/>
  <c r="BQ547" i="89"/>
  <c r="BW547" i="89" s="1"/>
  <c r="BQ531" i="89"/>
  <c r="BQ515" i="89"/>
  <c r="BQ499" i="89"/>
  <c r="BQ488" i="89"/>
  <c r="BQ485" i="89"/>
  <c r="BQ546" i="89"/>
  <c r="BQ530" i="89"/>
  <c r="BQ514" i="89"/>
  <c r="BQ498" i="89"/>
  <c r="BQ483" i="89"/>
  <c r="BQ467" i="89"/>
  <c r="BQ451" i="89"/>
  <c r="BQ435" i="89"/>
  <c r="BQ419" i="89"/>
  <c r="BQ403" i="89"/>
  <c r="BQ387" i="89"/>
  <c r="BQ371" i="89"/>
  <c r="BQ355" i="89"/>
  <c r="BW355" i="89" s="1"/>
  <c r="BQ339" i="89"/>
  <c r="BQ323" i="89"/>
  <c r="BQ307" i="89"/>
  <c r="BQ291" i="89"/>
  <c r="BQ275" i="89"/>
  <c r="BQ259" i="89"/>
  <c r="BQ243" i="89"/>
  <c r="BQ227" i="89"/>
  <c r="BW227" i="89" s="1"/>
  <c r="BQ211" i="89"/>
  <c r="BQ195" i="89"/>
  <c r="BQ179" i="89"/>
  <c r="BQ163" i="89"/>
  <c r="BQ147" i="89"/>
  <c r="BQ131" i="89"/>
  <c r="BQ115" i="89"/>
  <c r="BQ99" i="89"/>
  <c r="BQ83" i="89"/>
  <c r="BQ51" i="89"/>
  <c r="BQ468" i="89"/>
  <c r="BW468" i="89" s="1"/>
  <c r="BQ452" i="89"/>
  <c r="BW452" i="89" s="1"/>
  <c r="BQ420" i="89"/>
  <c r="BQ404" i="89"/>
  <c r="BQ388" i="89"/>
  <c r="BQ372" i="89"/>
  <c r="BQ356" i="89"/>
  <c r="BQ340" i="89"/>
  <c r="BQ324" i="89"/>
  <c r="BQ292" i="89"/>
  <c r="BW292" i="89" s="1"/>
  <c r="BQ276" i="89"/>
  <c r="BQ260" i="89"/>
  <c r="BQ244" i="89"/>
  <c r="BQ228" i="89"/>
  <c r="BW228" i="89" s="1"/>
  <c r="BQ212" i="89"/>
  <c r="BQ196" i="89"/>
  <c r="BQ164" i="89"/>
  <c r="BQ148" i="89"/>
  <c r="BQ132" i="89"/>
  <c r="BQ116" i="89"/>
  <c r="BQ100" i="89"/>
  <c r="BQ84" i="89"/>
  <c r="BQ68" i="89"/>
  <c r="BQ469" i="89"/>
  <c r="BW469" i="89" s="1"/>
  <c r="BQ453" i="89"/>
  <c r="BQ437" i="89"/>
  <c r="BQ421" i="89"/>
  <c r="BQ405" i="89"/>
  <c r="BW405" i="89" s="1"/>
  <c r="BQ389" i="89"/>
  <c r="BQ373" i="89"/>
  <c r="BQ357" i="89"/>
  <c r="BQ341" i="89"/>
  <c r="BW341" i="89" s="1"/>
  <c r="BQ325" i="89"/>
  <c r="BQ309" i="89"/>
  <c r="BQ293" i="89"/>
  <c r="BQ277" i="89"/>
  <c r="BQ261" i="89"/>
  <c r="BQ245" i="89"/>
  <c r="BQ229" i="89"/>
  <c r="BW229" i="89" s="1"/>
  <c r="BQ213" i="89"/>
  <c r="BW213" i="89" s="1"/>
  <c r="BQ197" i="89"/>
  <c r="BQ181" i="89"/>
  <c r="BQ165" i="89"/>
  <c r="BQ149" i="89"/>
  <c r="BW149" i="89" s="1"/>
  <c r="BQ133" i="89"/>
  <c r="BQ117" i="89"/>
  <c r="BQ101" i="89"/>
  <c r="BW101" i="89" s="1"/>
  <c r="BQ85" i="89"/>
  <c r="BW85" i="89" s="1"/>
  <c r="BQ69" i="89"/>
  <c r="BQ53" i="89"/>
  <c r="BQ470" i="89"/>
  <c r="BW470" i="89" s="1"/>
  <c r="BQ454" i="89"/>
  <c r="BW454" i="89" s="1"/>
  <c r="BQ438" i="89"/>
  <c r="BQ422" i="89"/>
  <c r="BQ406" i="89"/>
  <c r="BQ390" i="89"/>
  <c r="BW390" i="89" s="1"/>
  <c r="BQ374" i="89"/>
  <c r="BQ358" i="89"/>
  <c r="BQ342" i="89"/>
  <c r="BQ326" i="89"/>
  <c r="BW326" i="89" s="1"/>
  <c r="BQ310" i="89"/>
  <c r="BQ294" i="89"/>
  <c r="BQ278" i="89"/>
  <c r="BQ262" i="89"/>
  <c r="BW262" i="89" s="1"/>
  <c r="BQ246" i="89"/>
  <c r="BQ230" i="89"/>
  <c r="BQ214" i="89"/>
  <c r="BQ198" i="89"/>
  <c r="BQ182" i="89"/>
  <c r="BQ166" i="89"/>
  <c r="BQ150" i="89"/>
  <c r="BW150" i="89" s="1"/>
  <c r="BQ134" i="89"/>
  <c r="BW134" i="89" s="1"/>
  <c r="BQ118" i="89"/>
  <c r="BQ102" i="89"/>
  <c r="BQ86" i="89"/>
  <c r="BQ70" i="89"/>
  <c r="BW70" i="89" s="1"/>
  <c r="BQ54" i="89"/>
  <c r="BJ1280" i="89"/>
  <c r="BJ1152" i="89"/>
  <c r="BJ1024" i="89"/>
  <c r="BW1024" i="89" s="1"/>
  <c r="BJ896" i="89"/>
  <c r="BJ768" i="89"/>
  <c r="BW768" i="89" s="1"/>
  <c r="BJ640" i="89"/>
  <c r="BW640" i="89" s="1"/>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W656" i="89" s="1"/>
  <c r="BJ1165" i="89"/>
  <c r="BJ1439" i="89"/>
  <c r="BW1439" i="89" s="1"/>
  <c r="BJ1375" i="89"/>
  <c r="BJ1311" i="89"/>
  <c r="BW1311" i="89" s="1"/>
  <c r="BJ1247" i="89"/>
  <c r="BJ1183" i="89"/>
  <c r="BW1183" i="89" s="1"/>
  <c r="BJ1119" i="89"/>
  <c r="BJ1055" i="89"/>
  <c r="BW1055" i="89" s="1"/>
  <c r="BJ1200" i="89"/>
  <c r="BJ1072" i="89"/>
  <c r="BJ944" i="89"/>
  <c r="BJ816" i="89"/>
  <c r="BJ688" i="89"/>
  <c r="BJ1357" i="89"/>
  <c r="BJ1101" i="89"/>
  <c r="BJ1005" i="89"/>
  <c r="BJ749" i="89"/>
  <c r="BW1141" i="89"/>
  <c r="BW1397" i="89"/>
  <c r="BW1393" i="89"/>
  <c r="BW885" i="89"/>
  <c r="BW629" i="89"/>
  <c r="BW1412" i="89"/>
  <c r="BW927" i="89"/>
  <c r="BW799" i="89"/>
  <c r="BW671" i="89"/>
  <c r="BW724" i="89"/>
  <c r="BW800" i="89"/>
  <c r="BW842" i="89"/>
  <c r="BW672" i="89"/>
  <c r="BW1380" i="89"/>
  <c r="BW929" i="89"/>
  <c r="BW721" i="89"/>
  <c r="BW1134" i="89"/>
  <c r="BW1428" i="89"/>
  <c r="BW1252" i="89"/>
  <c r="BW1124" i="89"/>
  <c r="BW996" i="89"/>
  <c r="BW868" i="89"/>
  <c r="BW1284" i="89"/>
  <c r="BW1156" i="89"/>
  <c r="BW1028" i="89"/>
  <c r="BW900" i="89"/>
  <c r="BW644" i="89"/>
  <c r="BW801" i="89"/>
  <c r="BW1359" i="89"/>
  <c r="BW1231" i="89"/>
  <c r="BW1103" i="89"/>
  <c r="BW676"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W553" i="89" s="1"/>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W1289" i="89" s="1"/>
  <c r="BJ777" i="89"/>
  <c r="BW777" i="89" s="1"/>
  <c r="BJ540" i="89"/>
  <c r="BJ264" i="89"/>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W1404" i="89" s="1"/>
  <c r="BJ1175" i="89"/>
  <c r="BJ663" i="89"/>
  <c r="BJ1177" i="89"/>
  <c r="BW1177" i="89" s="1"/>
  <c r="BJ665" i="89"/>
  <c r="BW665" i="89" s="1"/>
  <c r="BJ1334" i="89"/>
  <c r="BJ588" i="89"/>
  <c r="BJ360" i="89"/>
  <c r="BW1401" i="89"/>
  <c r="BW787" i="89"/>
  <c r="BW531" i="89"/>
  <c r="BW487" i="89"/>
  <c r="BW1065" i="89"/>
  <c r="BW1288" i="89"/>
  <c r="BW1192" i="89"/>
  <c r="BW1160" i="89"/>
  <c r="BW1064" i="89"/>
  <c r="BW1032" i="89"/>
  <c r="BW936" i="89"/>
  <c r="BW904" i="89"/>
  <c r="BW808" i="89"/>
  <c r="BW776" i="89"/>
  <c r="BW680" i="89"/>
  <c r="BW648" i="89"/>
  <c r="BW1237" i="89"/>
  <c r="BW981" i="89"/>
  <c r="BW725" i="89"/>
  <c r="BW1090" i="89"/>
  <c r="BW1058" i="89"/>
  <c r="BW962" i="89"/>
  <c r="BW930" i="89"/>
  <c r="BW1161" i="89"/>
  <c r="BW757" i="89"/>
  <c r="BW568" i="89"/>
  <c r="BW520" i="89"/>
  <c r="BW421" i="89"/>
  <c r="BW165" i="89"/>
  <c r="BW1269" i="89"/>
  <c r="BW1013" i="89"/>
  <c r="BW501" i="89"/>
  <c r="BW1362" i="89"/>
  <c r="BW1363" i="89"/>
  <c r="BW1235" i="89"/>
  <c r="BW1107" i="89"/>
  <c r="BW979" i="89"/>
  <c r="BW1312" i="89"/>
  <c r="BW1184" i="89"/>
  <c r="BW1056" i="89"/>
  <c r="BW928" i="89"/>
  <c r="BW931" i="89"/>
  <c r="BW1445" i="89"/>
  <c r="BW1059" i="89"/>
  <c r="BW1416" i="89"/>
  <c r="BW952" i="89"/>
  <c r="BW824" i="89"/>
  <c r="BW1365" i="89"/>
  <c r="BW264" i="89"/>
  <c r="BW834" i="89"/>
  <c r="BW802" i="89"/>
  <c r="BW706" i="89"/>
  <c r="BW578" i="89"/>
  <c r="BW419" i="89"/>
  <c r="BW99" i="89"/>
  <c r="BW122" i="89"/>
  <c r="BW1442" i="89"/>
  <c r="BW1314" i="89"/>
  <c r="BW1109" i="89"/>
  <c r="BW853" i="89"/>
  <c r="BW597" i="89"/>
  <c r="BW1346" i="89"/>
  <c r="BW978" i="89"/>
  <c r="BW850" i="89"/>
  <c r="BW754" i="89"/>
  <c r="BW552"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W544" i="89" s="1"/>
  <c r="BJ512" i="89"/>
  <c r="BW512" i="89" s="1"/>
  <c r="BJ1472" i="89"/>
  <c r="BJ1440" i="89"/>
  <c r="BW1440" i="89" s="1"/>
  <c r="BJ1408" i="89"/>
  <c r="BW1408" i="89" s="1"/>
  <c r="BJ1376" i="89"/>
  <c r="BJ1344" i="89"/>
  <c r="BJ1467" i="89"/>
  <c r="BJ1435" i="89"/>
  <c r="BW1435" i="89" s="1"/>
  <c r="BJ1403" i="89"/>
  <c r="BJ1371" i="89"/>
  <c r="BW1371" i="89" s="1"/>
  <c r="BJ1339" i="89"/>
  <c r="BJ1307" i="89"/>
  <c r="BW1307" i="89" s="1"/>
  <c r="BJ1275" i="89"/>
  <c r="BJ1243" i="89"/>
  <c r="BW1243" i="89" s="1"/>
  <c r="BJ1211" i="89"/>
  <c r="BJ1179" i="89"/>
  <c r="BW1179" i="89" s="1"/>
  <c r="BJ1147" i="89"/>
  <c r="BJ1115" i="89"/>
  <c r="BW1115" i="89" s="1"/>
  <c r="BJ1083" i="89"/>
  <c r="BJ1051" i="89"/>
  <c r="BW1051" i="89" s="1"/>
  <c r="BJ1019" i="89"/>
  <c r="BJ987" i="89"/>
  <c r="BW987" i="89" s="1"/>
  <c r="BJ955" i="89"/>
  <c r="BJ923" i="89"/>
  <c r="BW923" i="89" s="1"/>
  <c r="BJ891" i="89"/>
  <c r="BJ859" i="89"/>
  <c r="BW859" i="89" s="1"/>
  <c r="BJ827" i="89"/>
  <c r="BJ795" i="89"/>
  <c r="BW795" i="89" s="1"/>
  <c r="BJ763" i="89"/>
  <c r="BJ731" i="89"/>
  <c r="BW731" i="89" s="1"/>
  <c r="BJ699" i="89"/>
  <c r="BJ667" i="89"/>
  <c r="BW667" i="89" s="1"/>
  <c r="BJ635" i="89"/>
  <c r="BJ603" i="89"/>
  <c r="BW603" i="89" s="1"/>
  <c r="BJ571" i="89"/>
  <c r="BJ539" i="89"/>
  <c r="BW539" i="89" s="1"/>
  <c r="BJ507" i="89"/>
  <c r="BJ1482" i="89"/>
  <c r="BW1482" i="89" s="1"/>
  <c r="BJ1450" i="89"/>
  <c r="BJ1418" i="89"/>
  <c r="BJ1386" i="89"/>
  <c r="BW1386" i="89" s="1"/>
  <c r="BJ1354" i="89"/>
  <c r="BJ1322" i="89"/>
  <c r="BJ1290" i="89"/>
  <c r="BJ592" i="89"/>
  <c r="BJ560" i="89"/>
  <c r="BJ528" i="89"/>
  <c r="BJ496" i="89"/>
  <c r="BJ1373" i="89"/>
  <c r="BJ1341" i="89"/>
  <c r="BJ1309" i="89"/>
  <c r="BW1309" i="89" s="1"/>
  <c r="BJ1277" i="89"/>
  <c r="BJ1245" i="89"/>
  <c r="BJ1213" i="89"/>
  <c r="BJ1181" i="89"/>
  <c r="BW1181" i="89" s="1"/>
  <c r="BJ1149" i="89"/>
  <c r="BJ1117" i="89"/>
  <c r="BJ1085" i="89"/>
  <c r="BJ1053" i="89"/>
  <c r="BW1053" i="89" s="1"/>
  <c r="BJ1021" i="89"/>
  <c r="BJ989" i="89"/>
  <c r="BJ957" i="89"/>
  <c r="BJ925" i="89"/>
  <c r="BW925" i="89" s="1"/>
  <c r="BJ893" i="89"/>
  <c r="BJ861" i="89"/>
  <c r="BJ829" i="89"/>
  <c r="BJ797" i="89"/>
  <c r="BW797" i="89" s="1"/>
  <c r="BJ765" i="89"/>
  <c r="BJ733" i="89"/>
  <c r="BJ701" i="89"/>
  <c r="BJ669" i="89"/>
  <c r="BW669" i="89" s="1"/>
  <c r="BJ637" i="89"/>
  <c r="BJ605" i="89"/>
  <c r="BJ573" i="89"/>
  <c r="BJ541" i="89"/>
  <c r="BJ509" i="89"/>
  <c r="BW509" i="89" s="1"/>
  <c r="BJ580" i="89"/>
  <c r="BJ548" i="89"/>
  <c r="BJ516" i="89"/>
  <c r="BJ43" i="89"/>
  <c r="W54" i="12"/>
  <c r="W72" i="12" s="1"/>
  <c r="V72" i="12"/>
  <c r="V26" i="12" s="1"/>
  <c r="ET26" i="84" s="1"/>
  <c r="C12" i="16"/>
  <c r="F12" i="69" l="1"/>
  <c r="Q12" i="84"/>
  <c r="X12" i="69"/>
  <c r="BW284" i="89"/>
  <c r="BW411" i="89"/>
  <c r="BW475" i="89"/>
  <c r="BW244" i="89"/>
  <c r="BW898" i="89"/>
  <c r="BW1011" i="89"/>
  <c r="BW450" i="89"/>
  <c r="BW179" i="89"/>
  <c r="BW690" i="89"/>
  <c r="BW173" i="89"/>
  <c r="BW976" i="89"/>
  <c r="BW882" i="89"/>
  <c r="BW805" i="89"/>
  <c r="BW984" i="89"/>
  <c r="BW1076" i="89"/>
  <c r="BW1460" i="89"/>
  <c r="S26" i="12"/>
  <c r="S73" i="12"/>
  <c r="S35" i="89"/>
  <c r="FP41" i="84" s="1"/>
  <c r="S15" i="89"/>
  <c r="FP15" i="84" s="1"/>
  <c r="BW44" i="89"/>
  <c r="FP9" i="84"/>
  <c r="T9" i="89"/>
  <c r="R37" i="89"/>
  <c r="FO43" i="84" s="1"/>
  <c r="FO37" i="84"/>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T31" i="89"/>
  <c r="T15" i="89"/>
  <c r="FQ15" i="84" s="1"/>
  <c r="FQ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AL12" i="84" l="1"/>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I24" i="14"/>
  <c r="E24" i="14"/>
  <c r="AW12" i="84" l="1"/>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MP53" i="84" s="1"/>
  <c r="F53" i="60"/>
  <c r="MM53" i="84" s="1"/>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P7" i="60"/>
  <c r="P5" i="60"/>
  <c r="A1" i="60"/>
  <c r="MH1" i="84" s="1"/>
  <c r="I215" i="16"/>
  <c r="G215" i="16"/>
  <c r="MD215" i="84" s="1"/>
  <c r="I192" i="16"/>
  <c r="MF192" i="84" s="1"/>
  <c r="I182" i="16"/>
  <c r="G182" i="16"/>
  <c r="MD182" i="84" s="1"/>
  <c r="I170" i="16"/>
  <c r="MF170" i="84" s="1"/>
  <c r="I147" i="16"/>
  <c r="MF147" i="84" s="1"/>
  <c r="G147" i="16"/>
  <c r="MD147" i="84" s="1"/>
  <c r="I119" i="16"/>
  <c r="F119" i="16"/>
  <c r="E119" i="16"/>
  <c r="MB119" i="84" s="1"/>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F63" i="16"/>
  <c r="MC63" i="84" s="1"/>
  <c r="E63" i="16"/>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R34" i="16"/>
  <c r="R33" i="16"/>
  <c r="D31" i="16"/>
  <c r="MA31" i="84" s="1"/>
  <c r="G29" i="16"/>
  <c r="MD29" i="84" s="1"/>
  <c r="G28" i="16"/>
  <c r="MD28" i="84" s="1"/>
  <c r="R28" i="16"/>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I30" i="68"/>
  <c r="LT30" i="84" s="1"/>
  <c r="H30" i="68"/>
  <c r="LS30" i="84" s="1"/>
  <c r="G30" i="68"/>
  <c r="LR30" i="84" s="1"/>
  <c r="J29" i="68"/>
  <c r="LU29" i="84" s="1"/>
  <c r="I29" i="68"/>
  <c r="LT29" i="84" s="1"/>
  <c r="H29" i="68"/>
  <c r="LS29" i="84" s="1"/>
  <c r="G29" i="68"/>
  <c r="LR29" i="84" s="1"/>
  <c r="J28" i="68"/>
  <c r="LU28" i="84" s="1"/>
  <c r="I28" i="68"/>
  <c r="LT28" i="84" s="1"/>
  <c r="H28" i="68"/>
  <c r="LS28" i="84" s="1"/>
  <c r="G28" i="68"/>
  <c r="LR28" i="84" s="1"/>
  <c r="J27" i="68"/>
  <c r="LU27" i="84" s="1"/>
  <c r="I27" i="68"/>
  <c r="LT27" i="84" s="1"/>
  <c r="H27" i="68"/>
  <c r="LS27" i="84" s="1"/>
  <c r="G27" i="68"/>
  <c r="LR27" i="84" s="1"/>
  <c r="J26" i="68"/>
  <c r="LU26" i="84" s="1"/>
  <c r="I26" i="68"/>
  <c r="LT26" i="84" s="1"/>
  <c r="H26" i="68"/>
  <c r="LS26" i="84" s="1"/>
  <c r="G26" i="68"/>
  <c r="LR26" i="84" s="1"/>
  <c r="J25" i="68"/>
  <c r="LU25" i="84" s="1"/>
  <c r="I25" i="68"/>
  <c r="LT25" i="84" s="1"/>
  <c r="H25" i="68"/>
  <c r="LS25" i="84" s="1"/>
  <c r="G25" i="68"/>
  <c r="LR25" i="84" s="1"/>
  <c r="J24" i="68"/>
  <c r="LU24" i="84" s="1"/>
  <c r="I24" i="68"/>
  <c r="LT24" i="84" s="1"/>
  <c r="H24" i="68"/>
  <c r="LS24" i="84" s="1"/>
  <c r="G24" i="68"/>
  <c r="LR24" i="84" s="1"/>
  <c r="J23" i="68"/>
  <c r="LU23" i="84" s="1"/>
  <c r="I23" i="68"/>
  <c r="LT23" i="84" s="1"/>
  <c r="H23" i="68"/>
  <c r="LS23" i="84" s="1"/>
  <c r="G23" i="68"/>
  <c r="LR23" i="84" s="1"/>
  <c r="J22" i="68"/>
  <c r="LU22" i="84" s="1"/>
  <c r="I22" i="68"/>
  <c r="LT22" i="84" s="1"/>
  <c r="H22" i="68"/>
  <c r="LS22" i="84" s="1"/>
  <c r="G22" i="68"/>
  <c r="LR22" i="84" s="1"/>
  <c r="J21" i="68"/>
  <c r="LU21" i="84" s="1"/>
  <c r="I21" i="68"/>
  <c r="LT21" i="84" s="1"/>
  <c r="H21" i="68"/>
  <c r="LS21" i="84" s="1"/>
  <c r="G21" i="68"/>
  <c r="LR21" i="84" s="1"/>
  <c r="J20" i="68"/>
  <c r="LU20" i="84" s="1"/>
  <c r="I20" i="68"/>
  <c r="LT20" i="84" s="1"/>
  <c r="H20" i="68"/>
  <c r="LS20" i="84" s="1"/>
  <c r="G20" i="68"/>
  <c r="LR20" i="84" s="1"/>
  <c r="J19" i="68"/>
  <c r="LU19" i="84" s="1"/>
  <c r="I19" i="68"/>
  <c r="LT19" i="84" s="1"/>
  <c r="H19" i="68"/>
  <c r="LS19" i="84" s="1"/>
  <c r="G19" i="68"/>
  <c r="LR19" i="84" s="1"/>
  <c r="J18" i="68"/>
  <c r="LU18" i="84" s="1"/>
  <c r="I18" i="68"/>
  <c r="LT18" i="84" s="1"/>
  <c r="H18" i="68"/>
  <c r="LS18" i="84" s="1"/>
  <c r="G18" i="68"/>
  <c r="LR18" i="84" s="1"/>
  <c r="J17" i="68"/>
  <c r="LU17" i="84" s="1"/>
  <c r="I17" i="68"/>
  <c r="LT17" i="84" s="1"/>
  <c r="H17" i="68"/>
  <c r="LS17" i="84" s="1"/>
  <c r="G17" i="68"/>
  <c r="LR17" i="84" s="1"/>
  <c r="J16" i="68"/>
  <c r="LU16" i="84" s="1"/>
  <c r="I16" i="68"/>
  <c r="LT16" i="84" s="1"/>
  <c r="H16" i="68"/>
  <c r="LS16" i="84" s="1"/>
  <c r="G16" i="68"/>
  <c r="LR16" i="84" s="1"/>
  <c r="J15" i="68"/>
  <c r="LU15" i="84" s="1"/>
  <c r="I15" i="68"/>
  <c r="LT15" i="84" s="1"/>
  <c r="H15" i="68"/>
  <c r="LS15" i="84" s="1"/>
  <c r="G15" i="68"/>
  <c r="LR15" i="84" s="1"/>
  <c r="J14" i="68"/>
  <c r="LU14" i="84" s="1"/>
  <c r="I14" i="68"/>
  <c r="LT14" i="84" s="1"/>
  <c r="H14" i="68"/>
  <c r="LS14" i="84" s="1"/>
  <c r="G14" i="68"/>
  <c r="LR14" i="84" s="1"/>
  <c r="J13" i="68"/>
  <c r="LU13" i="84" s="1"/>
  <c r="I13" i="68"/>
  <c r="LT13" i="84" s="1"/>
  <c r="H13" i="68"/>
  <c r="LS13" i="84" s="1"/>
  <c r="G13" i="68"/>
  <c r="LR13" i="84" s="1"/>
  <c r="BG12" i="68"/>
  <c r="BF12" i="68"/>
  <c r="J12" i="68"/>
  <c r="LU12" i="84" s="1"/>
  <c r="I12" i="68"/>
  <c r="LT12" i="84" s="1"/>
  <c r="H12" i="68"/>
  <c r="LS12" i="84" s="1"/>
  <c r="G12" i="68"/>
  <c r="LR12" i="84" s="1"/>
  <c r="BG11" i="68"/>
  <c r="BF11" i="68"/>
  <c r="J11" i="68"/>
  <c r="LU11" i="84" s="1"/>
  <c r="I11" i="68"/>
  <c r="LT11" i="84" s="1"/>
  <c r="H11" i="68"/>
  <c r="LS11" i="84" s="1"/>
  <c r="G11" i="68"/>
  <c r="LR11" i="84" s="1"/>
  <c r="BG10" i="68"/>
  <c r="BF10" i="68"/>
  <c r="J10" i="68"/>
  <c r="LU10" i="84" s="1"/>
  <c r="I10" i="68"/>
  <c r="LT10" i="84" s="1"/>
  <c r="H10" i="68"/>
  <c r="LS10" i="84" s="1"/>
  <c r="G10" i="68"/>
  <c r="LR10" i="84" s="1"/>
  <c r="BG9" i="68"/>
  <c r="BF9" i="68"/>
  <c r="J9" i="68"/>
  <c r="LU9" i="84" s="1"/>
  <c r="I9" i="68"/>
  <c r="LT9" i="84" s="1"/>
  <c r="H9" i="68"/>
  <c r="LS9" i="84" s="1"/>
  <c r="G9" i="68"/>
  <c r="LR9" i="84" s="1"/>
  <c r="BG8" i="68"/>
  <c r="BF8" i="68"/>
  <c r="J8" i="68"/>
  <c r="LU8" i="84" s="1"/>
  <c r="I8" i="68"/>
  <c r="LT8" i="84" s="1"/>
  <c r="H8" i="68"/>
  <c r="LS8" i="84" s="1"/>
  <c r="G8" i="68"/>
  <c r="LR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N34" i="10"/>
  <c r="M34" i="10"/>
  <c r="L34" i="10"/>
  <c r="K34" i="10"/>
  <c r="J34" i="10"/>
  <c r="I34" i="10"/>
  <c r="H34" i="10"/>
  <c r="G34" i="10"/>
  <c r="F34" i="10"/>
  <c r="E34" i="10"/>
  <c r="D34" i="10"/>
  <c r="C34" i="10"/>
  <c r="O33" i="10"/>
  <c r="O32"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J14" i="3" s="1"/>
  <c r="E68" i="3"/>
  <c r="J13" i="3" s="1"/>
  <c r="F63" i="3"/>
  <c r="E67" i="3"/>
  <c r="F62" i="3"/>
  <c r="F61" i="3"/>
  <c r="F60" i="3"/>
  <c r="E64" i="3"/>
  <c r="HS64" i="84" s="1"/>
  <c r="D64" i="3"/>
  <c r="HR64" i="84" s="1"/>
  <c r="C64" i="3"/>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J9" i="3" s="1"/>
  <c r="G5" i="3"/>
  <c r="J8" i="3" s="1"/>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I19" i="14"/>
  <c r="E19" i="14"/>
  <c r="I18" i="14"/>
  <c r="E18" i="14"/>
  <c r="I17" i="14"/>
  <c r="E17" i="14"/>
  <c r="I16" i="14"/>
  <c r="E16" i="14"/>
  <c r="I15" i="14"/>
  <c r="E15" i="14"/>
  <c r="I14" i="14"/>
  <c r="E14" i="14"/>
  <c r="I13" i="14"/>
  <c r="E13" i="14"/>
  <c r="I12" i="14"/>
  <c r="E12" i="14"/>
  <c r="I11" i="14"/>
  <c r="E11" i="14"/>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N77" i="78"/>
  <c r="N32" i="78" s="1"/>
  <c r="M77" i="78"/>
  <c r="M32" i="78" s="1"/>
  <c r="L77" i="78"/>
  <c r="L32" i="78" s="1"/>
  <c r="K77" i="78"/>
  <c r="K32" i="78" s="1"/>
  <c r="J77" i="78"/>
  <c r="J32" i="78" s="1"/>
  <c r="I77" i="78"/>
  <c r="I32" i="78" s="1"/>
  <c r="H77" i="78"/>
  <c r="H32" i="78" s="1"/>
  <c r="G77" i="78"/>
  <c r="G32" i="78" s="1"/>
  <c r="F77" i="78"/>
  <c r="F32" i="78" s="1"/>
  <c r="E77" i="78"/>
  <c r="E32" i="78" s="1"/>
  <c r="D77" i="78"/>
  <c r="D32" i="78" s="1"/>
  <c r="D21"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G96" i="97" l="1"/>
  <c r="J293" i="94"/>
  <c r="BK33" i="84"/>
  <c r="J95" i="97"/>
  <c r="J21" i="78"/>
  <c r="M292" i="94"/>
  <c r="BN32" i="84"/>
  <c r="K95" i="97"/>
  <c r="K21" i="78"/>
  <c r="N292" i="94"/>
  <c r="BO32" i="84"/>
  <c r="O96" i="97"/>
  <c r="R293" i="94"/>
  <c r="BS33" i="84"/>
  <c r="L95" i="97"/>
  <c r="L21" i="78"/>
  <c r="O292" i="94"/>
  <c r="BP32" i="84"/>
  <c r="H96" i="97"/>
  <c r="K293" i="94"/>
  <c r="BL33" i="84"/>
  <c r="M95" i="97"/>
  <c r="M21" i="78"/>
  <c r="P292" i="94"/>
  <c r="BQ32" i="84"/>
  <c r="F95" i="97"/>
  <c r="F21" i="78"/>
  <c r="I292" i="94"/>
  <c r="BJ32" i="84"/>
  <c r="N95" i="97"/>
  <c r="N21" i="78"/>
  <c r="Q292" i="94"/>
  <c r="BR32" i="84"/>
  <c r="J96" i="97"/>
  <c r="M293" i="94"/>
  <c r="BN33" i="84"/>
  <c r="G95" i="97"/>
  <c r="G21" i="78"/>
  <c r="J292" i="94"/>
  <c r="BK32" i="84"/>
  <c r="O95" i="97"/>
  <c r="O21" i="78"/>
  <c r="R292" i="94"/>
  <c r="BS32" i="84"/>
  <c r="K96" i="97"/>
  <c r="N293" i="94"/>
  <c r="BO33" i="84"/>
  <c r="F96" i="97"/>
  <c r="I293" i="94"/>
  <c r="BJ33" i="84"/>
  <c r="I96" i="97"/>
  <c r="L293" i="94"/>
  <c r="BM33" i="84"/>
  <c r="H95" i="97"/>
  <c r="H21" i="78"/>
  <c r="K292" i="94"/>
  <c r="BL32" i="84"/>
  <c r="D96" i="97"/>
  <c r="X21" i="78"/>
  <c r="Y21" i="78" s="1"/>
  <c r="G293" i="94"/>
  <c r="BH33" i="84"/>
  <c r="L96" i="97"/>
  <c r="O293" i="94"/>
  <c r="BP33" i="84"/>
  <c r="N96" i="97"/>
  <c r="Q293" i="94"/>
  <c r="BR33" i="84"/>
  <c r="E95" i="97"/>
  <c r="E21" i="78"/>
  <c r="H292" i="94"/>
  <c r="BI32" i="84"/>
  <c r="I95" i="97"/>
  <c r="I21" i="78"/>
  <c r="L292" i="94"/>
  <c r="BM32" i="84"/>
  <c r="E96" i="97"/>
  <c r="H293" i="94"/>
  <c r="BI33" i="84"/>
  <c r="M96" i="97"/>
  <c r="P293" i="94"/>
  <c r="BQ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HZ34"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J32" i="84"/>
  <c r="ID34"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H36" i="10"/>
  <c r="IC21" i="84"/>
  <c r="IJ24" i="84"/>
  <c r="HX34" i="84"/>
  <c r="IF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78" i="84" s="1"/>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IE34"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HY34" i="84"/>
  <c r="IG34"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IA34" i="84"/>
  <c r="II34" i="84"/>
  <c r="T45" i="5"/>
  <c r="JG60" i="84"/>
  <c r="J106" i="6"/>
  <c r="N9" i="6" s="1"/>
  <c r="O9" i="6" s="1"/>
  <c r="I124" i="6"/>
  <c r="JL124" i="84" s="1"/>
  <c r="JL113" i="84"/>
  <c r="W71" i="5"/>
  <c r="AE71" i="5"/>
  <c r="AD71" i="5"/>
  <c r="KI71" i="84"/>
  <c r="W75" i="5"/>
  <c r="AE75" i="5"/>
  <c r="AD75" i="5"/>
  <c r="KI75" i="84"/>
  <c r="I3" i="68"/>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IB34" i="84"/>
  <c r="E93" i="6"/>
  <c r="JH93" i="84" s="1"/>
  <c r="JH73" i="84"/>
  <c r="E106" i="6"/>
  <c r="JH106" i="84" s="1"/>
  <c r="JH102" i="84"/>
  <c r="J124" i="6"/>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78" i="84" s="1"/>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H34"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IC34" i="84"/>
  <c r="F93" i="6"/>
  <c r="JI93" i="84" s="1"/>
  <c r="JI73" i="84"/>
  <c r="JG93" i="84"/>
  <c r="T76" i="5"/>
  <c r="KJ76" i="84" s="1"/>
  <c r="K78" i="5"/>
  <c r="KA78" i="84" s="1"/>
  <c r="KA45" i="84"/>
  <c r="W72" i="5"/>
  <c r="AD72" i="5"/>
  <c r="AE72" i="5"/>
  <c r="KI72" i="84"/>
  <c r="BX57" i="84"/>
  <c r="A58" i="86"/>
  <c r="X23" i="78"/>
  <c r="Y23" i="78" s="1"/>
  <c r="D349" i="94"/>
  <c r="A132" i="78"/>
  <c r="BE132" i="84" s="1"/>
  <c r="R30" i="16"/>
  <c r="MF215" i="84"/>
  <c r="R26" i="16"/>
  <c r="MF63" i="84"/>
  <c r="R20" i="16"/>
  <c r="MC119" i="84"/>
  <c r="R27" i="16"/>
  <c r="MF119" i="84"/>
  <c r="R11" i="16"/>
  <c r="MB63" i="84"/>
  <c r="E31" i="16"/>
  <c r="MB31" i="84" s="1"/>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GI75" i="84"/>
  <c r="E80" i="8"/>
  <c r="GJ75" i="84"/>
  <c r="F80" i="8"/>
  <c r="C80" i="8"/>
  <c r="C81" i="8" s="1"/>
  <c r="GH75" i="84"/>
  <c r="BZ105" i="84"/>
  <c r="C189" i="86"/>
  <c r="BZ189" i="84" s="1"/>
  <c r="P10" i="60"/>
  <c r="C23" i="83" s="1"/>
  <c r="D23" i="83"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5" i="83"/>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JY78" i="84" s="1"/>
  <c r="Q78" i="5"/>
  <c r="KG78" i="84" s="1"/>
  <c r="S45" i="5"/>
  <c r="KI45" i="84" s="1"/>
  <c r="U49" i="5"/>
  <c r="U71" i="5"/>
  <c r="V53" i="5"/>
  <c r="G78" i="5"/>
  <c r="JW78" i="84" s="1"/>
  <c r="O78" i="5"/>
  <c r="KE78" i="84" s="1"/>
  <c r="U61" i="5"/>
  <c r="U50" i="5"/>
  <c r="E43" i="9"/>
  <c r="H6" i="9" s="1"/>
  <c r="I6" i="9" s="1"/>
  <c r="F122" i="16"/>
  <c r="MC122" i="84" s="1"/>
  <c r="E122" i="16"/>
  <c r="MB122" i="84" s="1"/>
  <c r="I122" i="16"/>
  <c r="MF122" i="84" s="1"/>
  <c r="R19" i="16"/>
  <c r="B13" i="83"/>
  <c r="D36" i="10"/>
  <c r="L36" i="10"/>
  <c r="S5" i="10"/>
  <c r="D81" i="8"/>
  <c r="J36" i="10"/>
  <c r="I60" i="6"/>
  <c r="JL60" i="84" s="1"/>
  <c r="W13" i="5"/>
  <c r="W15" i="5"/>
  <c r="W17" i="5"/>
  <c r="W19" i="5"/>
  <c r="V76" i="5"/>
  <c r="S4" i="10"/>
  <c r="F64" i="3"/>
  <c r="J6" i="3" s="1"/>
  <c r="J60" i="6"/>
  <c r="N5" i="6" s="1"/>
  <c r="O5" i="6" s="1"/>
  <c r="E78" i="5"/>
  <c r="JU78" i="84" s="1"/>
  <c r="M78" i="5"/>
  <c r="KC78" i="84" s="1"/>
  <c r="U63" i="5"/>
  <c r="E69" i="6"/>
  <c r="JH69" i="84" s="1"/>
  <c r="I106" i="6"/>
  <c r="JL106" i="84" s="1"/>
  <c r="U12" i="5"/>
  <c r="U14" i="5"/>
  <c r="U16" i="5"/>
  <c r="U18" i="5"/>
  <c r="U48" i="5"/>
  <c r="U57" i="5"/>
  <c r="U73" i="5"/>
  <c r="D135" i="78"/>
  <c r="C246" i="86"/>
  <c r="E81" i="8"/>
  <c r="C22" i="3"/>
  <c r="O21" i="10"/>
  <c r="E36" i="10"/>
  <c r="M36" i="10"/>
  <c r="V45" i="5"/>
  <c r="D78" i="5"/>
  <c r="JT78" i="84" s="1"/>
  <c r="L78" i="5"/>
  <c r="KB78" i="84" s="1"/>
  <c r="U51" i="5"/>
  <c r="U67" i="5"/>
  <c r="I54" i="4"/>
  <c r="KU54" i="84" s="1"/>
  <c r="F36" i="10"/>
  <c r="N36" i="10"/>
  <c r="G36" i="10"/>
  <c r="O34" i="10"/>
  <c r="C36" i="10"/>
  <c r="K36" i="10"/>
  <c r="E60" i="6"/>
  <c r="JH60" i="84" s="1"/>
  <c r="U13" i="5"/>
  <c r="U52" i="5"/>
  <c r="U65" i="5"/>
  <c r="E27" i="14"/>
  <c r="I36" i="10"/>
  <c r="F60" i="6"/>
  <c r="JI60" i="84" s="1"/>
  <c r="I69" i="6"/>
  <c r="JL69" i="84" s="1"/>
  <c r="J93" i="6"/>
  <c r="N7" i="6" s="1"/>
  <c r="O7" i="6" s="1"/>
  <c r="N13" i="6"/>
  <c r="O13" i="6" s="1"/>
  <c r="H78" i="5"/>
  <c r="JX78" i="84" s="1"/>
  <c r="P78" i="5"/>
  <c r="KF78" i="84" s="1"/>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I95" i="6"/>
  <c r="JL95" i="84" s="1"/>
  <c r="G129" i="6"/>
  <c r="N6" i="6"/>
  <c r="O6" i="6" s="1"/>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JG95" i="84" s="1"/>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R12" i="16"/>
  <c r="G49" i="16"/>
  <c r="MD49" i="84" s="1"/>
  <c r="G63" i="16"/>
  <c r="MD63" i="84" s="1"/>
  <c r="G119" i="16"/>
  <c r="MD119" i="84" s="1"/>
  <c r="R10" i="16"/>
  <c r="R38" i="16"/>
  <c r="F1" i="60"/>
  <c r="MM1" i="84" s="1"/>
  <c r="P44" i="12"/>
  <c r="EN44" i="84" s="1"/>
  <c r="D54" i="3"/>
  <c r="HR54" i="84" s="1"/>
  <c r="LT3" i="84"/>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F32" i="97" l="1"/>
  <c r="I1641" i="94" s="1"/>
  <c r="I1699" i="94"/>
  <c r="M84" i="97"/>
  <c r="P281" i="94"/>
  <c r="BQ21" i="84"/>
  <c r="M36" i="78"/>
  <c r="N8" i="6"/>
  <c r="O8" i="6" s="1"/>
  <c r="O1699" i="94"/>
  <c r="L32" i="97"/>
  <c r="O1641" i="94" s="1"/>
  <c r="K1698" i="94"/>
  <c r="H31" i="97"/>
  <c r="K1640" i="94" s="1"/>
  <c r="G84" i="97"/>
  <c r="J281" i="94"/>
  <c r="BK21" i="84"/>
  <c r="G36" i="78"/>
  <c r="N31" i="97"/>
  <c r="Q1640" i="94" s="1"/>
  <c r="Q1698" i="94"/>
  <c r="P1698" i="94"/>
  <c r="M31" i="97"/>
  <c r="P1640" i="94" s="1"/>
  <c r="E84" i="97"/>
  <c r="H281" i="94"/>
  <c r="BI21" i="84"/>
  <c r="E36" i="78"/>
  <c r="N1699" i="94"/>
  <c r="K32" i="97"/>
  <c r="N1641" i="94" s="1"/>
  <c r="J1698" i="94"/>
  <c r="G31" i="97"/>
  <c r="J1640" i="94" s="1"/>
  <c r="J84" i="97"/>
  <c r="M281" i="94"/>
  <c r="BN21" i="84"/>
  <c r="J36" i="78"/>
  <c r="K31" i="97"/>
  <c r="N1640" i="94" s="1"/>
  <c r="N1698" i="94"/>
  <c r="H6" i="68"/>
  <c r="I6" i="68"/>
  <c r="I7" i="68"/>
  <c r="LT7" i="84" s="1"/>
  <c r="H7" i="68"/>
  <c r="LS7" i="84" s="1"/>
  <c r="O1698" i="94"/>
  <c r="L31" i="97"/>
  <c r="O1640" i="94" s="1"/>
  <c r="N12" i="6"/>
  <c r="O12" i="6" s="1"/>
  <c r="E32" i="97"/>
  <c r="H1641" i="94" s="1"/>
  <c r="H1699" i="94"/>
  <c r="H1698" i="94"/>
  <c r="E31" i="97"/>
  <c r="H1640" i="94" s="1"/>
  <c r="R1699" i="94"/>
  <c r="O32" i="97"/>
  <c r="R1641" i="94" s="1"/>
  <c r="J31" i="97"/>
  <c r="M1640" i="94" s="1"/>
  <c r="M1698" i="94"/>
  <c r="L1698" i="94"/>
  <c r="I31" i="97"/>
  <c r="L1640" i="94" s="1"/>
  <c r="N84" i="97"/>
  <c r="Q281" i="94"/>
  <c r="BR21" i="84"/>
  <c r="N36" i="78"/>
  <c r="I32" i="97"/>
  <c r="L1641" i="94" s="1"/>
  <c r="L1699" i="94"/>
  <c r="F84" i="97"/>
  <c r="I281" i="94"/>
  <c r="BJ21" i="84"/>
  <c r="F36" i="78"/>
  <c r="K1699" i="94"/>
  <c r="H32" i="97"/>
  <c r="K1641" i="94" s="1"/>
  <c r="L84" i="97"/>
  <c r="O281" i="94"/>
  <c r="BP21" i="84"/>
  <c r="L36" i="78"/>
  <c r="H84" i="97"/>
  <c r="K281" i="94"/>
  <c r="BL21" i="84"/>
  <c r="H36" i="78"/>
  <c r="D32" i="97"/>
  <c r="G1699" i="94"/>
  <c r="S32" i="97"/>
  <c r="P96" i="97"/>
  <c r="O84" i="97"/>
  <c r="R281" i="94"/>
  <c r="BS21" i="84"/>
  <c r="O36" i="78"/>
  <c r="J32" i="97"/>
  <c r="M1641" i="94" s="1"/>
  <c r="M1699" i="94"/>
  <c r="I1698" i="94"/>
  <c r="F31" i="97"/>
  <c r="I1640" i="94" s="1"/>
  <c r="M32" i="97"/>
  <c r="P1641" i="94" s="1"/>
  <c r="P1699" i="94"/>
  <c r="LT2" i="84"/>
  <c r="G6" i="68"/>
  <c r="LR6" i="84" s="1"/>
  <c r="G7" i="68"/>
  <c r="LR7" i="84" s="1"/>
  <c r="I84" i="97"/>
  <c r="L281" i="94"/>
  <c r="BM21" i="84"/>
  <c r="I36" i="78"/>
  <c r="N32" i="97"/>
  <c r="Q1641" i="94" s="1"/>
  <c r="Q1699" i="94"/>
  <c r="O31" i="97"/>
  <c r="R1640" i="94" s="1"/>
  <c r="R1698" i="94"/>
  <c r="K84" i="97"/>
  <c r="N281" i="94"/>
  <c r="BO21" i="84"/>
  <c r="K36" i="78"/>
  <c r="J1699" i="94"/>
  <c r="G32" i="97"/>
  <c r="J1641" i="94" s="1"/>
  <c r="D31" i="97"/>
  <c r="G1698" i="94"/>
  <c r="S31" i="97"/>
  <c r="P95" i="97"/>
  <c r="D84" i="97"/>
  <c r="X9" i="78"/>
  <c r="Y9" i="78" s="1"/>
  <c r="G281" i="94"/>
  <c r="BH21" i="84"/>
  <c r="S24" i="78"/>
  <c r="D36" i="78"/>
  <c r="C129" i="6"/>
  <c r="JF129" i="84" s="1"/>
  <c r="W53" i="5"/>
  <c r="P96" i="78"/>
  <c r="V41" i="69"/>
  <c r="AI41" i="84" s="1"/>
  <c r="V42" i="69"/>
  <c r="AI42" i="84" s="1"/>
  <c r="V43" i="69"/>
  <c r="AI43" i="84" s="1"/>
  <c r="V44" i="69"/>
  <c r="AI44" i="84" s="1"/>
  <c r="JJ129" i="84"/>
  <c r="S1418" i="94"/>
  <c r="AE76" i="5"/>
  <c r="Z23" i="5" s="1"/>
  <c r="AA23" i="5" s="1"/>
  <c r="P117" i="12"/>
  <c r="EN117" i="84" s="1"/>
  <c r="P116" i="12"/>
  <c r="EN116" i="84" s="1"/>
  <c r="P118" i="12"/>
  <c r="EN118" i="84" s="1"/>
  <c r="S1416" i="94"/>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IA36" i="84"/>
  <c r="IG36" i="84"/>
  <c r="II36" i="84"/>
  <c r="IH36"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HZ36"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IF36" i="84"/>
  <c r="K59" i="86"/>
  <c r="CH58" i="84"/>
  <c r="G117" i="86"/>
  <c r="CD116" i="84"/>
  <c r="I145" i="86"/>
  <c r="CF144" i="84"/>
  <c r="E145" i="86"/>
  <c r="CB144" i="84"/>
  <c r="I176" i="86"/>
  <c r="CF175" i="84"/>
  <c r="D176" i="86"/>
  <c r="CA175" i="84"/>
  <c r="F88" i="86"/>
  <c r="CC87" i="84"/>
  <c r="AD76" i="5"/>
  <c r="Z22" i="5" s="1"/>
  <c r="AA22" i="5" s="1"/>
  <c r="H88" i="86"/>
  <c r="CE87" i="84"/>
  <c r="BZ21" i="84"/>
  <c r="IE36" i="84"/>
  <c r="G59" i="86"/>
  <c r="CD58" i="84"/>
  <c r="J88" i="86"/>
  <c r="CG87" i="84"/>
  <c r="N117" i="86"/>
  <c r="CK116" i="84"/>
  <c r="K117" i="86"/>
  <c r="CH116" i="84"/>
  <c r="F145" i="86"/>
  <c r="CC144" i="84"/>
  <c r="H176" i="86"/>
  <c r="CE175" i="84"/>
  <c r="J176" i="86"/>
  <c r="CG175" i="84"/>
  <c r="E88" i="86"/>
  <c r="CB87" i="84"/>
  <c r="JI110" i="84"/>
  <c r="N10" i="6"/>
  <c r="O10" i="6" s="1"/>
  <c r="E59" i="86"/>
  <c r="CB58" i="84"/>
  <c r="ID36" i="84"/>
  <c r="IJ34" i="84"/>
  <c r="N59" i="86"/>
  <c r="CK58" i="84"/>
  <c r="J59" i="86"/>
  <c r="CG58" i="84"/>
  <c r="F117" i="86"/>
  <c r="CC116" i="84"/>
  <c r="H145" i="86"/>
  <c r="CE144" i="84"/>
  <c r="D145" i="86"/>
  <c r="CA144" i="84"/>
  <c r="G176" i="86"/>
  <c r="CD175" i="84"/>
  <c r="K176" i="86"/>
  <c r="CH175" i="84"/>
  <c r="D88" i="86"/>
  <c r="CA87" i="84"/>
  <c r="IC36" i="84"/>
  <c r="W76" i="5"/>
  <c r="S631" i="94"/>
  <c r="U631" i="94" s="1"/>
  <c r="FY27" i="84"/>
  <c r="IB36"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S671" i="94"/>
  <c r="U671" i="94" s="1"/>
  <c r="GP80" i="84"/>
  <c r="S661" i="94"/>
  <c r="U661" i="94" s="1"/>
  <c r="GL79" i="84"/>
  <c r="I81" i="8"/>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S6" i="10"/>
  <c r="B17" i="83"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HY36" i="84"/>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H62" i="86"/>
  <c r="N4" i="6"/>
  <c r="O4" i="6" s="1"/>
  <c r="O17" i="6" s="1"/>
  <c r="U53" i="5"/>
  <c r="U45" i="5"/>
  <c r="AA4" i="5" s="1"/>
  <c r="C38" i="10"/>
  <c r="C31" i="3"/>
  <c r="G31" i="16"/>
  <c r="MD31" i="84" s="1"/>
  <c r="D27" i="12"/>
  <c r="K62" i="86"/>
  <c r="I62" i="86"/>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H131" i="6"/>
  <c r="JK131" i="84" s="1"/>
  <c r="D129" i="6"/>
  <c r="I129" i="6"/>
  <c r="JL129" i="84" s="1"/>
  <c r="E95" i="6"/>
  <c r="JH95" i="84" s="1"/>
  <c r="U76" i="5"/>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G62" i="86"/>
  <c r="J91" i="86"/>
  <c r="CG91" i="84" s="1"/>
  <c r="K91" i="86"/>
  <c r="CH91" i="84" s="1"/>
  <c r="N91" i="86"/>
  <c r="CK91" i="84" s="1"/>
  <c r="D148" i="86"/>
  <c r="G148" i="86"/>
  <c r="L148" i="86"/>
  <c r="K148" i="86"/>
  <c r="G32" i="12"/>
  <c r="G34" i="12"/>
  <c r="EE34" i="84" s="1"/>
  <c r="F34" i="12"/>
  <c r="ED34" i="84" s="1"/>
  <c r="F32" i="12"/>
  <c r="D20" i="86"/>
  <c r="E31" i="12"/>
  <c r="E42" i="12"/>
  <c r="E43" i="12" s="1"/>
  <c r="R36" i="16"/>
  <c r="R39" i="16" s="1"/>
  <c r="G122" i="16"/>
  <c r="MD122" i="84" s="1"/>
  <c r="I120" i="86"/>
  <c r="E62"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BT80" i="84" s="1"/>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BT76" i="84" s="1"/>
  <c r="P35" i="78"/>
  <c r="BT35" i="84" s="1"/>
  <c r="P26" i="78"/>
  <c r="BT26" i="84" s="1"/>
  <c r="P21" i="78"/>
  <c r="BT21"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J62" i="86"/>
  <c r="I245" i="86"/>
  <c r="CF245" i="84" s="1"/>
  <c r="F62" i="86"/>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K20" i="97" l="1"/>
  <c r="N1629" i="94" s="1"/>
  <c r="N1687" i="94"/>
  <c r="I20" i="97"/>
  <c r="L1629" i="94" s="1"/>
  <c r="L1687" i="94"/>
  <c r="D351" i="94"/>
  <c r="BE133" i="84"/>
  <c r="G1641" i="94"/>
  <c r="T32" i="97"/>
  <c r="O1687" i="94"/>
  <c r="L20" i="97"/>
  <c r="O1629" i="94" s="1"/>
  <c r="J57" i="78"/>
  <c r="M296" i="94"/>
  <c r="BN36" i="84"/>
  <c r="J99" i="97"/>
  <c r="J37" i="78"/>
  <c r="E57" i="78"/>
  <c r="H296" i="94"/>
  <c r="E37" i="78"/>
  <c r="BI36" i="84"/>
  <c r="E99" i="97"/>
  <c r="J296" i="94"/>
  <c r="BK36" i="84"/>
  <c r="G57" i="78"/>
  <c r="G37" i="78"/>
  <c r="G99" i="97"/>
  <c r="O99" i="97"/>
  <c r="O37" i="78"/>
  <c r="R296" i="94"/>
  <c r="O57" i="78"/>
  <c r="BS36" i="84"/>
  <c r="H99" i="97"/>
  <c r="K296" i="94"/>
  <c r="H37" i="78"/>
  <c r="BL36" i="84"/>
  <c r="H57" i="78"/>
  <c r="N37" i="78"/>
  <c r="N57" i="78"/>
  <c r="Q296" i="94"/>
  <c r="BR36" i="84"/>
  <c r="N99" i="97"/>
  <c r="M37" i="78"/>
  <c r="M57" i="78"/>
  <c r="BQ36" i="84"/>
  <c r="P296" i="94"/>
  <c r="M99" i="97"/>
  <c r="I296" i="94"/>
  <c r="BJ36" i="84"/>
  <c r="F99" i="97"/>
  <c r="F37" i="78"/>
  <c r="F57" i="78"/>
  <c r="J20" i="97"/>
  <c r="M1629" i="94" s="1"/>
  <c r="M1687" i="94"/>
  <c r="H1687" i="94"/>
  <c r="E20" i="97"/>
  <c r="H1629" i="94" s="1"/>
  <c r="J1687" i="94"/>
  <c r="G20" i="97"/>
  <c r="J1629" i="94" s="1"/>
  <c r="K99" i="97"/>
  <c r="N296" i="94"/>
  <c r="BO36" i="84"/>
  <c r="K57" i="78"/>
  <c r="K37" i="78"/>
  <c r="BM36" i="84"/>
  <c r="I37" i="78"/>
  <c r="I57" i="78"/>
  <c r="I99" i="97"/>
  <c r="L296" i="94"/>
  <c r="R1687" i="94"/>
  <c r="O20" i="97"/>
  <c r="R1629" i="94" s="1"/>
  <c r="K1687" i="94"/>
  <c r="H20" i="97"/>
  <c r="K1629" i="94" s="1"/>
  <c r="N20" i="97"/>
  <c r="Q1629" i="94" s="1"/>
  <c r="Q1687" i="94"/>
  <c r="LT6" i="84"/>
  <c r="I151" i="68"/>
  <c r="M20" i="97"/>
  <c r="P1629" i="94" s="1"/>
  <c r="P1687" i="94"/>
  <c r="P36" i="78"/>
  <c r="BT36" i="84" s="1"/>
  <c r="S1699" i="94"/>
  <c r="U1699" i="94" s="1"/>
  <c r="P32" i="97"/>
  <c r="L99" i="97"/>
  <c r="L37" i="78"/>
  <c r="L57" i="78"/>
  <c r="O296" i="94"/>
  <c r="BP36" i="84"/>
  <c r="LS6" i="84"/>
  <c r="H151" i="68"/>
  <c r="W32" i="97"/>
  <c r="S1728" i="94"/>
  <c r="U1728" i="94" s="1"/>
  <c r="E1729" i="94"/>
  <c r="I1687" i="94"/>
  <c r="F20" i="97"/>
  <c r="I1629" i="94" s="1"/>
  <c r="P84" i="97"/>
  <c r="D20" i="97"/>
  <c r="S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AA19" i="5"/>
  <c r="HX38" i="84"/>
  <c r="BT32" i="84"/>
  <c r="Q16" i="78"/>
  <c r="BT16" i="84"/>
  <c r="BT33" i="84"/>
  <c r="Q17" i="78"/>
  <c r="BT17" i="84"/>
  <c r="HS31" i="84"/>
  <c r="E40" i="3"/>
  <c r="HQ31" i="84"/>
  <c r="HR31" i="84"/>
  <c r="D40" i="3"/>
  <c r="C17" i="83"/>
  <c r="D17" i="83" s="1"/>
  <c r="C3" i="10"/>
  <c r="HX3" i="84" s="1"/>
  <c r="O129" i="86"/>
  <c r="CL129" i="84" s="1"/>
  <c r="O42" i="86"/>
  <c r="CL42" i="84" s="1"/>
  <c r="O157" i="86"/>
  <c r="CL157" i="84" s="1"/>
  <c r="O71" i="86"/>
  <c r="CL71" i="84" s="1"/>
  <c r="O13" i="86"/>
  <c r="CL13" i="84" s="1"/>
  <c r="O100" i="86"/>
  <c r="CL100" i="84" s="1"/>
  <c r="O192" i="86"/>
  <c r="CL192" i="84" s="1"/>
  <c r="Q15" i="78"/>
  <c r="Q13" i="78"/>
  <c r="Q31" i="78"/>
  <c r="Q14" i="78"/>
  <c r="Q28" i="78"/>
  <c r="Q30" i="78"/>
  <c r="Q29" i="78"/>
  <c r="R1" i="10"/>
  <c r="D37" i="10"/>
  <c r="C40" i="3"/>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21" i="78"/>
  <c r="Q105" i="78"/>
  <c r="Q27" i="78"/>
  <c r="Q111" i="78"/>
  <c r="Q121" i="78"/>
  <c r="Q129" i="78"/>
  <c r="Q33" i="78"/>
  <c r="Q79" i="78"/>
  <c r="Q108" i="78"/>
  <c r="Q116" i="78"/>
  <c r="Q124" i="78"/>
  <c r="Q132" i="78"/>
  <c r="R18" i="12"/>
  <c r="EP18" i="84" s="1"/>
  <c r="AA23" i="12"/>
  <c r="R23" i="12"/>
  <c r="EP23" i="84" s="1"/>
  <c r="R17" i="12"/>
  <c r="EP17" i="84" s="1"/>
  <c r="AA17" i="12"/>
  <c r="R30" i="12"/>
  <c r="EP30" i="84" s="1"/>
  <c r="R14" i="12"/>
  <c r="EP14" i="84" s="1"/>
  <c r="AA14" i="12"/>
  <c r="P37" i="78"/>
  <c r="Q36" i="78"/>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Z4" i="4" s="1"/>
  <c r="AA4" i="4" s="1"/>
  <c r="AA5" i="4" s="1"/>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L35" i="97" l="1"/>
  <c r="O1644" i="94" s="1"/>
  <c r="O1702" i="94"/>
  <c r="I1702" i="94"/>
  <c r="F35" i="97"/>
  <c r="I1644" i="94" s="1"/>
  <c r="Q1702" i="94"/>
  <c r="N35" i="97"/>
  <c r="Q1644" i="94" s="1"/>
  <c r="G100" i="97"/>
  <c r="J297" i="94"/>
  <c r="BK37" i="84"/>
  <c r="X32" i="97"/>
  <c r="S1755" i="94"/>
  <c r="U1755" i="94" s="1"/>
  <c r="S1641" i="94"/>
  <c r="U1641" i="94" s="1"/>
  <c r="U32" i="97"/>
  <c r="S1782" i="94" s="1"/>
  <c r="U1782" i="94" s="1"/>
  <c r="I100" i="97"/>
  <c r="L297" i="94"/>
  <c r="BM37" i="84"/>
  <c r="K1702" i="94"/>
  <c r="H35" i="97"/>
  <c r="K1644" i="94" s="1"/>
  <c r="J100" i="97"/>
  <c r="M297" i="94"/>
  <c r="BN37" i="84"/>
  <c r="LS151" i="84"/>
  <c r="H157" i="68"/>
  <c r="LS157" i="84" s="1"/>
  <c r="M1702" i="94"/>
  <c r="J35" i="97"/>
  <c r="M1644" i="94" s="1"/>
  <c r="K100" i="97"/>
  <c r="N297" i="94"/>
  <c r="BO37" i="84"/>
  <c r="P1702" i="94"/>
  <c r="M35" i="97"/>
  <c r="P1644" i="94" s="1"/>
  <c r="N100" i="97"/>
  <c r="Q297" i="94"/>
  <c r="BR37" i="84"/>
  <c r="H1702" i="94"/>
  <c r="E35" i="97"/>
  <c r="H1644" i="94" s="1"/>
  <c r="O100" i="97"/>
  <c r="R297" i="94"/>
  <c r="BS37" i="84"/>
  <c r="LT151" i="84"/>
  <c r="I157" i="68"/>
  <c r="LT157" i="84" s="1"/>
  <c r="O35" i="97"/>
  <c r="R1644" i="94" s="1"/>
  <c r="R1702" i="94"/>
  <c r="E100" i="97"/>
  <c r="H297" i="94"/>
  <c r="BI37" i="84"/>
  <c r="D51" i="78"/>
  <c r="S306" i="94" s="1"/>
  <c r="U306" i="94" s="1"/>
  <c r="L100" i="97"/>
  <c r="O297" i="94"/>
  <c r="BP37" i="84"/>
  <c r="L1702" i="94"/>
  <c r="I35" i="97"/>
  <c r="L1644" i="94" s="1"/>
  <c r="N1702" i="94"/>
  <c r="K35" i="97"/>
  <c r="N1644" i="94" s="1"/>
  <c r="F100" i="97"/>
  <c r="I297" i="94"/>
  <c r="BJ37" i="84"/>
  <c r="M100" i="97"/>
  <c r="P297" i="94"/>
  <c r="BQ37" i="84"/>
  <c r="H100" i="97"/>
  <c r="BL37" i="84"/>
  <c r="K297" i="94"/>
  <c r="J1702" i="94"/>
  <c r="G35" i="97"/>
  <c r="J1644" i="94" s="1"/>
  <c r="BH51" i="84"/>
  <c r="X31" i="97"/>
  <c r="S1754" i="94"/>
  <c r="U1754" i="94" s="1"/>
  <c r="S35" i="97"/>
  <c r="G1702" i="94"/>
  <c r="D35" i="97"/>
  <c r="P99" i="97"/>
  <c r="U31" i="97"/>
  <c r="S1781" i="94" s="1"/>
  <c r="U1781" i="94" s="1"/>
  <c r="S1640" i="94"/>
  <c r="U1640" i="94" s="1"/>
  <c r="D100" i="97"/>
  <c r="AH11" i="78"/>
  <c r="AH10" i="78"/>
  <c r="AH7" i="78"/>
  <c r="AH2" i="78"/>
  <c r="AH12" i="78"/>
  <c r="G297" i="94"/>
  <c r="AH9" i="78"/>
  <c r="AH6" i="78"/>
  <c r="AH3" i="78"/>
  <c r="BH37" i="84"/>
  <c r="AH5" i="78"/>
  <c r="AH4" i="78"/>
  <c r="E61" i="78" s="1"/>
  <c r="BI62" i="84" s="1"/>
  <c r="AH8" i="78"/>
  <c r="W20" i="97"/>
  <c r="E1717" i="94"/>
  <c r="S1716" i="94"/>
  <c r="U1716" i="94" s="1"/>
  <c r="G1629" i="94"/>
  <c r="T20" i="97"/>
  <c r="P20" i="97"/>
  <c r="S1687" i="94"/>
  <c r="U1687" i="94" s="1"/>
  <c r="Z17" i="5"/>
  <c r="AA17" i="5" s="1"/>
  <c r="Z16" i="5"/>
  <c r="AA16" i="5" s="1"/>
  <c r="D30" i="86"/>
  <c r="D32" i="86" s="1"/>
  <c r="CA32" i="84" s="1"/>
  <c r="Y36" i="97"/>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D55" i="78"/>
  <c r="BT37"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281" i="94"/>
  <c r="U281" i="94" s="1"/>
  <c r="BU21"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296" i="94"/>
  <c r="U296" i="94" s="1"/>
  <c r="BU36"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B21" i="83"/>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I1" i="90"/>
  <c r="C3" i="90"/>
  <c r="LG3" i="84" s="1"/>
  <c r="D38" i="10"/>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Q37" i="78"/>
  <c r="E60" i="78"/>
  <c r="E64" i="78"/>
  <c r="K61" i="78"/>
  <c r="C11" i="1"/>
  <c r="C11" i="84" s="1"/>
  <c r="C21" i="83"/>
  <c r="D21" i="83" s="1"/>
  <c r="O134" i="86"/>
  <c r="CL134" i="84" s="1"/>
  <c r="O165" i="86"/>
  <c r="CL165" i="84" s="1"/>
  <c r="O48" i="86"/>
  <c r="CL48" i="84" s="1"/>
  <c r="O19" i="86"/>
  <c r="CL19" i="84" s="1"/>
  <c r="O106" i="86"/>
  <c r="CL106" i="84" s="1"/>
  <c r="O77" i="86"/>
  <c r="CL77" i="84" s="1"/>
  <c r="O1703" i="94" l="1"/>
  <c r="L36" i="97"/>
  <c r="O1645" i="94" s="1"/>
  <c r="Q1703" i="94"/>
  <c r="N36" i="97"/>
  <c r="Q1645" i="94" s="1"/>
  <c r="J1703" i="94"/>
  <c r="G36" i="97"/>
  <c r="J1645" i="94" s="1"/>
  <c r="F36" i="97"/>
  <c r="I1645" i="94" s="1"/>
  <c r="I1703" i="94"/>
  <c r="L1703" i="94"/>
  <c r="I36" i="97"/>
  <c r="L1645" i="94" s="1"/>
  <c r="K1703" i="94"/>
  <c r="H36" i="97"/>
  <c r="K1645" i="94" s="1"/>
  <c r="O36" i="97"/>
  <c r="R1645" i="94" s="1"/>
  <c r="R1703" i="94"/>
  <c r="H1703" i="94"/>
  <c r="E36" i="97"/>
  <c r="H1645" i="94" s="1"/>
  <c r="J36" i="97"/>
  <c r="M1645" i="94" s="1"/>
  <c r="M1703" i="94"/>
  <c r="N1703" i="94"/>
  <c r="K36" i="97"/>
  <c r="N1645" i="94" s="1"/>
  <c r="P1703" i="94"/>
  <c r="M36" i="97"/>
  <c r="P1645" i="94" s="1"/>
  <c r="S1702" i="94"/>
  <c r="U1702" i="94" s="1"/>
  <c r="P35" i="97"/>
  <c r="G1644" i="94"/>
  <c r="T35" i="97"/>
  <c r="U20" i="97"/>
  <c r="S1770" i="94" s="1"/>
  <c r="U1770" i="94" s="1"/>
  <c r="S1629" i="94"/>
  <c r="U1629" i="94" s="1"/>
  <c r="X20" i="97"/>
  <c r="S1743" i="94"/>
  <c r="U1743" i="94" s="1"/>
  <c r="W35" i="97"/>
  <c r="E1732" i="94"/>
  <c r="S1731" i="94"/>
  <c r="U1731" i="94" s="1"/>
  <c r="P100" i="97"/>
  <c r="G1703" i="94"/>
  <c r="S36" i="97"/>
  <c r="D36" i="97"/>
  <c r="CA30" i="84"/>
  <c r="C204" i="86"/>
  <c r="BZ204" i="84" s="1"/>
  <c r="Z18" i="5"/>
  <c r="AA18" i="5" s="1"/>
  <c r="AA24" i="5" s="1"/>
  <c r="C4" i="5" s="1"/>
  <c r="JS4" i="84" s="1"/>
  <c r="S310" i="94"/>
  <c r="U310" i="94" s="1"/>
  <c r="BH55" i="84"/>
  <c r="D56" i="78"/>
  <c r="X32" i="78" s="1"/>
  <c r="Y32" i="78" s="1"/>
  <c r="Y33" i="78"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HY38" i="84"/>
  <c r="J21" i="3"/>
  <c r="BO62" i="84"/>
  <c r="BI65" i="84"/>
  <c r="BI61" i="84"/>
  <c r="S297" i="94"/>
  <c r="U297" i="94" s="1"/>
  <c r="BU37" i="84"/>
  <c r="T7" i="8"/>
  <c r="D15" i="83" s="1"/>
  <c r="D204" i="86"/>
  <c r="CA204" i="84" s="1"/>
  <c r="E37" i="10"/>
  <c r="H72" i="12"/>
  <c r="F73" i="12"/>
  <c r="H31" i="12"/>
  <c r="G20" i="86"/>
  <c r="H42" i="12"/>
  <c r="H43" i="12" s="1"/>
  <c r="I72" i="12"/>
  <c r="G73" i="12"/>
  <c r="K72" i="12"/>
  <c r="D13" i="83"/>
  <c r="B20" i="83"/>
  <c r="C20" i="83"/>
  <c r="D20" i="83" s="1"/>
  <c r="E62" i="78"/>
  <c r="E65" i="78"/>
  <c r="Z1" i="4"/>
  <c r="G3" i="4"/>
  <c r="C3" i="4"/>
  <c r="KO3" i="84" s="1"/>
  <c r="G1645" i="94" l="1"/>
  <c r="T36" i="97"/>
  <c r="W36" i="97"/>
  <c r="S1732" i="94"/>
  <c r="U1732" i="94" s="1"/>
  <c r="E1733" i="94"/>
  <c r="X35" i="97"/>
  <c r="S1758" i="94"/>
  <c r="U1758" i="94" s="1"/>
  <c r="S1703" i="94"/>
  <c r="U1703" i="94" s="1"/>
  <c r="P36" i="97"/>
  <c r="U35" i="97"/>
  <c r="S1644" i="94"/>
  <c r="U1644" i="94" s="1"/>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BI66" i="84"/>
  <c r="BI63"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D6" i="78"/>
  <c r="BH6" i="84" s="1"/>
  <c r="B8" i="83"/>
  <c r="C8" i="83"/>
  <c r="D8" i="83" s="1"/>
  <c r="X1" i="78"/>
  <c r="D5" i="78"/>
  <c r="BH5" i="84" s="1"/>
  <c r="F64" i="78"/>
  <c r="BJ65" i="84" s="1"/>
  <c r="K60" i="78"/>
  <c r="Y35" i="97" l="1"/>
  <c r="S1785" i="94"/>
  <c r="U1785" i="94" s="1"/>
  <c r="X36" i="97"/>
  <c r="S1759" i="94"/>
  <c r="U1759" i="94" s="1"/>
  <c r="U36" i="97"/>
  <c r="S1786" i="94" s="1"/>
  <c r="U1786" i="94" s="1"/>
  <c r="S1645" i="94"/>
  <c r="U1645" i="94" s="1"/>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BO61"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BX70" i="84" l="1"/>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BX71" i="84" l="1"/>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BX72" i="84" l="1"/>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BX73" i="84" l="1"/>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N38" i="10"/>
  <c r="A89" i="86" l="1"/>
  <c r="BX88" i="84"/>
  <c r="LZ80" i="84"/>
  <c r="C81" i="16"/>
  <c r="II38" i="84"/>
  <c r="A90" i="86" l="1"/>
  <c r="BX89" i="84"/>
  <c r="LZ81" i="84"/>
  <c r="C82" i="16"/>
  <c r="C4" i="3"/>
  <c r="B3" i="3"/>
  <c r="HP3" i="84" s="1"/>
  <c r="C16" i="83"/>
  <c r="D16" i="83" s="1"/>
  <c r="B16" i="83"/>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D11" i="84" s="1"/>
  <c r="W54" i="69"/>
  <c r="C6" i="83"/>
  <c r="D6" i="83" s="1"/>
  <c r="B6" i="83"/>
  <c r="A7" i="87"/>
  <c r="AP7" i="84" s="1"/>
  <c r="S163" i="94"/>
  <c r="U163" i="94" s="1"/>
  <c r="AM50" i="84"/>
  <c r="C5" i="83" l="1"/>
  <c r="D5" i="83" s="1"/>
  <c r="D2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C25" i="83" l="1"/>
  <c r="B25" i="83" s="1"/>
  <c r="A231" i="86"/>
  <c r="BX231" i="84" s="1"/>
  <c r="BX230"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E00-000001000000}">
      <text>
        <r>
          <rPr>
            <b/>
            <sz val="9"/>
            <color indexed="81"/>
            <rFont val="Tahoma"/>
            <family val="2"/>
          </rPr>
          <t xml:space="preserve">Enter the applicable indicator (R or NR) against each line of anticipated income. </t>
        </r>
      </text>
    </comment>
    <comment ref="I4" authorId="0" shapeId="0" xr:uid="{00000000-0006-0000-0E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E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E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E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E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E00-000007000000}">
      <text>
        <r>
          <rPr>
            <b/>
            <sz val="9"/>
            <color indexed="81"/>
            <rFont val="Tahoma"/>
            <family val="2"/>
          </rPr>
          <t>This should reflect the resource allocation received to date,</t>
        </r>
      </text>
    </comment>
    <comment ref="B13" authorId="0" shapeId="0" xr:uid="{00000000-0006-0000-0E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10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10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1000-000003000000}">
      <text>
        <r>
          <rPr>
            <b/>
            <sz val="9"/>
            <color indexed="81"/>
            <rFont val="Tahoma"/>
            <family val="2"/>
          </rPr>
          <t>This should provide details of Trade and Other Payables analysed between capital and revenue.</t>
        </r>
      </text>
    </comment>
    <comment ref="B75" authorId="0" shapeId="0" xr:uid="{00000000-0006-0000-1000-000004000000}">
      <text>
        <r>
          <rPr>
            <b/>
            <sz val="9"/>
            <color indexed="81"/>
            <rFont val="Tahoma"/>
            <family val="2"/>
          </rPr>
          <t>This should provide details of Cash &amp; Cash Equivalents analysed between capital and revenue.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<sst xmlns="http://schemas.openxmlformats.org/spreadsheetml/2006/main" count="3740" uniqueCount="1453">
  <si>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</si>
  <si>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</si>
  <si>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</si>
  <si>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</si>
  <si>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</si>
  <si>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</si>
  <si>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</si>
  <si>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</si>
  <si>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</si>
  <si>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</si>
  <si>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</si>
  <si>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</si>
  <si>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</si>
  <si>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</si>
  <si>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</si>
  <si>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</si>
  <si>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</si>
  <si>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</si>
  <si>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</si>
  <si>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</si>
  <si>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</si>
  <si>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</si>
  <si>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</si>
  <si>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</si>
  <si>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</si>
  <si>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</si>
  <si>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</si>
  <si>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</si>
  <si>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</si>
  <si>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</si>
  <si>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</si>
  <si>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</si>
  <si>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</si>
  <si>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</si>
  <si>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</si>
  <si>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</si>
  <si>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</si>
  <si>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</si>
  <si>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</si>
  <si>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</si>
  <si>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</si>
  <si>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</si>
  <si>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</si>
  <si>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</si>
  <si>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</si>
  <si>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</si>
  <si>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</si>
  <si>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</si>
  <si>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</si>
  <si>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</si>
  <si>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</si>
  <si>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</si>
  <si>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</si>
  <si>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</si>
  <si>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</si>
  <si>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</si>
  <si>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</si>
  <si>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</si>
  <si>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</si>
  <si>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</si>
  <si>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</si>
  <si>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</si>
  <si>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</si>
  <si>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</si>
  <si>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</si>
  <si>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</si>
  <si>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</si>
  <si>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</si>
  <si>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</si>
  <si>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</si>
  <si>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</si>
  <si>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</si>
  <si>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</si>
  <si>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</si>
  <si>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</si>
  <si>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</si>
  <si>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</si>
  <si>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</si>
  <si>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</si>
  <si>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</si>
  <si>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</si>
  <si>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</si>
  <si>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</si>
  <si>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</si>
  <si>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</si>
  <si>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</si>
  <si>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</si>
  <si>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</si>
  <si>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</si>
  <si>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</si>
  <si>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</si>
  <si>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</si>
  <si>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</si>
  <si>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</si>
  <si>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</si>
  <si>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</si>
  <si>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</si>
  <si>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</si>
  <si>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</si>
  <si>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</si>
  <si>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</si>
  <si>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</si>
  <si>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</si>
  <si>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</si>
  <si>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</si>
  <si>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</si>
  <si>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</si>
  <si>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</si>
  <si>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</si>
  <si>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</si>
  <si>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</si>
  <si>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</si>
  <si>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</si>
  <si>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</si>
  <si>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</si>
  <si>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</si>
  <si>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</si>
  <si>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</si>
  <si>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</si>
  <si>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</si>
  <si>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</si>
  <si>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</si>
  <si>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</si>
  <si>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</si>
  <si>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</si>
  <si>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</si>
  <si>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</si>
  <si>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</si>
  <si>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</si>
  <si>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</si>
  <si>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</si>
  <si>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</si>
  <si>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</si>
  <si>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</si>
  <si>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</si>
  <si>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</si>
  <si>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</si>
  <si>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</si>
  <si>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</si>
  <si>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</si>
  <si>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</si>
  <si>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</si>
  <si>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</si>
  <si>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</si>
  <si>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</si>
  <si>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</si>
  <si>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</si>
  <si>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</si>
  <si>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</si>
  <si>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</si>
  <si>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</si>
  <si>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</si>
  <si>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</si>
  <si>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</si>
  <si>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</si>
  <si>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</si>
  <si>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</si>
  <si>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</si>
  <si>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</si>
  <si>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</si>
  <si>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</si>
  <si>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</si>
  <si>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</si>
  <si>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</si>
  <si>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</si>
  <si>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</si>
  <si>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</si>
  <si>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</si>
  <si>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</si>
  <si>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</si>
  <si>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</si>
  <si>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</si>
  <si>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</si>
  <si>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</si>
  <si>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</si>
  <si>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</si>
  <si>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</si>
  <si>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</si>
  <si>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</si>
  <si>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</si>
  <si>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</si>
  <si>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</si>
  <si>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</si>
  <si>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</si>
  <si>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</si>
  <si>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</si>
  <si>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</si>
  <si>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</si>
  <si>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</si>
  <si>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</si>
  <si>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</si>
  <si>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</si>
  <si>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</si>
  <si>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</si>
  <si>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</si>
  <si>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</si>
  <si>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</si>
  <si>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</si>
  <si>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</si>
  <si>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</si>
  <si>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</si>
  <si>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</si>
  <si>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</si>
  <si>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</si>
  <si>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</si>
  <si>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</si>
  <si>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</si>
  <si>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</si>
  <si>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</si>
  <si>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</si>
  <si>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</si>
  <si>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</si>
  <si>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</si>
  <si>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</si>
  <si>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</si>
  <si>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</si>
  <si>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</si>
  <si>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</si>
  <si>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</si>
  <si>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</si>
  <si>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</si>
  <si>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</si>
  <si>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</si>
  <si>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</si>
  <si>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</si>
  <si>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</si>
  <si>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</si>
  <si>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</si>
  <si>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</si>
  <si>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</si>
  <si>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</si>
  <si>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</si>
  <si>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</si>
  <si>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</si>
  <si>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</si>
  <si>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</si>
  <si>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</si>
  <si>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</si>
  <si>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</si>
  <si>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</si>
  <si>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</si>
  <si>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</si>
  <si>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</si>
  <si>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</si>
  <si>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</si>
  <si>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</si>
  <si>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</si>
  <si>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</si>
  <si>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</si>
  <si>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</si>
  <si>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</si>
  <si>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</si>
  <si>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</si>
  <si>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</si>
  <si>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</si>
  <si>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</si>
  <si>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</si>
  <si>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</si>
  <si>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</si>
  <si>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</si>
  <si>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</si>
  <si>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</si>
  <si>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</si>
  <si>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</si>
  <si>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</si>
  <si>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</si>
  <si>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</si>
  <si>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</si>
  <si>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</si>
  <si>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</si>
  <si>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</si>
  <si>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</si>
  <si>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</si>
  <si>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</si>
  <si>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</si>
  <si>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</si>
  <si>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</si>
  <si>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</si>
  <si>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</si>
  <si>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</si>
  <si>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</si>
  <si>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</si>
  <si>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</si>
  <si>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</si>
  <si>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</si>
  <si>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</si>
  <si>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</si>
  <si>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</si>
  <si>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</si>
  <si>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</si>
  <si>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</si>
  <si>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</si>
  <si>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</si>
  <si>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</si>
  <si>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</si>
  <si>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</si>
  <si>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</si>
  <si>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</si>
  <si>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</si>
  <si>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</si>
  <si>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</si>
  <si>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</si>
  <si>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</si>
  <si>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</si>
  <si>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</si>
  <si>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</si>
  <si>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</si>
  <si>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</si>
  <si>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</si>
  <si>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</si>
  <si>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</si>
  <si>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</si>
  <si>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</si>
  <si>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</si>
  <si>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</si>
  <si>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</si>
  <si>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</si>
  <si>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</si>
  <si>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</si>
  <si>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</si>
  <si>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</si>
  <si>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</si>
  <si>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</si>
  <si>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</si>
  <si>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</si>
  <si>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</si>
  <si>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</si>
  <si>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</si>
  <si>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</si>
  <si>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</si>
  <si>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</si>
  <si>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</si>
  <si>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</si>
  <si>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</si>
  <si>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</si>
  <si>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</si>
  <si>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</si>
  <si>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</si>
  <si>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</si>
  <si>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</si>
  <si>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</si>
  <si>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</si>
  <si>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</si>
  <si>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</si>
  <si>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</si>
  <si>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</si>
  <si>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</si>
  <si>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</si>
  <si>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</si>
  <si>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</si>
  <si>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</si>
  <si>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</si>
  <si>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</si>
  <si>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</si>
  <si>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</si>
  <si>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</si>
  <si>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</si>
  <si>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</si>
  <si>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</si>
  <si>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</si>
  <si>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</si>
  <si>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</si>
  <si>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</si>
  <si>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</si>
  <si>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</si>
  <si>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</si>
  <si>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</si>
  <si>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</si>
  <si>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</si>
  <si>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</si>
  <si>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</si>
  <si>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</si>
  <si>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</si>
  <si>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</si>
  <si>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</si>
  <si>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</si>
  <si>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</si>
  <si>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</si>
  <si>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</si>
  <si>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</si>
  <si>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</si>
  <si>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</si>
  <si>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</si>
  <si>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</si>
  <si>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</si>
  <si>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</si>
  <si>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</si>
  <si>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</si>
  <si>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</si>
  <si>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</si>
  <si>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</si>
  <si>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</si>
  <si>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</si>
  <si>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</si>
  <si>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</si>
  <si>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</si>
  <si>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</si>
  <si>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</si>
  <si>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</si>
  <si>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</si>
  <si>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</si>
  <si>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</si>
  <si>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</si>
  <si>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</si>
  <si>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</si>
  <si>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</si>
  <si>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</si>
  <si>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</si>
  <si>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</si>
  <si>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</si>
  <si>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</si>
  <si>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</si>
  <si>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</si>
  <si>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</si>
  <si>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</si>
  <si>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</si>
  <si>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</si>
  <si>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</si>
  <si>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</si>
  <si>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</si>
  <si>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</si>
  <si>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</si>
  <si>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</si>
  <si>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</si>
  <si>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</si>
  <si>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</si>
  <si>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</si>
  <si>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</si>
  <si>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</si>
  <si>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</si>
  <si>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</si>
  <si>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</si>
  <si>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</si>
  <si>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</si>
  <si>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</si>
  <si>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</si>
  <si>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</si>
  <si>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</si>
  <si>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</si>
  <si>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</si>
  <si>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</si>
  <si>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</si>
  <si>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</si>
  <si>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</si>
  <si>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</si>
  <si>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</si>
  <si>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</si>
  <si>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</si>
  <si>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</si>
  <si>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</si>
  <si>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</si>
  <si>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</si>
  <si>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</si>
  <si>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</si>
  <si>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</si>
  <si>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</si>
  <si>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</si>
  <si>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</si>
  <si>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</si>
  <si>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</si>
  <si>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</si>
  <si>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</si>
  <si>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</si>
  <si>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</si>
  <si>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</si>
  <si>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</si>
  <si>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</si>
  <si>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</si>
  <si>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</si>
  <si>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</si>
  <si>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</si>
  <si>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</si>
  <si>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</si>
  <si>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</si>
  <si>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</si>
  <si>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</si>
  <si>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</si>
  <si>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</si>
  <si>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</si>
  <si>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</si>
  <si>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</si>
  <si>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</si>
  <si>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</si>
  <si>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</si>
  <si>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</si>
  <si>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</si>
  <si>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</si>
  <si>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</si>
  <si>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</si>
  <si>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</si>
  <si>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</si>
  <si>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</si>
  <si>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</si>
  <si>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</si>
  <si>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</si>
  <si>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</si>
  <si>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</si>
  <si>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</si>
  <si>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</si>
  <si>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</si>
  <si>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</si>
  <si>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</si>
  <si>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</si>
  <si>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</si>
  <si>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</si>
  <si>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</si>
  <si>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</si>
  <si>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</si>
  <si>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</si>
  <si>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</si>
  <si>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</si>
  <si>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</si>
  <si>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</si>
  <si>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</si>
  <si>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</si>
  <si>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</si>
  <si>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</si>
  <si>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</si>
  <si>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</si>
  <si>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</si>
  <si>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</si>
  <si>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</si>
  <si>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</si>
  <si>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</si>
  <si>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</si>
  <si>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</si>
  <si>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</si>
  <si>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</si>
  <si>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</si>
  <si>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</si>
  <si>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</si>
  <si>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</si>
  <si>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</si>
  <si>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</si>
  <si>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</si>
  <si>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</si>
  <si>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</si>
  <si>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</si>
  <si>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</si>
  <si>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</si>
  <si>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</si>
  <si>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</si>
  <si>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</si>
  <si>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</si>
  <si>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</si>
  <si>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</si>
  <si>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</si>
  <si>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</si>
  <si>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</si>
  <si>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</si>
  <si>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</si>
  <si>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</si>
  <si>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</si>
  <si>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</si>
  <si>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</si>
  <si>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</si>
  <si>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</si>
  <si>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</si>
  <si>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</si>
  <si>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</si>
  <si>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</si>
  <si>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</si>
  <si>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</si>
  <si>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</si>
  <si>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</si>
  <si>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</si>
  <si>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</si>
  <si>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</si>
  <si>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</si>
  <si>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</si>
  <si>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</si>
  <si>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</si>
  <si>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</si>
  <si>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</si>
  <si>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</si>
  <si>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</si>
  <si>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</si>
  <si>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</si>
  <si>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</si>
  <si>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</si>
  <si>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</si>
  <si>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</si>
  <si>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</si>
  <si>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</si>
  <si>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</si>
  <si>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</si>
  <si>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</si>
  <si>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</si>
  <si>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</si>
  <si>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</si>
  <si>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</si>
  <si>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</si>
  <si>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</si>
  <si>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</si>
  <si>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</si>
  <si>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</si>
  <si>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</si>
  <si>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</si>
  <si>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</si>
  <si>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</si>
  <si>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</si>
  <si>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</si>
  <si>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</si>
  <si>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</si>
  <si>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</si>
  <si>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</si>
  <si>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</si>
  <si>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</si>
  <si>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</si>
  <si>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</si>
  <si>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</si>
  <si>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</si>
  <si>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</si>
  <si>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</si>
  <si>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</si>
  <si>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</si>
  <si>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</si>
  <si>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</si>
  <si>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</si>
  <si>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</si>
  <si>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</si>
  <si>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</si>
  <si>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</si>
  <si>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</si>
  <si>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</si>
  <si>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</si>
  <si>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</si>
  <si>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</si>
  <si>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</si>
  <si>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</si>
  <si>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</si>
  <si>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</si>
  <si>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</si>
  <si>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</si>
  <si>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</si>
  <si>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</si>
  <si>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</si>
  <si>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</si>
  <si>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</si>
  <si>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</si>
  <si>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</si>
  <si>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</si>
  <si>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</si>
  <si>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</si>
  <si>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</si>
  <si>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</si>
  <si>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</si>
  <si>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</si>
  <si>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</si>
  <si>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</si>
  <si>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</si>
  <si>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</si>
  <si>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</si>
  <si>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</si>
  <si>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</si>
  <si>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</si>
  <si>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</si>
  <si>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</si>
  <si>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</si>
  <si>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</si>
  <si>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</si>
  <si>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</si>
  <si>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</si>
  <si>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</si>
  <si>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</si>
  <si>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</si>
  <si>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</si>
  <si>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</si>
  <si>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</si>
  <si>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</si>
  <si>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</si>
  <si>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</si>
  <si>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</si>
  <si>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</si>
  <si>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</si>
  <si>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</si>
  <si>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</si>
  <si>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</si>
  <si>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</si>
  <si>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</si>
  <si>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</si>
  <si>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</si>
  <si>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</si>
  <si>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</si>
  <si>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</si>
  <si>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</si>
  <si>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</si>
  <si>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</si>
  <si>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</si>
  <si>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</si>
  <si>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</si>
  <si>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</si>
  <si>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</si>
  <si>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</si>
  <si>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</si>
  <si>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</si>
  <si>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</si>
  <si>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</si>
  <si>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</si>
  <si>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</si>
  <si>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</si>
  <si>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</si>
  <si>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</si>
  <si>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</si>
  <si>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</si>
  <si>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</si>
  <si>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</si>
  <si>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</si>
  <si>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</si>
  <si>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</si>
  <si>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</si>
  <si>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</si>
  <si>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</si>
  <si>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</si>
  <si>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</si>
  <si>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</si>
  <si>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</si>
  <si>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</si>
  <si>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</si>
  <si>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</si>
  <si>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</si>
  <si>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</si>
  <si>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</si>
  <si>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</si>
  <si>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</si>
  <si>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</si>
  <si>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</si>
  <si>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</si>
  <si>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</si>
  <si>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</si>
  <si>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</si>
  <si>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</si>
  <si>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</si>
  <si>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</si>
  <si>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</si>
  <si>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</si>
  <si>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</si>
  <si>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</si>
  <si>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</si>
  <si>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</si>
  <si>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</si>
  <si>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</si>
  <si>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</si>
  <si>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</si>
  <si>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</si>
  <si>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</si>
  <si>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</si>
  <si>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</si>
  <si>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</si>
  <si>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</si>
  <si>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</si>
  <si>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</si>
  <si>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</si>
  <si>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</si>
  <si>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</si>
  <si>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</si>
  <si>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</si>
  <si>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</si>
  <si>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</si>
  <si>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</si>
  <si>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</si>
  <si>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</si>
  <si>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</si>
  <si>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</si>
  <si>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</si>
  <si>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</si>
  <si>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</si>
  <si>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</si>
  <si>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</si>
  <si>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</si>
  <si>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</si>
  <si>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</si>
  <si>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</si>
  <si>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</si>
  <si>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</si>
  <si>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</si>
  <si>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</si>
  <si>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</si>
  <si>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</si>
  <si>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</si>
  <si>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</si>
  <si>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</si>
  <si>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</si>
  <si>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</si>
  <si>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</si>
  <si>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</si>
  <si>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</si>
  <si>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</si>
  <si>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</si>
  <si>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</si>
  <si>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</si>
  <si>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</si>
  <si>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</si>
  <si>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</si>
  <si>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</si>
  <si>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</si>
  <si>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</si>
  <si>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</si>
  <si>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</si>
  <si>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</si>
  <si>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</si>
  <si>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</si>
  <si>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</si>
  <si>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</si>
  <si>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</si>
  <si>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</si>
  <si>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</si>
  <si>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</si>
  <si>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</si>
  <si>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</si>
  <si>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</si>
  <si>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</si>
  <si>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</si>
  <si>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</si>
  <si>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</si>
  <si>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</si>
  <si>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</si>
  <si>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</si>
  <si>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</si>
  <si>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</si>
  <si>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</si>
  <si>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</si>
  <si>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</si>
  <si>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</si>
  <si>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</si>
  <si>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</si>
  <si>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</si>
  <si>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</si>
  <si>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</si>
  <si>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</si>
  <si>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</si>
  <si>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</si>
  <si>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</si>
  <si>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</si>
  <si>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</si>
  <si>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</si>
  <si>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</si>
  <si>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</si>
  <si>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</si>
  <si>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</si>
  <si>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</si>
  <si>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</si>
  <si>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</si>
  <si>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</si>
  <si>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</si>
  <si>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</si>
  <si>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</si>
  <si>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</si>
  <si>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</si>
  <si>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</si>
  <si>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</si>
  <si>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</si>
  <si>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</si>
  <si>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</si>
  <si>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</si>
  <si>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</si>
  <si>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</si>
  <si>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</si>
  <si>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</si>
  <si>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</si>
  <si>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</si>
  <si>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</si>
  <si>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</si>
  <si>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</si>
  <si>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</si>
  <si>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</si>
  <si>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</si>
  <si>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</si>
  <si>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</si>
  <si>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</si>
  <si>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</si>
  <si>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</si>
  <si>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</si>
  <si>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</si>
  <si>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</si>
  <si>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</si>
  <si>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</si>
  <si>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</si>
  <si>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</si>
  <si>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</si>
  <si>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</si>
  <si>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</si>
  <si>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</si>
  <si>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</si>
  <si>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</si>
  <si>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</si>
  <si>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</si>
  <si>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</si>
  <si>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</si>
  <si>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</si>
  <si>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</si>
  <si>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</si>
  <si>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</si>
  <si>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</si>
  <si>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</si>
  <si>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</si>
  <si>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</si>
  <si>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</si>
  <si>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</si>
  <si>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</si>
  <si>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</si>
  <si>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</si>
  <si>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</si>
  <si>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</si>
  <si>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</si>
  <si>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</si>
  <si>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</si>
  <si>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</si>
  <si>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</si>
  <si>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</si>
  <si>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</si>
  <si>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</si>
  <si>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</si>
  <si>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</si>
  <si>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</si>
  <si>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</si>
  <si>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</si>
  <si>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</si>
  <si>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</si>
  <si>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</si>
  <si>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</si>
  <si>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</si>
  <si>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</si>
  <si>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</si>
  <si>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</si>
  <si>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</si>
  <si>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</si>
  <si>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</si>
  <si>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</si>
  <si>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</si>
  <si>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</si>
  <si>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</si>
  <si>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</si>
  <si>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</si>
  <si>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</si>
  <si>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</si>
  <si>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</si>
  <si>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</si>
  <si>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</si>
  <si>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</si>
  <si>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</si>
  <si>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</si>
  <si>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</si>
  <si>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</si>
  <si>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</si>
  <si>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</si>
  <si>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</si>
  <si>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</si>
  <si>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</si>
  <si>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</si>
  <si>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</si>
  <si>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</si>
  <si>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</si>
  <si>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</si>
  <si>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</si>
  <si>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</si>
  <si>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</si>
  <si>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</si>
  <si>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</si>
  <si>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</si>
  <si>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</si>
  <si>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</si>
  <si>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</si>
  <si>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</si>
  <si>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</si>
  <si>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</si>
  <si>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</si>
  <si>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</si>
  <si>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</si>
  <si>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</si>
  <si>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</si>
  <si>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</si>
  <si>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</si>
  <si>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</si>
  <si>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</si>
  <si>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</si>
  <si>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</si>
  <si>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</si>
  <si>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</si>
  <si>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</si>
  <si>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</si>
  <si>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</si>
  <si>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</si>
  <si>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</si>
  <si>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</si>
  <si>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</si>
  <si>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</si>
  <si>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</si>
  <si>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</si>
  <si>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</si>
  <si>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</si>
  <si>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</si>
  <si>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</si>
  <si>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</si>
  <si>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</si>
  <si>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</si>
  <si>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</si>
  <si>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</si>
  <si>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</si>
  <si>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</si>
  <si>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</si>
  <si>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</si>
  <si>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</si>
  <si>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</si>
  <si>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</si>
  <si>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</si>
  <si>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</si>
  <si>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</si>
  <si>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</si>
  <si>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</si>
  <si>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</si>
  <si>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</si>
  <si>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</si>
  <si>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</si>
  <si>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</si>
  <si>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</si>
  <si>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</si>
  <si>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</si>
  <si>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</si>
  <si>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</si>
  <si>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</si>
  <si>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</si>
  <si>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</si>
  <si>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</si>
  <si>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</si>
  <si>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</si>
  <si>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</si>
  <si>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</si>
  <si>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</si>
  <si>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</si>
  <si>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</si>
  <si>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</si>
  <si>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</si>
  <si>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</si>
  <si>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</si>
  <si>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</si>
  <si>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</si>
  <si>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</si>
  <si>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</si>
  <si>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</si>
  <si>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</si>
  <si>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</si>
  <si>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</si>
  <si>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</si>
  <si>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</si>
  <si>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</si>
  <si>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</si>
  <si>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</si>
  <si>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</si>
  <si>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</si>
  <si>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</si>
  <si>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</si>
  <si>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</si>
  <si>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</si>
  <si>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</si>
  <si>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</si>
  <si>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</si>
  <si>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</si>
  <si>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</si>
  <si>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</si>
  <si>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</si>
  <si>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</si>
  <si>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</si>
  <si>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</si>
  <si>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</si>
  <si>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</si>
  <si>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</si>
  <si>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</si>
  <si>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</si>
  <si>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</si>
  <si>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</si>
  <si>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</si>
  <si>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</si>
  <si>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</si>
  <si>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</si>
  <si>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</si>
  <si>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</si>
  <si>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</si>
  <si>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</si>
  <si>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</si>
  <si>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</si>
  <si>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</si>
  <si>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</si>
  <si>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</si>
  <si>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</si>
  <si>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</si>
  <si>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</si>
  <si>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</si>
  <si>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</si>
  <si>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</si>
  <si>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</si>
  <si>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</si>
  <si>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</si>
  <si>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</si>
  <si>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</si>
  <si>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</si>
  <si>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</si>
  <si>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</si>
  <si>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</si>
  <si>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</si>
  <si>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</si>
  <si>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</si>
  <si>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</si>
  <si>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</si>
  <si>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</si>
  <si>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</si>
  <si>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</si>
  <si>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</si>
  <si>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</si>
  <si>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</si>
  <si>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</si>
  <si>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</si>
  <si>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</si>
  <si>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</si>
  <si>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</si>
  <si>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</si>
  <si>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</si>
  <si>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</si>
  <si>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</si>
  <si>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</si>
  <si>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</si>
  <si>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</si>
  <si>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</si>
  <si>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</si>
  <si>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</si>
  <si>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</si>
  <si>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</si>
  <si>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</si>
  <si>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</si>
  <si>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</si>
  <si>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</si>
  <si>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</si>
  <si>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</si>
  <si>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</si>
  <si>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</si>
  <si>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</si>
  <si>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</si>
  <si>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</si>
  <si>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</si>
  <si>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</si>
  <si>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</si>
  <si>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</si>
  <si>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</si>
  <si>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</si>
  <si>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</si>
  <si>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</si>
  <si>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</si>
  <si>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</si>
  <si>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</si>
  <si>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</si>
  <si>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</si>
  <si>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</si>
  <si>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</si>
  <si>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</si>
  <si>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</si>
  <si>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</si>
  <si>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</si>
  <si>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</si>
  <si>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</si>
  <si>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</si>
  <si>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</si>
  <si>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</si>
  <si>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</si>
  <si>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</si>
  <si>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</si>
  <si>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</si>
  <si>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</si>
  <si>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</si>
  <si>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</si>
  <si>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</si>
  <si>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</si>
  <si>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</si>
  <si>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</si>
  <si>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</si>
  <si>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</si>
  <si>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</si>
  <si>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</si>
  <si>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</si>
  <si>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</si>
  <si>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</si>
  <si>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</si>
  <si>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</si>
  <si>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</si>
  <si>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</si>
  <si>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</si>
  <si>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</si>
  <si>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</si>
  <si>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</si>
  <si>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</si>
  <si>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</si>
  <si>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</si>
  <si>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</si>
  <si>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</si>
  <si>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</si>
  <si>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</si>
  <si>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</si>
  <si>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</si>
  <si>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</si>
  <si>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</si>
  <si>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</si>
  <si>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</si>
  <si>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</si>
  <si>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</si>
  <si>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</si>
  <si>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</si>
  <si>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</si>
  <si>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</si>
  <si>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</si>
  <si>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</si>
  <si>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</si>
  <si>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</si>
  <si>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</si>
  <si>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</si>
  <si>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</si>
  <si>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</si>
  <si>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</si>
  <si>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</si>
  <si>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</si>
  <si>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</si>
  <si>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</si>
  <si>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</si>
  <si>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</si>
  <si>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</si>
  <si>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</si>
  <si>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</si>
  <si>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</si>
  <si>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</si>
  <si>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</si>
  <si>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</si>
  <si>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</si>
  <si>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</si>
  <si>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</si>
  <si>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</si>
  <si>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</si>
  <si>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</si>
  <si>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</si>
  <si>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</si>
  <si>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</si>
  <si>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</si>
  <si>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</si>
  <si>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</si>
  <si>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</si>
  <si>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</si>
  <si>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</si>
  <si>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</si>
  <si>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</si>
  <si>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</si>
  <si>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</si>
  <si>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</si>
  <si>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</si>
  <si>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</si>
  <si>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</si>
  <si>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</si>
  <si>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</si>
  <si>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</si>
  <si>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</si>
  <si>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</si>
  <si>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</si>
  <si>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</si>
  <si>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</si>
  <si>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</si>
  <si>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</si>
  <si>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</si>
  <si>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</si>
  <si>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</si>
  <si>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</si>
  <si>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</si>
  <si>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</si>
  <si>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</si>
  <si>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</si>
  <si>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</si>
  <si>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</si>
  <si>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</si>
  <si>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</si>
  <si>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</si>
  <si>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</si>
  <si>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</si>
  <si>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</si>
  <si>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</si>
  <si>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</si>
  <si>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</si>
  <si>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</si>
  <si>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</si>
  <si>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</si>
  <si>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</si>
  <si>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</si>
  <si>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</si>
  <si>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</si>
  <si>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</si>
  <si>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</si>
  <si>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</si>
  <si>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</si>
  <si>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</si>
  <si>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</si>
  <si>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</si>
  <si>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</si>
  <si>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</si>
  <si>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</si>
  <si>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</si>
  <si>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</si>
  <si>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</si>
  <si>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</si>
  <si>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</si>
  <si>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</si>
  <si>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</si>
  <si>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</si>
  <si>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</si>
  <si>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</si>
  <si>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</si>
  <si>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</si>
  <si>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</si>
  <si>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</si>
  <si>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</si>
  <si>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</si>
  <si>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</si>
  <si>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</si>
  <si>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</si>
  <si>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</si>
  <si>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</si>
  <si>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</si>
  <si>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</si>
  <si>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</si>
  <si>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</si>
  <si>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</si>
  <si>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</si>
  <si>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</si>
  <si>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</si>
  <si>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</si>
  <si>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</si>
  <si>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</si>
  <si>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</si>
  <si>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</si>
  <si>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</si>
  <si>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</si>
  <si>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</si>
  <si>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</si>
  <si>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</si>
  <si>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</si>
  <si>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</si>
  <si>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</si>
  <si>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</si>
  <si>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</si>
  <si>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</si>
  <si>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</si>
  <si>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</si>
  <si>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</si>
  <si>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</si>
  <si>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</si>
  <si>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</si>
  <si>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</si>
  <si>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</si>
  <si>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</si>
  <si>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</si>
  <si>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</si>
  <si>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</si>
  <si>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</si>
  <si>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</si>
  <si>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</si>
  <si>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</si>
  <si>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</si>
  <si>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</si>
  <si>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</si>
  <si>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</si>
  <si>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</si>
  <si>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</si>
  <si>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</si>
  <si>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</si>
  <si>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</si>
  <si>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</si>
  <si>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</si>
  <si>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</si>
  <si>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</si>
  <si>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</si>
  <si>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</si>
  <si>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</si>
  <si>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</si>
  <si>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</si>
  <si>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</si>
  <si>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</si>
  <si>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</si>
  <si>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</si>
  <si>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</si>
  <si>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</si>
  <si>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</si>
  <si>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</si>
  <si>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</si>
  <si>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</si>
  <si>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</si>
  <si>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</si>
  <si>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</si>
  <si>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</si>
  <si>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</si>
  <si>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</si>
  <si>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</si>
  <si>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</si>
  <si>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</si>
  <si>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</si>
  <si>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</si>
  <si>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</si>
  <si>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</si>
  <si>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</si>
  <si>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</si>
  <si>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</si>
  <si>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</si>
  <si>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</si>
  <si>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</si>
  <si>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</si>
  <si>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</si>
  <si>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</si>
  <si>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</si>
  <si>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</si>
  <si>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</si>
  <si>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</si>
  <si>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</si>
  <si>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</si>
  <si>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</si>
  <si>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</si>
  <si>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</si>
  <si>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</si>
  <si>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</si>
  <si>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</si>
  <si>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</si>
  <si>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Agreed in M12 AoB, C&amp;V PO quoted 726234796 . Chaser sent to AP 09.05.23</t>
  </si>
  <si>
    <t>Agreed in M12 AoB. Chaser statement sent to AP, and again on 09.05.23</t>
  </si>
  <si>
    <t>DA1</t>
  </si>
  <si>
    <t>All</t>
  </si>
  <si>
    <t>Central Budgets</t>
  </si>
  <si>
    <t>DA2</t>
  </si>
  <si>
    <t>DA3</t>
  </si>
  <si>
    <t>DA4</t>
  </si>
  <si>
    <t>DA5</t>
  </si>
  <si>
    <t>DA6</t>
  </si>
  <si>
    <t>DA7</t>
  </si>
  <si>
    <t>DA8</t>
  </si>
  <si>
    <t>Directorate 1% Savings - Non Pay</t>
  </si>
  <si>
    <t>Directorate 1% Savings - Pay</t>
  </si>
  <si>
    <t>Corporate Savings - Cash Mgt/Interest</t>
  </si>
  <si>
    <t>Corporate Savings Schemes - Creditor Writeback</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</si>
  <si>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</si>
  <si>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</si>
  <si>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</si>
  <si>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</si>
  <si>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</si>
  <si>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</si>
  <si>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</si>
  <si>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</si>
  <si>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</si>
  <si>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</si>
  <si>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</si>
  <si>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</si>
  <si>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</si>
  <si>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WG funding not yet confirmed - Screening Recovery Funding</t>
  </si>
  <si>
    <t>Availability of strategic capital funding to support the replacement of digital firewalls and other strategic capital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</si>
</sst>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7" xfId="2" applyFont="1" applyFill="1" applyBorder="1" applyAlignment="1" applyProtection="1">
      <alignment horizontal="left"/>
      <protection locked="0"/>
    </xf>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921875" defaultRowHeight="20.149999999999999" customHeight="1"/>
  <cols>
    <col min="1" max="1" width="8.921875" style="1925"/>
    <col min="2" max="2" width="37.07421875" style="1925" bestFit="1" customWidth="1"/>
    <col min="3" max="3" width="9.921875" style="1925" customWidth="1"/>
    <col min="4" max="4" width="9.61328125" style="1925" customWidth="1"/>
    <col min="5" max="6" width="8.921875" style="1925"/>
    <col min="7" max="7" width="11.4609375" style="1925" customWidth="1"/>
    <col min="8" max="8" width="12.07421875" style="1925" customWidth="1"/>
    <col min="9" max="12" width="8.921875" style="1925"/>
    <col min="13" max="13" width="6.07421875" style="1925" customWidth="1"/>
    <col min="14" max="14" width="94.53515625" style="1925" customWidth="1"/>
    <col min="15" max="18" width="8.53515625" style="1925" customWidth="1"/>
    <col min="19" max="20" width="8.921875" style="1925"/>
    <col min="21" max="21" width="6.07421875" style="1925" customWidth="1"/>
    <col min="22" max="22" width="92.921875" style="1925" customWidth="1"/>
    <col min="23" max="34" width="9.921875" style="1925" customWidth="1"/>
    <col min="35" max="39" width="8.53515625" style="1925" customWidth="1"/>
    <col min="40" max="42" width="8.921875" style="1925"/>
    <col min="43" max="43" width="52.15234375" style="1925" bestFit="1" customWidth="1"/>
    <col min="44" max="52" width="8.921875" style="1925"/>
    <col min="53" max="53" width="56.07421875" style="1925" customWidth="1"/>
    <col min="54" max="55" width="12.07421875" style="1925" customWidth="1"/>
    <col min="56" max="57" width="6.07421875" style="1925" customWidth="1"/>
    <col min="58" max="58" width="60.53515625" style="1925" bestFit="1" customWidth="1"/>
    <col min="59" max="59" width="30.15234375" style="1925" bestFit="1" customWidth="1"/>
    <col min="60" max="60" width="11.07421875" style="1925" customWidth="1"/>
    <col min="61" max="61" width="8.15234375" style="1925" customWidth="1"/>
    <col min="62" max="72" width="8.921875" style="1925"/>
    <col min="73" max="73" width="10.61328125" style="1925" customWidth="1"/>
    <col min="74" max="76" width="8.921875" style="1925" customWidth="1"/>
    <col min="77" max="77" width="98.3828125" style="1925" bestFit="1" customWidth="1"/>
    <col min="78" max="91" width="8.921875" style="1925" customWidth="1"/>
    <col min="92" max="93" width="8.921875" style="1925"/>
    <col min="94" max="94" width="45.53515625" style="1925" bestFit="1" customWidth="1"/>
    <col min="95" max="110" width="8.921875" style="1925"/>
    <col min="111" max="111" width="80.61328125" style="2827" bestFit="1" customWidth="1"/>
    <col min="112" max="128" width="8.921875" style="1925"/>
    <col min="129" max="129" width="9.15234375" style="1925" customWidth="1"/>
    <col min="130" max="130" width="14.61328125" style="1925" customWidth="1"/>
    <col min="131" max="131" width="16" style="1925" customWidth="1"/>
    <col min="132" max="149" width="8.921875" style="1925"/>
    <col min="150" max="152" width="9.4609375" style="1925" customWidth="1"/>
    <col min="153" max="177" width="8.921875" style="1925"/>
    <col min="178" max="178" width="31.15234375" style="1925" bestFit="1" customWidth="1"/>
    <col min="179" max="185" width="11" style="1925" customWidth="1"/>
    <col min="186" max="188" width="8.921875" style="1925"/>
    <col min="189" max="189" width="44.07421875" style="1925" bestFit="1" customWidth="1"/>
    <col min="190" max="190" width="15.4609375" style="1925" customWidth="1"/>
    <col min="191" max="193" width="10.4609375" style="1925" customWidth="1"/>
    <col min="194" max="194" width="13.15234375" style="1925" bestFit="1" customWidth="1"/>
    <col min="195" max="195" width="13.61328125" style="1925" bestFit="1" customWidth="1"/>
    <col min="196" max="196" width="16.15234375" style="1925" bestFit="1" customWidth="1"/>
    <col min="197" max="197" width="15.61328125" style="1925" bestFit="1" customWidth="1"/>
    <col min="198" max="198" width="14.61328125" style="1925" bestFit="1" customWidth="1"/>
    <col min="199" max="199" width="15.4609375" style="1925" bestFit="1" customWidth="1"/>
    <col min="200" max="202" width="8.921875" style="1925"/>
    <col min="203" max="203" width="39.4609375" style="1925" customWidth="1"/>
    <col min="204" max="223" width="8.921875" style="1925"/>
    <col min="224" max="224" width="64.4609375" style="1925" bestFit="1" customWidth="1"/>
    <col min="225" max="227" width="18" style="1925" customWidth="1"/>
    <col min="228" max="230" width="8.921875" style="1925"/>
    <col min="231" max="231" width="49.15234375" style="1925" bestFit="1" customWidth="1"/>
    <col min="232" max="244" width="10.61328125" style="1925" customWidth="1"/>
    <col min="245" max="246" width="8.921875" style="1925"/>
    <col min="247" max="247" width="16.15234375" style="1925" bestFit="1" customWidth="1"/>
    <col min="248" max="248" width="50.4609375" style="1925" bestFit="1" customWidth="1"/>
    <col min="249" max="258" width="9.15234375" style="1925" customWidth="1"/>
    <col min="259" max="263" width="8.921875" style="1925"/>
    <col min="264" max="264" width="10.15234375" style="1925" customWidth="1"/>
    <col min="265" max="265" width="29.15234375" style="1925" customWidth="1"/>
    <col min="266" max="266" width="35.15234375" style="1925" bestFit="1" customWidth="1"/>
    <col min="267" max="267" width="7.61328125" style="1925" customWidth="1"/>
    <col min="268" max="268" width="8.53515625" style="1925" bestFit="1" customWidth="1"/>
    <col min="269" max="269" width="7.07421875" style="1925" customWidth="1"/>
    <col min="270" max="270" width="5.53515625" style="1925" bestFit="1" customWidth="1"/>
    <col min="271" max="271" width="8.07421875" style="1925" bestFit="1" customWidth="1"/>
    <col min="272" max="272" width="8.53515625" style="1925" bestFit="1" customWidth="1"/>
    <col min="273" max="273" width="4.53515625" style="1925" customWidth="1"/>
    <col min="274" max="274" width="8.53515625" style="1925" customWidth="1"/>
    <col min="275" max="276" width="9.07421875" style="1925" customWidth="1"/>
    <col min="277" max="277" width="8.921875" style="1925"/>
    <col min="278" max="296" width="9.921875" style="1925" customWidth="1"/>
    <col min="297" max="299" width="8.921875" style="1925"/>
    <col min="300" max="300" width="25" style="1925" customWidth="1"/>
    <col min="301" max="302" width="35.15234375" style="1925" bestFit="1" customWidth="1"/>
    <col min="303" max="303" width="15.53515625" style="1925" bestFit="1" customWidth="1"/>
    <col min="304" max="307" width="13.61328125" style="1925" customWidth="1"/>
    <col min="308" max="311" width="8.4609375" style="1925" customWidth="1"/>
    <col min="312" max="312" width="8.07421875" style="1925" bestFit="1" customWidth="1"/>
    <col min="313" max="313" width="6.61328125" style="1925" bestFit="1" customWidth="1"/>
    <col min="314" max="314" width="8.4609375" style="1925" customWidth="1"/>
    <col min="315" max="315" width="8.921875" style="1925"/>
    <col min="316" max="317" width="8.921875" style="1947"/>
    <col min="318" max="318" width="49.61328125" style="1947" bestFit="1" customWidth="1"/>
    <col min="319" max="323" width="8.921875" style="1947"/>
    <col min="324" max="324" width="8.921875" style="1925"/>
    <col min="325" max="325" width="9.15234375" style="1925" customWidth="1"/>
    <col min="326" max="326" width="7.15234375" style="1925" bestFit="1" customWidth="1"/>
    <col min="327" max="327" width="11.61328125" style="1925" bestFit="1" customWidth="1"/>
    <col min="328" max="329" width="10.15234375" style="1925" bestFit="1" customWidth="1"/>
    <col min="330" max="330" width="20.07421875" style="1925" customWidth="1"/>
    <col min="331" max="331" width="11" style="1925" customWidth="1"/>
    <col min="332" max="332" width="13.61328125" style="1925" customWidth="1"/>
    <col min="333" max="333" width="11.53515625" style="1925" customWidth="1"/>
    <col min="334" max="334" width="56.07421875" style="1925" bestFit="1" customWidth="1"/>
    <col min="335" max="335" width="8.921875" style="1925"/>
    <col min="336" max="336" width="59.15234375" style="1925" customWidth="1"/>
    <col min="337" max="337" width="30.921875" style="1925" customWidth="1"/>
    <col min="338" max="338" width="11.53515625" style="1925" customWidth="1"/>
    <col min="339" max="342" width="16" style="1925" customWidth="1"/>
    <col min="343" max="343" width="3.61328125" style="1925" customWidth="1"/>
    <col min="344" max="344" width="15.61328125" style="1925" customWidth="1"/>
    <col min="345" max="345" width="8.921875" style="1925"/>
    <col min="346" max="346" width="55.15234375" style="1925" customWidth="1"/>
    <col min="347" max="347" width="15.07421875" style="1925" customWidth="1"/>
    <col min="348" max="348" width="8.921875" style="1925"/>
    <col min="349" max="352" width="15.921875" style="1925" customWidth="1"/>
    <col min="353" max="353" width="2.53515625" style="1925" customWidth="1"/>
    <col min="354" max="354" width="15.921875" style="1925" customWidth="1"/>
    <col min="355" max="356" width="8.921875" style="1925"/>
    <col min="357" max="357" width="71.07421875" style="1925" customWidth="1"/>
    <col min="358" max="358" width="26.3828125" style="1925" customWidth="1"/>
    <col min="359" max="359" width="11.15234375" style="1925" customWidth="1"/>
    <col min="360" max="360" width="10.84375" style="1925" customWidth="1"/>
    <col min="361" max="364" width="8.921875" style="1925"/>
    <col min="365" max="365" width="11.921875" style="1925" customWidth="1"/>
    <col min="366" max="16384" width="8.921875" style="1925"/>
  </cols>
  <sheetData>
    <row r="1" spans="1:376" ht="30" customHeight="1">
      <c r="A1" s="1920" t="str">
        <f>Summary!A1</f>
        <v>Public Health Wales Trust</v>
      </c>
      <c r="B1" s="1920"/>
      <c r="C1" s="1921"/>
      <c r="D1" s="1922"/>
      <c r="E1" s="1922"/>
      <c r="F1" s="1922"/>
      <c r="G1" s="1923" t="str">
        <f>Summary!G1</f>
        <v>Period :</v>
      </c>
      <c r="H1" s="1924" t="str">
        <f>Summary!H1</f>
        <v>Apr 23</v>
      </c>
      <c r="I1" s="1922"/>
      <c r="J1" s="1922"/>
      <c r="K1" s="1922"/>
      <c r="M1" s="1920" t="str">
        <f>'A - Movement'!A1</f>
        <v>Public Health Wales Trust</v>
      </c>
      <c r="N1" s="1926"/>
      <c r="O1" s="1926"/>
      <c r="P1" s="1926"/>
      <c r="Q1" s="1926"/>
      <c r="R1" s="1926" t="str">
        <f>'A - Movement'!E1</f>
        <v>Period :</v>
      </c>
      <c r="S1" s="1927" t="str">
        <f>'A - Movement'!F1</f>
        <v>Apr 23</v>
      </c>
      <c r="T1" s="1928"/>
      <c r="U1" s="1920" t="str">
        <f>'A - Movement'!A1</f>
        <v>Public Health Wales Trust</v>
      </c>
      <c r="V1" s="1926"/>
      <c r="W1" s="1926"/>
      <c r="X1" s="1926"/>
      <c r="Y1" s="1926"/>
      <c r="Z1" s="1926"/>
      <c r="AA1" s="1926"/>
      <c r="AB1" s="1926"/>
      <c r="AC1" s="1926"/>
      <c r="AD1" s="1926"/>
      <c r="AE1" s="1926"/>
      <c r="AF1" s="1926"/>
      <c r="AG1" s="1926"/>
      <c r="AH1" s="1926"/>
      <c r="AI1" s="1926"/>
      <c r="AJ1" s="1926"/>
      <c r="AK1" s="1926"/>
      <c r="AL1" s="1926" t="str">
        <f>'A - Movement'!E1</f>
        <v>Period :</v>
      </c>
      <c r="AM1" s="1927" t="str">
        <f>'A - Movement'!F1</f>
        <v>Apr 23</v>
      </c>
      <c r="AN1" s="1927"/>
      <c r="AO1" s="1928"/>
      <c r="AP1" s="127" t="str">
        <f>'A1 - Underlying Position'!A1</f>
        <v>Public Health Wales Trust</v>
      </c>
      <c r="AQ1" s="150"/>
      <c r="AR1" s="1378"/>
      <c r="AS1" s="1378"/>
      <c r="AT1" s="1379"/>
      <c r="AU1" s="1379"/>
      <c r="AV1" s="1378" t="str">
        <f>'A1 - Underlying Position'!G1</f>
        <v>Period :</v>
      </c>
      <c r="AW1" s="1417" t="str">
        <f>'A1 - Underlying Position'!H1</f>
        <v>Apr 23</v>
      </c>
      <c r="AX1" s="1745"/>
      <c r="AZ1" s="79" t="str">
        <f>'A2 - Risks'!A1</f>
        <v>Public Health Wales Trust</v>
      </c>
      <c r="BA1" s="71"/>
      <c r="BB1" s="70" t="str">
        <f>'A2 - Risks'!C1</f>
        <v xml:space="preserve">Period : </v>
      </c>
      <c r="BC1" s="151" t="str">
        <f>'A2 - Risks'!D1</f>
        <v>Apr 23</v>
      </c>
      <c r="BE1" s="1929" t="str">
        <f>'B - Monthly Positions'!A1</f>
        <v>Public Health Wales Trust</v>
      </c>
      <c r="BF1" s="1930"/>
      <c r="BG1" s="1930"/>
      <c r="BH1" s="99"/>
      <c r="BI1" s="99"/>
      <c r="BJ1" s="99"/>
      <c r="BK1" s="99"/>
      <c r="BL1" s="99"/>
      <c r="BM1" s="100"/>
      <c r="BN1" s="99"/>
      <c r="BO1" s="99"/>
      <c r="BP1" s="99"/>
      <c r="BQ1" s="99"/>
      <c r="BR1" s="99"/>
      <c r="BS1" s="99"/>
      <c r="BT1" s="99"/>
      <c r="BU1" s="1930"/>
      <c r="BV1" s="1930"/>
      <c r="BW1" s="1930"/>
      <c r="BX1" s="84"/>
      <c r="BY1" s="79" t="str">
        <f>' Table Z Net Exp Profiles'!B1</f>
        <v>Public Health Wales Trust</v>
      </c>
      <c r="BZ1" s="80"/>
      <c r="CA1" s="80"/>
      <c r="CB1" s="80"/>
      <c r="CC1" s="80"/>
      <c r="CD1" s="80"/>
      <c r="CE1" s="80"/>
      <c r="CF1" s="80"/>
      <c r="CG1" s="80"/>
      <c r="CH1" s="80"/>
      <c r="CI1" s="80"/>
      <c r="CJ1" s="150" t="str">
        <f>' Table Z Net Exp Profiles'!M1</f>
        <v>Period :</v>
      </c>
      <c r="CK1" s="955" t="str">
        <f>' Table Z Net Exp Profiles'!N1</f>
        <v>Apr 23</v>
      </c>
      <c r="CL1" s="80"/>
      <c r="CM1" s="80"/>
      <c r="CO1" s="1358" t="str">
        <f>'B2 - Pay &amp; Agency'!A1</f>
        <v>Public Health Wales Trust</v>
      </c>
      <c r="CP1" s="373"/>
      <c r="CQ1" s="80"/>
      <c r="CR1" s="373" t="str">
        <f>'B2 - Pay &amp; Agency'!D1</f>
        <v xml:space="preserve">Period :  </v>
      </c>
      <c r="CS1" s="1304" t="str">
        <f>'B2 - Pay &amp; Agency'!E1</f>
        <v>Apr 23</v>
      </c>
      <c r="CT1" s="373"/>
      <c r="CU1" s="80"/>
      <c r="CV1" s="80"/>
      <c r="CW1" s="80"/>
      <c r="CX1" s="80"/>
      <c r="CY1" s="80"/>
      <c r="CZ1" s="80"/>
      <c r="DA1" s="80"/>
      <c r="DB1" s="80"/>
      <c r="DC1" s="80"/>
      <c r="DD1" s="608"/>
      <c r="DF1" s="1358" t="str">
        <f>'B3 - COVID-19'!A1</f>
        <v>Public Health Wales Trust</v>
      </c>
      <c r="DG1" s="80"/>
      <c r="DH1" s="1874"/>
      <c r="DI1" s="80"/>
      <c r="DJ1" s="80"/>
      <c r="DK1" s="373"/>
      <c r="DL1" s="80"/>
      <c r="DM1" s="80"/>
      <c r="DN1" s="80"/>
      <c r="DO1" s="80"/>
      <c r="DP1" s="80"/>
      <c r="DQ1" s="80"/>
      <c r="DR1" s="80"/>
      <c r="DS1" s="80"/>
      <c r="DT1" s="373" t="s">
        <v>460</v>
      </c>
      <c r="DU1" s="1304">
        <f>Summary!DM1</f>
        <v>0</v>
      </c>
      <c r="DV1" s="608"/>
      <c r="DW1" s="1116"/>
      <c r="DY1" s="1920" t="str">
        <f>'C, C1, C2&amp; C3 - Savings Schemes'!A1</f>
        <v>Public Health Wales Trust</v>
      </c>
      <c r="DZ1" s="1930"/>
      <c r="EA1" s="1930"/>
      <c r="EB1" s="99"/>
      <c r="EC1" s="99"/>
      <c r="ED1" s="99"/>
      <c r="EE1" s="99"/>
      <c r="EF1" s="99"/>
      <c r="EG1" s="100"/>
      <c r="EH1" s="99"/>
      <c r="EI1" s="99"/>
      <c r="EJ1" s="99"/>
      <c r="EK1" s="99"/>
      <c r="EL1" s="99"/>
      <c r="EM1" s="99"/>
      <c r="EN1" s="99"/>
      <c r="EO1" s="1930"/>
      <c r="EP1" s="1930"/>
      <c r="EQ1" s="1930"/>
      <c r="ER1" s="1930"/>
      <c r="ES1" s="1930"/>
      <c r="ET1" s="1930"/>
      <c r="EU1" s="1930"/>
      <c r="EV1" s="1930"/>
      <c r="EW1" s="1930"/>
      <c r="EX1" s="1048" t="str">
        <f>'Table C4 Tracker'!A1</f>
        <v>Public Health Wales Trust</v>
      </c>
      <c r="EY1" s="1049"/>
      <c r="EZ1" s="1049"/>
      <c r="FA1" s="1050"/>
      <c r="FB1" s="1050"/>
      <c r="FC1" s="1050"/>
      <c r="FD1" s="1050"/>
      <c r="FE1" s="1050"/>
      <c r="FF1" s="1051"/>
      <c r="FG1" s="1050"/>
      <c r="FH1" s="1050"/>
      <c r="FI1" s="1050"/>
      <c r="FJ1" s="1050"/>
      <c r="FK1" s="1050"/>
      <c r="FL1" s="1050"/>
      <c r="FM1" s="1049"/>
      <c r="FN1" s="1931"/>
      <c r="FO1" s="608"/>
      <c r="FP1" s="1144"/>
      <c r="FQ1" s="1144"/>
      <c r="FR1" s="1468"/>
      <c r="FS1" s="1932"/>
      <c r="FU1" s="1920" t="str">
        <f>'D - Welsh NHS Assumptions'!A1</f>
        <v>Public Health Wales Trust</v>
      </c>
      <c r="FV1" s="1933"/>
      <c r="FW1" s="1745"/>
      <c r="FX1" s="1745"/>
      <c r="FY1" s="1745"/>
      <c r="FZ1" s="1745"/>
      <c r="GA1" s="1745"/>
      <c r="GB1" s="1745"/>
      <c r="GC1" s="1745"/>
      <c r="GD1" s="1745"/>
      <c r="GF1" s="1920" t="str">
        <f>'E - Resource Limits'!A1</f>
        <v>Public Health Wales Trust</v>
      </c>
      <c r="GG1" s="1929"/>
      <c r="GH1" s="844" t="str">
        <f>'E - Resource Limits'!C1</f>
        <v>This Table is currently showing 0 errors</v>
      </c>
      <c r="GI1" s="1934"/>
      <c r="GJ1" s="1934"/>
      <c r="GK1" s="1934"/>
      <c r="GL1" s="845"/>
      <c r="GM1" s="845"/>
      <c r="GN1" s="1934"/>
      <c r="GO1" s="1745"/>
      <c r="GP1" s="1926" t="str">
        <f>'E - Resource Limits'!K1</f>
        <v xml:space="preserve">Period : </v>
      </c>
      <c r="GQ1" s="1924" t="str">
        <f>'E - Resource Limits'!L1</f>
        <v>Apr 23</v>
      </c>
      <c r="GR1" s="1935"/>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Apr 23</v>
      </c>
      <c r="HL1" s="71"/>
      <c r="HM1" s="71"/>
      <c r="HO1" s="1920" t="str">
        <f>'F - SoFP'!A1</f>
        <v>Public Health Wales Trust</v>
      </c>
      <c r="HP1" s="1745"/>
      <c r="HQ1" s="1936" t="str">
        <f>'F - SoFP'!C1</f>
        <v>Period :</v>
      </c>
      <c r="HR1" s="1937" t="str">
        <f>'F - SoFP'!D1</f>
        <v>Apr 23</v>
      </c>
      <c r="HS1" s="1938"/>
      <c r="HT1" s="1939"/>
      <c r="HV1" s="1920" t="str">
        <f>'G - Cash Flow'!A1</f>
        <v>Public Health Wales Trust</v>
      </c>
      <c r="HW1" s="1940"/>
      <c r="HX1" s="1940"/>
      <c r="HY1" s="1940"/>
      <c r="HZ1" s="1940"/>
      <c r="IA1" s="1940"/>
      <c r="IB1" s="1940"/>
      <c r="IC1" s="1940"/>
      <c r="ID1" s="1940"/>
      <c r="IE1" s="1745"/>
      <c r="IF1" s="1745"/>
      <c r="IG1" s="1940"/>
      <c r="IH1" s="1926" t="str">
        <f>'G - Cash Flow'!M1</f>
        <v xml:space="preserve">Period :  </v>
      </c>
      <c r="II1" s="1941" t="str">
        <f>'G - Cash Flow'!N1</f>
        <v>Apr 23</v>
      </c>
      <c r="IJ1" s="1942"/>
      <c r="IK1" s="1942"/>
      <c r="IM1" s="79" t="str">
        <f>'H - PSPP'!A1</f>
        <v>Public Health Wales Trust</v>
      </c>
      <c r="IN1" s="79"/>
      <c r="IO1" s="71"/>
      <c r="IP1" s="71"/>
      <c r="IQ1" s="71"/>
      <c r="IR1" s="71"/>
      <c r="IS1" s="71"/>
      <c r="IT1" s="71"/>
      <c r="IU1" s="71"/>
      <c r="IV1" s="71"/>
      <c r="IW1" s="71"/>
      <c r="IX1" s="71"/>
      <c r="IY1" s="71"/>
      <c r="IZ1" s="150" t="str">
        <f>'H - PSPP'!N1</f>
        <v xml:space="preserve">Period : </v>
      </c>
      <c r="JA1" s="72" t="str">
        <f>'H - PSPP'!O1</f>
        <v>Apr 23</v>
      </c>
      <c r="JB1" s="1745"/>
      <c r="JD1" s="1920" t="str">
        <f>'I - Capital RLM'!A1</f>
        <v>Public Health Wales Trust</v>
      </c>
      <c r="JE1" s="1745"/>
      <c r="JF1" s="1745"/>
      <c r="JG1" s="1745"/>
      <c r="JH1" s="1745"/>
      <c r="JI1" s="1943"/>
      <c r="JJ1" s="1745"/>
      <c r="JK1" s="1940" t="str">
        <f>'I - Capital RLM'!H1</f>
        <v xml:space="preserve">Period : </v>
      </c>
      <c r="JL1" s="1924" t="str">
        <f>'I - Capital RLM'!I1</f>
        <v>Apr 23</v>
      </c>
      <c r="JM1" s="1944"/>
      <c r="JN1" s="1944"/>
      <c r="JO1" s="1944"/>
      <c r="JQ1" s="1920" t="str">
        <f>'J - Capital In Year Schemes'!A1</f>
        <v>Public Health Wales Trust</v>
      </c>
      <c r="JR1" s="1745"/>
      <c r="JS1" s="1745"/>
      <c r="JT1" s="1745"/>
      <c r="JU1" s="1745"/>
      <c r="JV1" s="1745"/>
      <c r="JW1" s="1745"/>
      <c r="JX1" s="1745"/>
      <c r="JY1" s="1745"/>
      <c r="JZ1" s="1745"/>
      <c r="KA1" s="1745"/>
      <c r="KB1" s="1745"/>
      <c r="KC1" s="1745"/>
      <c r="KD1" s="1745"/>
      <c r="KE1" s="1745"/>
      <c r="KF1" s="1745"/>
      <c r="KG1" s="1745"/>
      <c r="KH1" s="1940"/>
      <c r="KI1" s="1940" t="str">
        <f>'J - Capital In Year Schemes'!S1</f>
        <v xml:space="preserve">Period : </v>
      </c>
      <c r="KJ1" s="1945" t="str">
        <f>'J - Capital In Year Schemes'!T1</f>
        <v>Apr 23</v>
      </c>
      <c r="KK1" s="1944"/>
      <c r="KM1" s="1920" t="str">
        <f>'K - Capital Disposals'!A1</f>
        <v>Public Health Wales Trust</v>
      </c>
      <c r="KN1" s="1745"/>
      <c r="KO1" s="1745"/>
      <c r="KP1" s="1745"/>
      <c r="KQ1" s="1745"/>
      <c r="KR1" s="1745"/>
      <c r="KS1" s="1745"/>
      <c r="KT1" s="1745"/>
      <c r="KU1" s="1745"/>
      <c r="KV1" s="1745"/>
      <c r="KW1" s="1745"/>
      <c r="KX1" s="1745"/>
      <c r="KY1" s="1745"/>
      <c r="KZ1" s="1926" t="str">
        <f>'K - Capital Disposals'!N1</f>
        <v xml:space="preserve">Period : </v>
      </c>
      <c r="LA1" s="1924" t="str">
        <f>'K - Capital Disposals'!O1</f>
        <v>Apr 23</v>
      </c>
      <c r="LB1" s="1745"/>
      <c r="LC1" s="1946"/>
      <c r="LE1" s="1358" t="str">
        <f>'L - EFL'!A1</f>
        <v>Public Health Wales Trust</v>
      </c>
      <c r="LF1" s="1642"/>
      <c r="LG1" s="71"/>
      <c r="LH1" s="150" t="str">
        <f>'L - EFL'!D1</f>
        <v xml:space="preserve">Period :  </v>
      </c>
      <c r="LI1" s="1641" t="str">
        <f>'L - EFL'!E1</f>
        <v>Apr 23</v>
      </c>
      <c r="LJ1" s="71"/>
      <c r="LL1" s="1748"/>
      <c r="LM1" s="811" t="str">
        <f>'M - Aged Debtors'!B1</f>
        <v>Public Health Wales Trust</v>
      </c>
      <c r="LN1" s="882"/>
      <c r="LO1" s="883"/>
      <c r="LP1" s="883"/>
      <c r="LQ1" s="1160"/>
      <c r="LR1" s="1749"/>
      <c r="LS1" s="815"/>
      <c r="LT1" s="1146" t="s">
        <v>461</v>
      </c>
      <c r="LU1" s="989" t="str">
        <f>'M - Aged Debtors'!J1</f>
        <v>Apr 23</v>
      </c>
      <c r="LV1" s="1748"/>
      <c r="LX1" s="421" t="str">
        <f>'N - GMS'!A1</f>
        <v>Public Health Wales Trust</v>
      </c>
      <c r="LY1" s="69"/>
      <c r="LZ1" s="422"/>
      <c r="MA1" s="423" t="str">
        <f>'N - GMS'!D1</f>
        <v>Period :</v>
      </c>
      <c r="MB1" s="423" t="str">
        <f>'N - GMS'!E1</f>
        <v>Apr 23</v>
      </c>
      <c r="MC1" s="423"/>
      <c r="MD1" s="423"/>
      <c r="ME1" s="423"/>
      <c r="MF1" s="423"/>
      <c r="MH1" s="421" t="str">
        <f>'O - Dental'!A1</f>
        <v>Public Health Wales Trust</v>
      </c>
      <c r="MI1" s="80"/>
      <c r="MJ1" s="685"/>
      <c r="MK1" s="686"/>
      <c r="ML1" s="686"/>
      <c r="MM1" s="423" t="str">
        <f>'O - Dental'!F1</f>
        <v>Period :</v>
      </c>
      <c r="MN1" s="423" t="str">
        <f>'O - Dental'!G1</f>
        <v>Apr 23</v>
      </c>
      <c r="MO1" s="686">
        <f>'O - Dental'!H1</f>
        <v>0</v>
      </c>
      <c r="MP1" s="686">
        <f>'O - Dental'!I1</f>
        <v>0</v>
      </c>
      <c r="MR1" s="684" t="str">
        <f>'P - Ringfenced'!A1</f>
        <v>Public Health Wales Trust</v>
      </c>
      <c r="MS1" s="684"/>
      <c r="MT1" s="684"/>
      <c r="MU1" s="684"/>
      <c r="MV1" s="684"/>
      <c r="MW1" s="684"/>
      <c r="MX1" s="684"/>
      <c r="MY1" s="684"/>
      <c r="MZ1" s="684" t="str">
        <f>'P - Ringfenced'!I1</f>
        <v>Period :</v>
      </c>
      <c r="NA1" s="684" t="str">
        <f>'P - Ringfenced'!J1</f>
        <v>Apr 23</v>
      </c>
      <c r="NB1" s="684"/>
      <c r="NC1" s="684"/>
      <c r="ND1" s="684"/>
      <c r="NE1" s="684"/>
      <c r="NF1" s="684"/>
      <c r="NG1" s="684"/>
      <c r="NH1" s="684"/>
      <c r="NI1" s="684"/>
      <c r="NJ1" s="684"/>
      <c r="NK1" s="684"/>
    </row>
    <row r="2" spans="1:376" ht="20.149999999999999" customHeight="1">
      <c r="A2" s="1745"/>
      <c r="B2" s="1745"/>
      <c r="C2" s="1922"/>
      <c r="D2" s="1922"/>
      <c r="E2" s="1922"/>
      <c r="F2" s="1922"/>
      <c r="G2" s="1922"/>
      <c r="H2" s="1922"/>
      <c r="I2" s="1922"/>
      <c r="J2" s="1922"/>
      <c r="K2" s="1922"/>
      <c r="M2" s="1940"/>
      <c r="N2" s="1948"/>
      <c r="O2" s="1745"/>
      <c r="P2" s="1745"/>
      <c r="Q2" s="1745"/>
      <c r="R2" s="1745"/>
      <c r="S2" s="1745"/>
      <c r="T2" s="1928"/>
      <c r="U2" s="1940"/>
      <c r="V2" s="1948"/>
      <c r="W2" s="1948"/>
      <c r="X2" s="1948"/>
      <c r="Y2" s="1948"/>
      <c r="Z2" s="1948"/>
      <c r="AA2" s="1948"/>
      <c r="AB2" s="1948"/>
      <c r="AC2" s="1948"/>
      <c r="AD2" s="1948"/>
      <c r="AE2" s="1948"/>
      <c r="AF2" s="1948"/>
      <c r="AG2" s="1948"/>
      <c r="AH2" s="1948"/>
      <c r="AI2" s="1745"/>
      <c r="AJ2" s="1745"/>
      <c r="AK2" s="1745"/>
      <c r="AL2" s="1745"/>
      <c r="AM2" s="1745"/>
      <c r="AN2" s="1745"/>
      <c r="AO2" s="1928"/>
      <c r="AP2" s="70"/>
      <c r="AQ2" s="163"/>
      <c r="AR2" s="1125"/>
      <c r="AS2" s="1379"/>
      <c r="AT2" s="1379"/>
      <c r="AU2" s="1379"/>
      <c r="AV2" s="1379"/>
      <c r="AW2" s="1379"/>
      <c r="AX2" s="1745"/>
      <c r="AZ2" s="355"/>
      <c r="BA2" s="71"/>
      <c r="BB2" s="845"/>
      <c r="BC2" s="48"/>
      <c r="BE2" s="1940"/>
      <c r="BF2" s="1930"/>
      <c r="BG2" s="1932"/>
      <c r="BH2" s="107"/>
      <c r="BI2" s="99"/>
      <c r="BJ2" s="99"/>
      <c r="BK2" s="99"/>
      <c r="BL2" s="99"/>
      <c r="BM2" s="100"/>
      <c r="BN2" s="99"/>
      <c r="BO2" s="99"/>
      <c r="BP2" s="99"/>
      <c r="BQ2" s="99"/>
      <c r="BR2" s="99"/>
      <c r="BS2" s="99"/>
      <c r="BT2" s="99"/>
      <c r="BU2" s="1930"/>
      <c r="BV2" s="1930"/>
      <c r="BW2" s="1930"/>
      <c r="BX2" s="84"/>
      <c r="BY2" s="80"/>
      <c r="BZ2" s="80"/>
      <c r="CA2" s="80"/>
      <c r="CB2" s="80"/>
      <c r="CC2" s="80"/>
      <c r="CD2" s="80"/>
      <c r="CE2" s="80"/>
      <c r="CF2" s="2477" t="str">
        <f>' Table Z Net Exp Profiles'!I2</f>
        <v>YTD Months to be completed from Month:</v>
      </c>
      <c r="CG2" s="2477">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7"/>
      <c r="DH2" s="280" t="str">
        <f>'B3 - COVID-19'!C2</f>
        <v>This Table is currently showing 0 errors</v>
      </c>
      <c r="DI2" s="280"/>
      <c r="DJ2" s="280"/>
      <c r="DK2" s="1311"/>
      <c r="DL2" s="773"/>
      <c r="DM2" s="80"/>
      <c r="DN2" s="80"/>
      <c r="DO2" s="80"/>
      <c r="DP2" s="80"/>
      <c r="DQ2" s="80"/>
      <c r="DR2" s="80"/>
      <c r="DS2" s="80"/>
      <c r="DT2" s="917"/>
      <c r="DU2" s="608"/>
      <c r="DV2" s="608"/>
      <c r="DW2" s="1116"/>
      <c r="DY2" s="1940"/>
      <c r="DZ2" s="1930"/>
      <c r="EA2" s="1949"/>
      <c r="EB2" s="99"/>
      <c r="EC2" s="99"/>
      <c r="ED2" s="99"/>
      <c r="EE2" s="99"/>
      <c r="EF2" s="99"/>
      <c r="EG2" s="100"/>
      <c r="EH2" s="99"/>
      <c r="EI2" s="99"/>
      <c r="EJ2" s="99"/>
      <c r="EK2" s="99"/>
      <c r="EL2" s="99"/>
      <c r="EM2" s="99"/>
      <c r="EN2" s="99"/>
      <c r="EO2" s="1930"/>
      <c r="EP2" s="1930"/>
      <c r="EQ2" s="1930"/>
      <c r="ER2" s="1930"/>
      <c r="ES2" s="1930"/>
      <c r="ET2" s="1930"/>
      <c r="EU2" s="1930"/>
      <c r="EV2" s="1930"/>
      <c r="EW2" s="1930"/>
      <c r="EX2" s="1048"/>
      <c r="EY2" s="1048"/>
      <c r="EZ2" s="743"/>
      <c r="FA2" s="845"/>
      <c r="FB2" s="1050"/>
      <c r="FC2" s="743"/>
      <c r="FD2" s="1050"/>
      <c r="FE2" s="1050"/>
      <c r="FF2" s="1051"/>
      <c r="FG2" s="1050"/>
      <c r="FH2" s="1050"/>
      <c r="FI2" s="1050"/>
      <c r="FJ2" s="1050"/>
      <c r="FK2" s="1050"/>
      <c r="FL2" s="1050"/>
      <c r="FM2" s="1049"/>
      <c r="FN2" s="1931"/>
      <c r="FO2" s="608"/>
      <c r="FP2" s="1144"/>
      <c r="FQ2" s="1144"/>
      <c r="FR2" s="1468"/>
      <c r="FS2" s="1932"/>
      <c r="FU2" s="1745"/>
      <c r="FV2" s="1940"/>
      <c r="FW2" s="1745"/>
      <c r="FX2" s="1745"/>
      <c r="FY2" s="1745"/>
      <c r="FZ2" s="1745"/>
      <c r="GA2" s="1745"/>
      <c r="GB2" s="1745"/>
      <c r="GC2" s="1745"/>
      <c r="GD2" s="1745"/>
      <c r="GF2" s="1745"/>
      <c r="GG2" s="753"/>
      <c r="GH2" s="1161"/>
      <c r="GI2" s="845"/>
      <c r="GJ2" s="1934"/>
      <c r="GK2" s="1934"/>
      <c r="GL2" s="845"/>
      <c r="GM2" s="845"/>
      <c r="GN2" s="1934"/>
      <c r="GO2" s="1745"/>
      <c r="GP2" s="1745"/>
      <c r="GQ2" s="1745"/>
      <c r="GR2" s="1935"/>
      <c r="GT2" s="71"/>
      <c r="GU2" s="71"/>
      <c r="GV2" s="71"/>
      <c r="GW2" s="71"/>
      <c r="GX2" s="71"/>
      <c r="GY2" s="71"/>
      <c r="GZ2" s="71"/>
      <c r="HA2" s="71"/>
      <c r="HB2" s="71"/>
      <c r="HC2" s="71"/>
      <c r="HD2" s="71"/>
      <c r="HE2" s="71"/>
      <c r="HF2" s="71"/>
      <c r="HG2" s="71"/>
      <c r="HH2" s="71"/>
      <c r="HI2" s="71"/>
      <c r="HJ2" s="71"/>
      <c r="HK2" s="71"/>
      <c r="HL2" s="71"/>
      <c r="HM2" s="71"/>
      <c r="HO2" s="1745"/>
      <c r="HP2" s="845" t="str">
        <f>'F - SoFP'!B2</f>
        <v>This table needs completing monthly from Month:</v>
      </c>
      <c r="HQ2" s="1934"/>
      <c r="HR2" s="1934"/>
      <c r="HS2" s="1946"/>
      <c r="HT2" s="1946"/>
      <c r="HV2" s="1940"/>
      <c r="HW2" s="1940"/>
      <c r="HX2" s="1940"/>
      <c r="HY2" s="1940"/>
      <c r="HZ2" s="1940"/>
      <c r="IA2" s="1940"/>
      <c r="IB2" s="1940"/>
      <c r="IC2" s="1940"/>
      <c r="ID2" s="1940"/>
      <c r="IE2" s="1950"/>
      <c r="IF2" s="1950"/>
      <c r="IG2" s="1940"/>
      <c r="IH2" s="1940"/>
      <c r="II2" s="1745"/>
      <c r="IJ2" s="1942"/>
      <c r="IK2" s="1942"/>
      <c r="IM2" s="71"/>
      <c r="IN2" s="355"/>
      <c r="IO2" s="781" t="str">
        <f>'H - PSPP'!C2</f>
        <v>This table needs completing on a quarterly basis</v>
      </c>
      <c r="IP2" s="71"/>
      <c r="IQ2" s="71"/>
      <c r="IR2" s="71"/>
      <c r="IS2" s="71"/>
      <c r="IT2" s="71"/>
      <c r="IU2" s="71"/>
      <c r="IV2" s="71"/>
      <c r="IW2" s="71"/>
      <c r="IX2" s="71"/>
      <c r="IY2" s="71"/>
      <c r="IZ2" s="71"/>
      <c r="JA2" s="71"/>
      <c r="JB2" s="1745"/>
      <c r="JD2" s="1745"/>
      <c r="JE2" s="1745"/>
      <c r="JF2" s="1745"/>
      <c r="JG2" s="1745"/>
      <c r="JH2" s="1745"/>
      <c r="JI2" s="1943"/>
      <c r="JJ2" s="1745"/>
      <c r="JK2" s="1745"/>
      <c r="JL2" s="1745"/>
      <c r="JM2" s="1944"/>
      <c r="JN2" s="1944"/>
      <c r="JO2" s="1944"/>
      <c r="JQ2" s="1745"/>
      <c r="JR2" s="1745"/>
      <c r="JS2" s="1745"/>
      <c r="JT2" s="1745"/>
      <c r="JU2" s="1745"/>
      <c r="JV2" s="1745"/>
      <c r="JW2" s="1745"/>
      <c r="JX2" s="1745"/>
      <c r="JY2" s="1745"/>
      <c r="JZ2" s="1745"/>
      <c r="KA2" s="1745"/>
      <c r="KB2" s="1745"/>
      <c r="KC2" s="1745"/>
      <c r="KD2" s="1745"/>
      <c r="KE2" s="1745"/>
      <c r="KF2" s="1745"/>
      <c r="KG2" s="1745"/>
      <c r="KH2" s="1745"/>
      <c r="KI2" s="1745"/>
      <c r="KJ2" s="1745"/>
      <c r="KK2" s="1944"/>
      <c r="KM2" s="1745"/>
      <c r="KN2" s="1745"/>
      <c r="KO2" s="1745"/>
      <c r="KP2" s="1745"/>
      <c r="KQ2" s="1745"/>
      <c r="KR2" s="1745"/>
      <c r="KS2" s="1745"/>
      <c r="KT2" s="1745"/>
      <c r="KU2" s="1745"/>
      <c r="KV2" s="1745"/>
      <c r="KW2" s="1745"/>
      <c r="KX2" s="1745"/>
      <c r="KY2" s="1745"/>
      <c r="KZ2" s="1745"/>
      <c r="LA2" s="1745"/>
      <c r="LB2" s="1745"/>
      <c r="LC2" s="1946"/>
      <c r="LE2" s="71"/>
      <c r="LF2" s="71"/>
      <c r="LG2" s="48"/>
      <c r="LH2" s="48"/>
      <c r="LI2" s="48"/>
      <c r="LJ2" s="48"/>
      <c r="LL2" s="1748"/>
      <c r="LM2" s="1748"/>
      <c r="LN2" s="885"/>
      <c r="LO2" s="1162"/>
      <c r="LP2" s="1162"/>
      <c r="LQ2" s="1160"/>
      <c r="LR2" s="1749"/>
      <c r="LS2" s="836" t="str">
        <f>'M - Aged Debtors'!H2</f>
        <v>11 weeks before end of Apr 23 =</v>
      </c>
      <c r="LT2" s="1163">
        <f>'M - Aged Debtors'!I2</f>
        <v>44969</v>
      </c>
      <c r="LU2" s="1748"/>
      <c r="LV2" s="1748"/>
      <c r="LX2" s="425"/>
      <c r="LY2" s="426"/>
      <c r="LZ2" s="426"/>
      <c r="MA2" s="427"/>
      <c r="MB2" s="427"/>
      <c r="MC2" s="427"/>
      <c r="MD2" s="427"/>
      <c r="ME2" s="428"/>
      <c r="MF2" s="429"/>
      <c r="MH2" s="684"/>
      <c r="MI2" s="687"/>
      <c r="MJ2" s="687"/>
      <c r="MK2" s="688">
        <f>'O - Dental'!D2</f>
        <v>0</v>
      </c>
      <c r="ML2" s="688">
        <f>'O - Dental'!E2</f>
        <v>0</v>
      </c>
      <c r="MM2" s="688">
        <f>'O - Dental'!F2</f>
        <v>0</v>
      </c>
      <c r="MN2" s="688">
        <f>'O - Dental'!G2</f>
        <v>0</v>
      </c>
      <c r="MO2" s="689">
        <f>'O - Dental'!H2</f>
        <v>0</v>
      </c>
      <c r="MP2" s="690">
        <f>'O - Dental'!I2</f>
        <v>0</v>
      </c>
      <c r="MR2" s="684"/>
      <c r="MS2" s="684"/>
      <c r="MT2" s="684"/>
      <c r="MU2" s="684"/>
      <c r="MV2" s="684"/>
      <c r="MW2" s="684"/>
      <c r="MX2" s="684"/>
      <c r="MY2" s="684"/>
      <c r="MZ2" s="684"/>
      <c r="NA2" s="684"/>
      <c r="NB2" s="684"/>
      <c r="NC2" s="684"/>
      <c r="ND2" s="684"/>
      <c r="NE2" s="684"/>
      <c r="NF2" s="684"/>
      <c r="NG2" s="684"/>
      <c r="NH2" s="684"/>
      <c r="NI2" s="684"/>
      <c r="NJ2" s="684"/>
      <c r="NK2" s="684"/>
    </row>
    <row r="3" spans="1:376" ht="20.149999999999999" customHeight="1" thickBot="1">
      <c r="A3" s="1940"/>
      <c r="B3" s="1940"/>
      <c r="C3" s="1922"/>
      <c r="D3" s="1922"/>
      <c r="E3" s="1922"/>
      <c r="F3" s="1922"/>
      <c r="G3" s="1922"/>
      <c r="H3" s="1922"/>
      <c r="I3" s="1922"/>
      <c r="J3" s="1922"/>
      <c r="K3" s="1922"/>
      <c r="M3" s="1940" t="str">
        <f>'A - Movement'!A3</f>
        <v>Table A - Movement of Opening Financial Plan to Forecast Outturn</v>
      </c>
      <c r="N3" s="1745"/>
      <c r="O3" s="1745"/>
      <c r="P3" s="1745"/>
      <c r="Q3" s="1745"/>
      <c r="R3" s="1745"/>
      <c r="S3" s="1745"/>
      <c r="T3" s="1928"/>
      <c r="U3" s="1940" t="str">
        <f>'A - Movement'!A3</f>
        <v>Table A - Movement of Opening Financial Plan to Forecast Outturn</v>
      </c>
      <c r="V3" s="1745"/>
      <c r="W3" s="1745"/>
      <c r="X3" s="1745"/>
      <c r="Y3" s="1745"/>
      <c r="Z3" s="1745"/>
      <c r="AA3" s="1745"/>
      <c r="AB3" s="1745"/>
      <c r="AC3" s="1745"/>
      <c r="AD3" s="1745"/>
      <c r="AE3" s="1745"/>
      <c r="AF3" s="1745"/>
      <c r="AG3" s="1745"/>
      <c r="AH3" s="1745"/>
      <c r="AI3" s="1745"/>
      <c r="AJ3" s="1745"/>
      <c r="AK3" s="1745"/>
      <c r="AL3" s="1745"/>
      <c r="AM3" s="1745"/>
      <c r="AN3" s="1745"/>
      <c r="AO3" s="1928"/>
      <c r="AP3" s="70" t="str">
        <f>'A1 - Underlying Position'!A3</f>
        <v>Table A1 - Underlying Position</v>
      </c>
      <c r="AQ3" s="71"/>
      <c r="AR3" s="1379"/>
      <c r="AS3" s="1379"/>
      <c r="AT3" s="1379"/>
      <c r="AU3" s="1379"/>
      <c r="AV3" s="1379"/>
      <c r="AW3" s="1381"/>
      <c r="AX3" s="1745"/>
      <c r="AZ3" s="355"/>
      <c r="BA3" s="1196" t="str">
        <f>'A2 - Risks'!B3</f>
        <v>This Table is currently showing 0 errors</v>
      </c>
      <c r="BB3" s="48"/>
      <c r="BC3" s="48"/>
      <c r="BE3" s="1940" t="str">
        <f>'B - Monthly Positions'!A3</f>
        <v>Table B - Monthly Positions</v>
      </c>
      <c r="BF3" s="1951"/>
      <c r="BG3" s="1932"/>
      <c r="BH3" s="99"/>
      <c r="BI3" s="99"/>
      <c r="BJ3" s="99"/>
      <c r="BK3" s="99"/>
      <c r="BL3" s="99"/>
      <c r="BM3" s="100"/>
      <c r="BN3" s="99"/>
      <c r="BO3" s="99"/>
      <c r="BP3" s="99"/>
      <c r="BQ3" s="99"/>
      <c r="BR3" s="99"/>
      <c r="BS3" s="99"/>
      <c r="BT3" s="1930"/>
      <c r="BU3" s="1952" t="str">
        <f>'B - Monthly Positions'!Q3</f>
        <v>Period :</v>
      </c>
      <c r="BV3" s="1953" t="str">
        <f>'B - Monthly Positions'!R3</f>
        <v>Apr 23</v>
      </c>
      <c r="BW3" s="1953"/>
      <c r="BX3" s="84"/>
      <c r="BY3" s="70" t="str">
        <f>' Table Z Net Exp Profiles'!B3</f>
        <v>Table B1 - Net Expenditure Profile Analysis</v>
      </c>
      <c r="BZ3" s="80"/>
      <c r="CA3" s="80"/>
      <c r="CB3" s="80"/>
      <c r="CC3" s="80"/>
      <c r="CD3" s="80"/>
      <c r="CE3" s="80"/>
      <c r="CF3" s="2477" t="str">
        <f>' Table Z Net Exp Profiles'!I3</f>
        <v>Forecast Months to be completed from Month:</v>
      </c>
      <c r="CG3" s="2477">
        <f>' Table Z Net Exp Profiles'!J3</f>
        <v>13</v>
      </c>
      <c r="CH3" s="80"/>
      <c r="CI3" s="80"/>
      <c r="CJ3" s="80"/>
      <c r="CK3" s="80"/>
      <c r="CL3" s="80"/>
      <c r="CM3" s="80"/>
      <c r="CO3" s="1308"/>
      <c r="CP3" s="1309"/>
      <c r="CQ3" s="1310" t="str">
        <f>'B2 - Pay &amp; Agency'!C3</f>
        <v>This Table is currently showing 0 errors</v>
      </c>
      <c r="CR3" s="773"/>
      <c r="CS3" s="773"/>
      <c r="CT3" s="1311"/>
      <c r="CU3" s="773"/>
      <c r="CV3" s="80"/>
      <c r="CW3" s="80"/>
      <c r="CX3" s="80"/>
      <c r="CY3" s="80"/>
      <c r="CZ3" s="80"/>
      <c r="DA3" s="80"/>
      <c r="DB3" s="80"/>
      <c r="DC3" s="917"/>
      <c r="DD3" s="608"/>
      <c r="DF3" s="280" t="str">
        <f>'B3 - COVID-19'!A3</f>
        <v>Table B3 - COVID-19 Analysis</v>
      </c>
      <c r="DG3" s="80"/>
      <c r="DH3" s="280"/>
      <c r="DI3" s="773"/>
      <c r="DJ3" s="773"/>
      <c r="DK3" s="773"/>
      <c r="DL3" s="773"/>
      <c r="DM3" s="80"/>
      <c r="DN3" s="80"/>
      <c r="DO3" s="80"/>
      <c r="DP3" s="80"/>
      <c r="DQ3" s="80"/>
      <c r="DR3" s="373"/>
      <c r="DS3" s="1314"/>
      <c r="DT3" s="80"/>
      <c r="DU3" s="608"/>
      <c r="DV3" s="608"/>
      <c r="DW3" s="1116"/>
      <c r="DY3" s="1940"/>
      <c r="DZ3" s="1745"/>
      <c r="EA3" s="1930"/>
      <c r="EB3" s="99"/>
      <c r="EC3" s="99"/>
      <c r="ED3" s="99"/>
      <c r="EE3" s="99"/>
      <c r="EF3" s="99"/>
      <c r="EG3" s="100"/>
      <c r="EH3" s="99"/>
      <c r="EI3" s="99"/>
      <c r="EJ3" s="99"/>
      <c r="EK3" s="99"/>
      <c r="EL3" s="99"/>
      <c r="EM3" s="99"/>
      <c r="EN3" s="1926" t="str">
        <f>'C, C1, C2&amp; C3 - Savings Schemes'!P3</f>
        <v>Period :</v>
      </c>
      <c r="EO3" s="1924" t="str">
        <f>'C, C1, C2&amp; C3 - Savings Schemes'!Q3</f>
        <v>Apr 23</v>
      </c>
      <c r="EP3" s="1930"/>
      <c r="EQ3" s="1930"/>
      <c r="ER3" s="1930"/>
      <c r="ES3" s="1930"/>
      <c r="ET3" s="1930"/>
      <c r="EU3" s="1930"/>
      <c r="EV3" s="1930"/>
      <c r="EW3" s="1930"/>
      <c r="EX3" s="1049"/>
      <c r="EY3" s="1049"/>
      <c r="EZ3" s="1052"/>
      <c r="FA3" s="1053"/>
      <c r="FB3" s="1053"/>
      <c r="FC3" s="1053"/>
      <c r="FD3" s="1053"/>
      <c r="FE3" s="1053"/>
      <c r="FF3" s="1054"/>
      <c r="FG3" s="1053"/>
      <c r="FH3" s="1050"/>
      <c r="FI3" s="1053"/>
      <c r="FJ3" s="1050"/>
      <c r="FK3" s="1050"/>
      <c r="FL3" s="1050"/>
      <c r="FM3" s="140"/>
      <c r="FN3" s="1931"/>
      <c r="FO3" s="608"/>
      <c r="FP3" s="1144"/>
      <c r="FQ3" s="1144"/>
      <c r="FR3" s="140" t="str">
        <f>'Table C4 Tracker'!U3</f>
        <v>Apr 23</v>
      </c>
      <c r="FS3" s="1932"/>
      <c r="FU3" s="1940"/>
      <c r="FV3" s="1940"/>
      <c r="FW3" s="1745"/>
      <c r="FX3" s="1745"/>
      <c r="FY3" s="1745"/>
      <c r="FZ3" s="1745"/>
      <c r="GA3" s="1745"/>
      <c r="GB3" s="1926" t="str">
        <f>'D - Welsh NHS Assumptions'!H3</f>
        <v>Period :</v>
      </c>
      <c r="GC3" s="1941" t="str">
        <f>'D - Welsh NHS Assumptions'!I3</f>
        <v>Apr 23</v>
      </c>
      <c r="GD3" s="1745"/>
      <c r="GF3" s="1745"/>
      <c r="GG3" s="1745"/>
      <c r="GH3" s="1745"/>
      <c r="GI3" s="1745"/>
      <c r="GJ3" s="1745"/>
      <c r="GK3" s="1745"/>
      <c r="GL3" s="1745"/>
      <c r="GM3" s="1745"/>
      <c r="GN3" s="1745"/>
      <c r="GO3" s="1745"/>
      <c r="GP3" s="1745"/>
      <c r="GQ3" s="1745"/>
      <c r="GR3" s="1935"/>
      <c r="GT3" s="71"/>
      <c r="GU3" s="71"/>
      <c r="GV3" s="48"/>
      <c r="GW3" s="48"/>
      <c r="GX3" s="48"/>
      <c r="GY3" s="48"/>
      <c r="GZ3" s="48"/>
      <c r="HA3" s="48"/>
      <c r="HB3" s="48"/>
      <c r="HC3" s="71"/>
      <c r="HD3" s="48"/>
      <c r="HE3" s="71"/>
      <c r="HF3" s="71"/>
      <c r="HG3" s="71"/>
      <c r="HH3" s="71"/>
      <c r="HI3" s="71"/>
      <c r="HJ3" s="71"/>
      <c r="HK3" s="71"/>
      <c r="HL3" s="71"/>
      <c r="HM3" s="71"/>
      <c r="HO3" s="1940"/>
      <c r="HP3" s="857" t="str">
        <f>'F - SoFP'!B3</f>
        <v>This Table is currently showing 0 errors</v>
      </c>
      <c r="HQ3" s="845"/>
      <c r="HR3" s="1934"/>
      <c r="HS3" s="1946"/>
      <c r="HT3" s="1946"/>
      <c r="HV3" s="1940"/>
      <c r="HW3" s="761"/>
      <c r="HX3" s="859" t="str">
        <f>'G - Cash Flow'!C3</f>
        <v>This Table is currently showing 0 errors</v>
      </c>
      <c r="HY3" s="1954"/>
      <c r="HZ3" s="845"/>
      <c r="IA3" s="1954"/>
      <c r="IB3" s="1954"/>
      <c r="IC3" s="1954"/>
      <c r="ID3" s="1954"/>
      <c r="IE3" s="1940"/>
      <c r="IF3" s="1745"/>
      <c r="IG3" s="1745"/>
      <c r="IH3" s="1745"/>
      <c r="II3" s="1745"/>
      <c r="IJ3" s="1942"/>
      <c r="IK3" s="1942"/>
      <c r="IM3" s="127" t="str">
        <f>'H - PSPP'!A3</f>
        <v>Table H - PSPP</v>
      </c>
      <c r="IN3" s="127"/>
      <c r="IO3" s="1750" t="str">
        <f>'H - PSPP'!C3</f>
        <v>NOTE:  Data to 1 decimal place</v>
      </c>
      <c r="IP3" s="1750"/>
      <c r="IQ3" s="1750"/>
      <c r="IR3" s="1750"/>
      <c r="IS3" s="1750"/>
      <c r="IT3" s="1750"/>
      <c r="IU3" s="1750"/>
      <c r="IV3" s="1750"/>
      <c r="IW3" s="1750"/>
      <c r="IX3" s="1750"/>
      <c r="IY3" s="1750"/>
      <c r="IZ3" s="1750"/>
      <c r="JA3" s="1750"/>
      <c r="JB3" s="1751"/>
      <c r="JD3" s="1940"/>
      <c r="JE3" s="1745"/>
      <c r="JF3" s="1934"/>
      <c r="JG3" s="1934"/>
      <c r="JH3" s="1934"/>
      <c r="JI3" s="1955"/>
      <c r="JJ3" s="1934"/>
      <c r="JK3" s="1934"/>
      <c r="JL3" s="1934"/>
      <c r="JM3" s="1944"/>
      <c r="JN3" s="1944"/>
      <c r="JO3" s="1944"/>
      <c r="JQ3" s="1745"/>
      <c r="JR3" s="1745"/>
      <c r="JS3" s="1745"/>
      <c r="JT3" s="1745"/>
      <c r="JU3" s="1745"/>
      <c r="JV3" s="1745"/>
      <c r="JW3" s="1745"/>
      <c r="JX3" s="1745"/>
      <c r="JY3" s="1745"/>
      <c r="JZ3" s="1745"/>
      <c r="KA3" s="1745"/>
      <c r="KB3" s="1745"/>
      <c r="KC3" s="1745"/>
      <c r="KD3" s="1745"/>
      <c r="KE3" s="1745"/>
      <c r="KF3" s="1745"/>
      <c r="KG3" s="1745"/>
      <c r="KH3" s="1745"/>
      <c r="KI3" s="1745"/>
      <c r="KJ3" s="1745"/>
      <c r="KK3" s="1944"/>
      <c r="KM3" s="1956" t="str">
        <f>'K - Capital Disposals'!A3</f>
        <v>Table K - Capital Disposals</v>
      </c>
      <c r="KN3" s="1745"/>
      <c r="KO3" s="1005" t="str">
        <f>'K - Capital Disposals'!C3</f>
        <v>This Table is currently showing 0 errors</v>
      </c>
      <c r="KP3" s="1005"/>
      <c r="KQ3" s="1005"/>
      <c r="KR3" s="1934"/>
      <c r="KS3" s="845"/>
      <c r="KT3" s="1934"/>
      <c r="KU3" s="1934"/>
      <c r="KV3" s="1934"/>
      <c r="KW3" s="1934"/>
      <c r="KX3" s="1934"/>
      <c r="KY3" s="1745"/>
      <c r="KZ3" s="1745"/>
      <c r="LA3" s="1745"/>
      <c r="LB3" s="1745"/>
      <c r="LC3" s="1946"/>
      <c r="LE3" s="1639">
        <f>'L - EFL'!A3</f>
        <v>0</v>
      </c>
      <c r="LF3" s="1639"/>
      <c r="LG3" s="844" t="str">
        <f>'L - EFL'!C3</f>
        <v xml:space="preserve">This Table is currently showing 0 errors  </v>
      </c>
      <c r="LH3" s="48"/>
      <c r="LI3" s="48"/>
      <c r="LJ3" s="48"/>
      <c r="LL3" s="1748"/>
      <c r="LM3" s="811" t="str">
        <f>'M - Aged Debtors'!B3</f>
        <v>Table M - Debtors Schedule</v>
      </c>
      <c r="LN3" s="1164"/>
      <c r="LO3" s="1162"/>
      <c r="LP3" s="1162"/>
      <c r="LQ3" s="1160"/>
      <c r="LR3" s="1749"/>
      <c r="LS3" s="838" t="str">
        <f>'M - Aged Debtors'!H3</f>
        <v>17 weeks before end of Apr 23 =</v>
      </c>
      <c r="LT3" s="1165">
        <f>'M - Aged Debtors'!I3</f>
        <v>44927</v>
      </c>
      <c r="LU3" s="1748"/>
      <c r="LV3" s="818"/>
      <c r="LX3" s="149" t="str">
        <f>'N - GMS'!A3</f>
        <v xml:space="preserve">Table N - General Medical Services </v>
      </c>
      <c r="LY3" s="430"/>
      <c r="LZ3" s="431"/>
      <c r="MA3" s="432"/>
      <c r="MB3" s="430"/>
      <c r="MC3" s="432"/>
      <c r="MD3" s="432"/>
      <c r="ME3" s="432"/>
      <c r="MF3" s="432"/>
      <c r="MH3" s="149" t="str">
        <f>'O - Dental'!A3</f>
        <v>Table O - General Dental Services</v>
      </c>
      <c r="MI3" s="1046"/>
      <c r="MJ3" s="1046"/>
      <c r="MK3" s="1027" t="str">
        <f>'O - Dental'!D3</f>
        <v>This Table is currently showing 0 errors</v>
      </c>
      <c r="ML3" s="1047"/>
      <c r="MM3" s="845"/>
      <c r="MN3" s="878">
        <f>'O - Dental'!G3</f>
        <v>0</v>
      </c>
      <c r="MO3" s="691">
        <f>'O - Dental'!H3</f>
        <v>0</v>
      </c>
      <c r="MP3" s="691">
        <f>'O - Dental'!I3</f>
        <v>0</v>
      </c>
      <c r="MR3" s="684"/>
      <c r="MS3" s="684"/>
      <c r="MT3" s="684"/>
      <c r="MU3" s="684"/>
      <c r="MV3" s="684"/>
      <c r="MW3" s="684"/>
      <c r="MX3" s="684"/>
      <c r="MY3" s="684"/>
      <c r="MZ3" s="684"/>
      <c r="NA3" s="684"/>
      <c r="NB3" s="684"/>
      <c r="NC3" s="684"/>
      <c r="ND3" s="684"/>
      <c r="NE3" s="684"/>
      <c r="NF3" s="684"/>
      <c r="NG3" s="684"/>
      <c r="NH3" s="684"/>
      <c r="NI3" s="684"/>
      <c r="NJ3" s="684"/>
      <c r="NK3" s="684"/>
    </row>
    <row r="4" spans="1:376" ht="26.25" customHeight="1" thickBot="1">
      <c r="A4" s="1940" t="str">
        <f>Summary!A4</f>
        <v>Summary Of Main Financial Performance</v>
      </c>
      <c r="B4" s="1745"/>
      <c r="C4" s="1922"/>
      <c r="D4" s="1922"/>
      <c r="E4" s="1922"/>
      <c r="F4" s="1922"/>
      <c r="G4" s="1922"/>
      <c r="H4" s="1922"/>
      <c r="I4" s="1922"/>
      <c r="J4" s="1922"/>
      <c r="K4" s="1922"/>
      <c r="M4" s="1940"/>
      <c r="N4" s="1745"/>
      <c r="O4" s="1745"/>
      <c r="P4" s="1745"/>
      <c r="Q4" s="1745"/>
      <c r="R4" s="1745"/>
      <c r="S4" s="1745"/>
      <c r="T4" s="1928"/>
      <c r="U4" s="1940"/>
      <c r="V4" s="1745"/>
      <c r="W4" s="1745"/>
      <c r="X4" s="1745"/>
      <c r="Y4" s="1745"/>
      <c r="Z4" s="1745"/>
      <c r="AA4" s="1745"/>
      <c r="AB4" s="1745"/>
      <c r="AC4" s="1745"/>
      <c r="AD4" s="1745"/>
      <c r="AE4" s="1745"/>
      <c r="AF4" s="1745"/>
      <c r="AG4" s="1745"/>
      <c r="AH4" s="1745"/>
      <c r="AI4" s="1745"/>
      <c r="AJ4" s="1745"/>
      <c r="AK4" s="1745"/>
      <c r="AL4" s="1745"/>
      <c r="AM4" s="1745"/>
      <c r="AN4" s="1745"/>
      <c r="AO4" s="1928"/>
      <c r="AP4" s="1380"/>
      <c r="AQ4" s="1382"/>
      <c r="AR4" s="1383"/>
      <c r="AS4" s="1379"/>
      <c r="AT4" s="1379"/>
      <c r="AU4" s="1379"/>
      <c r="AV4" s="1379"/>
      <c r="AW4" s="1379"/>
      <c r="AX4" s="1745"/>
      <c r="AZ4" s="355"/>
      <c r="BA4" s="781"/>
      <c r="BB4" s="71"/>
      <c r="BC4" s="71"/>
      <c r="BE4" s="1930"/>
      <c r="BF4" s="1957"/>
      <c r="BG4" s="1932"/>
      <c r="BH4" s="612"/>
      <c r="BI4" s="99"/>
      <c r="BJ4" s="99"/>
      <c r="BK4" s="99"/>
      <c r="BL4" s="99"/>
      <c r="BM4" s="100"/>
      <c r="BN4" s="99"/>
      <c r="BO4" s="99"/>
      <c r="BP4" s="99"/>
      <c r="BQ4" s="99"/>
      <c r="BR4" s="99"/>
      <c r="BS4" s="99"/>
      <c r="BT4" s="99"/>
      <c r="BU4" s="1930"/>
      <c r="BV4" s="1930"/>
      <c r="BW4" s="1930"/>
      <c r="BX4" s="84"/>
      <c r="BY4" s="81"/>
      <c r="BZ4" s="844" t="str">
        <f>' Table Z Net Exp Profiles'!C4</f>
        <v>This Table is currently showing 0 errors</v>
      </c>
      <c r="CA4" s="80"/>
      <c r="CB4" s="80"/>
      <c r="CC4" s="80"/>
      <c r="CD4" s="80"/>
      <c r="CE4" s="80"/>
      <c r="CF4" s="80"/>
      <c r="CG4" s="80"/>
      <c r="CH4" s="80"/>
      <c r="CI4" s="80"/>
      <c r="CJ4" s="80"/>
      <c r="CK4" s="80"/>
      <c r="CL4" s="80"/>
      <c r="CM4" s="80"/>
      <c r="CO4" s="1313"/>
      <c r="CP4" s="80"/>
      <c r="CQ4" s="773"/>
      <c r="CR4" s="773"/>
      <c r="CS4" s="773"/>
      <c r="CT4" s="773"/>
      <c r="CU4" s="773"/>
      <c r="CV4" s="80"/>
      <c r="CW4" s="80"/>
      <c r="CX4" s="80"/>
      <c r="CY4" s="80"/>
      <c r="CZ4" s="80"/>
      <c r="DA4" s="373"/>
      <c r="DB4" s="1314"/>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5"/>
      <c r="DU4" s="608"/>
      <c r="DV4" s="608"/>
      <c r="DW4" s="1116"/>
      <c r="DY4" s="1940" t="str">
        <f>'C, C1, C2&amp; C3 - Savings Schemes'!A4</f>
        <v>Table C - Identified Expenditure Savings Schemes (Excludes Income Generation &amp; Accountancy Gains)</v>
      </c>
      <c r="DZ4" s="1745"/>
      <c r="EA4" s="1930"/>
      <c r="EB4" s="99"/>
      <c r="EC4" s="99"/>
      <c r="ED4" s="99"/>
      <c r="EE4" s="99"/>
      <c r="EF4" s="99"/>
      <c r="EG4" s="100"/>
      <c r="EH4" s="99"/>
      <c r="EI4" s="99"/>
      <c r="EJ4" s="99"/>
      <c r="EK4" s="99"/>
      <c r="EL4" s="99"/>
      <c r="EM4" s="99"/>
      <c r="EN4" s="1926"/>
      <c r="EO4" s="1941"/>
      <c r="EP4" s="1930"/>
      <c r="EQ4" s="1930"/>
      <c r="ER4" s="1930"/>
      <c r="ES4" s="1930"/>
      <c r="ET4" s="1930"/>
      <c r="EU4" s="1930"/>
      <c r="EV4" s="1930"/>
      <c r="EW4" s="1930"/>
      <c r="EX4" s="1049"/>
      <c r="EY4" s="1055"/>
      <c r="EZ4" s="1056"/>
      <c r="FA4" s="845"/>
      <c r="FB4" s="845" t="str">
        <f ca="1">'Table C4 Tracker'!E4</f>
        <v>This Table is currently showing 0 errors</v>
      </c>
      <c r="FC4" s="1053"/>
      <c r="FD4" s="1053"/>
      <c r="FE4" s="1053"/>
      <c r="FF4" s="845"/>
      <c r="FG4" s="1053"/>
      <c r="FH4" s="1053"/>
      <c r="FI4" s="1053"/>
      <c r="FJ4" s="1125"/>
      <c r="FK4" s="1050"/>
      <c r="FL4" s="1050"/>
      <c r="FM4" s="1049"/>
      <c r="FN4" s="1931"/>
      <c r="FO4" s="608"/>
      <c r="FP4" s="1144"/>
      <c r="FQ4" s="1144"/>
      <c r="FR4" s="1468"/>
      <c r="FS4" s="1932"/>
      <c r="FU4" s="1940"/>
      <c r="FV4" s="1940"/>
      <c r="FW4" s="1745"/>
      <c r="FX4" s="1745"/>
      <c r="FY4" s="1745"/>
      <c r="FZ4" s="1745"/>
      <c r="GA4" s="1745"/>
      <c r="GB4" s="1926"/>
      <c r="GC4" s="1941"/>
      <c r="GD4" s="1745"/>
      <c r="GF4" s="1940"/>
      <c r="GG4" s="1940"/>
      <c r="GH4" s="3052" t="str">
        <f>'E - Resource Limits'!C4</f>
        <v>STATUS OF ISSUED</v>
      </c>
      <c r="GI4" s="3053"/>
      <c r="GJ4" s="3053"/>
      <c r="GK4" s="3053"/>
      <c r="GL4" s="1958" t="str">
        <f>'E - Resource Limits'!G4</f>
        <v>Total Revenue</v>
      </c>
      <c r="GM4" s="1959" t="str">
        <f>'E - Resource Limits'!H4</f>
        <v>Recurring (R)</v>
      </c>
      <c r="GN4" s="1958" t="str">
        <f>'E - Resource Limits'!I4</f>
        <v>Total</v>
      </c>
      <c r="GO4" s="1958" t="str">
        <f>'E - Resource Limits'!J4</f>
        <v>Total</v>
      </c>
      <c r="GP4" s="1960" t="str">
        <f>'E - Resource Limits'!K4</f>
        <v>Total</v>
      </c>
      <c r="GQ4" s="1960" t="str">
        <f>'E - Resource Limits'!L4</f>
        <v xml:space="preserve">WG Contact and </v>
      </c>
      <c r="GR4" s="1935"/>
      <c r="GT4" s="1649"/>
      <c r="GU4" s="1649"/>
      <c r="GV4" s="1196"/>
      <c r="GW4" s="48"/>
      <c r="GX4" s="48"/>
      <c r="GY4" s="48"/>
      <c r="GZ4" s="48"/>
      <c r="HA4" s="48"/>
      <c r="HB4" s="48"/>
      <c r="HC4" s="71"/>
      <c r="HD4" s="48"/>
      <c r="HE4" s="71"/>
      <c r="HF4" s="71"/>
      <c r="HG4" s="71"/>
      <c r="HH4" s="71"/>
      <c r="HI4" s="71"/>
      <c r="HJ4" s="71"/>
      <c r="HK4" s="71"/>
      <c r="HL4" s="71"/>
      <c r="HM4" s="71"/>
      <c r="HO4" s="1745"/>
      <c r="HP4" s="1961"/>
      <c r="HQ4" s="1962"/>
      <c r="HR4" s="1934"/>
      <c r="HS4" s="1946"/>
      <c r="HT4" s="1946"/>
      <c r="HV4" s="1940"/>
      <c r="HW4" s="1940"/>
      <c r="HX4" s="845"/>
      <c r="HY4" s="1954"/>
      <c r="HZ4" s="1954"/>
      <c r="IA4" s="1954"/>
      <c r="IB4" s="1954"/>
      <c r="IC4" s="1954"/>
      <c r="ID4" s="1954"/>
      <c r="IE4" s="1940"/>
      <c r="IF4" s="1745"/>
      <c r="IG4" s="1745"/>
      <c r="IH4" s="1745"/>
      <c r="II4" s="1745"/>
      <c r="IJ4" s="1942"/>
      <c r="IK4" s="1942"/>
      <c r="IM4" s="71"/>
      <c r="IN4" s="280"/>
      <c r="IO4" s="71"/>
      <c r="IP4" s="71"/>
      <c r="IQ4" s="71"/>
      <c r="IR4" s="71"/>
      <c r="IS4" s="71"/>
      <c r="IT4" s="71"/>
      <c r="IU4" s="71"/>
      <c r="IV4" s="71"/>
      <c r="IW4" s="71"/>
      <c r="IX4" s="71"/>
      <c r="IY4" s="71"/>
      <c r="IZ4" s="71"/>
      <c r="JA4" s="71"/>
      <c r="JB4" s="1745"/>
      <c r="JD4" s="1940"/>
      <c r="JE4" s="761"/>
      <c r="JF4" s="844" t="str">
        <f>'I - Capital RLM'!C4</f>
        <v>This Table is currently showing 0 errors</v>
      </c>
      <c r="JG4" s="1934"/>
      <c r="JH4" s="1934"/>
      <c r="JI4" s="845"/>
      <c r="JJ4" s="845"/>
      <c r="JK4" s="845"/>
      <c r="JL4" s="1934"/>
      <c r="JM4" s="1944"/>
      <c r="JN4" s="1944"/>
      <c r="JO4" s="1944"/>
      <c r="JQ4" s="1940"/>
      <c r="JR4" s="1745"/>
      <c r="JS4" s="844" t="str">
        <f>'J - Capital In Year Schemes'!C4</f>
        <v>This Table is currently showing 0 errors</v>
      </c>
      <c r="JT4" s="845"/>
      <c r="JU4" s="1934"/>
      <c r="JV4" s="845"/>
      <c r="JW4" s="1934"/>
      <c r="JX4" s="1934"/>
      <c r="JY4" s="1934"/>
      <c r="JZ4" s="1934"/>
      <c r="KA4" s="1934"/>
      <c r="KB4" s="1745"/>
      <c r="KC4" s="1745"/>
      <c r="KD4" s="1745"/>
      <c r="KE4" s="1745"/>
      <c r="KF4" s="1745"/>
      <c r="KG4" s="1745"/>
      <c r="KH4" s="1745"/>
      <c r="KI4" s="1745"/>
      <c r="KJ4" s="1745"/>
      <c r="KK4" s="1944"/>
      <c r="KM4" s="1745"/>
      <c r="KN4" s="1745"/>
      <c r="KO4" s="1934"/>
      <c r="KP4" s="1934"/>
      <c r="KQ4" s="1934"/>
      <c r="KR4" s="1934"/>
      <c r="KS4" s="1934"/>
      <c r="KT4" s="1934"/>
      <c r="KU4" s="1934"/>
      <c r="KV4" s="1934"/>
      <c r="KW4" s="1934"/>
      <c r="KX4" s="1934"/>
      <c r="KY4" s="1745"/>
      <c r="KZ4" s="1745"/>
      <c r="LA4" s="1745"/>
      <c r="LB4" s="1745"/>
      <c r="LC4" s="1946"/>
      <c r="LE4" s="127"/>
      <c r="LF4" s="1638"/>
      <c r="LG4" s="1196"/>
      <c r="LH4" s="48"/>
      <c r="LI4" s="48"/>
      <c r="LJ4" s="48"/>
      <c r="LL4" s="1748"/>
      <c r="LM4" s="1752"/>
      <c r="LN4" s="1753"/>
      <c r="LO4" s="1749"/>
      <c r="LP4" s="1749"/>
      <c r="LQ4" s="1748"/>
      <c r="LR4" s="1749"/>
      <c r="LS4" s="1754"/>
      <c r="LT4" s="1755"/>
      <c r="LU4" s="1748"/>
      <c r="LV4" s="1748"/>
      <c r="LX4" s="430" t="str">
        <f>'N - GMS'!A4</f>
        <v>Table to be completed from Q2 / Month:</v>
      </c>
      <c r="LY4" s="149"/>
      <c r="LZ4" s="1029" t="str">
        <f>'N - GMS'!C3</f>
        <v>This Table is currently showing 0 errors</v>
      </c>
      <c r="MA4" s="867"/>
      <c r="MB4" s="845"/>
      <c r="MC4" s="868"/>
      <c r="MD4" s="434"/>
      <c r="ME4" s="434"/>
      <c r="MF4" s="434"/>
      <c r="MH4" s="430" t="str">
        <f>'O - Dental'!A4</f>
        <v>Table to be completed from Q2 / Month:</v>
      </c>
      <c r="MI4" s="373"/>
      <c r="MJ4" s="373"/>
      <c r="MK4" s="879">
        <f>'O - Dental'!D4</f>
        <v>0</v>
      </c>
      <c r="ML4" s="879">
        <f>'O - Dental'!E4</f>
        <v>0</v>
      </c>
      <c r="MM4" s="880">
        <f>'O - Dental'!F4</f>
        <v>0</v>
      </c>
      <c r="MN4" s="880">
        <f>'O - Dental'!G4</f>
        <v>0</v>
      </c>
      <c r="MO4" s="692">
        <f>'O - Dental'!H4</f>
        <v>0</v>
      </c>
      <c r="MP4" s="692">
        <f>'O - Dental'!I4</f>
        <v>0</v>
      </c>
      <c r="MR4" s="684"/>
      <c r="MS4" s="2652"/>
      <c r="MT4" s="790"/>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1" t="str">
        <f>'P - Ringfenced'!R4</f>
        <v>Total</v>
      </c>
      <c r="NJ4" s="2661" t="str">
        <f>'P - Ringfenced'!S4</f>
        <v>Total</v>
      </c>
      <c r="NK4" s="2661" t="str">
        <f>'P - Ringfenced'!T4</f>
        <v xml:space="preserve">Total </v>
      </c>
      <c r="NL4" s="684"/>
    </row>
    <row r="5" spans="1:376" ht="24.75" customHeight="1" thickBot="1">
      <c r="A5" s="1929"/>
      <c r="B5" s="1929"/>
      <c r="C5" s="1922"/>
      <c r="D5" s="1922"/>
      <c r="E5" s="1922"/>
      <c r="F5" s="781"/>
      <c r="G5" s="1922"/>
      <c r="H5" s="1922"/>
      <c r="I5" s="1922"/>
      <c r="J5" s="1922"/>
      <c r="K5" s="1922"/>
      <c r="M5" s="1940"/>
      <c r="N5" s="844" t="str">
        <f>'A - Movement'!B5</f>
        <v>This Table is currently showing 0 errors</v>
      </c>
      <c r="O5" s="1745"/>
      <c r="P5" s="1745"/>
      <c r="Q5" s="1745"/>
      <c r="R5" s="1745"/>
      <c r="S5" s="1745"/>
      <c r="T5" s="1928"/>
      <c r="U5" s="1940"/>
      <c r="V5" s="844"/>
      <c r="W5" s="844"/>
      <c r="X5" s="844"/>
      <c r="Y5" s="844"/>
      <c r="Z5" s="844"/>
      <c r="AA5" s="844"/>
      <c r="AB5" s="844"/>
      <c r="AC5" s="844"/>
      <c r="AD5" s="844"/>
      <c r="AE5" s="844"/>
      <c r="AF5" s="844"/>
      <c r="AG5" s="844"/>
      <c r="AH5" s="844"/>
      <c r="AI5" s="1745"/>
      <c r="AJ5" s="1745"/>
      <c r="AK5" s="1745"/>
      <c r="AL5" s="1745"/>
      <c r="AM5" s="1745"/>
      <c r="AN5" s="1745"/>
      <c r="AO5" s="1928"/>
      <c r="AP5" s="781">
        <f>'A1 - Underlying Position'!A5</f>
        <v>0</v>
      </c>
      <c r="AQ5" s="1384"/>
      <c r="AR5" s="1385"/>
      <c r="AS5" s="1386"/>
      <c r="AT5" s="1387"/>
      <c r="AU5" s="1388"/>
      <c r="AV5" s="1388"/>
      <c r="AW5" s="1379"/>
      <c r="AX5" s="1745"/>
      <c r="AZ5" s="70" t="str">
        <f>'A2 - Risks'!A5</f>
        <v xml:space="preserve">Table A2 - Overview Of Key Risks &amp; Opportunities </v>
      </c>
      <c r="BA5" s="71"/>
      <c r="BB5" s="3069" t="str">
        <f>'A2 - Risks'!C5</f>
        <v>FORECAST YEAR END</v>
      </c>
      <c r="BC5" s="3070"/>
      <c r="BE5" s="1930"/>
      <c r="BF5" s="613"/>
      <c r="BG5" s="324"/>
      <c r="BH5" s="844" t="str">
        <f>'B - Monthly Positions'!D5</f>
        <v>This Table is currently showing 0 errors</v>
      </c>
      <c r="BI5" s="1115"/>
      <c r="BJ5" s="1115"/>
      <c r="BK5" s="845"/>
      <c r="BL5" s="847"/>
      <c r="BM5" s="848"/>
      <c r="BN5" s="847"/>
      <c r="BO5" s="99"/>
      <c r="BP5" s="99"/>
      <c r="BQ5" s="99"/>
      <c r="BR5" s="99"/>
      <c r="BS5" s="99"/>
      <c r="BT5" s="99"/>
      <c r="BU5" s="1930"/>
      <c r="BV5" s="1930"/>
      <c r="BW5" s="1930"/>
      <c r="BX5" s="84"/>
      <c r="BY5" s="70" t="str">
        <f>' Table Z Net Exp Profiles'!B5</f>
        <v>A. PROVIDER PAY EXPENDITURE ANALYSIS</v>
      </c>
      <c r="BZ5" s="324">
        <f>' Table Z Net Exp Profiles'!C5</f>
        <v>1</v>
      </c>
      <c r="CA5" s="324"/>
      <c r="CB5" s="80"/>
      <c r="CC5" s="80"/>
      <c r="CD5" s="80"/>
      <c r="CE5" s="80"/>
      <c r="CF5" s="80"/>
      <c r="CG5" s="80"/>
      <c r="CH5" s="80"/>
      <c r="CI5" s="80"/>
      <c r="CJ5" s="80"/>
      <c r="CK5" s="80"/>
      <c r="CL5" s="80"/>
      <c r="CM5" s="80"/>
      <c r="CO5" s="280" t="str">
        <f>'B2 - Pay &amp; Agency'!A5</f>
        <v>Table B2 - Pay Expenditure Analysis</v>
      </c>
      <c r="CP5" s="80"/>
      <c r="CQ5" s="773"/>
      <c r="CR5" s="773"/>
      <c r="CS5" s="773"/>
      <c r="CT5" s="773"/>
      <c r="CU5" s="773"/>
      <c r="CV5" s="80"/>
      <c r="CW5" s="80"/>
      <c r="CX5" s="80"/>
      <c r="CY5" s="80"/>
      <c r="CZ5" s="80"/>
      <c r="DA5" s="373"/>
      <c r="DB5" s="1314"/>
      <c r="DC5" s="80"/>
      <c r="DD5" s="608"/>
      <c r="DF5" s="1308" t="str">
        <f>'B3 - COVID-19'!A5</f>
        <v>Health Promotion (including Testing, Tracing and Surveillance) - Additional costs due to C19</v>
      </c>
      <c r="DG5" s="80"/>
      <c r="DH5" s="1236">
        <f>'B3 - COVID-19'!C5</f>
        <v>1</v>
      </c>
      <c r="DI5" s="1236">
        <f>'B3 - COVID-19'!D5</f>
        <v>2</v>
      </c>
      <c r="DJ5" s="1236">
        <f>'B3 - COVID-19'!E5</f>
        <v>3</v>
      </c>
      <c r="DK5" s="1236">
        <f>'B3 - COVID-19'!F5</f>
        <v>4</v>
      </c>
      <c r="DL5" s="1236">
        <f>'B3 - COVID-19'!G5</f>
        <v>5</v>
      </c>
      <c r="DM5" s="1236">
        <f>'B3 - COVID-19'!H5</f>
        <v>6</v>
      </c>
      <c r="DN5" s="1236">
        <f>'B3 - COVID-19'!I5</f>
        <v>7</v>
      </c>
      <c r="DO5" s="1236">
        <f>'B3 - COVID-19'!J5</f>
        <v>8</v>
      </c>
      <c r="DP5" s="1236">
        <f>'B3 - COVID-19'!K5</f>
        <v>9</v>
      </c>
      <c r="DQ5" s="1236">
        <f>'B3 - COVID-19'!L5</f>
        <v>10</v>
      </c>
      <c r="DR5" s="1236">
        <f>'B3 - COVID-19'!M5</f>
        <v>11</v>
      </c>
      <c r="DS5" s="1236">
        <f>'B3 - COVID-19'!N5</f>
        <v>12</v>
      </c>
      <c r="DT5" s="1210"/>
      <c r="DU5" s="1211"/>
      <c r="DV5" s="608"/>
      <c r="DW5" s="1116"/>
      <c r="DY5" s="1940"/>
      <c r="DZ5" s="1940"/>
      <c r="EA5" s="743"/>
      <c r="EB5" s="99"/>
      <c r="EC5" s="99"/>
      <c r="ED5" s="743"/>
      <c r="EE5" s="99"/>
      <c r="EF5" s="99"/>
      <c r="EG5" s="100"/>
      <c r="EH5" s="99"/>
      <c r="EI5" s="99"/>
      <c r="EJ5" s="99"/>
      <c r="EK5" s="99"/>
      <c r="EL5" s="99"/>
      <c r="EM5" s="99"/>
      <c r="EN5" s="99"/>
      <c r="EO5" s="1930"/>
      <c r="EP5" s="1930"/>
      <c r="EQ5" s="1930"/>
      <c r="ER5" s="1930"/>
      <c r="ES5" s="1930"/>
      <c r="ET5" s="1930"/>
      <c r="EU5" s="1930"/>
      <c r="EV5" s="1930"/>
      <c r="EW5" s="1930"/>
      <c r="EX5" s="1712" t="str">
        <f>'Table C4 Tracker'!A5</f>
        <v>Table C4 - Tracker</v>
      </c>
      <c r="EY5" s="1711"/>
      <c r="EZ5" s="1711"/>
      <c r="FA5" s="1125"/>
      <c r="FB5" s="1125"/>
      <c r="FC5" s="1125"/>
      <c r="FD5" s="1125"/>
      <c r="FE5" s="1125"/>
      <c r="FF5" s="1125"/>
      <c r="FG5" s="1125"/>
      <c r="FH5" s="1125"/>
      <c r="FI5" s="1125"/>
      <c r="FJ5" s="1125"/>
      <c r="FK5" s="1125"/>
      <c r="FL5" s="1125"/>
      <c r="FM5" s="1049"/>
      <c r="FN5" s="1931"/>
      <c r="FO5" s="608"/>
      <c r="FP5" s="1144"/>
      <c r="FQ5" s="1144"/>
      <c r="FR5" s="1468"/>
      <c r="FS5" s="1932"/>
      <c r="FU5" s="1940" t="str">
        <f>'D - Welsh NHS Assumptions'!A5</f>
        <v>Table D - Income/Expenditure Assumptions</v>
      </c>
      <c r="FV5" s="1940"/>
      <c r="FW5" s="1745"/>
      <c r="FX5" s="1745"/>
      <c r="FY5" s="1745"/>
      <c r="FZ5" s="1745"/>
      <c r="GA5" s="1745"/>
      <c r="GB5" s="1745"/>
      <c r="GC5" s="1745"/>
      <c r="GD5" s="1745"/>
      <c r="GF5" s="1940" t="str">
        <f>'E - Resource Limits'!A5</f>
        <v>Table E - Resource Limits</v>
      </c>
      <c r="GG5" s="1745"/>
      <c r="GH5" s="3054" t="str">
        <f>'E - Resource Limits'!C5</f>
        <v>RESOURCE LIMIT ITEMS</v>
      </c>
      <c r="GI5" s="3055"/>
      <c r="GJ5" s="3055"/>
      <c r="GK5" s="3055"/>
      <c r="GL5" s="1963" t="str">
        <f>'E - Resource Limits'!G5</f>
        <v>Resource</v>
      </c>
      <c r="GM5" s="1963" t="str">
        <f>'E - Resource Limits'!H5</f>
        <v>or</v>
      </c>
      <c r="GN5" s="1963" t="str">
        <f>'E - Resource Limits'!I5</f>
        <v>Revenue Drawing</v>
      </c>
      <c r="GO5" s="1963" t="str">
        <f>'E - Resource Limits'!J5</f>
        <v>Capital Resource</v>
      </c>
      <c r="GP5" s="1963" t="str">
        <f>'E - Resource Limits'!K5</f>
        <v>Capital Drawing</v>
      </c>
      <c r="GQ5" s="1964" t="str">
        <f>'E - Resource Limits'!L5</f>
        <v xml:space="preserve">Date Item First </v>
      </c>
      <c r="GR5" s="1935"/>
      <c r="GT5" s="71"/>
      <c r="GU5" s="71"/>
      <c r="GV5" s="1196" t="str">
        <f>'E1 - Invoiced Income'!C5</f>
        <v>This Table is currently showing 0 errors</v>
      </c>
      <c r="GW5" s="48"/>
      <c r="GX5" s="48"/>
      <c r="GY5" s="1196"/>
      <c r="GZ5" s="48"/>
      <c r="HA5" s="48"/>
      <c r="HB5" s="48"/>
      <c r="HC5" s="71"/>
      <c r="HD5" s="48"/>
      <c r="HE5" s="71"/>
      <c r="HF5" s="71"/>
      <c r="HG5" s="71"/>
      <c r="HH5" s="71"/>
      <c r="HI5" s="71"/>
      <c r="HJ5" s="71"/>
      <c r="HK5" s="71"/>
      <c r="HL5" s="71"/>
      <c r="HM5" s="71"/>
      <c r="HO5" s="1940" t="str">
        <f>'F - SoFP'!A5</f>
        <v>Table F - Statement of Financial Position For Monthly Period</v>
      </c>
      <c r="HP5" s="1940"/>
      <c r="HQ5" s="1958" t="str">
        <f>'F - SoFP'!C5</f>
        <v>Opening Balance</v>
      </c>
      <c r="HR5" s="1960" t="str">
        <f>'F - SoFP'!D5</f>
        <v>Closing Balance</v>
      </c>
      <c r="HS5" s="1960" t="str">
        <f>'F - SoFP'!E5</f>
        <v>Forecast Closing Balance</v>
      </c>
      <c r="HT5" s="1946"/>
      <c r="HV5" s="1940" t="str">
        <f>'G - Cash Flow'!A5</f>
        <v>Table G - Monthly Cashflow Forecast</v>
      </c>
      <c r="HW5" s="1940"/>
      <c r="HX5" s="1954"/>
      <c r="HY5" s="1954"/>
      <c r="HZ5" s="1954"/>
      <c r="IA5" s="1954"/>
      <c r="IB5" s="1954"/>
      <c r="IC5" s="1954"/>
      <c r="ID5" s="1954"/>
      <c r="IE5" s="1940"/>
      <c r="IF5" s="1940"/>
      <c r="IG5" s="1940"/>
      <c r="IH5" s="1940"/>
      <c r="II5" s="1745"/>
      <c r="IJ5" s="1942"/>
      <c r="IK5" s="1942"/>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5"/>
      <c r="JD5" s="1933"/>
      <c r="JE5" s="1745"/>
      <c r="JF5" s="992"/>
      <c r="JG5" s="1934"/>
      <c r="JH5" s="1934"/>
      <c r="JI5" s="1955"/>
      <c r="JJ5" s="1965"/>
      <c r="JK5" s="1965"/>
      <c r="JL5" s="1934"/>
      <c r="JM5" s="1944"/>
      <c r="JN5" s="1944"/>
      <c r="JO5" s="1944"/>
      <c r="JQ5" s="1940" t="str">
        <f>'J - Capital In Year Schemes'!A5</f>
        <v>Table J - In Year Capital Scheme Profiles</v>
      </c>
      <c r="JR5" s="1745"/>
      <c r="JS5" s="1934"/>
      <c r="JT5" s="1934"/>
      <c r="JU5" s="1934"/>
      <c r="JV5" s="1934"/>
      <c r="JW5" s="1934"/>
      <c r="JX5" s="1934"/>
      <c r="JY5" s="1934"/>
      <c r="JZ5" s="1934"/>
      <c r="KA5" s="1934"/>
      <c r="KB5" s="1745"/>
      <c r="KC5" s="1745"/>
      <c r="KD5" s="1745"/>
      <c r="KE5" s="1745"/>
      <c r="KF5" s="1745"/>
      <c r="KG5" s="1745"/>
      <c r="KH5" s="1745"/>
      <c r="KI5" s="1745"/>
      <c r="KJ5" s="1745"/>
      <c r="KK5" s="1944"/>
      <c r="KM5" s="1933"/>
      <c r="KN5" s="1745"/>
      <c r="KO5" s="1934"/>
      <c r="KP5" s="1934"/>
      <c r="KQ5" s="1934"/>
      <c r="KR5" s="1966"/>
      <c r="KS5" s="1934"/>
      <c r="KT5" s="1934"/>
      <c r="KU5" s="1934"/>
      <c r="KV5" s="1934"/>
      <c r="KW5" s="1934"/>
      <c r="KX5" s="1934"/>
      <c r="KY5" s="1745"/>
      <c r="KZ5" s="1745"/>
      <c r="LA5" s="1745"/>
      <c r="LB5" s="1745"/>
      <c r="LC5" s="1946"/>
      <c r="LE5" s="71"/>
      <c r="LF5" s="70"/>
      <c r="LG5" s="48"/>
      <c r="LH5" s="48"/>
      <c r="LI5" s="48"/>
      <c r="LJ5" s="48"/>
      <c r="LL5" s="811"/>
      <c r="LM5" s="623" t="s">
        <v>371</v>
      </c>
      <c r="LN5" s="624" t="s">
        <v>380</v>
      </c>
      <c r="LO5" s="625" t="s">
        <v>379</v>
      </c>
      <c r="LP5" s="626" t="s">
        <v>383</v>
      </c>
      <c r="LQ5" s="627" t="s">
        <v>384</v>
      </c>
      <c r="LR5" s="625" t="s">
        <v>378</v>
      </c>
      <c r="LS5" s="1756" t="str">
        <f>'M - Aged Debtors'!H5</f>
        <v>&gt;11 weeks but &lt;17 weeks</v>
      </c>
      <c r="LT5" s="629" t="str">
        <f>'M - Aged Debtors'!I5</f>
        <v>Over 17 weeks</v>
      </c>
      <c r="LU5" s="624" t="s">
        <v>372</v>
      </c>
      <c r="LV5" s="624" t="s">
        <v>299</v>
      </c>
      <c r="LX5" s="149"/>
      <c r="LY5" s="149"/>
      <c r="LZ5" s="869"/>
      <c r="MA5" s="867"/>
      <c r="MB5" s="867"/>
      <c r="MC5" s="870"/>
      <c r="MD5" s="435"/>
      <c r="ME5" s="435"/>
      <c r="MF5" s="435"/>
      <c r="MH5" s="127" t="str">
        <f>'O - Dental'!A5</f>
        <v>Operating Expenditure from the revenue allocation for the dental contract</v>
      </c>
      <c r="MI5" s="373"/>
      <c r="MJ5" s="373"/>
      <c r="MK5" s="879">
        <f>'O - Dental'!D5</f>
        <v>0</v>
      </c>
      <c r="ML5" s="879">
        <f>'O - Dental'!E5</f>
        <v>0</v>
      </c>
      <c r="MM5" s="881">
        <f>'O - Dental'!F5</f>
        <v>0</v>
      </c>
      <c r="MN5" s="881">
        <f>'O - Dental'!G5</f>
        <v>0</v>
      </c>
      <c r="MO5" s="693">
        <f>'O - Dental'!H5</f>
        <v>0</v>
      </c>
      <c r="MP5" s="693">
        <f>'O - Dental'!I5</f>
        <v>0</v>
      </c>
      <c r="MR5" s="684"/>
      <c r="MS5" s="3031" t="str">
        <f>'P - Ringfenced'!B5</f>
        <v>Table A: Allocation Paper (23/24 New Ring Fenced)</v>
      </c>
      <c r="MT5" s="3032"/>
      <c r="MU5" s="3027"/>
      <c r="MV5" s="3027"/>
      <c r="MW5" s="2662" t="str">
        <f>'P - Ringfenced'!F5</f>
        <v>April</v>
      </c>
      <c r="MX5" s="2662" t="str">
        <f>'P - Ringfenced'!G5</f>
        <v>May</v>
      </c>
      <c r="MY5" s="2662" t="str">
        <f>'P - Ringfenced'!H5</f>
        <v>June</v>
      </c>
      <c r="MZ5" s="2662" t="str">
        <f>'P - Ringfenced'!I5</f>
        <v>July</v>
      </c>
      <c r="NA5" s="2662" t="str">
        <f>'P - Ringfenced'!J5</f>
        <v xml:space="preserve">August </v>
      </c>
      <c r="NB5" s="2662" t="str">
        <f>'P - Ringfenced'!K5</f>
        <v>September</v>
      </c>
      <c r="NC5" s="2662" t="str">
        <f>'P - Ringfenced'!L5</f>
        <v>October</v>
      </c>
      <c r="ND5" s="2662" t="str">
        <f>'P - Ringfenced'!M5</f>
        <v>November</v>
      </c>
      <c r="NE5" s="2662" t="str">
        <f>'P - Ringfenced'!N5</f>
        <v>December</v>
      </c>
      <c r="NF5" s="2662" t="str">
        <f>'P - Ringfenced'!O5</f>
        <v>January</v>
      </c>
      <c r="NG5" s="2662" t="str">
        <f>'P - Ringfenced'!P5</f>
        <v>February</v>
      </c>
      <c r="NH5" s="2662" t="str">
        <f>'P - Ringfenced'!Q5</f>
        <v>March</v>
      </c>
      <c r="NI5" s="2663" t="str">
        <f>'P - Ringfenced'!R5</f>
        <v>YTD</v>
      </c>
      <c r="NJ5" s="2663" t="str">
        <f>'P - Ringfenced'!S5</f>
        <v>Annual</v>
      </c>
      <c r="NK5" s="2663" t="str">
        <f>'P - Ringfenced'!T5</f>
        <v>Variance against WG Allocation (+over/-under spend)</v>
      </c>
      <c r="NL5" s="684"/>
    </row>
    <row r="6" spans="1:376" ht="25.5" customHeight="1" thickBot="1">
      <c r="A6" s="1745"/>
      <c r="B6" s="1745"/>
      <c r="C6" s="1922"/>
      <c r="D6" s="1922"/>
      <c r="E6" s="1922"/>
      <c r="F6" s="1922"/>
      <c r="G6" s="1922"/>
      <c r="H6" s="1922"/>
      <c r="I6" s="1922"/>
      <c r="J6" s="1922"/>
      <c r="K6" s="1922"/>
      <c r="M6" s="1940"/>
      <c r="N6" s="844"/>
      <c r="O6" s="1745"/>
      <c r="P6" s="1745"/>
      <c r="Q6" s="1745"/>
      <c r="R6" s="1745"/>
      <c r="S6" s="1745"/>
      <c r="T6" s="1928"/>
      <c r="U6" s="1940"/>
      <c r="V6" s="844"/>
      <c r="W6" s="844"/>
      <c r="X6" s="844"/>
      <c r="Y6" s="844"/>
      <c r="Z6" s="844"/>
      <c r="AA6" s="844"/>
      <c r="AB6" s="844"/>
      <c r="AC6" s="844"/>
      <c r="AD6" s="844"/>
      <c r="AE6" s="844"/>
      <c r="AF6" s="844"/>
      <c r="AG6" s="844"/>
      <c r="AH6" s="844"/>
      <c r="AI6" s="1745"/>
      <c r="AJ6" s="1745"/>
      <c r="AK6" s="1745"/>
      <c r="AL6" s="1745"/>
      <c r="AM6" s="1745"/>
      <c r="AN6" s="1745"/>
      <c r="AO6" s="1928"/>
      <c r="AP6" s="1389"/>
      <c r="AQ6" s="1125"/>
      <c r="AR6" s="1390"/>
      <c r="AS6" s="1391"/>
      <c r="AT6" s="1391"/>
      <c r="AU6" s="1391"/>
      <c r="AV6" s="1391"/>
      <c r="AW6" s="1392"/>
      <c r="AX6" s="1745"/>
      <c r="AZ6" s="349"/>
      <c r="BA6" s="201"/>
      <c r="BB6" s="1716" t="str">
        <f>'A2 - Risks'!C6</f>
        <v>£'000</v>
      </c>
      <c r="BC6" s="1730" t="str">
        <f>'A2 - Risks'!D6</f>
        <v>Likelihood</v>
      </c>
      <c r="BE6" s="743"/>
      <c r="BF6" s="107"/>
      <c r="BG6" s="842"/>
      <c r="BH6" s="897" t="str">
        <f>'B - Monthly Positions'!D6</f>
        <v/>
      </c>
      <c r="BI6" s="1934"/>
      <c r="BJ6" s="1934"/>
      <c r="BK6" s="1934"/>
      <c r="BL6" s="1934"/>
      <c r="BM6" s="1934"/>
      <c r="BN6" s="1934"/>
      <c r="BO6" s="1745"/>
      <c r="BP6" s="784"/>
      <c r="BQ6" s="784"/>
      <c r="BR6" s="82"/>
      <c r="BS6" s="82"/>
      <c r="BT6" s="82"/>
      <c r="BU6" s="82"/>
      <c r="BV6" s="82"/>
      <c r="BW6" s="82"/>
      <c r="BX6" s="84"/>
      <c r="BY6" s="80"/>
      <c r="BZ6" s="107">
        <f>' Table Z Net Exp Profiles'!C6</f>
        <v>1</v>
      </c>
      <c r="CA6" s="107">
        <f>' Table Z Net Exp Profiles'!D6</f>
        <v>0</v>
      </c>
      <c r="CB6" s="107">
        <f>' Table Z Net Exp Profiles'!E6</f>
        <v>0</v>
      </c>
      <c r="CC6" s="107">
        <f>' Table Z Net Exp Profiles'!F6</f>
        <v>0</v>
      </c>
      <c r="CD6" s="107">
        <f>' Table Z Net Exp Profiles'!G6</f>
        <v>0</v>
      </c>
      <c r="CE6" s="107">
        <f>' Table Z Net Exp Profiles'!H6</f>
        <v>0</v>
      </c>
      <c r="CF6" s="107">
        <f>' Table Z Net Exp Profiles'!I6</f>
        <v>0</v>
      </c>
      <c r="CG6" s="107">
        <f>' Table Z Net Exp Profiles'!J6</f>
        <v>0</v>
      </c>
      <c r="CH6" s="107">
        <f>' Table Z Net Exp Profiles'!K6</f>
        <v>0</v>
      </c>
      <c r="CI6" s="107">
        <f>' Table Z Net Exp Profiles'!L6</f>
        <v>0</v>
      </c>
      <c r="CJ6" s="107">
        <f>' Table Z Net Exp Profiles'!M6</f>
        <v>0</v>
      </c>
      <c r="CK6" s="107">
        <f>' Table Z Net Exp Profiles'!N6</f>
        <v>0</v>
      </c>
      <c r="CL6" s="80"/>
      <c r="CM6" s="80"/>
      <c r="CO6" s="280"/>
      <c r="CP6" s="1313"/>
      <c r="CQ6" s="107"/>
      <c r="CR6" s="107">
        <f>'B2 - Pay &amp; Agency'!D6</f>
        <v>0</v>
      </c>
      <c r="CS6" s="107">
        <f>'B2 - Pay &amp; Agency'!E6</f>
        <v>0</v>
      </c>
      <c r="CT6" s="107"/>
      <c r="CU6" s="107"/>
      <c r="CV6" s="107"/>
      <c r="CW6" s="107"/>
      <c r="CX6" s="107"/>
      <c r="CY6" s="107"/>
      <c r="CZ6" s="107"/>
      <c r="DA6" s="107"/>
      <c r="DB6" s="107"/>
      <c r="DC6" s="1315"/>
      <c r="DD6" s="608"/>
      <c r="DF6" s="80"/>
      <c r="DG6" s="80"/>
      <c r="DH6" s="1238" t="str">
        <f>'B3 - COVID-19'!C6</f>
        <v>Apr</v>
      </c>
      <c r="DI6" s="1238" t="str">
        <f>'B3 - COVID-19'!D6</f>
        <v>May</v>
      </c>
      <c r="DJ6" s="1238" t="str">
        <f>'B3 - COVID-19'!E6</f>
        <v>Jun</v>
      </c>
      <c r="DK6" s="1238" t="str">
        <f>'B3 - COVID-19'!F6</f>
        <v>Jul</v>
      </c>
      <c r="DL6" s="1238" t="str">
        <f>'B3 - COVID-19'!G6</f>
        <v>Aug</v>
      </c>
      <c r="DM6" s="1238" t="str">
        <f>'B3 - COVID-19'!H6</f>
        <v>Sep</v>
      </c>
      <c r="DN6" s="1238" t="str">
        <f>'B3 - COVID-19'!I6</f>
        <v>Oct</v>
      </c>
      <c r="DO6" s="1238" t="str">
        <f>'B3 - COVID-19'!J6</f>
        <v>Nov</v>
      </c>
      <c r="DP6" s="1238" t="str">
        <f>'B3 - COVID-19'!K6</f>
        <v>Dec</v>
      </c>
      <c r="DQ6" s="1238" t="str">
        <f>'B3 - COVID-19'!L6</f>
        <v>Jan</v>
      </c>
      <c r="DR6" s="1238" t="str">
        <f>'B3 - COVID-19'!M6</f>
        <v>Feb</v>
      </c>
      <c r="DS6" s="1238" t="str">
        <f>'B3 - COVID-19'!N6</f>
        <v>Mar</v>
      </c>
      <c r="DT6" s="1238" t="str">
        <f>'B3 - COVID-19'!O6</f>
        <v>Total YTD</v>
      </c>
      <c r="DU6" s="1238" t="str">
        <f>'B3 - COVID-19'!P6</f>
        <v>Forecast year-end position</v>
      </c>
      <c r="DV6" s="608"/>
      <c r="DW6" s="1116"/>
      <c r="DY6" s="1930"/>
      <c r="DZ6" s="1930"/>
      <c r="EA6" s="1957"/>
      <c r="EB6" s="847"/>
      <c r="EC6" s="847"/>
      <c r="ED6" s="847"/>
      <c r="EE6" s="847"/>
      <c r="EF6" s="847"/>
      <c r="EG6" s="848"/>
      <c r="EH6" s="847"/>
      <c r="EI6" s="847"/>
      <c r="EJ6" s="847"/>
      <c r="EK6" s="99"/>
      <c r="EL6" s="99"/>
      <c r="EM6" s="99"/>
      <c r="EN6" s="99"/>
      <c r="EO6" s="1930"/>
      <c r="EP6" s="1930"/>
      <c r="EQ6" s="1930"/>
      <c r="ER6" s="1930"/>
      <c r="ES6" s="1930"/>
      <c r="ET6" s="1930"/>
      <c r="EU6" s="1930"/>
      <c r="EV6" s="1930"/>
      <c r="EW6" s="1930"/>
      <c r="EX6" s="1711"/>
      <c r="EY6" s="1711"/>
      <c r="EZ6" s="1711"/>
      <c r="FA6" s="1711"/>
      <c r="FB6" s="1476"/>
      <c r="FC6" s="1476"/>
      <c r="FD6" s="1476"/>
      <c r="FE6" s="1476"/>
      <c r="FF6" s="1125"/>
      <c r="FG6" s="1125"/>
      <c r="FH6" s="1125"/>
      <c r="FI6" s="1125"/>
      <c r="FJ6" s="1125"/>
      <c r="FK6" s="1125"/>
      <c r="FL6" s="1125"/>
      <c r="FM6" s="1125"/>
      <c r="FN6" s="1125"/>
      <c r="FO6" s="1125"/>
      <c r="FP6" s="1125"/>
      <c r="FQ6" s="1125"/>
      <c r="FR6" s="1125"/>
      <c r="FS6" s="1932"/>
      <c r="FU6" s="1745"/>
      <c r="FV6" s="1745"/>
      <c r="FW6" s="1745"/>
      <c r="FX6" s="781"/>
      <c r="FY6" s="1745"/>
      <c r="FZ6" s="1745"/>
      <c r="GA6" s="1745"/>
      <c r="GB6" s="1745"/>
      <c r="GC6" s="1745"/>
      <c r="GD6" s="1745"/>
      <c r="GF6" s="1745"/>
      <c r="GG6" s="1745"/>
      <c r="GH6" s="1967" t="str">
        <f>'E - Resource Limits'!C6</f>
        <v>HCHS</v>
      </c>
      <c r="GI6" s="1958" t="str">
        <f>'E - Resource Limits'!D6</f>
        <v>Pharmacy</v>
      </c>
      <c r="GJ6" s="1968" t="str">
        <f>'E - Resource Limits'!E6</f>
        <v>Dental</v>
      </c>
      <c r="GK6" s="1958" t="str">
        <f>'E - Resource Limits'!F6</f>
        <v>GMS</v>
      </c>
      <c r="GL6" s="1963" t="str">
        <f>'E - Resource Limits'!G6</f>
        <v>Limit</v>
      </c>
      <c r="GM6" s="1963" t="str">
        <f>'E - Resource Limits'!H6</f>
        <v>Non Recurring</v>
      </c>
      <c r="GN6" s="1963" t="str">
        <f>'E - Resource Limits'!I6</f>
        <v>Limit</v>
      </c>
      <c r="GO6" s="1963" t="str">
        <f>'E - Resource Limits'!J6</f>
        <v>Limit</v>
      </c>
      <c r="GP6" s="1964" t="str">
        <f>'E - Resource Limits'!K6</f>
        <v>Limit</v>
      </c>
      <c r="GQ6" s="1964" t="str">
        <f>'E - Resource Limits'!L6</f>
        <v>Entered Into</v>
      </c>
      <c r="GR6" s="1935"/>
      <c r="GT6" s="71"/>
      <c r="GU6" s="71"/>
      <c r="GV6" s="48"/>
      <c r="GW6" s="48"/>
      <c r="GX6" s="48"/>
      <c r="GY6" s="48"/>
      <c r="GZ6" s="48"/>
      <c r="HA6" s="48"/>
      <c r="HB6" s="48"/>
      <c r="HC6" s="71"/>
      <c r="HD6" s="48"/>
      <c r="HE6" s="71"/>
      <c r="HF6" s="71"/>
      <c r="HG6" s="71"/>
      <c r="HH6" s="71"/>
      <c r="HI6" s="71"/>
      <c r="HJ6" s="71"/>
      <c r="HK6" s="71"/>
      <c r="HL6" s="71"/>
      <c r="HM6" s="71"/>
      <c r="HO6" s="1745"/>
      <c r="HP6" s="1940"/>
      <c r="HQ6" s="1963" t="str">
        <f>'F - SoFP'!C6</f>
        <v>Beginning of</v>
      </c>
      <c r="HR6" s="1964" t="str">
        <f>'F - SoFP'!D6</f>
        <v xml:space="preserve">End of </v>
      </c>
      <c r="HS6" s="1964" t="str">
        <f>'F - SoFP'!E6</f>
        <v xml:space="preserve">End of </v>
      </c>
      <c r="HT6" s="1946"/>
      <c r="HV6" s="1940"/>
      <c r="HW6" s="1940"/>
      <c r="HX6" s="1940"/>
      <c r="HY6" s="1940"/>
      <c r="HZ6" s="1940"/>
      <c r="IA6" s="1940"/>
      <c r="IB6" s="1940"/>
      <c r="IC6" s="1940"/>
      <c r="ID6" s="1940"/>
      <c r="IE6" s="1940"/>
      <c r="IF6" s="1940"/>
      <c r="IG6" s="1940"/>
      <c r="IH6" s="1940"/>
      <c r="II6" s="1745"/>
      <c r="IJ6" s="1942"/>
      <c r="IK6" s="1942"/>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5"/>
      <c r="JD6" s="1940" t="str">
        <f>'I - Capital RLM'!A6</f>
        <v>Table I - 2023-24 Capital Resource / Expenditure Limit Management</v>
      </c>
      <c r="JE6" s="1745"/>
      <c r="JF6" s="1745"/>
      <c r="JG6" s="1745"/>
      <c r="JH6" s="1745"/>
      <c r="JI6" s="1943"/>
      <c r="JJ6" s="1745"/>
      <c r="JK6" s="1745"/>
      <c r="JL6" s="1745"/>
      <c r="JM6" s="1944"/>
      <c r="JN6" s="1944"/>
      <c r="JO6" s="1944"/>
      <c r="JQ6" s="1933"/>
      <c r="JR6" s="1745"/>
      <c r="JS6" s="1934"/>
      <c r="JT6" s="1969"/>
      <c r="JU6" s="1934"/>
      <c r="JV6" s="1934"/>
      <c r="JW6" s="1934"/>
      <c r="JX6" s="1934"/>
      <c r="JY6" s="1934"/>
      <c r="JZ6" s="1934"/>
      <c r="KA6" s="1934"/>
      <c r="KB6" s="1745"/>
      <c r="KC6" s="1745"/>
      <c r="KD6" s="1745"/>
      <c r="KE6" s="1745"/>
      <c r="KF6" s="1745"/>
      <c r="KG6" s="1745"/>
      <c r="KH6" s="1745"/>
      <c r="KI6" s="1745"/>
      <c r="KJ6" s="1745"/>
      <c r="KK6" s="1944"/>
      <c r="KM6" s="1745"/>
      <c r="KN6" s="1970"/>
      <c r="KO6" s="1970"/>
      <c r="KP6" s="1970"/>
      <c r="KQ6" s="1970"/>
      <c r="KR6" s="1745"/>
      <c r="KS6" s="1971"/>
      <c r="KT6" s="1971"/>
      <c r="KU6" s="1971"/>
      <c r="KV6" s="1971"/>
      <c r="KW6" s="1971"/>
      <c r="KX6" s="1971"/>
      <c r="KY6" s="1971"/>
      <c r="KZ6" s="1971"/>
      <c r="LA6" s="1745"/>
      <c r="LB6" s="1745"/>
      <c r="LC6" s="1946"/>
      <c r="LE6" s="71"/>
      <c r="LF6" s="70"/>
      <c r="LG6" s="71"/>
      <c r="LH6" s="71"/>
      <c r="LI6" s="71"/>
      <c r="LJ6" s="71"/>
      <c r="LL6" s="813"/>
      <c r="LM6" s="1761" t="str">
        <f>'M - Aged Debtors'!B6</f>
        <v>Cardiff &amp; Vale ULHB</v>
      </c>
      <c r="LN6" s="1762">
        <f>'M - Aged Debtors'!C6</f>
        <v>50053490</v>
      </c>
      <c r="LO6" s="1763">
        <f>'M - Aged Debtors'!D6</f>
        <v>44946</v>
      </c>
      <c r="LP6" s="1764">
        <f>'M - Aged Debtors'!E6</f>
        <v>7570.11</v>
      </c>
      <c r="LQ6" s="1972">
        <f>'M - Aged Debtors'!F6</f>
        <v>7570.11</v>
      </c>
      <c r="LR6" s="1166" t="str">
        <f>'M - Aged Debtors'!G6</f>
        <v>Yes, valid entry for period</v>
      </c>
      <c r="LS6" s="827">
        <f>'M - Aged Debtors'!H6</f>
        <v>7570.11</v>
      </c>
      <c r="LT6" s="827" t="str">
        <f>'M - Aged Debtors'!I6</f>
        <v/>
      </c>
      <c r="LU6" s="828">
        <f>'M - Aged Debtors'!J6</f>
        <v>45065</v>
      </c>
      <c r="LV6" s="1757" t="str">
        <f>'M - Aged Debtors'!K6</f>
        <v>Agreed in M12 AoB, C&amp;V PO quoted 726234796 . Chaser sent to AP 09.05.23</v>
      </c>
      <c r="LX6" s="127" t="str">
        <f>'N - GMS'!A6</f>
        <v>Operating Expenditure - ring fenced GMS budget</v>
      </c>
      <c r="LY6" s="431"/>
      <c r="LZ6" s="871"/>
      <c r="MA6" s="872"/>
      <c r="MB6" s="872"/>
      <c r="MC6" s="873"/>
      <c r="MD6" s="436"/>
      <c r="ME6" s="436"/>
      <c r="MF6" s="436"/>
      <c r="MH6" s="694"/>
      <c r="MI6" s="694"/>
      <c r="MJ6" s="694"/>
      <c r="MK6" s="3076">
        <f>'O - Dental'!D6</f>
        <v>0</v>
      </c>
      <c r="ML6" s="3076"/>
      <c r="MM6" s="3076"/>
      <c r="MN6" s="3076"/>
      <c r="MO6" s="3077"/>
      <c r="MP6" s="3076"/>
      <c r="MR6" s="684"/>
      <c r="MS6" s="3033" t="str">
        <f>'P - Ringfenced'!B6</f>
        <v>Recovery Funding (£120m)</v>
      </c>
      <c r="MT6" s="1101" t="str">
        <f>'P - Ringfenced'!C6</f>
        <v>Plan</v>
      </c>
      <c r="MU6" s="2776">
        <f>'P - Ringfenced'!D6</f>
        <v>0</v>
      </c>
      <c r="MV6" s="2776">
        <f>'P - Ringfenced'!E6</f>
        <v>0</v>
      </c>
      <c r="MW6" s="2693">
        <f>'P - Ringfenced'!F6</f>
        <v>0</v>
      </c>
      <c r="MX6" s="2693">
        <f>'P - Ringfenced'!G6</f>
        <v>0</v>
      </c>
      <c r="MY6" s="2693">
        <f>'P - Ringfenced'!H6</f>
        <v>0</v>
      </c>
      <c r="MZ6" s="2693">
        <f>'P - Ringfenced'!I6</f>
        <v>0</v>
      </c>
      <c r="NA6" s="2693">
        <f>'P - Ringfenced'!J6</f>
        <v>0</v>
      </c>
      <c r="NB6" s="2693">
        <f>'P - Ringfenced'!K6</f>
        <v>0</v>
      </c>
      <c r="NC6" s="2693">
        <f>'P - Ringfenced'!L6</f>
        <v>0</v>
      </c>
      <c r="ND6" s="2693">
        <f>'P - Ringfenced'!M6</f>
        <v>0</v>
      </c>
      <c r="NE6" s="2693">
        <f>'P - Ringfenced'!N6</f>
        <v>0</v>
      </c>
      <c r="NF6" s="2693">
        <f>'P - Ringfenced'!O6</f>
        <v>0</v>
      </c>
      <c r="NG6" s="2693">
        <f>'P - Ringfenced'!P6</f>
        <v>0</v>
      </c>
      <c r="NH6" s="2695">
        <f>'P - Ringfenced'!Q6</f>
        <v>0</v>
      </c>
      <c r="NI6" s="1132">
        <f>'P - Ringfenced'!R6</f>
        <v>0</v>
      </c>
      <c r="NJ6" s="1323">
        <f>'P - Ringfenced'!S6</f>
        <v>0</v>
      </c>
      <c r="NK6" s="2860"/>
      <c r="NL6" s="684"/>
    </row>
    <row r="7" spans="1:376" ht="20.149999999999999" customHeight="1" thickBot="1">
      <c r="A7" s="1973" t="str">
        <f>Summary!A7</f>
        <v>Revenue Performance</v>
      </c>
      <c r="B7" s="1973"/>
      <c r="C7" s="1922"/>
      <c r="D7" s="1922"/>
      <c r="E7" s="1922"/>
      <c r="F7" s="1922"/>
      <c r="G7" s="1922"/>
      <c r="H7" s="1922"/>
      <c r="I7" s="1922"/>
      <c r="J7" s="1922"/>
      <c r="K7" s="1922"/>
      <c r="M7" s="1940"/>
      <c r="N7" s="1974" t="str">
        <f>'A - Movement'!B7</f>
        <v>Line 14 should reflect the corresponding amounts included within the latest IMTP/AOP submission to WG</v>
      </c>
      <c r="O7" s="1745"/>
      <c r="P7" s="1745"/>
      <c r="Q7" s="1745"/>
      <c r="R7" s="1745"/>
      <c r="S7" s="1745"/>
      <c r="T7" s="1928"/>
      <c r="U7" s="1940"/>
      <c r="V7" s="1974" t="str">
        <f>'A - Movement'!B7</f>
        <v>Line 14 should reflect the corresponding amounts included within the latest IMTP/AOP submission to WG</v>
      </c>
      <c r="W7" s="1974"/>
      <c r="X7" s="1974"/>
      <c r="Y7" s="1974"/>
      <c r="Z7" s="1974"/>
      <c r="AA7" s="1974"/>
      <c r="AB7" s="1974"/>
      <c r="AC7" s="1974"/>
      <c r="AD7" s="1974"/>
      <c r="AE7" s="1974"/>
      <c r="AF7" s="1974"/>
      <c r="AG7" s="1974"/>
      <c r="AH7" s="1974"/>
      <c r="AI7" s="1745"/>
      <c r="AJ7" s="1745"/>
      <c r="AK7" s="1745"/>
      <c r="AL7" s="1745"/>
      <c r="AM7" s="1745"/>
      <c r="AN7" s="1745"/>
      <c r="AO7" s="1928"/>
      <c r="AP7" s="844" t="str">
        <f>'A1 - Underlying Position'!A7</f>
        <v>This Table is currently showing 0 errors</v>
      </c>
      <c r="AQ7" s="1394"/>
      <c r="AR7" s="1125">
        <f>'A1 - Underlying Position'!C7</f>
        <v>1</v>
      </c>
      <c r="AS7" s="1125">
        <f>'A1 - Underlying Position'!D7</f>
        <v>0</v>
      </c>
      <c r="AT7" s="1125">
        <f>'A1 - Underlying Position'!E7</f>
        <v>0</v>
      </c>
      <c r="AU7" s="1125">
        <f>'A1 - Underlying Position'!F7</f>
        <v>0</v>
      </c>
      <c r="AV7" s="1125">
        <f>'A1 - Underlying Position'!G7</f>
        <v>0</v>
      </c>
      <c r="AW7" s="1125">
        <f>'A1 - Underlying Position'!H7</f>
        <v>0</v>
      </c>
      <c r="AX7" s="1745"/>
      <c r="AZ7" s="1198"/>
      <c r="BA7" s="386" t="str">
        <f>'A2 - Risks'!B7</f>
        <v>Opportunities to achieve IMTP/AOP (positive values)</v>
      </c>
      <c r="BB7" s="1199"/>
      <c r="BC7" s="1032"/>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9"/>
      <c r="BZ7" s="1221">
        <f>' Table Z Net Exp Profiles'!C7</f>
        <v>1</v>
      </c>
      <c r="CA7" s="1222">
        <f>' Table Z Net Exp Profiles'!D7</f>
        <v>2</v>
      </c>
      <c r="CB7" s="1222">
        <f>' Table Z Net Exp Profiles'!E7</f>
        <v>3</v>
      </c>
      <c r="CC7" s="1222">
        <f>' Table Z Net Exp Profiles'!F7</f>
        <v>4</v>
      </c>
      <c r="CD7" s="1222">
        <f>' Table Z Net Exp Profiles'!G7</f>
        <v>5</v>
      </c>
      <c r="CE7" s="1222">
        <f>' Table Z Net Exp Profiles'!H7</f>
        <v>6</v>
      </c>
      <c r="CF7" s="1222">
        <f>' Table Z Net Exp Profiles'!I7</f>
        <v>7</v>
      </c>
      <c r="CG7" s="1222">
        <f>' Table Z Net Exp Profiles'!J7</f>
        <v>8</v>
      </c>
      <c r="CH7" s="1222">
        <f>' Table Z Net Exp Profiles'!K7</f>
        <v>9</v>
      </c>
      <c r="CI7" s="1222">
        <f>' Table Z Net Exp Profiles'!L7</f>
        <v>10</v>
      </c>
      <c r="CJ7" s="1222">
        <f>' Table Z Net Exp Profiles'!M7</f>
        <v>11</v>
      </c>
      <c r="CK7" s="1223">
        <f>' Table Z Net Exp Profiles'!N7</f>
        <v>12</v>
      </c>
      <c r="CL7" s="1210"/>
      <c r="CM7" s="1211"/>
      <c r="CO7" s="1308" t="str">
        <f>'B2 - Pay &amp; Agency'!A7</f>
        <v xml:space="preserve">A - Pay Expenditure </v>
      </c>
      <c r="CP7" s="80"/>
      <c r="CQ7" s="1236">
        <f>'B2 - Pay &amp; Agency'!C7</f>
        <v>1</v>
      </c>
      <c r="CR7" s="1222">
        <f>'B2 - Pay &amp; Agency'!D7</f>
        <v>2</v>
      </c>
      <c r="CS7" s="1222">
        <f>'B2 - Pay &amp; Agency'!E7</f>
        <v>3</v>
      </c>
      <c r="CT7" s="1222">
        <f>'B2 - Pay &amp; Agency'!F7</f>
        <v>4</v>
      </c>
      <c r="CU7" s="1222">
        <f>'B2 - Pay &amp; Agency'!G7</f>
        <v>5</v>
      </c>
      <c r="CV7" s="1222">
        <f>'B2 - Pay &amp; Agency'!H7</f>
        <v>6</v>
      </c>
      <c r="CW7" s="1222">
        <f>'B2 - Pay &amp; Agency'!I7</f>
        <v>7</v>
      </c>
      <c r="CX7" s="1222">
        <f>'B2 - Pay &amp; Agency'!J7</f>
        <v>8</v>
      </c>
      <c r="CY7" s="1222">
        <f>'B2 - Pay &amp; Agency'!K7</f>
        <v>9</v>
      </c>
      <c r="CZ7" s="1222">
        <f>'B2 - Pay &amp; Agency'!L7</f>
        <v>10</v>
      </c>
      <c r="DA7" s="1222">
        <f>'B2 - Pay &amp; Agency'!M7</f>
        <v>11</v>
      </c>
      <c r="DB7" s="1223">
        <f>'B2 - Pay &amp; Agency'!N7</f>
        <v>12</v>
      </c>
      <c r="DC7" s="1210"/>
      <c r="DD7" s="1211"/>
      <c r="DF7" s="1316" t="str">
        <f>'B3 - COVID-19'!A7</f>
        <v>A1</v>
      </c>
      <c r="DG7" s="2818" t="str">
        <f>'B3 - COVID-19'!B7</f>
        <v>Enter as positive values</v>
      </c>
      <c r="DH7" s="1228" t="str">
        <f>'B3 - COVID-19'!C7</f>
        <v>£'000</v>
      </c>
      <c r="DI7" s="1228" t="str">
        <f>'B3 - COVID-19'!D7</f>
        <v>£'000</v>
      </c>
      <c r="DJ7" s="1228" t="str">
        <f>'B3 - COVID-19'!E7</f>
        <v>£'000</v>
      </c>
      <c r="DK7" s="1228" t="str">
        <f>'B3 - COVID-19'!F7</f>
        <v>£'000</v>
      </c>
      <c r="DL7" s="1228" t="str">
        <f>'B3 - COVID-19'!G7</f>
        <v>£'000</v>
      </c>
      <c r="DM7" s="1228" t="str">
        <f>'B3 - COVID-19'!H7</f>
        <v>£'000</v>
      </c>
      <c r="DN7" s="1228" t="str">
        <f>'B3 - COVID-19'!I7</f>
        <v>£'000</v>
      </c>
      <c r="DO7" s="1228" t="str">
        <f>'B3 - COVID-19'!J7</f>
        <v>£'000</v>
      </c>
      <c r="DP7" s="1228" t="str">
        <f>'B3 - COVID-19'!K7</f>
        <v>£'000</v>
      </c>
      <c r="DQ7" s="1228" t="str">
        <f>'B3 - COVID-19'!L7</f>
        <v>£'000</v>
      </c>
      <c r="DR7" s="1228" t="str">
        <f>'B3 - COVID-19'!M7</f>
        <v>£'000</v>
      </c>
      <c r="DS7" s="1228" t="str">
        <f>'B3 - COVID-19'!N7</f>
        <v>£'000</v>
      </c>
      <c r="DT7" s="1228" t="str">
        <f>'B3 - COVID-19'!O7</f>
        <v>£'000</v>
      </c>
      <c r="DU7" s="1228" t="str">
        <f>'B3 - COVID-19'!P7</f>
        <v>£'000</v>
      </c>
      <c r="DV7" s="608"/>
      <c r="DW7" s="1116"/>
      <c r="DY7" s="1930"/>
      <c r="DZ7" s="110"/>
      <c r="EA7" s="324"/>
      <c r="EB7" s="845" t="str">
        <f>'C, C1, C2&amp; C3 - Savings Schemes'!D7</f>
        <v>This Table is currently showing 0 errors</v>
      </c>
      <c r="EC7" s="847"/>
      <c r="ED7" s="847"/>
      <c r="EE7" s="847"/>
      <c r="EF7" s="847"/>
      <c r="EG7" s="845"/>
      <c r="EH7" s="847"/>
      <c r="EI7" s="847"/>
      <c r="EJ7" s="847"/>
      <c r="EK7" s="99"/>
      <c r="EL7" s="99"/>
      <c r="EM7" s="99"/>
      <c r="EN7" s="99"/>
      <c r="EO7" s="1930"/>
      <c r="EP7" s="1930"/>
      <c r="EQ7" s="1930"/>
      <c r="ER7" s="1930"/>
      <c r="ES7" s="1930"/>
      <c r="ET7" s="1930"/>
      <c r="EU7" s="1930"/>
      <c r="EV7" s="1930"/>
      <c r="EW7" s="1930"/>
      <c r="EX7" s="1125">
        <f>'Table C4 Tracker'!A7</f>
        <v>0</v>
      </c>
      <c r="EY7" s="1690" t="str">
        <f>'Table C4 Tracker'!B7</f>
        <v>£'000</v>
      </c>
      <c r="EZ7" s="1699">
        <f>'Table C4 Tracker'!C7</f>
        <v>0</v>
      </c>
      <c r="FA7" s="1704" t="str">
        <f>'Table C4 Tracker'!D7</f>
        <v>Apr</v>
      </c>
      <c r="FB7" s="1697" t="str">
        <f>'Table C4 Tracker'!E7</f>
        <v>May</v>
      </c>
      <c r="FC7" s="1704" t="str">
        <f>'Table C4 Tracker'!F7</f>
        <v>Jun</v>
      </c>
      <c r="FD7" s="1697" t="str">
        <f>'Table C4 Tracker'!G7</f>
        <v>Jul</v>
      </c>
      <c r="FE7" s="1704" t="str">
        <f>'Table C4 Tracker'!H7</f>
        <v>Aug</v>
      </c>
      <c r="FF7" s="1697" t="str">
        <f>'Table C4 Tracker'!I7</f>
        <v>Sep</v>
      </c>
      <c r="FG7" s="1704" t="str">
        <f>'Table C4 Tracker'!J7</f>
        <v>Oct</v>
      </c>
      <c r="FH7" s="1697" t="str">
        <f>'Table C4 Tracker'!K7</f>
        <v>Nov</v>
      </c>
      <c r="FI7" s="1704" t="str">
        <f>'Table C4 Tracker'!L7</f>
        <v>Dec</v>
      </c>
      <c r="FJ7" s="1697" t="str">
        <f>'Table C4 Tracker'!M7</f>
        <v>Jan</v>
      </c>
      <c r="FK7" s="1704" t="str">
        <f>'Table C4 Tracker'!N7</f>
        <v>Feb</v>
      </c>
      <c r="FL7" s="1697" t="str">
        <f>'Table C4 Tracker'!O7</f>
        <v>Mar</v>
      </c>
      <c r="FM7" s="1704" t="str">
        <f>'Table C4 Tracker'!P7</f>
        <v>Total YTD</v>
      </c>
      <c r="FN7" s="1691" t="str">
        <f>'Table C4 Tracker'!Q7</f>
        <v>Full-year forecast</v>
      </c>
      <c r="FO7" s="1713" t="str">
        <f>'Table C4 Tracker'!R7</f>
        <v>Non Recurring</v>
      </c>
      <c r="FP7" s="1713" t="str">
        <f>'Table C4 Tracker'!S7</f>
        <v>Recurring</v>
      </c>
      <c r="FQ7" s="1713" t="str">
        <f>'Table C4 Tracker'!T7</f>
        <v>FYE Adjustment</v>
      </c>
      <c r="FR7" s="1713" t="str">
        <f>'Table C4 Tracker'!U7</f>
        <v>Full-year Effect</v>
      </c>
      <c r="FS7" s="1932"/>
      <c r="FU7" s="1940" t="str">
        <f>'D - Welsh NHS Assumptions'!A7</f>
        <v>Annual Forecast</v>
      </c>
      <c r="FV7" s="1940"/>
      <c r="FW7" s="1745"/>
      <c r="FX7" s="1745"/>
      <c r="FY7" s="1745"/>
      <c r="FZ7" s="1745"/>
      <c r="GA7" s="1745"/>
      <c r="GB7" s="1745"/>
      <c r="GC7" s="1745"/>
      <c r="GD7" s="1745"/>
      <c r="GF7" s="1956" t="str">
        <f>'E - Resource Limits'!A7</f>
        <v>1. BASE ALLOCATION</v>
      </c>
      <c r="GG7" s="1956"/>
      <c r="GH7" s="1975" t="str">
        <f>'E - Resource Limits'!C7</f>
        <v>£'000</v>
      </c>
      <c r="GI7" s="1975" t="str">
        <f>'E - Resource Limits'!D7</f>
        <v>£'000</v>
      </c>
      <c r="GJ7" s="1975" t="str">
        <f>'E - Resource Limits'!E7</f>
        <v>£'000</v>
      </c>
      <c r="GK7" s="1975" t="str">
        <f>'E - Resource Limits'!F7</f>
        <v>£'000</v>
      </c>
      <c r="GL7" s="1975" t="str">
        <f>'E - Resource Limits'!G7</f>
        <v>£'000</v>
      </c>
      <c r="GM7" s="1975" t="str">
        <f>'E - Resource Limits'!H7</f>
        <v>(NR)</v>
      </c>
      <c r="GN7" s="1975" t="str">
        <f>'E - Resource Limits'!I7</f>
        <v>£'000</v>
      </c>
      <c r="GO7" s="1975" t="str">
        <f>'E - Resource Limits'!J7</f>
        <v>£'000</v>
      </c>
      <c r="GP7" s="1975" t="str">
        <f>'E - Resource Limits'!K7</f>
        <v>£'000</v>
      </c>
      <c r="GQ7" s="1976" t="str">
        <f>'E - Resource Limits'!L7</f>
        <v>Table</v>
      </c>
      <c r="GR7" s="1935"/>
      <c r="GT7" s="149" t="str">
        <f>'E1 - Invoiced Income'!A7</f>
        <v>Table E1 -  Invoiced Income Streams - TRUSTS ONLY</v>
      </c>
      <c r="GU7" s="71"/>
      <c r="GV7" s="1650"/>
      <c r="GW7" s="1650"/>
      <c r="GX7" s="1650"/>
      <c r="GY7" s="1650"/>
      <c r="GZ7" s="1650"/>
      <c r="HA7" s="1650"/>
      <c r="HB7" s="1650"/>
      <c r="HC7" s="1651"/>
      <c r="HD7" s="1650"/>
      <c r="HE7" s="1650"/>
      <c r="HF7" s="1650"/>
      <c r="HG7" s="1650"/>
      <c r="HH7" s="1651"/>
      <c r="HI7" s="1651"/>
      <c r="HJ7" s="1651"/>
      <c r="HK7" s="1651"/>
      <c r="HL7" s="1652"/>
      <c r="HM7" s="71"/>
      <c r="HO7" s="1745"/>
      <c r="HP7" s="1745"/>
      <c r="HQ7" s="1977" t="str">
        <f>'F - SoFP'!C7</f>
        <v>Apr 23</v>
      </c>
      <c r="HR7" s="1978" t="str">
        <f>'F - SoFP'!D7</f>
        <v>Apr 23</v>
      </c>
      <c r="HS7" s="1979" t="str">
        <f>'F - SoFP'!E7</f>
        <v>Mar 24</v>
      </c>
      <c r="HT7" s="1946"/>
      <c r="HV7" s="1940"/>
      <c r="HW7" s="1940"/>
      <c r="HX7" s="1980"/>
      <c r="HY7" s="1980"/>
      <c r="HZ7" s="1980"/>
      <c r="IA7" s="1980"/>
      <c r="IB7" s="1980"/>
      <c r="IC7" s="1980"/>
      <c r="ID7" s="1980"/>
      <c r="IE7" s="1980"/>
      <c r="IF7" s="1980"/>
      <c r="IG7" s="1980"/>
      <c r="IH7" s="1980"/>
      <c r="II7" s="1980"/>
      <c r="IJ7" s="1980"/>
      <c r="IK7" s="1942"/>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5"/>
      <c r="JD7" s="1745"/>
      <c r="JE7" s="1926" t="str">
        <f>'I - Capital RLM'!B7</f>
        <v xml:space="preserve">£'000 </v>
      </c>
      <c r="JF7" s="1981">
        <f>'I - Capital RLM'!C7</f>
        <v>0</v>
      </c>
      <c r="JG7" s="1745"/>
      <c r="JH7" s="1745"/>
      <c r="JI7" s="1943"/>
      <c r="JJ7" s="1745"/>
      <c r="JK7" s="1745"/>
      <c r="JL7" s="1745"/>
      <c r="JM7" s="1944"/>
      <c r="JN7" s="1944"/>
      <c r="JO7" s="1944"/>
      <c r="JQ7" s="1745"/>
      <c r="JR7" s="1745"/>
      <c r="JS7" s="1745"/>
      <c r="JT7" s="1745"/>
      <c r="JU7" s="1745"/>
      <c r="JV7" s="1745"/>
      <c r="JW7" s="1745"/>
      <c r="JX7" s="1745"/>
      <c r="JY7" s="1745"/>
      <c r="JZ7" s="1745"/>
      <c r="KA7" s="1745"/>
      <c r="KB7" s="1745"/>
      <c r="KC7" s="1745"/>
      <c r="KD7" s="1745"/>
      <c r="KE7" s="1745"/>
      <c r="KF7" s="1745"/>
      <c r="KG7" s="1745"/>
      <c r="KH7" s="1745"/>
      <c r="KI7" s="1745"/>
      <c r="KJ7" s="1745"/>
      <c r="KK7" s="1944"/>
      <c r="KM7" s="1745"/>
      <c r="KN7" s="1745"/>
      <c r="KO7" s="1745"/>
      <c r="KP7" s="1745"/>
      <c r="KQ7" s="1745"/>
      <c r="KR7" s="1745"/>
      <c r="KS7" s="1745"/>
      <c r="KT7" s="1745"/>
      <c r="KU7" s="1745"/>
      <c r="KV7" s="1745"/>
      <c r="KW7" s="1745"/>
      <c r="KX7" s="1745"/>
      <c r="KY7" s="1745"/>
      <c r="KZ7" s="1745"/>
      <c r="LA7" s="1745"/>
      <c r="LB7" s="1982"/>
      <c r="LC7" s="1935"/>
      <c r="LE7" s="127" t="str">
        <f>'L - EFL'!A7</f>
        <v>Table L: EXTERNAL FINANCING LIMIT</v>
      </c>
      <c r="LF7" s="70"/>
      <c r="LG7" s="1637" t="str">
        <f>'L - EFL'!C7</f>
        <v>Full Year</v>
      </c>
      <c r="LH7" s="1635" t="str">
        <f>'L - EFL'!D7</f>
        <v>Full Year</v>
      </c>
      <c r="LI7" s="1636" t="str">
        <f>'L - EFL'!E7</f>
        <v>Planning</v>
      </c>
      <c r="LJ7" s="1635" t="str">
        <f>'L - EFL'!F7</f>
        <v>Actual</v>
      </c>
      <c r="LL7" s="814"/>
      <c r="LM7" s="1761" t="str">
        <f>'M - Aged Debtors'!B7</f>
        <v>Powys LHB</v>
      </c>
      <c r="LN7" s="1762">
        <f>'M - Aged Debtors'!C7</f>
        <v>50053648</v>
      </c>
      <c r="LO7" s="1763">
        <f>'M - Aged Debtors'!D7</f>
        <v>44963</v>
      </c>
      <c r="LP7" s="1764">
        <f>'M - Aged Debtors'!E7</f>
        <v>3292.23</v>
      </c>
      <c r="LQ7" s="1972">
        <f>'M - Aged Debtors'!F7</f>
        <v>3292.23</v>
      </c>
      <c r="LR7" s="1166" t="str">
        <f>'M - Aged Debtors'!G7</f>
        <v>Yes, valid entry for period</v>
      </c>
      <c r="LS7" s="829">
        <f>'M - Aged Debtors'!H7</f>
        <v>3292.23</v>
      </c>
      <c r="LT7" s="829" t="str">
        <f>'M - Aged Debtors'!I7</f>
        <v/>
      </c>
      <c r="LU7" s="830">
        <f>'M - Aged Debtors'!J7</f>
        <v>45082</v>
      </c>
      <c r="LV7" s="1757" t="str">
        <f>'M - Aged Debtors'!K7</f>
        <v>Agreed in M12 AoB. Chaser statement sent to AP, and again on 09.05.23</v>
      </c>
      <c r="LX7" s="430"/>
      <c r="LY7" s="149"/>
      <c r="LZ7" s="149"/>
      <c r="MA7" s="433"/>
      <c r="MB7" s="433"/>
      <c r="MC7" s="435"/>
      <c r="MD7" s="435"/>
      <c r="ME7" s="435"/>
      <c r="MF7" s="435"/>
      <c r="MH7" s="652" t="str">
        <f>'O - Dental'!A7</f>
        <v>SUMMARY OF DENTAL SERVICES FINANCIAL POSITION</v>
      </c>
      <c r="MI7" s="652"/>
      <c r="MJ7" s="653"/>
      <c r="MK7" s="654" t="str">
        <f>'O - Dental'!D7</f>
        <v xml:space="preserve">WG   Allocation </v>
      </c>
      <c r="ML7" s="655" t="str">
        <f>'O - Dental'!E7</f>
        <v xml:space="preserve">Current Plan </v>
      </c>
      <c r="MM7" s="655" t="str">
        <f>'O - Dental'!F7</f>
        <v>Forecast Outturn</v>
      </c>
      <c r="MN7" s="655" t="str">
        <f>'O - Dental'!G7</f>
        <v>Variance</v>
      </c>
      <c r="MO7" s="656">
        <f>'O - Dental'!H7</f>
        <v>0</v>
      </c>
      <c r="MP7" s="655" t="str">
        <f>'O - Dental'!I7</f>
        <v xml:space="preserve"> Year to Date</v>
      </c>
      <c r="MR7" s="684"/>
      <c r="MS7" s="3034">
        <f>'P - Ringfenced'!B7</f>
        <v>0</v>
      </c>
      <c r="MT7" s="2661" t="str">
        <f>'P - Ringfenced'!C7</f>
        <v>Actual/Forecast - not yet committed</v>
      </c>
      <c r="MU7" s="2656">
        <f>'P - Ringfenced'!D7</f>
        <v>0</v>
      </c>
      <c r="MV7" s="2656">
        <f>'P - Ringfenced'!E7</f>
        <v>0</v>
      </c>
      <c r="MW7" s="2693">
        <f>'P - Ringfenced'!F7</f>
        <v>0</v>
      </c>
      <c r="MX7" s="2693">
        <f>'P - Ringfenced'!G7</f>
        <v>0</v>
      </c>
      <c r="MY7" s="2693">
        <f>'P - Ringfenced'!H7</f>
        <v>0</v>
      </c>
      <c r="MZ7" s="2693">
        <f>'P - Ringfenced'!I7</f>
        <v>0</v>
      </c>
      <c r="NA7" s="2693">
        <f>'P - Ringfenced'!J7</f>
        <v>0</v>
      </c>
      <c r="NB7" s="2693">
        <f>'P - Ringfenced'!K7</f>
        <v>0</v>
      </c>
      <c r="NC7" s="2693">
        <f>'P - Ringfenced'!L7</f>
        <v>0</v>
      </c>
      <c r="ND7" s="2693">
        <f>'P - Ringfenced'!M7</f>
        <v>0</v>
      </c>
      <c r="NE7" s="2693">
        <f>'P - Ringfenced'!N7</f>
        <v>0</v>
      </c>
      <c r="NF7" s="2693">
        <f>'P - Ringfenced'!O7</f>
        <v>0</v>
      </c>
      <c r="NG7" s="2693">
        <f>'P - Ringfenced'!P7</f>
        <v>0</v>
      </c>
      <c r="NH7" s="2695">
        <f>'P - Ringfenced'!Q7</f>
        <v>0</v>
      </c>
      <c r="NI7" s="1324">
        <f>'P - Ringfenced'!R7</f>
        <v>0</v>
      </c>
      <c r="NJ7" s="1325">
        <f>'P - Ringfenced'!S7</f>
        <v>0</v>
      </c>
      <c r="NK7" s="2861"/>
      <c r="NL7" s="684"/>
    </row>
    <row r="8" spans="1:376" ht="20.149999999999999" customHeight="1" thickBot="1">
      <c r="A8" s="1745"/>
      <c r="B8" s="1956"/>
      <c r="C8" s="1983" t="str">
        <f>Summary!C8</f>
        <v>Actual</v>
      </c>
      <c r="D8" s="1983" t="str">
        <f>Summary!D8</f>
        <v>Annual</v>
      </c>
      <c r="E8" s="1984"/>
      <c r="F8" s="1985"/>
      <c r="G8" s="1985"/>
      <c r="H8" s="1985"/>
      <c r="I8" s="1922"/>
      <c r="J8" s="1922"/>
      <c r="K8" s="1922"/>
      <c r="M8" s="1940"/>
      <c r="N8" s="1974"/>
      <c r="O8" s="1745"/>
      <c r="P8" s="1745"/>
      <c r="Q8" s="1745"/>
      <c r="R8" s="1745"/>
      <c r="S8" s="1745"/>
      <c r="T8" s="1986"/>
      <c r="U8" s="1940"/>
      <c r="V8" s="1974" t="str">
        <f>'A - Movement'!B8</f>
        <v>Lines 1 - 14 should not be adjusted after Month 1</v>
      </c>
      <c r="W8" s="1974"/>
      <c r="X8" s="1974"/>
      <c r="Y8" s="1974"/>
      <c r="Z8" s="1974"/>
      <c r="AA8" s="1974"/>
      <c r="AB8" s="1974"/>
      <c r="AC8" s="1974"/>
      <c r="AD8" s="1974"/>
      <c r="AE8" s="1974"/>
      <c r="AF8" s="1974"/>
      <c r="AG8" s="1974"/>
      <c r="AH8" s="1974"/>
      <c r="AI8" s="1745"/>
      <c r="AJ8" s="1745"/>
      <c r="AK8" s="1745"/>
      <c r="AL8" s="1745"/>
      <c r="AM8" s="1745"/>
      <c r="AN8" s="1745"/>
      <c r="AO8" s="1986"/>
      <c r="AP8" s="1395"/>
      <c r="AQ8" s="1395"/>
      <c r="AR8" s="1406" t="str">
        <f>'A1 - Underlying Position'!C9</f>
        <v>IMTP</v>
      </c>
      <c r="AS8" s="1884" t="str">
        <f>'A1 - Underlying Position'!D9</f>
        <v>Full Year Effect of Actions</v>
      </c>
      <c r="AT8" s="1885"/>
      <c r="AU8" s="1396"/>
      <c r="AV8" s="1407"/>
      <c r="AW8" s="1396" t="str">
        <f>'A1 - Underlying Position'!H9</f>
        <v>IMTP</v>
      </c>
      <c r="AX8" s="1745"/>
      <c r="AZ8" s="1717">
        <f>'A2 - Risks'!A8</f>
        <v>1</v>
      </c>
      <c r="BA8" s="1718" t="str">
        <f>'A2 - Risks'!B8</f>
        <v>Red Pipeline schemes (inc AG &amp; IG)</v>
      </c>
      <c r="BB8" s="1758">
        <f>'A2 - Risks'!C8</f>
        <v>0</v>
      </c>
      <c r="BC8" s="1759">
        <f>'A2 - Risks'!D8</f>
        <v>0</v>
      </c>
      <c r="BE8" s="1987"/>
      <c r="BF8" s="1987"/>
      <c r="BG8" s="1988"/>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2" t="str">
        <f>' Table Z Net Exp Profiles'!B8</f>
        <v>Pay - Expenditure Profiles</v>
      </c>
      <c r="BZ8" s="1224" t="str">
        <f>' Table Z Net Exp Profiles'!C8</f>
        <v>Apr</v>
      </c>
      <c r="CA8" s="1225" t="str">
        <f>' Table Z Net Exp Profiles'!D8</f>
        <v>May</v>
      </c>
      <c r="CB8" s="1225" t="str">
        <f>' Table Z Net Exp Profiles'!E8</f>
        <v>Jun</v>
      </c>
      <c r="CC8" s="1225" t="str">
        <f>' Table Z Net Exp Profiles'!F8</f>
        <v>Jul</v>
      </c>
      <c r="CD8" s="1225" t="str">
        <f>' Table Z Net Exp Profiles'!G8</f>
        <v>Aug</v>
      </c>
      <c r="CE8" s="1225" t="str">
        <f>' Table Z Net Exp Profiles'!H8</f>
        <v>Sep</v>
      </c>
      <c r="CF8" s="1225" t="str">
        <f>' Table Z Net Exp Profiles'!I8</f>
        <v>Oct</v>
      </c>
      <c r="CG8" s="1225" t="str">
        <f>' Table Z Net Exp Profiles'!J8</f>
        <v>Nov</v>
      </c>
      <c r="CH8" s="1225" t="str">
        <f>' Table Z Net Exp Profiles'!K8</f>
        <v>Dec</v>
      </c>
      <c r="CI8" s="1225" t="str">
        <f>' Table Z Net Exp Profiles'!L8</f>
        <v>Jan</v>
      </c>
      <c r="CJ8" s="1225" t="str">
        <f>' Table Z Net Exp Profiles'!M8</f>
        <v>Feb</v>
      </c>
      <c r="CK8" s="1226" t="str">
        <f>' Table Z Net Exp Profiles'!N8</f>
        <v>Mar</v>
      </c>
      <c r="CL8" s="1227" t="str">
        <f>' Table Z Net Exp Profiles'!O8</f>
        <v>Total YTD</v>
      </c>
      <c r="CM8" s="1227" t="str">
        <f>' Table Z Net Exp Profiles'!P8</f>
        <v>Forecast year-end position</v>
      </c>
      <c r="CO8" s="80"/>
      <c r="CP8" s="373"/>
      <c r="CQ8" s="1238" t="str">
        <f>'B2 - Pay &amp; Agency'!C8</f>
        <v>Apr</v>
      </c>
      <c r="CR8" s="1302" t="str">
        <f>'B2 - Pay &amp; Agency'!D8</f>
        <v>May</v>
      </c>
      <c r="CS8" s="1302" t="str">
        <f>'B2 - Pay &amp; Agency'!E8</f>
        <v>Jun</v>
      </c>
      <c r="CT8" s="1302" t="str">
        <f>'B2 - Pay &amp; Agency'!F8</f>
        <v>Jul</v>
      </c>
      <c r="CU8" s="1302" t="str">
        <f>'B2 - Pay &amp; Agency'!G8</f>
        <v>Aug</v>
      </c>
      <c r="CV8" s="1302" t="str">
        <f>'B2 - Pay &amp; Agency'!H8</f>
        <v>Sep</v>
      </c>
      <c r="CW8" s="1302" t="str">
        <f>'B2 - Pay &amp; Agency'!I8</f>
        <v>Oct</v>
      </c>
      <c r="CX8" s="1302" t="str">
        <f>'B2 - Pay &amp; Agency'!J8</f>
        <v>Nov</v>
      </c>
      <c r="CY8" s="1302" t="str">
        <f>'B2 - Pay &amp; Agency'!K8</f>
        <v>Dec</v>
      </c>
      <c r="CZ8" s="1302" t="str">
        <f>'B2 - Pay &amp; Agency'!L8</f>
        <v>Jan</v>
      </c>
      <c r="DA8" s="1302" t="str">
        <f>'B2 - Pay &amp; Agency'!M8</f>
        <v>Feb</v>
      </c>
      <c r="DB8" s="1251" t="str">
        <f>'B2 - Pay &amp; Agency'!N8</f>
        <v>Mar</v>
      </c>
      <c r="DC8" s="1227" t="str">
        <f>'B2 - Pay &amp; Agency'!O8</f>
        <v>Total YTD</v>
      </c>
      <c r="DD8" s="1227" t="str">
        <f>'B2 - Pay &amp; Agency'!P8</f>
        <v>Forecast year-end position</v>
      </c>
      <c r="DF8" s="1894">
        <f>'B3 - COVID-19'!A8</f>
        <v>1</v>
      </c>
      <c r="DG8" s="2854" t="str">
        <f>'B3 - COVID-19'!B8</f>
        <v xml:space="preserve">Health Protection (including Testing, Tracing and Surveillance) (Additional costs due to C19) enter as positive values - actual/forecast </v>
      </c>
      <c r="DH8" s="1896" t="s">
        <v>289</v>
      </c>
      <c r="DI8" s="1896"/>
      <c r="DJ8" s="1896"/>
      <c r="DK8" s="1896"/>
      <c r="DL8" s="1896"/>
      <c r="DM8" s="1896"/>
      <c r="DN8" s="1896"/>
      <c r="DO8" s="1896"/>
      <c r="DP8" s="1896"/>
      <c r="DQ8" s="1896"/>
      <c r="DR8" s="1896"/>
      <c r="DS8" s="1252"/>
      <c r="DT8" s="1895"/>
      <c r="DU8" s="1252"/>
      <c r="DV8" s="608"/>
      <c r="DW8" s="1116"/>
      <c r="DY8" s="1940"/>
      <c r="DZ8" s="82"/>
      <c r="EA8" s="82"/>
      <c r="EB8" s="992" t="str">
        <f>'C, C1, C2&amp; C3 - Savings Schemes'!D8</f>
        <v/>
      </c>
      <c r="EC8" s="852"/>
      <c r="ED8" s="852"/>
      <c r="EE8" s="847"/>
      <c r="EF8" s="847"/>
      <c r="EG8" s="853"/>
      <c r="EH8" s="853"/>
      <c r="EI8" s="847"/>
      <c r="EJ8" s="847"/>
      <c r="EK8" s="99"/>
      <c r="EL8" s="99"/>
      <c r="EM8" s="99"/>
      <c r="EN8" s="82"/>
      <c r="EO8" s="82"/>
      <c r="EP8" s="82"/>
      <c r="EQ8" s="82"/>
      <c r="ER8" s="82"/>
      <c r="ES8" s="82"/>
      <c r="ET8" s="82"/>
      <c r="EU8" s="82"/>
      <c r="EV8" s="82"/>
      <c r="EW8" s="82"/>
      <c r="EX8" s="3073" t="str">
        <f>'Table C4 Tracker'!A8</f>
        <v>Savings (Cash Releasing &amp; Cost Avoidance)</v>
      </c>
      <c r="EY8" s="1063" t="str">
        <f>'Table C4 Tracker'!B8</f>
        <v>Month 1 - Plan</v>
      </c>
      <c r="EZ8" s="1705">
        <f>'Table C4 Tracker'!C8</f>
        <v>0</v>
      </c>
      <c r="FA8" s="1706">
        <f>'Table C4 Tracker'!D8</f>
        <v>1244.4166666666665</v>
      </c>
      <c r="FB8" s="1706">
        <f>'Table C4 Tracker'!E8</f>
        <v>175.41666666666666</v>
      </c>
      <c r="FC8" s="1706">
        <f>'Table C4 Tracker'!F8</f>
        <v>175.41666666666666</v>
      </c>
      <c r="FD8" s="1706">
        <f>'Table C4 Tracker'!G8</f>
        <v>175.41666666666666</v>
      </c>
      <c r="FE8" s="1706">
        <f>'Table C4 Tracker'!H8</f>
        <v>175.41666666666666</v>
      </c>
      <c r="FF8" s="1706">
        <f>'Table C4 Tracker'!I8</f>
        <v>175.41666666666666</v>
      </c>
      <c r="FG8" s="1706">
        <f>'Table C4 Tracker'!J8</f>
        <v>175.41666666666666</v>
      </c>
      <c r="FH8" s="1706">
        <f>'Table C4 Tracker'!K8</f>
        <v>175.41666666666666</v>
      </c>
      <c r="FI8" s="1706">
        <f>'Table C4 Tracker'!L8</f>
        <v>175.41666666666666</v>
      </c>
      <c r="FJ8" s="1706">
        <f>'Table C4 Tracker'!M8</f>
        <v>175.41666666666666</v>
      </c>
      <c r="FK8" s="1706">
        <f>'Table C4 Tracker'!N8</f>
        <v>175.41666666666666</v>
      </c>
      <c r="FL8" s="1709">
        <f>'Table C4 Tracker'!O8</f>
        <v>175.41666666666666</v>
      </c>
      <c r="FM8" s="1458">
        <f>'Table C4 Tracker'!P8</f>
        <v>1244.4166666666665</v>
      </c>
      <c r="FN8" s="1707">
        <f>'Table C4 Tracker'!Q8</f>
        <v>3173.9999999999991</v>
      </c>
      <c r="FO8" s="1709">
        <f>'Table C4 Tracker'!R8</f>
        <v>661</v>
      </c>
      <c r="FP8" s="1709">
        <f>'Table C4 Tracker'!S8</f>
        <v>2513</v>
      </c>
      <c r="FQ8" s="1709">
        <f>'Table C4 Tracker'!T8</f>
        <v>0</v>
      </c>
      <c r="FR8" s="1709">
        <f>'Table C4 Tracker'!U8</f>
        <v>2513</v>
      </c>
      <c r="FS8" s="612"/>
      <c r="FU8" s="1745"/>
      <c r="FV8" s="1940"/>
      <c r="FW8" s="1745"/>
      <c r="FX8" s="1745"/>
      <c r="FY8" s="1745"/>
      <c r="FZ8" s="1745"/>
      <c r="GA8" s="1745"/>
      <c r="GB8" s="1745"/>
      <c r="GC8" s="1745"/>
      <c r="GD8" s="1745"/>
      <c r="GF8" s="1745"/>
      <c r="GG8" s="1745"/>
      <c r="GH8" s="1989"/>
      <c r="GI8" s="1989"/>
      <c r="GJ8" s="1989"/>
      <c r="GK8" s="1989"/>
      <c r="GL8" s="1745"/>
      <c r="GM8" s="1745"/>
      <c r="GN8" s="1745"/>
      <c r="GO8" s="1745"/>
      <c r="GP8" s="1745"/>
      <c r="GQ8" s="1745"/>
      <c r="GR8" s="1935"/>
      <c r="GT8" s="1652"/>
      <c r="GU8" s="1653"/>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4" t="str">
        <f>'E1 - Invoiced Income'!U8</f>
        <v>WG Contact, date item first entered into table and whether any invoice has been raised.</v>
      </c>
      <c r="HO8" s="1990"/>
      <c r="HP8" s="1991"/>
      <c r="HQ8" s="1989" t="str">
        <f>'F - SoFP'!C8</f>
        <v>£'000</v>
      </c>
      <c r="HR8" s="1958" t="str">
        <f>'F - SoFP'!D8</f>
        <v>£'000</v>
      </c>
      <c r="HS8" s="1958" t="str">
        <f>'F - SoFP'!E8</f>
        <v>£'000</v>
      </c>
      <c r="HT8" s="1946"/>
      <c r="HV8" s="1940"/>
      <c r="HW8" s="1940"/>
      <c r="HX8" s="1992" t="str">
        <f>'G - Cash Flow'!C8</f>
        <v>April</v>
      </c>
      <c r="HY8" s="1992" t="str">
        <f>'G - Cash Flow'!D8</f>
        <v>May</v>
      </c>
      <c r="HZ8" s="1992" t="str">
        <f>'G - Cash Flow'!E8</f>
        <v>June</v>
      </c>
      <c r="IA8" s="1992" t="str">
        <f>'G - Cash Flow'!F8</f>
        <v>July</v>
      </c>
      <c r="IB8" s="1992" t="str">
        <f>'G - Cash Flow'!G8</f>
        <v>Aug</v>
      </c>
      <c r="IC8" s="1992" t="str">
        <f>'G - Cash Flow'!H8</f>
        <v>Sept</v>
      </c>
      <c r="ID8" s="1992" t="str">
        <f>'G - Cash Flow'!I8</f>
        <v>Oct</v>
      </c>
      <c r="IE8" s="1992" t="str">
        <f>'G - Cash Flow'!J8</f>
        <v>Nov</v>
      </c>
      <c r="IF8" s="1992" t="str">
        <f>'G - Cash Flow'!K8</f>
        <v>Dec</v>
      </c>
      <c r="IG8" s="1992" t="str">
        <f>'G - Cash Flow'!L8</f>
        <v>Jan</v>
      </c>
      <c r="IH8" s="1992" t="str">
        <f>'G - Cash Flow'!M8</f>
        <v>Feb</v>
      </c>
      <c r="II8" s="1992" t="str">
        <f>'G - Cash Flow'!N8</f>
        <v>Mar</v>
      </c>
      <c r="IJ8" s="1992" t="str">
        <f>'G - Cash Flow'!O8</f>
        <v>Total</v>
      </c>
      <c r="IK8" s="1942"/>
      <c r="IM8" s="119">
        <f>'H - PSPP'!A8</f>
        <v>1</v>
      </c>
      <c r="IN8" s="386" t="str">
        <f>'H - PSPP'!B8</f>
        <v>% of NHS Invoices Paid Within 30 Days - By Value</v>
      </c>
      <c r="IO8" s="957">
        <f>'H - PSPP'!C8</f>
        <v>0.95</v>
      </c>
      <c r="IP8" s="1760">
        <f>'H - PSPP'!D8</f>
        <v>0</v>
      </c>
      <c r="IQ8" s="959">
        <f>'H - PSPP'!E8</f>
        <v>-0.95</v>
      </c>
      <c r="IR8" s="1760">
        <f>'H - PSPP'!F8</f>
        <v>0</v>
      </c>
      <c r="IS8" s="959">
        <f>'H - PSPP'!G8</f>
        <v>-0.95</v>
      </c>
      <c r="IT8" s="1760">
        <f>'H - PSPP'!H8</f>
        <v>0</v>
      </c>
      <c r="IU8" s="959">
        <f>'H - PSPP'!I8</f>
        <v>-0.95</v>
      </c>
      <c r="IV8" s="1760">
        <f>'H - PSPP'!J8</f>
        <v>0</v>
      </c>
      <c r="IW8" s="959">
        <f>'H - PSPP'!K8</f>
        <v>-0.95</v>
      </c>
      <c r="IX8" s="1760">
        <f>'H - PSPP'!L8</f>
        <v>0</v>
      </c>
      <c r="IY8" s="959">
        <f>'H - PSPP'!M8</f>
        <v>-0.95</v>
      </c>
      <c r="IZ8" s="1760">
        <f>'H - PSPP'!N8</f>
        <v>0</v>
      </c>
      <c r="JA8" s="959">
        <f>'H - PSPP'!O8</f>
        <v>-0.95</v>
      </c>
      <c r="JB8" s="1745"/>
      <c r="JD8" s="1745"/>
      <c r="JE8" s="1926" t="str">
        <f>'I - Capital RLM'!B8</f>
        <v xml:space="preserve">Approved CRL / CEL issued at : </v>
      </c>
      <c r="JF8" s="1993">
        <f>'I - Capital RLM'!C8</f>
        <v>0</v>
      </c>
      <c r="JG8" s="1745"/>
      <c r="JH8" s="1745"/>
      <c r="JI8" s="1943"/>
      <c r="JJ8" s="1745"/>
      <c r="JK8" s="1745"/>
      <c r="JL8" s="1745"/>
      <c r="JM8" s="1944"/>
      <c r="JN8" s="1944"/>
      <c r="JO8" s="1944"/>
      <c r="JQ8" s="1990"/>
      <c r="JR8" s="1991" t="str">
        <f>'J - Capital In Year Schemes'!B8</f>
        <v>All Wales Capital Programme:</v>
      </c>
      <c r="JS8" s="1994"/>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5"/>
      <c r="KI8" s="1995"/>
      <c r="KJ8" s="1990"/>
      <c r="KK8" s="1944"/>
      <c r="KM8" s="1940" t="str">
        <f>'K - Capital Disposals'!A8</f>
        <v>A: In Year Disposal of Assets</v>
      </c>
      <c r="KN8" s="1745"/>
      <c r="KO8" s="1745"/>
      <c r="KP8" s="1745"/>
      <c r="KQ8" s="1745"/>
      <c r="KR8" s="1745"/>
      <c r="KS8" s="1745"/>
      <c r="KT8" s="1745"/>
      <c r="KU8" s="1745"/>
      <c r="KV8" s="1745"/>
      <c r="KW8" s="1745"/>
      <c r="KX8" s="1745"/>
      <c r="KY8" s="1745"/>
      <c r="KZ8" s="1745"/>
      <c r="LA8" s="1745"/>
      <c r="LB8" s="1745"/>
      <c r="LC8" s="1935"/>
      <c r="LE8" s="71"/>
      <c r="LF8" s="71"/>
      <c r="LG8" s="1634" t="str">
        <f>'L - EFL'!C8</f>
        <v>Per WG</v>
      </c>
      <c r="LH8" s="1632" t="str">
        <f>'L - EFL'!D8</f>
        <v>Per Trust</v>
      </c>
      <c r="LI8" s="1633" t="str">
        <f>'L - EFL'!E8</f>
        <v>Variance</v>
      </c>
      <c r="LJ8" s="1632" t="str">
        <f>'L - EFL'!F8</f>
        <v>to date</v>
      </c>
      <c r="LL8" s="814"/>
      <c r="LM8" s="1761">
        <f>'M - Aged Debtors'!B8</f>
        <v>0</v>
      </c>
      <c r="LN8" s="1762">
        <f>'M - Aged Debtors'!C8</f>
        <v>0</v>
      </c>
      <c r="LO8" s="1763">
        <f>'M - Aged Debtors'!D8</f>
        <v>0</v>
      </c>
      <c r="LP8" s="1764">
        <f>'M - Aged Debtors'!E8</f>
        <v>0</v>
      </c>
      <c r="LQ8" s="1972">
        <f>'M - Aged Debtors'!F8</f>
        <v>0</v>
      </c>
      <c r="LR8" s="1166" t="str">
        <f>'M - Aged Debtors'!G8</f>
        <v/>
      </c>
      <c r="LS8" s="829" t="str">
        <f>'M - Aged Debtors'!H8</f>
        <v/>
      </c>
      <c r="LT8" s="829" t="str">
        <f>'M - Aged Debtors'!I8</f>
        <v/>
      </c>
      <c r="LU8" s="830" t="str">
        <f>'M - Aged Debtors'!J8</f>
        <v/>
      </c>
      <c r="LV8" s="1757">
        <f>'M - Aged Debtors'!K8</f>
        <v>0</v>
      </c>
      <c r="LX8" s="153"/>
      <c r="LY8" s="153"/>
      <c r="LZ8" s="153"/>
      <c r="MA8" s="3084"/>
      <c r="MB8" s="3084"/>
      <c r="MC8" s="3084"/>
      <c r="MD8" s="3084"/>
      <c r="ME8" s="3085"/>
      <c r="MF8" s="3084"/>
      <c r="MH8" s="3086" t="str">
        <f>'O - Dental'!A8</f>
        <v>Expenditure / activities included in a GDS contract and / or PDS agreement</v>
      </c>
      <c r="MI8" s="3087"/>
      <c r="MJ8" s="695" t="str">
        <f>'O - Dental'!C8</f>
        <v>LINE NO.</v>
      </c>
      <c r="MK8" s="657" t="str">
        <f>'O - Dental'!D8</f>
        <v>£000's</v>
      </c>
      <c r="ML8" s="657" t="str">
        <f>'O - Dental'!E8</f>
        <v>£000's</v>
      </c>
      <c r="MM8" s="657" t="str">
        <f>'O - Dental'!F8</f>
        <v>£000's</v>
      </c>
      <c r="MN8" s="657" t="str">
        <f>'O - Dental'!G8</f>
        <v>£000's</v>
      </c>
      <c r="MO8" s="658">
        <f>'O - Dental'!H8</f>
        <v>0</v>
      </c>
      <c r="MP8" s="657" t="str">
        <f>'O - Dental'!I8</f>
        <v>£000's</v>
      </c>
      <c r="MR8" s="684"/>
      <c r="MS8" s="3034">
        <f>'P - Ringfenced'!B8</f>
        <v>0</v>
      </c>
      <c r="MT8" s="1101" t="str">
        <f>'P - Ringfenced'!C8</f>
        <v>Actual/Forecast - committed</v>
      </c>
      <c r="MU8" s="2656">
        <f>'P - Ringfenced'!D8</f>
        <v>0</v>
      </c>
      <c r="MV8" s="2656">
        <f>'P - Ringfenced'!E8</f>
        <v>0</v>
      </c>
      <c r="MW8" s="2693">
        <f>'P - Ringfenced'!F8</f>
        <v>0</v>
      </c>
      <c r="MX8" s="2693">
        <f>'P - Ringfenced'!G8</f>
        <v>0</v>
      </c>
      <c r="MY8" s="2693">
        <f>'P - Ringfenced'!H8</f>
        <v>0</v>
      </c>
      <c r="MZ8" s="2693">
        <f>'P - Ringfenced'!I8</f>
        <v>0</v>
      </c>
      <c r="NA8" s="2693">
        <f>'P - Ringfenced'!J8</f>
        <v>0</v>
      </c>
      <c r="NB8" s="2693">
        <f>'P - Ringfenced'!K8</f>
        <v>0</v>
      </c>
      <c r="NC8" s="2693">
        <f>'P - Ringfenced'!L8</f>
        <v>0</v>
      </c>
      <c r="ND8" s="2693">
        <f>'P - Ringfenced'!M8</f>
        <v>0</v>
      </c>
      <c r="NE8" s="2693">
        <f>'P - Ringfenced'!N8</f>
        <v>0</v>
      </c>
      <c r="NF8" s="2693">
        <f>'P - Ringfenced'!O8</f>
        <v>0</v>
      </c>
      <c r="NG8" s="2693">
        <f>'P - Ringfenced'!P8</f>
        <v>0</v>
      </c>
      <c r="NH8" s="2695">
        <f>'P - Ringfenced'!Q8</f>
        <v>0</v>
      </c>
      <c r="NI8" s="1339">
        <f>'P - Ringfenced'!R8</f>
        <v>0</v>
      </c>
      <c r="NJ8" s="1340">
        <f>'P - Ringfenced'!S8</f>
        <v>0</v>
      </c>
      <c r="NK8" s="2861"/>
      <c r="NL8" s="684"/>
    </row>
    <row r="9" spans="1:376" ht="20.149999999999999" customHeight="1" thickBot="1">
      <c r="A9" s="1745"/>
      <c r="B9" s="1745"/>
      <c r="C9" s="1996" t="str">
        <f>Summary!C9</f>
        <v>YTD</v>
      </c>
      <c r="D9" s="1996" t="str">
        <f>Summary!D9</f>
        <v>Forecast</v>
      </c>
      <c r="E9" s="1984"/>
      <c r="F9" s="1985"/>
      <c r="G9" s="1985"/>
      <c r="H9" s="1985"/>
      <c r="I9" s="1922"/>
      <c r="J9" s="1922"/>
      <c r="K9" s="1922"/>
      <c r="M9" s="71"/>
      <c r="N9" s="71"/>
      <c r="O9" s="1553" t="str">
        <f>'A - Movement'!C9</f>
        <v>In Year Effect</v>
      </c>
      <c r="P9" s="1553" t="str">
        <f>'A - Movement'!D9</f>
        <v>Non Recurring</v>
      </c>
      <c r="Q9" s="1553" t="str">
        <f>'A - Movement'!E9</f>
        <v>Recurring</v>
      </c>
      <c r="R9" s="1553" t="str">
        <f>'A - Movement'!F9</f>
        <v>FYE of Recurring</v>
      </c>
      <c r="S9" s="1745"/>
      <c r="T9" s="1928"/>
      <c r="U9" s="71"/>
      <c r="V9" s="71"/>
      <c r="W9" s="1553" t="str">
        <f>'A - Movement'!J9</f>
        <v>Apr</v>
      </c>
      <c r="X9" s="1553" t="str">
        <f>'A - Movement'!K9</f>
        <v>May</v>
      </c>
      <c r="Y9" s="1553" t="str">
        <f>'A - Movement'!L9</f>
        <v>Jun</v>
      </c>
      <c r="Z9" s="1553" t="str">
        <f>'A - Movement'!M9</f>
        <v>Jul</v>
      </c>
      <c r="AA9" s="1553" t="str">
        <f>'A - Movement'!N9</f>
        <v>Aug</v>
      </c>
      <c r="AB9" s="1553" t="str">
        <f>'A - Movement'!O9</f>
        <v>Sep</v>
      </c>
      <c r="AC9" s="1553" t="str">
        <f>'A - Movement'!P9</f>
        <v>Oct</v>
      </c>
      <c r="AD9" s="1553" t="str">
        <f>'A - Movement'!Q9</f>
        <v>Nov</v>
      </c>
      <c r="AE9" s="1553" t="str">
        <f>'A - Movement'!R9</f>
        <v>Dec</v>
      </c>
      <c r="AF9" s="1553" t="str">
        <f>'A - Movement'!S9</f>
        <v>Jan</v>
      </c>
      <c r="AG9" s="1553" t="str">
        <f>'A - Movement'!T9</f>
        <v>Feb</v>
      </c>
      <c r="AH9" s="1553" t="str">
        <f>'A - Movement'!U9</f>
        <v>Mar</v>
      </c>
      <c r="AI9" s="1553" t="str">
        <f>'A - Movement'!V9</f>
        <v>YTD</v>
      </c>
      <c r="AJ9" s="1553" t="str">
        <f>'A - Movement'!C9</f>
        <v>In Year Effect</v>
      </c>
      <c r="AK9" s="1553" t="str">
        <f>'A - Movement'!D9</f>
        <v>Non Recurring</v>
      </c>
      <c r="AL9" s="1553" t="str">
        <f>'A - Movement'!E9</f>
        <v>Recurring</v>
      </c>
      <c r="AM9" s="1553" t="str">
        <f>'A - Movement'!F9</f>
        <v>FYE of Recurring</v>
      </c>
      <c r="AN9" s="1745"/>
      <c r="AO9" s="1928"/>
      <c r="AP9" s="1397"/>
      <c r="AQ9" s="1398" t="str">
        <f>'A1 - Underlying Position'!B10</f>
        <v>Section A - By Spend Area</v>
      </c>
      <c r="AR9" s="1408" t="str">
        <f>'A1 - Underlying Position'!C10</f>
        <v>Underlying Position b/f</v>
      </c>
      <c r="AS9" s="1997" t="str">
        <f>'A1 - Underlying Position'!D10</f>
        <v>Recurring Savings (+ve)</v>
      </c>
      <c r="AT9" s="1997" t="str">
        <f>'A1 - Underlying Position'!E10</f>
        <v>Recurring Allocations / Income (+ve)</v>
      </c>
      <c r="AU9" s="1399" t="str">
        <f>'A1 - Underlying Position'!F10</f>
        <v>Subtotal</v>
      </c>
      <c r="AV9" s="1998" t="str">
        <f>'A1 - Underlying Position'!G9</f>
        <v>New, Recurring, Full Year Effect of Unmitigated Pressures (-ve)</v>
      </c>
      <c r="AW9" s="1399" t="str">
        <f>'A1 - Underlying Position'!H10</f>
        <v>Underlying Position c/f</v>
      </c>
      <c r="AX9" s="1745"/>
      <c r="AZ9" s="1717">
        <f>'A2 - Risks'!A9</f>
        <v>2</v>
      </c>
      <c r="BA9" s="1719" t="str">
        <f>'A2 - Risks'!B9</f>
        <v>Potential Cost Reduction</v>
      </c>
      <c r="BB9" s="1758">
        <f>'A2 - Risks'!C9</f>
        <v>0</v>
      </c>
      <c r="BC9" s="1759">
        <f>'A2 - Risks'!D9</f>
        <v>0</v>
      </c>
      <c r="BE9" s="1999"/>
      <c r="BF9" s="85" t="str">
        <f>'B - Monthly Positions'!B9</f>
        <v>A. Monthly Summarised Statement of Comprehensive Net Expenditure / Statement of Comprehensive Net Income</v>
      </c>
      <c r="BG9" s="1988"/>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9" t="str">
        <f>'B - Monthly Positions'!P9</f>
        <v>Total YTD</v>
      </c>
      <c r="BU9" s="1059" t="str">
        <f>'B - Monthly Positions'!Q9</f>
        <v>Forecast year-end position</v>
      </c>
      <c r="BV9" s="1643" t="str">
        <f>'B - Monthly Positions'!R9</f>
        <v xml:space="preserve"> </v>
      </c>
      <c r="BW9" s="1875"/>
      <c r="BX9" s="84"/>
      <c r="BY9" s="1212">
        <f>' Table Z Net Exp Profiles'!B9</f>
        <v>0</v>
      </c>
      <c r="BZ9" s="1228" t="str">
        <f>' Table Z Net Exp Profiles'!C9</f>
        <v>£'000</v>
      </c>
      <c r="CA9" s="1229" t="str">
        <f>' Table Z Net Exp Profiles'!D9</f>
        <v>£'000</v>
      </c>
      <c r="CB9" s="1229" t="str">
        <f>' Table Z Net Exp Profiles'!E9</f>
        <v>£'000</v>
      </c>
      <c r="CC9" s="1229" t="str">
        <f>' Table Z Net Exp Profiles'!F9</f>
        <v>£'000</v>
      </c>
      <c r="CD9" s="1229" t="str">
        <f>' Table Z Net Exp Profiles'!G9</f>
        <v>£'000</v>
      </c>
      <c r="CE9" s="1229" t="str">
        <f>' Table Z Net Exp Profiles'!H9</f>
        <v>£'000</v>
      </c>
      <c r="CF9" s="1229" t="str">
        <f>' Table Z Net Exp Profiles'!I9</f>
        <v>£'000</v>
      </c>
      <c r="CG9" s="1229" t="str">
        <f>' Table Z Net Exp Profiles'!J9</f>
        <v>£'000</v>
      </c>
      <c r="CH9" s="1229" t="str">
        <f>' Table Z Net Exp Profiles'!K9</f>
        <v>£'000</v>
      </c>
      <c r="CI9" s="1229" t="str">
        <f>' Table Z Net Exp Profiles'!L9</f>
        <v>£'000</v>
      </c>
      <c r="CJ9" s="1229" t="str">
        <f>' Table Z Net Exp Profiles'!M9</f>
        <v>£'000</v>
      </c>
      <c r="CK9" s="1230" t="str">
        <f>' Table Z Net Exp Profiles'!N9</f>
        <v>£'000</v>
      </c>
      <c r="CL9" s="1301" t="str">
        <f>' Table Z Net Exp Profiles'!O9</f>
        <v>£'000</v>
      </c>
      <c r="CM9" s="1301" t="str">
        <f>' Table Z Net Exp Profiles'!P9</f>
        <v>£'000</v>
      </c>
      <c r="CO9" s="1316" t="str">
        <f>'B2 - Pay &amp; Agency'!A9</f>
        <v>REF</v>
      </c>
      <c r="CP9" s="1317" t="str">
        <f>'B2 - Pay &amp; Agency'!B9</f>
        <v>TYPE</v>
      </c>
      <c r="CQ9" s="1303" t="str">
        <f>'B2 - Pay &amp; Agency'!C9</f>
        <v>£'000</v>
      </c>
      <c r="CR9" s="1240" t="str">
        <f>'B2 - Pay &amp; Agency'!D9</f>
        <v>£'000</v>
      </c>
      <c r="CS9" s="1240" t="str">
        <f>'B2 - Pay &amp; Agency'!E9</f>
        <v>£'000</v>
      </c>
      <c r="CT9" s="1240" t="str">
        <f>'B2 - Pay &amp; Agency'!F9</f>
        <v>£'000</v>
      </c>
      <c r="CU9" s="1240" t="str">
        <f>'B2 - Pay &amp; Agency'!G9</f>
        <v>£'000</v>
      </c>
      <c r="CV9" s="1240" t="str">
        <f>'B2 - Pay &amp; Agency'!H9</f>
        <v>£'000</v>
      </c>
      <c r="CW9" s="1240" t="str">
        <f>'B2 - Pay &amp; Agency'!I9</f>
        <v>£'000</v>
      </c>
      <c r="CX9" s="1240" t="str">
        <f>'B2 - Pay &amp; Agency'!J9</f>
        <v>£'000</v>
      </c>
      <c r="CY9" s="1240" t="str">
        <f>'B2 - Pay &amp; Agency'!K9</f>
        <v>£'000</v>
      </c>
      <c r="CZ9" s="1240" t="str">
        <f>'B2 - Pay &amp; Agency'!L9</f>
        <v>£'000</v>
      </c>
      <c r="DA9" s="1240" t="str">
        <f>'B2 - Pay &amp; Agency'!M9</f>
        <v>£'000</v>
      </c>
      <c r="DB9" s="1253" t="str">
        <f>'B2 - Pay &amp; Agency'!N9</f>
        <v>£'000</v>
      </c>
      <c r="DC9" s="1301" t="str">
        <f>'B2 - Pay &amp; Agency'!O9</f>
        <v>£'000</v>
      </c>
      <c r="DD9" s="1301" t="str">
        <f>'B2 - Pay &amp; Agency'!P9</f>
        <v>£'000</v>
      </c>
      <c r="DF9" s="2852">
        <f>'B3 - COVID-19'!A9</f>
        <v>2</v>
      </c>
      <c r="DG9" s="2855" t="str">
        <f>'B3 - COVID-19'!B9</f>
        <v>Provider Pay (Establishment, Temp &amp; Agency)</v>
      </c>
      <c r="DH9" s="1899"/>
      <c r="DI9" s="1899"/>
      <c r="DJ9" s="1899"/>
      <c r="DK9" s="1899"/>
      <c r="DL9" s="1899"/>
      <c r="DM9" s="1899"/>
      <c r="DN9" s="1899"/>
      <c r="DO9" s="1899"/>
      <c r="DP9" s="1899"/>
      <c r="DQ9" s="1899"/>
      <c r="DR9" s="1899"/>
      <c r="DS9" s="1900"/>
      <c r="DT9" s="1901"/>
      <c r="DU9" s="1902"/>
      <c r="DV9" s="608"/>
      <c r="DW9" s="1116"/>
      <c r="DY9" s="82"/>
      <c r="DZ9" s="83"/>
      <c r="EA9" s="82"/>
      <c r="EB9" s="107">
        <f>'C, C1, C2&amp; C3 - Savings Schemes'!D9</f>
        <v>1</v>
      </c>
      <c r="EC9" s="107">
        <f>'C, C1, C2&amp; C3 - Savings Schemes'!E9</f>
        <v>0</v>
      </c>
      <c r="ED9" s="107">
        <f>'C, C1, C2&amp; C3 - Savings Schemes'!F9</f>
        <v>0</v>
      </c>
      <c r="EE9" s="107">
        <f>'C, C1, C2&amp; C3 - Savings Schemes'!G9</f>
        <v>0</v>
      </c>
      <c r="EF9" s="107">
        <f>'C, C1, C2&amp; C3 - Savings Schemes'!H9</f>
        <v>0</v>
      </c>
      <c r="EG9" s="107">
        <f>'C, C1, C2&amp; C3 - Savings Schemes'!I9</f>
        <v>0</v>
      </c>
      <c r="EH9" s="107">
        <f>'C, C1, C2&amp; C3 - Savings Schemes'!J9</f>
        <v>0</v>
      </c>
      <c r="EI9" s="107">
        <f>'C, C1, C2&amp; C3 - Savings Schemes'!K9</f>
        <v>0</v>
      </c>
      <c r="EJ9" s="107">
        <f>'C, C1, C2&amp; C3 - Savings Schemes'!L9</f>
        <v>0</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074"/>
      <c r="EY9" s="1698" t="str">
        <f>'Table C4 Tracker'!B9</f>
        <v>Month 1 - Actual/Forecast</v>
      </c>
      <c r="EZ9" s="1371">
        <f>'Table C4 Tracker'!C9</f>
        <v>0</v>
      </c>
      <c r="FA9" s="1708">
        <f>'Table C4 Tracker'!D9</f>
        <v>1244.4166666666665</v>
      </c>
      <c r="FB9" s="1708">
        <f>'Table C4 Tracker'!E9</f>
        <v>175.41666666666666</v>
      </c>
      <c r="FC9" s="1708">
        <f>'Table C4 Tracker'!F9</f>
        <v>175.41666666666666</v>
      </c>
      <c r="FD9" s="1708">
        <f>'Table C4 Tracker'!G9</f>
        <v>175.41666666666666</v>
      </c>
      <c r="FE9" s="1708">
        <f>'Table C4 Tracker'!H9</f>
        <v>175.41666666666666</v>
      </c>
      <c r="FF9" s="1708">
        <f>'Table C4 Tracker'!I9</f>
        <v>175.41666666666666</v>
      </c>
      <c r="FG9" s="1708">
        <f>'Table C4 Tracker'!J9</f>
        <v>175.41666666666666</v>
      </c>
      <c r="FH9" s="1708">
        <f>'Table C4 Tracker'!K9</f>
        <v>175.41666666666666</v>
      </c>
      <c r="FI9" s="1708">
        <f>'Table C4 Tracker'!L9</f>
        <v>175.41666666666666</v>
      </c>
      <c r="FJ9" s="1708">
        <f>'Table C4 Tracker'!M9</f>
        <v>175.41666666666666</v>
      </c>
      <c r="FK9" s="1708">
        <f>'Table C4 Tracker'!N9</f>
        <v>175.41666666666666</v>
      </c>
      <c r="FL9" s="1577">
        <f>'Table C4 Tracker'!O9</f>
        <v>175.41666666666666</v>
      </c>
      <c r="FM9" s="1465">
        <f>'Table C4 Tracker'!P9</f>
        <v>1244.4166666666665</v>
      </c>
      <c r="FN9" s="939">
        <f>'Table C4 Tracker'!Q9</f>
        <v>3173.9999999999991</v>
      </c>
      <c r="FO9" s="1577">
        <f>'Table C4 Tracker'!R9</f>
        <v>661</v>
      </c>
      <c r="FP9" s="1577">
        <f>'Table C4 Tracker'!S9</f>
        <v>2513</v>
      </c>
      <c r="FQ9" s="1577">
        <f>'Table C4 Tracker'!T9</f>
        <v>0</v>
      </c>
      <c r="FR9" s="1577">
        <f>'Table C4 Tracker'!U9</f>
        <v>2513</v>
      </c>
      <c r="FS9" s="99"/>
      <c r="FU9" s="1940"/>
      <c r="FV9" s="2000" t="str">
        <f>'D - Welsh NHS Assumptions'!B9</f>
        <v>LHB/Trust</v>
      </c>
      <c r="FW9" s="2001" t="str">
        <f>'D - Welsh NHS Assumptions'!C9</f>
        <v>Contracted Income</v>
      </c>
      <c r="FX9" s="2001" t="str">
        <f>'D - Welsh NHS Assumptions'!D9</f>
        <v>Non Contracted Income</v>
      </c>
      <c r="FY9" s="2001" t="str">
        <f>'D - Welsh NHS Assumptions'!E9</f>
        <v>Total Income</v>
      </c>
      <c r="FZ9" s="2002"/>
      <c r="GA9" s="2001" t="str">
        <f>'D - Welsh NHS Assumptions'!G9</f>
        <v>Contracted Expenditure</v>
      </c>
      <c r="GB9" s="2001" t="str">
        <f>'D - Welsh NHS Assumptions'!H9</f>
        <v>Non Contracted Expenditure</v>
      </c>
      <c r="GC9" s="2001" t="str">
        <f>'D - Welsh NHS Assumptions'!I9</f>
        <v>Total Expenditure</v>
      </c>
      <c r="GD9" s="1940"/>
      <c r="GF9" s="2003">
        <f>'E - Resource Limits'!A9</f>
        <v>1</v>
      </c>
      <c r="GG9" s="2003" t="str">
        <f>'E - Resource Limits'!B9</f>
        <v>LATEST ALLOCATION LETTER/SCHEDULE REF:</v>
      </c>
      <c r="GH9" s="2004">
        <f>'E - Resource Limits'!C9</f>
        <v>0</v>
      </c>
      <c r="GI9" s="2005">
        <f>'E - Resource Limits'!D9</f>
        <v>0</v>
      </c>
      <c r="GJ9" s="2005">
        <f>'E - Resource Limits'!E9</f>
        <v>0</v>
      </c>
      <c r="GK9" s="2006">
        <f>'E - Resource Limits'!F9</f>
        <v>0</v>
      </c>
      <c r="GL9" s="1745"/>
      <c r="GM9" s="1745"/>
      <c r="GN9" s="1745"/>
      <c r="GO9" s="1745"/>
      <c r="GP9" s="1745"/>
      <c r="GQ9" s="1745"/>
      <c r="GR9" s="1935"/>
      <c r="GT9" s="170" t="str">
        <f>'E1 - Invoiced Income'!A9</f>
        <v>Ref</v>
      </c>
      <c r="GU9" s="1655"/>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6"/>
      <c r="HO9" s="2007">
        <f>'F - SoFP'!A9</f>
        <v>1</v>
      </c>
      <c r="HP9" s="2008" t="str">
        <f>'F - SoFP'!B9</f>
        <v>Property, plant and equipment</v>
      </c>
      <c r="HQ9" s="2009">
        <f>'F - SoFP'!C9</f>
        <v>0</v>
      </c>
      <c r="HR9" s="2010">
        <f>'F - SoFP'!D9</f>
        <v>0</v>
      </c>
      <c r="HS9" s="2010">
        <f>'F - SoFP'!E9</f>
        <v>0</v>
      </c>
      <c r="HT9" s="1946"/>
      <c r="HV9" s="1940"/>
      <c r="HW9" s="1940"/>
      <c r="HX9" s="1992" t="str">
        <f>'G - Cash Flow'!C9</f>
        <v>£'000</v>
      </c>
      <c r="HY9" s="1992" t="str">
        <f>'G - Cash Flow'!D9</f>
        <v>£'000</v>
      </c>
      <c r="HZ9" s="1992" t="str">
        <f>'G - Cash Flow'!E9</f>
        <v>£'000</v>
      </c>
      <c r="IA9" s="1992" t="str">
        <f>'G - Cash Flow'!F9</f>
        <v>£'000</v>
      </c>
      <c r="IB9" s="1992" t="str">
        <f>'G - Cash Flow'!G9</f>
        <v>£'000</v>
      </c>
      <c r="IC9" s="1992" t="str">
        <f>'G - Cash Flow'!H9</f>
        <v>£'000</v>
      </c>
      <c r="ID9" s="1992" t="str">
        <f>'G - Cash Flow'!I9</f>
        <v>£'000</v>
      </c>
      <c r="IE9" s="1992" t="str">
        <f>'G - Cash Flow'!J9</f>
        <v>£'000</v>
      </c>
      <c r="IF9" s="1992" t="str">
        <f>'G - Cash Flow'!K9</f>
        <v>£'000</v>
      </c>
      <c r="IG9" s="1992" t="str">
        <f>'G - Cash Flow'!L9</f>
        <v>£'000</v>
      </c>
      <c r="IH9" s="1992" t="str">
        <f>'G - Cash Flow'!M9</f>
        <v>£'000</v>
      </c>
      <c r="II9" s="1992" t="str">
        <f>'G - Cash Flow'!N9</f>
        <v>£,000</v>
      </c>
      <c r="IJ9" s="1992" t="str">
        <f>'G - Cash Flow'!O9</f>
        <v>£,000</v>
      </c>
      <c r="IK9" s="1942"/>
      <c r="IM9" s="119">
        <f>'H - PSPP'!A9</f>
        <v>2</v>
      </c>
      <c r="IN9" s="386" t="str">
        <f>'H - PSPP'!B9</f>
        <v>% of NHS Invoices Paid Within 30 Days - By Number</v>
      </c>
      <c r="IO9" s="957">
        <f>'H - PSPP'!C9</f>
        <v>0.95</v>
      </c>
      <c r="IP9" s="1760">
        <f>'H - PSPP'!D9</f>
        <v>0</v>
      </c>
      <c r="IQ9" s="959">
        <f>'H - PSPP'!E9</f>
        <v>-0.95</v>
      </c>
      <c r="IR9" s="1760">
        <f>'H - PSPP'!F9</f>
        <v>0</v>
      </c>
      <c r="IS9" s="959">
        <f>'H - PSPP'!G9</f>
        <v>-0.95</v>
      </c>
      <c r="IT9" s="1760">
        <f>'H - PSPP'!H9</f>
        <v>0</v>
      </c>
      <c r="IU9" s="959">
        <f>'H - PSPP'!I9</f>
        <v>-0.95</v>
      </c>
      <c r="IV9" s="1760">
        <f>'H - PSPP'!J9</f>
        <v>0</v>
      </c>
      <c r="IW9" s="959">
        <f>'H - PSPP'!K9</f>
        <v>-0.95</v>
      </c>
      <c r="IX9" s="1760">
        <f>'H - PSPP'!L9</f>
        <v>0</v>
      </c>
      <c r="IY9" s="959">
        <f>'H - PSPP'!M9</f>
        <v>-0.95</v>
      </c>
      <c r="IZ9" s="1760">
        <f>'H - PSPP'!N9</f>
        <v>0</v>
      </c>
      <c r="JA9" s="959">
        <f>'H - PSPP'!O9</f>
        <v>-0.95</v>
      </c>
      <c r="JB9" s="1745"/>
      <c r="JD9" s="1745"/>
      <c r="JE9" s="1745"/>
      <c r="JF9" s="1745"/>
      <c r="JG9" s="1745"/>
      <c r="JH9" s="1745"/>
      <c r="JI9" s="1943"/>
      <c r="JJ9" s="1745"/>
      <c r="JK9" s="1745"/>
      <c r="JL9" s="1745"/>
      <c r="JM9" s="1944"/>
      <c r="JN9" s="1944"/>
      <c r="JO9" s="1944"/>
      <c r="JQ9" s="2011" t="str">
        <f>'J - Capital In Year Schemes'!A9</f>
        <v>Ref:</v>
      </c>
      <c r="JR9" s="2012"/>
      <c r="JS9" s="1989" t="str">
        <f>'J - Capital In Year Schemes'!C9</f>
        <v>Project</v>
      </c>
      <c r="JT9" s="3080"/>
      <c r="JU9" s="3081"/>
      <c r="JV9" s="3054"/>
      <c r="JW9" s="3055"/>
      <c r="JX9" s="3055"/>
      <c r="JY9" s="3055"/>
      <c r="JZ9" s="3055"/>
      <c r="KA9" s="3055"/>
      <c r="KB9" s="3055"/>
      <c r="KC9" s="3055"/>
      <c r="KD9" s="3055"/>
      <c r="KE9" s="3055"/>
      <c r="KF9" s="3055"/>
      <c r="KG9" s="3083"/>
      <c r="KH9" s="2012"/>
      <c r="KI9" s="2012"/>
      <c r="KJ9" s="1963" t="str">
        <f>'J - Capital In Year Schemes'!T9</f>
        <v>Risk</v>
      </c>
      <c r="KK9" s="1944"/>
      <c r="KM9" s="2013"/>
      <c r="KN9" s="2000" t="str">
        <f>'K - Capital Disposals'!B9</f>
        <v>Description</v>
      </c>
      <c r="KO9" s="2001" t="str">
        <f>'K - Capital Disposals'!C9</f>
        <v>Date of Ministerial Approval to Dispose (Land &amp; Buildings only)</v>
      </c>
      <c r="KP9" s="2001" t="str">
        <f>'K - Capital Disposals'!D9</f>
        <v>Date of Ministerial Approval to Retain Proceeds &gt; £0.5m</v>
      </c>
      <c r="KQ9" s="2014" t="str">
        <f>'K - Capital Disposals'!E9</f>
        <v xml:space="preserve">Date of Disposal </v>
      </c>
      <c r="KR9" s="2014" t="str">
        <f>'K - Capital Disposals'!F9</f>
        <v>NBV</v>
      </c>
      <c r="KS9" s="2001" t="str">
        <f>'K - Capital Disposals'!G9</f>
        <v>Sales Receipts</v>
      </c>
      <c r="KT9" s="2001" t="str">
        <f>'K - Capital Disposals'!H9</f>
        <v>Cost of Disposals</v>
      </c>
      <c r="KU9" s="2001" t="str">
        <f>'K - Capital Disposals'!I9</f>
        <v>Gain/         (Loss)</v>
      </c>
      <c r="KV9" s="3088" t="str">
        <f>'K - Capital Disposals'!J9</f>
        <v>Comments</v>
      </c>
      <c r="KW9" s="3089"/>
      <c r="KX9" s="3089"/>
      <c r="KY9" s="3089"/>
      <c r="KZ9" s="3089"/>
      <c r="LA9" s="3089"/>
      <c r="LB9" s="3090"/>
      <c r="LC9" s="1935"/>
      <c r="LE9" s="71"/>
      <c r="LF9" s="71"/>
      <c r="LG9" s="1631" t="str">
        <f>'L - EFL'!C9</f>
        <v>£'000</v>
      </c>
      <c r="LH9" s="1631" t="str">
        <f>'L - EFL'!D9</f>
        <v>£'000</v>
      </c>
      <c r="LI9" s="1630" t="str">
        <f>'L - EFL'!E9</f>
        <v>£'000</v>
      </c>
      <c r="LJ9" s="1629" t="str">
        <f>'L - EFL'!F9</f>
        <v>£'000</v>
      </c>
      <c r="LL9" s="814"/>
      <c r="LM9" s="1761">
        <f>'M - Aged Debtors'!B9</f>
        <v>0</v>
      </c>
      <c r="LN9" s="1762">
        <f>'M - Aged Debtors'!C9</f>
        <v>0</v>
      </c>
      <c r="LO9" s="1763">
        <f>'M - Aged Debtors'!D9</f>
        <v>0</v>
      </c>
      <c r="LP9" s="1764">
        <f>'M - Aged Debtors'!E9</f>
        <v>0</v>
      </c>
      <c r="LQ9" s="1972">
        <f>'M - Aged Debtors'!F9</f>
        <v>0</v>
      </c>
      <c r="LR9" s="1166" t="str">
        <f>'M - Aged Debtors'!G9</f>
        <v/>
      </c>
      <c r="LS9" s="829" t="str">
        <f>'M - Aged Debtors'!H9</f>
        <v/>
      </c>
      <c r="LT9" s="829" t="str">
        <f>'M - Aged Debtors'!I9</f>
        <v/>
      </c>
      <c r="LU9" s="830" t="str">
        <f>'M - Aged Debtors'!J9</f>
        <v/>
      </c>
      <c r="LV9" s="1757">
        <f>'M - Aged Debtors'!K9</f>
        <v>0</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5" t="str">
        <f>'O - Dental'!A9</f>
        <v>Gross Contract Value - Personal Dental Services</v>
      </c>
      <c r="MI9" s="697"/>
      <c r="MJ9" s="698">
        <f>'O - Dental'!C9</f>
        <v>1</v>
      </c>
      <c r="MK9" s="698">
        <f>'O - Dental'!D9</f>
        <v>0</v>
      </c>
      <c r="ML9" s="1765">
        <f>'O - Dental'!E9</f>
        <v>0</v>
      </c>
      <c r="MM9" s="1766">
        <f>'O - Dental'!F9</f>
        <v>0</v>
      </c>
      <c r="MN9" s="661">
        <f>'O - Dental'!G9</f>
        <v>0</v>
      </c>
      <c r="MO9" s="308"/>
      <c r="MP9" s="1767">
        <f>'O - Dental'!I9</f>
        <v>0</v>
      </c>
      <c r="MR9" s="684"/>
      <c r="MS9" s="3035">
        <f>'P - Ringfenced'!B9</f>
        <v>0</v>
      </c>
      <c r="MT9" s="2661" t="str">
        <f>'P - Ringfenced'!C9</f>
        <v>Variance against current plan</v>
      </c>
      <c r="MU9" s="2656">
        <f>'P - Ringfenced'!D9</f>
        <v>0</v>
      </c>
      <c r="MV9" s="2656">
        <f>'P - Ringfenced'!E9</f>
        <v>0</v>
      </c>
      <c r="MW9" s="2680">
        <f>'P - Ringfenced'!F9</f>
        <v>0</v>
      </c>
      <c r="MX9" s="2680">
        <f>'P - Ringfenced'!G9</f>
        <v>0</v>
      </c>
      <c r="MY9" s="2680">
        <f>'P - Ringfenced'!H9</f>
        <v>0</v>
      </c>
      <c r="MZ9" s="2680">
        <f>'P - Ringfenced'!I9</f>
        <v>0</v>
      </c>
      <c r="NA9" s="2680">
        <f>'P - Ringfenced'!J9</f>
        <v>0</v>
      </c>
      <c r="NB9" s="2680">
        <f>'P - Ringfenced'!K9</f>
        <v>0</v>
      </c>
      <c r="NC9" s="2680">
        <f>'P - Ringfenced'!L9</f>
        <v>0</v>
      </c>
      <c r="ND9" s="2680">
        <f>'P - Ringfenced'!M9</f>
        <v>0</v>
      </c>
      <c r="NE9" s="2680">
        <f>'P - Ringfenced'!N9</f>
        <v>0</v>
      </c>
      <c r="NF9" s="2680">
        <f>'P - Ringfenced'!O9</f>
        <v>0</v>
      </c>
      <c r="NG9" s="2680">
        <f>'P - Ringfenced'!P9</f>
        <v>0</v>
      </c>
      <c r="NH9" s="2681">
        <f>'P - Ringfenced'!Q9</f>
        <v>0</v>
      </c>
      <c r="NI9" s="1110">
        <f>'P - Ringfenced'!R9</f>
        <v>0</v>
      </c>
      <c r="NJ9" s="1220">
        <f>'P - Ringfenced'!S9</f>
        <v>0</v>
      </c>
      <c r="NK9" s="1220">
        <f>'P - Ringfenced'!T9</f>
        <v>0</v>
      </c>
      <c r="NL9" s="684"/>
    </row>
    <row r="10" spans="1:376" ht="24.75" customHeight="1" thickBot="1">
      <c r="A10" s="1745"/>
      <c r="B10" s="1745"/>
      <c r="C10" s="2016" t="str">
        <f>Summary!C10</f>
        <v>£'000</v>
      </c>
      <c r="D10" s="2016" t="str">
        <f>Summary!D10</f>
        <v>£'000</v>
      </c>
      <c r="E10" s="2017"/>
      <c r="F10" s="2018"/>
      <c r="G10" s="2018"/>
      <c r="H10" s="2018"/>
      <c r="I10" s="1922"/>
      <c r="J10" s="1922"/>
      <c r="K10" s="1922"/>
      <c r="M10" s="71"/>
      <c r="N10" s="991"/>
      <c r="O10" s="986" t="str">
        <f>'A - Movement'!C10</f>
        <v>£'000</v>
      </c>
      <c r="P10" s="986" t="str">
        <f>'A - Movement'!D10</f>
        <v>£'000</v>
      </c>
      <c r="Q10" s="986" t="str">
        <f>'A - Movement'!E10</f>
        <v>£'000</v>
      </c>
      <c r="R10" s="986" t="str">
        <f>'A - Movement'!F10</f>
        <v>£'000</v>
      </c>
      <c r="S10" s="1745"/>
      <c r="T10" s="1928"/>
      <c r="U10" s="71"/>
      <c r="V10" s="991"/>
      <c r="W10" s="1553" t="str">
        <f>'A - Movement'!J10</f>
        <v>£'000</v>
      </c>
      <c r="X10" s="1553" t="str">
        <f>'A - Movement'!K10</f>
        <v>£'000</v>
      </c>
      <c r="Y10" s="1553" t="str">
        <f>'A - Movement'!L10</f>
        <v>£'000</v>
      </c>
      <c r="Z10" s="1553" t="str">
        <f>'A - Movement'!M10</f>
        <v>£'000</v>
      </c>
      <c r="AA10" s="1553" t="str">
        <f>'A - Movement'!N10</f>
        <v>£'000</v>
      </c>
      <c r="AB10" s="1553" t="str">
        <f>'A - Movement'!O10</f>
        <v>£'000</v>
      </c>
      <c r="AC10" s="1553" t="str">
        <f>'A - Movement'!P10</f>
        <v>£'000</v>
      </c>
      <c r="AD10" s="1553" t="str">
        <f>'A - Movement'!Q10</f>
        <v>£'000</v>
      </c>
      <c r="AE10" s="1553" t="str">
        <f>'A - Movement'!R10</f>
        <v>£'000</v>
      </c>
      <c r="AF10" s="1553" t="str">
        <f>'A - Movement'!S10</f>
        <v>£'000</v>
      </c>
      <c r="AG10" s="1553" t="str">
        <f>'A - Movement'!T10</f>
        <v>£'000</v>
      </c>
      <c r="AH10" s="1553" t="str">
        <f>'A - Movement'!U10</f>
        <v>£'000</v>
      </c>
      <c r="AI10" s="986" t="str">
        <f>'A - Movement'!V10</f>
        <v>£'000</v>
      </c>
      <c r="AJ10" s="986" t="str">
        <f>'A - Movement'!C10</f>
        <v>£'000</v>
      </c>
      <c r="AK10" s="986" t="str">
        <f>'A - Movement'!D10</f>
        <v>£'000</v>
      </c>
      <c r="AL10" s="986" t="str">
        <f>'A - Movement'!E10</f>
        <v>£'000</v>
      </c>
      <c r="AM10" s="986" t="str">
        <f>'A - Movement'!F10</f>
        <v>£'000</v>
      </c>
      <c r="AN10" s="1745"/>
      <c r="AO10" s="1928"/>
      <c r="AP10" s="1397"/>
      <c r="AQ10" s="1398"/>
      <c r="AR10" s="1414" t="str">
        <f>'A1 - Underlying Position'!C11</f>
        <v>£'000</v>
      </c>
      <c r="AS10" s="1415" t="str">
        <f>'A1 - Underlying Position'!D11</f>
        <v>£'000</v>
      </c>
      <c r="AT10" s="1415" t="str">
        <f>'A1 - Underlying Position'!E11</f>
        <v>£'000</v>
      </c>
      <c r="AU10" s="1413" t="str">
        <f>'A1 - Underlying Position'!F11</f>
        <v>£'000</v>
      </c>
      <c r="AV10" s="1416" t="str">
        <f>'A1 - Underlying Position'!G11</f>
        <v>£'000</v>
      </c>
      <c r="AW10" s="1413" t="str">
        <f>'A1 - Underlying Position'!H11</f>
        <v>£'000</v>
      </c>
      <c r="AX10" s="1745"/>
      <c r="AZ10" s="1198">
        <f>'A2 - Risks'!A10</f>
        <v>3</v>
      </c>
      <c r="BA10" s="949" t="str">
        <f>'A2 - Risks'!B10</f>
        <v>Total Opportunities to achieve IMTP/AOP</v>
      </c>
      <c r="BB10" s="1143">
        <f>'A2 - Risks'!C10</f>
        <v>0</v>
      </c>
      <c r="BC10" s="358">
        <f>'A2 - Risks'!D10</f>
        <v>0</v>
      </c>
      <c r="BE10" s="1999"/>
      <c r="BF10" s="85"/>
      <c r="BG10" s="2019"/>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1" t="str">
        <f>'B - Monthly Positions'!P10</f>
        <v>£'000</v>
      </c>
      <c r="BU10" s="1061" t="str">
        <f>'B - Monthly Positions'!Q10</f>
        <v>£'000</v>
      </c>
      <c r="BV10" s="1643"/>
      <c r="BW10" s="1875"/>
      <c r="BX10" s="86">
        <f>' Table Z Net Exp Profiles'!A10</f>
        <v>1</v>
      </c>
      <c r="BY10" s="2520" t="str">
        <f>' Table Z Net Exp Profiles'!B10</f>
        <v>Gross Pay Expenditure - Non Covid-19 - Current Plan</v>
      </c>
      <c r="BZ10" s="963">
        <f>' Table Z Net Exp Profiles'!C10</f>
        <v>0</v>
      </c>
      <c r="CA10" s="984">
        <f>' Table Z Net Exp Profiles'!D10</f>
        <v>0</v>
      </c>
      <c r="CB10" s="984">
        <f>' Table Z Net Exp Profiles'!E10</f>
        <v>0</v>
      </c>
      <c r="CC10" s="984">
        <f>' Table Z Net Exp Profiles'!F10</f>
        <v>0</v>
      </c>
      <c r="CD10" s="984">
        <f>' Table Z Net Exp Profiles'!G10</f>
        <v>0</v>
      </c>
      <c r="CE10" s="984">
        <f>' Table Z Net Exp Profiles'!H10</f>
        <v>0</v>
      </c>
      <c r="CF10" s="984">
        <f>' Table Z Net Exp Profiles'!I10</f>
        <v>0</v>
      </c>
      <c r="CG10" s="984">
        <f>' Table Z Net Exp Profiles'!J10</f>
        <v>0</v>
      </c>
      <c r="CH10" s="984">
        <f>' Table Z Net Exp Profiles'!K10</f>
        <v>0</v>
      </c>
      <c r="CI10" s="984">
        <f>' Table Z Net Exp Profiles'!L10</f>
        <v>0</v>
      </c>
      <c r="CJ10" s="984">
        <f>' Table Z Net Exp Profiles'!M10</f>
        <v>0</v>
      </c>
      <c r="CK10" s="1065">
        <f>' Table Z Net Exp Profiles'!N10</f>
        <v>0</v>
      </c>
      <c r="CL10" s="1683">
        <f>' Table Z Net Exp Profiles'!O10</f>
        <v>0</v>
      </c>
      <c r="CM10" s="1058">
        <f>' Table Z Net Exp Profiles'!P10</f>
        <v>0</v>
      </c>
      <c r="CO10" s="1328">
        <f>'B2 - Pay &amp; Agency'!A10</f>
        <v>1</v>
      </c>
      <c r="CP10" s="1332" t="str">
        <f>'B2 - Pay &amp; Agency'!B10</f>
        <v xml:space="preserve">Administrative, Clerical &amp; Board Members </v>
      </c>
      <c r="CQ10" s="1768">
        <f>'B2 - Pay &amp; Agency'!C10</f>
        <v>5594</v>
      </c>
      <c r="CR10" s="1769">
        <f>'B2 - Pay &amp; Agency'!D10</f>
        <v>5119.1366666666663</v>
      </c>
      <c r="CS10" s="1769">
        <f>'B2 - Pay &amp; Agency'!E10</f>
        <v>5146.5910333333331</v>
      </c>
      <c r="CT10" s="1769">
        <f>'B2 - Pay &amp; Agency'!F10</f>
        <v>5163.2390333333333</v>
      </c>
      <c r="CU10" s="1769">
        <f>'B2 - Pay &amp; Agency'!G10</f>
        <v>5156.2390333333333</v>
      </c>
      <c r="CV10" s="1769">
        <f>'B2 - Pay &amp; Agency'!H10</f>
        <v>5160.2390333333333</v>
      </c>
      <c r="CW10" s="1769">
        <f>'B2 - Pay &amp; Agency'!I10</f>
        <v>5160.5559883333335</v>
      </c>
      <c r="CX10" s="1769">
        <f>'B2 - Pay &amp; Agency'!J10</f>
        <v>5160.5559883333335</v>
      </c>
      <c r="CY10" s="1769">
        <f>'B2 - Pay &amp; Agency'!K10</f>
        <v>5149.5559883333335</v>
      </c>
      <c r="CZ10" s="1769">
        <f>'B2 - Pay &amp; Agency'!L10</f>
        <v>5147.5559883333335</v>
      </c>
      <c r="DA10" s="1769">
        <f>'B2 - Pay &amp; Agency'!M10</f>
        <v>5128.2390333333333</v>
      </c>
      <c r="DB10" s="1770">
        <f>'B2 - Pay &amp; Agency'!N10</f>
        <v>5135.2390333333333</v>
      </c>
      <c r="DC10" s="1132">
        <f>'B2 - Pay &amp; Agency'!O10</f>
        <v>5594</v>
      </c>
      <c r="DD10" s="1323">
        <f>'B2 - Pay &amp; Agency'!P10</f>
        <v>62221.146819999994</v>
      </c>
      <c r="DF10" s="2852">
        <f>'B3 - COVID-19'!A10</f>
        <v>3</v>
      </c>
      <c r="DG10" s="2845" t="str">
        <f>'B3 - COVID-19'!B10</f>
        <v xml:space="preserve">Administrative, Clerical &amp; Board Members </v>
      </c>
      <c r="DH10" s="1903">
        <f>'B3 - COVID-19'!C10</f>
        <v>14.46139</v>
      </c>
      <c r="DI10" s="1903">
        <f>'B3 - COVID-19'!D10</f>
        <v>12.571000000000002</v>
      </c>
      <c r="DJ10" s="1903">
        <f>'B3 - COVID-19'!E10</f>
        <v>42.212166666666654</v>
      </c>
      <c r="DK10" s="1903">
        <f>'B3 - COVID-19'!F10</f>
        <v>59.860166666666657</v>
      </c>
      <c r="DL10" s="1903">
        <f>'B3 - COVID-19'!G10</f>
        <v>59.860166666666657</v>
      </c>
      <c r="DM10" s="1903">
        <f>'B3 - COVID-19'!H10</f>
        <v>59.860166666666657</v>
      </c>
      <c r="DN10" s="1903">
        <f>'B3 - COVID-19'!I10</f>
        <v>79.177121666666665</v>
      </c>
      <c r="DO10" s="1903">
        <f>'B3 - COVID-19'!J10</f>
        <v>79.177121666666665</v>
      </c>
      <c r="DP10" s="1903">
        <f>'B3 - COVID-19'!K10</f>
        <v>79.177121666666665</v>
      </c>
      <c r="DQ10" s="1903">
        <f>'B3 - COVID-19'!L10</f>
        <v>79.177121666666665</v>
      </c>
      <c r="DR10" s="1903">
        <f>'B3 - COVID-19'!M10</f>
        <v>59.860166666666657</v>
      </c>
      <c r="DS10" s="1903">
        <f>'B3 - COVID-19'!N10</f>
        <v>59.860166666666657</v>
      </c>
      <c r="DT10" s="1863">
        <f>'B3 - COVID-19'!O10</f>
        <v>14.46139</v>
      </c>
      <c r="DU10" s="1863">
        <f>'B3 - COVID-19'!P10</f>
        <v>685.25387666666643</v>
      </c>
      <c r="DV10" s="608"/>
      <c r="DW10" s="1116"/>
      <c r="DY10" s="1987"/>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20"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7"/>
      <c r="EX10" s="3074"/>
      <c r="EY10" s="1700" t="str">
        <f>'Table C4 Tracker'!B10</f>
        <v>Variance</v>
      </c>
      <c r="EZ10" s="1109">
        <f>'Table C4 Tracker'!C10</f>
        <v>0</v>
      </c>
      <c r="FA10" s="1703">
        <f>'Table C4 Tracker'!D10</f>
        <v>0</v>
      </c>
      <c r="FB10" s="1703">
        <f>'Table C4 Tracker'!E10</f>
        <v>0</v>
      </c>
      <c r="FC10" s="1703">
        <f>'Table C4 Tracker'!F10</f>
        <v>0</v>
      </c>
      <c r="FD10" s="1703">
        <f>'Table C4 Tracker'!G10</f>
        <v>0</v>
      </c>
      <c r="FE10" s="1703">
        <f>'Table C4 Tracker'!H10</f>
        <v>0</v>
      </c>
      <c r="FF10" s="1703">
        <f>'Table C4 Tracker'!I10</f>
        <v>0</v>
      </c>
      <c r="FG10" s="1703">
        <f>'Table C4 Tracker'!J10</f>
        <v>0</v>
      </c>
      <c r="FH10" s="1703">
        <f>'Table C4 Tracker'!K10</f>
        <v>0</v>
      </c>
      <c r="FI10" s="1703">
        <f>'Table C4 Tracker'!L10</f>
        <v>0</v>
      </c>
      <c r="FJ10" s="1703">
        <f>'Table C4 Tracker'!M10</f>
        <v>0</v>
      </c>
      <c r="FK10" s="1703">
        <f>'Table C4 Tracker'!N10</f>
        <v>0</v>
      </c>
      <c r="FL10" s="1710">
        <f>'Table C4 Tracker'!O10</f>
        <v>0</v>
      </c>
      <c r="FM10" s="1701">
        <f>'Table C4 Tracker'!P10</f>
        <v>0</v>
      </c>
      <c r="FN10" s="1702">
        <f>'Table C4 Tracker'!Q10</f>
        <v>0</v>
      </c>
      <c r="FO10" s="1710">
        <f>'Table C4 Tracker'!R10</f>
        <v>0</v>
      </c>
      <c r="FP10" s="1710">
        <f>'Table C4 Tracker'!S10</f>
        <v>0</v>
      </c>
      <c r="FQ10" s="1710">
        <f>'Table C4 Tracker'!T10</f>
        <v>0</v>
      </c>
      <c r="FR10" s="1710">
        <f>'Table C4 Tracker'!U10</f>
        <v>0</v>
      </c>
      <c r="FS10" s="2021"/>
      <c r="FU10" s="1940"/>
      <c r="FV10" s="2000">
        <f>'D - Welsh NHS Assumptions'!B10</f>
        <v>0</v>
      </c>
      <c r="FW10" s="2022" t="str">
        <f>'D - Welsh NHS Assumptions'!C10</f>
        <v>£'000</v>
      </c>
      <c r="FX10" s="2022" t="str">
        <f>'D - Welsh NHS Assumptions'!D10</f>
        <v>£'000</v>
      </c>
      <c r="FY10" s="2022" t="str">
        <f>'D - Welsh NHS Assumptions'!E10</f>
        <v>£'000</v>
      </c>
      <c r="FZ10" s="2023"/>
      <c r="GA10" s="2022" t="str">
        <f>'D - Welsh NHS Assumptions'!G10</f>
        <v>£'000</v>
      </c>
      <c r="GB10" s="2022" t="str">
        <f>'D - Welsh NHS Assumptions'!H10</f>
        <v>£'000</v>
      </c>
      <c r="GC10" s="2022" t="str">
        <f>'D - Welsh NHS Assumptions'!I10</f>
        <v>£'000</v>
      </c>
      <c r="GD10" s="1940"/>
      <c r="GF10" s="2024">
        <f>'E - Resource Limits'!A10</f>
        <v>2</v>
      </c>
      <c r="GG10" s="2024" t="str">
        <f>'E - Resource Limits'!B10</f>
        <v>Total Confirmed Funding</v>
      </c>
      <c r="GH10" s="2025">
        <f>'E - Resource Limits'!C10</f>
        <v>0</v>
      </c>
      <c r="GI10" s="2025">
        <f>'E - Resource Limits'!D10</f>
        <v>0</v>
      </c>
      <c r="GJ10" s="2025">
        <f>'E - Resource Limits'!E10</f>
        <v>0</v>
      </c>
      <c r="GK10" s="2025">
        <f>'E - Resource Limits'!F10</f>
        <v>0</v>
      </c>
      <c r="GL10" s="2026">
        <f>'E - Resource Limits'!G10</f>
        <v>0</v>
      </c>
      <c r="GM10" s="2027"/>
      <c r="GN10" s="2028">
        <f>'E - Resource Limits'!I10</f>
        <v>0</v>
      </c>
      <c r="GO10" s="2028">
        <f>'E - Resource Limits'!J10</f>
        <v>0</v>
      </c>
      <c r="GP10" s="2028">
        <f>'E - Resource Limits'!K10</f>
        <v>0</v>
      </c>
      <c r="GQ10" s="1745"/>
      <c r="GR10" s="1935"/>
      <c r="GT10" s="1657">
        <f>'E1 - Invoiced Income'!A10</f>
        <v>1</v>
      </c>
      <c r="GU10" s="1655" t="str">
        <f>'E1 - Invoiced Income'!B10</f>
        <v>Agreed full year income</v>
      </c>
      <c r="GV10" s="1771">
        <f>'E1 - Invoiced Income'!C10</f>
        <v>0</v>
      </c>
      <c r="GW10" s="1771">
        <f>'E1 - Invoiced Income'!D10</f>
        <v>0</v>
      </c>
      <c r="GX10" s="1771">
        <f>'E1 - Invoiced Income'!E10</f>
        <v>0</v>
      </c>
      <c r="GY10" s="1771">
        <f>'E1 - Invoiced Income'!F10</f>
        <v>0</v>
      </c>
      <c r="GZ10" s="1771">
        <f>'E1 - Invoiced Income'!G10</f>
        <v>0</v>
      </c>
      <c r="HA10" s="1771">
        <f>'E1 - Invoiced Income'!H10</f>
        <v>0</v>
      </c>
      <c r="HB10" s="1771">
        <f>'E1 - Invoiced Income'!I10</f>
        <v>0</v>
      </c>
      <c r="HC10" s="1771">
        <f>'E1 - Invoiced Income'!J10</f>
        <v>0</v>
      </c>
      <c r="HD10" s="1771">
        <f>'E1 - Invoiced Income'!K10</f>
        <v>0</v>
      </c>
      <c r="HE10" s="1771">
        <f>'E1 - Invoiced Income'!L10</f>
        <v>0</v>
      </c>
      <c r="HF10" s="1771">
        <f>'E1 - Invoiced Income'!M10</f>
        <v>0</v>
      </c>
      <c r="HG10" s="1771">
        <f>'E1 - Invoiced Income'!N10</f>
        <v>0</v>
      </c>
      <c r="HH10" s="1771">
        <f>'E1 - Invoiced Income'!O10</f>
        <v>0</v>
      </c>
      <c r="HI10" s="1771">
        <f>'E1 - Invoiced Income'!P10</f>
        <v>0</v>
      </c>
      <c r="HJ10" s="1771">
        <f>'E1 - Invoiced Income'!R10</f>
        <v>0</v>
      </c>
      <c r="HK10" s="1771">
        <f>'E1 - Invoiced Income'!S10</f>
        <v>0</v>
      </c>
      <c r="HL10" s="1659">
        <f>'E1 - Invoiced Income'!T10</f>
        <v>0</v>
      </c>
      <c r="HM10" s="157">
        <f>'E1 - Invoiced Income'!U10</f>
        <v>0</v>
      </c>
      <c r="HO10" s="2007">
        <f>'F - SoFP'!A10</f>
        <v>2</v>
      </c>
      <c r="HP10" s="2008" t="str">
        <f>'F - SoFP'!B10</f>
        <v>Intangible assets</v>
      </c>
      <c r="HQ10" s="2009">
        <f>'F - SoFP'!C10</f>
        <v>0</v>
      </c>
      <c r="HR10" s="2010">
        <f>'F - SoFP'!D10</f>
        <v>0</v>
      </c>
      <c r="HS10" s="2010">
        <f>'F - SoFP'!E10</f>
        <v>0</v>
      </c>
      <c r="HT10" s="1946"/>
      <c r="HV10" s="2014"/>
      <c r="HW10" s="2029" t="str">
        <f>'G - Cash Flow'!B10</f>
        <v>RECEIPTS</v>
      </c>
      <c r="HX10" s="2014"/>
      <c r="HY10" s="2014"/>
      <c r="HZ10" s="2014"/>
      <c r="IA10" s="2014"/>
      <c r="IB10" s="2014"/>
      <c r="IC10" s="2014"/>
      <c r="ID10" s="2014"/>
      <c r="IE10" s="2014"/>
      <c r="IF10" s="2014"/>
      <c r="IG10" s="2014"/>
      <c r="IH10" s="2014"/>
      <c r="II10" s="2014"/>
      <c r="IJ10" s="2014"/>
      <c r="IK10" s="1942"/>
      <c r="IM10" s="119">
        <f>'H - PSPP'!A10</f>
        <v>3</v>
      </c>
      <c r="IN10" s="386" t="str">
        <f>'H - PSPP'!B10</f>
        <v>% of Non NHS Invoices Paid Within 30 Days - By Value</v>
      </c>
      <c r="IO10" s="957">
        <f>'H - PSPP'!C10</f>
        <v>0.95</v>
      </c>
      <c r="IP10" s="1760">
        <f>'H - PSPP'!D10</f>
        <v>0</v>
      </c>
      <c r="IQ10" s="959">
        <f>'H - PSPP'!E10</f>
        <v>-0.95</v>
      </c>
      <c r="IR10" s="1760">
        <f>'H - PSPP'!F10</f>
        <v>0</v>
      </c>
      <c r="IS10" s="959">
        <f>'H - PSPP'!G10</f>
        <v>-0.95</v>
      </c>
      <c r="IT10" s="1760">
        <f>'H - PSPP'!H10</f>
        <v>0</v>
      </c>
      <c r="IU10" s="959">
        <f>'H - PSPP'!I10</f>
        <v>-0.95</v>
      </c>
      <c r="IV10" s="1760">
        <f>'H - PSPP'!J10</f>
        <v>0</v>
      </c>
      <c r="IW10" s="959">
        <f>'H - PSPP'!K10</f>
        <v>-0.95</v>
      </c>
      <c r="IX10" s="1760">
        <f>'H - PSPP'!L10</f>
        <v>0</v>
      </c>
      <c r="IY10" s="959">
        <f>'H - PSPP'!M10</f>
        <v>-0.95</v>
      </c>
      <c r="IZ10" s="1760">
        <f>'H - PSPP'!N10</f>
        <v>0</v>
      </c>
      <c r="JA10" s="959">
        <f>'H - PSPP'!O10</f>
        <v>-0.95</v>
      </c>
      <c r="JB10" s="1745"/>
      <c r="JD10" s="1990"/>
      <c r="JE10" s="1991"/>
      <c r="JF10" s="3091" t="str">
        <f>'I - Capital RLM'!C10</f>
        <v>Year To Date</v>
      </c>
      <c r="JG10" s="3092"/>
      <c r="JH10" s="3093"/>
      <c r="JI10" s="2030">
        <f>'I - Capital RLM'!F10</f>
        <v>0</v>
      </c>
      <c r="JJ10" s="3091" t="str">
        <f>'I - Capital RLM'!G10</f>
        <v>Forecast</v>
      </c>
      <c r="JK10" s="3092"/>
      <c r="JL10" s="3093"/>
      <c r="JM10" s="1944"/>
      <c r="JN10" s="1944"/>
      <c r="JO10" s="1944"/>
      <c r="JQ10" s="2031"/>
      <c r="JR10" s="2032" t="str">
        <f>'J - Capital In Year Schemes'!B10</f>
        <v>Schemes:</v>
      </c>
      <c r="JS10" s="1964" t="str">
        <f>'J - Capital In Year Schemes'!C10</f>
        <v>Manager</v>
      </c>
      <c r="JT10" s="1963" t="str">
        <f>'J - Capital In Year Schemes'!D10</f>
        <v>Min.</v>
      </c>
      <c r="JU10" s="1963" t="str">
        <f>'J - Capital In Year Schemes'!E10</f>
        <v>Max.</v>
      </c>
      <c r="JV10" s="1963" t="str">
        <f>'J - Capital In Year Schemes'!F10</f>
        <v>April</v>
      </c>
      <c r="JW10" s="1963" t="str">
        <f>'J - Capital In Year Schemes'!G10</f>
        <v>May</v>
      </c>
      <c r="JX10" s="1963" t="str">
        <f>'J - Capital In Year Schemes'!H10</f>
        <v>Jun</v>
      </c>
      <c r="JY10" s="1963" t="str">
        <f>'J - Capital In Year Schemes'!I10</f>
        <v>Jul</v>
      </c>
      <c r="JZ10" s="1963" t="str">
        <f>'J - Capital In Year Schemes'!J10</f>
        <v>Aug</v>
      </c>
      <c r="KA10" s="1963" t="str">
        <f>'J - Capital In Year Schemes'!K10</f>
        <v>Sep</v>
      </c>
      <c r="KB10" s="1963" t="str">
        <f>'J - Capital In Year Schemes'!L10</f>
        <v>Oct</v>
      </c>
      <c r="KC10" s="1963" t="str">
        <f>'J - Capital In Year Schemes'!M10</f>
        <v>Nov</v>
      </c>
      <c r="KD10" s="1963" t="str">
        <f>'J - Capital In Year Schemes'!N10</f>
        <v>Dec</v>
      </c>
      <c r="KE10" s="1963" t="str">
        <f>'J - Capital In Year Schemes'!O10</f>
        <v>Jan</v>
      </c>
      <c r="KF10" s="1963" t="str">
        <f>'J - Capital In Year Schemes'!P10</f>
        <v>Feb</v>
      </c>
      <c r="KG10" s="1963" t="str">
        <f>'J - Capital In Year Schemes'!Q10</f>
        <v>Mar</v>
      </c>
      <c r="KH10" s="1958" t="str">
        <f>'J - Capital In Year Schemes'!R10</f>
        <v>YTD</v>
      </c>
      <c r="KI10" s="1958" t="str">
        <f>'J - Capital In Year Schemes'!S10</f>
        <v>Total</v>
      </c>
      <c r="KJ10" s="1963" t="str">
        <f>'J - Capital In Year Schemes'!T10</f>
        <v>Level</v>
      </c>
      <c r="KK10" s="1944"/>
      <c r="KM10" s="2013"/>
      <c r="KN10" s="2000"/>
      <c r="KO10" s="2001" t="str">
        <f>'K - Capital Disposals'!C10</f>
        <v>MM/YY (text format, e.g. Apr 23)</v>
      </c>
      <c r="KP10" s="2001" t="str">
        <f>'K - Capital Disposals'!D10</f>
        <v>MM/YY (text format, e.g. Apr 23)</v>
      </c>
      <c r="KQ10" s="2001" t="str">
        <f>'K - Capital Disposals'!E10</f>
        <v>MM/YY (text format, e.g. Feb 24)</v>
      </c>
      <c r="KR10" s="2033" t="str">
        <f>'K - Capital Disposals'!F10</f>
        <v>£'000</v>
      </c>
      <c r="KS10" s="2033" t="str">
        <f>'K - Capital Disposals'!G10</f>
        <v>£'000</v>
      </c>
      <c r="KT10" s="2033" t="str">
        <f>'K - Capital Disposals'!H10</f>
        <v>£'000</v>
      </c>
      <c r="KU10" s="2033" t="str">
        <f>'K - Capital Disposals'!I10</f>
        <v>£'000</v>
      </c>
      <c r="KV10" s="3094"/>
      <c r="KW10" s="3095"/>
      <c r="KX10" s="3095"/>
      <c r="KY10" s="3095"/>
      <c r="KZ10" s="3095"/>
      <c r="LA10" s="3095"/>
      <c r="LB10" s="3096"/>
      <c r="LC10" s="1935"/>
      <c r="LE10" s="1627" t="str">
        <f>'L - EFL'!A10</f>
        <v>REF</v>
      </c>
      <c r="LF10" s="1628" t="str">
        <f>'L - EFL'!B10</f>
        <v>NET FINANCIAL CHANGE</v>
      </c>
      <c r="LG10" s="1627" t="str">
        <f>'L - EFL'!C10</f>
        <v>A</v>
      </c>
      <c r="LH10" s="1627" t="str">
        <f>'L - EFL'!D10</f>
        <v>B</v>
      </c>
      <c r="LI10" s="1626" t="str">
        <f>'L - EFL'!E10</f>
        <v>C</v>
      </c>
      <c r="LJ10" s="2034" t="str">
        <f>'L - EFL'!F10</f>
        <v>D</v>
      </c>
      <c r="LL10" s="814"/>
      <c r="LM10" s="1761">
        <f>'M - Aged Debtors'!B10</f>
        <v>0</v>
      </c>
      <c r="LN10" s="1762">
        <f>'M - Aged Debtors'!C10</f>
        <v>0</v>
      </c>
      <c r="LO10" s="1763">
        <f>'M - Aged Debtors'!D10</f>
        <v>0</v>
      </c>
      <c r="LP10" s="1764">
        <f>'M - Aged Debtors'!E10</f>
        <v>0</v>
      </c>
      <c r="LQ10" s="1972">
        <f>'M - Aged Debtors'!F10</f>
        <v>0</v>
      </c>
      <c r="LR10" s="1166" t="str">
        <f>'M - Aged Debtors'!G10</f>
        <v/>
      </c>
      <c r="LS10" s="829" t="str">
        <f>'M - Aged Debtors'!H10</f>
        <v/>
      </c>
      <c r="LT10" s="829" t="str">
        <f>'M - Aged Debtors'!I10</f>
        <v/>
      </c>
      <c r="LU10" s="830" t="str">
        <f>'M - Aged Debtors'!J10</f>
        <v/>
      </c>
      <c r="LV10" s="1757">
        <f>'M - Aged Debtors'!K10</f>
        <v>0</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9" t="str">
        <f>'O - Dental'!A10</f>
        <v>Gross Contract Value - General Dental Services</v>
      </c>
      <c r="MI10" s="700"/>
      <c r="MJ10" s="701">
        <f>'O - Dental'!C10</f>
        <v>2</v>
      </c>
      <c r="MK10" s="701">
        <f>'O - Dental'!D10</f>
        <v>0</v>
      </c>
      <c r="ML10" s="1772">
        <f>'O - Dental'!E10</f>
        <v>0</v>
      </c>
      <c r="MM10" s="1772">
        <f>'O - Dental'!F10</f>
        <v>0</v>
      </c>
      <c r="MN10" s="661">
        <f>'O - Dental'!G10</f>
        <v>0</v>
      </c>
      <c r="MO10" s="308"/>
      <c r="MP10" s="1765">
        <f>'O - Dental'!I10</f>
        <v>0</v>
      </c>
      <c r="MR10" s="684"/>
      <c r="MS10" s="3033" t="str">
        <f>'P - Ringfenced'!B10</f>
        <v>Value Based Funding (£14m)</v>
      </c>
      <c r="MT10" s="1101" t="str">
        <f>'P - Ringfenced'!C10</f>
        <v>Plan</v>
      </c>
      <c r="MU10" s="2655">
        <f>'P - Ringfenced'!D10</f>
        <v>0</v>
      </c>
      <c r="MV10" s="2655">
        <f>'P - Ringfenced'!E10</f>
        <v>0</v>
      </c>
      <c r="MW10" s="2693">
        <f>'P - Ringfenced'!F10</f>
        <v>0</v>
      </c>
      <c r="MX10" s="2693">
        <f>'P - Ringfenced'!G10</f>
        <v>0</v>
      </c>
      <c r="MY10" s="2693">
        <f>'P - Ringfenced'!H10</f>
        <v>0</v>
      </c>
      <c r="MZ10" s="2693">
        <f>'P - Ringfenced'!I10</f>
        <v>0</v>
      </c>
      <c r="NA10" s="2693">
        <f>'P - Ringfenced'!J10</f>
        <v>0</v>
      </c>
      <c r="NB10" s="2693">
        <f>'P - Ringfenced'!K10</f>
        <v>0</v>
      </c>
      <c r="NC10" s="2693">
        <f>'P - Ringfenced'!L10</f>
        <v>0</v>
      </c>
      <c r="ND10" s="2693">
        <f>'P - Ringfenced'!M10</f>
        <v>0</v>
      </c>
      <c r="NE10" s="2693">
        <f>'P - Ringfenced'!N10</f>
        <v>0</v>
      </c>
      <c r="NF10" s="2693">
        <f>'P - Ringfenced'!O10</f>
        <v>0</v>
      </c>
      <c r="NG10" s="2693">
        <f>'P - Ringfenced'!P10</f>
        <v>0</v>
      </c>
      <c r="NH10" s="2695">
        <f>'P - Ringfenced'!Q10</f>
        <v>0</v>
      </c>
      <c r="NI10" s="1863">
        <f>'P - Ringfenced'!R10</f>
        <v>0</v>
      </c>
      <c r="NJ10" s="1864">
        <f>'P - Ringfenced'!S10</f>
        <v>0</v>
      </c>
      <c r="NK10" s="2860"/>
      <c r="NL10" s="684"/>
    </row>
    <row r="11" spans="1:376" ht="20.149999999999999" customHeight="1" thickBot="1">
      <c r="A11" s="2035">
        <f>Summary!A11</f>
        <v>1</v>
      </c>
      <c r="B11" s="2036" t="str">
        <f>Summary!B11</f>
        <v>Under / (Over) Performance</v>
      </c>
      <c r="C11" s="2037">
        <f>Summary!C11</f>
        <v>50</v>
      </c>
      <c r="D11" s="2037">
        <f>Summary!D11</f>
        <v>-1.8999998428625986E-4</v>
      </c>
      <c r="E11" s="1922"/>
      <c r="F11" s="1922"/>
      <c r="G11" s="1922"/>
      <c r="H11" s="1922"/>
      <c r="I11" s="1745"/>
      <c r="J11" s="1745"/>
      <c r="K11" s="1745"/>
      <c r="M11" s="950">
        <f>'A - Movement'!A11</f>
        <v>1</v>
      </c>
      <c r="N11" s="991" t="str">
        <f>'A - Movement'!B11</f>
        <v>Underlying Position b/fwd from Previous Year -  must agree to M12 MMR (Deficit - Negative Value)</v>
      </c>
      <c r="O11" s="1131">
        <f>'A - Movement'!C11</f>
        <v>0</v>
      </c>
      <c r="P11" s="1131">
        <f>'A - Movement'!D11</f>
        <v>0</v>
      </c>
      <c r="Q11" s="1131">
        <f>'A - Movement'!E11</f>
        <v>0</v>
      </c>
      <c r="R11" s="1131">
        <f>'A - Movement'!F11</f>
        <v>0</v>
      </c>
      <c r="S11" s="1745"/>
      <c r="T11" s="1928"/>
      <c r="U11" s="950">
        <f>'A - Movement'!I11</f>
        <v>1</v>
      </c>
      <c r="V11" s="991" t="str">
        <f>N11</f>
        <v>Underlying Position b/fwd from Previous Year -  must agree to M12 MMR (Deficit - Negative Value)</v>
      </c>
      <c r="W11" s="954">
        <f>'A - Movement'!J11</f>
        <v>0</v>
      </c>
      <c r="X11" s="954">
        <f>'A - Movement'!K11</f>
        <v>0</v>
      </c>
      <c r="Y11" s="954">
        <f>'A - Movement'!L11</f>
        <v>0</v>
      </c>
      <c r="Z11" s="954">
        <f>'A - Movement'!M11</f>
        <v>0</v>
      </c>
      <c r="AA11" s="954">
        <f>'A - Movement'!N11</f>
        <v>0</v>
      </c>
      <c r="AB11" s="954">
        <f>'A - Movement'!O11</f>
        <v>0</v>
      </c>
      <c r="AC11" s="954">
        <f>'A - Movement'!P11</f>
        <v>0</v>
      </c>
      <c r="AD11" s="954">
        <f>'A - Movement'!Q11</f>
        <v>0</v>
      </c>
      <c r="AE11" s="954">
        <f>'A - Movement'!R11</f>
        <v>0</v>
      </c>
      <c r="AF11" s="954">
        <f>'A - Movement'!S11</f>
        <v>0</v>
      </c>
      <c r="AG11" s="954">
        <f>'A - Movement'!T11</f>
        <v>0</v>
      </c>
      <c r="AH11" s="954">
        <f>'A - Movement'!U11</f>
        <v>0</v>
      </c>
      <c r="AI11" s="1131">
        <f>'A - Movement'!V11</f>
        <v>0</v>
      </c>
      <c r="AJ11" s="1131">
        <f>'A - Movement'!W11</f>
        <v>0</v>
      </c>
      <c r="AK11" s="1131">
        <f t="shared" ref="AK11:AK24" si="1">P11</f>
        <v>0</v>
      </c>
      <c r="AL11" s="1131">
        <f t="shared" ref="AL11:AL24" si="2">Q11</f>
        <v>0</v>
      </c>
      <c r="AM11" s="1131">
        <f t="shared" ref="AM11:AM24" si="3">R11</f>
        <v>0</v>
      </c>
      <c r="AN11" s="1745"/>
      <c r="AO11" s="1928"/>
      <c r="AP11" s="1400">
        <f>'A1 - Underlying Position'!A12</f>
        <v>1</v>
      </c>
      <c r="AQ11" s="1372" t="str">
        <f>'A1 - Underlying Position'!B12</f>
        <v xml:space="preserve">Pay - Administrative, Clerical &amp; Board Members </v>
      </c>
      <c r="AR11" s="1773">
        <f>'A1 - Underlying Position'!C12</f>
        <v>0</v>
      </c>
      <c r="AS11" s="1774">
        <f>'A1 - Underlying Position'!D12</f>
        <v>0</v>
      </c>
      <c r="AT11" s="1774">
        <f>'A1 - Underlying Position'!E12</f>
        <v>0</v>
      </c>
      <c r="AU11" s="73">
        <f>'A1 - Underlying Position'!F12</f>
        <v>0</v>
      </c>
      <c r="AV11" s="1775">
        <f>'A1 - Underlying Position'!G12</f>
        <v>0</v>
      </c>
      <c r="AW11" s="73">
        <f>'A1 - Underlying Position'!H12</f>
        <v>0</v>
      </c>
      <c r="AX11" s="1745"/>
      <c r="AZ11" s="1198"/>
      <c r="BA11" s="386" t="str">
        <f>'A2 - Risks'!B11</f>
        <v>Risks (negative values)</v>
      </c>
      <c r="BB11" s="1199"/>
      <c r="BC11" s="1032"/>
      <c r="BE11" s="2039">
        <f>'B - Monthly Positions'!A11</f>
        <v>1</v>
      </c>
      <c r="BF11" s="1063" t="str">
        <f>'B - Monthly Positions'!B11</f>
        <v>Revenue Resource Limit</v>
      </c>
      <c r="BG11" s="1064" t="str">
        <f>'B - Monthly Positions'!C11</f>
        <v>Actual/F'cast</v>
      </c>
      <c r="BH11" s="1773">
        <f>'B - Monthly Positions'!D11</f>
        <v>0</v>
      </c>
      <c r="BI11" s="1773">
        <f>'B - Monthly Positions'!E11</f>
        <v>0</v>
      </c>
      <c r="BJ11" s="1773">
        <f>'B - Monthly Positions'!F11</f>
        <v>0</v>
      </c>
      <c r="BK11" s="1773">
        <f>'B - Monthly Positions'!G11</f>
        <v>0</v>
      </c>
      <c r="BL11" s="1773">
        <f>'B - Monthly Positions'!H11</f>
        <v>0</v>
      </c>
      <c r="BM11" s="1773">
        <f>'B - Monthly Positions'!I11</f>
        <v>0</v>
      </c>
      <c r="BN11" s="1773">
        <f>'B - Monthly Positions'!J11</f>
        <v>0</v>
      </c>
      <c r="BO11" s="1773">
        <f>'B - Monthly Positions'!K11</f>
        <v>0</v>
      </c>
      <c r="BP11" s="1773">
        <f>'B - Monthly Positions'!L11</f>
        <v>0</v>
      </c>
      <c r="BQ11" s="1773">
        <f>'B - Monthly Positions'!M11</f>
        <v>0</v>
      </c>
      <c r="BR11" s="1773">
        <f>'B - Monthly Positions'!N11</f>
        <v>0</v>
      </c>
      <c r="BS11" s="1773">
        <f>'B - Monthly Positions'!O11</f>
        <v>0</v>
      </c>
      <c r="BT11" s="1773">
        <f>'B - Monthly Positions'!P11</f>
        <v>0</v>
      </c>
      <c r="BU11" s="1773">
        <f>'B - Monthly Positions'!Q11</f>
        <v>0</v>
      </c>
      <c r="BV11" s="1643"/>
      <c r="BW11" s="1875"/>
      <c r="BX11" s="890">
        <f>' Table Z Net Exp Profiles'!A11</f>
        <v>2</v>
      </c>
      <c r="BY11" s="2514" t="str">
        <f>' Table Z Net Exp Profiles'!B11</f>
        <v>Gross Pay Expenditure - Covid-19 - Current Plan</v>
      </c>
      <c r="BZ11" s="891">
        <f>' Table Z Net Exp Profiles'!C11</f>
        <v>0</v>
      </c>
      <c r="CA11" s="892">
        <f>' Table Z Net Exp Profiles'!D11</f>
        <v>0</v>
      </c>
      <c r="CB11" s="892">
        <f>' Table Z Net Exp Profiles'!E11</f>
        <v>0</v>
      </c>
      <c r="CC11" s="892">
        <f>' Table Z Net Exp Profiles'!F11</f>
        <v>0</v>
      </c>
      <c r="CD11" s="892">
        <f>' Table Z Net Exp Profiles'!G11</f>
        <v>0</v>
      </c>
      <c r="CE11" s="892">
        <f>' Table Z Net Exp Profiles'!H11</f>
        <v>0</v>
      </c>
      <c r="CF11" s="892">
        <f>' Table Z Net Exp Profiles'!I11</f>
        <v>0</v>
      </c>
      <c r="CG11" s="892">
        <f>' Table Z Net Exp Profiles'!J11</f>
        <v>0</v>
      </c>
      <c r="CH11" s="892">
        <f>' Table Z Net Exp Profiles'!K11</f>
        <v>0</v>
      </c>
      <c r="CI11" s="892">
        <f>' Table Z Net Exp Profiles'!L11</f>
        <v>0</v>
      </c>
      <c r="CJ11" s="892">
        <f>' Table Z Net Exp Profiles'!M11</f>
        <v>0</v>
      </c>
      <c r="CK11" s="1066">
        <f>' Table Z Net Exp Profiles'!N11</f>
        <v>0</v>
      </c>
      <c r="CL11" s="1233">
        <f>' Table Z Net Exp Profiles'!O11</f>
        <v>0</v>
      </c>
      <c r="CM11" s="1215">
        <f>' Table Z Net Exp Profiles'!P11</f>
        <v>0</v>
      </c>
      <c r="CO11" s="1329">
        <f>'B2 - Pay &amp; Agency'!A11</f>
        <v>2</v>
      </c>
      <c r="CP11" s="1333" t="str">
        <f>'B2 - Pay &amp; Agency'!B11</f>
        <v xml:space="preserve">Medical &amp; Dental </v>
      </c>
      <c r="CQ11" s="1776">
        <f>'B2 - Pay &amp; Agency'!C11</f>
        <v>1225</v>
      </c>
      <c r="CR11" s="1777">
        <f>'B2 - Pay &amp; Agency'!D11</f>
        <v>1261</v>
      </c>
      <c r="CS11" s="1777">
        <f>'B2 - Pay &amp; Agency'!E11</f>
        <v>1261</v>
      </c>
      <c r="CT11" s="1777">
        <f>'B2 - Pay &amp; Agency'!F11</f>
        <v>1261</v>
      </c>
      <c r="CU11" s="1777">
        <f>'B2 - Pay &amp; Agency'!G11</f>
        <v>1261</v>
      </c>
      <c r="CV11" s="1777">
        <f>'B2 - Pay &amp; Agency'!H11</f>
        <v>1266</v>
      </c>
      <c r="CW11" s="1777">
        <f>'B2 - Pay &amp; Agency'!I11</f>
        <v>1261</v>
      </c>
      <c r="CX11" s="1777">
        <f>'B2 - Pay &amp; Agency'!J11</f>
        <v>1261</v>
      </c>
      <c r="CY11" s="1777">
        <f>'B2 - Pay &amp; Agency'!K11</f>
        <v>1261</v>
      </c>
      <c r="CZ11" s="1777">
        <f>'B2 - Pay &amp; Agency'!L11</f>
        <v>1261</v>
      </c>
      <c r="DA11" s="1777">
        <f>'B2 - Pay &amp; Agency'!M11</f>
        <v>1261</v>
      </c>
      <c r="DB11" s="1778">
        <f>'B2 - Pay &amp; Agency'!N11</f>
        <v>1261</v>
      </c>
      <c r="DC11" s="1324">
        <f>'B2 - Pay &amp; Agency'!O11</f>
        <v>1225</v>
      </c>
      <c r="DD11" s="1325">
        <f>'B2 - Pay &amp; Agency'!P11</f>
        <v>15101</v>
      </c>
      <c r="DF11" s="2852">
        <f>'B3 - COVID-19'!A11</f>
        <v>4</v>
      </c>
      <c r="DG11" s="2845" t="str">
        <f>'B3 - COVID-19'!B11</f>
        <v xml:space="preserve">Medical &amp; Dental </v>
      </c>
      <c r="DH11" s="1903">
        <f>'B3 - COVID-19'!C11</f>
        <v>0</v>
      </c>
      <c r="DI11" s="1903">
        <f>'B3 - COVID-19'!D11</f>
        <v>0</v>
      </c>
      <c r="DJ11" s="1903">
        <f>'B3 - COVID-19'!E11</f>
        <v>0</v>
      </c>
      <c r="DK11" s="1903">
        <f>'B3 - COVID-19'!F11</f>
        <v>0</v>
      </c>
      <c r="DL11" s="1903">
        <f>'B3 - COVID-19'!G11</f>
        <v>0</v>
      </c>
      <c r="DM11" s="1903">
        <f>'B3 - COVID-19'!H11</f>
        <v>0</v>
      </c>
      <c r="DN11" s="1903">
        <f>'B3 - COVID-19'!I11</f>
        <v>0</v>
      </c>
      <c r="DO11" s="1903">
        <f>'B3 - COVID-19'!J11</f>
        <v>0</v>
      </c>
      <c r="DP11" s="1903">
        <f>'B3 - COVID-19'!K11</f>
        <v>0</v>
      </c>
      <c r="DQ11" s="1903">
        <f>'B3 - COVID-19'!L11</f>
        <v>0</v>
      </c>
      <c r="DR11" s="1903">
        <f>'B3 - COVID-19'!M11</f>
        <v>0</v>
      </c>
      <c r="DS11" s="1903">
        <f>'B3 - COVID-19'!N11</f>
        <v>0</v>
      </c>
      <c r="DT11" s="1863">
        <f>'B3 - COVID-19'!O11</f>
        <v>0</v>
      </c>
      <c r="DU11" s="1863">
        <f>'B3 - COVID-19'!P11</f>
        <v>0</v>
      </c>
      <c r="DV11" s="608"/>
      <c r="DW11" s="1116"/>
      <c r="DY11" s="2040"/>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1" t="str">
        <f>'C, C1, C2&amp; C3 - Savings Schemes'!R11</f>
        <v>YTD variance as %age of YTD Budget/Plan</v>
      </c>
      <c r="EQ11" s="2042" t="str">
        <f>'C, C1, C2&amp; C3 - Savings Schemes'!S11</f>
        <v>Green</v>
      </c>
      <c r="ER11" s="2042" t="str">
        <f>'C, C1, C2&amp; C3 - Savings Schemes'!T11</f>
        <v>Amber</v>
      </c>
      <c r="ES11" s="2042" t="str">
        <f>'C, C1, C2&amp; C3 - Savings Schemes'!U11</f>
        <v>non recurring</v>
      </c>
      <c r="ET11" s="2042" t="str">
        <f>'C, C1, C2&amp; C3 - Savings Schemes'!V11</f>
        <v>recurring</v>
      </c>
      <c r="EU11" s="138"/>
      <c r="EV11" s="3062"/>
      <c r="EW11" s="2043"/>
      <c r="EX11" s="3074"/>
      <c r="EY11" s="1063" t="str">
        <f>'Table C4 Tracker'!B11</f>
        <v>In Year - Plan</v>
      </c>
      <c r="EZ11" s="1705">
        <f>'Table C4 Tracker'!C11</f>
        <v>0</v>
      </c>
      <c r="FA11" s="1706">
        <f>'Table C4 Tracker'!D11</f>
        <v>0</v>
      </c>
      <c r="FB11" s="1706">
        <f>'Table C4 Tracker'!E11</f>
        <v>0</v>
      </c>
      <c r="FC11" s="1706">
        <f>'Table C4 Tracker'!F11</f>
        <v>0</v>
      </c>
      <c r="FD11" s="1706">
        <f>'Table C4 Tracker'!G11</f>
        <v>0</v>
      </c>
      <c r="FE11" s="1706">
        <f>'Table C4 Tracker'!H11</f>
        <v>0</v>
      </c>
      <c r="FF11" s="1706">
        <f>'Table C4 Tracker'!I11</f>
        <v>0</v>
      </c>
      <c r="FG11" s="1706">
        <f>'Table C4 Tracker'!J11</f>
        <v>0</v>
      </c>
      <c r="FH11" s="1706">
        <f>'Table C4 Tracker'!K11</f>
        <v>0</v>
      </c>
      <c r="FI11" s="1706">
        <f>'Table C4 Tracker'!L11</f>
        <v>0</v>
      </c>
      <c r="FJ11" s="1706">
        <f>'Table C4 Tracker'!M11</f>
        <v>0</v>
      </c>
      <c r="FK11" s="1706">
        <f>'Table C4 Tracker'!N11</f>
        <v>0</v>
      </c>
      <c r="FL11" s="1709">
        <f>'Table C4 Tracker'!O11</f>
        <v>0</v>
      </c>
      <c r="FM11" s="1458">
        <f>'Table C4 Tracker'!P11</f>
        <v>0</v>
      </c>
      <c r="FN11" s="1707">
        <f>'Table C4 Tracker'!Q11</f>
        <v>0</v>
      </c>
      <c r="FO11" s="1709">
        <f>'Table C4 Tracker'!R11</f>
        <v>0</v>
      </c>
      <c r="FP11" s="1709">
        <f>'Table C4 Tracker'!S11</f>
        <v>0</v>
      </c>
      <c r="FQ11" s="1709">
        <f>'Table C4 Tracker'!T11</f>
        <v>0</v>
      </c>
      <c r="FR11" s="1709">
        <f>'Table C4 Tracker'!U11</f>
        <v>0</v>
      </c>
      <c r="FS11" s="2044"/>
      <c r="FU11" s="2045">
        <f>'D - Welsh NHS Assumptions'!A11</f>
        <v>1</v>
      </c>
      <c r="FV11" s="2046" t="str">
        <f>'D - Welsh NHS Assumptions'!B11</f>
        <v xml:space="preserve">Swansea Bay University </v>
      </c>
      <c r="FW11" s="2047">
        <f>'D - Welsh NHS Assumptions'!C11</f>
        <v>4414</v>
      </c>
      <c r="FX11" s="2047">
        <f>'D - Welsh NHS Assumptions'!D11</f>
        <v>0</v>
      </c>
      <c r="FY11" s="2048">
        <f>'D - Welsh NHS Assumptions'!E11</f>
        <v>4414</v>
      </c>
      <c r="FZ11" s="2023"/>
      <c r="GA11" s="2047">
        <f>'D - Welsh NHS Assumptions'!G11</f>
        <v>2132</v>
      </c>
      <c r="GB11" s="2047">
        <f>'D - Welsh NHS Assumptions'!H11</f>
        <v>1906</v>
      </c>
      <c r="GC11" s="2048">
        <f>'D - Welsh NHS Assumptions'!I11</f>
        <v>4038</v>
      </c>
      <c r="GD11" s="1940"/>
      <c r="GF11" s="1745"/>
      <c r="GG11" s="1745"/>
      <c r="GH11" s="1745"/>
      <c r="GI11" s="1745"/>
      <c r="GJ11" s="1745"/>
      <c r="GK11" s="1745"/>
      <c r="GL11" s="1745"/>
      <c r="GM11" s="1745"/>
      <c r="GN11" s="1745"/>
      <c r="GO11" s="1745"/>
      <c r="GP11" s="1745"/>
      <c r="GQ11" s="1745"/>
      <c r="GR11" s="1935"/>
      <c r="GT11" s="175"/>
      <c r="GU11" s="1660"/>
      <c r="GV11" s="43"/>
      <c r="GW11" s="43"/>
      <c r="GX11" s="43"/>
      <c r="GY11" s="43"/>
      <c r="GZ11" s="43"/>
      <c r="HA11" s="43"/>
      <c r="HB11" s="43"/>
      <c r="HC11" s="43"/>
      <c r="HD11" s="43"/>
      <c r="HE11" s="43"/>
      <c r="HF11" s="43"/>
      <c r="HG11" s="43"/>
      <c r="HH11" s="43"/>
      <c r="HI11" s="43"/>
      <c r="HJ11" s="43"/>
      <c r="HK11" s="43"/>
      <c r="HL11" s="197"/>
      <c r="HM11" s="186"/>
      <c r="HO11" s="2049">
        <f>'F - SoFP'!A11</f>
        <v>3</v>
      </c>
      <c r="HP11" s="2050" t="str">
        <f>'F - SoFP'!B11</f>
        <v>Trade and other receivables</v>
      </c>
      <c r="HQ11" s="2051">
        <f>'F - SoFP'!C11</f>
        <v>0</v>
      </c>
      <c r="HR11" s="2052">
        <f>'F - SoFP'!D11</f>
        <v>0</v>
      </c>
      <c r="HS11" s="2052">
        <f>'F - SoFP'!E11</f>
        <v>0</v>
      </c>
      <c r="HT11" s="1946"/>
      <c r="HV11" s="2053">
        <f>'G - Cash Flow'!A11</f>
        <v>1</v>
      </c>
      <c r="HW11" s="2000" t="str">
        <f>'G - Cash Flow'!B11</f>
        <v>WG Revenue Funding - Cash Limit (excluding NCL) - LHB &amp; SHA only</v>
      </c>
      <c r="HX11" s="2054">
        <f>'G - Cash Flow'!C11</f>
        <v>0</v>
      </c>
      <c r="HY11" s="2054">
        <f>'G - Cash Flow'!D11</f>
        <v>0</v>
      </c>
      <c r="HZ11" s="2054">
        <f>'G - Cash Flow'!E11</f>
        <v>0</v>
      </c>
      <c r="IA11" s="2054">
        <f>'G - Cash Flow'!F11</f>
        <v>0</v>
      </c>
      <c r="IB11" s="2054">
        <f>'G - Cash Flow'!G11</f>
        <v>0</v>
      </c>
      <c r="IC11" s="2054">
        <f>'G - Cash Flow'!H11</f>
        <v>0</v>
      </c>
      <c r="ID11" s="2054">
        <f>'G - Cash Flow'!I11</f>
        <v>0</v>
      </c>
      <c r="IE11" s="2054">
        <f>'G - Cash Flow'!J11</f>
        <v>0</v>
      </c>
      <c r="IF11" s="2054">
        <f>'G - Cash Flow'!K11</f>
        <v>0</v>
      </c>
      <c r="IG11" s="2054">
        <f>'G - Cash Flow'!L11</f>
        <v>0</v>
      </c>
      <c r="IH11" s="2054">
        <f>'G - Cash Flow'!M11</f>
        <v>0</v>
      </c>
      <c r="II11" s="2054">
        <f>'G - Cash Flow'!N11</f>
        <v>0</v>
      </c>
      <c r="IJ11" s="2055">
        <f>'G - Cash Flow'!O11</f>
        <v>0</v>
      </c>
      <c r="IK11" s="1942"/>
      <c r="IM11" s="119">
        <f>'H - PSPP'!A11</f>
        <v>4</v>
      </c>
      <c r="IN11" s="386" t="str">
        <f>'H - PSPP'!B11</f>
        <v>% of Non NHS Invoices Paid Within 30 Days - By Number</v>
      </c>
      <c r="IO11" s="957">
        <f>'H - PSPP'!C11</f>
        <v>0.95</v>
      </c>
      <c r="IP11" s="1760">
        <f>'H - PSPP'!D11</f>
        <v>0</v>
      </c>
      <c r="IQ11" s="959">
        <f>'H - PSPP'!E11</f>
        <v>-0.95</v>
      </c>
      <c r="IR11" s="1760">
        <f>'H - PSPP'!F11</f>
        <v>0</v>
      </c>
      <c r="IS11" s="959">
        <f>'H - PSPP'!G11</f>
        <v>-0.95</v>
      </c>
      <c r="IT11" s="1760">
        <f>'H - PSPP'!H11</f>
        <v>0</v>
      </c>
      <c r="IU11" s="959">
        <f>'H - PSPP'!I11</f>
        <v>-0.95</v>
      </c>
      <c r="IV11" s="1760">
        <f>'H - PSPP'!J11</f>
        <v>0</v>
      </c>
      <c r="IW11" s="959">
        <f>'H - PSPP'!K11</f>
        <v>-0.95</v>
      </c>
      <c r="IX11" s="1760">
        <f>'H - PSPP'!L11</f>
        <v>0</v>
      </c>
      <c r="IY11" s="959">
        <f>'H - PSPP'!M11</f>
        <v>-0.95</v>
      </c>
      <c r="IZ11" s="1760">
        <f>'H - PSPP'!N11</f>
        <v>0</v>
      </c>
      <c r="JA11" s="959">
        <f>'H - PSPP'!O11</f>
        <v>-0.95</v>
      </c>
      <c r="JB11" s="1745"/>
      <c r="JD11" s="2011" t="str">
        <f>'I - Capital RLM'!A11</f>
        <v>Ref:</v>
      </c>
      <c r="JE11" s="2032" t="str">
        <f>'I - Capital RLM'!B11</f>
        <v>Performance against CRL / CEL</v>
      </c>
      <c r="JF11" s="1958" t="str">
        <f>'I - Capital RLM'!C11</f>
        <v>Plan</v>
      </c>
      <c r="JG11" s="1958" t="str">
        <f>'I - Capital RLM'!D11</f>
        <v>Actual</v>
      </c>
      <c r="JH11" s="1960" t="str">
        <f>'I - Capital RLM'!E11</f>
        <v>Variance</v>
      </c>
      <c r="JI11" s="2056"/>
      <c r="JJ11" s="1958" t="str">
        <f>'I - Capital RLM'!G11</f>
        <v>Plan</v>
      </c>
      <c r="JK11" s="1958" t="str">
        <f>'I - Capital RLM'!H11</f>
        <v>F'cast</v>
      </c>
      <c r="JL11" s="1960" t="str">
        <f>'I - Capital RLM'!I11</f>
        <v>Variance</v>
      </c>
      <c r="JM11" s="1944"/>
      <c r="JN11" s="192" t="str">
        <f>'I - Capital RLM'!K11</f>
        <v>Risk</v>
      </c>
      <c r="JO11" s="1944"/>
      <c r="JQ11" s="2057"/>
      <c r="JR11" s="2058"/>
      <c r="JS11" s="2058"/>
      <c r="JT11" s="2059" t="str">
        <f>'J - Capital In Year Schemes'!D11</f>
        <v>£'000</v>
      </c>
      <c r="JU11" s="2059" t="str">
        <f>'J - Capital In Year Schemes'!E11</f>
        <v>£'000</v>
      </c>
      <c r="JV11" s="2059" t="str">
        <f>'J - Capital In Year Schemes'!F11</f>
        <v>£'000</v>
      </c>
      <c r="JW11" s="2059" t="str">
        <f>'J - Capital In Year Schemes'!G11</f>
        <v>£'000</v>
      </c>
      <c r="JX11" s="2059" t="str">
        <f>'J - Capital In Year Schemes'!H11</f>
        <v>£'000</v>
      </c>
      <c r="JY11" s="2059" t="str">
        <f>'J - Capital In Year Schemes'!I11</f>
        <v>£'000</v>
      </c>
      <c r="JZ11" s="2059" t="str">
        <f>'J - Capital In Year Schemes'!J11</f>
        <v>£'000</v>
      </c>
      <c r="KA11" s="2059" t="str">
        <f>'J - Capital In Year Schemes'!K11</f>
        <v>£'000</v>
      </c>
      <c r="KB11" s="2059" t="str">
        <f>'J - Capital In Year Schemes'!L11</f>
        <v>£'000</v>
      </c>
      <c r="KC11" s="2059" t="str">
        <f>'J - Capital In Year Schemes'!M11</f>
        <v>£'000</v>
      </c>
      <c r="KD11" s="2059" t="str">
        <f>'J - Capital In Year Schemes'!N11</f>
        <v>£'000</v>
      </c>
      <c r="KE11" s="2059" t="str">
        <f>'J - Capital In Year Schemes'!O11</f>
        <v>£'000</v>
      </c>
      <c r="KF11" s="2059" t="str">
        <f>'J - Capital In Year Schemes'!P11</f>
        <v>£'000</v>
      </c>
      <c r="KG11" s="2059" t="str">
        <f>'J - Capital In Year Schemes'!Q11</f>
        <v>£'000</v>
      </c>
      <c r="KH11" s="2059" t="str">
        <f>'J - Capital In Year Schemes'!R11</f>
        <v>£'000</v>
      </c>
      <c r="KI11" s="2059" t="str">
        <f>'J - Capital In Year Schemes'!S11</f>
        <v>£'000</v>
      </c>
      <c r="KJ11" s="1976"/>
      <c r="KK11" s="2060"/>
      <c r="KM11" s="2053">
        <f>'K - Capital Disposals'!A11</f>
        <v>1</v>
      </c>
      <c r="KN11" s="2061">
        <f>'K - Capital Disposals'!B11</f>
        <v>0</v>
      </c>
      <c r="KO11" s="2062">
        <f>'K - Capital Disposals'!C11</f>
        <v>0</v>
      </c>
      <c r="KP11" s="2062">
        <f>'K - Capital Disposals'!D11</f>
        <v>0</v>
      </c>
      <c r="KQ11" s="2063">
        <f>'K - Capital Disposals'!E11</f>
        <v>0</v>
      </c>
      <c r="KR11" s="2064">
        <f>'K - Capital Disposals'!F11</f>
        <v>0</v>
      </c>
      <c r="KS11" s="2064">
        <f>'K - Capital Disposals'!G11</f>
        <v>0</v>
      </c>
      <c r="KT11" s="2054">
        <f>'K - Capital Disposals'!H11</f>
        <v>0</v>
      </c>
      <c r="KU11" s="2055">
        <f>'K - Capital Disposals'!I11</f>
        <v>0</v>
      </c>
      <c r="KV11" s="3097">
        <f>'K - Capital Disposals'!J11</f>
        <v>0</v>
      </c>
      <c r="KW11" s="3095"/>
      <c r="KX11" s="3095"/>
      <c r="KY11" s="3095"/>
      <c r="KZ11" s="3095"/>
      <c r="LA11" s="3095"/>
      <c r="LB11" s="3096"/>
      <c r="LC11" s="1935"/>
      <c r="LE11" s="1615">
        <f>'L - EFL'!A11</f>
        <v>1</v>
      </c>
      <c r="LF11" s="1614" t="str">
        <f>'L - EFL'!B11</f>
        <v>Retained surplus/(deficit) for period</v>
      </c>
      <c r="LG11" s="1779">
        <f>'L - EFL'!C11</f>
        <v>0</v>
      </c>
      <c r="LH11" s="1779">
        <f>'L - EFL'!D11</f>
        <v>0</v>
      </c>
      <c r="LI11" s="1613">
        <f>'L - EFL'!E11</f>
        <v>0</v>
      </c>
      <c r="LJ11" s="1779">
        <f>'L - EFL'!F11</f>
        <v>0</v>
      </c>
      <c r="LL11" s="814"/>
      <c r="LM11" s="1761">
        <f>'M - Aged Debtors'!B11</f>
        <v>0</v>
      </c>
      <c r="LN11" s="1762">
        <f>'M - Aged Debtors'!C11</f>
        <v>0</v>
      </c>
      <c r="LO11" s="1763">
        <f>'M - Aged Debtors'!D11</f>
        <v>0</v>
      </c>
      <c r="LP11" s="1764">
        <f>'M - Aged Debtors'!E11</f>
        <v>0</v>
      </c>
      <c r="LQ11" s="1972">
        <f>'M - Aged Debtors'!F11</f>
        <v>0</v>
      </c>
      <c r="LR11" s="1166" t="str">
        <f>'M - Aged Debtors'!G11</f>
        <v/>
      </c>
      <c r="LS11" s="829" t="str">
        <f>'M - Aged Debtors'!H11</f>
        <v/>
      </c>
      <c r="LT11" s="829" t="str">
        <f>'M - Aged Debtors'!I11</f>
        <v/>
      </c>
      <c r="LU11" s="830" t="str">
        <f>'M - Aged Debtors'!J11</f>
        <v/>
      </c>
      <c r="LV11" s="1757">
        <f>'M - Aged Debtors'!K11</f>
        <v>0</v>
      </c>
      <c r="LX11" s="448" t="str">
        <f>'N - GMS'!A11</f>
        <v>Global Sum</v>
      </c>
      <c r="LY11" s="449"/>
      <c r="LZ11" s="450">
        <f>'N - GMS'!C11</f>
        <v>1</v>
      </c>
      <c r="MA11" s="67">
        <f>'N - GMS'!D11</f>
        <v>0</v>
      </c>
      <c r="MB11" s="68">
        <f>'N - GMS'!E11</f>
        <v>0</v>
      </c>
      <c r="MC11" s="218">
        <f>'N - GMS'!F11</f>
        <v>0</v>
      </c>
      <c r="MD11" s="219">
        <f>'N - GMS'!G11</f>
        <v>0</v>
      </c>
      <c r="ME11" s="213"/>
      <c r="MF11" s="1780">
        <f>'N - GMS'!I11</f>
        <v>0</v>
      </c>
      <c r="MH11" s="702" t="str">
        <f>'O - Dental'!A11</f>
        <v>Emergency Dental Services (inc Out of Hours)</v>
      </c>
      <c r="MI11" s="703"/>
      <c r="MJ11" s="698">
        <f>'O - Dental'!C11</f>
        <v>3</v>
      </c>
      <c r="MK11" s="698">
        <f>'O - Dental'!D11</f>
        <v>0</v>
      </c>
      <c r="ML11" s="1781">
        <f>'O - Dental'!E11</f>
        <v>0</v>
      </c>
      <c r="MM11" s="1781">
        <f>'O - Dental'!F11</f>
        <v>0</v>
      </c>
      <c r="MN11" s="661">
        <f>'O - Dental'!G11</f>
        <v>0</v>
      </c>
      <c r="MO11" s="308"/>
      <c r="MP11" s="1765">
        <f>'O - Dental'!I11</f>
        <v>0</v>
      </c>
      <c r="MR11" s="684"/>
      <c r="MS11" s="3034">
        <f>'P - Ringfenced'!B11</f>
        <v>0</v>
      </c>
      <c r="MT11" s="2661" t="str">
        <f>'P - Ringfenced'!C11</f>
        <v>Actual/Forecast - not yet committed</v>
      </c>
      <c r="MU11" s="2656">
        <f>'P - Ringfenced'!D11</f>
        <v>0</v>
      </c>
      <c r="MV11" s="2656">
        <f>'P - Ringfenced'!E11</f>
        <v>0</v>
      </c>
      <c r="MW11" s="2693">
        <f>'P - Ringfenced'!F11</f>
        <v>0</v>
      </c>
      <c r="MX11" s="2693">
        <f>'P - Ringfenced'!G11</f>
        <v>0</v>
      </c>
      <c r="MY11" s="2693">
        <f>'P - Ringfenced'!H11</f>
        <v>0</v>
      </c>
      <c r="MZ11" s="2693">
        <f>'P - Ringfenced'!I11</f>
        <v>0</v>
      </c>
      <c r="NA11" s="2693">
        <f>'P - Ringfenced'!J11</f>
        <v>0</v>
      </c>
      <c r="NB11" s="2693">
        <f>'P - Ringfenced'!K11</f>
        <v>0</v>
      </c>
      <c r="NC11" s="2693">
        <f>'P - Ringfenced'!L11</f>
        <v>0</v>
      </c>
      <c r="ND11" s="2693">
        <f>'P - Ringfenced'!M11</f>
        <v>0</v>
      </c>
      <c r="NE11" s="2693">
        <f>'P - Ringfenced'!N11</f>
        <v>0</v>
      </c>
      <c r="NF11" s="2693">
        <f>'P - Ringfenced'!O11</f>
        <v>0</v>
      </c>
      <c r="NG11" s="2693">
        <f>'P - Ringfenced'!P11</f>
        <v>0</v>
      </c>
      <c r="NH11" s="2695">
        <f>'P - Ringfenced'!Q11</f>
        <v>0</v>
      </c>
      <c r="NI11" s="1324">
        <f>'P - Ringfenced'!R11</f>
        <v>0</v>
      </c>
      <c r="NJ11" s="1325">
        <f>'P - Ringfenced'!S11</f>
        <v>0</v>
      </c>
      <c r="NK11" s="2861"/>
      <c r="NL11" s="684"/>
    </row>
    <row r="12" spans="1:376" ht="20.149999999999999" customHeight="1" thickBot="1">
      <c r="A12" s="1745"/>
      <c r="B12" s="1745"/>
      <c r="C12" s="1745"/>
      <c r="D12" s="1745"/>
      <c r="E12" s="1745"/>
      <c r="F12" s="1745"/>
      <c r="G12" s="1745"/>
      <c r="H12" s="1745"/>
      <c r="I12" s="1745"/>
      <c r="J12" s="1745"/>
      <c r="K12" s="1745"/>
      <c r="M12" s="950">
        <f>'A - Movement'!A12</f>
        <v>2</v>
      </c>
      <c r="N12" s="991" t="str">
        <f>'A - Movement'!B12</f>
        <v>Planned New Expenditure (Non Covid-19) (Negative Value)</v>
      </c>
      <c r="O12" s="1131">
        <f>'A - Movement'!C12</f>
        <v>-33615.999999999993</v>
      </c>
      <c r="P12" s="1131">
        <f>'A - Movement'!D12</f>
        <v>-3060.9999999999927</v>
      </c>
      <c r="Q12" s="954">
        <f>'A - Movement'!E12</f>
        <v>-30555</v>
      </c>
      <c r="R12" s="954">
        <f>'A - Movement'!F12</f>
        <v>-30555</v>
      </c>
      <c r="S12" s="1745"/>
      <c r="T12" s="1928"/>
      <c r="U12" s="950">
        <f>'A - Movement'!I12</f>
        <v>2</v>
      </c>
      <c r="V12" s="991" t="str">
        <f t="shared" ref="V12:V24" si="4">N12</f>
        <v>Planned New Expenditure (Non Covid-19) (Negative Value)</v>
      </c>
      <c r="W12" s="954">
        <f>'A - Movement'!J12</f>
        <v>-2801.3333333333335</v>
      </c>
      <c r="X12" s="954">
        <f>'A - Movement'!K12</f>
        <v>-2801.3333333333335</v>
      </c>
      <c r="Y12" s="954">
        <f>'A - Movement'!L12</f>
        <v>-2801.3333333333335</v>
      </c>
      <c r="Z12" s="954">
        <f>'A - Movement'!M12</f>
        <v>-2801.3333333333335</v>
      </c>
      <c r="AA12" s="954">
        <f>'A - Movement'!N12</f>
        <v>-2801.3333333333335</v>
      </c>
      <c r="AB12" s="954">
        <f>'A - Movement'!O12</f>
        <v>-2801.3333333333335</v>
      </c>
      <c r="AC12" s="954">
        <f>'A - Movement'!P12</f>
        <v>-2801.3333333333335</v>
      </c>
      <c r="AD12" s="954">
        <f>'A - Movement'!Q12</f>
        <v>-2801.3333333333335</v>
      </c>
      <c r="AE12" s="954">
        <f>'A - Movement'!R12</f>
        <v>-2801.3333333333335</v>
      </c>
      <c r="AF12" s="954">
        <f>'A - Movement'!S12</f>
        <v>-2801.3333333333335</v>
      </c>
      <c r="AG12" s="954">
        <f>'A - Movement'!T12</f>
        <v>-2801.3333333333335</v>
      </c>
      <c r="AH12" s="954">
        <f>'A - Movement'!U12</f>
        <v>-2801.3333333333335</v>
      </c>
      <c r="AI12" s="1131">
        <f>'A - Movement'!V12</f>
        <v>-2801.3333333333335</v>
      </c>
      <c r="AJ12" s="1131">
        <f>'A - Movement'!W12</f>
        <v>-33615.999999999993</v>
      </c>
      <c r="AK12" s="1131">
        <f t="shared" si="1"/>
        <v>-3060.9999999999927</v>
      </c>
      <c r="AL12" s="954">
        <f t="shared" si="2"/>
        <v>-30555</v>
      </c>
      <c r="AM12" s="954">
        <f t="shared" si="3"/>
        <v>-30555</v>
      </c>
      <c r="AN12" s="1745"/>
      <c r="AO12" s="1928"/>
      <c r="AP12" s="1401">
        <f>'A1 - Underlying Position'!A13</f>
        <v>2</v>
      </c>
      <c r="AQ12" s="1373" t="str">
        <f>'A1 - Underlying Position'!B13</f>
        <v xml:space="preserve">Pay - Medical &amp; Dental </v>
      </c>
      <c r="AR12" s="1782">
        <f>'A1 - Underlying Position'!C13</f>
        <v>0</v>
      </c>
      <c r="AS12" s="1783">
        <f>'A1 - Underlying Position'!D13</f>
        <v>0</v>
      </c>
      <c r="AT12" s="1783">
        <f>'A1 - Underlying Position'!E13</f>
        <v>0</v>
      </c>
      <c r="AU12" s="75">
        <f>'A1 - Underlying Position'!F13</f>
        <v>0</v>
      </c>
      <c r="AV12" s="1784">
        <f>'A1 - Underlying Position'!G13</f>
        <v>0</v>
      </c>
      <c r="AW12" s="75">
        <f>'A1 - Underlying Position'!H13</f>
        <v>0</v>
      </c>
      <c r="AX12" s="1745"/>
      <c r="AZ12" s="1717">
        <f>'A2 - Risks'!A12</f>
        <v>4</v>
      </c>
      <c r="BA12" s="1718" t="str">
        <f>'A2 - Risks'!B12</f>
        <v>Under delivery of Amber Schemes included in Outturn via Tracker</v>
      </c>
      <c r="BB12" s="1724" t="str">
        <f>'A2 - Risks'!C12</f>
        <v/>
      </c>
      <c r="BC12" s="1785">
        <f>'A2 - Risks'!D12</f>
        <v>0</v>
      </c>
      <c r="BE12" s="2065">
        <f>'B - Monthly Positions'!A12</f>
        <v>2</v>
      </c>
      <c r="BF12" s="89" t="str">
        <f>'B - Monthly Positions'!B12</f>
        <v>Capital Donation / Government Grant Income (Health Board only)</v>
      </c>
      <c r="BG12" s="93" t="str">
        <f>'B - Monthly Positions'!C12</f>
        <v>Actual/F'cast</v>
      </c>
      <c r="BH12" s="1782">
        <f>'B - Monthly Positions'!D12</f>
        <v>0</v>
      </c>
      <c r="BI12" s="1782">
        <f>'B - Monthly Positions'!E12</f>
        <v>0</v>
      </c>
      <c r="BJ12" s="1782">
        <f>'B - Monthly Positions'!F12</f>
        <v>0</v>
      </c>
      <c r="BK12" s="1782">
        <f>'B - Monthly Positions'!G12</f>
        <v>0</v>
      </c>
      <c r="BL12" s="1783">
        <f>'B - Monthly Positions'!H12</f>
        <v>0</v>
      </c>
      <c r="BM12" s="1783">
        <f>'B - Monthly Positions'!I12</f>
        <v>0</v>
      </c>
      <c r="BN12" s="1783">
        <f>'B - Monthly Positions'!J12</f>
        <v>0</v>
      </c>
      <c r="BO12" s="1783">
        <f>'B - Monthly Positions'!K12</f>
        <v>0</v>
      </c>
      <c r="BP12" s="1783">
        <f>'B - Monthly Positions'!L12</f>
        <v>0</v>
      </c>
      <c r="BQ12" s="1783">
        <f>'B - Monthly Positions'!M12</f>
        <v>0</v>
      </c>
      <c r="BR12" s="1783">
        <f>'B - Monthly Positions'!N12</f>
        <v>0</v>
      </c>
      <c r="BS12" s="1786">
        <f>'B - Monthly Positions'!O12</f>
        <v>0</v>
      </c>
      <c r="BT12" s="1782">
        <f>'B - Monthly Positions'!P12</f>
        <v>0</v>
      </c>
      <c r="BU12" s="1782">
        <f>'B - Monthly Positions'!Q12</f>
        <v>0</v>
      </c>
      <c r="BV12" s="1643"/>
      <c r="BW12" s="1875"/>
      <c r="BX12" s="88">
        <f>' Table Z Net Exp Profiles'!A12</f>
        <v>3</v>
      </c>
      <c r="BY12" s="2521" t="str">
        <f>' Table Z Net Exp Profiles'!B12</f>
        <v>Planning Assumptions still to be finalised at Month 1 Allocated to Pay - (ENTER AS NEGATIVE)</v>
      </c>
      <c r="BZ12" s="2522">
        <f>' Table Z Net Exp Profiles'!C12</f>
        <v>0</v>
      </c>
      <c r="CA12" s="2512">
        <f>' Table Z Net Exp Profiles'!D12</f>
        <v>0</v>
      </c>
      <c r="CB12" s="2512">
        <f>' Table Z Net Exp Profiles'!E12</f>
        <v>0</v>
      </c>
      <c r="CC12" s="2512">
        <f>' Table Z Net Exp Profiles'!F12</f>
        <v>0</v>
      </c>
      <c r="CD12" s="2512">
        <f>' Table Z Net Exp Profiles'!G12</f>
        <v>0</v>
      </c>
      <c r="CE12" s="2512">
        <f>' Table Z Net Exp Profiles'!H12</f>
        <v>0</v>
      </c>
      <c r="CF12" s="2512">
        <f>' Table Z Net Exp Profiles'!I12</f>
        <v>0</v>
      </c>
      <c r="CG12" s="2512">
        <f>' Table Z Net Exp Profiles'!J12</f>
        <v>0</v>
      </c>
      <c r="CH12" s="2512">
        <f>' Table Z Net Exp Profiles'!K12</f>
        <v>0</v>
      </c>
      <c r="CI12" s="2512">
        <f>' Table Z Net Exp Profiles'!L12</f>
        <v>0</v>
      </c>
      <c r="CJ12" s="2512">
        <f>' Table Z Net Exp Profiles'!M12</f>
        <v>0</v>
      </c>
      <c r="CK12" s="2523">
        <f>' Table Z Net Exp Profiles'!N12</f>
        <v>0</v>
      </c>
      <c r="CL12" s="1233">
        <f>' Table Z Net Exp Profiles'!O12</f>
        <v>0</v>
      </c>
      <c r="CM12" s="1215">
        <f>' Table Z Net Exp Profiles'!P12</f>
        <v>0</v>
      </c>
      <c r="CO12" s="1329">
        <f>'B2 - Pay &amp; Agency'!A12</f>
        <v>3</v>
      </c>
      <c r="CP12" s="1333" t="str">
        <f>'B2 - Pay &amp; Agency'!B12</f>
        <v xml:space="preserve">Nursing &amp; Midwifery Registered </v>
      </c>
      <c r="CQ12" s="1776">
        <f>'B2 - Pay &amp; Agency'!C12</f>
        <v>479</v>
      </c>
      <c r="CR12" s="1777">
        <f>'B2 - Pay &amp; Agency'!D12</f>
        <v>443</v>
      </c>
      <c r="CS12" s="1777">
        <f>'B2 - Pay &amp; Agency'!E12</f>
        <v>443</v>
      </c>
      <c r="CT12" s="1777">
        <f>'B2 - Pay &amp; Agency'!F12</f>
        <v>443</v>
      </c>
      <c r="CU12" s="1777">
        <f>'B2 - Pay &amp; Agency'!G12</f>
        <v>443</v>
      </c>
      <c r="CV12" s="1777">
        <f>'B2 - Pay &amp; Agency'!H12</f>
        <v>443</v>
      </c>
      <c r="CW12" s="1777">
        <f>'B2 - Pay &amp; Agency'!I12</f>
        <v>443</v>
      </c>
      <c r="CX12" s="1777">
        <f>'B2 - Pay &amp; Agency'!J12</f>
        <v>443</v>
      </c>
      <c r="CY12" s="1777">
        <f>'B2 - Pay &amp; Agency'!K12</f>
        <v>443</v>
      </c>
      <c r="CZ12" s="1777">
        <f>'B2 - Pay &amp; Agency'!L12</f>
        <v>443</v>
      </c>
      <c r="DA12" s="1777">
        <f>'B2 - Pay &amp; Agency'!M12</f>
        <v>443</v>
      </c>
      <c r="DB12" s="1778">
        <f>'B2 - Pay &amp; Agency'!N12</f>
        <v>445</v>
      </c>
      <c r="DC12" s="1324">
        <f>'B2 - Pay &amp; Agency'!O12</f>
        <v>479</v>
      </c>
      <c r="DD12" s="1325">
        <f>'B2 - Pay &amp; Agency'!P12</f>
        <v>5354</v>
      </c>
      <c r="DF12" s="2852">
        <f>'B3 - COVID-19'!A12</f>
        <v>5</v>
      </c>
      <c r="DG12" s="2845" t="str">
        <f>'B3 - COVID-19'!B12</f>
        <v xml:space="preserve">Nursing &amp; Midwifery Registered </v>
      </c>
      <c r="DH12" s="1903">
        <f>'B3 - COVID-19'!C12</f>
        <v>0</v>
      </c>
      <c r="DI12" s="1903">
        <f>'B3 - COVID-19'!D12</f>
        <v>0</v>
      </c>
      <c r="DJ12" s="1903">
        <f>'B3 - COVID-19'!E12</f>
        <v>0</v>
      </c>
      <c r="DK12" s="1903">
        <f>'B3 - COVID-19'!F12</f>
        <v>0</v>
      </c>
      <c r="DL12" s="1903">
        <f>'B3 - COVID-19'!G12</f>
        <v>0</v>
      </c>
      <c r="DM12" s="1903">
        <f>'B3 - COVID-19'!H12</f>
        <v>0</v>
      </c>
      <c r="DN12" s="1903">
        <f>'B3 - COVID-19'!I12</f>
        <v>0</v>
      </c>
      <c r="DO12" s="1903">
        <f>'B3 - COVID-19'!J12</f>
        <v>0</v>
      </c>
      <c r="DP12" s="1903">
        <f>'B3 - COVID-19'!K12</f>
        <v>0</v>
      </c>
      <c r="DQ12" s="1903">
        <f>'B3 - COVID-19'!L12</f>
        <v>0</v>
      </c>
      <c r="DR12" s="1903">
        <f>'B3 - COVID-19'!M12</f>
        <v>0</v>
      </c>
      <c r="DS12" s="1903">
        <f>'B3 - COVID-19'!N12</f>
        <v>0</v>
      </c>
      <c r="DT12" s="1863">
        <f>'B3 - COVID-19'!O12</f>
        <v>0</v>
      </c>
      <c r="DU12" s="1863">
        <f>'B3 - COVID-19'!P12</f>
        <v>0</v>
      </c>
      <c r="DV12" s="608"/>
      <c r="DW12" s="1116"/>
      <c r="DY12" s="2040"/>
      <c r="DZ12" s="2066"/>
      <c r="EA12" s="2067"/>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8">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2" t="str">
        <f>'C, C1, C2&amp; C3 - Savings Schemes'!X12</f>
        <v>£'000</v>
      </c>
      <c r="EW12" s="2043"/>
      <c r="EX12" s="3074"/>
      <c r="EY12" s="1698" t="str">
        <f>'Table C4 Tracker'!B12</f>
        <v>In Year - Actual/Forecast</v>
      </c>
      <c r="EZ12" s="1371">
        <f>'Table C4 Tracker'!C12</f>
        <v>0</v>
      </c>
      <c r="FA12" s="1708">
        <f>'Table C4 Tracker'!D12</f>
        <v>0</v>
      </c>
      <c r="FB12" s="1708">
        <f>'Table C4 Tracker'!E12</f>
        <v>0</v>
      </c>
      <c r="FC12" s="1708">
        <f>'Table C4 Tracker'!F12</f>
        <v>0</v>
      </c>
      <c r="FD12" s="1708">
        <f>'Table C4 Tracker'!G12</f>
        <v>0</v>
      </c>
      <c r="FE12" s="1708">
        <f>'Table C4 Tracker'!H12</f>
        <v>0</v>
      </c>
      <c r="FF12" s="1708">
        <f>'Table C4 Tracker'!I12</f>
        <v>0</v>
      </c>
      <c r="FG12" s="1708">
        <f>'Table C4 Tracker'!J12</f>
        <v>0</v>
      </c>
      <c r="FH12" s="1708">
        <f>'Table C4 Tracker'!K12</f>
        <v>0</v>
      </c>
      <c r="FI12" s="1708">
        <f>'Table C4 Tracker'!L12</f>
        <v>0</v>
      </c>
      <c r="FJ12" s="1708">
        <f>'Table C4 Tracker'!M12</f>
        <v>0</v>
      </c>
      <c r="FK12" s="1708">
        <f>'Table C4 Tracker'!N12</f>
        <v>0</v>
      </c>
      <c r="FL12" s="1577">
        <f>'Table C4 Tracker'!O12</f>
        <v>0</v>
      </c>
      <c r="FM12" s="1465">
        <f>'Table C4 Tracker'!P12</f>
        <v>0</v>
      </c>
      <c r="FN12" s="939">
        <f>'Table C4 Tracker'!Q12</f>
        <v>0</v>
      </c>
      <c r="FO12" s="1577">
        <f>'Table C4 Tracker'!R12</f>
        <v>0</v>
      </c>
      <c r="FP12" s="1577">
        <f>'Table C4 Tracker'!S12</f>
        <v>0</v>
      </c>
      <c r="FQ12" s="1577">
        <f>'Table C4 Tracker'!T12</f>
        <v>0</v>
      </c>
      <c r="FR12" s="1577">
        <f>'Table C4 Tracker'!U12</f>
        <v>0</v>
      </c>
      <c r="FS12" s="2044"/>
      <c r="FU12" s="2045">
        <f>'D - Welsh NHS Assumptions'!A12</f>
        <v>2</v>
      </c>
      <c r="FV12" s="2046" t="str">
        <f>'D - Welsh NHS Assumptions'!B12</f>
        <v>Aneurin Bevan University</v>
      </c>
      <c r="FW12" s="2069">
        <f>'D - Welsh NHS Assumptions'!C12</f>
        <v>0</v>
      </c>
      <c r="FX12" s="2069">
        <f>'D - Welsh NHS Assumptions'!D12</f>
        <v>1765</v>
      </c>
      <c r="FY12" s="2048">
        <f>'D - Welsh NHS Assumptions'!E12</f>
        <v>1765</v>
      </c>
      <c r="FZ12" s="1745"/>
      <c r="GA12" s="2069">
        <f>'D - Welsh NHS Assumptions'!G12</f>
        <v>0</v>
      </c>
      <c r="GB12" s="2069">
        <f>'D - Welsh NHS Assumptions'!H12</f>
        <v>4156</v>
      </c>
      <c r="GC12" s="2048">
        <f>'D - Welsh NHS Assumptions'!I12</f>
        <v>4156</v>
      </c>
      <c r="GD12" s="1745"/>
      <c r="GF12" s="1745"/>
      <c r="GG12" s="1745"/>
      <c r="GH12" s="1745"/>
      <c r="GI12" s="1745"/>
      <c r="GJ12" s="1745"/>
      <c r="GK12" s="1745"/>
      <c r="GL12" s="1745"/>
      <c r="GM12" s="1745"/>
      <c r="GN12" s="1745"/>
      <c r="GO12" s="1745"/>
      <c r="GP12" s="1745"/>
      <c r="GQ12" s="1745"/>
      <c r="GR12" s="1935"/>
      <c r="GT12" s="175"/>
      <c r="GU12" s="1660"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1"/>
      <c r="HO12" s="2007">
        <f>'F - SoFP'!A12</f>
        <v>4</v>
      </c>
      <c r="HP12" s="2008" t="str">
        <f>'F - SoFP'!B12</f>
        <v>Other financial assets</v>
      </c>
      <c r="HQ12" s="2009">
        <f>'F - SoFP'!C12</f>
        <v>0</v>
      </c>
      <c r="HR12" s="2010">
        <f>'F - SoFP'!D12</f>
        <v>0</v>
      </c>
      <c r="HS12" s="2010">
        <f>'F - SoFP'!E12</f>
        <v>0</v>
      </c>
      <c r="HT12" s="1946"/>
      <c r="HV12" s="2053">
        <f>'G - Cash Flow'!A12</f>
        <v>2</v>
      </c>
      <c r="HW12" s="2070" t="str">
        <f>'G - Cash Flow'!B12</f>
        <v>WG Revenue Funding - Non Cash Limited (NCL) - LHB &amp; SHA only</v>
      </c>
      <c r="HX12" s="2054">
        <f>'G - Cash Flow'!C12</f>
        <v>0</v>
      </c>
      <c r="HY12" s="2054">
        <f>'G - Cash Flow'!D12</f>
        <v>0</v>
      </c>
      <c r="HZ12" s="2054">
        <f>'G - Cash Flow'!E12</f>
        <v>0</v>
      </c>
      <c r="IA12" s="2054">
        <f>'G - Cash Flow'!F12</f>
        <v>0</v>
      </c>
      <c r="IB12" s="2054">
        <f>'G - Cash Flow'!G12</f>
        <v>0</v>
      </c>
      <c r="IC12" s="2054">
        <f>'G - Cash Flow'!H12</f>
        <v>0</v>
      </c>
      <c r="ID12" s="2054">
        <f>'G - Cash Flow'!I12</f>
        <v>0</v>
      </c>
      <c r="IE12" s="2054">
        <f>'G - Cash Flow'!J12</f>
        <v>0</v>
      </c>
      <c r="IF12" s="2054">
        <f>'G - Cash Flow'!K12</f>
        <v>0</v>
      </c>
      <c r="IG12" s="2054">
        <f>'G - Cash Flow'!L12</f>
        <v>0</v>
      </c>
      <c r="IH12" s="2054">
        <f>'G - Cash Flow'!M12</f>
        <v>0</v>
      </c>
      <c r="II12" s="2054">
        <f>'G - Cash Flow'!N12</f>
        <v>0</v>
      </c>
      <c r="IJ12" s="2055">
        <f>'G - Cash Flow'!O12</f>
        <v>0</v>
      </c>
      <c r="IK12" s="1942"/>
      <c r="IM12" s="71"/>
      <c r="IN12" s="71"/>
      <c r="IO12" s="71"/>
      <c r="IP12" s="71"/>
      <c r="IQ12" s="71"/>
      <c r="IR12" s="71"/>
      <c r="IS12" s="71"/>
      <c r="IT12" s="71"/>
      <c r="IU12" s="71"/>
      <c r="IV12" s="71"/>
      <c r="IW12" s="71"/>
      <c r="IX12" s="71"/>
      <c r="IY12" s="71"/>
      <c r="IZ12" s="71"/>
      <c r="JA12" s="71"/>
      <c r="JB12" s="1745"/>
      <c r="JD12" s="2057"/>
      <c r="JE12" s="2071"/>
      <c r="JF12" s="2072" t="str">
        <f>'I - Capital RLM'!C12</f>
        <v>£'000</v>
      </c>
      <c r="JG12" s="2072" t="str">
        <f>'I - Capital RLM'!D12</f>
        <v>£'000</v>
      </c>
      <c r="JH12" s="2072" t="str">
        <f>'I - Capital RLM'!E12</f>
        <v>£'000</v>
      </c>
      <c r="JI12" s="2056"/>
      <c r="JJ12" s="2072" t="str">
        <f>'I - Capital RLM'!G12</f>
        <v>£'000</v>
      </c>
      <c r="JK12" s="2072" t="str">
        <f>'I - Capital RLM'!H12</f>
        <v>£'000</v>
      </c>
      <c r="JL12" s="2072" t="str">
        <f>'I - Capital RLM'!I12</f>
        <v>£'000</v>
      </c>
      <c r="JM12" s="1944"/>
      <c r="JN12" s="392" t="str">
        <f>'I - Capital RLM'!K12</f>
        <v>Level</v>
      </c>
      <c r="JO12" s="1944"/>
      <c r="JQ12" s="2073">
        <f>'J - Capital In Year Schemes'!A12</f>
        <v>1</v>
      </c>
      <c r="JR12" s="2074">
        <f>'J - Capital In Year Schemes'!B12</f>
        <v>0</v>
      </c>
      <c r="JS12" s="2074">
        <f>'J - Capital In Year Schemes'!C12</f>
        <v>0</v>
      </c>
      <c r="JT12" s="2052">
        <f>'J - Capital In Year Schemes'!D12</f>
        <v>0</v>
      </c>
      <c r="JU12" s="2052">
        <f>'J - Capital In Year Schemes'!E12</f>
        <v>0</v>
      </c>
      <c r="JV12" s="2052">
        <f>'J - Capital In Year Schemes'!F12</f>
        <v>0</v>
      </c>
      <c r="JW12" s="2052">
        <f>'J - Capital In Year Schemes'!G12</f>
        <v>0</v>
      </c>
      <c r="JX12" s="2052">
        <f>'J - Capital In Year Schemes'!H12</f>
        <v>0</v>
      </c>
      <c r="JY12" s="2052">
        <f>'J - Capital In Year Schemes'!I12</f>
        <v>0</v>
      </c>
      <c r="JZ12" s="2052">
        <f>'J - Capital In Year Schemes'!J12</f>
        <v>0</v>
      </c>
      <c r="KA12" s="2052">
        <f>'J - Capital In Year Schemes'!K12</f>
        <v>0</v>
      </c>
      <c r="KB12" s="2052">
        <f>'J - Capital In Year Schemes'!L12</f>
        <v>0</v>
      </c>
      <c r="KC12" s="2052">
        <f>'J - Capital In Year Schemes'!M12</f>
        <v>0</v>
      </c>
      <c r="KD12" s="2052">
        <f>'J - Capital In Year Schemes'!N12</f>
        <v>0</v>
      </c>
      <c r="KE12" s="2052">
        <f>'J - Capital In Year Schemes'!O12</f>
        <v>0</v>
      </c>
      <c r="KF12" s="2052">
        <f>'J - Capital In Year Schemes'!P12</f>
        <v>0</v>
      </c>
      <c r="KG12" s="2052">
        <f>'J - Capital In Year Schemes'!Q12</f>
        <v>0</v>
      </c>
      <c r="KH12" s="2075">
        <f>'J - Capital In Year Schemes'!R12</f>
        <v>0</v>
      </c>
      <c r="KI12" s="2075">
        <f>'J - Capital In Year Schemes'!S12</f>
        <v>0</v>
      </c>
      <c r="KJ12" s="2076">
        <f>'J - Capital In Year Schemes'!T12</f>
        <v>0</v>
      </c>
      <c r="KK12" s="2060">
        <f>IF(AND(KI12&gt;0,JR12=""),1,0)</f>
        <v>0</v>
      </c>
      <c r="KM12" s="2053">
        <f>'K - Capital Disposals'!A12</f>
        <v>2</v>
      </c>
      <c r="KN12" s="2077">
        <f>'K - Capital Disposals'!B12</f>
        <v>0</v>
      </c>
      <c r="KO12" s="2062">
        <f>'K - Capital Disposals'!C12</f>
        <v>0</v>
      </c>
      <c r="KP12" s="2062">
        <f>'K - Capital Disposals'!D12</f>
        <v>0</v>
      </c>
      <c r="KQ12" s="2078">
        <f>'K - Capital Disposals'!E12</f>
        <v>0</v>
      </c>
      <c r="KR12" s="2064">
        <f>'K - Capital Disposals'!F12</f>
        <v>0</v>
      </c>
      <c r="KS12" s="2064">
        <f>'K - Capital Disposals'!G12</f>
        <v>0</v>
      </c>
      <c r="KT12" s="2054">
        <f>'K - Capital Disposals'!H12</f>
        <v>0</v>
      </c>
      <c r="KU12" s="2055">
        <f>'K - Capital Disposals'!I12</f>
        <v>0</v>
      </c>
      <c r="KV12" s="3097">
        <f>'K - Capital Disposals'!J12</f>
        <v>0</v>
      </c>
      <c r="KW12" s="3095"/>
      <c r="KX12" s="3095"/>
      <c r="KY12" s="3095"/>
      <c r="KZ12" s="3095"/>
      <c r="LA12" s="3095"/>
      <c r="LB12" s="3096"/>
      <c r="LC12" s="1935"/>
      <c r="LE12" s="1615">
        <f>'L - EFL'!A12</f>
        <v>2</v>
      </c>
      <c r="LF12" s="1614" t="str">
        <f>'L - EFL'!B12</f>
        <v>Depreciation</v>
      </c>
      <c r="LG12" s="1779">
        <f>'L - EFL'!C12</f>
        <v>0</v>
      </c>
      <c r="LH12" s="1779">
        <f>'L - EFL'!D12</f>
        <v>0</v>
      </c>
      <c r="LI12" s="1613">
        <f>'L - EFL'!E12</f>
        <v>0</v>
      </c>
      <c r="LJ12" s="1779">
        <f>'L - EFL'!F12</f>
        <v>0</v>
      </c>
      <c r="LL12" s="814"/>
      <c r="LM12" s="1761">
        <f>'M - Aged Debtors'!B12</f>
        <v>0</v>
      </c>
      <c r="LN12" s="1762">
        <f>'M - Aged Debtors'!C12</f>
        <v>0</v>
      </c>
      <c r="LO12" s="1763">
        <f>'M - Aged Debtors'!D12</f>
        <v>0</v>
      </c>
      <c r="LP12" s="1764">
        <f>'M - Aged Debtors'!E12</f>
        <v>0</v>
      </c>
      <c r="LQ12" s="1972">
        <f>'M - Aged Debtors'!F12</f>
        <v>0</v>
      </c>
      <c r="LR12" s="1166" t="str">
        <f>'M - Aged Debtors'!G12</f>
        <v/>
      </c>
      <c r="LS12" s="829" t="str">
        <f>'M - Aged Debtors'!H12</f>
        <v/>
      </c>
      <c r="LT12" s="829" t="str">
        <f>'M - Aged Debtors'!I12</f>
        <v/>
      </c>
      <c r="LU12" s="830" t="str">
        <f>'M - Aged Debtors'!J12</f>
        <v/>
      </c>
      <c r="LV12" s="1757">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7">
        <f>'N - GMS'!I12</f>
        <v>0</v>
      </c>
      <c r="MH12" s="1679" t="str">
        <f>'O - Dental'!A12</f>
        <v>Additional Access</v>
      </c>
      <c r="MI12" s="703"/>
      <c r="MJ12" s="701">
        <f>'O - Dental'!C12</f>
        <v>4</v>
      </c>
      <c r="MK12" s="701">
        <f>'O - Dental'!D12</f>
        <v>0</v>
      </c>
      <c r="ML12" s="1781">
        <f>'O - Dental'!E12</f>
        <v>0</v>
      </c>
      <c r="MM12" s="1781">
        <f>'O - Dental'!F12</f>
        <v>0</v>
      </c>
      <c r="MN12" s="661">
        <f>'O - Dental'!G12</f>
        <v>0</v>
      </c>
      <c r="MO12" s="308"/>
      <c r="MP12" s="1765">
        <f>'O - Dental'!I12</f>
        <v>0</v>
      </c>
      <c r="MR12" s="684"/>
      <c r="MS12" s="3034">
        <f>'P - Ringfenced'!B12</f>
        <v>0</v>
      </c>
      <c r="MT12" s="1101" t="str">
        <f>'P - Ringfenced'!C12</f>
        <v>Actual/Forecast - committed</v>
      </c>
      <c r="MU12" s="2656">
        <f>'P - Ringfenced'!D12</f>
        <v>0</v>
      </c>
      <c r="MV12" s="2656">
        <f>'P - Ringfenced'!E12</f>
        <v>0</v>
      </c>
      <c r="MW12" s="2693">
        <f>'P - Ringfenced'!F12</f>
        <v>0</v>
      </c>
      <c r="MX12" s="2693">
        <f>'P - Ringfenced'!G12</f>
        <v>0</v>
      </c>
      <c r="MY12" s="2693">
        <f>'P - Ringfenced'!H12</f>
        <v>0</v>
      </c>
      <c r="MZ12" s="2693">
        <f>'P - Ringfenced'!I12</f>
        <v>0</v>
      </c>
      <c r="NA12" s="2693">
        <f>'P - Ringfenced'!J12</f>
        <v>0</v>
      </c>
      <c r="NB12" s="2693">
        <f>'P - Ringfenced'!K12</f>
        <v>0</v>
      </c>
      <c r="NC12" s="2693">
        <f>'P - Ringfenced'!L12</f>
        <v>0</v>
      </c>
      <c r="ND12" s="2693">
        <f>'P - Ringfenced'!M12</f>
        <v>0</v>
      </c>
      <c r="NE12" s="2693">
        <f>'P - Ringfenced'!N12</f>
        <v>0</v>
      </c>
      <c r="NF12" s="2693">
        <f>'P - Ringfenced'!O12</f>
        <v>0</v>
      </c>
      <c r="NG12" s="2693">
        <f>'P - Ringfenced'!P12</f>
        <v>0</v>
      </c>
      <c r="NH12" s="2695">
        <f>'P - Ringfenced'!Q12</f>
        <v>0</v>
      </c>
      <c r="NI12" s="1324">
        <f>'P - Ringfenced'!R12</f>
        <v>0</v>
      </c>
      <c r="NJ12" s="1325">
        <f>'P - Ringfenced'!S12</f>
        <v>0</v>
      </c>
      <c r="NK12" s="2861"/>
      <c r="NL12" s="684"/>
    </row>
    <row r="13" spans="1:376" ht="20.149999999999999" customHeight="1" thickTop="1" thickBot="1">
      <c r="A13" s="1745"/>
      <c r="B13" s="1745"/>
      <c r="C13" s="1745"/>
      <c r="D13" s="1745"/>
      <c r="E13" s="1745"/>
      <c r="F13" s="1745"/>
      <c r="G13" s="1745"/>
      <c r="H13" s="1745"/>
      <c r="I13" s="1745"/>
      <c r="J13" s="1745"/>
      <c r="K13" s="1745"/>
      <c r="M13" s="950">
        <f>'A - Movement'!A13</f>
        <v>3</v>
      </c>
      <c r="N13" s="1862" t="str">
        <f>'A - Movement'!B13</f>
        <v>Planned Expenditure For Covid-19  (Negative Value)</v>
      </c>
      <c r="O13" s="1131">
        <f>'A - Movement'!C13</f>
        <v>-16930.000000976004</v>
      </c>
      <c r="P13" s="1131">
        <f>'A - Movement'!D13</f>
        <v>-16930.000000976004</v>
      </c>
      <c r="Q13" s="954">
        <f>'A - Movement'!E13</f>
        <v>0</v>
      </c>
      <c r="R13" s="954">
        <f>'A - Movement'!F13</f>
        <v>0</v>
      </c>
      <c r="S13" s="1745"/>
      <c r="T13" s="1928"/>
      <c r="U13" s="950">
        <f>'A - Movement'!I13</f>
        <v>3</v>
      </c>
      <c r="V13" s="1862" t="str">
        <f t="shared" si="4"/>
        <v>Planned Expenditure For Covid-19  (Negative Value)</v>
      </c>
      <c r="W13" s="1131">
        <f>'A - Movement'!J13</f>
        <v>-984.98719000000006</v>
      </c>
      <c r="X13" s="1131">
        <f>'A - Movement'!K13</f>
        <v>-1046.9339092508944</v>
      </c>
      <c r="Y13" s="1131">
        <f>'A - Movement'!L13</f>
        <v>-1570.2463429260856</v>
      </c>
      <c r="Z13" s="1131">
        <f>'A - Movement'!M13</f>
        <v>-1144.7442342508946</v>
      </c>
      <c r="AA13" s="1131">
        <f>'A - Movement'!N13</f>
        <v>-1135.2442342508946</v>
      </c>
      <c r="AB13" s="1131">
        <f>'A - Movement'!O13</f>
        <v>-1651.787351259419</v>
      </c>
      <c r="AC13" s="1131">
        <f>'A - Movement'!P13</f>
        <v>-1438.7479469858174</v>
      </c>
      <c r="AD13" s="1131">
        <f>'A - Movement'!Q13</f>
        <v>-1383.9683758416022</v>
      </c>
      <c r="AE13" s="1131">
        <f>'A - Movement'!R13</f>
        <v>-1908.3053386524839</v>
      </c>
      <c r="AF13" s="1131">
        <f>'A - Movement'!S13</f>
        <v>-1416.7479469858174</v>
      </c>
      <c r="AG13" s="1131">
        <f>'A - Movement'!T13</f>
        <v>-1364.7229546973872</v>
      </c>
      <c r="AH13" s="1131">
        <f>'A - Movement'!U13</f>
        <v>-1883.5641758747061</v>
      </c>
      <c r="AI13" s="1131">
        <f>'A - Movement'!V13</f>
        <v>-984.98719000000006</v>
      </c>
      <c r="AJ13" s="1131">
        <f>'A - Movement'!W13</f>
        <v>-16930.000000976004</v>
      </c>
      <c r="AK13" s="1131">
        <f t="shared" si="1"/>
        <v>-16930.000000976004</v>
      </c>
      <c r="AL13" s="954">
        <f t="shared" si="2"/>
        <v>0</v>
      </c>
      <c r="AM13" s="954">
        <f t="shared" si="3"/>
        <v>0</v>
      </c>
      <c r="AN13" s="1745"/>
      <c r="AO13" s="1928"/>
      <c r="AP13" s="1401">
        <f>'A1 - Underlying Position'!A14</f>
        <v>3</v>
      </c>
      <c r="AQ13" s="1374" t="str">
        <f>'A1 - Underlying Position'!B14</f>
        <v xml:space="preserve">Pay - Nursing &amp; Midwifery Registered </v>
      </c>
      <c r="AR13" s="1782">
        <f>'A1 - Underlying Position'!C14</f>
        <v>0</v>
      </c>
      <c r="AS13" s="1783">
        <f>'A1 - Underlying Position'!D14</f>
        <v>0</v>
      </c>
      <c r="AT13" s="1783">
        <f>'A1 - Underlying Position'!E14</f>
        <v>0</v>
      </c>
      <c r="AU13" s="75">
        <f>'A1 - Underlying Position'!F14</f>
        <v>0</v>
      </c>
      <c r="AV13" s="1784">
        <f>'A1 - Underlying Position'!G14</f>
        <v>0</v>
      </c>
      <c r="AW13" s="75">
        <f>'A1 - Underlying Position'!H14</f>
        <v>0</v>
      </c>
      <c r="AX13" s="1745"/>
      <c r="AZ13" s="1717">
        <f>'A2 - Risks'!A13</f>
        <v>5</v>
      </c>
      <c r="BA13" s="1719" t="str">
        <f>'A2 - Risks'!B13</f>
        <v>Continuing Healthcare</v>
      </c>
      <c r="BB13" s="1788">
        <f>'A2 - Risks'!C13</f>
        <v>0</v>
      </c>
      <c r="BC13" s="1759">
        <f>'A2 - Risks'!D13</f>
        <v>0</v>
      </c>
      <c r="BE13" s="2065">
        <f>'B - Monthly Positions'!A13</f>
        <v>3</v>
      </c>
      <c r="BF13" s="89" t="str">
        <f>'B - Monthly Positions'!B13</f>
        <v>Welsh NHS Local Health Boards &amp; Trusts Income</v>
      </c>
      <c r="BG13" s="93" t="str">
        <f>'B - Monthly Positions'!C13</f>
        <v>Actual/F'cast</v>
      </c>
      <c r="BH13" s="1782">
        <f>'B - Monthly Positions'!D13</f>
        <v>1922</v>
      </c>
      <c r="BI13" s="1782">
        <f>'B - Monthly Positions'!E13</f>
        <v>1887</v>
      </c>
      <c r="BJ13" s="1782">
        <f>'B - Monthly Positions'!F13</f>
        <v>1887</v>
      </c>
      <c r="BK13" s="1782">
        <f>'B - Monthly Positions'!G13</f>
        <v>1887</v>
      </c>
      <c r="BL13" s="1783">
        <f>'B - Monthly Positions'!H13</f>
        <v>1887</v>
      </c>
      <c r="BM13" s="1783">
        <f>'B - Monthly Positions'!I13</f>
        <v>1887</v>
      </c>
      <c r="BN13" s="1783">
        <f>'B - Monthly Positions'!J13</f>
        <v>1887</v>
      </c>
      <c r="BO13" s="1783">
        <f>'B - Monthly Positions'!K13</f>
        <v>1887</v>
      </c>
      <c r="BP13" s="1783">
        <f>'B - Monthly Positions'!L13</f>
        <v>1887</v>
      </c>
      <c r="BQ13" s="1783">
        <f>'B - Monthly Positions'!M13</f>
        <v>1887</v>
      </c>
      <c r="BR13" s="1783">
        <f>'B - Monthly Positions'!N13</f>
        <v>1887</v>
      </c>
      <c r="BS13" s="1786">
        <f>'B - Monthly Positions'!O13</f>
        <v>1888</v>
      </c>
      <c r="BT13" s="1782">
        <f>'B - Monthly Positions'!P13</f>
        <v>1922</v>
      </c>
      <c r="BU13" s="1782">
        <f>'B - Monthly Positions'!Q13</f>
        <v>22680</v>
      </c>
      <c r="BV13" s="1643"/>
      <c r="BW13" s="1875"/>
      <c r="BX13" s="144">
        <f>' Table Z Net Exp Profiles'!A13</f>
        <v>4</v>
      </c>
      <c r="BY13" s="1259" t="str">
        <f>' Table Z Net Exp Profiles'!B13</f>
        <v>Total Gross Pay Expenditure - Current Plan</v>
      </c>
      <c r="BZ13" s="1686">
        <f>' Table Z Net Exp Profiles'!C13</f>
        <v>0</v>
      </c>
      <c r="CA13" s="1234">
        <f>' Table Z Net Exp Profiles'!D13</f>
        <v>0</v>
      </c>
      <c r="CB13" s="1234">
        <f>' Table Z Net Exp Profiles'!E13</f>
        <v>0</v>
      </c>
      <c r="CC13" s="1234">
        <f>' Table Z Net Exp Profiles'!F13</f>
        <v>0</v>
      </c>
      <c r="CD13" s="1234">
        <f>' Table Z Net Exp Profiles'!G13</f>
        <v>0</v>
      </c>
      <c r="CE13" s="1234">
        <f>' Table Z Net Exp Profiles'!H13</f>
        <v>0</v>
      </c>
      <c r="CF13" s="1234">
        <f>' Table Z Net Exp Profiles'!I13</f>
        <v>0</v>
      </c>
      <c r="CG13" s="1234">
        <f>' Table Z Net Exp Profiles'!J13</f>
        <v>0</v>
      </c>
      <c r="CH13" s="1234">
        <f>' Table Z Net Exp Profiles'!K13</f>
        <v>0</v>
      </c>
      <c r="CI13" s="1234">
        <f>' Table Z Net Exp Profiles'!L13</f>
        <v>0</v>
      </c>
      <c r="CJ13" s="1234">
        <f>' Table Z Net Exp Profiles'!M13</f>
        <v>0</v>
      </c>
      <c r="CK13" s="2518">
        <f>' Table Z Net Exp Profiles'!N13</f>
        <v>0</v>
      </c>
      <c r="CL13" s="1101">
        <f>' Table Z Net Exp Profiles'!O13</f>
        <v>0</v>
      </c>
      <c r="CM13" s="1232">
        <f>' Table Z Net Exp Profiles'!P13</f>
        <v>0</v>
      </c>
      <c r="CO13" s="1329">
        <f>'B2 - Pay &amp; Agency'!A13</f>
        <v>4</v>
      </c>
      <c r="CP13" s="1333" t="str">
        <f>'B2 - Pay &amp; Agency'!B13</f>
        <v>Prof Scientific &amp; Technical</v>
      </c>
      <c r="CQ13" s="1776">
        <f>'B2 - Pay &amp; Agency'!C13</f>
        <v>0</v>
      </c>
      <c r="CR13" s="1777">
        <f>'B2 - Pay &amp; Agency'!D13</f>
        <v>0</v>
      </c>
      <c r="CS13" s="1777">
        <f>'B2 - Pay &amp; Agency'!E13</f>
        <v>0</v>
      </c>
      <c r="CT13" s="1777">
        <f>'B2 - Pay &amp; Agency'!F13</f>
        <v>0</v>
      </c>
      <c r="CU13" s="1777">
        <f>'B2 - Pay &amp; Agency'!G13</f>
        <v>0</v>
      </c>
      <c r="CV13" s="1777">
        <f>'B2 - Pay &amp; Agency'!H13</f>
        <v>0</v>
      </c>
      <c r="CW13" s="1777">
        <f>'B2 - Pay &amp; Agency'!I13</f>
        <v>0</v>
      </c>
      <c r="CX13" s="1777">
        <f>'B2 - Pay &amp; Agency'!J13</f>
        <v>0</v>
      </c>
      <c r="CY13" s="1777">
        <f>'B2 - Pay &amp; Agency'!K13</f>
        <v>0</v>
      </c>
      <c r="CZ13" s="1777">
        <f>'B2 - Pay &amp; Agency'!L13</f>
        <v>0</v>
      </c>
      <c r="DA13" s="1777">
        <f>'B2 - Pay &amp; Agency'!M13</f>
        <v>0</v>
      </c>
      <c r="DB13" s="1778">
        <f>'B2 - Pay &amp; Agency'!N13</f>
        <v>0</v>
      </c>
      <c r="DC13" s="1324">
        <f>'B2 - Pay &amp; Agency'!O13</f>
        <v>0</v>
      </c>
      <c r="DD13" s="1325">
        <f>'B2 - Pay &amp; Agency'!P13</f>
        <v>0</v>
      </c>
      <c r="DF13" s="2852">
        <f>'B3 - COVID-19'!A13</f>
        <v>6</v>
      </c>
      <c r="DG13" s="2845" t="str">
        <f>'B3 - COVID-19'!B13</f>
        <v>Prof Scientific &amp; Technical</v>
      </c>
      <c r="DH13" s="1903">
        <f>'B3 - COVID-19'!C13</f>
        <v>0</v>
      </c>
      <c r="DI13" s="1903">
        <f>'B3 - COVID-19'!D13</f>
        <v>0</v>
      </c>
      <c r="DJ13" s="1903">
        <f>'B3 - COVID-19'!E13</f>
        <v>0</v>
      </c>
      <c r="DK13" s="1903">
        <f>'B3 - COVID-19'!F13</f>
        <v>0</v>
      </c>
      <c r="DL13" s="1903">
        <f>'B3 - COVID-19'!G13</f>
        <v>0</v>
      </c>
      <c r="DM13" s="1903">
        <f>'B3 - COVID-19'!H13</f>
        <v>0</v>
      </c>
      <c r="DN13" s="1903">
        <f>'B3 - COVID-19'!I13</f>
        <v>0</v>
      </c>
      <c r="DO13" s="1903">
        <f>'B3 - COVID-19'!J13</f>
        <v>0</v>
      </c>
      <c r="DP13" s="1903">
        <f>'B3 - COVID-19'!K13</f>
        <v>0</v>
      </c>
      <c r="DQ13" s="1903">
        <f>'B3 - COVID-19'!L13</f>
        <v>0</v>
      </c>
      <c r="DR13" s="1903">
        <f>'B3 - COVID-19'!M13</f>
        <v>0</v>
      </c>
      <c r="DS13" s="1903">
        <f>'B3 - COVID-19'!N13</f>
        <v>0</v>
      </c>
      <c r="DT13" s="1863">
        <f>'B3 - COVID-19'!O13</f>
        <v>0</v>
      </c>
      <c r="DU13" s="1863">
        <f>'B3 - COVID-19'!P13</f>
        <v>0</v>
      </c>
      <c r="DV13" s="608"/>
      <c r="DW13" s="1116"/>
      <c r="DY13" s="2079">
        <f>'C, C1, C2&amp; C3 - Savings Schemes'!A13</f>
        <v>1</v>
      </c>
      <c r="DZ13" s="3038" t="str">
        <f>'C, C1, C2&amp; C3 - Savings Schemes'!B13</f>
        <v>CHC and Funded Nursing Care</v>
      </c>
      <c r="EA13" s="87" t="str">
        <f>'C, C1, C2&amp; C3 - Savings Schemes'!C13</f>
        <v>Budget/Plan</v>
      </c>
      <c r="EB13" s="1790">
        <f>'C, C1, C2&amp; C3 - Savings Schemes'!D13</f>
        <v>0</v>
      </c>
      <c r="EC13" s="1790">
        <f>'C, C1, C2&amp; C3 - Savings Schemes'!E13</f>
        <v>0</v>
      </c>
      <c r="ED13" s="1790">
        <f>'C, C1, C2&amp; C3 - Savings Schemes'!F13</f>
        <v>0</v>
      </c>
      <c r="EE13" s="1790">
        <f>'C, C1, C2&amp; C3 - Savings Schemes'!G13</f>
        <v>0</v>
      </c>
      <c r="EF13" s="1790">
        <f>'C, C1, C2&amp; C3 - Savings Schemes'!H13</f>
        <v>0</v>
      </c>
      <c r="EG13" s="1790">
        <f>'C, C1, C2&amp; C3 - Savings Schemes'!I13</f>
        <v>0</v>
      </c>
      <c r="EH13" s="1790">
        <f>'C, C1, C2&amp; C3 - Savings Schemes'!J13</f>
        <v>0</v>
      </c>
      <c r="EI13" s="1790">
        <f>'C, C1, C2&amp; C3 - Savings Schemes'!K13</f>
        <v>0</v>
      </c>
      <c r="EJ13" s="1790">
        <f>'C, C1, C2&amp; C3 - Savings Schemes'!L13</f>
        <v>0</v>
      </c>
      <c r="EK13" s="1790">
        <f>'C, C1, C2&amp; C3 - Savings Schemes'!M13</f>
        <v>0</v>
      </c>
      <c r="EL13" s="1790">
        <f>'C, C1, C2&amp; C3 - Savings Schemes'!N13</f>
        <v>0</v>
      </c>
      <c r="EM13" s="1790">
        <f>'C, C1, C2&amp; C3 - Savings Schemes'!O13</f>
        <v>0</v>
      </c>
      <c r="EN13" s="943">
        <f>'C, C1, C2&amp; C3 - Savings Schemes'!P13</f>
        <v>0</v>
      </c>
      <c r="EO13" s="938">
        <f>'C, C1, C2&amp; C3 - Savings Schemes'!Q13</f>
        <v>0</v>
      </c>
      <c r="EP13" s="2080"/>
      <c r="EQ13" s="2081"/>
      <c r="ER13" s="2081"/>
      <c r="ES13" s="2081"/>
      <c r="ET13" s="2081"/>
      <c r="EU13" s="138"/>
      <c r="EV13" s="594"/>
      <c r="EW13" s="2043"/>
      <c r="EX13" s="3074"/>
      <c r="EY13" s="1700" t="str">
        <f>'Table C4 Tracker'!B13</f>
        <v>Variance</v>
      </c>
      <c r="EZ13" s="1109">
        <f>'Table C4 Tracker'!C13</f>
        <v>0</v>
      </c>
      <c r="FA13" s="1703">
        <f>'Table C4 Tracker'!D13</f>
        <v>0</v>
      </c>
      <c r="FB13" s="1703">
        <f>'Table C4 Tracker'!E13</f>
        <v>0</v>
      </c>
      <c r="FC13" s="1703">
        <f>'Table C4 Tracker'!F13</f>
        <v>0</v>
      </c>
      <c r="FD13" s="1703">
        <f>'Table C4 Tracker'!G13</f>
        <v>0</v>
      </c>
      <c r="FE13" s="1703">
        <f>'Table C4 Tracker'!H13</f>
        <v>0</v>
      </c>
      <c r="FF13" s="1703">
        <f>'Table C4 Tracker'!I13</f>
        <v>0</v>
      </c>
      <c r="FG13" s="1703">
        <f>'Table C4 Tracker'!J13</f>
        <v>0</v>
      </c>
      <c r="FH13" s="1703">
        <f>'Table C4 Tracker'!K13</f>
        <v>0</v>
      </c>
      <c r="FI13" s="1703">
        <f>'Table C4 Tracker'!L13</f>
        <v>0</v>
      </c>
      <c r="FJ13" s="1703">
        <f>'Table C4 Tracker'!M13</f>
        <v>0</v>
      </c>
      <c r="FK13" s="1703">
        <f>'Table C4 Tracker'!N13</f>
        <v>0</v>
      </c>
      <c r="FL13" s="1710">
        <f>'Table C4 Tracker'!O13</f>
        <v>0</v>
      </c>
      <c r="FM13" s="1701">
        <f>'Table C4 Tracker'!P13</f>
        <v>0</v>
      </c>
      <c r="FN13" s="1702">
        <f>'Table C4 Tracker'!Q13</f>
        <v>0</v>
      </c>
      <c r="FO13" s="1710">
        <f>'Table C4 Tracker'!R13</f>
        <v>0</v>
      </c>
      <c r="FP13" s="1710">
        <f>'Table C4 Tracker'!S13</f>
        <v>0</v>
      </c>
      <c r="FQ13" s="1710">
        <f>'Table C4 Tracker'!T13</f>
        <v>0</v>
      </c>
      <c r="FR13" s="1710">
        <f>'Table C4 Tracker'!U13</f>
        <v>0</v>
      </c>
      <c r="FS13" s="2082"/>
      <c r="FU13" s="2045">
        <f>'D - Welsh NHS Assumptions'!A13</f>
        <v>3</v>
      </c>
      <c r="FV13" s="2083" t="str">
        <f>'D - Welsh NHS Assumptions'!B13</f>
        <v xml:space="preserve">Betsi Cadwaladr University </v>
      </c>
      <c r="FW13" s="2069">
        <f>'D - Welsh NHS Assumptions'!C13</f>
        <v>4306</v>
      </c>
      <c r="FX13" s="2069">
        <f>'D - Welsh NHS Assumptions'!D13</f>
        <v>1961</v>
      </c>
      <c r="FY13" s="2048">
        <f>'D - Welsh NHS Assumptions'!E13</f>
        <v>6267</v>
      </c>
      <c r="FZ13" s="1745"/>
      <c r="GA13" s="2069">
        <f>'D - Welsh NHS Assumptions'!G13</f>
        <v>0</v>
      </c>
      <c r="GB13" s="2069">
        <f>'D - Welsh NHS Assumptions'!H13</f>
        <v>5287</v>
      </c>
      <c r="GC13" s="2048">
        <f>'D - Welsh NHS Assumptions'!I13</f>
        <v>5287</v>
      </c>
      <c r="GD13" s="1745"/>
      <c r="GF13" s="1956" t="str">
        <f>'E - Resource Limits'!A13</f>
        <v>2. ANTICIPATED ALLOCATIONS</v>
      </c>
      <c r="GG13" s="1956"/>
      <c r="GH13" s="1745"/>
      <c r="GI13" s="1745"/>
      <c r="GJ13" s="1745"/>
      <c r="GK13" s="1745"/>
      <c r="GL13" s="1745"/>
      <c r="GM13" s="1745"/>
      <c r="GN13" s="1745"/>
      <c r="GO13" s="1745"/>
      <c r="GP13" s="1745"/>
      <c r="GQ13" s="1745"/>
      <c r="GR13" s="1935"/>
      <c r="GT13" s="1657">
        <f>'E1 - Invoiced Income'!A13</f>
        <v>2</v>
      </c>
      <c r="GU13" s="1791" t="str">
        <f>'E1 - Invoiced Income'!B13</f>
        <v>DEL Non Cash Depreciation - Baseline Surplus / Shortfall</v>
      </c>
      <c r="GV13" s="1771">
        <f>'E1 - Invoiced Income'!C13</f>
        <v>0</v>
      </c>
      <c r="GW13" s="1771">
        <f>'E1 - Invoiced Income'!D13</f>
        <v>0</v>
      </c>
      <c r="GX13" s="1771">
        <f>'E1 - Invoiced Income'!E13</f>
        <v>0</v>
      </c>
      <c r="GY13" s="1771">
        <f>'E1 - Invoiced Income'!F13</f>
        <v>0</v>
      </c>
      <c r="GZ13" s="1771">
        <f>'E1 - Invoiced Income'!G13</f>
        <v>0</v>
      </c>
      <c r="HA13" s="1771">
        <f>'E1 - Invoiced Income'!H13</f>
        <v>0</v>
      </c>
      <c r="HB13" s="1771">
        <f>'E1 - Invoiced Income'!I13</f>
        <v>0</v>
      </c>
      <c r="HC13" s="1771">
        <f>'E1 - Invoiced Income'!J13</f>
        <v>0</v>
      </c>
      <c r="HD13" s="1771">
        <f>'E1 - Invoiced Income'!K13</f>
        <v>0</v>
      </c>
      <c r="HE13" s="1771">
        <f>'E1 - Invoiced Income'!L13</f>
        <v>0</v>
      </c>
      <c r="HF13" s="1771">
        <f>'E1 - Invoiced Income'!M13</f>
        <v>0</v>
      </c>
      <c r="HG13" s="1771">
        <f>'E1 - Invoiced Income'!N13</f>
        <v>0</v>
      </c>
      <c r="HH13" s="1771">
        <f>'E1 - Invoiced Income'!O13</f>
        <v>0</v>
      </c>
      <c r="HI13" s="1771">
        <f>'E1 - Invoiced Income'!P13</f>
        <v>0</v>
      </c>
      <c r="HJ13" s="1771">
        <f>'E1 - Invoiced Income'!R13</f>
        <v>0</v>
      </c>
      <c r="HK13" s="1771">
        <f>'E1 - Invoiced Income'!S13</f>
        <v>0</v>
      </c>
      <c r="HL13" s="1662">
        <f>'E1 - Invoiced Income'!T13</f>
        <v>0</v>
      </c>
      <c r="HM13" s="1792">
        <f>'E1 - Invoiced Income'!U13</f>
        <v>0</v>
      </c>
      <c r="HO13" s="2084">
        <f>'F - SoFP'!A13</f>
        <v>5</v>
      </c>
      <c r="HP13" s="2085" t="str">
        <f>'F - SoFP'!B13</f>
        <v xml:space="preserve">Non-Current Assets sub total </v>
      </c>
      <c r="HQ13" s="2037">
        <f>'F - SoFP'!C13</f>
        <v>0</v>
      </c>
      <c r="HR13" s="2037">
        <f>'F - SoFP'!D13</f>
        <v>0</v>
      </c>
      <c r="HS13" s="2037">
        <f>'F - SoFP'!E13</f>
        <v>0</v>
      </c>
      <c r="HT13" s="1946"/>
      <c r="HV13" s="2053">
        <f>'G - Cash Flow'!A13</f>
        <v>3</v>
      </c>
      <c r="HW13" s="2070" t="str">
        <f>'G - Cash Flow'!B13</f>
        <v>WG Revenue Funding - Other (e.g. invoices)</v>
      </c>
      <c r="HX13" s="2054">
        <f>'G - Cash Flow'!C13</f>
        <v>0</v>
      </c>
      <c r="HY13" s="2054">
        <f>'G - Cash Flow'!D13</f>
        <v>0</v>
      </c>
      <c r="HZ13" s="2054">
        <f>'G - Cash Flow'!E13</f>
        <v>0</v>
      </c>
      <c r="IA13" s="2054">
        <f>'G - Cash Flow'!F13</f>
        <v>0</v>
      </c>
      <c r="IB13" s="2054">
        <f>'G - Cash Flow'!G13</f>
        <v>0</v>
      </c>
      <c r="IC13" s="2054">
        <f>'G - Cash Flow'!H13</f>
        <v>0</v>
      </c>
      <c r="ID13" s="2054">
        <f>'G - Cash Flow'!I13</f>
        <v>0</v>
      </c>
      <c r="IE13" s="2054">
        <f>'G - Cash Flow'!J13</f>
        <v>0</v>
      </c>
      <c r="IF13" s="2054">
        <f>'G - Cash Flow'!K13</f>
        <v>0</v>
      </c>
      <c r="IG13" s="2054">
        <f>'G - Cash Flow'!L13</f>
        <v>0</v>
      </c>
      <c r="IH13" s="2054">
        <f>'G - Cash Flow'!M13</f>
        <v>0</v>
      </c>
      <c r="II13" s="2054">
        <f>'G - Cash Flow'!N13</f>
        <v>0</v>
      </c>
      <c r="IJ13" s="2055">
        <f>'G - Cash Flow'!O13</f>
        <v>0</v>
      </c>
      <c r="IK13" s="1942"/>
      <c r="IM13" s="71"/>
      <c r="IN13" s="388"/>
      <c r="IO13" s="388"/>
      <c r="IP13" s="388"/>
      <c r="IQ13" s="388"/>
      <c r="IR13" s="388"/>
      <c r="IS13" s="388"/>
      <c r="IT13" s="388"/>
      <c r="IU13" s="388"/>
      <c r="IV13" s="388"/>
      <c r="IW13" s="388"/>
      <c r="IX13" s="388"/>
      <c r="IY13" s="388"/>
      <c r="IZ13" s="388"/>
      <c r="JA13" s="388"/>
      <c r="JB13" s="1745"/>
      <c r="JD13" s="2073"/>
      <c r="JE13" s="2086" t="str">
        <f>'I - Capital RLM'!B13</f>
        <v xml:space="preserve">Gross expenditure </v>
      </c>
      <c r="JF13" s="1990"/>
      <c r="JG13" s="1990"/>
      <c r="JH13" s="1990"/>
      <c r="JI13" s="2087"/>
      <c r="JJ13" s="1990"/>
      <c r="JK13" s="1990"/>
      <c r="JL13" s="1990"/>
      <c r="JM13" s="2060"/>
      <c r="JN13" s="278"/>
      <c r="JO13" s="2060"/>
      <c r="JQ13" s="2088">
        <f>'J - Capital In Year Schemes'!A13</f>
        <v>2</v>
      </c>
      <c r="JR13" s="2089">
        <f>'J - Capital In Year Schemes'!B13</f>
        <v>0</v>
      </c>
      <c r="JS13" s="2089">
        <f>'J - Capital In Year Schemes'!C13</f>
        <v>0</v>
      </c>
      <c r="JT13" s="2010">
        <f>'J - Capital In Year Schemes'!D13</f>
        <v>0</v>
      </c>
      <c r="JU13" s="2010">
        <f>'J - Capital In Year Schemes'!E13</f>
        <v>0</v>
      </c>
      <c r="JV13" s="2010">
        <f>'J - Capital In Year Schemes'!F13</f>
        <v>0</v>
      </c>
      <c r="JW13" s="2010">
        <f>'J - Capital In Year Schemes'!G13</f>
        <v>0</v>
      </c>
      <c r="JX13" s="2010">
        <f>'J - Capital In Year Schemes'!H13</f>
        <v>0</v>
      </c>
      <c r="JY13" s="2010">
        <f>'J - Capital In Year Schemes'!I13</f>
        <v>0</v>
      </c>
      <c r="JZ13" s="2010">
        <f>'J - Capital In Year Schemes'!J13</f>
        <v>0</v>
      </c>
      <c r="KA13" s="2010">
        <f>'J - Capital In Year Schemes'!K13</f>
        <v>0</v>
      </c>
      <c r="KB13" s="2010">
        <f>'J - Capital In Year Schemes'!L13</f>
        <v>0</v>
      </c>
      <c r="KC13" s="2010">
        <f>'J - Capital In Year Schemes'!M13</f>
        <v>0</v>
      </c>
      <c r="KD13" s="2010">
        <f>'J - Capital In Year Schemes'!N13</f>
        <v>0</v>
      </c>
      <c r="KE13" s="2010">
        <f>'J - Capital In Year Schemes'!O13</f>
        <v>0</v>
      </c>
      <c r="KF13" s="2010">
        <f>'J - Capital In Year Schemes'!P13</f>
        <v>0</v>
      </c>
      <c r="KG13" s="2010">
        <f>'J - Capital In Year Schemes'!Q13</f>
        <v>0</v>
      </c>
      <c r="KH13" s="2090">
        <f>'J - Capital In Year Schemes'!R13</f>
        <v>0</v>
      </c>
      <c r="KI13" s="2090">
        <f>'J - Capital In Year Schemes'!S13</f>
        <v>0</v>
      </c>
      <c r="KJ13" s="2091">
        <f>'J - Capital In Year Schemes'!T13</f>
        <v>0</v>
      </c>
      <c r="KK13" s="2060">
        <f t="shared" ref="KK13:KK44" si="5">IF(AND(KI13&gt;0,JR13=""),1,0)</f>
        <v>0</v>
      </c>
      <c r="KM13" s="2053">
        <f>'K - Capital Disposals'!A13</f>
        <v>3</v>
      </c>
      <c r="KN13" s="2077">
        <f>'K - Capital Disposals'!B13</f>
        <v>0</v>
      </c>
      <c r="KO13" s="2062">
        <f>'K - Capital Disposals'!C13</f>
        <v>0</v>
      </c>
      <c r="KP13" s="2062">
        <f>'K - Capital Disposals'!D13</f>
        <v>0</v>
      </c>
      <c r="KQ13" s="2078">
        <f>'K - Capital Disposals'!E13</f>
        <v>0</v>
      </c>
      <c r="KR13" s="2064">
        <f>'K - Capital Disposals'!F13</f>
        <v>0</v>
      </c>
      <c r="KS13" s="2064">
        <f>'K - Capital Disposals'!G13</f>
        <v>0</v>
      </c>
      <c r="KT13" s="2054">
        <f>'K - Capital Disposals'!H13</f>
        <v>0</v>
      </c>
      <c r="KU13" s="2055">
        <f>'K - Capital Disposals'!I13</f>
        <v>0</v>
      </c>
      <c r="KV13" s="2092">
        <f>'K - Capital Disposals'!J13</f>
        <v>0</v>
      </c>
      <c r="KW13" s="2093"/>
      <c r="KX13" s="2093"/>
      <c r="KY13" s="2093"/>
      <c r="KZ13" s="2093"/>
      <c r="LA13" s="2093"/>
      <c r="LB13" s="2094"/>
      <c r="LC13" s="1935"/>
      <c r="LE13" s="1615">
        <f>'L - EFL'!A13</f>
        <v>3</v>
      </c>
      <c r="LF13" s="1614" t="str">
        <f>'L - EFL'!B13</f>
        <v>Depreciation on Donated Assets</v>
      </c>
      <c r="LG13" s="1779">
        <f>'L - EFL'!C13</f>
        <v>0</v>
      </c>
      <c r="LH13" s="1779">
        <f>'L - EFL'!D13</f>
        <v>0</v>
      </c>
      <c r="LI13" s="1613">
        <f>'L - EFL'!E13</f>
        <v>0</v>
      </c>
      <c r="LJ13" s="1779">
        <f>'L - EFL'!F13</f>
        <v>0</v>
      </c>
      <c r="LL13" s="814"/>
      <c r="LM13" s="1761">
        <f>'M - Aged Debtors'!B13</f>
        <v>0</v>
      </c>
      <c r="LN13" s="1762">
        <f>'M - Aged Debtors'!C13</f>
        <v>0</v>
      </c>
      <c r="LO13" s="1763">
        <f>'M - Aged Debtors'!D13</f>
        <v>0</v>
      </c>
      <c r="LP13" s="1764">
        <f>'M - Aged Debtors'!E13</f>
        <v>0</v>
      </c>
      <c r="LQ13" s="1972">
        <f>'M - Aged Debtors'!F13</f>
        <v>0</v>
      </c>
      <c r="LR13" s="1166" t="str">
        <f>'M - Aged Debtors'!G13</f>
        <v/>
      </c>
      <c r="LS13" s="829" t="str">
        <f>'M - Aged Debtors'!H13</f>
        <v/>
      </c>
      <c r="LT13" s="829" t="str">
        <f>'M - Aged Debtors'!I13</f>
        <v/>
      </c>
      <c r="LU13" s="830" t="str">
        <f>'M - Aged Debtors'!J13</f>
        <v/>
      </c>
      <c r="LV13" s="1757">
        <f>'M - Aged Debtors'!K13</f>
        <v>0</v>
      </c>
      <c r="LX13" s="454" t="str">
        <f>'N - GMS'!A13</f>
        <v>Total Global Sum and MPIG</v>
      </c>
      <c r="LY13" s="455"/>
      <c r="LZ13" s="456">
        <f>'N - GMS'!C13</f>
        <v>3</v>
      </c>
      <c r="MA13" s="1793">
        <f>'N - GMS'!D13</f>
        <v>0</v>
      </c>
      <c r="MB13" s="1793">
        <f>'N - GMS'!E13</f>
        <v>0</v>
      </c>
      <c r="MC13" s="1794">
        <f>'N - GMS'!F13</f>
        <v>0</v>
      </c>
      <c r="MD13" s="457">
        <f>'N - GMS'!G13</f>
        <v>0</v>
      </c>
      <c r="ME13" s="213"/>
      <c r="MF13" s="458">
        <f>'N - GMS'!I13</f>
        <v>0</v>
      </c>
      <c r="MH13" s="702" t="str">
        <f>'O - Dental'!A13</f>
        <v>Business Rates</v>
      </c>
      <c r="MI13" s="703"/>
      <c r="MJ13" s="698">
        <f>'O - Dental'!C13</f>
        <v>5</v>
      </c>
      <c r="MK13" s="698">
        <f>'O - Dental'!D13</f>
        <v>0</v>
      </c>
      <c r="ML13" s="1781">
        <f>'O - Dental'!E13</f>
        <v>0</v>
      </c>
      <c r="MM13" s="1781">
        <f>'O - Dental'!F13</f>
        <v>0</v>
      </c>
      <c r="MN13" s="661">
        <f>'O - Dental'!G13</f>
        <v>0</v>
      </c>
      <c r="MO13" s="308"/>
      <c r="MP13" s="1765">
        <f>'O - Dental'!I13</f>
        <v>0</v>
      </c>
      <c r="MR13" s="684"/>
      <c r="MS13" s="3035">
        <f>'P - Ringfenced'!B13</f>
        <v>0</v>
      </c>
      <c r="MT13" s="2661" t="str">
        <f>'P - Ringfenced'!C13</f>
        <v>Variance against current plan</v>
      </c>
      <c r="MU13" s="2656">
        <f>'P - Ringfenced'!D13</f>
        <v>0</v>
      </c>
      <c r="MV13" s="2656">
        <f>'P - Ringfenced'!E13</f>
        <v>0</v>
      </c>
      <c r="MW13" s="2680">
        <f>'P - Ringfenced'!F13</f>
        <v>0</v>
      </c>
      <c r="MX13" s="2680">
        <f>'P - Ringfenced'!G13</f>
        <v>0</v>
      </c>
      <c r="MY13" s="2680">
        <f>'P - Ringfenced'!H13</f>
        <v>0</v>
      </c>
      <c r="MZ13" s="2680">
        <f>'P - Ringfenced'!I13</f>
        <v>0</v>
      </c>
      <c r="NA13" s="2680">
        <f>'P - Ringfenced'!J13</f>
        <v>0</v>
      </c>
      <c r="NB13" s="2680">
        <f>'P - Ringfenced'!K13</f>
        <v>0</v>
      </c>
      <c r="NC13" s="2680">
        <f>'P - Ringfenced'!L13</f>
        <v>0</v>
      </c>
      <c r="ND13" s="2680">
        <f>'P - Ringfenced'!M13</f>
        <v>0</v>
      </c>
      <c r="NE13" s="2680">
        <f>'P - Ringfenced'!N13</f>
        <v>0</v>
      </c>
      <c r="NF13" s="2680">
        <f>'P - Ringfenced'!O13</f>
        <v>0</v>
      </c>
      <c r="NG13" s="2680">
        <f>'P - Ringfenced'!P13</f>
        <v>0</v>
      </c>
      <c r="NH13" s="2681">
        <f>'P - Ringfenced'!Q13</f>
        <v>0</v>
      </c>
      <c r="NI13" s="1110">
        <f>'P - Ringfenced'!R13</f>
        <v>0</v>
      </c>
      <c r="NJ13" s="1220">
        <f>'P - Ringfenced'!S13</f>
        <v>0</v>
      </c>
      <c r="NK13" s="1220">
        <f>'P - Ringfenced'!T13</f>
        <v>0</v>
      </c>
      <c r="NL13" s="684"/>
    </row>
    <row r="14" spans="1:376" ht="31.5" customHeight="1" thickBot="1">
      <c r="A14" s="1745"/>
      <c r="B14" s="1745"/>
      <c r="C14" s="1745"/>
      <c r="D14" s="1745"/>
      <c r="E14" s="1745"/>
      <c r="F14" s="1745"/>
      <c r="G14" s="1745"/>
      <c r="H14" s="1745"/>
      <c r="I14" s="1745"/>
      <c r="J14" s="1745"/>
      <c r="K14" s="1745"/>
      <c r="M14" s="950">
        <f>'A - Movement'!A14</f>
        <v>4</v>
      </c>
      <c r="N14" s="991" t="str">
        <f>'A - Movement'!B14</f>
        <v>Planned Welsh Government Funding (Non Covid-19) (Positive Value)</v>
      </c>
      <c r="O14" s="1131">
        <f>'A - Movement'!C14</f>
        <v>30442.000000000011</v>
      </c>
      <c r="P14" s="1131">
        <f>'A - Movement'!D14</f>
        <v>2400.0000000000109</v>
      </c>
      <c r="Q14" s="954">
        <f>'A - Movement'!E14</f>
        <v>28042</v>
      </c>
      <c r="R14" s="954">
        <f>'A - Movement'!F14</f>
        <v>28042</v>
      </c>
      <c r="S14" s="1745"/>
      <c r="T14" s="1928"/>
      <c r="U14" s="950">
        <f>'A - Movement'!I14</f>
        <v>4</v>
      </c>
      <c r="V14" s="991" t="str">
        <f t="shared" si="4"/>
        <v>Planned Welsh Government Funding (Non Covid-19) (Positive Value)</v>
      </c>
      <c r="W14" s="954">
        <f>'A - Movement'!J14</f>
        <v>1556.916666666667</v>
      </c>
      <c r="X14" s="954">
        <f>'A - Movement'!K14</f>
        <v>2625.916666666667</v>
      </c>
      <c r="Y14" s="954">
        <f>'A - Movement'!L14</f>
        <v>2625.916666666667</v>
      </c>
      <c r="Z14" s="954">
        <f>'A - Movement'!M14</f>
        <v>2625.916666666667</v>
      </c>
      <c r="AA14" s="954">
        <f>'A - Movement'!N14</f>
        <v>2625.916666666667</v>
      </c>
      <c r="AB14" s="954">
        <f>'A - Movement'!O14</f>
        <v>2625.916666666667</v>
      </c>
      <c r="AC14" s="954">
        <f>'A - Movement'!P14</f>
        <v>2625.916666666667</v>
      </c>
      <c r="AD14" s="954">
        <f>'A - Movement'!Q14</f>
        <v>2625.916666666667</v>
      </c>
      <c r="AE14" s="954">
        <f>'A - Movement'!R14</f>
        <v>2625.916666666667</v>
      </c>
      <c r="AF14" s="954">
        <f>'A - Movement'!S14</f>
        <v>2625.916666666667</v>
      </c>
      <c r="AG14" s="954">
        <f>'A - Movement'!T14</f>
        <v>2625.916666666667</v>
      </c>
      <c r="AH14" s="954">
        <f>'A - Movement'!U14</f>
        <v>2625.916666666667</v>
      </c>
      <c r="AI14" s="1131">
        <f>'A - Movement'!V14</f>
        <v>1556.916666666667</v>
      </c>
      <c r="AJ14" s="1131">
        <f>'A - Movement'!W14</f>
        <v>30442.000000000011</v>
      </c>
      <c r="AK14" s="1131">
        <f t="shared" si="1"/>
        <v>2400.0000000000109</v>
      </c>
      <c r="AL14" s="954">
        <f t="shared" si="2"/>
        <v>28042</v>
      </c>
      <c r="AM14" s="954">
        <f t="shared" si="3"/>
        <v>28042</v>
      </c>
      <c r="AN14" s="1745"/>
      <c r="AO14" s="1928"/>
      <c r="AP14" s="1401">
        <f>'A1 - Underlying Position'!A15</f>
        <v>4</v>
      </c>
      <c r="AQ14" s="1373" t="str">
        <f>'A1 - Underlying Position'!B15</f>
        <v>Pay - Prof Scientific &amp; Technical</v>
      </c>
      <c r="AR14" s="1782">
        <f>'A1 - Underlying Position'!C15</f>
        <v>0</v>
      </c>
      <c r="AS14" s="1783">
        <f>'A1 - Underlying Position'!D15</f>
        <v>0</v>
      </c>
      <c r="AT14" s="1783">
        <f>'A1 - Underlying Position'!E15</f>
        <v>0</v>
      </c>
      <c r="AU14" s="75">
        <f>'A1 - Underlying Position'!F15</f>
        <v>0</v>
      </c>
      <c r="AV14" s="1784">
        <f>'A1 - Underlying Position'!G15</f>
        <v>0</v>
      </c>
      <c r="AW14" s="75">
        <f>'A1 - Underlying Position'!H15</f>
        <v>0</v>
      </c>
      <c r="AX14" s="1745"/>
      <c r="AZ14" s="1717">
        <f>'A2 - Risks'!A14</f>
        <v>6</v>
      </c>
      <c r="BA14" s="1719" t="str">
        <f>'A2 - Risks'!B14</f>
        <v>Prescribing</v>
      </c>
      <c r="BB14" s="1758">
        <f>'A2 - Risks'!C14</f>
        <v>0</v>
      </c>
      <c r="BC14" s="1759">
        <f>'A2 - Risks'!D14</f>
        <v>0</v>
      </c>
      <c r="BE14" s="2065">
        <f>'B - Monthly Positions'!A14</f>
        <v>4</v>
      </c>
      <c r="BF14" s="89" t="str">
        <f>'B - Monthly Positions'!B14</f>
        <v>WHSSC Income</v>
      </c>
      <c r="BG14" s="93" t="str">
        <f>'B - Monthly Positions'!C14</f>
        <v>Actual/F'cast</v>
      </c>
      <c r="BH14" s="1782">
        <f>'B - Monthly Positions'!D14</f>
        <v>16</v>
      </c>
      <c r="BI14" s="1782">
        <f>'B - Monthly Positions'!E14</f>
        <v>0</v>
      </c>
      <c r="BJ14" s="1782">
        <f>'B - Monthly Positions'!F14</f>
        <v>0</v>
      </c>
      <c r="BK14" s="1782">
        <f>'B - Monthly Positions'!G14</f>
        <v>0</v>
      </c>
      <c r="BL14" s="1783">
        <f>'B - Monthly Positions'!H14</f>
        <v>0</v>
      </c>
      <c r="BM14" s="1783">
        <f>'B - Monthly Positions'!I14</f>
        <v>0</v>
      </c>
      <c r="BN14" s="1783">
        <f>'B - Monthly Positions'!J14</f>
        <v>0</v>
      </c>
      <c r="BO14" s="1783">
        <f>'B - Monthly Positions'!K14</f>
        <v>0</v>
      </c>
      <c r="BP14" s="1783">
        <f>'B - Monthly Positions'!L14</f>
        <v>0</v>
      </c>
      <c r="BQ14" s="1783">
        <f>'B - Monthly Positions'!M14</f>
        <v>0</v>
      </c>
      <c r="BR14" s="1783">
        <f>'B - Monthly Positions'!N14</f>
        <v>0</v>
      </c>
      <c r="BS14" s="1786">
        <f>'B - Monthly Positions'!O14</f>
        <v>0</v>
      </c>
      <c r="BT14" s="1782">
        <f>'B - Monthly Positions'!P14</f>
        <v>16</v>
      </c>
      <c r="BU14" s="1782">
        <f>'B - Monthly Positions'!Q14</f>
        <v>16</v>
      </c>
      <c r="BV14" s="1643"/>
      <c r="BW14" s="1875"/>
      <c r="BX14" s="890">
        <f>' Table Z Net Exp Profiles'!A14</f>
        <v>5</v>
      </c>
      <c r="BY14" s="1260" t="str">
        <f>' Table Z Net Exp Profiles'!B14</f>
        <v xml:space="preserve">Gross Pay - Actual/Forecast </v>
      </c>
      <c r="BZ14" s="1214">
        <f>' Table Z Net Exp Profiles'!C14</f>
        <v>0</v>
      </c>
      <c r="CA14" s="964">
        <f>' Table Z Net Exp Profiles'!D14</f>
        <v>0</v>
      </c>
      <c r="CB14" s="964">
        <f>' Table Z Net Exp Profiles'!E14</f>
        <v>0</v>
      </c>
      <c r="CC14" s="964">
        <f>' Table Z Net Exp Profiles'!F14</f>
        <v>0</v>
      </c>
      <c r="CD14" s="964">
        <f>' Table Z Net Exp Profiles'!G14</f>
        <v>0</v>
      </c>
      <c r="CE14" s="964">
        <f>' Table Z Net Exp Profiles'!H14</f>
        <v>0</v>
      </c>
      <c r="CF14" s="964">
        <f>' Table Z Net Exp Profiles'!I14</f>
        <v>0</v>
      </c>
      <c r="CG14" s="964">
        <f>' Table Z Net Exp Profiles'!J14</f>
        <v>0</v>
      </c>
      <c r="CH14" s="964">
        <f>' Table Z Net Exp Profiles'!K14</f>
        <v>0</v>
      </c>
      <c r="CI14" s="964">
        <f>' Table Z Net Exp Profiles'!L14</f>
        <v>0</v>
      </c>
      <c r="CJ14" s="964">
        <f>' Table Z Net Exp Profiles'!M14</f>
        <v>0</v>
      </c>
      <c r="CK14" s="964">
        <f>' Table Z Net Exp Profiles'!N14</f>
        <v>0</v>
      </c>
      <c r="CL14" s="1215">
        <f>' Table Z Net Exp Profiles'!O14</f>
        <v>0</v>
      </c>
      <c r="CM14" s="1215">
        <f>' Table Z Net Exp Profiles'!P14</f>
        <v>0</v>
      </c>
      <c r="CO14" s="1329">
        <f>'B2 - Pay &amp; Agency'!A14</f>
        <v>5</v>
      </c>
      <c r="CP14" s="1333" t="str">
        <f>'B2 - Pay &amp; Agency'!B14</f>
        <v xml:space="preserve">Additional Clinical Services </v>
      </c>
      <c r="CQ14" s="1776">
        <f>'B2 - Pay &amp; Agency'!C14</f>
        <v>290</v>
      </c>
      <c r="CR14" s="1777">
        <f>'B2 - Pay &amp; Agency'!D14</f>
        <v>270.49183333333332</v>
      </c>
      <c r="CS14" s="1777">
        <f>'B2 - Pay &amp; Agency'!E14</f>
        <v>270.49183333333332</v>
      </c>
      <c r="CT14" s="1777">
        <f>'B2 - Pay &amp; Agency'!F14</f>
        <v>270.49183333333332</v>
      </c>
      <c r="CU14" s="1777">
        <f>'B2 - Pay &amp; Agency'!G14</f>
        <v>270.49183333333332</v>
      </c>
      <c r="CV14" s="1777">
        <f>'B2 - Pay &amp; Agency'!H14</f>
        <v>270.49183333333332</v>
      </c>
      <c r="CW14" s="1777">
        <f>'B2 - Pay &amp; Agency'!I14</f>
        <v>270.49183333333332</v>
      </c>
      <c r="CX14" s="1777">
        <f>'B2 - Pay &amp; Agency'!J14</f>
        <v>270.49183333333332</v>
      </c>
      <c r="CY14" s="1777">
        <f>'B2 - Pay &amp; Agency'!K14</f>
        <v>270.49183333333332</v>
      </c>
      <c r="CZ14" s="1777">
        <f>'B2 - Pay &amp; Agency'!L14</f>
        <v>270.49183333333332</v>
      </c>
      <c r="DA14" s="1777">
        <f>'B2 - Pay &amp; Agency'!M14</f>
        <v>270.49183333333332</v>
      </c>
      <c r="DB14" s="1778">
        <f>'B2 - Pay &amp; Agency'!N14</f>
        <v>270.49183333333332</v>
      </c>
      <c r="DC14" s="1324">
        <f>'B2 - Pay &amp; Agency'!O14</f>
        <v>290</v>
      </c>
      <c r="DD14" s="1325">
        <f>'B2 - Pay &amp; Agency'!P14</f>
        <v>3265.410166666667</v>
      </c>
      <c r="DF14" s="2852">
        <f>'B3 - COVID-19'!A14</f>
        <v>7</v>
      </c>
      <c r="DG14" s="2845" t="str">
        <f>'B3 - COVID-19'!B14</f>
        <v xml:space="preserve">Additional Clinical Services </v>
      </c>
      <c r="DH14" s="1903">
        <f>'B3 - COVID-19'!C14</f>
        <v>2.4549099999999999</v>
      </c>
      <c r="DI14" s="1903">
        <f>'B3 - COVID-19'!D14</f>
        <v>2.4918333333333336</v>
      </c>
      <c r="DJ14" s="1903">
        <f>'B3 - COVID-19'!E14</f>
        <v>2.4918333333333336</v>
      </c>
      <c r="DK14" s="1903">
        <f>'B3 - COVID-19'!F14</f>
        <v>2.4918333333333336</v>
      </c>
      <c r="DL14" s="1903">
        <f>'B3 - COVID-19'!G14</f>
        <v>2.4918333333333336</v>
      </c>
      <c r="DM14" s="1903">
        <f>'B3 - COVID-19'!H14</f>
        <v>2.4918333333333336</v>
      </c>
      <c r="DN14" s="1903">
        <f>'B3 - COVID-19'!I14</f>
        <v>2.4918333333333336</v>
      </c>
      <c r="DO14" s="1903">
        <f>'B3 - COVID-19'!J14</f>
        <v>2.4918333333333336</v>
      </c>
      <c r="DP14" s="1903">
        <f>'B3 - COVID-19'!K14</f>
        <v>2.4918333333333336</v>
      </c>
      <c r="DQ14" s="1903">
        <f>'B3 - COVID-19'!L14</f>
        <v>2.4918333333333336</v>
      </c>
      <c r="DR14" s="1903">
        <f>'B3 - COVID-19'!M14</f>
        <v>2.4918333333333336</v>
      </c>
      <c r="DS14" s="1903">
        <f>'B3 - COVID-19'!N14</f>
        <v>2.4918333333333336</v>
      </c>
      <c r="DT14" s="1863">
        <f>'B3 - COVID-19'!O14</f>
        <v>2.4549099999999999</v>
      </c>
      <c r="DU14" s="1863">
        <f>'B3 - COVID-19'!P14</f>
        <v>29.865076666666663</v>
      </c>
      <c r="DV14" s="608"/>
      <c r="DW14" s="1116"/>
      <c r="DY14" s="2095">
        <f>'C, C1, C2&amp; C3 - Savings Schemes'!A14</f>
        <v>2</v>
      </c>
      <c r="DZ14" s="3039"/>
      <c r="EA14" s="90" t="str">
        <f>'C, C1, C2&amp; C3 - Savings Schemes'!C14</f>
        <v>Actual/F'cast</v>
      </c>
      <c r="EB14" s="1782">
        <f>'C, C1, C2&amp; C3 - Savings Schemes'!D14</f>
        <v>0</v>
      </c>
      <c r="EC14" s="1782">
        <f>'C, C1, C2&amp; C3 - Savings Schemes'!E14</f>
        <v>0</v>
      </c>
      <c r="ED14" s="1782">
        <f>'C, C1, C2&amp; C3 - Savings Schemes'!F14</f>
        <v>0</v>
      </c>
      <c r="EE14" s="1782">
        <f>'C, C1, C2&amp; C3 - Savings Schemes'!G14</f>
        <v>0</v>
      </c>
      <c r="EF14" s="1782">
        <f>'C, C1, C2&amp; C3 - Savings Schemes'!H14</f>
        <v>0</v>
      </c>
      <c r="EG14" s="1782">
        <f>'C, C1, C2&amp; C3 - Savings Schemes'!I14</f>
        <v>0</v>
      </c>
      <c r="EH14" s="1782">
        <f>'C, C1, C2&amp; C3 - Savings Schemes'!J14</f>
        <v>0</v>
      </c>
      <c r="EI14" s="1782">
        <f>'C, C1, C2&amp; C3 - Savings Schemes'!K14</f>
        <v>0</v>
      </c>
      <c r="EJ14" s="1782">
        <f>'C, C1, C2&amp; C3 - Savings Schemes'!L14</f>
        <v>0</v>
      </c>
      <c r="EK14" s="1782">
        <f>'C, C1, C2&amp; C3 - Savings Schemes'!M14</f>
        <v>0</v>
      </c>
      <c r="EL14" s="1782">
        <f>'C, C1, C2&amp; C3 - Savings Schemes'!N14</f>
        <v>0</v>
      </c>
      <c r="EM14" s="1795">
        <f>'C, C1, C2&amp; C3 - Savings Schemes'!O14</f>
        <v>0</v>
      </c>
      <c r="EN14" s="121">
        <f>'C, C1, C2&amp; C3 - Savings Schemes'!P14</f>
        <v>0</v>
      </c>
      <c r="EO14" s="940">
        <f>'C, C1, C2&amp; C3 - Savings Schemes'!Q14</f>
        <v>0</v>
      </c>
      <c r="EP14" s="1167" t="e">
        <f>'C, C1, C2&amp; C3 - Savings Schemes'!R14</f>
        <v>#DIV/0!</v>
      </c>
      <c r="EQ14" s="2096">
        <f>'C, C1, C2&amp; C3 - Savings Schemes'!S14</f>
        <v>0</v>
      </c>
      <c r="ER14" s="2096">
        <f>'C, C1, C2&amp; C3 - Savings Schemes'!T14</f>
        <v>0</v>
      </c>
      <c r="ES14" s="2096">
        <f>'C, C1, C2&amp; C3 - Savings Schemes'!U14</f>
        <v>0</v>
      </c>
      <c r="ET14" s="2096">
        <f>'C, C1, C2&amp; C3 - Savings Schemes'!V14</f>
        <v>0</v>
      </c>
      <c r="EU14" s="111"/>
      <c r="EV14" s="1796">
        <f>'C, C1, C2&amp; C3 - Savings Schemes'!X14</f>
        <v>0</v>
      </c>
      <c r="EW14" s="1932"/>
      <c r="EX14" s="3074"/>
      <c r="EY14" s="1063" t="str">
        <f>'Table C4 Tracker'!B14</f>
        <v>Total Plan</v>
      </c>
      <c r="EZ14" s="1705">
        <f>'Table C4 Tracker'!C14</f>
        <v>0</v>
      </c>
      <c r="FA14" s="1706">
        <f>'Table C4 Tracker'!D14</f>
        <v>1244.4166666666665</v>
      </c>
      <c r="FB14" s="1706">
        <f>'Table C4 Tracker'!E14</f>
        <v>175.41666666666666</v>
      </c>
      <c r="FC14" s="1706">
        <f>'Table C4 Tracker'!F14</f>
        <v>175.41666666666666</v>
      </c>
      <c r="FD14" s="1706">
        <f>'Table C4 Tracker'!G14</f>
        <v>175.41666666666666</v>
      </c>
      <c r="FE14" s="1706">
        <f>'Table C4 Tracker'!H14</f>
        <v>175.41666666666666</v>
      </c>
      <c r="FF14" s="1706">
        <f>'Table C4 Tracker'!I14</f>
        <v>175.41666666666666</v>
      </c>
      <c r="FG14" s="1706">
        <f>'Table C4 Tracker'!J14</f>
        <v>175.41666666666666</v>
      </c>
      <c r="FH14" s="1706">
        <f>'Table C4 Tracker'!K14</f>
        <v>175.41666666666666</v>
      </c>
      <c r="FI14" s="1706">
        <f>'Table C4 Tracker'!L14</f>
        <v>175.41666666666666</v>
      </c>
      <c r="FJ14" s="1706">
        <f>'Table C4 Tracker'!M14</f>
        <v>175.41666666666666</v>
      </c>
      <c r="FK14" s="1706">
        <f>'Table C4 Tracker'!N14</f>
        <v>175.41666666666666</v>
      </c>
      <c r="FL14" s="1709">
        <f>'Table C4 Tracker'!O14</f>
        <v>175.41666666666666</v>
      </c>
      <c r="FM14" s="1458">
        <f>'Table C4 Tracker'!P14</f>
        <v>1244.4166666666665</v>
      </c>
      <c r="FN14" s="1707">
        <f>'Table C4 Tracker'!Q14</f>
        <v>3173.9999999999991</v>
      </c>
      <c r="FO14" s="1709">
        <f>'Table C4 Tracker'!R14</f>
        <v>661</v>
      </c>
      <c r="FP14" s="1709">
        <f>'Table C4 Tracker'!S14</f>
        <v>2513</v>
      </c>
      <c r="FQ14" s="1709">
        <f>'Table C4 Tracker'!T14</f>
        <v>0</v>
      </c>
      <c r="FR14" s="1709">
        <f>'Table C4 Tracker'!U14</f>
        <v>2513</v>
      </c>
      <c r="FS14" s="1957"/>
      <c r="FU14" s="2045">
        <f>'D - Welsh NHS Assumptions'!A14</f>
        <v>4</v>
      </c>
      <c r="FV14" s="2083" t="str">
        <f>'D - Welsh NHS Assumptions'!B14</f>
        <v>Cardiff &amp; Vale University</v>
      </c>
      <c r="FW14" s="2069">
        <f>'D - Welsh NHS Assumptions'!C14</f>
        <v>5913</v>
      </c>
      <c r="FX14" s="2069">
        <f>'D - Welsh NHS Assumptions'!D14</f>
        <v>1923</v>
      </c>
      <c r="FY14" s="2048">
        <f>'D - Welsh NHS Assumptions'!E14</f>
        <v>7836</v>
      </c>
      <c r="FZ14" s="1745"/>
      <c r="GA14" s="2069">
        <f>'D - Welsh NHS Assumptions'!G14</f>
        <v>3666</v>
      </c>
      <c r="GB14" s="2069">
        <f>'D - Welsh NHS Assumptions'!H14</f>
        <v>3184</v>
      </c>
      <c r="GC14" s="2048">
        <f>'D - Welsh NHS Assumptions'!I14</f>
        <v>6850</v>
      </c>
      <c r="GD14" s="1745"/>
      <c r="GF14" s="1745"/>
      <c r="GG14" s="1745"/>
      <c r="GH14" s="1745"/>
      <c r="GI14" s="1745"/>
      <c r="GJ14" s="1745"/>
      <c r="GK14" s="1745"/>
      <c r="GL14" s="1745"/>
      <c r="GM14" s="1745"/>
      <c r="GN14" s="1745"/>
      <c r="GO14" s="1745"/>
      <c r="GP14" s="1745"/>
      <c r="GQ14" s="1745"/>
      <c r="GR14" s="1935"/>
      <c r="GT14" s="175">
        <f>'E1 - Invoiced Income'!A14</f>
        <v>3</v>
      </c>
      <c r="GU14" s="1797" t="str">
        <f>'E1 - Invoiced Income'!B14</f>
        <v>DEL Non Cash Depreciation - Strategic</v>
      </c>
      <c r="GV14" s="1798">
        <f>'E1 - Invoiced Income'!C14</f>
        <v>0</v>
      </c>
      <c r="GW14" s="1798">
        <f>'E1 - Invoiced Income'!D14</f>
        <v>0</v>
      </c>
      <c r="GX14" s="1798">
        <f>'E1 - Invoiced Income'!E14</f>
        <v>0</v>
      </c>
      <c r="GY14" s="1798">
        <f>'E1 - Invoiced Income'!F14</f>
        <v>0</v>
      </c>
      <c r="GZ14" s="1798">
        <f>'E1 - Invoiced Income'!G14</f>
        <v>0</v>
      </c>
      <c r="HA14" s="1798">
        <f>'E1 - Invoiced Income'!H14</f>
        <v>0</v>
      </c>
      <c r="HB14" s="1798">
        <f>'E1 - Invoiced Income'!I14</f>
        <v>0</v>
      </c>
      <c r="HC14" s="1798">
        <f>'E1 - Invoiced Income'!J14</f>
        <v>0</v>
      </c>
      <c r="HD14" s="1798">
        <f>'E1 - Invoiced Income'!K14</f>
        <v>0</v>
      </c>
      <c r="HE14" s="1798">
        <f>'E1 - Invoiced Income'!L14</f>
        <v>0</v>
      </c>
      <c r="HF14" s="1798">
        <f>'E1 - Invoiced Income'!M14</f>
        <v>0</v>
      </c>
      <c r="HG14" s="1798">
        <f>'E1 - Invoiced Income'!N14</f>
        <v>0</v>
      </c>
      <c r="HH14" s="1798">
        <f>'E1 - Invoiced Income'!O14</f>
        <v>0</v>
      </c>
      <c r="HI14" s="1798">
        <f>'E1 - Invoiced Income'!P14</f>
        <v>0</v>
      </c>
      <c r="HJ14" s="1798">
        <f>'E1 - Invoiced Income'!R14</f>
        <v>0</v>
      </c>
      <c r="HK14" s="1798">
        <f>'E1 - Invoiced Income'!S14</f>
        <v>0</v>
      </c>
      <c r="HL14" s="1665">
        <f>'E1 - Invoiced Income'!T14</f>
        <v>0</v>
      </c>
      <c r="HM14" s="1799">
        <f>'E1 - Invoiced Income'!U14</f>
        <v>0</v>
      </c>
      <c r="HO14" s="2049"/>
      <c r="HP14" s="2032" t="str">
        <f>'F - SoFP'!B14</f>
        <v>Current Assets</v>
      </c>
      <c r="HQ14" s="2097"/>
      <c r="HR14" s="2098"/>
      <c r="HS14" s="2098"/>
      <c r="HT14" s="1946"/>
      <c r="HV14" s="2053">
        <f>'G - Cash Flow'!A14</f>
        <v>4</v>
      </c>
      <c r="HW14" s="2070" t="str">
        <f>'G - Cash Flow'!B14</f>
        <v>WG Capital Funding - Cash Limit - LHB &amp; SHA only</v>
      </c>
      <c r="HX14" s="2054">
        <f>'G - Cash Flow'!C14</f>
        <v>0</v>
      </c>
      <c r="HY14" s="2054">
        <f>'G - Cash Flow'!D14</f>
        <v>0</v>
      </c>
      <c r="HZ14" s="2054">
        <f>'G - Cash Flow'!E14</f>
        <v>0</v>
      </c>
      <c r="IA14" s="2054">
        <f>'G - Cash Flow'!F14</f>
        <v>0</v>
      </c>
      <c r="IB14" s="2054">
        <f>'G - Cash Flow'!G14</f>
        <v>0</v>
      </c>
      <c r="IC14" s="2054">
        <f>'G - Cash Flow'!H14</f>
        <v>0</v>
      </c>
      <c r="ID14" s="2054">
        <f>'G - Cash Flow'!I14</f>
        <v>0</v>
      </c>
      <c r="IE14" s="2054">
        <f>'G - Cash Flow'!J14</f>
        <v>0</v>
      </c>
      <c r="IF14" s="2054">
        <f>'G - Cash Flow'!K14</f>
        <v>0</v>
      </c>
      <c r="IG14" s="2054">
        <f>'G - Cash Flow'!L14</f>
        <v>0</v>
      </c>
      <c r="IH14" s="2054">
        <f>'G - Cash Flow'!M14</f>
        <v>0</v>
      </c>
      <c r="II14" s="2054">
        <f>'G - Cash Flow'!N14</f>
        <v>0</v>
      </c>
      <c r="IJ14" s="2055">
        <f>'G - Cash Flow'!O14</f>
        <v>0</v>
      </c>
      <c r="IK14" s="1942"/>
      <c r="IM14" s="71"/>
      <c r="IN14" s="71"/>
      <c r="IO14" s="71"/>
      <c r="IP14" s="71"/>
      <c r="IQ14" s="71"/>
      <c r="IR14" s="71"/>
      <c r="IS14" s="71"/>
      <c r="IT14" s="71"/>
      <c r="IU14" s="71"/>
      <c r="IV14" s="71"/>
      <c r="IW14" s="71"/>
      <c r="IX14" s="71"/>
      <c r="IY14" s="71"/>
      <c r="IZ14" s="71"/>
      <c r="JA14" s="71"/>
      <c r="JB14" s="1745"/>
      <c r="JD14" s="2099"/>
      <c r="JE14" s="2100">
        <f>'I - Capital RLM'!B14</f>
        <v>0</v>
      </c>
      <c r="JF14" s="2031"/>
      <c r="JG14" s="2031"/>
      <c r="JH14" s="2031"/>
      <c r="JI14" s="2087"/>
      <c r="JJ14" s="2031"/>
      <c r="JK14" s="2031"/>
      <c r="JL14" s="2031"/>
      <c r="JM14" s="2060"/>
      <c r="JN14" s="281"/>
      <c r="JO14" s="2060"/>
      <c r="JQ14" s="2088">
        <f>'J - Capital In Year Schemes'!A14</f>
        <v>3</v>
      </c>
      <c r="JR14" s="2089">
        <f>'J - Capital In Year Schemes'!B14</f>
        <v>0</v>
      </c>
      <c r="JS14" s="2089">
        <f>'J - Capital In Year Schemes'!C14</f>
        <v>0</v>
      </c>
      <c r="JT14" s="2010">
        <f>'J - Capital In Year Schemes'!D14</f>
        <v>0</v>
      </c>
      <c r="JU14" s="2010">
        <f>'J - Capital In Year Schemes'!E14</f>
        <v>0</v>
      </c>
      <c r="JV14" s="2010">
        <f>'J - Capital In Year Schemes'!F14</f>
        <v>0</v>
      </c>
      <c r="JW14" s="2010">
        <f>'J - Capital In Year Schemes'!G14</f>
        <v>0</v>
      </c>
      <c r="JX14" s="2010">
        <f>'J - Capital In Year Schemes'!H14</f>
        <v>0</v>
      </c>
      <c r="JY14" s="2010">
        <f>'J - Capital In Year Schemes'!I14</f>
        <v>0</v>
      </c>
      <c r="JZ14" s="2010">
        <f>'J - Capital In Year Schemes'!J14</f>
        <v>0</v>
      </c>
      <c r="KA14" s="2010">
        <f>'J - Capital In Year Schemes'!K14</f>
        <v>0</v>
      </c>
      <c r="KB14" s="2010">
        <f>'J - Capital In Year Schemes'!L14</f>
        <v>0</v>
      </c>
      <c r="KC14" s="2010">
        <f>'J - Capital In Year Schemes'!M14</f>
        <v>0</v>
      </c>
      <c r="KD14" s="2010">
        <f>'J - Capital In Year Schemes'!N14</f>
        <v>0</v>
      </c>
      <c r="KE14" s="2010">
        <f>'J - Capital In Year Schemes'!O14</f>
        <v>0</v>
      </c>
      <c r="KF14" s="2010">
        <f>'J - Capital In Year Schemes'!P14</f>
        <v>0</v>
      </c>
      <c r="KG14" s="2010">
        <f>'J - Capital In Year Schemes'!Q14</f>
        <v>0</v>
      </c>
      <c r="KH14" s="2090">
        <f>'J - Capital In Year Schemes'!R14</f>
        <v>0</v>
      </c>
      <c r="KI14" s="2090">
        <f>'J - Capital In Year Schemes'!S14</f>
        <v>0</v>
      </c>
      <c r="KJ14" s="2091">
        <f>'J - Capital In Year Schemes'!T14</f>
        <v>0</v>
      </c>
      <c r="KK14" s="2060">
        <f t="shared" si="5"/>
        <v>0</v>
      </c>
      <c r="KM14" s="2053">
        <f>'K - Capital Disposals'!A14</f>
        <v>4</v>
      </c>
      <c r="KN14" s="2077">
        <f>'K - Capital Disposals'!B14</f>
        <v>0</v>
      </c>
      <c r="KO14" s="2062">
        <f>'K - Capital Disposals'!C14</f>
        <v>0</v>
      </c>
      <c r="KP14" s="2062">
        <f>'K - Capital Disposals'!D14</f>
        <v>0</v>
      </c>
      <c r="KQ14" s="2078">
        <f>'K - Capital Disposals'!E14</f>
        <v>0</v>
      </c>
      <c r="KR14" s="2064">
        <f>'K - Capital Disposals'!F14</f>
        <v>0</v>
      </c>
      <c r="KS14" s="2064">
        <f>'K - Capital Disposals'!G14</f>
        <v>0</v>
      </c>
      <c r="KT14" s="2054">
        <f>'K - Capital Disposals'!H14</f>
        <v>0</v>
      </c>
      <c r="KU14" s="2055">
        <f>'K - Capital Disposals'!I14</f>
        <v>0</v>
      </c>
      <c r="KV14" s="2092">
        <f>'K - Capital Disposals'!J14</f>
        <v>0</v>
      </c>
      <c r="KW14" s="2093"/>
      <c r="KX14" s="2093"/>
      <c r="KY14" s="2093"/>
      <c r="KZ14" s="2093"/>
      <c r="LA14" s="2093"/>
      <c r="LB14" s="2094"/>
      <c r="LC14" s="1935"/>
      <c r="LE14" s="1615">
        <f>'L - EFL'!A14</f>
        <v>4</v>
      </c>
      <c r="LF14" s="1614" t="str">
        <f>'L - EFL'!B14</f>
        <v>DEL and AME Impairments</v>
      </c>
      <c r="LG14" s="1779">
        <f>'L - EFL'!C14</f>
        <v>0</v>
      </c>
      <c r="LH14" s="1779">
        <f>'L - EFL'!D14</f>
        <v>0</v>
      </c>
      <c r="LI14" s="1613">
        <f>'L - EFL'!E14</f>
        <v>0</v>
      </c>
      <c r="LJ14" s="1779">
        <f>'L - EFL'!F14</f>
        <v>0</v>
      </c>
      <c r="LL14" s="814"/>
      <c r="LM14" s="1761">
        <f>'M - Aged Debtors'!B14</f>
        <v>0</v>
      </c>
      <c r="LN14" s="1762">
        <f>'M - Aged Debtors'!C14</f>
        <v>0</v>
      </c>
      <c r="LO14" s="1763">
        <f>'M - Aged Debtors'!D14</f>
        <v>0</v>
      </c>
      <c r="LP14" s="1764">
        <f>'M - Aged Debtors'!E14</f>
        <v>0</v>
      </c>
      <c r="LQ14" s="1972">
        <f>'M - Aged Debtors'!F14</f>
        <v>0</v>
      </c>
      <c r="LR14" s="1166" t="str">
        <f>'M - Aged Debtors'!G14</f>
        <v/>
      </c>
      <c r="LS14" s="829" t="str">
        <f>'M - Aged Debtors'!H14</f>
        <v/>
      </c>
      <c r="LT14" s="829" t="str">
        <f>'M - Aged Debtors'!I14</f>
        <v/>
      </c>
      <c r="LU14" s="830" t="str">
        <f>'M - Aged Debtors'!J14</f>
        <v/>
      </c>
      <c r="LV14" s="1757">
        <f>'M - Aged Debtors'!K14</f>
        <v>0</v>
      </c>
      <c r="LX14" s="3098" t="str">
        <f>'N - GMS'!A14</f>
        <v/>
      </c>
      <c r="LY14" s="3099"/>
      <c r="LZ14" s="3099"/>
      <c r="MA14" s="223"/>
      <c r="MB14" s="223"/>
      <c r="MC14" s="223"/>
      <c r="MD14" s="214"/>
      <c r="ME14" s="214"/>
      <c r="MF14" s="214"/>
      <c r="MH14" s="1679" t="str">
        <f>'O - Dental'!A14</f>
        <v>Domiciliary Services</v>
      </c>
      <c r="MI14" s="703"/>
      <c r="MJ14" s="701">
        <f>'O - Dental'!C14</f>
        <v>6</v>
      </c>
      <c r="MK14" s="701">
        <f>'O - Dental'!D14</f>
        <v>0</v>
      </c>
      <c r="ML14" s="1781">
        <f>'O - Dental'!E14</f>
        <v>0</v>
      </c>
      <c r="MM14" s="1781">
        <f>'O - Dental'!F14</f>
        <v>0</v>
      </c>
      <c r="MN14" s="661">
        <f>'O - Dental'!G14</f>
        <v>0</v>
      </c>
      <c r="MO14" s="308"/>
      <c r="MP14" s="1765">
        <f>'O - Dental'!I14</f>
        <v>0</v>
      </c>
      <c r="MR14" s="684"/>
      <c r="MS14" s="3033" t="str">
        <f>'P - Ringfenced'!B14</f>
        <v>Regional Integration Fund (£132.7m)</v>
      </c>
      <c r="MT14" s="1101" t="str">
        <f>'P - Ringfenced'!C14</f>
        <v>Plan</v>
      </c>
      <c r="MU14" s="2655">
        <f>'P - Ringfenced'!D14</f>
        <v>0</v>
      </c>
      <c r="MV14" s="2655">
        <f>'P - Ringfenced'!E14</f>
        <v>0</v>
      </c>
      <c r="MW14" s="2693">
        <f>'P - Ringfenced'!F14</f>
        <v>0</v>
      </c>
      <c r="MX14" s="2693">
        <f>'P - Ringfenced'!G14</f>
        <v>0</v>
      </c>
      <c r="MY14" s="2693">
        <f>'P - Ringfenced'!H14</f>
        <v>0</v>
      </c>
      <c r="MZ14" s="2693">
        <f>'P - Ringfenced'!I14</f>
        <v>0</v>
      </c>
      <c r="NA14" s="2693">
        <f>'P - Ringfenced'!J14</f>
        <v>0</v>
      </c>
      <c r="NB14" s="2693">
        <f>'P - Ringfenced'!K14</f>
        <v>0</v>
      </c>
      <c r="NC14" s="2693">
        <f>'P - Ringfenced'!L14</f>
        <v>0</v>
      </c>
      <c r="ND14" s="2693">
        <f>'P - Ringfenced'!M14</f>
        <v>0</v>
      </c>
      <c r="NE14" s="2693">
        <f>'P - Ringfenced'!N14</f>
        <v>0</v>
      </c>
      <c r="NF14" s="2693">
        <f>'P - Ringfenced'!O14</f>
        <v>0</v>
      </c>
      <c r="NG14" s="2693">
        <f>'P - Ringfenced'!P14</f>
        <v>0</v>
      </c>
      <c r="NH14" s="2695">
        <f>'P - Ringfenced'!Q14</f>
        <v>0</v>
      </c>
      <c r="NI14" s="1324">
        <f>'P - Ringfenced'!R14</f>
        <v>0</v>
      </c>
      <c r="NJ14" s="1325">
        <f>'P - Ringfenced'!S14</f>
        <v>0</v>
      </c>
      <c r="NK14" s="2860"/>
      <c r="NL14" s="684"/>
    </row>
    <row r="15" spans="1:376" ht="20.149999999999999" customHeight="1" thickBot="1">
      <c r="A15" s="1745"/>
      <c r="B15" s="1745"/>
      <c r="C15" s="1745"/>
      <c r="D15" s="1745"/>
      <c r="E15" s="1745"/>
      <c r="F15" s="1745"/>
      <c r="G15" s="1745"/>
      <c r="H15" s="1745"/>
      <c r="I15" s="1745"/>
      <c r="J15" s="1745"/>
      <c r="K15" s="1745"/>
      <c r="M15" s="950">
        <f>'A - Movement'!A15</f>
        <v>5</v>
      </c>
      <c r="N15" s="1862" t="str">
        <f>'A - Movement'!B15</f>
        <v>Planned Welsh Government Funding for Covid-19 (Positive Value)</v>
      </c>
      <c r="O15" s="1131">
        <f>'A - Movement'!C15</f>
        <v>16929.999810976002</v>
      </c>
      <c r="P15" s="1131">
        <f>'A - Movement'!D15</f>
        <v>16929.999810976002</v>
      </c>
      <c r="Q15" s="954">
        <f>'A - Movement'!E15</f>
        <v>0</v>
      </c>
      <c r="R15" s="954">
        <f>'A - Movement'!F15</f>
        <v>0</v>
      </c>
      <c r="S15" s="1745"/>
      <c r="T15" s="1928"/>
      <c r="U15" s="950">
        <f>'A - Movement'!I15</f>
        <v>5</v>
      </c>
      <c r="V15" s="1862" t="str">
        <f t="shared" si="4"/>
        <v>Planned Welsh Government Funding for Covid-19 (Positive Value)</v>
      </c>
      <c r="W15" s="1131">
        <f>'A - Movement'!J15</f>
        <v>984.98699999999997</v>
      </c>
      <c r="X15" s="1131">
        <f>'A - Movement'!K15</f>
        <v>1046.9339092508944</v>
      </c>
      <c r="Y15" s="1131">
        <f>'A - Movement'!L15</f>
        <v>1570.2463429260856</v>
      </c>
      <c r="Z15" s="1131">
        <f>'A - Movement'!M15</f>
        <v>1144.7442342508946</v>
      </c>
      <c r="AA15" s="1131">
        <f>'A - Movement'!N15</f>
        <v>1135.2442342508946</v>
      </c>
      <c r="AB15" s="1131">
        <f>'A - Movement'!O15</f>
        <v>1651.787351259419</v>
      </c>
      <c r="AC15" s="1131">
        <f>'A - Movement'!P15</f>
        <v>1438.7479469858174</v>
      </c>
      <c r="AD15" s="1131">
        <f>'A - Movement'!Q15</f>
        <v>1383.9683758416022</v>
      </c>
      <c r="AE15" s="1131">
        <f>'A - Movement'!R15</f>
        <v>1908.3053386524839</v>
      </c>
      <c r="AF15" s="1131">
        <f>'A - Movement'!S15</f>
        <v>1416.7479469858174</v>
      </c>
      <c r="AG15" s="1131">
        <f>'A - Movement'!T15</f>
        <v>1364.7229546973872</v>
      </c>
      <c r="AH15" s="1131">
        <f>'A - Movement'!U15</f>
        <v>1883.5641758747061</v>
      </c>
      <c r="AI15" s="1131">
        <f>'A - Movement'!V15</f>
        <v>984.98699999999997</v>
      </c>
      <c r="AJ15" s="1131">
        <f>'A - Movement'!W15</f>
        <v>16929.999810976002</v>
      </c>
      <c r="AK15" s="1131">
        <f t="shared" si="1"/>
        <v>16929.999810976002</v>
      </c>
      <c r="AL15" s="954">
        <f t="shared" si="2"/>
        <v>0</v>
      </c>
      <c r="AM15" s="954">
        <f t="shared" si="3"/>
        <v>0</v>
      </c>
      <c r="AN15" s="1745"/>
      <c r="AO15" s="1928"/>
      <c r="AP15" s="1401">
        <f>'A1 - Underlying Position'!A16</f>
        <v>5</v>
      </c>
      <c r="AQ15" s="1373" t="str">
        <f>'A1 - Underlying Position'!B16</f>
        <v xml:space="preserve">Pay - Additional Clinical Services </v>
      </c>
      <c r="AR15" s="1782">
        <f>'A1 - Underlying Position'!C16</f>
        <v>0</v>
      </c>
      <c r="AS15" s="1783">
        <f>'A1 - Underlying Position'!D16</f>
        <v>0</v>
      </c>
      <c r="AT15" s="1783">
        <f>'A1 - Underlying Position'!E16</f>
        <v>0</v>
      </c>
      <c r="AU15" s="75">
        <f>'A1 - Underlying Position'!F16</f>
        <v>0</v>
      </c>
      <c r="AV15" s="1784">
        <f>'A1 - Underlying Position'!G16</f>
        <v>0</v>
      </c>
      <c r="AW15" s="75">
        <f>'A1 - Underlying Position'!H16</f>
        <v>0</v>
      </c>
      <c r="AX15" s="1745"/>
      <c r="AZ15" s="1717">
        <f>'A2 - Risks'!A15</f>
        <v>7</v>
      </c>
      <c r="BA15" s="1719" t="str">
        <f>'A2 - Risks'!B15</f>
        <v>Pharmacy Contract</v>
      </c>
      <c r="BB15" s="1788">
        <f>'A2 - Risks'!C15</f>
        <v>0</v>
      </c>
      <c r="BC15" s="1759">
        <f>'A2 - Risks'!D15</f>
        <v>0</v>
      </c>
      <c r="BE15" s="2065">
        <f>'B - Monthly Positions'!A15</f>
        <v>5</v>
      </c>
      <c r="BF15" s="89" t="str">
        <f>'B - Monthly Positions'!B15</f>
        <v>Welsh Government Income (Non RRL)</v>
      </c>
      <c r="BG15" s="93" t="str">
        <f>'B - Monthly Positions'!C15</f>
        <v>Actual/F'cast</v>
      </c>
      <c r="BH15" s="1782">
        <f>'B - Monthly Positions'!D15</f>
        <v>15778</v>
      </c>
      <c r="BI15" s="1782">
        <f>'B - Monthly Positions'!E15</f>
        <v>15815.933909250894</v>
      </c>
      <c r="BJ15" s="1782">
        <f>'B - Monthly Positions'!F15</f>
        <v>16204.246342926086</v>
      </c>
      <c r="BK15" s="1782">
        <f>'B - Monthly Positions'!G15</f>
        <v>15856.744234250895</v>
      </c>
      <c r="BL15" s="1783">
        <f>'B - Monthly Positions'!H15</f>
        <v>15826.244234250895</v>
      </c>
      <c r="BM15" s="1783">
        <f>'B - Monthly Positions'!I15</f>
        <v>16365.78735125942</v>
      </c>
      <c r="BN15" s="1783">
        <f>'B - Monthly Positions'!J15</f>
        <v>16125.747946985817</v>
      </c>
      <c r="BO15" s="1783">
        <f>'B - Monthly Positions'!K15</f>
        <v>16041.968375841603</v>
      </c>
      <c r="BP15" s="1783">
        <f>'B - Monthly Positions'!L15</f>
        <v>16553.305338652484</v>
      </c>
      <c r="BQ15" s="1783">
        <f>'B - Monthly Positions'!M15</f>
        <v>16074.747946985817</v>
      </c>
      <c r="BR15" s="1783">
        <f>'B - Monthly Positions'!N15</f>
        <v>16042.722954697387</v>
      </c>
      <c r="BS15" s="1786">
        <f>'B - Monthly Positions'!O15</f>
        <v>17098.564175874708</v>
      </c>
      <c r="BT15" s="1782">
        <f>'B - Monthly Positions'!P15</f>
        <v>15778</v>
      </c>
      <c r="BU15" s="1782">
        <f>'B - Monthly Positions'!Q15</f>
        <v>193784.01281097601</v>
      </c>
      <c r="BV15" s="1643"/>
      <c r="BW15" s="1875"/>
      <c r="BX15" s="88">
        <f>' Table Z Net Exp Profiles'!A15</f>
        <v>6</v>
      </c>
      <c r="BY15" s="1275" t="str">
        <f>' Table Z Net Exp Profiles'!B15</f>
        <v xml:space="preserve">Additional Pay Costs due to Covid-19 - Actual/Forecast </v>
      </c>
      <c r="BZ15" s="2524" t="e">
        <f>' Table Z Net Exp Profiles'!C15</f>
        <v>#REF!</v>
      </c>
      <c r="CA15" s="1289" t="e">
        <f>' Table Z Net Exp Profiles'!D15</f>
        <v>#REF!</v>
      </c>
      <c r="CB15" s="1289" t="e">
        <f>' Table Z Net Exp Profiles'!E15</f>
        <v>#REF!</v>
      </c>
      <c r="CC15" s="1289" t="e">
        <f>' Table Z Net Exp Profiles'!F15</f>
        <v>#REF!</v>
      </c>
      <c r="CD15" s="1289" t="e">
        <f>' Table Z Net Exp Profiles'!G15</f>
        <v>#REF!</v>
      </c>
      <c r="CE15" s="1289" t="e">
        <f>' Table Z Net Exp Profiles'!H15</f>
        <v>#REF!</v>
      </c>
      <c r="CF15" s="1289" t="e">
        <f>' Table Z Net Exp Profiles'!I15</f>
        <v>#REF!</v>
      </c>
      <c r="CG15" s="1289" t="e">
        <f>' Table Z Net Exp Profiles'!J15</f>
        <v>#REF!</v>
      </c>
      <c r="CH15" s="1289" t="e">
        <f>' Table Z Net Exp Profiles'!K15</f>
        <v>#REF!</v>
      </c>
      <c r="CI15" s="1289" t="e">
        <f>' Table Z Net Exp Profiles'!L15</f>
        <v>#REF!</v>
      </c>
      <c r="CJ15" s="1289" t="e">
        <f>' Table Z Net Exp Profiles'!M15</f>
        <v>#REF!</v>
      </c>
      <c r="CK15" s="1289" t="e">
        <f>' Table Z Net Exp Profiles'!N15</f>
        <v>#REF!</v>
      </c>
      <c r="CL15" s="1215" t="e">
        <f>' Table Z Net Exp Profiles'!O15</f>
        <v>#REF!</v>
      </c>
      <c r="CM15" s="1215" t="e">
        <f>' Table Z Net Exp Profiles'!P15</f>
        <v>#REF!</v>
      </c>
      <c r="CO15" s="1329">
        <f>'B2 - Pay &amp; Agency'!A15</f>
        <v>6</v>
      </c>
      <c r="CP15" s="1333" t="str">
        <f>'B2 - Pay &amp; Agency'!B15</f>
        <v>Allied Health Professionals</v>
      </c>
      <c r="CQ15" s="1776">
        <f>'B2 - Pay &amp; Agency'!C15</f>
        <v>968</v>
      </c>
      <c r="CR15" s="1777">
        <f>'B2 - Pay &amp; Agency'!D15</f>
        <v>1170</v>
      </c>
      <c r="CS15" s="1777">
        <f>'B2 - Pay &amp; Agency'!E15</f>
        <v>1170</v>
      </c>
      <c r="CT15" s="1777">
        <f>'B2 - Pay &amp; Agency'!F15</f>
        <v>1170</v>
      </c>
      <c r="CU15" s="1777">
        <f>'B2 - Pay &amp; Agency'!G15</f>
        <v>1170</v>
      </c>
      <c r="CV15" s="1777">
        <f>'B2 - Pay &amp; Agency'!H15</f>
        <v>1170</v>
      </c>
      <c r="CW15" s="1777">
        <f>'B2 - Pay &amp; Agency'!I15</f>
        <v>1170</v>
      </c>
      <c r="CX15" s="1777">
        <f>'B2 - Pay &amp; Agency'!J15</f>
        <v>1170</v>
      </c>
      <c r="CY15" s="1777">
        <f>'B2 - Pay &amp; Agency'!K15</f>
        <v>1170</v>
      </c>
      <c r="CZ15" s="1777">
        <f>'B2 - Pay &amp; Agency'!L15</f>
        <v>1170</v>
      </c>
      <c r="DA15" s="1777">
        <f>'B2 - Pay &amp; Agency'!M15</f>
        <v>1170</v>
      </c>
      <c r="DB15" s="1778">
        <f>'B2 - Pay &amp; Agency'!N15</f>
        <v>1171</v>
      </c>
      <c r="DC15" s="1324">
        <f>'B2 - Pay &amp; Agency'!O15</f>
        <v>968</v>
      </c>
      <c r="DD15" s="1325">
        <f>'B2 - Pay &amp; Agency'!P15</f>
        <v>13839</v>
      </c>
      <c r="DF15" s="2852">
        <f>'B3 - COVID-19'!A15</f>
        <v>8</v>
      </c>
      <c r="DG15" s="2845" t="str">
        <f>'B3 - COVID-19'!B15</f>
        <v>Allied Health Professionals</v>
      </c>
      <c r="DH15" s="1903">
        <f>'B3 - COVID-19'!C15</f>
        <v>0</v>
      </c>
      <c r="DI15" s="1903">
        <f>'B3 - COVID-19'!D15</f>
        <v>0</v>
      </c>
      <c r="DJ15" s="1903">
        <f>'B3 - COVID-19'!E15</f>
        <v>0</v>
      </c>
      <c r="DK15" s="1903">
        <f>'B3 - COVID-19'!F15</f>
        <v>0</v>
      </c>
      <c r="DL15" s="1903">
        <f>'B3 - COVID-19'!G15</f>
        <v>0</v>
      </c>
      <c r="DM15" s="1903">
        <f>'B3 - COVID-19'!H15</f>
        <v>0</v>
      </c>
      <c r="DN15" s="1903">
        <f>'B3 - COVID-19'!I15</f>
        <v>0</v>
      </c>
      <c r="DO15" s="1903">
        <f>'B3 - COVID-19'!J15</f>
        <v>0</v>
      </c>
      <c r="DP15" s="1903">
        <f>'B3 - COVID-19'!K15</f>
        <v>0</v>
      </c>
      <c r="DQ15" s="1903">
        <f>'B3 - COVID-19'!L15</f>
        <v>0</v>
      </c>
      <c r="DR15" s="1903">
        <f>'B3 - COVID-19'!M15</f>
        <v>0</v>
      </c>
      <c r="DS15" s="1903">
        <f>'B3 - COVID-19'!N15</f>
        <v>0</v>
      </c>
      <c r="DT15" s="1863">
        <f>'B3 - COVID-19'!O15</f>
        <v>0</v>
      </c>
      <c r="DU15" s="1863">
        <f>'B3 - COVID-19'!P15</f>
        <v>0</v>
      </c>
      <c r="DV15" s="608"/>
      <c r="DW15" s="1116"/>
      <c r="DY15" s="2095">
        <f>'C, C1, C2&amp; C3 - Savings Schemes'!A15</f>
        <v>3</v>
      </c>
      <c r="DZ15" s="3040"/>
      <c r="EA15" s="92" t="str">
        <f>'C, C1, C2&amp; C3 - Savings Schemes'!C15</f>
        <v>Variance</v>
      </c>
      <c r="EB15" s="944">
        <f>'C, C1, C2&amp; C3 - Savings Schemes'!D15</f>
        <v>0</v>
      </c>
      <c r="EC15" s="944">
        <f>'C, C1, C2&amp; C3 - Savings Schemes'!E15</f>
        <v>0</v>
      </c>
      <c r="ED15" s="944">
        <f>'C, C1, C2&amp; C3 - Savings Schemes'!F15</f>
        <v>0</v>
      </c>
      <c r="EE15" s="944">
        <f>'C, C1, C2&amp; C3 - Savings Schemes'!G15</f>
        <v>0</v>
      </c>
      <c r="EF15" s="944">
        <f>'C, C1, C2&amp; C3 - Savings Schemes'!H15</f>
        <v>0</v>
      </c>
      <c r="EG15" s="944">
        <f>'C, C1, C2&amp; C3 - Savings Schemes'!I15</f>
        <v>0</v>
      </c>
      <c r="EH15" s="944">
        <f>'C, C1, C2&amp; C3 - Savings Schemes'!J15</f>
        <v>0</v>
      </c>
      <c r="EI15" s="944">
        <f>'C, C1, C2&amp; C3 - Savings Schemes'!K15</f>
        <v>0</v>
      </c>
      <c r="EJ15" s="944">
        <f>'C, C1, C2&amp; C3 - Savings Schemes'!L15</f>
        <v>0</v>
      </c>
      <c r="EK15" s="944">
        <f>'C, C1, C2&amp; C3 - Savings Schemes'!M15</f>
        <v>0</v>
      </c>
      <c r="EL15" s="944">
        <f>'C, C1, C2&amp; C3 - Savings Schemes'!N15</f>
        <v>0</v>
      </c>
      <c r="EM15" s="944">
        <f>'C, C1, C2&amp; C3 - Savings Schemes'!O15</f>
        <v>0</v>
      </c>
      <c r="EN15" s="943">
        <f>'C, C1, C2&amp; C3 - Savings Schemes'!P15</f>
        <v>0</v>
      </c>
      <c r="EO15" s="939">
        <f>'C, C1, C2&amp; C3 - Savings Schemes'!Q15</f>
        <v>0</v>
      </c>
      <c r="EP15" s="1168" t="e">
        <f>'C, C1, C2&amp; C3 - Savings Schemes'!R15</f>
        <v>#DIV/0!</v>
      </c>
      <c r="EQ15" s="2081"/>
      <c r="ER15" s="2081"/>
      <c r="ES15" s="2081"/>
      <c r="ET15" s="2081"/>
      <c r="EU15" s="756"/>
      <c r="EV15" s="594"/>
      <c r="EW15" s="2101"/>
      <c r="EX15" s="3074"/>
      <c r="EY15" s="1698" t="str">
        <f>'Table C4 Tracker'!B15</f>
        <v>Total Actual/Forecast</v>
      </c>
      <c r="EZ15" s="1371">
        <f>'Table C4 Tracker'!C15</f>
        <v>0</v>
      </c>
      <c r="FA15" s="1708">
        <f>'Table C4 Tracker'!D15</f>
        <v>1244.4166666666665</v>
      </c>
      <c r="FB15" s="1708">
        <f>'Table C4 Tracker'!E15</f>
        <v>175.41666666666666</v>
      </c>
      <c r="FC15" s="1708">
        <f>'Table C4 Tracker'!F15</f>
        <v>175.41666666666666</v>
      </c>
      <c r="FD15" s="1708">
        <f>'Table C4 Tracker'!G15</f>
        <v>175.41666666666666</v>
      </c>
      <c r="FE15" s="1708">
        <f>'Table C4 Tracker'!H15</f>
        <v>175.41666666666666</v>
      </c>
      <c r="FF15" s="1708">
        <f>'Table C4 Tracker'!I15</f>
        <v>175.41666666666666</v>
      </c>
      <c r="FG15" s="1708">
        <f>'Table C4 Tracker'!J15</f>
        <v>175.41666666666666</v>
      </c>
      <c r="FH15" s="1708">
        <f>'Table C4 Tracker'!K15</f>
        <v>175.41666666666666</v>
      </c>
      <c r="FI15" s="1708">
        <f>'Table C4 Tracker'!L15</f>
        <v>175.41666666666666</v>
      </c>
      <c r="FJ15" s="1708">
        <f>'Table C4 Tracker'!M15</f>
        <v>175.41666666666666</v>
      </c>
      <c r="FK15" s="1708">
        <f>'Table C4 Tracker'!N15</f>
        <v>175.41666666666666</v>
      </c>
      <c r="FL15" s="1577">
        <f>'Table C4 Tracker'!O15</f>
        <v>175.41666666666666</v>
      </c>
      <c r="FM15" s="1465">
        <f>'Table C4 Tracker'!P15</f>
        <v>1244.4166666666665</v>
      </c>
      <c r="FN15" s="939">
        <f>'Table C4 Tracker'!Q15</f>
        <v>3173.9999999999991</v>
      </c>
      <c r="FO15" s="1577">
        <f>'Table C4 Tracker'!R15</f>
        <v>661</v>
      </c>
      <c r="FP15" s="1577">
        <f>'Table C4 Tracker'!S15</f>
        <v>2513</v>
      </c>
      <c r="FQ15" s="1577">
        <f>'Table C4 Tracker'!T15</f>
        <v>0</v>
      </c>
      <c r="FR15" s="1577">
        <f>'Table C4 Tracker'!U15</f>
        <v>2513</v>
      </c>
      <c r="FS15" s="1957"/>
      <c r="FU15" s="2045">
        <f>'D - Welsh NHS Assumptions'!A15</f>
        <v>5</v>
      </c>
      <c r="FV15" s="2046" t="str">
        <f>'D - Welsh NHS Assumptions'!B15</f>
        <v>Cwm Taf Morgannwg University</v>
      </c>
      <c r="FW15" s="2069">
        <f>'D - Welsh NHS Assumptions'!C15</f>
        <v>1072</v>
      </c>
      <c r="FX15" s="2069">
        <f>'D - Welsh NHS Assumptions'!D15</f>
        <v>1246</v>
      </c>
      <c r="FY15" s="2048">
        <f>'D - Welsh NHS Assumptions'!E15</f>
        <v>2318</v>
      </c>
      <c r="FZ15" s="1745"/>
      <c r="GA15" s="2069">
        <f>'D - Welsh NHS Assumptions'!G15</f>
        <v>3297</v>
      </c>
      <c r="GB15" s="2069">
        <f>'D - Welsh NHS Assumptions'!H15</f>
        <v>771</v>
      </c>
      <c r="GC15" s="2048">
        <f>'D - Welsh NHS Assumptions'!I15</f>
        <v>4068</v>
      </c>
      <c r="GD15" s="1745"/>
      <c r="GF15" s="2102">
        <f>'E - Resource Limits'!A15</f>
        <v>3</v>
      </c>
      <c r="GG15" s="2103" t="str">
        <f>'E - Resource Limits'!B15</f>
        <v>DEL Non Cash Depreciation - Baseline Surplus / Shortfall</v>
      </c>
      <c r="GH15" s="2104">
        <f>'E - Resource Limits'!C15</f>
        <v>0</v>
      </c>
      <c r="GI15" s="2104">
        <f>'E - Resource Limits'!D15</f>
        <v>0</v>
      </c>
      <c r="GJ15" s="2104">
        <f>'E - Resource Limits'!E15</f>
        <v>0</v>
      </c>
      <c r="GK15" s="2104">
        <f>'E - Resource Limits'!F15</f>
        <v>0</v>
      </c>
      <c r="GL15" s="2105">
        <f>'E - Resource Limits'!G15</f>
        <v>0</v>
      </c>
      <c r="GM15" s="2106">
        <f>'E - Resource Limits'!H15</f>
        <v>0</v>
      </c>
      <c r="GN15" s="2104">
        <f>'E - Resource Limits'!I15</f>
        <v>0</v>
      </c>
      <c r="GO15" s="2104">
        <f>'E - Resource Limits'!J15</f>
        <v>0</v>
      </c>
      <c r="GP15" s="2104">
        <f>'E - Resource Limits'!K15</f>
        <v>0</v>
      </c>
      <c r="GQ15" s="2107">
        <f>'E - Resource Limits'!L15</f>
        <v>0</v>
      </c>
      <c r="GR15" s="1935">
        <f>IF(AND(GL15&lt;&gt;0,GG15=""),1,0)</f>
        <v>0</v>
      </c>
      <c r="GT15" s="175">
        <f>'E1 - Invoiced Income'!A15</f>
        <v>4</v>
      </c>
      <c r="GU15" s="1797" t="str">
        <f>'E1 - Invoiced Income'!B15</f>
        <v>DEL Non Cash Depreciation - Accelerated</v>
      </c>
      <c r="GV15" s="1798">
        <f>'E1 - Invoiced Income'!C15</f>
        <v>0</v>
      </c>
      <c r="GW15" s="1798">
        <f>'E1 - Invoiced Income'!D15</f>
        <v>0</v>
      </c>
      <c r="GX15" s="1798">
        <f>'E1 - Invoiced Income'!E15</f>
        <v>0</v>
      </c>
      <c r="GY15" s="1798">
        <f>'E1 - Invoiced Income'!F15</f>
        <v>0</v>
      </c>
      <c r="GZ15" s="1798">
        <f>'E1 - Invoiced Income'!G15</f>
        <v>0</v>
      </c>
      <c r="HA15" s="1798">
        <f>'E1 - Invoiced Income'!H15</f>
        <v>0</v>
      </c>
      <c r="HB15" s="1798">
        <f>'E1 - Invoiced Income'!I15</f>
        <v>0</v>
      </c>
      <c r="HC15" s="1798">
        <f>'E1 - Invoiced Income'!J15</f>
        <v>0</v>
      </c>
      <c r="HD15" s="1798">
        <f>'E1 - Invoiced Income'!K15</f>
        <v>0</v>
      </c>
      <c r="HE15" s="1798">
        <f>'E1 - Invoiced Income'!L15</f>
        <v>0</v>
      </c>
      <c r="HF15" s="1798">
        <f>'E1 - Invoiced Income'!M15</f>
        <v>0</v>
      </c>
      <c r="HG15" s="1798">
        <f>'E1 - Invoiced Income'!N15</f>
        <v>0</v>
      </c>
      <c r="HH15" s="1798">
        <f>'E1 - Invoiced Income'!O15</f>
        <v>0</v>
      </c>
      <c r="HI15" s="1798">
        <f>'E1 - Invoiced Income'!P15</f>
        <v>0</v>
      </c>
      <c r="HJ15" s="1798">
        <f>'E1 - Invoiced Income'!R15</f>
        <v>0</v>
      </c>
      <c r="HK15" s="1798">
        <f>'E1 - Invoiced Income'!S15</f>
        <v>0</v>
      </c>
      <c r="HL15" s="1665">
        <f>'E1 - Invoiced Income'!T15</f>
        <v>0</v>
      </c>
      <c r="HM15" s="1799">
        <f>'E1 - Invoiced Income'!U15</f>
        <v>0</v>
      </c>
      <c r="HO15" s="2007">
        <f>'F - SoFP'!A15</f>
        <v>6</v>
      </c>
      <c r="HP15" s="2008" t="str">
        <f>'F - SoFP'!B15</f>
        <v>Inventories</v>
      </c>
      <c r="HQ15" s="2009">
        <f>'F - SoFP'!C15</f>
        <v>0</v>
      </c>
      <c r="HR15" s="2010">
        <f>'F - SoFP'!D15</f>
        <v>0</v>
      </c>
      <c r="HS15" s="2010">
        <f>'F - SoFP'!E15</f>
        <v>0</v>
      </c>
      <c r="HT15" s="1946"/>
      <c r="HV15" s="2053">
        <f>'G - Cash Flow'!A15</f>
        <v>5</v>
      </c>
      <c r="HW15" s="2000" t="str">
        <f>'G - Cash Flow'!B15</f>
        <v>Income from other Welsh NHS Organisations</v>
      </c>
      <c r="HX15" s="2054">
        <f>'G - Cash Flow'!C15</f>
        <v>0</v>
      </c>
      <c r="HY15" s="2054">
        <f>'G - Cash Flow'!D15</f>
        <v>0</v>
      </c>
      <c r="HZ15" s="2054">
        <f>'G - Cash Flow'!E15</f>
        <v>0</v>
      </c>
      <c r="IA15" s="2054">
        <f>'G - Cash Flow'!F15</f>
        <v>0</v>
      </c>
      <c r="IB15" s="2054">
        <f>'G - Cash Flow'!G15</f>
        <v>0</v>
      </c>
      <c r="IC15" s="2054">
        <f>'G - Cash Flow'!H15</f>
        <v>0</v>
      </c>
      <c r="ID15" s="2054">
        <f>'G - Cash Flow'!I15</f>
        <v>0</v>
      </c>
      <c r="IE15" s="2054">
        <f>'G - Cash Flow'!J15</f>
        <v>0</v>
      </c>
      <c r="IF15" s="2054">
        <f>'G - Cash Flow'!K15</f>
        <v>0</v>
      </c>
      <c r="IG15" s="2054">
        <f>'G - Cash Flow'!L15</f>
        <v>0</v>
      </c>
      <c r="IH15" s="2054">
        <f>'G - Cash Flow'!M15</f>
        <v>0</v>
      </c>
      <c r="II15" s="2054">
        <f>'G - Cash Flow'!N15</f>
        <v>0</v>
      </c>
      <c r="IJ15" s="2055">
        <f>'G - Cash Flow'!O15</f>
        <v>0</v>
      </c>
      <c r="IK15" s="1942"/>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5"/>
      <c r="JD15" s="2099"/>
      <c r="JE15" s="2012"/>
      <c r="JF15" s="2031"/>
      <c r="JG15" s="2031"/>
      <c r="JH15" s="2031"/>
      <c r="JI15" s="2087"/>
      <c r="JJ15" s="2031"/>
      <c r="JK15" s="2031"/>
      <c r="JL15" s="2031"/>
      <c r="JM15" s="2060"/>
      <c r="JN15" s="281"/>
      <c r="JO15" s="2060"/>
      <c r="JQ15" s="2088">
        <f>'J - Capital In Year Schemes'!A15</f>
        <v>4</v>
      </c>
      <c r="JR15" s="2089">
        <f>'J - Capital In Year Schemes'!B15</f>
        <v>0</v>
      </c>
      <c r="JS15" s="2089">
        <f>'J - Capital In Year Schemes'!C15</f>
        <v>0</v>
      </c>
      <c r="JT15" s="2010">
        <f>'J - Capital In Year Schemes'!D15</f>
        <v>0</v>
      </c>
      <c r="JU15" s="2010">
        <f>'J - Capital In Year Schemes'!E15</f>
        <v>0</v>
      </c>
      <c r="JV15" s="2010">
        <f>'J - Capital In Year Schemes'!F15</f>
        <v>0</v>
      </c>
      <c r="JW15" s="2010">
        <f>'J - Capital In Year Schemes'!G15</f>
        <v>0</v>
      </c>
      <c r="JX15" s="2010">
        <f>'J - Capital In Year Schemes'!H15</f>
        <v>0</v>
      </c>
      <c r="JY15" s="2010">
        <f>'J - Capital In Year Schemes'!I15</f>
        <v>0</v>
      </c>
      <c r="JZ15" s="2010">
        <f>'J - Capital In Year Schemes'!J15</f>
        <v>0</v>
      </c>
      <c r="KA15" s="2010">
        <f>'J - Capital In Year Schemes'!K15</f>
        <v>0</v>
      </c>
      <c r="KB15" s="2010">
        <f>'J - Capital In Year Schemes'!L15</f>
        <v>0</v>
      </c>
      <c r="KC15" s="2010">
        <f>'J - Capital In Year Schemes'!M15</f>
        <v>0</v>
      </c>
      <c r="KD15" s="2010">
        <f>'J - Capital In Year Schemes'!N15</f>
        <v>0</v>
      </c>
      <c r="KE15" s="2010">
        <f>'J - Capital In Year Schemes'!O15</f>
        <v>0</v>
      </c>
      <c r="KF15" s="2010">
        <f>'J - Capital In Year Schemes'!P15</f>
        <v>0</v>
      </c>
      <c r="KG15" s="2010">
        <f>'J - Capital In Year Schemes'!Q15</f>
        <v>0</v>
      </c>
      <c r="KH15" s="2090">
        <f>'J - Capital In Year Schemes'!R15</f>
        <v>0</v>
      </c>
      <c r="KI15" s="2090">
        <f>'J - Capital In Year Schemes'!S15</f>
        <v>0</v>
      </c>
      <c r="KJ15" s="2091">
        <f>'J - Capital In Year Schemes'!T15</f>
        <v>0</v>
      </c>
      <c r="KK15" s="2060">
        <f t="shared" si="5"/>
        <v>0</v>
      </c>
      <c r="KM15" s="2053">
        <f>'K - Capital Disposals'!A15</f>
        <v>5</v>
      </c>
      <c r="KN15" s="2077">
        <f>'K - Capital Disposals'!B15</f>
        <v>0</v>
      </c>
      <c r="KO15" s="2062">
        <f>'K - Capital Disposals'!C15</f>
        <v>0</v>
      </c>
      <c r="KP15" s="2062">
        <f>'K - Capital Disposals'!D15</f>
        <v>0</v>
      </c>
      <c r="KQ15" s="2078">
        <f>'K - Capital Disposals'!E15</f>
        <v>0</v>
      </c>
      <c r="KR15" s="2064">
        <f>'K - Capital Disposals'!F15</f>
        <v>0</v>
      </c>
      <c r="KS15" s="2064">
        <f>'K - Capital Disposals'!G15</f>
        <v>0</v>
      </c>
      <c r="KT15" s="2054">
        <f>'K - Capital Disposals'!H15</f>
        <v>0</v>
      </c>
      <c r="KU15" s="2055">
        <f>'K - Capital Disposals'!I15</f>
        <v>0</v>
      </c>
      <c r="KV15" s="2092">
        <f>'K - Capital Disposals'!J15</f>
        <v>0</v>
      </c>
      <c r="KW15" s="2093"/>
      <c r="KX15" s="2093"/>
      <c r="KY15" s="2093"/>
      <c r="KZ15" s="2093"/>
      <c r="LA15" s="2093"/>
      <c r="LB15" s="2094"/>
      <c r="LC15" s="1935"/>
      <c r="LE15" s="1615">
        <f>'L - EFL'!A15</f>
        <v>5</v>
      </c>
      <c r="LF15" s="1614" t="str">
        <f>'L - EFL'!B15</f>
        <v>Net gain/loss on disposal of assets</v>
      </c>
      <c r="LG15" s="1779">
        <f>'L - EFL'!C15</f>
        <v>0</v>
      </c>
      <c r="LH15" s="1779">
        <f>'L - EFL'!D15</f>
        <v>0</v>
      </c>
      <c r="LI15" s="1613">
        <f>'L - EFL'!E15</f>
        <v>0</v>
      </c>
      <c r="LJ15" s="1779">
        <f>'L - EFL'!F15</f>
        <v>0</v>
      </c>
      <c r="LL15" s="814"/>
      <c r="LM15" s="1761">
        <f>'M - Aged Debtors'!B15</f>
        <v>0</v>
      </c>
      <c r="LN15" s="1762">
        <f>'M - Aged Debtors'!C15</f>
        <v>0</v>
      </c>
      <c r="LO15" s="1763">
        <f>'M - Aged Debtors'!D15</f>
        <v>0</v>
      </c>
      <c r="LP15" s="1764">
        <f>'M - Aged Debtors'!E15</f>
        <v>0</v>
      </c>
      <c r="LQ15" s="1972">
        <f>'M - Aged Debtors'!F15</f>
        <v>0</v>
      </c>
      <c r="LR15" s="1166" t="str">
        <f>'M - Aged Debtors'!G15</f>
        <v/>
      </c>
      <c r="LS15" s="829" t="str">
        <f>'M - Aged Debtors'!H15</f>
        <v/>
      </c>
      <c r="LT15" s="829" t="str">
        <f>'M - Aged Debtors'!I15</f>
        <v/>
      </c>
      <c r="LU15" s="830" t="str">
        <f>'M - Aged Debtors'!J15</f>
        <v/>
      </c>
      <c r="LV15" s="1757">
        <f>'M - Aged Debtors'!K15</f>
        <v>0</v>
      </c>
      <c r="LX15" s="459" t="str">
        <f>'N - GMS'!A15</f>
        <v>QAIF Aspiration Payments</v>
      </c>
      <c r="LY15" s="460"/>
      <c r="LZ15" s="461">
        <f>'N - GMS'!C15</f>
        <v>4</v>
      </c>
      <c r="MA15" s="68">
        <f>'N - GMS'!D15</f>
        <v>0</v>
      </c>
      <c r="MB15" s="218">
        <f>'N - GMS'!E15</f>
        <v>0</v>
      </c>
      <c r="MC15" s="218">
        <f>'N - GMS'!F15</f>
        <v>0</v>
      </c>
      <c r="MD15" s="67">
        <f>'N - GMS'!G15</f>
        <v>0</v>
      </c>
      <c r="ME15" s="213"/>
      <c r="MF15" s="1780">
        <f>'N - GMS'!I15</f>
        <v>0</v>
      </c>
      <c r="MH15" s="702" t="str">
        <f>'O - Dental'!A15</f>
        <v>Maternity/Sickness etc.</v>
      </c>
      <c r="MI15" s="703"/>
      <c r="MJ15" s="698">
        <f>'O - Dental'!C15</f>
        <v>7</v>
      </c>
      <c r="MK15" s="698">
        <f>'O - Dental'!D15</f>
        <v>0</v>
      </c>
      <c r="ML15" s="1781">
        <f>'O - Dental'!E15</f>
        <v>0</v>
      </c>
      <c r="MM15" s="1781">
        <f>'O - Dental'!F15</f>
        <v>0</v>
      </c>
      <c r="MN15" s="661">
        <f>'O - Dental'!G15</f>
        <v>0</v>
      </c>
      <c r="MO15" s="308"/>
      <c r="MP15" s="1765">
        <f>'O - Dental'!I15</f>
        <v>0</v>
      </c>
      <c r="MR15" s="684"/>
      <c r="MS15" s="3034">
        <f>'P - Ringfenced'!B15</f>
        <v>0</v>
      </c>
      <c r="MT15" s="2661" t="str">
        <f>'P - Ringfenced'!C15</f>
        <v>Actual/Forecast - not yet committed</v>
      </c>
      <c r="MU15" s="2656">
        <f>'P - Ringfenced'!D15</f>
        <v>0</v>
      </c>
      <c r="MV15" s="2656">
        <f>'P - Ringfenced'!E15</f>
        <v>0</v>
      </c>
      <c r="MW15" s="2693">
        <f>'P - Ringfenced'!F15</f>
        <v>0</v>
      </c>
      <c r="MX15" s="2693">
        <f>'P - Ringfenced'!G15</f>
        <v>0</v>
      </c>
      <c r="MY15" s="2693">
        <f>'P - Ringfenced'!H15</f>
        <v>0</v>
      </c>
      <c r="MZ15" s="2693">
        <f>'P - Ringfenced'!I15</f>
        <v>0</v>
      </c>
      <c r="NA15" s="2693">
        <f>'P - Ringfenced'!J15</f>
        <v>0</v>
      </c>
      <c r="NB15" s="2693">
        <f>'P - Ringfenced'!K15</f>
        <v>0</v>
      </c>
      <c r="NC15" s="2693">
        <f>'P - Ringfenced'!L15</f>
        <v>0</v>
      </c>
      <c r="ND15" s="2693">
        <f>'P - Ringfenced'!M15</f>
        <v>0</v>
      </c>
      <c r="NE15" s="2693">
        <f>'P - Ringfenced'!N15</f>
        <v>0</v>
      </c>
      <c r="NF15" s="2693">
        <f>'P - Ringfenced'!O15</f>
        <v>0</v>
      </c>
      <c r="NG15" s="2693">
        <f>'P - Ringfenced'!P15</f>
        <v>0</v>
      </c>
      <c r="NH15" s="2695">
        <f>'P - Ringfenced'!Q15</f>
        <v>0</v>
      </c>
      <c r="NI15" s="1324">
        <f>'P - Ringfenced'!R15</f>
        <v>0</v>
      </c>
      <c r="NJ15" s="1325">
        <f>'P - Ringfenced'!S15</f>
        <v>0</v>
      </c>
      <c r="NK15" s="2861"/>
      <c r="NL15" s="684"/>
    </row>
    <row r="16" spans="1:376" ht="20.149999999999999" customHeight="1" thickBot="1">
      <c r="A16" s="1745"/>
      <c r="B16" s="1745"/>
      <c r="C16" s="1745"/>
      <c r="D16" s="1745"/>
      <c r="E16" s="1745"/>
      <c r="F16" s="1922"/>
      <c r="G16" s="1922"/>
      <c r="H16" s="1745"/>
      <c r="I16" s="1745"/>
      <c r="J16" s="1745"/>
      <c r="K16" s="1745"/>
      <c r="M16" s="950">
        <f>'A - Movement'!A16</f>
        <v>6</v>
      </c>
      <c r="N16" s="991" t="str">
        <f>'A - Movement'!B16</f>
        <v>Planned Provider Income (Positive Value)</v>
      </c>
      <c r="O16" s="1131">
        <f>'A - Movement'!C16</f>
        <v>0</v>
      </c>
      <c r="P16" s="1131">
        <f>'A - Movement'!D16</f>
        <v>0</v>
      </c>
      <c r="Q16" s="954">
        <f>'A - Movement'!E16</f>
        <v>0</v>
      </c>
      <c r="R16" s="954">
        <f>'A - Movement'!F16</f>
        <v>0</v>
      </c>
      <c r="S16" s="1745"/>
      <c r="T16" s="1928"/>
      <c r="U16" s="950">
        <f>'A - Movement'!I16</f>
        <v>6</v>
      </c>
      <c r="V16" s="991" t="str">
        <f t="shared" si="4"/>
        <v>Planned Provider Income (Positive Value)</v>
      </c>
      <c r="W16" s="954">
        <f>'A - Movement'!J16</f>
        <v>0</v>
      </c>
      <c r="X16" s="954">
        <f>'A - Movement'!K16</f>
        <v>0</v>
      </c>
      <c r="Y16" s="954">
        <f>'A - Movement'!L16</f>
        <v>0</v>
      </c>
      <c r="Z16" s="954">
        <f>'A - Movement'!M16</f>
        <v>0</v>
      </c>
      <c r="AA16" s="954">
        <f>'A - Movement'!N16</f>
        <v>0</v>
      </c>
      <c r="AB16" s="954">
        <f>'A - Movement'!O16</f>
        <v>0</v>
      </c>
      <c r="AC16" s="954">
        <f>'A - Movement'!P16</f>
        <v>0</v>
      </c>
      <c r="AD16" s="954">
        <f>'A - Movement'!Q16</f>
        <v>0</v>
      </c>
      <c r="AE16" s="954">
        <f>'A - Movement'!R16</f>
        <v>0</v>
      </c>
      <c r="AF16" s="954">
        <f>'A - Movement'!S16</f>
        <v>0</v>
      </c>
      <c r="AG16" s="954">
        <f>'A - Movement'!T16</f>
        <v>0</v>
      </c>
      <c r="AH16" s="954">
        <f>'A - Movement'!U16</f>
        <v>0</v>
      </c>
      <c r="AI16" s="1131">
        <f>'A - Movement'!V16</f>
        <v>0</v>
      </c>
      <c r="AJ16" s="1131">
        <f>'A - Movement'!W16</f>
        <v>0</v>
      </c>
      <c r="AK16" s="1131">
        <f t="shared" si="1"/>
        <v>0</v>
      </c>
      <c r="AL16" s="954">
        <f t="shared" si="2"/>
        <v>0</v>
      </c>
      <c r="AM16" s="954">
        <f t="shared" si="3"/>
        <v>0</v>
      </c>
      <c r="AN16" s="1745"/>
      <c r="AO16" s="1928"/>
      <c r="AP16" s="1402">
        <f>'A1 - Underlying Position'!A17</f>
        <v>6</v>
      </c>
      <c r="AQ16" s="1373" t="str">
        <f>'A1 - Underlying Position'!B17</f>
        <v>Pay - Allied Health Professionals</v>
      </c>
      <c r="AR16" s="1782">
        <f>'A1 - Underlying Position'!C17</f>
        <v>0</v>
      </c>
      <c r="AS16" s="1783">
        <f>'A1 - Underlying Position'!D17</f>
        <v>0</v>
      </c>
      <c r="AT16" s="1783">
        <f>'A1 - Underlying Position'!E17</f>
        <v>0</v>
      </c>
      <c r="AU16" s="75">
        <f>'A1 - Underlying Position'!F17</f>
        <v>0</v>
      </c>
      <c r="AV16" s="1784">
        <f>'A1 - Underlying Position'!G17</f>
        <v>0</v>
      </c>
      <c r="AW16" s="75">
        <f>'A1 - Underlying Position'!H17</f>
        <v>0</v>
      </c>
      <c r="AX16" s="1745"/>
      <c r="AZ16" s="1717">
        <f>'A2 - Risks'!A16</f>
        <v>8</v>
      </c>
      <c r="BA16" s="1720" t="str">
        <f>'A2 - Risks'!B16</f>
        <v>WHSSC Performance</v>
      </c>
      <c r="BB16" s="1758">
        <f>'A2 - Risks'!C16</f>
        <v>0</v>
      </c>
      <c r="BC16" s="1759">
        <f>'A2 - Risks'!D16</f>
        <v>0</v>
      </c>
      <c r="BE16" s="2109">
        <f>'B - Monthly Positions'!A16</f>
        <v>6</v>
      </c>
      <c r="BF16" s="1068" t="str">
        <f>'B - Monthly Positions'!B16</f>
        <v>Other Income</v>
      </c>
      <c r="BG16" s="1069" t="str">
        <f>'B - Monthly Positions'!C16</f>
        <v>Actual/F'cast</v>
      </c>
      <c r="BH16" s="1800">
        <f>'B - Monthly Positions'!D16</f>
        <v>481</v>
      </c>
      <c r="BI16" s="1800">
        <f>'B - Monthly Positions'!E16</f>
        <v>309</v>
      </c>
      <c r="BJ16" s="1800">
        <f>'B - Monthly Positions'!F16</f>
        <v>309</v>
      </c>
      <c r="BK16" s="1800">
        <f>'B - Monthly Positions'!G16</f>
        <v>309</v>
      </c>
      <c r="BL16" s="1801">
        <f>'B - Monthly Positions'!H16</f>
        <v>301</v>
      </c>
      <c r="BM16" s="1801">
        <f>'B - Monthly Positions'!I16</f>
        <v>301</v>
      </c>
      <c r="BN16" s="1801">
        <f>'B - Monthly Positions'!J16</f>
        <v>301</v>
      </c>
      <c r="BO16" s="1801">
        <f>'B - Monthly Positions'!K16</f>
        <v>301</v>
      </c>
      <c r="BP16" s="1801">
        <f>'B - Monthly Positions'!L16</f>
        <v>301</v>
      </c>
      <c r="BQ16" s="1801">
        <f>'B - Monthly Positions'!M16</f>
        <v>301</v>
      </c>
      <c r="BR16" s="1801">
        <f>'B - Monthly Positions'!N16</f>
        <v>301</v>
      </c>
      <c r="BS16" s="2110">
        <f>'B - Monthly Positions'!O16</f>
        <v>302</v>
      </c>
      <c r="BT16" s="1800">
        <f>'B - Monthly Positions'!P16</f>
        <v>481</v>
      </c>
      <c r="BU16" s="1800">
        <f>'B - Monthly Positions'!Q16</f>
        <v>3817</v>
      </c>
      <c r="BV16" s="1643"/>
      <c r="BW16" s="1875"/>
      <c r="BX16" s="88">
        <f>' Table Z Net Exp Profiles'!A16</f>
        <v>7</v>
      </c>
      <c r="BY16" s="2500" t="str">
        <f>' Table Z Net Exp Profiles'!B16</f>
        <v>Committed Reserves - Pay - Forecast</v>
      </c>
      <c r="BZ16" s="2501">
        <f>' Table Z Net Exp Profiles'!C16</f>
        <v>0</v>
      </c>
      <c r="CA16" s="1189">
        <f>' Table Z Net Exp Profiles'!D16</f>
        <v>0</v>
      </c>
      <c r="CB16" s="1189">
        <f>' Table Z Net Exp Profiles'!E16</f>
        <v>0</v>
      </c>
      <c r="CC16" s="1189">
        <f>' Table Z Net Exp Profiles'!F16</f>
        <v>0</v>
      </c>
      <c r="CD16" s="1189">
        <f>' Table Z Net Exp Profiles'!G16</f>
        <v>0</v>
      </c>
      <c r="CE16" s="1189">
        <f>' Table Z Net Exp Profiles'!H16</f>
        <v>0</v>
      </c>
      <c r="CF16" s="1189">
        <f>' Table Z Net Exp Profiles'!I16</f>
        <v>0</v>
      </c>
      <c r="CG16" s="1189">
        <f>' Table Z Net Exp Profiles'!J16</f>
        <v>0</v>
      </c>
      <c r="CH16" s="1189">
        <f>' Table Z Net Exp Profiles'!K16</f>
        <v>0</v>
      </c>
      <c r="CI16" s="1189">
        <f>' Table Z Net Exp Profiles'!L16</f>
        <v>0</v>
      </c>
      <c r="CJ16" s="1189">
        <f>' Table Z Net Exp Profiles'!M16</f>
        <v>0</v>
      </c>
      <c r="CK16" s="1189">
        <f>' Table Z Net Exp Profiles'!N16</f>
        <v>0</v>
      </c>
      <c r="CL16" s="1215">
        <f>' Table Z Net Exp Profiles'!O16</f>
        <v>0</v>
      </c>
      <c r="CM16" s="1215">
        <f>' Table Z Net Exp Profiles'!P16</f>
        <v>0</v>
      </c>
      <c r="CO16" s="1329">
        <f>'B2 - Pay &amp; Agency'!A16</f>
        <v>7</v>
      </c>
      <c r="CP16" s="1333" t="str">
        <f>'B2 - Pay &amp; Agency'!B16</f>
        <v xml:space="preserve">Healthcare Scientists </v>
      </c>
      <c r="CQ16" s="1776">
        <f>'B2 - Pay &amp; Agency'!C16</f>
        <v>1591</v>
      </c>
      <c r="CR16" s="1777">
        <f>'B2 - Pay &amp; Agency'!D16</f>
        <v>1567.3203333333333</v>
      </c>
      <c r="CS16" s="1777">
        <f>'B2 - Pay &amp; Agency'!E16</f>
        <v>1580.5764833333333</v>
      </c>
      <c r="CT16" s="1777">
        <f>'B2 - Pay &amp; Agency'!F16</f>
        <v>1593.5282916666667</v>
      </c>
      <c r="CU16" s="1777">
        <f>'B2 - Pay &amp; Agency'!G16</f>
        <v>1593.5282916666667</v>
      </c>
      <c r="CV16" s="1777">
        <f>'B2 - Pay &amp; Agency'!H16</f>
        <v>1593.9694916666667</v>
      </c>
      <c r="CW16" s="1777">
        <f>'B2 - Pay &amp; Agency'!I16</f>
        <v>1593.5282916666667</v>
      </c>
      <c r="CX16" s="1777">
        <f>'B2 - Pay &amp; Agency'!J16</f>
        <v>1593.5282916666667</v>
      </c>
      <c r="CY16" s="1777">
        <f>'B2 - Pay &amp; Agency'!K16</f>
        <v>1593.5650583333334</v>
      </c>
      <c r="CZ16" s="1777">
        <f>'B2 - Pay &amp; Agency'!L16</f>
        <v>1593.5282916666667</v>
      </c>
      <c r="DA16" s="1777">
        <f>'B2 - Pay &amp; Agency'!M16</f>
        <v>1593.5282916666667</v>
      </c>
      <c r="DB16" s="1778">
        <f>'B2 - Pay &amp; Agency'!N16</f>
        <v>1594.5313555555556</v>
      </c>
      <c r="DC16" s="1324">
        <f>'B2 - Pay &amp; Agency'!O16</f>
        <v>1591</v>
      </c>
      <c r="DD16" s="1325">
        <f>'B2 - Pay &amp; Agency'!P16</f>
        <v>19082.132472222223</v>
      </c>
      <c r="DF16" s="2852">
        <f>'B3 - COVID-19'!A16</f>
        <v>9</v>
      </c>
      <c r="DG16" s="2845" t="str">
        <f>'B3 - COVID-19'!B16</f>
        <v xml:space="preserve">Healthcare Scientists </v>
      </c>
      <c r="DH16" s="1903">
        <f>'B3 - COVID-19'!C16</f>
        <v>30.110499999999998</v>
      </c>
      <c r="DI16" s="1903">
        <f>'B3 - COVID-19'!D16</f>
        <v>34.353833333333327</v>
      </c>
      <c r="DJ16" s="1903">
        <f>'B3 - COVID-19'!E16</f>
        <v>47.609983333333332</v>
      </c>
      <c r="DK16" s="1903">
        <f>'B3 - COVID-19'!F16</f>
        <v>60.561791666666657</v>
      </c>
      <c r="DL16" s="1903">
        <f>'B3 - COVID-19'!G16</f>
        <v>60.561791666666657</v>
      </c>
      <c r="DM16" s="1903">
        <f>'B3 - COVID-19'!H16</f>
        <v>61.002991666666659</v>
      </c>
      <c r="DN16" s="1903">
        <f>'B3 - COVID-19'!I16</f>
        <v>60.561791666666657</v>
      </c>
      <c r="DO16" s="1903">
        <f>'B3 - COVID-19'!J16</f>
        <v>60.561791666666657</v>
      </c>
      <c r="DP16" s="1903">
        <f>'B3 - COVID-19'!K16</f>
        <v>60.59855833333333</v>
      </c>
      <c r="DQ16" s="1903">
        <f>'B3 - COVID-19'!L16</f>
        <v>60.561791666666657</v>
      </c>
      <c r="DR16" s="1903">
        <f>'B3 - COVID-19'!M16</f>
        <v>60.561791666666657</v>
      </c>
      <c r="DS16" s="1903">
        <f>'B3 - COVID-19'!N16</f>
        <v>60.564855555555553</v>
      </c>
      <c r="DT16" s="1863">
        <f>'B3 - COVID-19'!O16</f>
        <v>30.110499999999998</v>
      </c>
      <c r="DU16" s="1863">
        <f>'B3 - COVID-19'!P16</f>
        <v>657.61147222222212</v>
      </c>
      <c r="DV16" s="608"/>
      <c r="DW16" s="1116"/>
      <c r="DY16" s="2111">
        <f>'C, C1, C2&amp; C3 - Savings Schemes'!A16</f>
        <v>4</v>
      </c>
      <c r="DZ16" s="3039" t="str">
        <f>'C, C1, C2&amp; C3 - Savings Schemes'!B16</f>
        <v>Commissioned Services</v>
      </c>
      <c r="EA16" s="87" t="str">
        <f>'C, C1, C2&amp; C3 - Savings Schemes'!C16</f>
        <v>Budget/Plan</v>
      </c>
      <c r="EB16" s="1790">
        <f>'C, C1, C2&amp; C3 - Savings Schemes'!D16</f>
        <v>0</v>
      </c>
      <c r="EC16" s="1790">
        <f>'C, C1, C2&amp; C3 - Savings Schemes'!E16</f>
        <v>0</v>
      </c>
      <c r="ED16" s="1790">
        <f>'C, C1, C2&amp; C3 - Savings Schemes'!F16</f>
        <v>0</v>
      </c>
      <c r="EE16" s="1790">
        <f>'C, C1, C2&amp; C3 - Savings Schemes'!G16</f>
        <v>0</v>
      </c>
      <c r="EF16" s="1790">
        <f>'C, C1, C2&amp; C3 - Savings Schemes'!H16</f>
        <v>0</v>
      </c>
      <c r="EG16" s="1790">
        <f>'C, C1, C2&amp; C3 - Savings Schemes'!I16</f>
        <v>0</v>
      </c>
      <c r="EH16" s="1790">
        <f>'C, C1, C2&amp; C3 - Savings Schemes'!J16</f>
        <v>0</v>
      </c>
      <c r="EI16" s="1790">
        <f>'C, C1, C2&amp; C3 - Savings Schemes'!K16</f>
        <v>0</v>
      </c>
      <c r="EJ16" s="1790">
        <f>'C, C1, C2&amp; C3 - Savings Schemes'!L16</f>
        <v>0</v>
      </c>
      <c r="EK16" s="1790">
        <f>'C, C1, C2&amp; C3 - Savings Schemes'!M16</f>
        <v>0</v>
      </c>
      <c r="EL16" s="1790">
        <f>'C, C1, C2&amp; C3 - Savings Schemes'!N16</f>
        <v>0</v>
      </c>
      <c r="EM16" s="1790">
        <f>'C, C1, C2&amp; C3 - Savings Schemes'!O16</f>
        <v>0</v>
      </c>
      <c r="EN16" s="941">
        <f>'C, C1, C2&amp; C3 - Savings Schemes'!P16</f>
        <v>0</v>
      </c>
      <c r="EO16" s="938">
        <f>'C, C1, C2&amp; C3 - Savings Schemes'!Q16</f>
        <v>0</v>
      </c>
      <c r="EP16" s="2080"/>
      <c r="EQ16" s="2081"/>
      <c r="ER16" s="2081"/>
      <c r="ES16" s="2081"/>
      <c r="ET16" s="2081"/>
      <c r="EU16" s="756"/>
      <c r="EV16" s="594"/>
      <c r="EW16" s="2101"/>
      <c r="EX16" s="3075"/>
      <c r="EY16" s="1700" t="str">
        <f>'Table C4 Tracker'!B16</f>
        <v>Total Variance</v>
      </c>
      <c r="EZ16" s="1109">
        <f>'Table C4 Tracker'!C16</f>
        <v>0</v>
      </c>
      <c r="FA16" s="1703">
        <f>'Table C4 Tracker'!D16</f>
        <v>0</v>
      </c>
      <c r="FB16" s="1703">
        <f>'Table C4 Tracker'!E16</f>
        <v>0</v>
      </c>
      <c r="FC16" s="1703">
        <f>'Table C4 Tracker'!F16</f>
        <v>0</v>
      </c>
      <c r="FD16" s="1703">
        <f>'Table C4 Tracker'!G16</f>
        <v>0</v>
      </c>
      <c r="FE16" s="1703">
        <f>'Table C4 Tracker'!H16</f>
        <v>0</v>
      </c>
      <c r="FF16" s="1703">
        <f>'Table C4 Tracker'!I16</f>
        <v>0</v>
      </c>
      <c r="FG16" s="1703">
        <f>'Table C4 Tracker'!J16</f>
        <v>0</v>
      </c>
      <c r="FH16" s="1703">
        <f>'Table C4 Tracker'!K16</f>
        <v>0</v>
      </c>
      <c r="FI16" s="1703">
        <f>'Table C4 Tracker'!L16</f>
        <v>0</v>
      </c>
      <c r="FJ16" s="1703">
        <f>'Table C4 Tracker'!M16</f>
        <v>0</v>
      </c>
      <c r="FK16" s="1703">
        <f>'Table C4 Tracker'!N16</f>
        <v>0</v>
      </c>
      <c r="FL16" s="1710">
        <f>'Table C4 Tracker'!O16</f>
        <v>0</v>
      </c>
      <c r="FM16" s="1701">
        <f>'Table C4 Tracker'!P16</f>
        <v>0</v>
      </c>
      <c r="FN16" s="1702">
        <f>'Table C4 Tracker'!Q16</f>
        <v>0</v>
      </c>
      <c r="FO16" s="1710">
        <f>'Table C4 Tracker'!R16</f>
        <v>0</v>
      </c>
      <c r="FP16" s="1710">
        <f>'Table C4 Tracker'!S16</f>
        <v>0</v>
      </c>
      <c r="FQ16" s="1710">
        <f>'Table C4 Tracker'!T16</f>
        <v>0</v>
      </c>
      <c r="FR16" s="1710">
        <f>'Table C4 Tracker'!U16</f>
        <v>0</v>
      </c>
      <c r="FS16" s="1957"/>
      <c r="FU16" s="2045">
        <f>'D - Welsh NHS Assumptions'!A16</f>
        <v>6</v>
      </c>
      <c r="FV16" s="2046" t="str">
        <f>'D - Welsh NHS Assumptions'!B16</f>
        <v>Hywel Dda University</v>
      </c>
      <c r="FW16" s="2069">
        <f>'D - Welsh NHS Assumptions'!C16</f>
        <v>1798</v>
      </c>
      <c r="FX16" s="2069">
        <f>'D - Welsh NHS Assumptions'!D16</f>
        <v>850</v>
      </c>
      <c r="FY16" s="2048">
        <f>'D - Welsh NHS Assumptions'!E16</f>
        <v>2648</v>
      </c>
      <c r="FZ16" s="1745"/>
      <c r="GA16" s="2069">
        <f>'D - Welsh NHS Assumptions'!G16</f>
        <v>2738</v>
      </c>
      <c r="GB16" s="2069">
        <f>'D - Welsh NHS Assumptions'!H16</f>
        <v>417</v>
      </c>
      <c r="GC16" s="2048">
        <f>'D - Welsh NHS Assumptions'!I16</f>
        <v>3155</v>
      </c>
      <c r="GD16" s="1745"/>
      <c r="GF16" s="2112">
        <f>'E - Resource Limits'!A16</f>
        <v>4</v>
      </c>
      <c r="GG16" s="2113" t="str">
        <f>'E - Resource Limits'!B16</f>
        <v>DEL Non Cash Depreciation - Strategic</v>
      </c>
      <c r="GH16" s="2114">
        <f>'E - Resource Limits'!C16</f>
        <v>0</v>
      </c>
      <c r="GI16" s="2114">
        <f>'E - Resource Limits'!D16</f>
        <v>0</v>
      </c>
      <c r="GJ16" s="2114">
        <f>'E - Resource Limits'!E16</f>
        <v>0</v>
      </c>
      <c r="GK16" s="2114">
        <f>'E - Resource Limits'!F16</f>
        <v>0</v>
      </c>
      <c r="GL16" s="2048">
        <f>'E - Resource Limits'!G16</f>
        <v>0</v>
      </c>
      <c r="GM16" s="2115">
        <f>'E - Resource Limits'!H16</f>
        <v>0</v>
      </c>
      <c r="GN16" s="2114">
        <f>'E - Resource Limits'!I16</f>
        <v>0</v>
      </c>
      <c r="GO16" s="2114">
        <f>'E - Resource Limits'!J16</f>
        <v>0</v>
      </c>
      <c r="GP16" s="2114">
        <f>'E - Resource Limits'!K16</f>
        <v>0</v>
      </c>
      <c r="GQ16" s="2116">
        <f>'E - Resource Limits'!L16</f>
        <v>0</v>
      </c>
      <c r="GR16" s="1935">
        <f t="shared" ref="GR16:GR74" si="6">IF(AND(GL16&lt;&gt;0,GG16=""),1,0)</f>
        <v>0</v>
      </c>
      <c r="GT16" s="175">
        <f>'E1 - Invoiced Income'!A16</f>
        <v>5</v>
      </c>
      <c r="GU16" s="1797" t="str">
        <f>'E1 - Invoiced Income'!B16</f>
        <v>DEL Non Cash Depreciation - Impairment</v>
      </c>
      <c r="GV16" s="1798">
        <f>'E1 - Invoiced Income'!C16</f>
        <v>0</v>
      </c>
      <c r="GW16" s="1798">
        <f>'E1 - Invoiced Income'!D16</f>
        <v>0</v>
      </c>
      <c r="GX16" s="1798">
        <f>'E1 - Invoiced Income'!E16</f>
        <v>0</v>
      </c>
      <c r="GY16" s="1798">
        <f>'E1 - Invoiced Income'!F16</f>
        <v>0</v>
      </c>
      <c r="GZ16" s="1798">
        <f>'E1 - Invoiced Income'!G16</f>
        <v>0</v>
      </c>
      <c r="HA16" s="1798">
        <f>'E1 - Invoiced Income'!H16</f>
        <v>0</v>
      </c>
      <c r="HB16" s="1798">
        <f>'E1 - Invoiced Income'!I16</f>
        <v>0</v>
      </c>
      <c r="HC16" s="1798">
        <f>'E1 - Invoiced Income'!J16</f>
        <v>0</v>
      </c>
      <c r="HD16" s="1798">
        <f>'E1 - Invoiced Income'!K16</f>
        <v>0</v>
      </c>
      <c r="HE16" s="1798">
        <f>'E1 - Invoiced Income'!L16</f>
        <v>0</v>
      </c>
      <c r="HF16" s="1798">
        <f>'E1 - Invoiced Income'!M16</f>
        <v>0</v>
      </c>
      <c r="HG16" s="1798">
        <f>'E1 - Invoiced Income'!N16</f>
        <v>0</v>
      </c>
      <c r="HH16" s="1798">
        <f>'E1 - Invoiced Income'!O16</f>
        <v>0</v>
      </c>
      <c r="HI16" s="1798">
        <f>'E1 - Invoiced Income'!P16</f>
        <v>0</v>
      </c>
      <c r="HJ16" s="1798">
        <f>'E1 - Invoiced Income'!R16</f>
        <v>0</v>
      </c>
      <c r="HK16" s="1798">
        <f>'E1 - Invoiced Income'!S16</f>
        <v>0</v>
      </c>
      <c r="HL16" s="1665">
        <f>'E1 - Invoiced Income'!T16</f>
        <v>0</v>
      </c>
      <c r="HM16" s="1799">
        <f>'E1 - Invoiced Income'!U16</f>
        <v>0</v>
      </c>
      <c r="HO16" s="2007">
        <f>'F - SoFP'!A16</f>
        <v>7</v>
      </c>
      <c r="HP16" s="2008" t="str">
        <f>'F - SoFP'!B16</f>
        <v>Trade and other receivables</v>
      </c>
      <c r="HQ16" s="2009">
        <f>'F - SoFP'!C16</f>
        <v>0</v>
      </c>
      <c r="HR16" s="2010">
        <f>'F - SoFP'!D16</f>
        <v>0</v>
      </c>
      <c r="HS16" s="2010">
        <f>'F - SoFP'!E16</f>
        <v>0</v>
      </c>
      <c r="HT16" s="1946"/>
      <c r="HV16" s="2053">
        <f>'G - Cash Flow'!A16</f>
        <v>6</v>
      </c>
      <c r="HW16" s="2000" t="str">
        <f>'G - Cash Flow'!B16</f>
        <v>Short Term Loans - Trust only</v>
      </c>
      <c r="HX16" s="2054">
        <f>'G - Cash Flow'!C16</f>
        <v>0</v>
      </c>
      <c r="HY16" s="2054">
        <f>'G - Cash Flow'!D16</f>
        <v>0</v>
      </c>
      <c r="HZ16" s="2054">
        <f>'G - Cash Flow'!E16</f>
        <v>0</v>
      </c>
      <c r="IA16" s="2054">
        <f>'G - Cash Flow'!F16</f>
        <v>0</v>
      </c>
      <c r="IB16" s="2054">
        <f>'G - Cash Flow'!G16</f>
        <v>0</v>
      </c>
      <c r="IC16" s="2054">
        <f>'G - Cash Flow'!H16</f>
        <v>0</v>
      </c>
      <c r="ID16" s="2054">
        <f>'G - Cash Flow'!I16</f>
        <v>0</v>
      </c>
      <c r="IE16" s="2054">
        <f>'G - Cash Flow'!J16</f>
        <v>0</v>
      </c>
      <c r="IF16" s="2054">
        <f>'G - Cash Flow'!K16</f>
        <v>0</v>
      </c>
      <c r="IG16" s="2054">
        <f>'G - Cash Flow'!L16</f>
        <v>0</v>
      </c>
      <c r="IH16" s="2054">
        <f>'G - Cash Flow'!M16</f>
        <v>0</v>
      </c>
      <c r="II16" s="2054">
        <f>'G - Cash Flow'!N16</f>
        <v>0</v>
      </c>
      <c r="IJ16" s="2055">
        <f>'G - Cash Flow'!O16</f>
        <v>0</v>
      </c>
      <c r="IK16" s="1942"/>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5"/>
      <c r="JD16" s="2073"/>
      <c r="JE16" s="2032" t="str">
        <f>'I - Capital RLM'!B16</f>
        <v>All Wales Capital Programme:</v>
      </c>
      <c r="JF16" s="2031"/>
      <c r="JG16" s="2031"/>
      <c r="JH16" s="2031"/>
      <c r="JI16" s="2087"/>
      <c r="JJ16" s="2031"/>
      <c r="JK16" s="2031"/>
      <c r="JL16" s="2031"/>
      <c r="JM16" s="2060"/>
      <c r="JN16" s="281"/>
      <c r="JO16" s="2060"/>
      <c r="JQ16" s="2088">
        <f>'J - Capital In Year Schemes'!A16</f>
        <v>5</v>
      </c>
      <c r="JR16" s="2089">
        <f>'J - Capital In Year Schemes'!B16</f>
        <v>0</v>
      </c>
      <c r="JS16" s="2089">
        <f>'J - Capital In Year Schemes'!C16</f>
        <v>0</v>
      </c>
      <c r="JT16" s="2010">
        <f>'J - Capital In Year Schemes'!D16</f>
        <v>0</v>
      </c>
      <c r="JU16" s="2010">
        <f>'J - Capital In Year Schemes'!E16</f>
        <v>0</v>
      </c>
      <c r="JV16" s="2010">
        <f>'J - Capital In Year Schemes'!F16</f>
        <v>0</v>
      </c>
      <c r="JW16" s="2010">
        <f>'J - Capital In Year Schemes'!G16</f>
        <v>0</v>
      </c>
      <c r="JX16" s="2010">
        <f>'J - Capital In Year Schemes'!H16</f>
        <v>0</v>
      </c>
      <c r="JY16" s="2010">
        <f>'J - Capital In Year Schemes'!I16</f>
        <v>0</v>
      </c>
      <c r="JZ16" s="2010">
        <f>'J - Capital In Year Schemes'!J16</f>
        <v>0</v>
      </c>
      <c r="KA16" s="2010">
        <f>'J - Capital In Year Schemes'!K16</f>
        <v>0</v>
      </c>
      <c r="KB16" s="2010">
        <f>'J - Capital In Year Schemes'!L16</f>
        <v>0</v>
      </c>
      <c r="KC16" s="2010">
        <f>'J - Capital In Year Schemes'!M16</f>
        <v>0</v>
      </c>
      <c r="KD16" s="2010">
        <f>'J - Capital In Year Schemes'!N16</f>
        <v>0</v>
      </c>
      <c r="KE16" s="2010">
        <f>'J - Capital In Year Schemes'!O16</f>
        <v>0</v>
      </c>
      <c r="KF16" s="2010">
        <f>'J - Capital In Year Schemes'!P16</f>
        <v>0</v>
      </c>
      <c r="KG16" s="2010">
        <f>'J - Capital In Year Schemes'!Q16</f>
        <v>0</v>
      </c>
      <c r="KH16" s="2090">
        <f>'J - Capital In Year Schemes'!R16</f>
        <v>0</v>
      </c>
      <c r="KI16" s="2090">
        <f>'J - Capital In Year Schemes'!S16</f>
        <v>0</v>
      </c>
      <c r="KJ16" s="2091">
        <f>'J - Capital In Year Schemes'!T16</f>
        <v>0</v>
      </c>
      <c r="KK16" s="2060">
        <f t="shared" si="5"/>
        <v>0</v>
      </c>
      <c r="KM16" s="2053">
        <f>'K - Capital Disposals'!A16</f>
        <v>6</v>
      </c>
      <c r="KN16" s="2077">
        <f>'K - Capital Disposals'!B16</f>
        <v>0</v>
      </c>
      <c r="KO16" s="2062">
        <f>'K - Capital Disposals'!C16</f>
        <v>0</v>
      </c>
      <c r="KP16" s="2062">
        <f>'K - Capital Disposals'!D16</f>
        <v>0</v>
      </c>
      <c r="KQ16" s="2078">
        <f>'K - Capital Disposals'!E16</f>
        <v>0</v>
      </c>
      <c r="KR16" s="2064">
        <f>'K - Capital Disposals'!F16</f>
        <v>0</v>
      </c>
      <c r="KS16" s="2064">
        <f>'K - Capital Disposals'!G16</f>
        <v>0</v>
      </c>
      <c r="KT16" s="2054">
        <f>'K - Capital Disposals'!H16</f>
        <v>0</v>
      </c>
      <c r="KU16" s="2055">
        <f>'K - Capital Disposals'!I16</f>
        <v>0</v>
      </c>
      <c r="KV16" s="2092">
        <f>'K - Capital Disposals'!J16</f>
        <v>0</v>
      </c>
      <c r="KW16" s="2093"/>
      <c r="KX16" s="2093"/>
      <c r="KY16" s="2093"/>
      <c r="KZ16" s="2093"/>
      <c r="LA16" s="2093"/>
      <c r="LB16" s="2094"/>
      <c r="LC16" s="1935"/>
      <c r="LE16" s="1615">
        <f>'L - EFL'!A16</f>
        <v>6</v>
      </c>
      <c r="LF16" s="1614" t="str">
        <f>'L - EFL'!B16</f>
        <v>Profit/loss on sale term of disc ops</v>
      </c>
      <c r="LG16" s="1779">
        <f>'L - EFL'!C16</f>
        <v>0</v>
      </c>
      <c r="LH16" s="1779">
        <f>'L - EFL'!D16</f>
        <v>0</v>
      </c>
      <c r="LI16" s="1613">
        <f>'L - EFL'!E16</f>
        <v>0</v>
      </c>
      <c r="LJ16" s="1779">
        <f>'L - EFL'!F16</f>
        <v>0</v>
      </c>
      <c r="LL16" s="814"/>
      <c r="LM16" s="1761">
        <f>'M - Aged Debtors'!B16</f>
        <v>0</v>
      </c>
      <c r="LN16" s="1762">
        <f>'M - Aged Debtors'!C16</f>
        <v>0</v>
      </c>
      <c r="LO16" s="1763">
        <f>'M - Aged Debtors'!D16</f>
        <v>0</v>
      </c>
      <c r="LP16" s="1764">
        <f>'M - Aged Debtors'!E16</f>
        <v>0</v>
      </c>
      <c r="LQ16" s="1972">
        <f>'M - Aged Debtors'!F16</f>
        <v>0</v>
      </c>
      <c r="LR16" s="1166" t="str">
        <f>'M - Aged Debtors'!G16</f>
        <v/>
      </c>
      <c r="LS16" s="829" t="str">
        <f>'M - Aged Debtors'!H16</f>
        <v/>
      </c>
      <c r="LT16" s="829" t="str">
        <f>'M - Aged Debtors'!I16</f>
        <v/>
      </c>
      <c r="LU16" s="830" t="str">
        <f>'M - Aged Debtors'!J16</f>
        <v/>
      </c>
      <c r="LV16" s="1757">
        <f>'M - Aged Debtors'!K16</f>
        <v>0</v>
      </c>
      <c r="LX16" s="459" t="str">
        <f>'N - GMS'!A16</f>
        <v>QAIF Achievement Payments</v>
      </c>
      <c r="LY16" s="460"/>
      <c r="LZ16" s="461">
        <f>'N - GMS'!C16</f>
        <v>5</v>
      </c>
      <c r="MA16" s="68">
        <f>'N - GMS'!D16</f>
        <v>0</v>
      </c>
      <c r="MB16" s="218">
        <f>'N - GMS'!E16</f>
        <v>0</v>
      </c>
      <c r="MC16" s="218">
        <f>'N - GMS'!F16</f>
        <v>0</v>
      </c>
      <c r="MD16" s="67">
        <f>'N - GMS'!G16</f>
        <v>0</v>
      </c>
      <c r="ME16" s="213"/>
      <c r="MF16" s="1780">
        <f>'N - GMS'!I16</f>
        <v>0</v>
      </c>
      <c r="MH16" s="702" t="str">
        <f>'O - Dental'!A16</f>
        <v>Sedation services including GA</v>
      </c>
      <c r="MI16" s="703"/>
      <c r="MJ16" s="698">
        <f>'O - Dental'!C16</f>
        <v>8</v>
      </c>
      <c r="MK16" s="698">
        <f>'O - Dental'!D16</f>
        <v>0</v>
      </c>
      <c r="ML16" s="1781">
        <f>'O - Dental'!E16</f>
        <v>0</v>
      </c>
      <c r="MM16" s="1781">
        <f>'O - Dental'!F16</f>
        <v>0</v>
      </c>
      <c r="MN16" s="661">
        <f>'O - Dental'!G16</f>
        <v>0</v>
      </c>
      <c r="MO16" s="308"/>
      <c r="MP16" s="1765">
        <f>'O - Dental'!I16</f>
        <v>0</v>
      </c>
      <c r="MR16" s="684"/>
      <c r="MS16" s="3034">
        <f>'P - Ringfenced'!B16</f>
        <v>0</v>
      </c>
      <c r="MT16" s="1101" t="str">
        <f>'P - Ringfenced'!C16</f>
        <v>Actual/Forecast - committed</v>
      </c>
      <c r="MU16" s="2656">
        <f>'P - Ringfenced'!D16</f>
        <v>0</v>
      </c>
      <c r="MV16" s="2656">
        <f>'P - Ringfenced'!E16</f>
        <v>0</v>
      </c>
      <c r="MW16" s="2693">
        <f>'P - Ringfenced'!F16</f>
        <v>0</v>
      </c>
      <c r="MX16" s="2693">
        <f>'P - Ringfenced'!G16</f>
        <v>0</v>
      </c>
      <c r="MY16" s="2693">
        <f>'P - Ringfenced'!H16</f>
        <v>0</v>
      </c>
      <c r="MZ16" s="2693">
        <f>'P - Ringfenced'!I16</f>
        <v>0</v>
      </c>
      <c r="NA16" s="2693">
        <f>'P - Ringfenced'!J16</f>
        <v>0</v>
      </c>
      <c r="NB16" s="2693">
        <f>'P - Ringfenced'!K16</f>
        <v>0</v>
      </c>
      <c r="NC16" s="2693">
        <f>'P - Ringfenced'!L16</f>
        <v>0</v>
      </c>
      <c r="ND16" s="2693">
        <f>'P - Ringfenced'!M16</f>
        <v>0</v>
      </c>
      <c r="NE16" s="2693">
        <f>'P - Ringfenced'!N16</f>
        <v>0</v>
      </c>
      <c r="NF16" s="2693">
        <f>'P - Ringfenced'!O16</f>
        <v>0</v>
      </c>
      <c r="NG16" s="2693">
        <f>'P - Ringfenced'!P16</f>
        <v>0</v>
      </c>
      <c r="NH16" s="2695">
        <f>'P - Ringfenced'!Q16</f>
        <v>0</v>
      </c>
      <c r="NI16" s="1324">
        <f>'P - Ringfenced'!R16</f>
        <v>0</v>
      </c>
      <c r="NJ16" s="1325">
        <f>'P - Ringfenced'!S16</f>
        <v>0</v>
      </c>
      <c r="NK16" s="2861"/>
      <c r="NL16" s="684"/>
    </row>
    <row r="17" spans="1:376" ht="21" customHeight="1" thickBot="1">
      <c r="A17" s="1745"/>
      <c r="B17" s="1745"/>
      <c r="C17" s="1745"/>
      <c r="D17" s="1745"/>
      <c r="E17" s="1745"/>
      <c r="F17" s="1745"/>
      <c r="G17" s="1745"/>
      <c r="H17" s="1745"/>
      <c r="I17" s="1745"/>
      <c r="J17" s="1745"/>
      <c r="K17" s="1745"/>
      <c r="M17" s="950">
        <f>'A - Movement'!A17</f>
        <v>7</v>
      </c>
      <c r="N17" s="991" t="str">
        <f>'A - Movement'!B17</f>
        <v>RRL Profile - phasing only (In Year Effect / Column C must be nil)</v>
      </c>
      <c r="O17" s="1131">
        <f>'A - Movement'!C17</f>
        <v>0</v>
      </c>
      <c r="P17" s="1131">
        <f>'A - Movement'!D17</f>
        <v>0</v>
      </c>
      <c r="Q17" s="1131">
        <f>'A - Movement'!E17</f>
        <v>0</v>
      </c>
      <c r="R17" s="1131">
        <f>'A - Movement'!F17</f>
        <v>0</v>
      </c>
      <c r="S17" s="1745"/>
      <c r="T17" s="1928"/>
      <c r="U17" s="950">
        <f>'A - Movement'!I17</f>
        <v>7</v>
      </c>
      <c r="V17" s="991" t="str">
        <f t="shared" si="4"/>
        <v>RRL Profile - phasing only (In Year Effect / Column C must be nil)</v>
      </c>
      <c r="W17" s="954">
        <f>'A - Movement'!J17</f>
        <v>0</v>
      </c>
      <c r="X17" s="954">
        <f>'A - Movement'!K17</f>
        <v>0</v>
      </c>
      <c r="Y17" s="954">
        <f>'A - Movement'!L17</f>
        <v>0</v>
      </c>
      <c r="Z17" s="954">
        <f>'A - Movement'!M17</f>
        <v>0</v>
      </c>
      <c r="AA17" s="954">
        <f>'A - Movement'!N17</f>
        <v>0</v>
      </c>
      <c r="AB17" s="954">
        <f>'A - Movement'!O17</f>
        <v>0</v>
      </c>
      <c r="AC17" s="954">
        <f>'A - Movement'!P17</f>
        <v>0</v>
      </c>
      <c r="AD17" s="954">
        <f>'A - Movement'!Q17</f>
        <v>0</v>
      </c>
      <c r="AE17" s="954">
        <f>'A - Movement'!R17</f>
        <v>0</v>
      </c>
      <c r="AF17" s="954">
        <f>'A - Movement'!S17</f>
        <v>0</v>
      </c>
      <c r="AG17" s="954">
        <f>'A - Movement'!T17</f>
        <v>0</v>
      </c>
      <c r="AH17" s="1689">
        <f>'A - Movement'!U17</f>
        <v>0</v>
      </c>
      <c r="AI17" s="1131">
        <f>'A - Movement'!V17</f>
        <v>0</v>
      </c>
      <c r="AJ17" s="1131">
        <f>'A - Movement'!W17</f>
        <v>0</v>
      </c>
      <c r="AK17" s="1131">
        <f t="shared" si="1"/>
        <v>0</v>
      </c>
      <c r="AL17" s="1131">
        <f t="shared" si="2"/>
        <v>0</v>
      </c>
      <c r="AM17" s="1131">
        <f t="shared" si="3"/>
        <v>0</v>
      </c>
      <c r="AN17" s="1745"/>
      <c r="AO17" s="1928"/>
      <c r="AP17" s="1403">
        <f>'A1 - Underlying Position'!A18</f>
        <v>7</v>
      </c>
      <c r="AQ17" s="1373" t="str">
        <f>'A1 - Underlying Position'!B18</f>
        <v xml:space="preserve">Pay - Healthcare Scientists </v>
      </c>
      <c r="AR17" s="1782">
        <f>'A1 - Underlying Position'!C18</f>
        <v>0</v>
      </c>
      <c r="AS17" s="1783">
        <f>'A1 - Underlying Position'!D18</f>
        <v>0</v>
      </c>
      <c r="AT17" s="1783">
        <f>'A1 - Underlying Position'!E18</f>
        <v>0</v>
      </c>
      <c r="AU17" s="75">
        <f>'A1 - Underlying Position'!F18</f>
        <v>0</v>
      </c>
      <c r="AV17" s="1784">
        <f>'A1 - Underlying Position'!G18</f>
        <v>0</v>
      </c>
      <c r="AW17" s="75">
        <f>'A1 - Underlying Position'!H18</f>
        <v>0</v>
      </c>
      <c r="AX17" s="1745"/>
      <c r="AZ17" s="1717">
        <f>'A2 - Risks'!A17</f>
        <v>9</v>
      </c>
      <c r="BA17" s="1720" t="str">
        <f>'A2 - Risks'!B17</f>
        <v>Other Contract Performance</v>
      </c>
      <c r="BB17" s="1758">
        <f>'A2 - Risks'!C17</f>
        <v>0</v>
      </c>
      <c r="BC17" s="1759">
        <f>'A2 - Risks'!D17</f>
        <v>0</v>
      </c>
      <c r="BE17" s="2109">
        <f>'B - Monthly Positions'!A17</f>
        <v>7</v>
      </c>
      <c r="BF17" s="1074" t="str">
        <f>'B - Monthly Positions'!B17</f>
        <v>Income Total</v>
      </c>
      <c r="BG17" s="1075" t="str">
        <f>'B - Monthly Positions'!C17</f>
        <v xml:space="preserve"> </v>
      </c>
      <c r="BH17" s="1110">
        <f>'B - Monthly Positions'!D17</f>
        <v>18197</v>
      </c>
      <c r="BI17" s="1110">
        <f>'B - Monthly Positions'!E17</f>
        <v>18011.933909250896</v>
      </c>
      <c r="BJ17" s="1110">
        <f>'B - Monthly Positions'!F17</f>
        <v>18400.246342926086</v>
      </c>
      <c r="BK17" s="1110">
        <f>'B - Monthly Positions'!G17</f>
        <v>18052.744234250895</v>
      </c>
      <c r="BL17" s="1110">
        <f>'B - Monthly Positions'!H17</f>
        <v>18014.244234250895</v>
      </c>
      <c r="BM17" s="1110">
        <f>'B - Monthly Positions'!I17</f>
        <v>18553.78735125942</v>
      </c>
      <c r="BN17" s="1110">
        <f>'B - Monthly Positions'!J17</f>
        <v>18313.747946985815</v>
      </c>
      <c r="BO17" s="1110">
        <f>'B - Monthly Positions'!K17</f>
        <v>18229.968375841603</v>
      </c>
      <c r="BP17" s="1110">
        <f>'B - Monthly Positions'!L17</f>
        <v>18741.305338652484</v>
      </c>
      <c r="BQ17" s="1110">
        <f>'B - Monthly Positions'!M17</f>
        <v>18262.747946985815</v>
      </c>
      <c r="BR17" s="1110">
        <f>'B - Monthly Positions'!N17</f>
        <v>18230.722954697387</v>
      </c>
      <c r="BS17" s="1110">
        <f>'B - Monthly Positions'!O17</f>
        <v>19288.564175874708</v>
      </c>
      <c r="BT17" s="1110">
        <f>'B - Monthly Positions'!P17</f>
        <v>18197</v>
      </c>
      <c r="BU17" s="1110">
        <f>'B - Monthly Positions'!Q17</f>
        <v>220297.01281097601</v>
      </c>
      <c r="BV17" s="1643"/>
      <c r="BW17" s="1875"/>
      <c r="BX17" s="91">
        <f>' Table Z Net Exp Profiles'!A17</f>
        <v>8</v>
      </c>
      <c r="BY17" s="2508" t="str">
        <f>' Table Z Net Exp Profiles'!B17</f>
        <v>Other Pay - Actual/Forecast Gross</v>
      </c>
      <c r="BZ17" s="2501">
        <f>' Table Z Net Exp Profiles'!C17</f>
        <v>0</v>
      </c>
      <c r="CA17" s="1189">
        <f>' Table Z Net Exp Profiles'!D17</f>
        <v>0</v>
      </c>
      <c r="CB17" s="1189">
        <f>' Table Z Net Exp Profiles'!E17</f>
        <v>0</v>
      </c>
      <c r="CC17" s="1189">
        <f>' Table Z Net Exp Profiles'!F17</f>
        <v>0</v>
      </c>
      <c r="CD17" s="1189">
        <f>' Table Z Net Exp Profiles'!G17</f>
        <v>0</v>
      </c>
      <c r="CE17" s="1189">
        <f>' Table Z Net Exp Profiles'!H17</f>
        <v>0</v>
      </c>
      <c r="CF17" s="1189">
        <f>' Table Z Net Exp Profiles'!I17</f>
        <v>0</v>
      </c>
      <c r="CG17" s="1189">
        <f>' Table Z Net Exp Profiles'!J17</f>
        <v>0</v>
      </c>
      <c r="CH17" s="1189">
        <f>' Table Z Net Exp Profiles'!K17</f>
        <v>0</v>
      </c>
      <c r="CI17" s="1189">
        <f>' Table Z Net Exp Profiles'!L17</f>
        <v>0</v>
      </c>
      <c r="CJ17" s="1189">
        <f>' Table Z Net Exp Profiles'!M17</f>
        <v>0</v>
      </c>
      <c r="CK17" s="1189">
        <f>' Table Z Net Exp Profiles'!N17</f>
        <v>0</v>
      </c>
      <c r="CL17" s="1692">
        <f>' Table Z Net Exp Profiles'!O17</f>
        <v>0</v>
      </c>
      <c r="CM17" s="1692">
        <f>' Table Z Net Exp Profiles'!P17</f>
        <v>0</v>
      </c>
      <c r="CO17" s="1329">
        <f>'B2 - Pay &amp; Agency'!A17</f>
        <v>8</v>
      </c>
      <c r="CP17" s="1333" t="str">
        <f>'B2 - Pay &amp; Agency'!B17</f>
        <v xml:space="preserve">Estates &amp; Ancillary </v>
      </c>
      <c r="CQ17" s="1776">
        <f>'B2 - Pay &amp; Agency'!C17</f>
        <v>4</v>
      </c>
      <c r="CR17" s="1777">
        <f>'B2 - Pay &amp; Agency'!D17</f>
        <v>1</v>
      </c>
      <c r="CS17" s="1777">
        <f>'B2 - Pay &amp; Agency'!E17</f>
        <v>1</v>
      </c>
      <c r="CT17" s="1777">
        <f>'B2 - Pay &amp; Agency'!F17</f>
        <v>1</v>
      </c>
      <c r="CU17" s="1777">
        <f>'B2 - Pay &amp; Agency'!G17</f>
        <v>1</v>
      </c>
      <c r="CV17" s="1777">
        <f>'B2 - Pay &amp; Agency'!H17</f>
        <v>1</v>
      </c>
      <c r="CW17" s="1777">
        <f>'B2 - Pay &amp; Agency'!I17</f>
        <v>1</v>
      </c>
      <c r="CX17" s="1777">
        <f>'B2 - Pay &amp; Agency'!J17</f>
        <v>1</v>
      </c>
      <c r="CY17" s="1777">
        <f>'B2 - Pay &amp; Agency'!K17</f>
        <v>1</v>
      </c>
      <c r="CZ17" s="1777">
        <f>'B2 - Pay &amp; Agency'!L17</f>
        <v>1</v>
      </c>
      <c r="DA17" s="1777">
        <f>'B2 - Pay &amp; Agency'!M17</f>
        <v>1</v>
      </c>
      <c r="DB17" s="1778">
        <f>'B2 - Pay &amp; Agency'!N17</f>
        <v>1</v>
      </c>
      <c r="DC17" s="1324">
        <f>'B2 - Pay &amp; Agency'!O17</f>
        <v>4</v>
      </c>
      <c r="DD17" s="1325">
        <f>'B2 - Pay &amp; Agency'!P17</f>
        <v>15</v>
      </c>
      <c r="DF17" s="2852">
        <f>'B3 - COVID-19'!A17</f>
        <v>10</v>
      </c>
      <c r="DG17" s="2845" t="str">
        <f>'B3 - COVID-19'!B17</f>
        <v xml:space="preserve">Estates &amp; Ancillary </v>
      </c>
      <c r="DH17" s="1903">
        <f>'B3 - COVID-19'!C17</f>
        <v>0</v>
      </c>
      <c r="DI17" s="1903">
        <f>'B3 - COVID-19'!D17</f>
        <v>0</v>
      </c>
      <c r="DJ17" s="1903">
        <f>'B3 - COVID-19'!E17</f>
        <v>0</v>
      </c>
      <c r="DK17" s="1903">
        <f>'B3 - COVID-19'!F17</f>
        <v>0</v>
      </c>
      <c r="DL17" s="1903">
        <f>'B3 - COVID-19'!G17</f>
        <v>0</v>
      </c>
      <c r="DM17" s="1903">
        <f>'B3 - COVID-19'!H17</f>
        <v>0</v>
      </c>
      <c r="DN17" s="1903">
        <f>'B3 - COVID-19'!I17</f>
        <v>0</v>
      </c>
      <c r="DO17" s="1903">
        <f>'B3 - COVID-19'!J17</f>
        <v>0</v>
      </c>
      <c r="DP17" s="1903">
        <f>'B3 - COVID-19'!K17</f>
        <v>0</v>
      </c>
      <c r="DQ17" s="1903">
        <f>'B3 - COVID-19'!L17</f>
        <v>0</v>
      </c>
      <c r="DR17" s="1903">
        <f>'B3 - COVID-19'!M17</f>
        <v>0</v>
      </c>
      <c r="DS17" s="1903">
        <f>'B3 - COVID-19'!N17</f>
        <v>0</v>
      </c>
      <c r="DT17" s="1863">
        <f>'B3 - COVID-19'!O17</f>
        <v>0</v>
      </c>
      <c r="DU17" s="1863">
        <f>'B3 - COVID-19'!P17</f>
        <v>0</v>
      </c>
      <c r="DV17" s="608"/>
      <c r="DW17" s="1116"/>
      <c r="DY17" s="2095">
        <f>'C, C1, C2&amp; C3 - Savings Schemes'!A17</f>
        <v>5</v>
      </c>
      <c r="DZ17" s="3039"/>
      <c r="EA17" s="90" t="str">
        <f>'C, C1, C2&amp; C3 - Savings Schemes'!C17</f>
        <v>Actual/F'cast</v>
      </c>
      <c r="EB17" s="1782">
        <f>'C, C1, C2&amp; C3 - Savings Schemes'!D17</f>
        <v>0</v>
      </c>
      <c r="EC17" s="1782">
        <f>'C, C1, C2&amp; C3 - Savings Schemes'!E17</f>
        <v>0</v>
      </c>
      <c r="ED17" s="1782">
        <f>'C, C1, C2&amp; C3 - Savings Schemes'!F17</f>
        <v>0</v>
      </c>
      <c r="EE17" s="1782">
        <f>'C, C1, C2&amp; C3 - Savings Schemes'!G17</f>
        <v>0</v>
      </c>
      <c r="EF17" s="1782">
        <f>'C, C1, C2&amp; C3 - Savings Schemes'!H17</f>
        <v>0</v>
      </c>
      <c r="EG17" s="1782">
        <f>'C, C1, C2&amp; C3 - Savings Schemes'!I17</f>
        <v>0</v>
      </c>
      <c r="EH17" s="1782">
        <f>'C, C1, C2&amp; C3 - Savings Schemes'!J17</f>
        <v>0</v>
      </c>
      <c r="EI17" s="1782">
        <f>'C, C1, C2&amp; C3 - Savings Schemes'!K17</f>
        <v>0</v>
      </c>
      <c r="EJ17" s="1782">
        <f>'C, C1, C2&amp; C3 - Savings Schemes'!L17</f>
        <v>0</v>
      </c>
      <c r="EK17" s="1782">
        <f>'C, C1, C2&amp; C3 - Savings Schemes'!M17</f>
        <v>0</v>
      </c>
      <c r="EL17" s="1782">
        <f>'C, C1, C2&amp; C3 - Savings Schemes'!N17</f>
        <v>0</v>
      </c>
      <c r="EM17" s="1795">
        <f>'C, C1, C2&amp; C3 - Savings Schemes'!O17</f>
        <v>0</v>
      </c>
      <c r="EN17" s="121">
        <f>'C, C1, C2&amp; C3 - Savings Schemes'!P17</f>
        <v>0</v>
      </c>
      <c r="EO17" s="940">
        <f>'C, C1, C2&amp; C3 - Savings Schemes'!Q17</f>
        <v>0</v>
      </c>
      <c r="EP17" s="1167" t="e">
        <f>'C, C1, C2&amp; C3 - Savings Schemes'!R17</f>
        <v>#DIV/0!</v>
      </c>
      <c r="EQ17" s="2096">
        <f>'C, C1, C2&amp; C3 - Savings Schemes'!S17</f>
        <v>0</v>
      </c>
      <c r="ER17" s="2096">
        <f>'C, C1, C2&amp; C3 - Savings Schemes'!T17</f>
        <v>0</v>
      </c>
      <c r="ES17" s="2096">
        <f>'C, C1, C2&amp; C3 - Savings Schemes'!U17</f>
        <v>0</v>
      </c>
      <c r="ET17" s="2096">
        <f>'C, C1, C2&amp; C3 - Savings Schemes'!V17</f>
        <v>0</v>
      </c>
      <c r="EU17" s="111"/>
      <c r="EV17" s="1796">
        <f>'C, C1, C2&amp; C3 - Savings Schemes'!X17</f>
        <v>0</v>
      </c>
      <c r="EW17" s="1932"/>
      <c r="EX17" s="3073" t="str">
        <f>'Table C4 Tracker'!A17</f>
        <v>Net Income Generation</v>
      </c>
      <c r="EY17" s="1063" t="str">
        <f>'Table C4 Tracker'!B17</f>
        <v>Month 1 - Plan</v>
      </c>
      <c r="EZ17" s="1705">
        <f>'Table C4 Tracker'!C17</f>
        <v>0</v>
      </c>
      <c r="FA17" s="1706">
        <f>'Table C4 Tracker'!D17</f>
        <v>0</v>
      </c>
      <c r="FB17" s="1706">
        <f>'Table C4 Tracker'!E17</f>
        <v>0</v>
      </c>
      <c r="FC17" s="1706">
        <f>'Table C4 Tracker'!F17</f>
        <v>0</v>
      </c>
      <c r="FD17" s="1706">
        <f>'Table C4 Tracker'!G17</f>
        <v>0</v>
      </c>
      <c r="FE17" s="1706">
        <f>'Table C4 Tracker'!H17</f>
        <v>0</v>
      </c>
      <c r="FF17" s="1706">
        <f>'Table C4 Tracker'!I17</f>
        <v>0</v>
      </c>
      <c r="FG17" s="1706">
        <f>'Table C4 Tracker'!J17</f>
        <v>0</v>
      </c>
      <c r="FH17" s="1706">
        <f>'Table C4 Tracker'!K17</f>
        <v>0</v>
      </c>
      <c r="FI17" s="1706">
        <f>'Table C4 Tracker'!L17</f>
        <v>0</v>
      </c>
      <c r="FJ17" s="1706">
        <f>'Table C4 Tracker'!M17</f>
        <v>0</v>
      </c>
      <c r="FK17" s="1706">
        <f>'Table C4 Tracker'!N17</f>
        <v>0</v>
      </c>
      <c r="FL17" s="1709">
        <f>'Table C4 Tracker'!O17</f>
        <v>0</v>
      </c>
      <c r="FM17" s="1458">
        <f>'Table C4 Tracker'!P17</f>
        <v>0</v>
      </c>
      <c r="FN17" s="1707">
        <f>'Table C4 Tracker'!Q17</f>
        <v>0</v>
      </c>
      <c r="FO17" s="1709">
        <f>'Table C4 Tracker'!R17</f>
        <v>0</v>
      </c>
      <c r="FP17" s="1709">
        <f>'Table C4 Tracker'!S17</f>
        <v>0</v>
      </c>
      <c r="FQ17" s="1709">
        <f>'Table C4 Tracker'!T17</f>
        <v>0</v>
      </c>
      <c r="FR17" s="1709">
        <f>'Table C4 Tracker'!U17</f>
        <v>0</v>
      </c>
      <c r="FS17" s="1957"/>
      <c r="FU17" s="2045">
        <f>'D - Welsh NHS Assumptions'!A17</f>
        <v>7</v>
      </c>
      <c r="FV17" s="2083" t="str">
        <f>'D - Welsh NHS Assumptions'!B17</f>
        <v>Powys</v>
      </c>
      <c r="FW17" s="2069">
        <f>'D - Welsh NHS Assumptions'!C17</f>
        <v>282</v>
      </c>
      <c r="FX17" s="2069">
        <f>'D - Welsh NHS Assumptions'!D17</f>
        <v>167</v>
      </c>
      <c r="FY17" s="2048">
        <f>'D - Welsh NHS Assumptions'!E17</f>
        <v>449</v>
      </c>
      <c r="FZ17" s="1745"/>
      <c r="GA17" s="2069">
        <f>'D - Welsh NHS Assumptions'!G17</f>
        <v>410</v>
      </c>
      <c r="GB17" s="2069">
        <f>'D - Welsh NHS Assumptions'!H17</f>
        <v>900</v>
      </c>
      <c r="GC17" s="2048">
        <f>'D - Welsh NHS Assumptions'!I17</f>
        <v>1310</v>
      </c>
      <c r="GD17" s="1745"/>
      <c r="GF17" s="2112">
        <f>'E - Resource Limits'!A17</f>
        <v>5</v>
      </c>
      <c r="GG17" s="2113" t="str">
        <f>'E - Resource Limits'!B17</f>
        <v>DEL Non Cash Depreciation - Accelerated</v>
      </c>
      <c r="GH17" s="2114">
        <f>'E - Resource Limits'!C17</f>
        <v>0</v>
      </c>
      <c r="GI17" s="2114">
        <f>'E - Resource Limits'!D17</f>
        <v>0</v>
      </c>
      <c r="GJ17" s="2114">
        <f>'E - Resource Limits'!E17</f>
        <v>0</v>
      </c>
      <c r="GK17" s="2114">
        <f>'E - Resource Limits'!F17</f>
        <v>0</v>
      </c>
      <c r="GL17" s="2048">
        <f>'E - Resource Limits'!G17</f>
        <v>0</v>
      </c>
      <c r="GM17" s="2115">
        <f>'E - Resource Limits'!H17</f>
        <v>0</v>
      </c>
      <c r="GN17" s="2114">
        <f>'E - Resource Limits'!I17</f>
        <v>0</v>
      </c>
      <c r="GO17" s="2114">
        <f>'E - Resource Limits'!J17</f>
        <v>0</v>
      </c>
      <c r="GP17" s="2114">
        <f>'E - Resource Limits'!K17</f>
        <v>0</v>
      </c>
      <c r="GQ17" s="2116">
        <f>'E - Resource Limits'!L17</f>
        <v>0</v>
      </c>
      <c r="GR17" s="1935">
        <f t="shared" si="6"/>
        <v>0</v>
      </c>
      <c r="GT17" s="175">
        <f>'E1 - Invoiced Income'!A17</f>
        <v>6</v>
      </c>
      <c r="GU17" s="1797" t="str">
        <f>'E1 - Invoiced Income'!B17</f>
        <v>DEL Non Cash Depreciation - IFRS 16 Leases</v>
      </c>
      <c r="GV17" s="1798">
        <f>'E1 - Invoiced Income'!C17</f>
        <v>0</v>
      </c>
      <c r="GW17" s="1798">
        <f>'E1 - Invoiced Income'!D17</f>
        <v>0</v>
      </c>
      <c r="GX17" s="1798">
        <f>'E1 - Invoiced Income'!E17</f>
        <v>0</v>
      </c>
      <c r="GY17" s="1798">
        <f>'E1 - Invoiced Income'!F17</f>
        <v>0</v>
      </c>
      <c r="GZ17" s="1798">
        <f>'E1 - Invoiced Income'!G17</f>
        <v>0</v>
      </c>
      <c r="HA17" s="1798">
        <f>'E1 - Invoiced Income'!H17</f>
        <v>0</v>
      </c>
      <c r="HB17" s="1798">
        <f>'E1 - Invoiced Income'!I17</f>
        <v>0</v>
      </c>
      <c r="HC17" s="1798">
        <f>'E1 - Invoiced Income'!J17</f>
        <v>0</v>
      </c>
      <c r="HD17" s="1798">
        <f>'E1 - Invoiced Income'!K17</f>
        <v>0</v>
      </c>
      <c r="HE17" s="1798">
        <f>'E1 - Invoiced Income'!L17</f>
        <v>0</v>
      </c>
      <c r="HF17" s="1798">
        <f>'E1 - Invoiced Income'!M17</f>
        <v>0</v>
      </c>
      <c r="HG17" s="1798">
        <f>'E1 - Invoiced Income'!N17</f>
        <v>0</v>
      </c>
      <c r="HH17" s="1798">
        <f>'E1 - Invoiced Income'!O17</f>
        <v>0</v>
      </c>
      <c r="HI17" s="1798">
        <f>'E1 - Invoiced Income'!P17</f>
        <v>0</v>
      </c>
      <c r="HJ17" s="1798">
        <f>'E1 - Invoiced Income'!R17</f>
        <v>0</v>
      </c>
      <c r="HK17" s="1798">
        <f>'E1 - Invoiced Income'!S17</f>
        <v>0</v>
      </c>
      <c r="HL17" s="1665">
        <f>'E1 - Invoiced Income'!T17</f>
        <v>0</v>
      </c>
      <c r="HM17" s="1799">
        <f>'E1 - Invoiced Income'!U17</f>
        <v>0</v>
      </c>
      <c r="HO17" s="2007">
        <f>'F - SoFP'!A17</f>
        <v>8</v>
      </c>
      <c r="HP17" s="2008" t="str">
        <f>'F - SoFP'!B17</f>
        <v>Other financial assets</v>
      </c>
      <c r="HQ17" s="2009">
        <f>'F - SoFP'!C17</f>
        <v>0</v>
      </c>
      <c r="HR17" s="2010">
        <f>'F - SoFP'!D17</f>
        <v>0</v>
      </c>
      <c r="HS17" s="2010">
        <f>'F - SoFP'!E17</f>
        <v>0</v>
      </c>
      <c r="HT17" s="1946"/>
      <c r="HV17" s="2053">
        <f>'G - Cash Flow'!A17</f>
        <v>7</v>
      </c>
      <c r="HW17" s="2000" t="str">
        <f>'G - Cash Flow'!B17</f>
        <v>PDC - Trust only</v>
      </c>
      <c r="HX17" s="2054">
        <f>'G - Cash Flow'!C17</f>
        <v>0</v>
      </c>
      <c r="HY17" s="2054">
        <f>'G - Cash Flow'!D17</f>
        <v>0</v>
      </c>
      <c r="HZ17" s="2054">
        <f>'G - Cash Flow'!E17</f>
        <v>0</v>
      </c>
      <c r="IA17" s="2054">
        <f>'G - Cash Flow'!F17</f>
        <v>0</v>
      </c>
      <c r="IB17" s="2054">
        <f>'G - Cash Flow'!G17</f>
        <v>0</v>
      </c>
      <c r="IC17" s="2054">
        <f>'G - Cash Flow'!H17</f>
        <v>0</v>
      </c>
      <c r="ID17" s="2054">
        <f>'G - Cash Flow'!I17</f>
        <v>0</v>
      </c>
      <c r="IE17" s="2054">
        <f>'G - Cash Flow'!J17</f>
        <v>0</v>
      </c>
      <c r="IF17" s="2054">
        <f>'G - Cash Flow'!K17</f>
        <v>0</v>
      </c>
      <c r="IG17" s="2054">
        <f>'G - Cash Flow'!L17</f>
        <v>0</v>
      </c>
      <c r="IH17" s="2054">
        <f>'G - Cash Flow'!M17</f>
        <v>0</v>
      </c>
      <c r="II17" s="2054">
        <f>'G - Cash Flow'!N17</f>
        <v>0</v>
      </c>
      <c r="IJ17" s="2055">
        <f>'G - Cash Flow'!O17</f>
        <v>0</v>
      </c>
      <c r="IK17" s="1942"/>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5"/>
      <c r="JD17" s="2099"/>
      <c r="JE17" s="2012"/>
      <c r="JF17" s="2031"/>
      <c r="JG17" s="2031"/>
      <c r="JH17" s="2031"/>
      <c r="JI17" s="2087"/>
      <c r="JJ17" s="2031"/>
      <c r="JK17" s="2031"/>
      <c r="JL17" s="2031"/>
      <c r="JM17" s="2060"/>
      <c r="JN17" s="281"/>
      <c r="JO17" s="2060"/>
      <c r="JQ17" s="2088">
        <f>'J - Capital In Year Schemes'!A17</f>
        <v>6</v>
      </c>
      <c r="JR17" s="2089">
        <f>'J - Capital In Year Schemes'!B17</f>
        <v>0</v>
      </c>
      <c r="JS17" s="2089">
        <f>'J - Capital In Year Schemes'!C17</f>
        <v>0</v>
      </c>
      <c r="JT17" s="2010">
        <f>'J - Capital In Year Schemes'!D17</f>
        <v>0</v>
      </c>
      <c r="JU17" s="2010">
        <f>'J - Capital In Year Schemes'!E17</f>
        <v>0</v>
      </c>
      <c r="JV17" s="2010">
        <f>'J - Capital In Year Schemes'!F17</f>
        <v>0</v>
      </c>
      <c r="JW17" s="2010">
        <f>'J - Capital In Year Schemes'!G17</f>
        <v>0</v>
      </c>
      <c r="JX17" s="2010">
        <f>'J - Capital In Year Schemes'!H17</f>
        <v>0</v>
      </c>
      <c r="JY17" s="2010">
        <f>'J - Capital In Year Schemes'!I17</f>
        <v>0</v>
      </c>
      <c r="JZ17" s="2010">
        <f>'J - Capital In Year Schemes'!J17</f>
        <v>0</v>
      </c>
      <c r="KA17" s="2010">
        <f>'J - Capital In Year Schemes'!K17</f>
        <v>0</v>
      </c>
      <c r="KB17" s="2010">
        <f>'J - Capital In Year Schemes'!L17</f>
        <v>0</v>
      </c>
      <c r="KC17" s="2010">
        <f>'J - Capital In Year Schemes'!M17</f>
        <v>0</v>
      </c>
      <c r="KD17" s="2010">
        <f>'J - Capital In Year Schemes'!N17</f>
        <v>0</v>
      </c>
      <c r="KE17" s="2010">
        <f>'J - Capital In Year Schemes'!O17</f>
        <v>0</v>
      </c>
      <c r="KF17" s="2010">
        <f>'J - Capital In Year Schemes'!P17</f>
        <v>0</v>
      </c>
      <c r="KG17" s="2010">
        <f>'J - Capital In Year Schemes'!Q17</f>
        <v>0</v>
      </c>
      <c r="KH17" s="2090">
        <f>'J - Capital In Year Schemes'!R17</f>
        <v>0</v>
      </c>
      <c r="KI17" s="2090">
        <f>'J - Capital In Year Schemes'!S17</f>
        <v>0</v>
      </c>
      <c r="KJ17" s="2091">
        <f>'J - Capital In Year Schemes'!T17</f>
        <v>0</v>
      </c>
      <c r="KK17" s="2060">
        <f t="shared" si="5"/>
        <v>0</v>
      </c>
      <c r="KM17" s="2053">
        <f>'K - Capital Disposals'!A17</f>
        <v>7</v>
      </c>
      <c r="KN17" s="2077">
        <f>'K - Capital Disposals'!B17</f>
        <v>0</v>
      </c>
      <c r="KO17" s="2062">
        <f>'K - Capital Disposals'!C17</f>
        <v>0</v>
      </c>
      <c r="KP17" s="2062">
        <f>'K - Capital Disposals'!D17</f>
        <v>0</v>
      </c>
      <c r="KQ17" s="2078">
        <f>'K - Capital Disposals'!E17</f>
        <v>0</v>
      </c>
      <c r="KR17" s="2064">
        <f>'K - Capital Disposals'!F17</f>
        <v>0</v>
      </c>
      <c r="KS17" s="2064">
        <f>'K - Capital Disposals'!G17</f>
        <v>0</v>
      </c>
      <c r="KT17" s="2054">
        <f>'K - Capital Disposals'!H17</f>
        <v>0</v>
      </c>
      <c r="KU17" s="2055">
        <f>'K - Capital Disposals'!I17</f>
        <v>0</v>
      </c>
      <c r="KV17" s="2092">
        <f>'K - Capital Disposals'!J17</f>
        <v>0</v>
      </c>
      <c r="KW17" s="2093"/>
      <c r="KX17" s="2093"/>
      <c r="KY17" s="2093"/>
      <c r="KZ17" s="2093"/>
      <c r="LA17" s="2093"/>
      <c r="LB17" s="2094"/>
      <c r="LC17" s="1935"/>
      <c r="LE17" s="1615">
        <f>'L - EFL'!A17</f>
        <v>7</v>
      </c>
      <c r="LF17" s="1614" t="str">
        <f>'L - EFL'!B17</f>
        <v>Proceeds of Capital Disposals</v>
      </c>
      <c r="LG17" s="1779">
        <f>'L - EFL'!C17</f>
        <v>0</v>
      </c>
      <c r="LH17" s="1779">
        <f>'L - EFL'!D17</f>
        <v>0</v>
      </c>
      <c r="LI17" s="1613">
        <f>'L - EFL'!E17</f>
        <v>0</v>
      </c>
      <c r="LJ17" s="1779">
        <f>'L - EFL'!F17</f>
        <v>0</v>
      </c>
      <c r="LL17" s="814"/>
      <c r="LM17" s="1761">
        <f>'M - Aged Debtors'!B17</f>
        <v>0</v>
      </c>
      <c r="LN17" s="1762">
        <f>'M - Aged Debtors'!C17</f>
        <v>0</v>
      </c>
      <c r="LO17" s="1763">
        <f>'M - Aged Debtors'!D17</f>
        <v>0</v>
      </c>
      <c r="LP17" s="1764">
        <f>'M - Aged Debtors'!E17</f>
        <v>0</v>
      </c>
      <c r="LQ17" s="1972">
        <f>'M - Aged Debtors'!F17</f>
        <v>0</v>
      </c>
      <c r="LR17" s="1166" t="str">
        <f>'M - Aged Debtors'!G17</f>
        <v/>
      </c>
      <c r="LS17" s="829" t="str">
        <f>'M - Aged Debtors'!H17</f>
        <v/>
      </c>
      <c r="LT17" s="829" t="str">
        <f>'M - Aged Debtors'!I17</f>
        <v/>
      </c>
      <c r="LU17" s="830" t="str">
        <f>'M - Aged Debtors'!J17</f>
        <v/>
      </c>
      <c r="LV17" s="1757">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80">
        <f>'N - GMS'!I17</f>
        <v>0</v>
      </c>
      <c r="MH17" s="1679" t="str">
        <f>'O - Dental'!A17</f>
        <v>Seniority payments</v>
      </c>
      <c r="MI17" s="703"/>
      <c r="MJ17" s="701">
        <f>'O - Dental'!C17</f>
        <v>9</v>
      </c>
      <c r="MK17" s="701">
        <f>'O - Dental'!D17</f>
        <v>0</v>
      </c>
      <c r="ML17" s="1781">
        <f>'O - Dental'!E17</f>
        <v>0</v>
      </c>
      <c r="MM17" s="1781">
        <f>'O - Dental'!F17</f>
        <v>0</v>
      </c>
      <c r="MN17" s="661">
        <f>'O - Dental'!G17</f>
        <v>0</v>
      </c>
      <c r="MO17" s="308"/>
      <c r="MP17" s="1765">
        <f>'O - Dental'!I17</f>
        <v>0</v>
      </c>
      <c r="MR17" s="684"/>
      <c r="MS17" s="3035">
        <f>'P - Ringfenced'!B17</f>
        <v>0</v>
      </c>
      <c r="MT17" s="2661" t="str">
        <f>'P - Ringfenced'!C17</f>
        <v>Variance against current plan</v>
      </c>
      <c r="MU17" s="2656">
        <f>'P - Ringfenced'!D17</f>
        <v>0</v>
      </c>
      <c r="MV17" s="2656">
        <f>'P - Ringfenced'!E17</f>
        <v>0</v>
      </c>
      <c r="MW17" s="2680">
        <f>'P - Ringfenced'!F17</f>
        <v>0</v>
      </c>
      <c r="MX17" s="2680">
        <f>'P - Ringfenced'!G17</f>
        <v>0</v>
      </c>
      <c r="MY17" s="2680">
        <f>'P - Ringfenced'!H17</f>
        <v>0</v>
      </c>
      <c r="MZ17" s="2680">
        <f>'P - Ringfenced'!I17</f>
        <v>0</v>
      </c>
      <c r="NA17" s="2680">
        <f>'P - Ringfenced'!J17</f>
        <v>0</v>
      </c>
      <c r="NB17" s="2680">
        <f>'P - Ringfenced'!K17</f>
        <v>0</v>
      </c>
      <c r="NC17" s="2680">
        <f>'P - Ringfenced'!L17</f>
        <v>0</v>
      </c>
      <c r="ND17" s="2680">
        <f>'P - Ringfenced'!M17</f>
        <v>0</v>
      </c>
      <c r="NE17" s="2680">
        <f>'P - Ringfenced'!N17</f>
        <v>0</v>
      </c>
      <c r="NF17" s="2680">
        <f>'P - Ringfenced'!O17</f>
        <v>0</v>
      </c>
      <c r="NG17" s="2680">
        <f>'P - Ringfenced'!P17</f>
        <v>0</v>
      </c>
      <c r="NH17" s="2681">
        <f>'P - Ringfenced'!Q17</f>
        <v>0</v>
      </c>
      <c r="NI17" s="1110">
        <f>'P - Ringfenced'!R17</f>
        <v>0</v>
      </c>
      <c r="NJ17" s="1220">
        <f>'P - Ringfenced'!S17</f>
        <v>0</v>
      </c>
      <c r="NK17" s="1220">
        <f>'P - Ringfenced'!T17</f>
        <v>0</v>
      </c>
      <c r="NL17" s="684"/>
    </row>
    <row r="18" spans="1:376" ht="21.75" customHeight="1" thickTop="1" thickBot="1">
      <c r="A18" s="1745"/>
      <c r="B18" s="1745"/>
      <c r="C18" s="1745"/>
      <c r="D18" s="1745"/>
      <c r="E18" s="1745"/>
      <c r="F18" s="1745"/>
      <c r="G18" s="1745"/>
      <c r="H18" s="1745"/>
      <c r="I18" s="1745"/>
      <c r="J18" s="1745"/>
      <c r="K18" s="1745"/>
      <c r="M18" s="950">
        <f>'A - Movement'!A18</f>
        <v>8</v>
      </c>
      <c r="N18" s="991" t="str">
        <f>'A - Movement'!B18</f>
        <v xml:space="preserve">Planned (Finalised) Savings Plan </v>
      </c>
      <c r="O18" s="2038">
        <f>'A - Movement'!C18</f>
        <v>3174</v>
      </c>
      <c r="P18" s="2038">
        <f>'A - Movement'!D18</f>
        <v>661</v>
      </c>
      <c r="Q18" s="2038">
        <f>'A - Movement'!E18</f>
        <v>2513</v>
      </c>
      <c r="R18" s="2038">
        <f>'A - Movement'!F18</f>
        <v>2513</v>
      </c>
      <c r="S18" s="1745"/>
      <c r="T18" s="1928"/>
      <c r="U18" s="950">
        <f>'A - Movement'!I18</f>
        <v>8</v>
      </c>
      <c r="V18" s="991" t="str">
        <f t="shared" si="4"/>
        <v xml:space="preserve">Planned (Finalised) Savings Plan </v>
      </c>
      <c r="W18" s="1689">
        <f>'A - Movement'!J18</f>
        <v>1244.4166666666665</v>
      </c>
      <c r="X18" s="1689">
        <f>'A - Movement'!K18</f>
        <v>175.41666666666666</v>
      </c>
      <c r="Y18" s="1689">
        <f>'A - Movement'!L18</f>
        <v>175.41666666666666</v>
      </c>
      <c r="Z18" s="1689">
        <f>'A - Movement'!M18</f>
        <v>175.41666666666666</v>
      </c>
      <c r="AA18" s="1689">
        <f>'A - Movement'!N18</f>
        <v>175.41666666666666</v>
      </c>
      <c r="AB18" s="1689">
        <f>'A - Movement'!O18</f>
        <v>175.41666666666666</v>
      </c>
      <c r="AC18" s="1689">
        <f>'A - Movement'!P18</f>
        <v>175.41666666666666</v>
      </c>
      <c r="AD18" s="1689">
        <f>'A - Movement'!Q18</f>
        <v>175.41666666666666</v>
      </c>
      <c r="AE18" s="1689">
        <f>'A - Movement'!R18</f>
        <v>175.41666666666666</v>
      </c>
      <c r="AF18" s="1689">
        <f>'A - Movement'!S18</f>
        <v>175.41666666666666</v>
      </c>
      <c r="AG18" s="1689">
        <f>'A - Movement'!T18</f>
        <v>175.41666666666666</v>
      </c>
      <c r="AH18" s="1689">
        <f>'A - Movement'!U18</f>
        <v>175.41666666666666</v>
      </c>
      <c r="AI18" s="1131">
        <f>'A - Movement'!V18</f>
        <v>1244.4166666666665</v>
      </c>
      <c r="AJ18" s="1131">
        <f>'A - Movement'!W18</f>
        <v>3173.9999999999991</v>
      </c>
      <c r="AK18" s="2038">
        <f t="shared" si="1"/>
        <v>661</v>
      </c>
      <c r="AL18" s="2038">
        <f t="shared" si="2"/>
        <v>2513</v>
      </c>
      <c r="AM18" s="2038">
        <f t="shared" si="3"/>
        <v>2513</v>
      </c>
      <c r="AN18" s="1745"/>
      <c r="AO18" s="1928"/>
      <c r="AP18" s="1403">
        <f>'A1 - Underlying Position'!A19</f>
        <v>8</v>
      </c>
      <c r="AQ18" s="1373" t="str">
        <f>'A1 - Underlying Position'!B19</f>
        <v xml:space="preserve">Pay - Estates &amp; Ancillary </v>
      </c>
      <c r="AR18" s="1782">
        <f>'A1 - Underlying Position'!C19</f>
        <v>0</v>
      </c>
      <c r="AS18" s="1783">
        <f>'A1 - Underlying Position'!D19</f>
        <v>0</v>
      </c>
      <c r="AT18" s="1783">
        <f>'A1 - Underlying Position'!E19</f>
        <v>0</v>
      </c>
      <c r="AU18" s="75">
        <f>'A1 - Underlying Position'!F19</f>
        <v>0</v>
      </c>
      <c r="AV18" s="1784">
        <f>'A1 - Underlying Position'!G19</f>
        <v>0</v>
      </c>
      <c r="AW18" s="75">
        <f>'A1 - Underlying Position'!H19</f>
        <v>0</v>
      </c>
      <c r="AX18" s="1745"/>
      <c r="AZ18" s="1717">
        <f>'A2 - Risks'!A18</f>
        <v>10</v>
      </c>
      <c r="BA18" s="1721" t="str">
        <f>'A2 - Risks'!B18</f>
        <v>GMS Ring Fenced Allocation Underspend Potential Claw back</v>
      </c>
      <c r="BB18" s="1788">
        <f>'A2 - Risks'!C18</f>
        <v>0</v>
      </c>
      <c r="BC18" s="1759">
        <f>'A2 - Risks'!D18</f>
        <v>0</v>
      </c>
      <c r="BE18" s="2039">
        <f>'B - Monthly Positions'!A18</f>
        <v>8</v>
      </c>
      <c r="BF18" s="2117" t="str">
        <f>'B - Monthly Positions'!B18</f>
        <v>Primary Care Contractor (excluding drugs, including non resource limited expenditure)</v>
      </c>
      <c r="BG18" s="93" t="str">
        <f>'B - Monthly Positions'!C18</f>
        <v>Actual/F'cast</v>
      </c>
      <c r="BH18" s="1773">
        <f>'B - Monthly Positions'!D18</f>
        <v>0</v>
      </c>
      <c r="BI18" s="1773">
        <f>'B - Monthly Positions'!E18</f>
        <v>0</v>
      </c>
      <c r="BJ18" s="1773">
        <f>'B - Monthly Positions'!F18</f>
        <v>0</v>
      </c>
      <c r="BK18" s="1773">
        <f>'B - Monthly Positions'!G18</f>
        <v>0</v>
      </c>
      <c r="BL18" s="1774">
        <f>'B - Monthly Positions'!H18</f>
        <v>0</v>
      </c>
      <c r="BM18" s="1774">
        <f>'B - Monthly Positions'!I18</f>
        <v>0</v>
      </c>
      <c r="BN18" s="1774">
        <f>'B - Monthly Positions'!J18</f>
        <v>0</v>
      </c>
      <c r="BO18" s="1774">
        <f>'B - Monthly Positions'!K18</f>
        <v>0</v>
      </c>
      <c r="BP18" s="1774">
        <f>'B - Monthly Positions'!L18</f>
        <v>0</v>
      </c>
      <c r="BQ18" s="1774">
        <f>'B - Monthly Positions'!M18</f>
        <v>0</v>
      </c>
      <c r="BR18" s="1774">
        <f>'B - Monthly Positions'!N18</f>
        <v>0</v>
      </c>
      <c r="BS18" s="1775">
        <f>'B - Monthly Positions'!O18</f>
        <v>0</v>
      </c>
      <c r="BT18" s="1773">
        <f>'B - Monthly Positions'!P18</f>
        <v>0</v>
      </c>
      <c r="BU18" s="1773">
        <f>'B - Monthly Positions'!Q18</f>
        <v>0</v>
      </c>
      <c r="BV18" s="1643"/>
      <c r="BW18" s="1875"/>
      <c r="BX18" s="1696">
        <f>' Table Z Net Exp Profiles'!A18</f>
        <v>9</v>
      </c>
      <c r="BY18" s="1265" t="str">
        <f>' Table Z Net Exp Profiles'!B18</f>
        <v>Total Gross Pay Expenditure - Actual/Forecast</v>
      </c>
      <c r="BZ18" s="1218" t="e">
        <f>' Table Z Net Exp Profiles'!C18</f>
        <v>#REF!</v>
      </c>
      <c r="CA18" s="1219" t="e">
        <f>' Table Z Net Exp Profiles'!D18</f>
        <v>#REF!</v>
      </c>
      <c r="CB18" s="1219" t="e">
        <f>' Table Z Net Exp Profiles'!E18</f>
        <v>#REF!</v>
      </c>
      <c r="CC18" s="1219" t="e">
        <f>' Table Z Net Exp Profiles'!F18</f>
        <v>#REF!</v>
      </c>
      <c r="CD18" s="1219" t="e">
        <f>' Table Z Net Exp Profiles'!G18</f>
        <v>#REF!</v>
      </c>
      <c r="CE18" s="1219" t="e">
        <f>' Table Z Net Exp Profiles'!H18</f>
        <v>#REF!</v>
      </c>
      <c r="CF18" s="1219" t="e">
        <f>' Table Z Net Exp Profiles'!I18</f>
        <v>#REF!</v>
      </c>
      <c r="CG18" s="1219" t="e">
        <f>' Table Z Net Exp Profiles'!J18</f>
        <v>#REF!</v>
      </c>
      <c r="CH18" s="1219" t="e">
        <f>' Table Z Net Exp Profiles'!K18</f>
        <v>#REF!</v>
      </c>
      <c r="CI18" s="1219" t="e">
        <f>' Table Z Net Exp Profiles'!L18</f>
        <v>#REF!</v>
      </c>
      <c r="CJ18" s="1219" t="e">
        <f>' Table Z Net Exp Profiles'!M18</f>
        <v>#REF!</v>
      </c>
      <c r="CK18" s="1362" t="e">
        <f>' Table Z Net Exp Profiles'!N18</f>
        <v>#REF!</v>
      </c>
      <c r="CL18" s="1101" t="e">
        <f>' Table Z Net Exp Profiles'!O18</f>
        <v>#REF!</v>
      </c>
      <c r="CM18" s="1232" t="e">
        <f>' Table Z Net Exp Profiles'!P18</f>
        <v>#REF!</v>
      </c>
      <c r="CO18" s="1359">
        <f>'B2 - Pay &amp; Agency'!A18</f>
        <v>9</v>
      </c>
      <c r="CP18" s="1360" t="str">
        <f>'B2 - Pay &amp; Agency'!B18</f>
        <v xml:space="preserve">Students </v>
      </c>
      <c r="CQ18" s="1803">
        <f>'B2 - Pay &amp; Agency'!C18</f>
        <v>0</v>
      </c>
      <c r="CR18" s="1804">
        <f>'B2 - Pay &amp; Agency'!D18</f>
        <v>0</v>
      </c>
      <c r="CS18" s="1804">
        <f>'B2 - Pay &amp; Agency'!E18</f>
        <v>0</v>
      </c>
      <c r="CT18" s="1804">
        <f>'B2 - Pay &amp; Agency'!F18</f>
        <v>0</v>
      </c>
      <c r="CU18" s="1804">
        <f>'B2 - Pay &amp; Agency'!G18</f>
        <v>0</v>
      </c>
      <c r="CV18" s="1804">
        <f>'B2 - Pay &amp; Agency'!H18</f>
        <v>0</v>
      </c>
      <c r="CW18" s="1804">
        <f>'B2 - Pay &amp; Agency'!I18</f>
        <v>0</v>
      </c>
      <c r="CX18" s="1804">
        <f>'B2 - Pay &amp; Agency'!J18</f>
        <v>0</v>
      </c>
      <c r="CY18" s="1804">
        <f>'B2 - Pay &amp; Agency'!K18</f>
        <v>0</v>
      </c>
      <c r="CZ18" s="1804">
        <f>'B2 - Pay &amp; Agency'!L18</f>
        <v>0</v>
      </c>
      <c r="DA18" s="1804">
        <f>'B2 - Pay &amp; Agency'!M18</f>
        <v>0</v>
      </c>
      <c r="DB18" s="1805">
        <f>'B2 - Pay &amp; Agency'!N18</f>
        <v>0</v>
      </c>
      <c r="DC18" s="1339">
        <f>'B2 - Pay &amp; Agency'!O18</f>
        <v>0</v>
      </c>
      <c r="DD18" s="1340">
        <f>'B2 - Pay &amp; Agency'!P18</f>
        <v>0</v>
      </c>
      <c r="DF18" s="2852">
        <f>'B3 - COVID-19'!A18</f>
        <v>11</v>
      </c>
      <c r="DG18" s="2847" t="str">
        <f>'B3 - COVID-19'!B18</f>
        <v>Students</v>
      </c>
      <c r="DH18" s="1903">
        <f>'B3 - COVID-19'!C18</f>
        <v>0</v>
      </c>
      <c r="DI18" s="1903">
        <f>'B3 - COVID-19'!D18</f>
        <v>0</v>
      </c>
      <c r="DJ18" s="1903">
        <f>'B3 - COVID-19'!E18</f>
        <v>0</v>
      </c>
      <c r="DK18" s="1903">
        <f>'B3 - COVID-19'!F18</f>
        <v>0</v>
      </c>
      <c r="DL18" s="1903">
        <f>'B3 - COVID-19'!G18</f>
        <v>0</v>
      </c>
      <c r="DM18" s="1903">
        <f>'B3 - COVID-19'!H18</f>
        <v>0</v>
      </c>
      <c r="DN18" s="1903">
        <f>'B3 - COVID-19'!I18</f>
        <v>0</v>
      </c>
      <c r="DO18" s="1903">
        <f>'B3 - COVID-19'!J18</f>
        <v>0</v>
      </c>
      <c r="DP18" s="1903">
        <f>'B3 - COVID-19'!K18</f>
        <v>0</v>
      </c>
      <c r="DQ18" s="1903">
        <f>'B3 - COVID-19'!L18</f>
        <v>0</v>
      </c>
      <c r="DR18" s="1903">
        <f>'B3 - COVID-19'!M18</f>
        <v>0</v>
      </c>
      <c r="DS18" s="1903">
        <f>'B3 - COVID-19'!N18</f>
        <v>0</v>
      </c>
      <c r="DT18" s="1863">
        <f>'B3 - COVID-19'!O18</f>
        <v>0</v>
      </c>
      <c r="DU18" s="1863">
        <f>'B3 - COVID-19'!P18</f>
        <v>0</v>
      </c>
      <c r="DV18" s="608"/>
      <c r="DW18" s="1116"/>
      <c r="DY18" s="2095">
        <f>'C, C1, C2&amp; C3 - Savings Schemes'!A18</f>
        <v>6</v>
      </c>
      <c r="DZ18" s="3039"/>
      <c r="EA18" s="92" t="str">
        <f>'C, C1, C2&amp; C3 - Savings Schemes'!C18</f>
        <v>Variance</v>
      </c>
      <c r="EB18" s="944">
        <f>'C, C1, C2&amp; C3 - Savings Schemes'!D18</f>
        <v>0</v>
      </c>
      <c r="EC18" s="944">
        <f>'C, C1, C2&amp; C3 - Savings Schemes'!E18</f>
        <v>0</v>
      </c>
      <c r="ED18" s="944">
        <f>'C, C1, C2&amp; C3 - Savings Schemes'!F18</f>
        <v>0</v>
      </c>
      <c r="EE18" s="944">
        <f>'C, C1, C2&amp; C3 - Savings Schemes'!G18</f>
        <v>0</v>
      </c>
      <c r="EF18" s="944">
        <f>'C, C1, C2&amp; C3 - Savings Schemes'!H18</f>
        <v>0</v>
      </c>
      <c r="EG18" s="944">
        <f>'C, C1, C2&amp; C3 - Savings Schemes'!I18</f>
        <v>0</v>
      </c>
      <c r="EH18" s="944">
        <f>'C, C1, C2&amp; C3 - Savings Schemes'!J18</f>
        <v>0</v>
      </c>
      <c r="EI18" s="944">
        <f>'C, C1, C2&amp; C3 - Savings Schemes'!K18</f>
        <v>0</v>
      </c>
      <c r="EJ18" s="944">
        <f>'C, C1, C2&amp; C3 - Savings Schemes'!L18</f>
        <v>0</v>
      </c>
      <c r="EK18" s="944">
        <f>'C, C1, C2&amp; C3 - Savings Schemes'!M18</f>
        <v>0</v>
      </c>
      <c r="EL18" s="944">
        <f>'C, C1, C2&amp; C3 - Savings Schemes'!N18</f>
        <v>0</v>
      </c>
      <c r="EM18" s="944">
        <f>'C, C1, C2&amp; C3 - Savings Schemes'!O18</f>
        <v>0</v>
      </c>
      <c r="EN18" s="942">
        <f>'C, C1, C2&amp; C3 - Savings Schemes'!P18</f>
        <v>0</v>
      </c>
      <c r="EO18" s="939">
        <f>'C, C1, C2&amp; C3 - Savings Schemes'!Q18</f>
        <v>0</v>
      </c>
      <c r="EP18" s="1168" t="e">
        <f>'C, C1, C2&amp; C3 - Savings Schemes'!R18</f>
        <v>#DIV/0!</v>
      </c>
      <c r="EQ18" s="2081"/>
      <c r="ER18" s="2081"/>
      <c r="ES18" s="2081"/>
      <c r="ET18" s="2081"/>
      <c r="EU18" s="608"/>
      <c r="EV18" s="594"/>
      <c r="EW18" s="1932"/>
      <c r="EX18" s="3074"/>
      <c r="EY18" s="1698" t="str">
        <f>'Table C4 Tracker'!B18</f>
        <v>Month 1 - Actual/Forecast</v>
      </c>
      <c r="EZ18" s="1371">
        <f>'Table C4 Tracker'!C18</f>
        <v>0</v>
      </c>
      <c r="FA18" s="1708">
        <f>'Table C4 Tracker'!D18</f>
        <v>0</v>
      </c>
      <c r="FB18" s="1708">
        <f>'Table C4 Tracker'!E18</f>
        <v>0</v>
      </c>
      <c r="FC18" s="1708">
        <f>'Table C4 Tracker'!F18</f>
        <v>0</v>
      </c>
      <c r="FD18" s="1708">
        <f>'Table C4 Tracker'!G18</f>
        <v>0</v>
      </c>
      <c r="FE18" s="1708">
        <f>'Table C4 Tracker'!H18</f>
        <v>0</v>
      </c>
      <c r="FF18" s="1708">
        <f>'Table C4 Tracker'!I18</f>
        <v>0</v>
      </c>
      <c r="FG18" s="1708">
        <f>'Table C4 Tracker'!J18</f>
        <v>0</v>
      </c>
      <c r="FH18" s="1708">
        <f>'Table C4 Tracker'!K18</f>
        <v>0</v>
      </c>
      <c r="FI18" s="1708">
        <f>'Table C4 Tracker'!L18</f>
        <v>0</v>
      </c>
      <c r="FJ18" s="1708">
        <f>'Table C4 Tracker'!M18</f>
        <v>0</v>
      </c>
      <c r="FK18" s="1708">
        <f>'Table C4 Tracker'!N18</f>
        <v>0</v>
      </c>
      <c r="FL18" s="1577">
        <f>'Table C4 Tracker'!O18</f>
        <v>0</v>
      </c>
      <c r="FM18" s="1465">
        <f>'Table C4 Tracker'!P18</f>
        <v>0</v>
      </c>
      <c r="FN18" s="939">
        <f>'Table C4 Tracker'!Q18</f>
        <v>0</v>
      </c>
      <c r="FO18" s="1577">
        <f>'Table C4 Tracker'!R18</f>
        <v>0</v>
      </c>
      <c r="FP18" s="1577">
        <f>'Table C4 Tracker'!S18</f>
        <v>0</v>
      </c>
      <c r="FQ18" s="1577">
        <f>'Table C4 Tracker'!T18</f>
        <v>0</v>
      </c>
      <c r="FR18" s="1577">
        <f>'Table C4 Tracker'!U18</f>
        <v>0</v>
      </c>
      <c r="FS18" s="1957"/>
      <c r="FU18" s="2045">
        <f>'D - Welsh NHS Assumptions'!A18</f>
        <v>8</v>
      </c>
      <c r="FV18" s="2083" t="str">
        <f>'D - Welsh NHS Assumptions'!B18</f>
        <v>Public Health Wales</v>
      </c>
      <c r="FW18" s="2069">
        <f>'D - Welsh NHS Assumptions'!C18</f>
        <v>0</v>
      </c>
      <c r="FX18" s="2069">
        <f>'D - Welsh NHS Assumptions'!D18</f>
        <v>0</v>
      </c>
      <c r="FY18" s="2048">
        <f>'D - Welsh NHS Assumptions'!E18</f>
        <v>0</v>
      </c>
      <c r="FZ18" s="1745"/>
      <c r="GA18" s="2069">
        <f>'D - Welsh NHS Assumptions'!G18</f>
        <v>0</v>
      </c>
      <c r="GB18" s="2069">
        <f>'D - Welsh NHS Assumptions'!H18</f>
        <v>0</v>
      </c>
      <c r="GC18" s="2048">
        <f>'D - Welsh NHS Assumptions'!I18</f>
        <v>0</v>
      </c>
      <c r="GD18" s="1745"/>
      <c r="GF18" s="2112">
        <f>'E - Resource Limits'!A18</f>
        <v>6</v>
      </c>
      <c r="GG18" s="2113" t="str">
        <f>'E - Resource Limits'!B18</f>
        <v>DEL Non Cash Depreciation - Impairment</v>
      </c>
      <c r="GH18" s="2114">
        <f>'E - Resource Limits'!C18</f>
        <v>0</v>
      </c>
      <c r="GI18" s="2114">
        <f>'E - Resource Limits'!D18</f>
        <v>0</v>
      </c>
      <c r="GJ18" s="2114">
        <f>'E - Resource Limits'!E18</f>
        <v>0</v>
      </c>
      <c r="GK18" s="2114">
        <f>'E - Resource Limits'!F18</f>
        <v>0</v>
      </c>
      <c r="GL18" s="2048">
        <f>'E - Resource Limits'!G18</f>
        <v>0</v>
      </c>
      <c r="GM18" s="2115">
        <f>'E - Resource Limits'!H18</f>
        <v>0</v>
      </c>
      <c r="GN18" s="2114">
        <f>'E - Resource Limits'!I18</f>
        <v>0</v>
      </c>
      <c r="GO18" s="2114">
        <f>'E - Resource Limits'!J18</f>
        <v>0</v>
      </c>
      <c r="GP18" s="2114">
        <f>'E - Resource Limits'!K18</f>
        <v>0</v>
      </c>
      <c r="GQ18" s="2116">
        <f>'E - Resource Limits'!L18</f>
        <v>0</v>
      </c>
      <c r="GR18" s="1935">
        <f t="shared" si="6"/>
        <v>0</v>
      </c>
      <c r="GT18" s="175">
        <f>'E1 - Invoiced Income'!A18</f>
        <v>7</v>
      </c>
      <c r="GU18" s="1797" t="str">
        <f>'E1 - Invoiced Income'!B18</f>
        <v>AME Non Cash Depreciation -  IFRS 16 Leases (Peppercorn)</v>
      </c>
      <c r="GV18" s="1798">
        <f>'E1 - Invoiced Income'!C18</f>
        <v>0</v>
      </c>
      <c r="GW18" s="1798">
        <f>'E1 - Invoiced Income'!D18</f>
        <v>0</v>
      </c>
      <c r="GX18" s="1798">
        <f>'E1 - Invoiced Income'!E18</f>
        <v>0</v>
      </c>
      <c r="GY18" s="1798">
        <f>'E1 - Invoiced Income'!F18</f>
        <v>0</v>
      </c>
      <c r="GZ18" s="1798">
        <f>'E1 - Invoiced Income'!G18</f>
        <v>0</v>
      </c>
      <c r="HA18" s="1798">
        <f>'E1 - Invoiced Income'!H18</f>
        <v>0</v>
      </c>
      <c r="HB18" s="1798">
        <f>'E1 - Invoiced Income'!I18</f>
        <v>0</v>
      </c>
      <c r="HC18" s="1798">
        <f>'E1 - Invoiced Income'!J18</f>
        <v>0</v>
      </c>
      <c r="HD18" s="1798">
        <f>'E1 - Invoiced Income'!K18</f>
        <v>0</v>
      </c>
      <c r="HE18" s="1798">
        <f>'E1 - Invoiced Income'!L18</f>
        <v>0</v>
      </c>
      <c r="HF18" s="1798">
        <f>'E1 - Invoiced Income'!M18</f>
        <v>0</v>
      </c>
      <c r="HG18" s="1798">
        <f>'E1 - Invoiced Income'!N18</f>
        <v>0</v>
      </c>
      <c r="HH18" s="1798">
        <f>'E1 - Invoiced Income'!O18</f>
        <v>0</v>
      </c>
      <c r="HI18" s="1798">
        <f>'E1 - Invoiced Income'!P18</f>
        <v>0</v>
      </c>
      <c r="HJ18" s="1798">
        <f>'E1 - Invoiced Income'!R18</f>
        <v>0</v>
      </c>
      <c r="HK18" s="1798">
        <f>'E1 - Invoiced Income'!S18</f>
        <v>0</v>
      </c>
      <c r="HL18" s="1665">
        <f>'E1 - Invoiced Income'!T18</f>
        <v>0</v>
      </c>
      <c r="HM18" s="1799">
        <f>'E1 - Invoiced Income'!U18</f>
        <v>0</v>
      </c>
      <c r="HO18" s="2007">
        <f>'F - SoFP'!A18</f>
        <v>9</v>
      </c>
      <c r="HP18" s="2008" t="str">
        <f>'F - SoFP'!B18</f>
        <v>Cash and cash equivalents</v>
      </c>
      <c r="HQ18" s="2009">
        <f>'F - SoFP'!C18</f>
        <v>0</v>
      </c>
      <c r="HR18" s="2010">
        <f>'F - SoFP'!D18</f>
        <v>0</v>
      </c>
      <c r="HS18" s="2010">
        <f>'F - SoFP'!E18</f>
        <v>0</v>
      </c>
      <c r="HT18" s="1946"/>
      <c r="HV18" s="2053">
        <f>'G - Cash Flow'!A18</f>
        <v>8</v>
      </c>
      <c r="HW18" s="2000" t="str">
        <f>'G - Cash Flow'!B18</f>
        <v>Interest Receivable - Trust only</v>
      </c>
      <c r="HX18" s="2054">
        <f>'G - Cash Flow'!C18</f>
        <v>0</v>
      </c>
      <c r="HY18" s="2054">
        <f>'G - Cash Flow'!D18</f>
        <v>0</v>
      </c>
      <c r="HZ18" s="2054">
        <f>'G - Cash Flow'!E18</f>
        <v>0</v>
      </c>
      <c r="IA18" s="2054">
        <f>'G - Cash Flow'!F18</f>
        <v>0</v>
      </c>
      <c r="IB18" s="2054">
        <f>'G - Cash Flow'!G18</f>
        <v>0</v>
      </c>
      <c r="IC18" s="2054">
        <f>'G - Cash Flow'!H18</f>
        <v>0</v>
      </c>
      <c r="ID18" s="2054">
        <f>'G - Cash Flow'!I18</f>
        <v>0</v>
      </c>
      <c r="IE18" s="2054">
        <f>'G - Cash Flow'!J18</f>
        <v>0</v>
      </c>
      <c r="IF18" s="2054">
        <f>'G - Cash Flow'!K18</f>
        <v>0</v>
      </c>
      <c r="IG18" s="2054">
        <f>'G - Cash Flow'!L18</f>
        <v>0</v>
      </c>
      <c r="IH18" s="2054">
        <f>'G - Cash Flow'!M18</f>
        <v>0</v>
      </c>
      <c r="II18" s="2054">
        <f>'G - Cash Flow'!N18</f>
        <v>0</v>
      </c>
      <c r="IJ18" s="2055">
        <f>'G - Cash Flow'!O18</f>
        <v>0</v>
      </c>
      <c r="IK18" s="1942"/>
      <c r="IM18" s="119">
        <f>'H - PSPP'!A18</f>
        <v>5</v>
      </c>
      <c r="IN18" s="386" t="str">
        <f>'H - PSPP'!B18</f>
        <v>% of NHS Invoices Paid Within 10 Days - By Value</v>
      </c>
      <c r="IO18" s="957"/>
      <c r="IP18" s="1760">
        <f>'H - PSPP'!D18</f>
        <v>0</v>
      </c>
      <c r="IQ18" s="960"/>
      <c r="IR18" s="1760">
        <f>'H - PSPP'!F18</f>
        <v>0</v>
      </c>
      <c r="IS18" s="960"/>
      <c r="IT18" s="1760">
        <f>'H - PSPP'!H18</f>
        <v>0</v>
      </c>
      <c r="IU18" s="960"/>
      <c r="IV18" s="1760">
        <f>'H - PSPP'!J18</f>
        <v>0</v>
      </c>
      <c r="IW18" s="960"/>
      <c r="IX18" s="1760">
        <f>'H - PSPP'!L18</f>
        <v>0</v>
      </c>
      <c r="IY18" s="960"/>
      <c r="IZ18" s="1760">
        <f>'H - PSPP'!N18</f>
        <v>0</v>
      </c>
      <c r="JA18" s="960"/>
      <c r="JB18" s="1745"/>
      <c r="JD18" s="2073"/>
      <c r="JE18" s="2032" t="str">
        <f>'I - Capital RLM'!B18</f>
        <v>Schemes:</v>
      </c>
      <c r="JF18" s="2031"/>
      <c r="JG18" s="2031"/>
      <c r="JH18" s="2031"/>
      <c r="JI18" s="2087"/>
      <c r="JJ18" s="2031"/>
      <c r="JK18" s="2031"/>
      <c r="JL18" s="2031"/>
      <c r="JM18" s="2060"/>
      <c r="JN18" s="281"/>
      <c r="JO18" s="2060"/>
      <c r="JQ18" s="2088">
        <f>'J - Capital In Year Schemes'!A18</f>
        <v>7</v>
      </c>
      <c r="JR18" s="2089">
        <f>'J - Capital In Year Schemes'!B18</f>
        <v>0</v>
      </c>
      <c r="JS18" s="2089">
        <f>'J - Capital In Year Schemes'!C18</f>
        <v>0</v>
      </c>
      <c r="JT18" s="2010">
        <f>'J - Capital In Year Schemes'!D18</f>
        <v>0</v>
      </c>
      <c r="JU18" s="2010">
        <f>'J - Capital In Year Schemes'!E18</f>
        <v>0</v>
      </c>
      <c r="JV18" s="2010">
        <f>'J - Capital In Year Schemes'!F18</f>
        <v>0</v>
      </c>
      <c r="JW18" s="2010">
        <f>'J - Capital In Year Schemes'!G18</f>
        <v>0</v>
      </c>
      <c r="JX18" s="2010">
        <f>'J - Capital In Year Schemes'!H18</f>
        <v>0</v>
      </c>
      <c r="JY18" s="2010">
        <f>'J - Capital In Year Schemes'!I18</f>
        <v>0</v>
      </c>
      <c r="JZ18" s="2010">
        <f>'J - Capital In Year Schemes'!J18</f>
        <v>0</v>
      </c>
      <c r="KA18" s="2010">
        <f>'J - Capital In Year Schemes'!K18</f>
        <v>0</v>
      </c>
      <c r="KB18" s="2010">
        <f>'J - Capital In Year Schemes'!L18</f>
        <v>0</v>
      </c>
      <c r="KC18" s="2010">
        <f>'J - Capital In Year Schemes'!M18</f>
        <v>0</v>
      </c>
      <c r="KD18" s="2010">
        <f>'J - Capital In Year Schemes'!N18</f>
        <v>0</v>
      </c>
      <c r="KE18" s="2010">
        <f>'J - Capital In Year Schemes'!O18</f>
        <v>0</v>
      </c>
      <c r="KF18" s="2010">
        <f>'J - Capital In Year Schemes'!P18</f>
        <v>0</v>
      </c>
      <c r="KG18" s="2010">
        <f>'J - Capital In Year Schemes'!Q18</f>
        <v>0</v>
      </c>
      <c r="KH18" s="2090">
        <f>'J - Capital In Year Schemes'!R18</f>
        <v>0</v>
      </c>
      <c r="KI18" s="2090">
        <f>'J - Capital In Year Schemes'!S18</f>
        <v>0</v>
      </c>
      <c r="KJ18" s="2091">
        <f>'J - Capital In Year Schemes'!T18</f>
        <v>0</v>
      </c>
      <c r="KK18" s="2060">
        <f t="shared" si="5"/>
        <v>0</v>
      </c>
      <c r="KM18" s="2053">
        <f>'K - Capital Disposals'!A18</f>
        <v>8</v>
      </c>
      <c r="KN18" s="2077">
        <f>'K - Capital Disposals'!B18</f>
        <v>0</v>
      </c>
      <c r="KO18" s="2062">
        <f>'K - Capital Disposals'!C18</f>
        <v>0</v>
      </c>
      <c r="KP18" s="2062">
        <f>'K - Capital Disposals'!D18</f>
        <v>0</v>
      </c>
      <c r="KQ18" s="2078">
        <f>'K - Capital Disposals'!E18</f>
        <v>0</v>
      </c>
      <c r="KR18" s="2064">
        <f>'K - Capital Disposals'!F18</f>
        <v>0</v>
      </c>
      <c r="KS18" s="2064">
        <f>'K - Capital Disposals'!G18</f>
        <v>0</v>
      </c>
      <c r="KT18" s="2054">
        <f>'K - Capital Disposals'!H18</f>
        <v>0</v>
      </c>
      <c r="KU18" s="2055">
        <f>'K - Capital Disposals'!I18</f>
        <v>0</v>
      </c>
      <c r="KV18" s="2092">
        <f>'K - Capital Disposals'!J18</f>
        <v>0</v>
      </c>
      <c r="KW18" s="2093"/>
      <c r="KX18" s="2093"/>
      <c r="KY18" s="2093"/>
      <c r="KZ18" s="2093"/>
      <c r="LA18" s="2093"/>
      <c r="LB18" s="2094"/>
      <c r="LC18" s="1935"/>
      <c r="LE18" s="1615">
        <f>'L - EFL'!A18</f>
        <v>8</v>
      </c>
      <c r="LF18" s="1614" t="str">
        <f>'L - EFL'!B18</f>
        <v>Other Income (specify)</v>
      </c>
      <c r="LG18" s="1779">
        <f>'L - EFL'!C18</f>
        <v>0</v>
      </c>
      <c r="LH18" s="1779">
        <f>'L - EFL'!D18</f>
        <v>0</v>
      </c>
      <c r="LI18" s="1613">
        <f>'L - EFL'!E18</f>
        <v>0</v>
      </c>
      <c r="LJ18" s="1779">
        <f>'L - EFL'!F18</f>
        <v>0</v>
      </c>
      <c r="LL18" s="814"/>
      <c r="LM18" s="1761">
        <f>'M - Aged Debtors'!B18</f>
        <v>0</v>
      </c>
      <c r="LN18" s="1762">
        <f>'M - Aged Debtors'!C18</f>
        <v>0</v>
      </c>
      <c r="LO18" s="1763">
        <f>'M - Aged Debtors'!D18</f>
        <v>0</v>
      </c>
      <c r="LP18" s="1764">
        <f>'M - Aged Debtors'!E18</f>
        <v>0</v>
      </c>
      <c r="LQ18" s="1972">
        <f>'M - Aged Debtors'!F18</f>
        <v>0</v>
      </c>
      <c r="LR18" s="1166" t="str">
        <f>'M - Aged Debtors'!G18</f>
        <v/>
      </c>
      <c r="LS18" s="829" t="str">
        <f>'M - Aged Debtors'!H18</f>
        <v/>
      </c>
      <c r="LT18" s="829" t="str">
        <f>'M - Aged Debtors'!I18</f>
        <v/>
      </c>
      <c r="LU18" s="830" t="str">
        <f>'M - Aged Debtors'!J18</f>
        <v/>
      </c>
      <c r="LV18" s="1757">
        <f>'M - Aged Debtors'!K18</f>
        <v>0</v>
      </c>
      <c r="LX18" s="454" t="str">
        <f>'N - GMS'!A18</f>
        <v>Total Quality</v>
      </c>
      <c r="LY18" s="455"/>
      <c r="LZ18" s="456">
        <f>'N - GMS'!C18</f>
        <v>7</v>
      </c>
      <c r="MA18" s="1793">
        <f>'N - GMS'!D18</f>
        <v>0</v>
      </c>
      <c r="MB18" s="1794">
        <f>'N - GMS'!E18</f>
        <v>0</v>
      </c>
      <c r="MC18" s="1794">
        <f>'N - GMS'!F18</f>
        <v>0</v>
      </c>
      <c r="MD18" s="457">
        <f>'N - GMS'!G18</f>
        <v>0</v>
      </c>
      <c r="ME18" s="213"/>
      <c r="MF18" s="458">
        <f>'N - GMS'!I18</f>
        <v>0</v>
      </c>
      <c r="MH18" s="702" t="str">
        <f>'O - Dental'!A18</f>
        <v>Employer's Superannuation</v>
      </c>
      <c r="MI18" s="703"/>
      <c r="MJ18" s="698">
        <f>'O - Dental'!C18</f>
        <v>10</v>
      </c>
      <c r="MK18" s="698">
        <f>'O - Dental'!D18</f>
        <v>0</v>
      </c>
      <c r="ML18" s="1781">
        <f>'O - Dental'!E18</f>
        <v>0</v>
      </c>
      <c r="MM18" s="1781">
        <f>'O - Dental'!F18</f>
        <v>0</v>
      </c>
      <c r="MN18" s="661">
        <f>'O - Dental'!G18</f>
        <v>0</v>
      </c>
      <c r="MO18" s="308"/>
      <c r="MP18" s="1765">
        <f>'O - Dental'!I18</f>
        <v>0</v>
      </c>
      <c r="MR18" s="684"/>
      <c r="MS18" s="3033" t="str">
        <f>'P - Ringfenced'!B18</f>
        <v>Genomics for Precision Medicine Strategy (£10.1m)</v>
      </c>
      <c r="MT18" s="1101" t="str">
        <f>'P - Ringfenced'!C18</f>
        <v>Plan</v>
      </c>
      <c r="MU18" s="2655">
        <f>'P - Ringfenced'!D18</f>
        <v>0</v>
      </c>
      <c r="MV18" s="2655">
        <f>'P - Ringfenced'!E18</f>
        <v>0</v>
      </c>
      <c r="MW18" s="2693">
        <f>'P - Ringfenced'!F18</f>
        <v>0</v>
      </c>
      <c r="MX18" s="2693">
        <f>'P - Ringfenced'!G18</f>
        <v>0</v>
      </c>
      <c r="MY18" s="2693">
        <f>'P - Ringfenced'!H18</f>
        <v>0</v>
      </c>
      <c r="MZ18" s="2693">
        <f>'P - Ringfenced'!I18</f>
        <v>0</v>
      </c>
      <c r="NA18" s="2693">
        <f>'P - Ringfenced'!J18</f>
        <v>0</v>
      </c>
      <c r="NB18" s="2693">
        <f>'P - Ringfenced'!K18</f>
        <v>0</v>
      </c>
      <c r="NC18" s="2693">
        <f>'P - Ringfenced'!L18</f>
        <v>0</v>
      </c>
      <c r="ND18" s="2693">
        <f>'P - Ringfenced'!M18</f>
        <v>0</v>
      </c>
      <c r="NE18" s="2693">
        <f>'P - Ringfenced'!N18</f>
        <v>0</v>
      </c>
      <c r="NF18" s="2693">
        <f>'P - Ringfenced'!O18</f>
        <v>0</v>
      </c>
      <c r="NG18" s="2693">
        <f>'P - Ringfenced'!P18</f>
        <v>0</v>
      </c>
      <c r="NH18" s="2695">
        <f>'P - Ringfenced'!Q18</f>
        <v>0</v>
      </c>
      <c r="NI18" s="1324">
        <f>'P - Ringfenced'!R18</f>
        <v>0</v>
      </c>
      <c r="NJ18" s="1325">
        <f>'P - Ringfenced'!S18</f>
        <v>0</v>
      </c>
      <c r="NK18" s="2860"/>
      <c r="NL18" s="684"/>
    </row>
    <row r="19" spans="1:376" ht="20.149999999999999" customHeight="1" thickTop="1" thickBot="1">
      <c r="A19" s="1745"/>
      <c r="B19" s="1745"/>
      <c r="C19" s="1745"/>
      <c r="D19" s="1745"/>
      <c r="E19" s="1745"/>
      <c r="F19" s="1745"/>
      <c r="G19" s="1745"/>
      <c r="H19" s="1745"/>
      <c r="I19" s="1745"/>
      <c r="J19" s="1745"/>
      <c r="K19" s="1745"/>
      <c r="M19" s="950">
        <f>'A - Movement'!A19</f>
        <v>9</v>
      </c>
      <c r="N19" s="991" t="str">
        <f>'A - Movement'!B19</f>
        <v>Planned (Finalised) Net Income Generation</v>
      </c>
      <c r="O19" s="2038">
        <f>'A - Movement'!C19</f>
        <v>0</v>
      </c>
      <c r="P19" s="2038">
        <f>'A - Movement'!D19</f>
        <v>0</v>
      </c>
      <c r="Q19" s="2038">
        <f>'A - Movement'!E19</f>
        <v>0</v>
      </c>
      <c r="R19" s="2038">
        <f>'A - Movement'!F19</f>
        <v>0</v>
      </c>
      <c r="S19" s="1745"/>
      <c r="T19" s="1928"/>
      <c r="U19" s="950">
        <f>'A - Movement'!I19</f>
        <v>9</v>
      </c>
      <c r="V19" s="991" t="str">
        <f t="shared" si="4"/>
        <v>Planned (Finalised) Net Income Generation</v>
      </c>
      <c r="W19" s="2108">
        <f>'A - Movement'!J19</f>
        <v>0</v>
      </c>
      <c r="X19" s="2108">
        <f>'A - Movement'!K19</f>
        <v>0</v>
      </c>
      <c r="Y19" s="2108">
        <f>'A - Movement'!L19</f>
        <v>0</v>
      </c>
      <c r="Z19" s="2108">
        <f>'A - Movement'!M19</f>
        <v>0</v>
      </c>
      <c r="AA19" s="2108">
        <f>'A - Movement'!N19</f>
        <v>0</v>
      </c>
      <c r="AB19" s="2108">
        <f>'A - Movement'!O19</f>
        <v>0</v>
      </c>
      <c r="AC19" s="2108">
        <f>'A - Movement'!P19</f>
        <v>0</v>
      </c>
      <c r="AD19" s="2108">
        <f>'A - Movement'!Q19</f>
        <v>0</v>
      </c>
      <c r="AE19" s="2108">
        <f>'A - Movement'!R19</f>
        <v>0</v>
      </c>
      <c r="AF19" s="2108">
        <f>'A - Movement'!S19</f>
        <v>0</v>
      </c>
      <c r="AG19" s="2108">
        <f>'A - Movement'!T19</f>
        <v>0</v>
      </c>
      <c r="AH19" s="2108">
        <f>'A - Movement'!U19</f>
        <v>0</v>
      </c>
      <c r="AI19" s="1131">
        <f>'A - Movement'!V19</f>
        <v>0</v>
      </c>
      <c r="AJ19" s="1131">
        <f>'A - Movement'!W19</f>
        <v>0</v>
      </c>
      <c r="AK19" s="2038">
        <f t="shared" si="1"/>
        <v>0</v>
      </c>
      <c r="AL19" s="2038">
        <f t="shared" si="2"/>
        <v>0</v>
      </c>
      <c r="AM19" s="2038">
        <f t="shared" si="3"/>
        <v>0</v>
      </c>
      <c r="AN19" s="1745"/>
      <c r="AO19" s="1928"/>
      <c r="AP19" s="1403">
        <f>'A1 - Underlying Position'!A20</f>
        <v>9</v>
      </c>
      <c r="AQ19" s="1373" t="str">
        <f>'A1 - Underlying Position'!B20</f>
        <v xml:space="preserve">Pay - Students </v>
      </c>
      <c r="AR19" s="1782">
        <f>'A1 - Underlying Position'!C20</f>
        <v>0</v>
      </c>
      <c r="AS19" s="1783">
        <f>'A1 - Underlying Position'!D20</f>
        <v>0</v>
      </c>
      <c r="AT19" s="1783">
        <f>'A1 - Underlying Position'!E20</f>
        <v>0</v>
      </c>
      <c r="AU19" s="75">
        <f>'A1 - Underlying Position'!F20</f>
        <v>0</v>
      </c>
      <c r="AV19" s="1784">
        <f>'A1 - Underlying Position'!G20</f>
        <v>0</v>
      </c>
      <c r="AW19" s="75">
        <f>'A1 - Underlying Position'!H20</f>
        <v>0</v>
      </c>
      <c r="AX19" s="1745"/>
      <c r="AZ19" s="1717">
        <f>'A2 - Risks'!A19</f>
        <v>11</v>
      </c>
      <c r="BA19" s="1721" t="str">
        <f>'A2 - Risks'!B19</f>
        <v>Dental Ring Fenced Allocation Underspend Potential Claw back</v>
      </c>
      <c r="BB19" s="1788">
        <f>'A2 - Risks'!C19</f>
        <v>0</v>
      </c>
      <c r="BC19" s="1759">
        <f>'A2 - Risks'!D19</f>
        <v>0</v>
      </c>
      <c r="BE19" s="2065">
        <f>'B - Monthly Positions'!A19</f>
        <v>9</v>
      </c>
      <c r="BF19" s="1373" t="str">
        <f>'B - Monthly Positions'!B19</f>
        <v>Primary Care - Drugs &amp; Appliances</v>
      </c>
      <c r="BG19" s="93" t="str">
        <f>'B - Monthly Positions'!C19</f>
        <v>Actual/F'cast</v>
      </c>
      <c r="BH19" s="1782">
        <f>'B - Monthly Positions'!D19</f>
        <v>0</v>
      </c>
      <c r="BI19" s="1782">
        <f>'B - Monthly Positions'!E19</f>
        <v>0</v>
      </c>
      <c r="BJ19" s="1782">
        <f>'B - Monthly Positions'!F19</f>
        <v>0</v>
      </c>
      <c r="BK19" s="1782">
        <f>'B - Monthly Positions'!G19</f>
        <v>0</v>
      </c>
      <c r="BL19" s="1783">
        <f>'B - Monthly Positions'!H19</f>
        <v>0</v>
      </c>
      <c r="BM19" s="1783">
        <f>'B - Monthly Positions'!I19</f>
        <v>0</v>
      </c>
      <c r="BN19" s="1783">
        <f>'B - Monthly Positions'!J19</f>
        <v>0</v>
      </c>
      <c r="BO19" s="1783">
        <f>'B - Monthly Positions'!K19</f>
        <v>0</v>
      </c>
      <c r="BP19" s="1783">
        <f>'B - Monthly Positions'!L19</f>
        <v>0</v>
      </c>
      <c r="BQ19" s="1783">
        <f>'B - Monthly Positions'!M19</f>
        <v>0</v>
      </c>
      <c r="BR19" s="1783">
        <f>'B - Monthly Positions'!N19</f>
        <v>0</v>
      </c>
      <c r="BS19" s="1783">
        <f>'B - Monthly Positions'!O19</f>
        <v>0</v>
      </c>
      <c r="BT19" s="1782">
        <f>'B - Monthly Positions'!P19</f>
        <v>0</v>
      </c>
      <c r="BU19" s="1782">
        <f>'B - Monthly Positions'!Q19</f>
        <v>0</v>
      </c>
      <c r="BV19" s="1643"/>
      <c r="BW19" s="1875"/>
      <c r="BX19" s="144">
        <f>' Table Z Net Exp Profiles'!A19</f>
        <v>10</v>
      </c>
      <c r="BY19" s="1266" t="str">
        <f>' Table Z Net Exp Profiles'!B19</f>
        <v>Gross Pay Expenditure Movement</v>
      </c>
      <c r="BZ19" s="1218" t="e">
        <f>' Table Z Net Exp Profiles'!C19</f>
        <v>#REF!</v>
      </c>
      <c r="CA19" s="1219" t="e">
        <f>' Table Z Net Exp Profiles'!D19</f>
        <v>#REF!</v>
      </c>
      <c r="CB19" s="1219" t="e">
        <f>' Table Z Net Exp Profiles'!E19</f>
        <v>#REF!</v>
      </c>
      <c r="CC19" s="1219" t="e">
        <f>' Table Z Net Exp Profiles'!F19</f>
        <v>#REF!</v>
      </c>
      <c r="CD19" s="1219" t="e">
        <f>' Table Z Net Exp Profiles'!G19</f>
        <v>#REF!</v>
      </c>
      <c r="CE19" s="1219" t="e">
        <f>' Table Z Net Exp Profiles'!H19</f>
        <v>#REF!</v>
      </c>
      <c r="CF19" s="1219" t="e">
        <f>' Table Z Net Exp Profiles'!I19</f>
        <v>#REF!</v>
      </c>
      <c r="CG19" s="1219" t="e">
        <f>' Table Z Net Exp Profiles'!J19</f>
        <v>#REF!</v>
      </c>
      <c r="CH19" s="1219" t="e">
        <f>' Table Z Net Exp Profiles'!K19</f>
        <v>#REF!</v>
      </c>
      <c r="CI19" s="1219" t="e">
        <f>' Table Z Net Exp Profiles'!L19</f>
        <v>#REF!</v>
      </c>
      <c r="CJ19" s="1219" t="e">
        <f>' Table Z Net Exp Profiles'!M19</f>
        <v>#REF!</v>
      </c>
      <c r="CK19" s="1362" t="e">
        <f>' Table Z Net Exp Profiles'!N19</f>
        <v>#REF!</v>
      </c>
      <c r="CL19" s="1101" t="e">
        <f>' Table Z Net Exp Profiles'!O19</f>
        <v>#REF!</v>
      </c>
      <c r="CM19" s="1232" t="e">
        <f>' Table Z Net Exp Profiles'!P19</f>
        <v>#REF!</v>
      </c>
      <c r="CO19" s="1353">
        <f>'B2 - Pay &amp; Agency'!A19</f>
        <v>10</v>
      </c>
      <c r="CP19" s="1357" t="str">
        <f>'B2 - Pay &amp; Agency'!B19</f>
        <v>TOTAL PAY EXPENDITURE</v>
      </c>
      <c r="CQ19" s="1341">
        <f>'B2 - Pay &amp; Agency'!C19</f>
        <v>10151</v>
      </c>
      <c r="CR19" s="1342">
        <f>'B2 - Pay &amp; Agency'!D19</f>
        <v>9831.948833333332</v>
      </c>
      <c r="CS19" s="1342">
        <f>'B2 - Pay &amp; Agency'!E19</f>
        <v>9872.6593500000017</v>
      </c>
      <c r="CT19" s="1342">
        <f>'B2 - Pay &amp; Agency'!F19</f>
        <v>9902.2591583333342</v>
      </c>
      <c r="CU19" s="1342">
        <f>'B2 - Pay &amp; Agency'!G19</f>
        <v>9895.2591583333342</v>
      </c>
      <c r="CV19" s="1342">
        <f>'B2 - Pay &amp; Agency'!H19</f>
        <v>9904.7003583333335</v>
      </c>
      <c r="CW19" s="1342">
        <f>'B2 - Pay &amp; Agency'!I19</f>
        <v>9899.5761133333344</v>
      </c>
      <c r="CX19" s="1342">
        <f>'B2 - Pay &amp; Agency'!J19</f>
        <v>9899.5761133333344</v>
      </c>
      <c r="CY19" s="1342">
        <f>'B2 - Pay &amp; Agency'!K19</f>
        <v>9888.6128800000006</v>
      </c>
      <c r="CZ19" s="1342">
        <f>'B2 - Pay &amp; Agency'!L19</f>
        <v>9886.5761133333344</v>
      </c>
      <c r="DA19" s="1342">
        <f>'B2 - Pay &amp; Agency'!M19</f>
        <v>9867.2591583333342</v>
      </c>
      <c r="DB19" s="1343">
        <f>'B2 - Pay &amp; Agency'!N19</f>
        <v>9878.2622222222217</v>
      </c>
      <c r="DC19" s="1344">
        <f>'B2 - Pay &amp; Agency'!O19</f>
        <v>10151</v>
      </c>
      <c r="DD19" s="1345">
        <f>'B2 - Pay &amp; Agency'!P19</f>
        <v>118877.68945888888</v>
      </c>
      <c r="DF19" s="2852">
        <f>'B3 - COVID-19'!A19</f>
        <v>12</v>
      </c>
      <c r="DG19" s="2822" t="str">
        <f>'B3 - COVID-19'!B19</f>
        <v xml:space="preserve">Sub total Health Protection (including Testing, Tracing and Surveillance)  Provider Pay </v>
      </c>
      <c r="DH19" s="2778">
        <f>'B3 - COVID-19'!C19</f>
        <v>47.026799999999994</v>
      </c>
      <c r="DI19" s="1908">
        <f>'B3 - COVID-19'!D19</f>
        <v>49.416666666666664</v>
      </c>
      <c r="DJ19" s="1908">
        <f>'B3 - COVID-19'!E19</f>
        <v>92.313983333333312</v>
      </c>
      <c r="DK19" s="1908">
        <f>'B3 - COVID-19'!F19</f>
        <v>122.91379166666664</v>
      </c>
      <c r="DL19" s="1908">
        <f>'B3 - COVID-19'!G19</f>
        <v>122.91379166666664</v>
      </c>
      <c r="DM19" s="1908">
        <f>'B3 - COVID-19'!H19</f>
        <v>123.35499166666665</v>
      </c>
      <c r="DN19" s="1908">
        <f>'B3 - COVID-19'!I19</f>
        <v>142.23074666666665</v>
      </c>
      <c r="DO19" s="1908">
        <f>'B3 - COVID-19'!J19</f>
        <v>142.23074666666665</v>
      </c>
      <c r="DP19" s="1908">
        <f>'B3 - COVID-19'!K19</f>
        <v>142.26751333333334</v>
      </c>
      <c r="DQ19" s="1908">
        <f>'B3 - COVID-19'!L19</f>
        <v>142.23074666666665</v>
      </c>
      <c r="DR19" s="1908">
        <f>'B3 - COVID-19'!M19</f>
        <v>122.91379166666664</v>
      </c>
      <c r="DS19" s="1908">
        <f>'B3 - COVID-19'!N19</f>
        <v>122.91685555555554</v>
      </c>
      <c r="DT19" s="1908">
        <f>'B3 - COVID-19'!O19</f>
        <v>47.026799999999994</v>
      </c>
      <c r="DU19" s="1908">
        <f>'B3 - COVID-19'!P19</f>
        <v>1372.7304255555553</v>
      </c>
      <c r="DV19" s="1144"/>
      <c r="DW19" s="1116"/>
      <c r="DY19" s="2079">
        <f>'C, C1, C2&amp; C3 - Savings Schemes'!A19</f>
        <v>7</v>
      </c>
      <c r="DZ19" s="3038" t="str">
        <f>'C, C1, C2&amp; C3 - Savings Schemes'!B19</f>
        <v>Medicines Management (Primary &amp; Secondary Care)</v>
      </c>
      <c r="EA19" s="87" t="str">
        <f>'C, C1, C2&amp; C3 - Savings Schemes'!C19</f>
        <v>Budget/Plan</v>
      </c>
      <c r="EB19" s="1790">
        <f>'C, C1, C2&amp; C3 - Savings Schemes'!D19</f>
        <v>0</v>
      </c>
      <c r="EC19" s="1790">
        <f>'C, C1, C2&amp; C3 - Savings Schemes'!E19</f>
        <v>0</v>
      </c>
      <c r="ED19" s="1790">
        <f>'C, C1, C2&amp; C3 - Savings Schemes'!F19</f>
        <v>0</v>
      </c>
      <c r="EE19" s="1790">
        <f>'C, C1, C2&amp; C3 - Savings Schemes'!G19</f>
        <v>0</v>
      </c>
      <c r="EF19" s="1790">
        <f>'C, C1, C2&amp; C3 - Savings Schemes'!H19</f>
        <v>0</v>
      </c>
      <c r="EG19" s="1790">
        <f>'C, C1, C2&amp; C3 - Savings Schemes'!I19</f>
        <v>0</v>
      </c>
      <c r="EH19" s="1790">
        <f>'C, C1, C2&amp; C3 - Savings Schemes'!J19</f>
        <v>0</v>
      </c>
      <c r="EI19" s="1790">
        <f>'C, C1, C2&amp; C3 - Savings Schemes'!K19</f>
        <v>0</v>
      </c>
      <c r="EJ19" s="1790">
        <f>'C, C1, C2&amp; C3 - Savings Schemes'!L19</f>
        <v>0</v>
      </c>
      <c r="EK19" s="1790">
        <f>'C, C1, C2&amp; C3 - Savings Schemes'!M19</f>
        <v>0</v>
      </c>
      <c r="EL19" s="1790">
        <f>'C, C1, C2&amp; C3 - Savings Schemes'!N19</f>
        <v>0</v>
      </c>
      <c r="EM19" s="1790">
        <f>'C, C1, C2&amp; C3 - Savings Schemes'!O19</f>
        <v>0</v>
      </c>
      <c r="EN19" s="943">
        <f>'C, C1, C2&amp; C3 - Savings Schemes'!P19</f>
        <v>0</v>
      </c>
      <c r="EO19" s="938">
        <f>'C, C1, C2&amp; C3 - Savings Schemes'!Q19</f>
        <v>0</v>
      </c>
      <c r="EP19" s="2080"/>
      <c r="EQ19" s="2081"/>
      <c r="ER19" s="2081"/>
      <c r="ES19" s="2081"/>
      <c r="ET19" s="2081"/>
      <c r="EU19" s="608"/>
      <c r="EV19" s="594"/>
      <c r="EW19" s="1932"/>
      <c r="EX19" s="3074"/>
      <c r="EY19" s="1700" t="str">
        <f>'Table C4 Tracker'!B19</f>
        <v>Variance</v>
      </c>
      <c r="EZ19" s="1109">
        <f>'Table C4 Tracker'!C19</f>
        <v>0</v>
      </c>
      <c r="FA19" s="1703">
        <f>'Table C4 Tracker'!D19</f>
        <v>0</v>
      </c>
      <c r="FB19" s="1703">
        <f>'Table C4 Tracker'!E19</f>
        <v>0</v>
      </c>
      <c r="FC19" s="1703">
        <f>'Table C4 Tracker'!F19</f>
        <v>0</v>
      </c>
      <c r="FD19" s="1703">
        <f>'Table C4 Tracker'!G19</f>
        <v>0</v>
      </c>
      <c r="FE19" s="1703">
        <f>'Table C4 Tracker'!H19</f>
        <v>0</v>
      </c>
      <c r="FF19" s="1703">
        <f>'Table C4 Tracker'!I19</f>
        <v>0</v>
      </c>
      <c r="FG19" s="1703">
        <f>'Table C4 Tracker'!J19</f>
        <v>0</v>
      </c>
      <c r="FH19" s="1703">
        <f>'Table C4 Tracker'!K19</f>
        <v>0</v>
      </c>
      <c r="FI19" s="1703">
        <f>'Table C4 Tracker'!L19</f>
        <v>0</v>
      </c>
      <c r="FJ19" s="1703">
        <f>'Table C4 Tracker'!M19</f>
        <v>0</v>
      </c>
      <c r="FK19" s="1703">
        <f>'Table C4 Tracker'!N19</f>
        <v>0</v>
      </c>
      <c r="FL19" s="1710">
        <f>'Table C4 Tracker'!O19</f>
        <v>0</v>
      </c>
      <c r="FM19" s="1701">
        <f>'Table C4 Tracker'!P19</f>
        <v>0</v>
      </c>
      <c r="FN19" s="1702">
        <f>'Table C4 Tracker'!Q19</f>
        <v>0</v>
      </c>
      <c r="FO19" s="1710">
        <f>'Table C4 Tracker'!R19</f>
        <v>0</v>
      </c>
      <c r="FP19" s="1710">
        <f>'Table C4 Tracker'!S19</f>
        <v>0</v>
      </c>
      <c r="FQ19" s="1710">
        <f>'Table C4 Tracker'!T19</f>
        <v>0</v>
      </c>
      <c r="FR19" s="1710">
        <f>'Table C4 Tracker'!U19</f>
        <v>0</v>
      </c>
      <c r="FS19" s="1957"/>
      <c r="FU19" s="2045">
        <f>'D - Welsh NHS Assumptions'!A19</f>
        <v>9</v>
      </c>
      <c r="FV19" s="2083" t="str">
        <f>'D - Welsh NHS Assumptions'!B19</f>
        <v>Velindre</v>
      </c>
      <c r="FW19" s="2069">
        <f>'D - Welsh NHS Assumptions'!C19</f>
        <v>133</v>
      </c>
      <c r="FX19" s="2069">
        <f>'D - Welsh NHS Assumptions'!D19</f>
        <v>265</v>
      </c>
      <c r="FY19" s="2048">
        <f>'D - Welsh NHS Assumptions'!E19</f>
        <v>398</v>
      </c>
      <c r="FZ19" s="1745"/>
      <c r="GA19" s="2069">
        <f>'D - Welsh NHS Assumptions'!G19</f>
        <v>3283</v>
      </c>
      <c r="GB19" s="2069">
        <f>'D - Welsh NHS Assumptions'!H19</f>
        <v>5403</v>
      </c>
      <c r="GC19" s="2048">
        <f>'D - Welsh NHS Assumptions'!I19</f>
        <v>8686</v>
      </c>
      <c r="GD19" s="1745"/>
      <c r="GF19" s="2112">
        <f>'E - Resource Limits'!A19</f>
        <v>7</v>
      </c>
      <c r="GG19" s="2113" t="str">
        <f>'E - Resource Limits'!B19</f>
        <v>DEL Non Cash Depreciation - IFRS 16 Leases</v>
      </c>
      <c r="GH19" s="2114">
        <f>'E - Resource Limits'!C19</f>
        <v>0</v>
      </c>
      <c r="GI19" s="2114">
        <f>'E - Resource Limits'!D19</f>
        <v>0</v>
      </c>
      <c r="GJ19" s="2114">
        <f>'E - Resource Limits'!E19</f>
        <v>0</v>
      </c>
      <c r="GK19" s="2114">
        <f>'E - Resource Limits'!F19</f>
        <v>0</v>
      </c>
      <c r="GL19" s="2048">
        <f>'E - Resource Limits'!G19</f>
        <v>0</v>
      </c>
      <c r="GM19" s="2115">
        <f>'E - Resource Limits'!H19</f>
        <v>0</v>
      </c>
      <c r="GN19" s="2114">
        <f>'E - Resource Limits'!I19</f>
        <v>0</v>
      </c>
      <c r="GO19" s="2114">
        <f>'E - Resource Limits'!J19</f>
        <v>0</v>
      </c>
      <c r="GP19" s="2114">
        <f>'E - Resource Limits'!K19</f>
        <v>0</v>
      </c>
      <c r="GQ19" s="2116">
        <f>'E - Resource Limits'!L19</f>
        <v>0</v>
      </c>
      <c r="GR19" s="1935"/>
      <c r="GT19" s="175">
        <f>'E1 - Invoiced Income'!A19</f>
        <v>8</v>
      </c>
      <c r="GU19" s="1797" t="str">
        <f>'E1 - Invoiced Income'!B19</f>
        <v>AME Non Cash Depreciation - Donated Assets</v>
      </c>
      <c r="GV19" s="1798">
        <f>'E1 - Invoiced Income'!C19</f>
        <v>0</v>
      </c>
      <c r="GW19" s="1798">
        <f>'E1 - Invoiced Income'!D19</f>
        <v>0</v>
      </c>
      <c r="GX19" s="1798">
        <f>'E1 - Invoiced Income'!E19</f>
        <v>0</v>
      </c>
      <c r="GY19" s="1798">
        <f>'E1 - Invoiced Income'!F19</f>
        <v>0</v>
      </c>
      <c r="GZ19" s="1798">
        <f>'E1 - Invoiced Income'!G19</f>
        <v>0</v>
      </c>
      <c r="HA19" s="1798">
        <f>'E1 - Invoiced Income'!H19</f>
        <v>0</v>
      </c>
      <c r="HB19" s="1798">
        <f>'E1 - Invoiced Income'!I19</f>
        <v>0</v>
      </c>
      <c r="HC19" s="1798">
        <f>'E1 - Invoiced Income'!J19</f>
        <v>0</v>
      </c>
      <c r="HD19" s="1798">
        <f>'E1 - Invoiced Income'!K19</f>
        <v>0</v>
      </c>
      <c r="HE19" s="1798">
        <f>'E1 - Invoiced Income'!L19</f>
        <v>0</v>
      </c>
      <c r="HF19" s="1798">
        <f>'E1 - Invoiced Income'!M19</f>
        <v>0</v>
      </c>
      <c r="HG19" s="1798">
        <f>'E1 - Invoiced Income'!N19</f>
        <v>0</v>
      </c>
      <c r="HH19" s="1798">
        <f>'E1 - Invoiced Income'!O19</f>
        <v>0</v>
      </c>
      <c r="HI19" s="1798">
        <f>'E1 - Invoiced Income'!P19</f>
        <v>0</v>
      </c>
      <c r="HJ19" s="1798">
        <f>'E1 - Invoiced Income'!R19</f>
        <v>0</v>
      </c>
      <c r="HK19" s="1798">
        <f>'E1 - Invoiced Income'!S19</f>
        <v>0</v>
      </c>
      <c r="HL19" s="1665">
        <f>'E1 - Invoiced Income'!T19</f>
        <v>0</v>
      </c>
      <c r="HM19" s="1799">
        <f>'E1 - Invoiced Income'!U19</f>
        <v>0</v>
      </c>
      <c r="HO19" s="2007">
        <f>'F - SoFP'!A19</f>
        <v>10</v>
      </c>
      <c r="HP19" s="2008" t="str">
        <f>'F - SoFP'!B19</f>
        <v>Non-current assets classified as held for sale</v>
      </c>
      <c r="HQ19" s="2009">
        <f>'F - SoFP'!C19</f>
        <v>0</v>
      </c>
      <c r="HR19" s="2010">
        <f>'F - SoFP'!D19</f>
        <v>0</v>
      </c>
      <c r="HS19" s="2010">
        <f>'F - SoFP'!E19</f>
        <v>0</v>
      </c>
      <c r="HT19" s="1946"/>
      <c r="HV19" s="2053">
        <f>'G - Cash Flow'!A19</f>
        <v>9</v>
      </c>
      <c r="HW19" s="2000" t="str">
        <f>'G - Cash Flow'!B19</f>
        <v>Sale of Assets</v>
      </c>
      <c r="HX19" s="2054">
        <f>'G - Cash Flow'!C19</f>
        <v>0</v>
      </c>
      <c r="HY19" s="2054">
        <f>'G - Cash Flow'!D19</f>
        <v>0</v>
      </c>
      <c r="HZ19" s="2054">
        <f>'G - Cash Flow'!E19</f>
        <v>0</v>
      </c>
      <c r="IA19" s="2054">
        <f>'G - Cash Flow'!F19</f>
        <v>0</v>
      </c>
      <c r="IB19" s="2054">
        <f>'G - Cash Flow'!G19</f>
        <v>0</v>
      </c>
      <c r="IC19" s="2054">
        <f>'G - Cash Flow'!H19</f>
        <v>0</v>
      </c>
      <c r="ID19" s="2054">
        <f>'G - Cash Flow'!I19</f>
        <v>0</v>
      </c>
      <c r="IE19" s="2054">
        <f>'G - Cash Flow'!J19</f>
        <v>0</v>
      </c>
      <c r="IF19" s="2054">
        <f>'G - Cash Flow'!K19</f>
        <v>0</v>
      </c>
      <c r="IG19" s="2054">
        <f>'G - Cash Flow'!L19</f>
        <v>0</v>
      </c>
      <c r="IH19" s="2054">
        <f>'G - Cash Flow'!M19</f>
        <v>0</v>
      </c>
      <c r="II19" s="2054">
        <f>'G - Cash Flow'!N19</f>
        <v>0</v>
      </c>
      <c r="IJ19" s="2055">
        <f>'G - Cash Flow'!O19</f>
        <v>0</v>
      </c>
      <c r="IK19" s="1942"/>
      <c r="IM19" s="119">
        <f>'H - PSPP'!A19</f>
        <v>6</v>
      </c>
      <c r="IN19" s="386" t="str">
        <f>'H - PSPP'!B19</f>
        <v>% of NHS Invoices Paid Within 10 Days - By Number</v>
      </c>
      <c r="IO19" s="957"/>
      <c r="IP19" s="1760">
        <f>'H - PSPP'!D19</f>
        <v>0</v>
      </c>
      <c r="IQ19" s="960"/>
      <c r="IR19" s="1760">
        <f>'H - PSPP'!F19</f>
        <v>0</v>
      </c>
      <c r="IS19" s="960"/>
      <c r="IT19" s="1760">
        <f>'H - PSPP'!H19</f>
        <v>0</v>
      </c>
      <c r="IU19" s="960"/>
      <c r="IV19" s="1760">
        <f>'H - PSPP'!J19</f>
        <v>0</v>
      </c>
      <c r="IW19" s="960"/>
      <c r="IX19" s="1760">
        <f>'H - PSPP'!L19</f>
        <v>0</v>
      </c>
      <c r="IY19" s="960"/>
      <c r="IZ19" s="1760">
        <f>'H - PSPP'!N19</f>
        <v>0</v>
      </c>
      <c r="JA19" s="960"/>
      <c r="JB19" s="1745"/>
      <c r="JD19" s="2088">
        <f>'I - Capital RLM'!A19</f>
        <v>1.3</v>
      </c>
      <c r="JE19" s="2089">
        <f>'I - Capital RLM'!B19</f>
        <v>0</v>
      </c>
      <c r="JF19" s="2010">
        <f>'I - Capital RLM'!C19</f>
        <v>0</v>
      </c>
      <c r="JG19" s="2010">
        <f>'I - Capital RLM'!D19</f>
        <v>0</v>
      </c>
      <c r="JH19" s="2118">
        <f>'I - Capital RLM'!E19</f>
        <v>0</v>
      </c>
      <c r="JI19" s="2119">
        <f>'I - Capital RLM'!F19</f>
        <v>0</v>
      </c>
      <c r="JJ19" s="2010">
        <f>'I - Capital RLM'!G19</f>
        <v>0</v>
      </c>
      <c r="JK19" s="2010">
        <f>'I - Capital RLM'!H19</f>
        <v>0</v>
      </c>
      <c r="JL19" s="2118">
        <f>'I - Capital RLM'!I19</f>
        <v>0</v>
      </c>
      <c r="JM19" s="2120"/>
      <c r="JN19" s="1889">
        <f>'I - Capital RLM'!K19</f>
        <v>0</v>
      </c>
      <c r="JO19" s="2120">
        <f>IF(AND(JK19&gt;0,JE19=""),1,0)</f>
        <v>0</v>
      </c>
      <c r="JQ19" s="2088">
        <f>'J - Capital In Year Schemes'!A19</f>
        <v>8</v>
      </c>
      <c r="JR19" s="2089">
        <f>'J - Capital In Year Schemes'!B19</f>
        <v>0</v>
      </c>
      <c r="JS19" s="2089">
        <f>'J - Capital In Year Schemes'!C19</f>
        <v>0</v>
      </c>
      <c r="JT19" s="2010">
        <f>'J - Capital In Year Schemes'!D19</f>
        <v>0</v>
      </c>
      <c r="JU19" s="2010">
        <f>'J - Capital In Year Schemes'!E19</f>
        <v>0</v>
      </c>
      <c r="JV19" s="2010">
        <f>'J - Capital In Year Schemes'!F19</f>
        <v>0</v>
      </c>
      <c r="JW19" s="2010">
        <f>'J - Capital In Year Schemes'!G19</f>
        <v>0</v>
      </c>
      <c r="JX19" s="2010">
        <f>'J - Capital In Year Schemes'!H19</f>
        <v>0</v>
      </c>
      <c r="JY19" s="2010">
        <f>'J - Capital In Year Schemes'!I19</f>
        <v>0</v>
      </c>
      <c r="JZ19" s="2010">
        <f>'J - Capital In Year Schemes'!J19</f>
        <v>0</v>
      </c>
      <c r="KA19" s="2010">
        <f>'J - Capital In Year Schemes'!K19</f>
        <v>0</v>
      </c>
      <c r="KB19" s="2010">
        <f>'J - Capital In Year Schemes'!L19</f>
        <v>0</v>
      </c>
      <c r="KC19" s="2010">
        <f>'J - Capital In Year Schemes'!M19</f>
        <v>0</v>
      </c>
      <c r="KD19" s="2010">
        <f>'J - Capital In Year Schemes'!N19</f>
        <v>0</v>
      </c>
      <c r="KE19" s="2010">
        <f>'J - Capital In Year Schemes'!O19</f>
        <v>0</v>
      </c>
      <c r="KF19" s="2010">
        <f>'J - Capital In Year Schemes'!P19</f>
        <v>0</v>
      </c>
      <c r="KG19" s="2010">
        <f>'J - Capital In Year Schemes'!Q19</f>
        <v>0</v>
      </c>
      <c r="KH19" s="2090">
        <f>'J - Capital In Year Schemes'!R19</f>
        <v>0</v>
      </c>
      <c r="KI19" s="2090">
        <f>'J - Capital In Year Schemes'!S19</f>
        <v>0</v>
      </c>
      <c r="KJ19" s="2091">
        <f>'J - Capital In Year Schemes'!T19</f>
        <v>0</v>
      </c>
      <c r="KK19" s="2060">
        <f t="shared" si="5"/>
        <v>0</v>
      </c>
      <c r="KM19" s="2053">
        <f>'K - Capital Disposals'!A19</f>
        <v>9</v>
      </c>
      <c r="KN19" s="2077">
        <f>'K - Capital Disposals'!B19</f>
        <v>0</v>
      </c>
      <c r="KO19" s="2062">
        <f>'K - Capital Disposals'!C19</f>
        <v>0</v>
      </c>
      <c r="KP19" s="2062">
        <f>'K - Capital Disposals'!D19</f>
        <v>0</v>
      </c>
      <c r="KQ19" s="2078">
        <f>'K - Capital Disposals'!E19</f>
        <v>0</v>
      </c>
      <c r="KR19" s="2064">
        <f>'K - Capital Disposals'!F19</f>
        <v>0</v>
      </c>
      <c r="KS19" s="2064">
        <f>'K - Capital Disposals'!G19</f>
        <v>0</v>
      </c>
      <c r="KT19" s="2054">
        <f>'K - Capital Disposals'!H19</f>
        <v>0</v>
      </c>
      <c r="KU19" s="2055">
        <f>'K - Capital Disposals'!I19</f>
        <v>0</v>
      </c>
      <c r="KV19" s="2121">
        <f>'K - Capital Disposals'!J19</f>
        <v>0</v>
      </c>
      <c r="KW19" s="2093"/>
      <c r="KX19" s="2093"/>
      <c r="KY19" s="2093"/>
      <c r="KZ19" s="2093"/>
      <c r="LA19" s="2093"/>
      <c r="LB19" s="2094"/>
      <c r="LC19" s="1935"/>
      <c r="LE19" s="1611">
        <f>'L - EFL'!A19</f>
        <v>9</v>
      </c>
      <c r="LF19" s="2122" t="str">
        <f>'L - EFL'!B19</f>
        <v>APPLICATION OF FUNDS</v>
      </c>
      <c r="LG19" s="2123">
        <f>'L - EFL'!C19</f>
        <v>0</v>
      </c>
      <c r="LH19" s="2123">
        <f>'L - EFL'!D19</f>
        <v>0</v>
      </c>
      <c r="LI19" s="1609">
        <f>'L - EFL'!E19</f>
        <v>0</v>
      </c>
      <c r="LJ19" s="2123">
        <f>'L - EFL'!F19</f>
        <v>0</v>
      </c>
      <c r="LL19" s="814"/>
      <c r="LM19" s="1761">
        <f>'M - Aged Debtors'!B19</f>
        <v>0</v>
      </c>
      <c r="LN19" s="1762">
        <f>'M - Aged Debtors'!C19</f>
        <v>0</v>
      </c>
      <c r="LO19" s="1763">
        <f>'M - Aged Debtors'!D19</f>
        <v>0</v>
      </c>
      <c r="LP19" s="1764">
        <f>'M - Aged Debtors'!E19</f>
        <v>0</v>
      </c>
      <c r="LQ19" s="1972">
        <f>'M - Aged Debtors'!F19</f>
        <v>0</v>
      </c>
      <c r="LR19" s="1166" t="str">
        <f>'M - Aged Debtors'!G19</f>
        <v/>
      </c>
      <c r="LS19" s="829" t="str">
        <f>'M - Aged Debtors'!H19</f>
        <v/>
      </c>
      <c r="LT19" s="829" t="str">
        <f>'M - Aged Debtors'!I19</f>
        <v/>
      </c>
      <c r="LU19" s="830" t="str">
        <f>'M - Aged Debtors'!J19</f>
        <v/>
      </c>
      <c r="LV19" s="1757">
        <f>'M - Aged Debtors'!K19</f>
        <v>0</v>
      </c>
      <c r="LX19" s="3098" t="str">
        <f>'N - GMS'!A19</f>
        <v/>
      </c>
      <c r="LY19" s="3099"/>
      <c r="LZ19" s="3099"/>
      <c r="MA19" s="223"/>
      <c r="MB19" s="223"/>
      <c r="MC19" s="223"/>
      <c r="MD19" s="223"/>
      <c r="ME19" s="214"/>
      <c r="MF19" s="225"/>
      <c r="MH19" s="702" t="str">
        <f>'O - Dental'!A19</f>
        <v>Oral surgery</v>
      </c>
      <c r="MI19" s="703"/>
      <c r="MJ19" s="701">
        <f>'O - Dental'!C19</f>
        <v>11</v>
      </c>
      <c r="MK19" s="701">
        <f>'O - Dental'!D19</f>
        <v>0</v>
      </c>
      <c r="ML19" s="1772">
        <f>'O - Dental'!E19</f>
        <v>0</v>
      </c>
      <c r="MM19" s="1772">
        <f>'O - Dental'!F19</f>
        <v>0</v>
      </c>
      <c r="MN19" s="661">
        <f>'O - Dental'!G19</f>
        <v>0</v>
      </c>
      <c r="MO19" s="308"/>
      <c r="MP19" s="1765">
        <f>'O - Dental'!I19</f>
        <v>0</v>
      </c>
      <c r="MR19" s="684"/>
      <c r="MS19" s="3034">
        <f>'P - Ringfenced'!B19</f>
        <v>0</v>
      </c>
      <c r="MT19" s="2661" t="str">
        <f>'P - Ringfenced'!C19</f>
        <v>Actual/Forecast - not yet committed</v>
      </c>
      <c r="MU19" s="2656">
        <f>'P - Ringfenced'!D19</f>
        <v>0</v>
      </c>
      <c r="MV19" s="2656">
        <f>'P - Ringfenced'!E19</f>
        <v>0</v>
      </c>
      <c r="MW19" s="2693">
        <f>'P - Ringfenced'!F19</f>
        <v>0</v>
      </c>
      <c r="MX19" s="2693">
        <f>'P - Ringfenced'!G19</f>
        <v>0</v>
      </c>
      <c r="MY19" s="2693">
        <f>'P - Ringfenced'!H19</f>
        <v>0</v>
      </c>
      <c r="MZ19" s="2693">
        <f>'P - Ringfenced'!I19</f>
        <v>0</v>
      </c>
      <c r="NA19" s="2693">
        <f>'P - Ringfenced'!J19</f>
        <v>0</v>
      </c>
      <c r="NB19" s="2693">
        <f>'P - Ringfenced'!K19</f>
        <v>0</v>
      </c>
      <c r="NC19" s="2693">
        <f>'P - Ringfenced'!L19</f>
        <v>0</v>
      </c>
      <c r="ND19" s="2693">
        <f>'P - Ringfenced'!M19</f>
        <v>0</v>
      </c>
      <c r="NE19" s="2693">
        <f>'P - Ringfenced'!N19</f>
        <v>0</v>
      </c>
      <c r="NF19" s="2693">
        <f>'P - Ringfenced'!O19</f>
        <v>0</v>
      </c>
      <c r="NG19" s="2693">
        <f>'P - Ringfenced'!P19</f>
        <v>0</v>
      </c>
      <c r="NH19" s="2695">
        <f>'P - Ringfenced'!Q19</f>
        <v>0</v>
      </c>
      <c r="NI19" s="1324">
        <f>'P - Ringfenced'!R19</f>
        <v>0</v>
      </c>
      <c r="NJ19" s="1325">
        <f>'P - Ringfenced'!S19</f>
        <v>0</v>
      </c>
      <c r="NK19" s="2861"/>
      <c r="NL19" s="684"/>
    </row>
    <row r="20" spans="1:376" ht="20.149999999999999" customHeight="1" thickBot="1">
      <c r="A20" s="1745"/>
      <c r="B20" s="1745"/>
      <c r="C20" s="1745"/>
      <c r="D20" s="1745"/>
      <c r="E20" s="1745"/>
      <c r="F20" s="1745"/>
      <c r="G20" s="1745"/>
      <c r="H20" s="1745"/>
      <c r="I20" s="1745"/>
      <c r="J20" s="1745"/>
      <c r="K20" s="1745"/>
      <c r="M20" s="950">
        <f>'A - Movement'!A20</f>
        <v>10</v>
      </c>
      <c r="N20" s="991" t="str">
        <f>'A - Movement'!B20</f>
        <v>Planned Profit / (Loss) on Disposal of Assets</v>
      </c>
      <c r="O20" s="1131">
        <f>'A - Movement'!C20</f>
        <v>0</v>
      </c>
      <c r="P20" s="1131">
        <f>'A - Movement'!D20</f>
        <v>0</v>
      </c>
      <c r="Q20" s="1131">
        <f>'A - Movement'!E20</f>
        <v>0</v>
      </c>
      <c r="R20" s="1131">
        <f>'A - Movement'!F20</f>
        <v>0</v>
      </c>
      <c r="S20" s="1745"/>
      <c r="T20" s="1928"/>
      <c r="U20" s="950">
        <f>'A - Movement'!I20</f>
        <v>10</v>
      </c>
      <c r="V20" s="991" t="str">
        <f t="shared" si="4"/>
        <v>Planned Profit / (Loss) on Disposal of Assets</v>
      </c>
      <c r="W20" s="954">
        <f>'A - Movement'!J20</f>
        <v>0</v>
      </c>
      <c r="X20" s="954">
        <f>'A - Movement'!K20</f>
        <v>0</v>
      </c>
      <c r="Y20" s="954">
        <f>'A - Movement'!L20</f>
        <v>0</v>
      </c>
      <c r="Z20" s="954">
        <f>'A - Movement'!M20</f>
        <v>0</v>
      </c>
      <c r="AA20" s="954">
        <f>'A - Movement'!N20</f>
        <v>0</v>
      </c>
      <c r="AB20" s="954">
        <f>'A - Movement'!O20</f>
        <v>0</v>
      </c>
      <c r="AC20" s="954">
        <f>'A - Movement'!P20</f>
        <v>0</v>
      </c>
      <c r="AD20" s="954">
        <f>'A - Movement'!Q20</f>
        <v>0</v>
      </c>
      <c r="AE20" s="954">
        <f>'A - Movement'!R20</f>
        <v>0</v>
      </c>
      <c r="AF20" s="954">
        <f>'A - Movement'!S20</f>
        <v>0</v>
      </c>
      <c r="AG20" s="954">
        <f>'A - Movement'!T20</f>
        <v>0</v>
      </c>
      <c r="AH20" s="954">
        <f>'A - Movement'!U20</f>
        <v>0</v>
      </c>
      <c r="AI20" s="1131">
        <f>'A - Movement'!V20</f>
        <v>0</v>
      </c>
      <c r="AJ20" s="1131">
        <f>'A - Movement'!W20</f>
        <v>0</v>
      </c>
      <c r="AK20" s="1131">
        <f t="shared" si="1"/>
        <v>0</v>
      </c>
      <c r="AL20" s="1131">
        <f t="shared" si="2"/>
        <v>0</v>
      </c>
      <c r="AM20" s="1131">
        <f t="shared" si="3"/>
        <v>0</v>
      </c>
      <c r="AN20" s="1745"/>
      <c r="AO20" s="1928"/>
      <c r="AP20" s="1403">
        <f>'A1 - Underlying Position'!A21</f>
        <v>10</v>
      </c>
      <c r="AQ20" s="1375" t="str">
        <f>'A1 - Underlying Position'!B21</f>
        <v>Non Pay - Supplies and services - clinical</v>
      </c>
      <c r="AR20" s="1800">
        <f>'A1 - Underlying Position'!C21</f>
        <v>0</v>
      </c>
      <c r="AS20" s="2124">
        <f>'A1 - Underlying Position'!D21</f>
        <v>0</v>
      </c>
      <c r="AT20" s="2124">
        <f>'A1 - Underlying Position'!E21</f>
        <v>0</v>
      </c>
      <c r="AU20" s="75">
        <f>'A1 - Underlying Position'!F21</f>
        <v>0</v>
      </c>
      <c r="AV20" s="2125">
        <f>'A1 - Underlying Position'!G21</f>
        <v>0</v>
      </c>
      <c r="AW20" s="75">
        <f>'A1 - Underlying Position'!H21</f>
        <v>0</v>
      </c>
      <c r="AX20" s="1745"/>
      <c r="AZ20" s="1717">
        <f>'A2 - Risks'!A20</f>
        <v>12</v>
      </c>
      <c r="BA20" s="1806">
        <f>'A2 - Risks'!B20</f>
        <v>0</v>
      </c>
      <c r="BB20" s="1758">
        <f>'A2 - Risks'!C20</f>
        <v>0</v>
      </c>
      <c r="BC20" s="1759">
        <f>'A2 - Risks'!D20</f>
        <v>0</v>
      </c>
      <c r="BE20" s="2065">
        <f>'B - Monthly Positions'!A20</f>
        <v>10</v>
      </c>
      <c r="BF20" s="1374" t="str">
        <f>'B - Monthly Positions'!B20</f>
        <v>Provided Services - Pay</v>
      </c>
      <c r="BG20" s="93" t="str">
        <f>'B - Monthly Positions'!C20</f>
        <v>Actual/F'cast</v>
      </c>
      <c r="BH20" s="1782">
        <f>'B - Monthly Positions'!D20</f>
        <v>10151</v>
      </c>
      <c r="BI20" s="1782">
        <f>'B - Monthly Positions'!E20</f>
        <v>9831.948833333332</v>
      </c>
      <c r="BJ20" s="1782">
        <f>'B - Monthly Positions'!F20</f>
        <v>9872.6593499999999</v>
      </c>
      <c r="BK20" s="1782">
        <f>'B - Monthly Positions'!G20</f>
        <v>9902.2591583333324</v>
      </c>
      <c r="BL20" s="1783">
        <f>'B - Monthly Positions'!H20</f>
        <v>9895.2591583333324</v>
      </c>
      <c r="BM20" s="1783">
        <f>'B - Monthly Positions'!I20</f>
        <v>9904.7003583333335</v>
      </c>
      <c r="BN20" s="1783">
        <f>'B - Monthly Positions'!J20</f>
        <v>9899.5761133333326</v>
      </c>
      <c r="BO20" s="1783">
        <f>'B - Monthly Positions'!K20</f>
        <v>9899.5761133333326</v>
      </c>
      <c r="BP20" s="1783">
        <f>'B - Monthly Positions'!L20</f>
        <v>9888.6128800000006</v>
      </c>
      <c r="BQ20" s="1783">
        <f>'B - Monthly Positions'!M20</f>
        <v>9886.5761133333326</v>
      </c>
      <c r="BR20" s="1783">
        <f>'B - Monthly Positions'!N20</f>
        <v>9867.2591583333324</v>
      </c>
      <c r="BS20" s="1783">
        <f>'B - Monthly Positions'!O20</f>
        <v>9878.2622222222217</v>
      </c>
      <c r="BT20" s="1782">
        <f>'B - Monthly Positions'!P20</f>
        <v>10151</v>
      </c>
      <c r="BU20" s="1782">
        <f>'B - Monthly Positions'!Q20</f>
        <v>118877.68945888888</v>
      </c>
      <c r="BV20" s="1643"/>
      <c r="BW20" s="1875"/>
      <c r="BX20" s="1107">
        <f>' Table Z Net Exp Profiles'!A20</f>
        <v>11</v>
      </c>
      <c r="BY20" s="1267" t="str">
        <f>' Table Z Net Exp Profiles'!B20</f>
        <v>Total Workforce Savings - Current Plan</v>
      </c>
      <c r="BZ20" s="1293">
        <f>' Table Z Net Exp Profiles'!C20</f>
        <v>789.91666666666663</v>
      </c>
      <c r="CA20" s="1294">
        <f>' Table Z Net Exp Profiles'!D20</f>
        <v>56.916666666666664</v>
      </c>
      <c r="CB20" s="1294">
        <f>' Table Z Net Exp Profiles'!E20</f>
        <v>56.916666666666664</v>
      </c>
      <c r="CC20" s="1294">
        <f>' Table Z Net Exp Profiles'!F20</f>
        <v>56.916666666666664</v>
      </c>
      <c r="CD20" s="1294">
        <f>' Table Z Net Exp Profiles'!G20</f>
        <v>56.916666666666664</v>
      </c>
      <c r="CE20" s="1294">
        <f>' Table Z Net Exp Profiles'!H20</f>
        <v>56.916666666666664</v>
      </c>
      <c r="CF20" s="1294">
        <f>' Table Z Net Exp Profiles'!I20</f>
        <v>56.916666666666664</v>
      </c>
      <c r="CG20" s="1294">
        <f>' Table Z Net Exp Profiles'!J20</f>
        <v>56.916666666666664</v>
      </c>
      <c r="CH20" s="1294">
        <f>' Table Z Net Exp Profiles'!K20</f>
        <v>56.916666666666664</v>
      </c>
      <c r="CI20" s="1294">
        <f>' Table Z Net Exp Profiles'!L20</f>
        <v>56.916666666666664</v>
      </c>
      <c r="CJ20" s="1294">
        <f>' Table Z Net Exp Profiles'!M20</f>
        <v>56.916666666666664</v>
      </c>
      <c r="CK20" s="1295">
        <f>' Table Z Net Exp Profiles'!N20</f>
        <v>56.916666666666664</v>
      </c>
      <c r="CL20" s="1232">
        <f>' Table Z Net Exp Profiles'!O20</f>
        <v>789.91666666666663</v>
      </c>
      <c r="CM20" s="1101">
        <f>' Table Z Net Exp Profiles'!P20</f>
        <v>1416.0000000000002</v>
      </c>
      <c r="CO20" s="1318"/>
      <c r="CP20" s="1319"/>
      <c r="CQ20" s="1320"/>
      <c r="CR20" s="1320"/>
      <c r="CS20" s="1320"/>
      <c r="CT20" s="1320"/>
      <c r="CU20" s="1320"/>
      <c r="CV20" s="1320"/>
      <c r="CW20" s="1320"/>
      <c r="CX20" s="1320"/>
      <c r="CY20" s="1320"/>
      <c r="CZ20" s="1320"/>
      <c r="DA20" s="1320"/>
      <c r="DB20" s="1320"/>
      <c r="DC20" s="1321"/>
      <c r="DD20" s="608"/>
      <c r="DF20" s="2852">
        <f>'B3 - COVID-19'!A20</f>
        <v>13</v>
      </c>
      <c r="DG20" s="2856" t="str">
        <f>'B3 - COVID-19'!B20</f>
        <v>Primary Care Contractor (excluding drugs)</v>
      </c>
      <c r="DH20" s="1330">
        <f>'B3 - COVID-19'!C20</f>
        <v>0</v>
      </c>
      <c r="DI20" s="1330">
        <f>'B3 - COVID-19'!D20</f>
        <v>0</v>
      </c>
      <c r="DJ20" s="1330">
        <f>'B3 - COVID-19'!E20</f>
        <v>0</v>
      </c>
      <c r="DK20" s="1330">
        <f>'B3 - COVID-19'!F20</f>
        <v>0</v>
      </c>
      <c r="DL20" s="1330">
        <f>'B3 - COVID-19'!G20</f>
        <v>0</v>
      </c>
      <c r="DM20" s="1330">
        <f>'B3 - COVID-19'!H20</f>
        <v>0</v>
      </c>
      <c r="DN20" s="1330">
        <f>'B3 - COVID-19'!I20</f>
        <v>0</v>
      </c>
      <c r="DO20" s="1330">
        <f>'B3 - COVID-19'!J20</f>
        <v>0</v>
      </c>
      <c r="DP20" s="1330">
        <f>'B3 - COVID-19'!K20</f>
        <v>0</v>
      </c>
      <c r="DQ20" s="1330">
        <f>'B3 - COVID-19'!L20</f>
        <v>0</v>
      </c>
      <c r="DR20" s="1330">
        <f>'B3 - COVID-19'!M20</f>
        <v>0</v>
      </c>
      <c r="DS20" s="1330">
        <f>'B3 - COVID-19'!N20</f>
        <v>0</v>
      </c>
      <c r="DT20" s="1863">
        <f>'B3 - COVID-19'!O20</f>
        <v>0</v>
      </c>
      <c r="DU20" s="1863">
        <f>'B3 - COVID-19'!P20</f>
        <v>0</v>
      </c>
      <c r="DV20" s="608"/>
      <c r="DW20" s="1116"/>
      <c r="DY20" s="2095">
        <f>'C, C1, C2&amp; C3 - Savings Schemes'!A20</f>
        <v>8</v>
      </c>
      <c r="DZ20" s="3039"/>
      <c r="EA20" s="90" t="str">
        <f>'C, C1, C2&amp; C3 - Savings Schemes'!C20</f>
        <v>Actual/F'cast</v>
      </c>
      <c r="EB20" s="1782">
        <f>'C, C1, C2&amp; C3 - Savings Schemes'!D20</f>
        <v>0</v>
      </c>
      <c r="EC20" s="1782">
        <f>'C, C1, C2&amp; C3 - Savings Schemes'!E20</f>
        <v>0</v>
      </c>
      <c r="ED20" s="1782">
        <f>'C, C1, C2&amp; C3 - Savings Schemes'!F20</f>
        <v>0</v>
      </c>
      <c r="EE20" s="1782">
        <f>'C, C1, C2&amp; C3 - Savings Schemes'!G20</f>
        <v>0</v>
      </c>
      <c r="EF20" s="1782">
        <f>'C, C1, C2&amp; C3 - Savings Schemes'!H20</f>
        <v>0</v>
      </c>
      <c r="EG20" s="1782">
        <f>'C, C1, C2&amp; C3 - Savings Schemes'!I20</f>
        <v>0</v>
      </c>
      <c r="EH20" s="1782">
        <f>'C, C1, C2&amp; C3 - Savings Schemes'!J20</f>
        <v>0</v>
      </c>
      <c r="EI20" s="1782">
        <f>'C, C1, C2&amp; C3 - Savings Schemes'!K20</f>
        <v>0</v>
      </c>
      <c r="EJ20" s="1782">
        <f>'C, C1, C2&amp; C3 - Savings Schemes'!L20</f>
        <v>0</v>
      </c>
      <c r="EK20" s="1782">
        <f>'C, C1, C2&amp; C3 - Savings Schemes'!M20</f>
        <v>0</v>
      </c>
      <c r="EL20" s="1782">
        <f>'C, C1, C2&amp; C3 - Savings Schemes'!N20</f>
        <v>0</v>
      </c>
      <c r="EM20" s="1795">
        <f>'C, C1, C2&amp; C3 - Savings Schemes'!O20</f>
        <v>0</v>
      </c>
      <c r="EN20" s="121">
        <f>'C, C1, C2&amp; C3 - Savings Schemes'!P20</f>
        <v>0</v>
      </c>
      <c r="EO20" s="940">
        <f>'C, C1, C2&amp; C3 - Savings Schemes'!Q20</f>
        <v>0</v>
      </c>
      <c r="EP20" s="1167" t="e">
        <f>'C, C1, C2&amp; C3 - Savings Schemes'!R20</f>
        <v>#DIV/0!</v>
      </c>
      <c r="EQ20" s="2096">
        <f>'C, C1, C2&amp; C3 - Savings Schemes'!S20</f>
        <v>0</v>
      </c>
      <c r="ER20" s="2096">
        <f>'C, C1, C2&amp; C3 - Savings Schemes'!T20</f>
        <v>0</v>
      </c>
      <c r="ES20" s="2096">
        <f>'C, C1, C2&amp; C3 - Savings Schemes'!U20</f>
        <v>0</v>
      </c>
      <c r="ET20" s="2096">
        <f>'C, C1, C2&amp; C3 - Savings Schemes'!V20</f>
        <v>0</v>
      </c>
      <c r="EU20" s="111"/>
      <c r="EV20" s="1796">
        <f>'C, C1, C2&amp; C3 - Savings Schemes'!X20</f>
        <v>0</v>
      </c>
      <c r="EW20" s="1932"/>
      <c r="EX20" s="3074"/>
      <c r="EY20" s="1063" t="str">
        <f>'Table C4 Tracker'!B20</f>
        <v>In Year - Plan</v>
      </c>
      <c r="EZ20" s="1705">
        <f>'Table C4 Tracker'!C20</f>
        <v>0</v>
      </c>
      <c r="FA20" s="1706">
        <f>'Table C4 Tracker'!D20</f>
        <v>0</v>
      </c>
      <c r="FB20" s="1706">
        <f>'Table C4 Tracker'!E20</f>
        <v>0</v>
      </c>
      <c r="FC20" s="1706">
        <f>'Table C4 Tracker'!F20</f>
        <v>0</v>
      </c>
      <c r="FD20" s="1706">
        <f>'Table C4 Tracker'!G20</f>
        <v>0</v>
      </c>
      <c r="FE20" s="1706">
        <f>'Table C4 Tracker'!H20</f>
        <v>0</v>
      </c>
      <c r="FF20" s="1706">
        <f>'Table C4 Tracker'!I20</f>
        <v>0</v>
      </c>
      <c r="FG20" s="1706">
        <f>'Table C4 Tracker'!J20</f>
        <v>0</v>
      </c>
      <c r="FH20" s="1706">
        <f>'Table C4 Tracker'!K20</f>
        <v>0</v>
      </c>
      <c r="FI20" s="1706">
        <f>'Table C4 Tracker'!L20</f>
        <v>0</v>
      </c>
      <c r="FJ20" s="1706">
        <f>'Table C4 Tracker'!M20</f>
        <v>0</v>
      </c>
      <c r="FK20" s="1706">
        <f>'Table C4 Tracker'!N20</f>
        <v>0</v>
      </c>
      <c r="FL20" s="1709">
        <f>'Table C4 Tracker'!O20</f>
        <v>0</v>
      </c>
      <c r="FM20" s="1458">
        <f>'Table C4 Tracker'!P20</f>
        <v>0</v>
      </c>
      <c r="FN20" s="1707">
        <f>'Table C4 Tracker'!Q20</f>
        <v>0</v>
      </c>
      <c r="FO20" s="1709">
        <f>'Table C4 Tracker'!R20</f>
        <v>0</v>
      </c>
      <c r="FP20" s="1709">
        <f>'Table C4 Tracker'!S20</f>
        <v>0</v>
      </c>
      <c r="FQ20" s="1709">
        <f>'Table C4 Tracker'!T20</f>
        <v>0</v>
      </c>
      <c r="FR20" s="1709">
        <f>'Table C4 Tracker'!U20</f>
        <v>0</v>
      </c>
      <c r="FS20" s="1957"/>
      <c r="FU20" s="2045">
        <f>'D - Welsh NHS Assumptions'!A20</f>
        <v>10</v>
      </c>
      <c r="FV20" s="2083" t="str">
        <f>'D - Welsh NHS Assumptions'!B20</f>
        <v>NWSSP</v>
      </c>
      <c r="FW20" s="2069">
        <f>'D - Welsh NHS Assumptions'!C20</f>
        <v>0</v>
      </c>
      <c r="FX20" s="2069">
        <f>'D - Welsh NHS Assumptions'!D20</f>
        <v>0</v>
      </c>
      <c r="FY20" s="2048">
        <f>'D - Welsh NHS Assumptions'!E20</f>
        <v>0</v>
      </c>
      <c r="FZ20" s="1745"/>
      <c r="GA20" s="2069">
        <f>'D - Welsh NHS Assumptions'!G20</f>
        <v>0</v>
      </c>
      <c r="GB20" s="2069">
        <f>'D - Welsh NHS Assumptions'!H20</f>
        <v>0</v>
      </c>
      <c r="GC20" s="2048">
        <f>'D - Welsh NHS Assumptions'!I20</f>
        <v>0</v>
      </c>
      <c r="GD20" s="1745"/>
      <c r="GF20" s="2112">
        <f>'E - Resource Limits'!A20</f>
        <v>8</v>
      </c>
      <c r="GG20" s="2113" t="str">
        <f>'E - Resource Limits'!B20</f>
        <v>AME Non Cash Depreciation -  IFRS 16 Leases (Peppercorn)</v>
      </c>
      <c r="GH20" s="2114">
        <f>'E - Resource Limits'!C20</f>
        <v>0</v>
      </c>
      <c r="GI20" s="2114">
        <f>'E - Resource Limits'!D20</f>
        <v>0</v>
      </c>
      <c r="GJ20" s="2114">
        <f>'E - Resource Limits'!E20</f>
        <v>0</v>
      </c>
      <c r="GK20" s="2114">
        <f>'E - Resource Limits'!F20</f>
        <v>0</v>
      </c>
      <c r="GL20" s="2048">
        <f>'E - Resource Limits'!G20</f>
        <v>0</v>
      </c>
      <c r="GM20" s="2115">
        <f>'E - Resource Limits'!H20</f>
        <v>0</v>
      </c>
      <c r="GN20" s="2114">
        <f>'E - Resource Limits'!I20</f>
        <v>0</v>
      </c>
      <c r="GO20" s="2114">
        <f>'E - Resource Limits'!J20</f>
        <v>0</v>
      </c>
      <c r="GP20" s="2114">
        <f>'E - Resource Limits'!K20</f>
        <v>0</v>
      </c>
      <c r="GQ20" s="2116">
        <f>'E - Resource Limits'!L20</f>
        <v>0</v>
      </c>
      <c r="GR20" s="1935"/>
      <c r="GT20" s="175">
        <f>'E1 - Invoiced Income'!A20</f>
        <v>9</v>
      </c>
      <c r="GU20" s="1797" t="str">
        <f>'E1 - Invoiced Income'!B20</f>
        <v>AME Non Cash Depreciation - Impairment</v>
      </c>
      <c r="GV20" s="1798">
        <f>'E1 - Invoiced Income'!C20</f>
        <v>0</v>
      </c>
      <c r="GW20" s="1798">
        <f>'E1 - Invoiced Income'!D20</f>
        <v>0</v>
      </c>
      <c r="GX20" s="1798">
        <f>'E1 - Invoiced Income'!E20</f>
        <v>0</v>
      </c>
      <c r="GY20" s="1798">
        <f>'E1 - Invoiced Income'!F20</f>
        <v>0</v>
      </c>
      <c r="GZ20" s="1798">
        <f>'E1 - Invoiced Income'!G20</f>
        <v>0</v>
      </c>
      <c r="HA20" s="1798">
        <f>'E1 - Invoiced Income'!H20</f>
        <v>0</v>
      </c>
      <c r="HB20" s="1798">
        <f>'E1 - Invoiced Income'!I20</f>
        <v>0</v>
      </c>
      <c r="HC20" s="1798">
        <f>'E1 - Invoiced Income'!J20</f>
        <v>0</v>
      </c>
      <c r="HD20" s="1798">
        <f>'E1 - Invoiced Income'!K20</f>
        <v>0</v>
      </c>
      <c r="HE20" s="1798">
        <f>'E1 - Invoiced Income'!L20</f>
        <v>0</v>
      </c>
      <c r="HF20" s="1798">
        <f>'E1 - Invoiced Income'!M20</f>
        <v>0</v>
      </c>
      <c r="HG20" s="1798">
        <f>'E1 - Invoiced Income'!N20</f>
        <v>0</v>
      </c>
      <c r="HH20" s="1798">
        <f>'E1 - Invoiced Income'!O20</f>
        <v>0</v>
      </c>
      <c r="HI20" s="1798">
        <f>'E1 - Invoiced Income'!P20</f>
        <v>0</v>
      </c>
      <c r="HJ20" s="1798">
        <f>'E1 - Invoiced Income'!R20</f>
        <v>0</v>
      </c>
      <c r="HK20" s="1798">
        <f>'E1 - Invoiced Income'!S20</f>
        <v>0</v>
      </c>
      <c r="HL20" s="1665">
        <f>'E1 - Invoiced Income'!T20</f>
        <v>0</v>
      </c>
      <c r="HM20" s="1799">
        <f>'E1 - Invoiced Income'!U20</f>
        <v>0</v>
      </c>
      <c r="HO20" s="2084">
        <f>'F - SoFP'!A20</f>
        <v>11</v>
      </c>
      <c r="HP20" s="2085" t="str">
        <f>'F - SoFP'!B20</f>
        <v xml:space="preserve">Current Assets sub total </v>
      </c>
      <c r="HQ20" s="2037">
        <f>'F - SoFP'!C20</f>
        <v>0</v>
      </c>
      <c r="HR20" s="2037">
        <f>'F - SoFP'!D20</f>
        <v>0</v>
      </c>
      <c r="HS20" s="2037">
        <f>'F - SoFP'!E20</f>
        <v>0</v>
      </c>
      <c r="HT20" s="1946"/>
      <c r="HV20" s="2053">
        <f>'G - Cash Flow'!A20</f>
        <v>10</v>
      </c>
      <c r="HW20" s="2000" t="str">
        <f>'G - Cash Flow'!B20</f>
        <v>Other  -  (Specify in narrative)</v>
      </c>
      <c r="HX20" s="2054">
        <f>'G - Cash Flow'!C20</f>
        <v>0</v>
      </c>
      <c r="HY20" s="2054">
        <f>'G - Cash Flow'!D20</f>
        <v>0</v>
      </c>
      <c r="HZ20" s="2054">
        <f>'G - Cash Flow'!E20</f>
        <v>0</v>
      </c>
      <c r="IA20" s="2054">
        <f>'G - Cash Flow'!F20</f>
        <v>0</v>
      </c>
      <c r="IB20" s="2054">
        <f>'G - Cash Flow'!G20</f>
        <v>0</v>
      </c>
      <c r="IC20" s="2054">
        <f>'G - Cash Flow'!H20</f>
        <v>0</v>
      </c>
      <c r="ID20" s="2054">
        <f>'G - Cash Flow'!I20</f>
        <v>0</v>
      </c>
      <c r="IE20" s="2054">
        <f>'G - Cash Flow'!J20</f>
        <v>0</v>
      </c>
      <c r="IF20" s="2054">
        <f>'G - Cash Flow'!K20</f>
        <v>0</v>
      </c>
      <c r="IG20" s="2054">
        <f>'G - Cash Flow'!L20</f>
        <v>0</v>
      </c>
      <c r="IH20" s="2054">
        <f>'G - Cash Flow'!M20</f>
        <v>0</v>
      </c>
      <c r="II20" s="2054">
        <f>'G - Cash Flow'!N20</f>
        <v>0</v>
      </c>
      <c r="IJ20" s="2055">
        <f>'G - Cash Flow'!O20</f>
        <v>0</v>
      </c>
      <c r="IK20" s="1942"/>
      <c r="IM20" s="119">
        <f>'H - PSPP'!A20</f>
        <v>7</v>
      </c>
      <c r="IN20" s="386" t="str">
        <f>'H - PSPP'!B20</f>
        <v>% of Non NHS Invoices Paid Within 10 Days - By Value</v>
      </c>
      <c r="IO20" s="957"/>
      <c r="IP20" s="1760">
        <f>'H - PSPP'!D20</f>
        <v>0</v>
      </c>
      <c r="IQ20" s="960"/>
      <c r="IR20" s="1760">
        <f>'H - PSPP'!F20</f>
        <v>0</v>
      </c>
      <c r="IS20" s="960"/>
      <c r="IT20" s="1760">
        <f>'H - PSPP'!H20</f>
        <v>0</v>
      </c>
      <c r="IU20" s="960"/>
      <c r="IV20" s="1760">
        <f>'H - PSPP'!J20</f>
        <v>0</v>
      </c>
      <c r="IW20" s="960"/>
      <c r="IX20" s="1760">
        <f>'H - PSPP'!L20</f>
        <v>0</v>
      </c>
      <c r="IY20" s="960"/>
      <c r="IZ20" s="1760">
        <f>'H - PSPP'!N20</f>
        <v>0</v>
      </c>
      <c r="JA20" s="960"/>
      <c r="JB20" s="1745"/>
      <c r="JD20" s="2088">
        <f>'I - Capital RLM'!A20</f>
        <v>2</v>
      </c>
      <c r="JE20" s="2126">
        <f>'I - Capital RLM'!B20</f>
        <v>0</v>
      </c>
      <c r="JF20" s="2010">
        <f>'I - Capital RLM'!C20</f>
        <v>0</v>
      </c>
      <c r="JG20" s="2010">
        <f>'I - Capital RLM'!D20</f>
        <v>0</v>
      </c>
      <c r="JH20" s="2118">
        <f>'I - Capital RLM'!E20</f>
        <v>0</v>
      </c>
      <c r="JI20" s="2119">
        <f>'I - Capital RLM'!F20</f>
        <v>0</v>
      </c>
      <c r="JJ20" s="2010">
        <f>'I - Capital RLM'!G20</f>
        <v>0</v>
      </c>
      <c r="JK20" s="2010">
        <f>'I - Capital RLM'!H20</f>
        <v>0</v>
      </c>
      <c r="JL20" s="2118">
        <f>'I - Capital RLM'!I20</f>
        <v>0</v>
      </c>
      <c r="JM20" s="2120"/>
      <c r="JN20" s="1890">
        <f>'I - Capital RLM'!K20</f>
        <v>0</v>
      </c>
      <c r="JO20" s="2120">
        <f t="shared" ref="JO20:JO59" si="7">IF(AND(JK20&gt;0,JE20=""),1,0)</f>
        <v>0</v>
      </c>
      <c r="JQ20" s="2088">
        <f>'J - Capital In Year Schemes'!A20</f>
        <v>9</v>
      </c>
      <c r="JR20" s="2089">
        <f>'J - Capital In Year Schemes'!B20</f>
        <v>0</v>
      </c>
      <c r="JS20" s="2089">
        <f>'J - Capital In Year Schemes'!C20</f>
        <v>0</v>
      </c>
      <c r="JT20" s="2010">
        <f>'J - Capital In Year Schemes'!D20</f>
        <v>0</v>
      </c>
      <c r="JU20" s="2010">
        <f>'J - Capital In Year Schemes'!E20</f>
        <v>0</v>
      </c>
      <c r="JV20" s="2010">
        <f>'J - Capital In Year Schemes'!F20</f>
        <v>0</v>
      </c>
      <c r="JW20" s="2010">
        <f>'J - Capital In Year Schemes'!G20</f>
        <v>0</v>
      </c>
      <c r="JX20" s="2010">
        <f>'J - Capital In Year Schemes'!H20</f>
        <v>0</v>
      </c>
      <c r="JY20" s="2010">
        <f>'J - Capital In Year Schemes'!I20</f>
        <v>0</v>
      </c>
      <c r="JZ20" s="2010">
        <f>'J - Capital In Year Schemes'!J20</f>
        <v>0</v>
      </c>
      <c r="KA20" s="2010">
        <f>'J - Capital In Year Schemes'!K20</f>
        <v>0</v>
      </c>
      <c r="KB20" s="2010">
        <f>'J - Capital In Year Schemes'!L20</f>
        <v>0</v>
      </c>
      <c r="KC20" s="2010">
        <f>'J - Capital In Year Schemes'!M20</f>
        <v>0</v>
      </c>
      <c r="KD20" s="2010">
        <f>'J - Capital In Year Schemes'!N20</f>
        <v>0</v>
      </c>
      <c r="KE20" s="2010">
        <f>'J - Capital In Year Schemes'!O20</f>
        <v>0</v>
      </c>
      <c r="KF20" s="2010">
        <f>'J - Capital In Year Schemes'!P20</f>
        <v>0</v>
      </c>
      <c r="KG20" s="2010">
        <f>'J - Capital In Year Schemes'!Q20</f>
        <v>0</v>
      </c>
      <c r="KH20" s="2090">
        <f>'J - Capital In Year Schemes'!R20</f>
        <v>0</v>
      </c>
      <c r="KI20" s="2090">
        <f>'J - Capital In Year Schemes'!S20</f>
        <v>0</v>
      </c>
      <c r="KJ20" s="2091">
        <f>'J - Capital In Year Schemes'!T20</f>
        <v>0</v>
      </c>
      <c r="KK20" s="2060">
        <f t="shared" si="5"/>
        <v>0</v>
      </c>
      <c r="KM20" s="2053">
        <f>'K - Capital Disposals'!A20</f>
        <v>10</v>
      </c>
      <c r="KN20" s="2077">
        <f>'K - Capital Disposals'!B20</f>
        <v>0</v>
      </c>
      <c r="KO20" s="2062">
        <f>'K - Capital Disposals'!C20</f>
        <v>0</v>
      </c>
      <c r="KP20" s="2062">
        <f>'K - Capital Disposals'!D20</f>
        <v>0</v>
      </c>
      <c r="KQ20" s="2078">
        <f>'K - Capital Disposals'!E20</f>
        <v>0</v>
      </c>
      <c r="KR20" s="2064">
        <f>'K - Capital Disposals'!F20</f>
        <v>0</v>
      </c>
      <c r="KS20" s="2064">
        <f>'K - Capital Disposals'!G20</f>
        <v>0</v>
      </c>
      <c r="KT20" s="2054">
        <f>'K - Capital Disposals'!H20</f>
        <v>0</v>
      </c>
      <c r="KU20" s="2055">
        <f>'K - Capital Disposals'!I20</f>
        <v>0</v>
      </c>
      <c r="KV20" s="2092">
        <f>'K - Capital Disposals'!J20</f>
        <v>0</v>
      </c>
      <c r="KW20" s="2093"/>
      <c r="KX20" s="2093"/>
      <c r="KY20" s="2093"/>
      <c r="KZ20" s="2093"/>
      <c r="LA20" s="2093"/>
      <c r="LB20" s="2094"/>
      <c r="LC20" s="1935"/>
      <c r="LE20" s="1615">
        <f>'L - EFL'!A20</f>
        <v>10</v>
      </c>
      <c r="LF20" s="1614" t="str">
        <f>'L - EFL'!B20</f>
        <v>Capital Expenditure</v>
      </c>
      <c r="LG20" s="1779">
        <f>'L - EFL'!C20</f>
        <v>0</v>
      </c>
      <c r="LH20" s="1779">
        <f>'L - EFL'!D20</f>
        <v>0</v>
      </c>
      <c r="LI20" s="1613">
        <f>'L - EFL'!E20</f>
        <v>0</v>
      </c>
      <c r="LJ20" s="1779">
        <f>'L - EFL'!F20</f>
        <v>0</v>
      </c>
      <c r="LL20" s="814"/>
      <c r="LM20" s="1761">
        <f>'M - Aged Debtors'!B20</f>
        <v>0</v>
      </c>
      <c r="LN20" s="1762">
        <f>'M - Aged Debtors'!C20</f>
        <v>0</v>
      </c>
      <c r="LO20" s="1763">
        <f>'M - Aged Debtors'!D20</f>
        <v>0</v>
      </c>
      <c r="LP20" s="1764">
        <f>'M - Aged Debtors'!E20</f>
        <v>0</v>
      </c>
      <c r="LQ20" s="1972">
        <f>'M - Aged Debtors'!F20</f>
        <v>0</v>
      </c>
      <c r="LR20" s="1166" t="str">
        <f>'M - Aged Debtors'!G20</f>
        <v/>
      </c>
      <c r="LS20" s="829" t="str">
        <f>'M - Aged Debtors'!H20</f>
        <v/>
      </c>
      <c r="LT20" s="829" t="str">
        <f>'M - Aged Debtors'!I20</f>
        <v/>
      </c>
      <c r="LU20" s="830" t="str">
        <f>'M - Aged Debtors'!J20</f>
        <v/>
      </c>
      <c r="LV20" s="1757">
        <f>'M - Aged Debtors'!K20</f>
        <v>0</v>
      </c>
      <c r="LX20" s="462" t="str">
        <f>'N - GMS'!A20</f>
        <v>Direct Enhanced Services        (To equal data in Section A (i) Line 31)</v>
      </c>
      <c r="LY20" s="460"/>
      <c r="LZ20" s="461">
        <f>'N - GMS'!C20</f>
        <v>8</v>
      </c>
      <c r="MA20" s="67">
        <f>'N - GMS'!D20</f>
        <v>0</v>
      </c>
      <c r="MB20" s="1808">
        <f>'N - GMS'!E20</f>
        <v>0</v>
      </c>
      <c r="MC20" s="1808">
        <f>'N - GMS'!F20</f>
        <v>0</v>
      </c>
      <c r="MD20" s="463">
        <f>'N - GMS'!G20</f>
        <v>0</v>
      </c>
      <c r="ME20" s="215"/>
      <c r="MF20" s="1808">
        <f>'N - GMS'!I20</f>
        <v>0</v>
      </c>
      <c r="MH20" s="705" t="str">
        <f>'O - Dental'!A20</f>
        <v>OTHER (PLEASE DETAIL BELOW)</v>
      </c>
      <c r="MI20" s="703"/>
      <c r="MJ20" s="698">
        <f>'O - Dental'!C20</f>
        <v>12</v>
      </c>
      <c r="MK20" s="713">
        <f>'O - Dental'!D20</f>
        <v>0</v>
      </c>
      <c r="ML20" s="1807">
        <f>'O - Dental'!E20</f>
        <v>0</v>
      </c>
      <c r="MM20" s="1807">
        <f>'O - Dental'!F20</f>
        <v>0</v>
      </c>
      <c r="MN20" s="661">
        <f>'O - Dental'!G20</f>
        <v>0</v>
      </c>
      <c r="MO20" s="308"/>
      <c r="MP20" s="1765">
        <f>'O - Dental'!I20</f>
        <v>0</v>
      </c>
      <c r="MR20" s="684"/>
      <c r="MS20" s="3034">
        <f>'P - Ringfenced'!B20</f>
        <v>0</v>
      </c>
      <c r="MT20" s="1101" t="str">
        <f>'P - Ringfenced'!C20</f>
        <v>Actual/Forecast - committed</v>
      </c>
      <c r="MU20" s="2656">
        <f>'P - Ringfenced'!D20</f>
        <v>0</v>
      </c>
      <c r="MV20" s="2656">
        <f>'P - Ringfenced'!E20</f>
        <v>0</v>
      </c>
      <c r="MW20" s="2693">
        <f>'P - Ringfenced'!F20</f>
        <v>0</v>
      </c>
      <c r="MX20" s="2693">
        <f>'P - Ringfenced'!G20</f>
        <v>0</v>
      </c>
      <c r="MY20" s="2693">
        <f>'P - Ringfenced'!H20</f>
        <v>0</v>
      </c>
      <c r="MZ20" s="2693">
        <f>'P - Ringfenced'!I20</f>
        <v>0</v>
      </c>
      <c r="NA20" s="2693">
        <f>'P - Ringfenced'!J20</f>
        <v>0</v>
      </c>
      <c r="NB20" s="2693">
        <f>'P - Ringfenced'!K20</f>
        <v>0</v>
      </c>
      <c r="NC20" s="2693">
        <f>'P - Ringfenced'!L20</f>
        <v>0</v>
      </c>
      <c r="ND20" s="2693">
        <f>'P - Ringfenced'!M20</f>
        <v>0</v>
      </c>
      <c r="NE20" s="2693">
        <f>'P - Ringfenced'!N20</f>
        <v>0</v>
      </c>
      <c r="NF20" s="2693">
        <f>'P - Ringfenced'!O20</f>
        <v>0</v>
      </c>
      <c r="NG20" s="2693">
        <f>'P - Ringfenced'!P20</f>
        <v>0</v>
      </c>
      <c r="NH20" s="2695">
        <f>'P - Ringfenced'!Q20</f>
        <v>0</v>
      </c>
      <c r="NI20" s="1324">
        <f>'P - Ringfenced'!R20</f>
        <v>0</v>
      </c>
      <c r="NJ20" s="1325">
        <f>'P - Ringfenced'!S20</f>
        <v>0</v>
      </c>
      <c r="NK20" s="2861"/>
      <c r="NL20" s="684"/>
    </row>
    <row r="21" spans="1:376" ht="20.149999999999999" customHeight="1" thickTop="1" thickBot="1">
      <c r="A21" s="1745"/>
      <c r="B21" s="1745"/>
      <c r="C21" s="1745"/>
      <c r="D21" s="1745"/>
      <c r="E21" s="1745"/>
      <c r="F21" s="1745"/>
      <c r="G21" s="1745"/>
      <c r="H21" s="1745"/>
      <c r="I21" s="1745"/>
      <c r="J21" s="1745"/>
      <c r="K21" s="1745"/>
      <c r="M21" s="950">
        <f>'A - Movement'!A21</f>
        <v>11</v>
      </c>
      <c r="N21" s="991" t="str">
        <f>'A - Movement'!B21</f>
        <v>Planned Release of Uncommitted Contingencies &amp; Reserves (Positive Value)</v>
      </c>
      <c r="O21" s="1131">
        <f>'A - Movement'!C21</f>
        <v>0</v>
      </c>
      <c r="P21" s="1131">
        <f>'A - Movement'!D21</f>
        <v>0</v>
      </c>
      <c r="Q21" s="954">
        <f>'A - Movement'!E21</f>
        <v>0</v>
      </c>
      <c r="R21" s="954">
        <f>'A - Movement'!F21</f>
        <v>0</v>
      </c>
      <c r="S21" s="1745"/>
      <c r="T21" s="1928"/>
      <c r="U21" s="950">
        <f>'A - Movement'!I21</f>
        <v>11</v>
      </c>
      <c r="V21" s="991" t="str">
        <f t="shared" si="4"/>
        <v>Planned Release of Uncommitted Contingencies &amp; Reserves (Positive Value)</v>
      </c>
      <c r="W21" s="954">
        <f>'A - Movement'!J21</f>
        <v>0</v>
      </c>
      <c r="X21" s="954">
        <f>'A - Movement'!K21</f>
        <v>0</v>
      </c>
      <c r="Y21" s="954">
        <f>'A - Movement'!L21</f>
        <v>0</v>
      </c>
      <c r="Z21" s="954">
        <f>'A - Movement'!M21</f>
        <v>0</v>
      </c>
      <c r="AA21" s="954">
        <f>'A - Movement'!N21</f>
        <v>0</v>
      </c>
      <c r="AB21" s="954">
        <f>'A - Movement'!O21</f>
        <v>0</v>
      </c>
      <c r="AC21" s="954">
        <f>'A - Movement'!P21</f>
        <v>0</v>
      </c>
      <c r="AD21" s="954">
        <f>'A - Movement'!Q21</f>
        <v>0</v>
      </c>
      <c r="AE21" s="954">
        <f>'A - Movement'!R21</f>
        <v>0</v>
      </c>
      <c r="AF21" s="954">
        <f>'A - Movement'!S21</f>
        <v>0</v>
      </c>
      <c r="AG21" s="954">
        <f>'A - Movement'!T21</f>
        <v>0</v>
      </c>
      <c r="AH21" s="954">
        <f>'A - Movement'!U21</f>
        <v>0</v>
      </c>
      <c r="AI21" s="1131">
        <f>'A - Movement'!V21</f>
        <v>0</v>
      </c>
      <c r="AJ21" s="1131">
        <f>'A - Movement'!W21</f>
        <v>0</v>
      </c>
      <c r="AK21" s="1131">
        <f t="shared" si="1"/>
        <v>0</v>
      </c>
      <c r="AL21" s="954">
        <f t="shared" si="2"/>
        <v>0</v>
      </c>
      <c r="AM21" s="954">
        <f t="shared" si="3"/>
        <v>0</v>
      </c>
      <c r="AN21" s="1745"/>
      <c r="AO21" s="1928"/>
      <c r="AP21" s="1403">
        <f>'A1 - Underlying Position'!A22</f>
        <v>11</v>
      </c>
      <c r="AQ21" s="1376" t="str">
        <f>'A1 - Underlying Position'!B22</f>
        <v>Non Pay - Supplies and services - general</v>
      </c>
      <c r="AR21" s="1800">
        <f>'A1 - Underlying Position'!C22</f>
        <v>0</v>
      </c>
      <c r="AS21" s="1801">
        <f>'A1 - Underlying Position'!D22</f>
        <v>0</v>
      </c>
      <c r="AT21" s="1801">
        <f>'A1 - Underlying Position'!E22</f>
        <v>0</v>
      </c>
      <c r="AU21" s="75">
        <f>'A1 - Underlying Position'!F22</f>
        <v>0</v>
      </c>
      <c r="AV21" s="1802">
        <f>'A1 - Underlying Position'!G22</f>
        <v>0</v>
      </c>
      <c r="AW21" s="75">
        <f>'A1 - Underlying Position'!H22</f>
        <v>0</v>
      </c>
      <c r="AX21" s="1745"/>
      <c r="AZ21" s="1717">
        <f>'A2 - Risks'!A21</f>
        <v>13</v>
      </c>
      <c r="BA21" s="1806" t="str">
        <f>'A2 - Risks'!B21</f>
        <v>WG funding not yet confirmed - Screening Recovery Funding</v>
      </c>
      <c r="BB21" s="1788">
        <f>'A2 - Risks'!C21</f>
        <v>-979</v>
      </c>
      <c r="BC21" s="1759" t="str">
        <f>'A2 - Risks'!D21</f>
        <v>Low</v>
      </c>
      <c r="BE21" s="2065">
        <f>'B - Monthly Positions'!A21</f>
        <v>11</v>
      </c>
      <c r="BF21" s="1373" t="str">
        <f>'B - Monthly Positions'!B21</f>
        <v>Provider Services - Non Pay (excluding drugs &amp; depreciation)</v>
      </c>
      <c r="BG21" s="93" t="str">
        <f>'B - Monthly Positions'!C21</f>
        <v>Actual/F'cast</v>
      </c>
      <c r="BH21" s="1782">
        <f>'B - Monthly Positions'!D21</f>
        <v>7712.1790000000001</v>
      </c>
      <c r="BI21" s="1782">
        <f>'B - Monthly Positions'!E21</f>
        <v>7896.1640759175616</v>
      </c>
      <c r="BJ21" s="1782">
        <f>'B - Monthly Positions'!F21</f>
        <v>8243.7659929260863</v>
      </c>
      <c r="BK21" s="1782">
        <f>'B - Monthly Positions'!G21</f>
        <v>7866.6640759175616</v>
      </c>
      <c r="BL21" s="1782">
        <f>'B - Monthly Positions'!H21</f>
        <v>7835.1640759175616</v>
      </c>
      <c r="BM21" s="1782">
        <f>'B - Monthly Positions'!I21</f>
        <v>8365.2659929260863</v>
      </c>
      <c r="BN21" s="1782">
        <f>'B - Monthly Positions'!J21</f>
        <v>8130.3508336524837</v>
      </c>
      <c r="BO21" s="1782">
        <f>'B - Monthly Positions'!K21</f>
        <v>8046.5712625082688</v>
      </c>
      <c r="BP21" s="1782">
        <f>'B - Monthly Positions'!L21</f>
        <v>8568.8714586524839</v>
      </c>
      <c r="BQ21" s="1782">
        <f>'B - Monthly Positions'!M21</f>
        <v>8092.3508336524837</v>
      </c>
      <c r="BR21" s="1782">
        <f>'B - Monthly Positions'!N21</f>
        <v>8079.6427963640544</v>
      </c>
      <c r="BS21" s="1782">
        <f>'B - Monthly Positions'!O21</f>
        <v>9176.4809536524845</v>
      </c>
      <c r="BT21" s="1782">
        <f>'B - Monthly Positions'!P21</f>
        <v>7712.1790000000001</v>
      </c>
      <c r="BU21" s="1782">
        <f>'B - Monthly Positions'!Q21</f>
        <v>98013.471352087116</v>
      </c>
      <c r="BV21" s="1643"/>
      <c r="BW21" s="1875"/>
      <c r="BX21" s="890">
        <f>' Table Z Net Exp Profiles'!A21</f>
        <v>12</v>
      </c>
      <c r="BY21" s="1268" t="str">
        <f>' Table Z Net Exp Profiles'!B21</f>
        <v>Total Workforce Savings - Actual/Forecast</v>
      </c>
      <c r="BZ21" s="1693">
        <f>' Table Z Net Exp Profiles'!C21</f>
        <v>789.91666666666663</v>
      </c>
      <c r="CA21" s="1694">
        <f>' Table Z Net Exp Profiles'!D21</f>
        <v>56.916666666666664</v>
      </c>
      <c r="CB21" s="1694">
        <f>' Table Z Net Exp Profiles'!E21</f>
        <v>56.916666666666664</v>
      </c>
      <c r="CC21" s="1694">
        <f>' Table Z Net Exp Profiles'!F21</f>
        <v>56.916666666666664</v>
      </c>
      <c r="CD21" s="1694">
        <f>' Table Z Net Exp Profiles'!G21</f>
        <v>56.916666666666664</v>
      </c>
      <c r="CE21" s="1694">
        <f>' Table Z Net Exp Profiles'!H21</f>
        <v>56.916666666666664</v>
      </c>
      <c r="CF21" s="1694">
        <f>' Table Z Net Exp Profiles'!I21</f>
        <v>56.916666666666664</v>
      </c>
      <c r="CG21" s="1694">
        <f>' Table Z Net Exp Profiles'!J21</f>
        <v>56.916666666666664</v>
      </c>
      <c r="CH21" s="1694">
        <f>' Table Z Net Exp Profiles'!K21</f>
        <v>56.916666666666664</v>
      </c>
      <c r="CI21" s="1694">
        <f>' Table Z Net Exp Profiles'!L21</f>
        <v>56.916666666666664</v>
      </c>
      <c r="CJ21" s="1694">
        <f>' Table Z Net Exp Profiles'!M21</f>
        <v>56.916666666666664</v>
      </c>
      <c r="CK21" s="1695">
        <f>' Table Z Net Exp Profiles'!N21</f>
        <v>56.916666666666664</v>
      </c>
      <c r="CL21" s="1233">
        <f>' Table Z Net Exp Profiles'!O21</f>
        <v>789.91666666666663</v>
      </c>
      <c r="CM21" s="1215">
        <f>' Table Z Net Exp Profiles'!P21</f>
        <v>1416.0000000000002</v>
      </c>
      <c r="CO21" s="80"/>
      <c r="CP21" s="80"/>
      <c r="CQ21" s="80"/>
      <c r="CR21" s="80"/>
      <c r="CS21" s="80"/>
      <c r="CT21" s="80"/>
      <c r="CU21" s="80"/>
      <c r="CV21" s="80"/>
      <c r="CW21" s="80"/>
      <c r="CX21" s="80"/>
      <c r="CY21" s="80"/>
      <c r="CZ21" s="80"/>
      <c r="DA21" s="80"/>
      <c r="DB21" s="80"/>
      <c r="DC21" s="80"/>
      <c r="DD21" s="608"/>
      <c r="DF21" s="2852">
        <f>'B3 - COVID-19'!A21</f>
        <v>14</v>
      </c>
      <c r="DG21" s="2845" t="str">
        <f>'B3 - COVID-19'!B21</f>
        <v>Primary Care - Drugs</v>
      </c>
      <c r="DH21" s="1330">
        <f>'B3 - COVID-19'!C21</f>
        <v>0</v>
      </c>
      <c r="DI21" s="1330">
        <f>'B3 - COVID-19'!D21</f>
        <v>0</v>
      </c>
      <c r="DJ21" s="1330">
        <f>'B3 - COVID-19'!E21</f>
        <v>0</v>
      </c>
      <c r="DK21" s="1330">
        <f>'B3 - COVID-19'!F21</f>
        <v>0</v>
      </c>
      <c r="DL21" s="1330">
        <f>'B3 - COVID-19'!G21</f>
        <v>0</v>
      </c>
      <c r="DM21" s="1330">
        <f>'B3 - COVID-19'!H21</f>
        <v>0</v>
      </c>
      <c r="DN21" s="1330">
        <f>'B3 - COVID-19'!I21</f>
        <v>0</v>
      </c>
      <c r="DO21" s="1330">
        <f>'B3 - COVID-19'!J21</f>
        <v>0</v>
      </c>
      <c r="DP21" s="1330">
        <f>'B3 - COVID-19'!K21</f>
        <v>0</v>
      </c>
      <c r="DQ21" s="1330">
        <f>'B3 - COVID-19'!L21</f>
        <v>0</v>
      </c>
      <c r="DR21" s="1330">
        <f>'B3 - COVID-19'!M21</f>
        <v>0</v>
      </c>
      <c r="DS21" s="1330">
        <f>'B3 - COVID-19'!N21</f>
        <v>0</v>
      </c>
      <c r="DT21" s="1863">
        <f>'B3 - COVID-19'!O21</f>
        <v>0</v>
      </c>
      <c r="DU21" s="1863">
        <f>'B3 - COVID-19'!P21</f>
        <v>0</v>
      </c>
      <c r="DV21" s="608"/>
      <c r="DW21" s="1116"/>
      <c r="DY21" s="2095">
        <f>'C, C1, C2&amp; C3 - Savings Schemes'!A21</f>
        <v>9</v>
      </c>
      <c r="DZ21" s="3040"/>
      <c r="EA21" s="92" t="str">
        <f>'C, C1, C2&amp; C3 - Savings Schemes'!C21</f>
        <v>Variance</v>
      </c>
      <c r="EB21" s="944">
        <f>'C, C1, C2&amp; C3 - Savings Schemes'!D21</f>
        <v>0</v>
      </c>
      <c r="EC21" s="944">
        <f>'C, C1, C2&amp; C3 - Savings Schemes'!E21</f>
        <v>0</v>
      </c>
      <c r="ED21" s="944">
        <f>'C, C1, C2&amp; C3 - Savings Schemes'!F21</f>
        <v>0</v>
      </c>
      <c r="EE21" s="944">
        <f>'C, C1, C2&amp; C3 - Savings Schemes'!G21</f>
        <v>0</v>
      </c>
      <c r="EF21" s="944">
        <f>'C, C1, C2&amp; C3 - Savings Schemes'!H21</f>
        <v>0</v>
      </c>
      <c r="EG21" s="944">
        <f>'C, C1, C2&amp; C3 - Savings Schemes'!I21</f>
        <v>0</v>
      </c>
      <c r="EH21" s="944">
        <f>'C, C1, C2&amp; C3 - Savings Schemes'!J21</f>
        <v>0</v>
      </c>
      <c r="EI21" s="944">
        <f>'C, C1, C2&amp; C3 - Savings Schemes'!K21</f>
        <v>0</v>
      </c>
      <c r="EJ21" s="944">
        <f>'C, C1, C2&amp; C3 - Savings Schemes'!L21</f>
        <v>0</v>
      </c>
      <c r="EK21" s="944">
        <f>'C, C1, C2&amp; C3 - Savings Schemes'!M21</f>
        <v>0</v>
      </c>
      <c r="EL21" s="944">
        <f>'C, C1, C2&amp; C3 - Savings Schemes'!N21</f>
        <v>0</v>
      </c>
      <c r="EM21" s="944">
        <f>'C, C1, C2&amp; C3 - Savings Schemes'!O21</f>
        <v>0</v>
      </c>
      <c r="EN21" s="943">
        <f>'C, C1, C2&amp; C3 - Savings Schemes'!P21</f>
        <v>0</v>
      </c>
      <c r="EO21" s="939">
        <f>'C, C1, C2&amp; C3 - Savings Schemes'!Q21</f>
        <v>0</v>
      </c>
      <c r="EP21" s="1168" t="e">
        <f>'C, C1, C2&amp; C3 - Savings Schemes'!R21</f>
        <v>#DIV/0!</v>
      </c>
      <c r="EQ21" s="2081"/>
      <c r="ER21" s="2081"/>
      <c r="ES21" s="2081"/>
      <c r="ET21" s="2081"/>
      <c r="EU21" s="608"/>
      <c r="EV21" s="594"/>
      <c r="EW21" s="1932"/>
      <c r="EX21" s="3074"/>
      <c r="EY21" s="1698" t="str">
        <f>'Table C4 Tracker'!B21</f>
        <v>In Year - Actual/Forecast</v>
      </c>
      <c r="EZ21" s="1371">
        <f>'Table C4 Tracker'!C21</f>
        <v>0</v>
      </c>
      <c r="FA21" s="1708">
        <f>'Table C4 Tracker'!D21</f>
        <v>0</v>
      </c>
      <c r="FB21" s="1708">
        <f>'Table C4 Tracker'!E21</f>
        <v>0</v>
      </c>
      <c r="FC21" s="1708">
        <f>'Table C4 Tracker'!F21</f>
        <v>0</v>
      </c>
      <c r="FD21" s="1708">
        <f>'Table C4 Tracker'!G21</f>
        <v>0</v>
      </c>
      <c r="FE21" s="1708">
        <f>'Table C4 Tracker'!H21</f>
        <v>0</v>
      </c>
      <c r="FF21" s="1708">
        <f>'Table C4 Tracker'!I21</f>
        <v>0</v>
      </c>
      <c r="FG21" s="1708">
        <f>'Table C4 Tracker'!J21</f>
        <v>0</v>
      </c>
      <c r="FH21" s="1708">
        <f>'Table C4 Tracker'!K21</f>
        <v>0</v>
      </c>
      <c r="FI21" s="1708">
        <f>'Table C4 Tracker'!L21</f>
        <v>0</v>
      </c>
      <c r="FJ21" s="1708">
        <f>'Table C4 Tracker'!M21</f>
        <v>0</v>
      </c>
      <c r="FK21" s="1708">
        <f>'Table C4 Tracker'!N21</f>
        <v>0</v>
      </c>
      <c r="FL21" s="1577">
        <f>'Table C4 Tracker'!O21</f>
        <v>0</v>
      </c>
      <c r="FM21" s="1465">
        <f>'Table C4 Tracker'!P21</f>
        <v>0</v>
      </c>
      <c r="FN21" s="939">
        <f>'Table C4 Tracker'!Q21</f>
        <v>0</v>
      </c>
      <c r="FO21" s="1577">
        <f>'Table C4 Tracker'!R21</f>
        <v>0</v>
      </c>
      <c r="FP21" s="1577">
        <f>'Table C4 Tracker'!S21</f>
        <v>0</v>
      </c>
      <c r="FQ21" s="1577">
        <f>'Table C4 Tracker'!T21</f>
        <v>0</v>
      </c>
      <c r="FR21" s="1577">
        <f>'Table C4 Tracker'!U21</f>
        <v>0</v>
      </c>
      <c r="FS21" s="1957"/>
      <c r="FU21" s="2045">
        <f>'D - Welsh NHS Assumptions'!A21</f>
        <v>11</v>
      </c>
      <c r="FV21" s="2083" t="str">
        <f>'D - Welsh NHS Assumptions'!B21</f>
        <v>DHCW</v>
      </c>
      <c r="FW21" s="2069">
        <f>'D - Welsh NHS Assumptions'!C21</f>
        <v>357</v>
      </c>
      <c r="FX21" s="2069">
        <f>'D - Welsh NHS Assumptions'!D21</f>
        <v>3823</v>
      </c>
      <c r="FY21" s="2048">
        <f>'D - Welsh NHS Assumptions'!E21</f>
        <v>4180</v>
      </c>
      <c r="FZ21" s="1745"/>
      <c r="GA21" s="2069">
        <f>'D - Welsh NHS Assumptions'!G21</f>
        <v>2112</v>
      </c>
      <c r="GB21" s="2069">
        <f>'D - Welsh NHS Assumptions'!H21</f>
        <v>905</v>
      </c>
      <c r="GC21" s="2048">
        <f>'D - Welsh NHS Assumptions'!I21</f>
        <v>3017</v>
      </c>
      <c r="GD21" s="1745"/>
      <c r="GF21" s="2112">
        <f>'E - Resource Limits'!A21</f>
        <v>9</v>
      </c>
      <c r="GG21" s="2113" t="str">
        <f>'E - Resource Limits'!B21</f>
        <v>AME Non Cash Depreciation - Donated Assets</v>
      </c>
      <c r="GH21" s="2114">
        <f>'E - Resource Limits'!C21</f>
        <v>0</v>
      </c>
      <c r="GI21" s="2114">
        <f>'E - Resource Limits'!D21</f>
        <v>0</v>
      </c>
      <c r="GJ21" s="2114">
        <f>'E - Resource Limits'!E21</f>
        <v>0</v>
      </c>
      <c r="GK21" s="2114">
        <f>'E - Resource Limits'!F21</f>
        <v>0</v>
      </c>
      <c r="GL21" s="2048">
        <f>'E - Resource Limits'!G21</f>
        <v>0</v>
      </c>
      <c r="GM21" s="2115">
        <f>'E - Resource Limits'!H21</f>
        <v>0</v>
      </c>
      <c r="GN21" s="2114">
        <f>'E - Resource Limits'!I21</f>
        <v>0</v>
      </c>
      <c r="GO21" s="2114">
        <f>'E - Resource Limits'!J21</f>
        <v>0</v>
      </c>
      <c r="GP21" s="2114">
        <f>'E - Resource Limits'!K21</f>
        <v>0</v>
      </c>
      <c r="GQ21" s="2116">
        <f>'E - Resource Limits'!L21</f>
        <v>0</v>
      </c>
      <c r="GR21" s="1935">
        <f t="shared" si="6"/>
        <v>0</v>
      </c>
      <c r="GT21" s="175">
        <f>'E1 - Invoiced Income'!A21</f>
        <v>10</v>
      </c>
      <c r="GU21" s="1797" t="str">
        <f>'E1 - Invoiced Income'!B21</f>
        <v>AME Non Cash Depreciation - Impairment Reversals</v>
      </c>
      <c r="GV21" s="1798">
        <f>'E1 - Invoiced Income'!C21</f>
        <v>0</v>
      </c>
      <c r="GW21" s="1798">
        <f>'E1 - Invoiced Income'!D21</f>
        <v>0</v>
      </c>
      <c r="GX21" s="1798">
        <f>'E1 - Invoiced Income'!E21</f>
        <v>0</v>
      </c>
      <c r="GY21" s="1798">
        <f>'E1 - Invoiced Income'!F21</f>
        <v>0</v>
      </c>
      <c r="GZ21" s="1798">
        <f>'E1 - Invoiced Income'!G21</f>
        <v>0</v>
      </c>
      <c r="HA21" s="1798">
        <f>'E1 - Invoiced Income'!H21</f>
        <v>0</v>
      </c>
      <c r="HB21" s="1798">
        <f>'E1 - Invoiced Income'!I21</f>
        <v>0</v>
      </c>
      <c r="HC21" s="1798">
        <f>'E1 - Invoiced Income'!J21</f>
        <v>0</v>
      </c>
      <c r="HD21" s="1798">
        <f>'E1 - Invoiced Income'!K21</f>
        <v>0</v>
      </c>
      <c r="HE21" s="1798">
        <f>'E1 - Invoiced Income'!L21</f>
        <v>0</v>
      </c>
      <c r="HF21" s="1798">
        <f>'E1 - Invoiced Income'!M21</f>
        <v>0</v>
      </c>
      <c r="HG21" s="1798">
        <f>'E1 - Invoiced Income'!N21</f>
        <v>0</v>
      </c>
      <c r="HH21" s="1798">
        <f>'E1 - Invoiced Income'!O21</f>
        <v>0</v>
      </c>
      <c r="HI21" s="1798">
        <f>'E1 - Invoiced Income'!P21</f>
        <v>0</v>
      </c>
      <c r="HJ21" s="1798">
        <f>'E1 - Invoiced Income'!R21</f>
        <v>0</v>
      </c>
      <c r="HK21" s="1798">
        <f>'E1 - Invoiced Income'!S21</f>
        <v>0</v>
      </c>
      <c r="HL21" s="1665">
        <f>'E1 - Invoiced Income'!T21</f>
        <v>0</v>
      </c>
      <c r="HM21" s="1799">
        <f>'E1 - Invoiced Income'!U21</f>
        <v>0</v>
      </c>
      <c r="HO21" s="2049"/>
      <c r="HP21" s="2127"/>
      <c r="HQ21" s="2097"/>
      <c r="HR21" s="2098"/>
      <c r="HS21" s="2098"/>
      <c r="HT21" s="1946"/>
      <c r="HV21" s="2128">
        <f>'G - Cash Flow'!A21</f>
        <v>11</v>
      </c>
      <c r="HW21" s="2129" t="str">
        <f>'G - Cash Flow'!B21</f>
        <v>TOTAL RECEIPTS</v>
      </c>
      <c r="HX21" s="2130">
        <f>'G - Cash Flow'!C21</f>
        <v>0</v>
      </c>
      <c r="HY21" s="2130">
        <f>'G - Cash Flow'!D21</f>
        <v>0</v>
      </c>
      <c r="HZ21" s="2130">
        <f>'G - Cash Flow'!E21</f>
        <v>0</v>
      </c>
      <c r="IA21" s="2130">
        <f>'G - Cash Flow'!F21</f>
        <v>0</v>
      </c>
      <c r="IB21" s="2130">
        <f>'G - Cash Flow'!G21</f>
        <v>0</v>
      </c>
      <c r="IC21" s="2130">
        <f>'G - Cash Flow'!H21</f>
        <v>0</v>
      </c>
      <c r="ID21" s="2130">
        <f>'G - Cash Flow'!I21</f>
        <v>0</v>
      </c>
      <c r="IE21" s="2130">
        <f>'G - Cash Flow'!J21</f>
        <v>0</v>
      </c>
      <c r="IF21" s="2130">
        <f>'G - Cash Flow'!K21</f>
        <v>0</v>
      </c>
      <c r="IG21" s="2130">
        <f>'G - Cash Flow'!L21</f>
        <v>0</v>
      </c>
      <c r="IH21" s="2130">
        <f>'G - Cash Flow'!M21</f>
        <v>0</v>
      </c>
      <c r="II21" s="2130">
        <f>'G - Cash Flow'!N21</f>
        <v>0</v>
      </c>
      <c r="IJ21" s="2130">
        <f>'G - Cash Flow'!O21</f>
        <v>0</v>
      </c>
      <c r="IK21" s="1942"/>
      <c r="IM21" s="119">
        <f>'H - PSPP'!A21</f>
        <v>8</v>
      </c>
      <c r="IN21" s="386" t="str">
        <f>'H - PSPP'!B21</f>
        <v>% of Non NHS Invoices Paid Within 10 Days - By Number</v>
      </c>
      <c r="IO21" s="957"/>
      <c r="IP21" s="1760">
        <f>'H - PSPP'!D21</f>
        <v>0</v>
      </c>
      <c r="IQ21" s="961"/>
      <c r="IR21" s="1760">
        <f>'H - PSPP'!F21</f>
        <v>0</v>
      </c>
      <c r="IS21" s="961"/>
      <c r="IT21" s="1760">
        <f>'H - PSPP'!H21</f>
        <v>0</v>
      </c>
      <c r="IU21" s="961"/>
      <c r="IV21" s="1760">
        <f>'H - PSPP'!J21</f>
        <v>0</v>
      </c>
      <c r="IW21" s="961"/>
      <c r="IX21" s="1760">
        <f>'H - PSPP'!L21</f>
        <v>0</v>
      </c>
      <c r="IY21" s="961"/>
      <c r="IZ21" s="1760">
        <f>'H - PSPP'!N21</f>
        <v>0</v>
      </c>
      <c r="JA21" s="961"/>
      <c r="JB21" s="1745"/>
      <c r="JD21" s="2088">
        <f>'I - Capital RLM'!A21</f>
        <v>3</v>
      </c>
      <c r="JE21" s="2126">
        <f>'I - Capital RLM'!B21</f>
        <v>0</v>
      </c>
      <c r="JF21" s="2010">
        <f>'I - Capital RLM'!C21</f>
        <v>0</v>
      </c>
      <c r="JG21" s="2010">
        <f>'I - Capital RLM'!D21</f>
        <v>0</v>
      </c>
      <c r="JH21" s="2118">
        <f>'I - Capital RLM'!E21</f>
        <v>0</v>
      </c>
      <c r="JI21" s="2119">
        <f>'I - Capital RLM'!F21</f>
        <v>0</v>
      </c>
      <c r="JJ21" s="2010">
        <f>'I - Capital RLM'!G21</f>
        <v>0</v>
      </c>
      <c r="JK21" s="2010">
        <f>'I - Capital RLM'!H21</f>
        <v>0</v>
      </c>
      <c r="JL21" s="2118">
        <f>'I - Capital RLM'!I21</f>
        <v>0</v>
      </c>
      <c r="JM21" s="2120"/>
      <c r="JN21" s="1890">
        <f>'I - Capital RLM'!K21</f>
        <v>0</v>
      </c>
      <c r="JO21" s="2120">
        <f t="shared" si="7"/>
        <v>0</v>
      </c>
      <c r="JQ21" s="2073">
        <f>'J - Capital In Year Schemes'!A21</f>
        <v>10</v>
      </c>
      <c r="JR21" s="2089">
        <f>'J - Capital In Year Schemes'!B21</f>
        <v>0</v>
      </c>
      <c r="JS21" s="2089">
        <f>'J - Capital In Year Schemes'!C21</f>
        <v>0</v>
      </c>
      <c r="JT21" s="2010">
        <f>'J - Capital In Year Schemes'!D21</f>
        <v>0</v>
      </c>
      <c r="JU21" s="2010">
        <f>'J - Capital In Year Schemes'!E21</f>
        <v>0</v>
      </c>
      <c r="JV21" s="2010">
        <f>'J - Capital In Year Schemes'!F21</f>
        <v>0</v>
      </c>
      <c r="JW21" s="2010">
        <f>'J - Capital In Year Schemes'!G21</f>
        <v>0</v>
      </c>
      <c r="JX21" s="2010">
        <f>'J - Capital In Year Schemes'!H21</f>
        <v>0</v>
      </c>
      <c r="JY21" s="2010">
        <f>'J - Capital In Year Schemes'!I21</f>
        <v>0</v>
      </c>
      <c r="JZ21" s="2010">
        <f>'J - Capital In Year Schemes'!J21</f>
        <v>0</v>
      </c>
      <c r="KA21" s="2010">
        <f>'J - Capital In Year Schemes'!K21</f>
        <v>0</v>
      </c>
      <c r="KB21" s="2010">
        <f>'J - Capital In Year Schemes'!L21</f>
        <v>0</v>
      </c>
      <c r="KC21" s="2010">
        <f>'J - Capital In Year Schemes'!M21</f>
        <v>0</v>
      </c>
      <c r="KD21" s="2010">
        <f>'J - Capital In Year Schemes'!N21</f>
        <v>0</v>
      </c>
      <c r="KE21" s="2010">
        <f>'J - Capital In Year Schemes'!O21</f>
        <v>0</v>
      </c>
      <c r="KF21" s="2010">
        <f>'J - Capital In Year Schemes'!P21</f>
        <v>0</v>
      </c>
      <c r="KG21" s="2010">
        <f>'J - Capital In Year Schemes'!Q21</f>
        <v>0</v>
      </c>
      <c r="KH21" s="2090">
        <f>'J - Capital In Year Schemes'!R21</f>
        <v>0</v>
      </c>
      <c r="KI21" s="2090">
        <f>'J - Capital In Year Schemes'!S21</f>
        <v>0</v>
      </c>
      <c r="KJ21" s="2091">
        <f>'J - Capital In Year Schemes'!T21</f>
        <v>0</v>
      </c>
      <c r="KK21" s="2060">
        <f t="shared" si="5"/>
        <v>0</v>
      </c>
      <c r="KM21" s="2053">
        <f>'K - Capital Disposals'!A21</f>
        <v>11</v>
      </c>
      <c r="KN21" s="2077">
        <f>'K - Capital Disposals'!B21</f>
        <v>0</v>
      </c>
      <c r="KO21" s="2062">
        <f>'K - Capital Disposals'!C21</f>
        <v>0</v>
      </c>
      <c r="KP21" s="2062">
        <f>'K - Capital Disposals'!D21</f>
        <v>0</v>
      </c>
      <c r="KQ21" s="2078">
        <f>'K - Capital Disposals'!E21</f>
        <v>0</v>
      </c>
      <c r="KR21" s="2064">
        <f>'K - Capital Disposals'!F21</f>
        <v>0</v>
      </c>
      <c r="KS21" s="2064">
        <f>'K - Capital Disposals'!G21</f>
        <v>0</v>
      </c>
      <c r="KT21" s="2054">
        <f>'K - Capital Disposals'!H21</f>
        <v>0</v>
      </c>
      <c r="KU21" s="2055">
        <f>'K - Capital Disposals'!I21</f>
        <v>0</v>
      </c>
      <c r="KV21" s="3100">
        <f>'K - Capital Disposals'!J21</f>
        <v>0</v>
      </c>
      <c r="KW21" s="3095"/>
      <c r="KX21" s="3095"/>
      <c r="KY21" s="3095"/>
      <c r="KZ21" s="3095"/>
      <c r="LA21" s="3095"/>
      <c r="LB21" s="3096"/>
      <c r="LC21" s="1935"/>
      <c r="LE21" s="1615">
        <f>'L - EFL'!A21</f>
        <v>11</v>
      </c>
      <c r="LF21" s="1614" t="str">
        <f>'L - EFL'!B21</f>
        <v>Other Expenditure/ IFRS 16 Lease Payments Exc. Interest &amp; VAT (ROU)  </v>
      </c>
      <c r="LG21" s="1779">
        <f>'L - EFL'!C21</f>
        <v>0</v>
      </c>
      <c r="LH21" s="1779">
        <f>'L - EFL'!D21</f>
        <v>0</v>
      </c>
      <c r="LI21" s="1613">
        <f>'L - EFL'!E21</f>
        <v>0</v>
      </c>
      <c r="LJ21" s="1779">
        <f>'L - EFL'!F21</f>
        <v>0</v>
      </c>
      <c r="LL21" s="814"/>
      <c r="LM21" s="1761">
        <f>'M - Aged Debtors'!B21</f>
        <v>0</v>
      </c>
      <c r="LN21" s="1762">
        <f>'M - Aged Debtors'!C21</f>
        <v>0</v>
      </c>
      <c r="LO21" s="1763">
        <f>'M - Aged Debtors'!D21</f>
        <v>0</v>
      </c>
      <c r="LP21" s="1764">
        <f>'M - Aged Debtors'!E21</f>
        <v>0</v>
      </c>
      <c r="LQ21" s="1972">
        <f>'M - Aged Debtors'!F21</f>
        <v>0</v>
      </c>
      <c r="LR21" s="1166" t="str">
        <f>'M - Aged Debtors'!G21</f>
        <v/>
      </c>
      <c r="LS21" s="829" t="str">
        <f>'M - Aged Debtors'!H21</f>
        <v/>
      </c>
      <c r="LT21" s="829" t="str">
        <f>'M - Aged Debtors'!I21</f>
        <v/>
      </c>
      <c r="LU21" s="830" t="str">
        <f>'M - Aged Debtors'!J21</f>
        <v/>
      </c>
      <c r="LV21" s="1757">
        <f>'M - Aged Debtors'!K21</f>
        <v>0</v>
      </c>
      <c r="LX21" s="462" t="str">
        <f>'N - GMS'!A21</f>
        <v>National Enhanced Services     (To equal data in Section A (ii) Line 41)</v>
      </c>
      <c r="LY21" s="460"/>
      <c r="LZ21" s="461">
        <f>'N - GMS'!C21</f>
        <v>9</v>
      </c>
      <c r="MA21" s="67">
        <f>'N - GMS'!D21</f>
        <v>0</v>
      </c>
      <c r="MB21" s="1808">
        <f>'N - GMS'!E21</f>
        <v>0</v>
      </c>
      <c r="MC21" s="1808">
        <f>'N - GMS'!F21</f>
        <v>0</v>
      </c>
      <c r="MD21" s="463">
        <f>'N - GMS'!G21</f>
        <v>0</v>
      </c>
      <c r="ME21" s="215"/>
      <c r="MF21" s="1808">
        <f>'N - GMS'!I21</f>
        <v>0</v>
      </c>
      <c r="MH21" s="3101" t="str">
        <f>'O - Dental'!A21</f>
        <v xml:space="preserve">TOTAL DENTAL SERVICES EXPENDITURE </v>
      </c>
      <c r="MI21" s="3102"/>
      <c r="MJ21" s="706">
        <f>'O - Dental'!C21</f>
        <v>13</v>
      </c>
      <c r="MK21" s="1809">
        <f>'O - Dental'!D21</f>
        <v>0</v>
      </c>
      <c r="ML21" s="667">
        <f>'O - Dental'!E21</f>
        <v>0</v>
      </c>
      <c r="MM21" s="667">
        <f>'O - Dental'!F21</f>
        <v>0</v>
      </c>
      <c r="MN21" s="668">
        <f>'O - Dental'!G21</f>
        <v>0</v>
      </c>
      <c r="MO21" s="308"/>
      <c r="MP21" s="668">
        <f>'O - Dental'!I21</f>
        <v>0</v>
      </c>
      <c r="MR21" s="684"/>
      <c r="MS21" s="3035">
        <f>'P - Ringfenced'!B21</f>
        <v>0</v>
      </c>
      <c r="MT21" s="2661" t="str">
        <f>'P - Ringfenced'!C21</f>
        <v>Variance against current plan</v>
      </c>
      <c r="MU21" s="2656">
        <f>'P - Ringfenced'!D21</f>
        <v>0</v>
      </c>
      <c r="MV21" s="2656">
        <f>'P - Ringfenced'!E21</f>
        <v>0</v>
      </c>
      <c r="MW21" s="2680">
        <f>'P - Ringfenced'!F21</f>
        <v>0</v>
      </c>
      <c r="MX21" s="2680">
        <f>'P - Ringfenced'!G21</f>
        <v>0</v>
      </c>
      <c r="MY21" s="2680">
        <f>'P - Ringfenced'!H21</f>
        <v>0</v>
      </c>
      <c r="MZ21" s="2680">
        <f>'P - Ringfenced'!I21</f>
        <v>0</v>
      </c>
      <c r="NA21" s="2680">
        <f>'P - Ringfenced'!J21</f>
        <v>0</v>
      </c>
      <c r="NB21" s="2680">
        <f>'P - Ringfenced'!K21</f>
        <v>0</v>
      </c>
      <c r="NC21" s="2680">
        <f>'P - Ringfenced'!L21</f>
        <v>0</v>
      </c>
      <c r="ND21" s="2680">
        <f>'P - Ringfenced'!M21</f>
        <v>0</v>
      </c>
      <c r="NE21" s="2680">
        <f>'P - Ringfenced'!N21</f>
        <v>0</v>
      </c>
      <c r="NF21" s="2680">
        <f>'P - Ringfenced'!O21</f>
        <v>0</v>
      </c>
      <c r="NG21" s="2680">
        <f>'P - Ringfenced'!P21</f>
        <v>0</v>
      </c>
      <c r="NH21" s="2681">
        <f>'P - Ringfenced'!Q21</f>
        <v>0</v>
      </c>
      <c r="NI21" s="1110">
        <f>'P - Ringfenced'!R21</f>
        <v>0</v>
      </c>
      <c r="NJ21" s="1220">
        <f>'P - Ringfenced'!S21</f>
        <v>0</v>
      </c>
      <c r="NK21" s="1220">
        <f>'P - Ringfenced'!T21</f>
        <v>0</v>
      </c>
      <c r="NL21" s="684"/>
    </row>
    <row r="22" spans="1:376" ht="24.75" customHeight="1" thickBot="1">
      <c r="A22" s="1745"/>
      <c r="B22" s="1745"/>
      <c r="C22" s="1745"/>
      <c r="D22" s="1745"/>
      <c r="E22" s="1745"/>
      <c r="F22" s="1745"/>
      <c r="G22" s="1745"/>
      <c r="H22" s="1745"/>
      <c r="I22" s="1745"/>
      <c r="J22" s="1745"/>
      <c r="K22" s="1745"/>
      <c r="M22" s="950">
        <f>'A - Movement'!A22</f>
        <v>12</v>
      </c>
      <c r="N22" s="1559">
        <f>'A - Movement'!B22</f>
        <v>0</v>
      </c>
      <c r="O22" s="1131">
        <f>'A - Movement'!C22</f>
        <v>0</v>
      </c>
      <c r="P22" s="1131">
        <f>'A - Movement'!D22</f>
        <v>0</v>
      </c>
      <c r="Q22" s="954">
        <f>'A - Movement'!E22</f>
        <v>0</v>
      </c>
      <c r="R22" s="954">
        <f>'A - Movement'!F22</f>
        <v>0</v>
      </c>
      <c r="S22" s="1745"/>
      <c r="T22" s="1928"/>
      <c r="U22" s="950">
        <f>'A - Movement'!I22</f>
        <v>12</v>
      </c>
      <c r="V22" s="1559">
        <f t="shared" si="4"/>
        <v>0</v>
      </c>
      <c r="W22" s="954">
        <f>'A - Movement'!J22</f>
        <v>0</v>
      </c>
      <c r="X22" s="954">
        <f>'A - Movement'!K22</f>
        <v>0</v>
      </c>
      <c r="Y22" s="954">
        <f>'A - Movement'!L22</f>
        <v>0</v>
      </c>
      <c r="Z22" s="954">
        <f>'A - Movement'!M22</f>
        <v>0</v>
      </c>
      <c r="AA22" s="954">
        <f>'A - Movement'!N22</f>
        <v>0</v>
      </c>
      <c r="AB22" s="954">
        <f>'A - Movement'!O22</f>
        <v>0</v>
      </c>
      <c r="AC22" s="954">
        <f>'A - Movement'!P22</f>
        <v>0</v>
      </c>
      <c r="AD22" s="954">
        <f>'A - Movement'!Q22</f>
        <v>0</v>
      </c>
      <c r="AE22" s="954">
        <f>'A - Movement'!R22</f>
        <v>0</v>
      </c>
      <c r="AF22" s="954">
        <f>'A - Movement'!S22</f>
        <v>0</v>
      </c>
      <c r="AG22" s="954">
        <f>'A - Movement'!T22</f>
        <v>0</v>
      </c>
      <c r="AH22" s="954">
        <f>'A - Movement'!U22</f>
        <v>0</v>
      </c>
      <c r="AI22" s="1131">
        <f>'A - Movement'!V22</f>
        <v>0</v>
      </c>
      <c r="AJ22" s="1131">
        <f>'A - Movement'!W22</f>
        <v>0</v>
      </c>
      <c r="AK22" s="1131">
        <f t="shared" si="1"/>
        <v>0</v>
      </c>
      <c r="AL22" s="954">
        <f t="shared" si="2"/>
        <v>0</v>
      </c>
      <c r="AM22" s="954">
        <f t="shared" si="3"/>
        <v>0</v>
      </c>
      <c r="AN22" s="1745"/>
      <c r="AO22" s="1928"/>
      <c r="AP22" s="1403">
        <f>'A1 - Underlying Position'!A23</f>
        <v>12</v>
      </c>
      <c r="AQ22" s="1375" t="str">
        <f>'A1 - Underlying Position'!B23</f>
        <v>Non Pay - Consultancy Services</v>
      </c>
      <c r="AR22" s="1800">
        <f>'A1 - Underlying Position'!C23</f>
        <v>0</v>
      </c>
      <c r="AS22" s="2124">
        <f>'A1 - Underlying Position'!D23</f>
        <v>0</v>
      </c>
      <c r="AT22" s="2124">
        <f>'A1 - Underlying Position'!E23</f>
        <v>0</v>
      </c>
      <c r="AU22" s="75">
        <f>'A1 - Underlying Position'!F23</f>
        <v>0</v>
      </c>
      <c r="AV22" s="2125">
        <f>'A1 - Underlying Position'!G23</f>
        <v>0</v>
      </c>
      <c r="AW22" s="75">
        <f>'A1 - Underlying Position'!H23</f>
        <v>0</v>
      </c>
      <c r="AX22" s="1745"/>
      <c r="AZ22" s="1717">
        <f>'A2 - Risks'!A22</f>
        <v>14</v>
      </c>
      <c r="BA22" s="1806" t="str">
        <f>'A2 - Risks'!B22</f>
        <v>Availability of strategic capital funding to support the replacement of digital firewalls and other strategic capital priorities</v>
      </c>
      <c r="BB22" s="1788">
        <f>'A2 - Risks'!C22</f>
        <v>-400</v>
      </c>
      <c r="BC22" s="1759" t="str">
        <f>'A2 - Risks'!D22</f>
        <v>High</v>
      </c>
      <c r="BE22" s="2065">
        <f>'B - Monthly Positions'!A22</f>
        <v>12</v>
      </c>
      <c r="BF22" s="1373" t="str">
        <f>'B - Monthly Positions'!B22</f>
        <v>Secondary Care - Drugs</v>
      </c>
      <c r="BG22" s="93" t="str">
        <f>'B - Monthly Positions'!C22</f>
        <v>Actual/F'cast</v>
      </c>
      <c r="BH22" s="1782">
        <f>'B - Monthly Positions'!D22</f>
        <v>0</v>
      </c>
      <c r="BI22" s="1782">
        <f>'B - Monthly Positions'!E22</f>
        <v>0</v>
      </c>
      <c r="BJ22" s="1782">
        <f>'B - Monthly Positions'!F22</f>
        <v>0</v>
      </c>
      <c r="BK22" s="1782">
        <f>'B - Monthly Positions'!G22</f>
        <v>0</v>
      </c>
      <c r="BL22" s="1783">
        <f>'B - Monthly Positions'!H22</f>
        <v>0</v>
      </c>
      <c r="BM22" s="1783">
        <f>'B - Monthly Positions'!I22</f>
        <v>0</v>
      </c>
      <c r="BN22" s="1783">
        <f>'B - Monthly Positions'!J22</f>
        <v>0</v>
      </c>
      <c r="BO22" s="1783">
        <f>'B - Monthly Positions'!K22</f>
        <v>0</v>
      </c>
      <c r="BP22" s="1783">
        <f>'B - Monthly Positions'!L22</f>
        <v>0</v>
      </c>
      <c r="BQ22" s="1783">
        <f>'B - Monthly Positions'!M22</f>
        <v>0</v>
      </c>
      <c r="BR22" s="1783">
        <f>'B - Monthly Positions'!N22</f>
        <v>0</v>
      </c>
      <c r="BS22" s="1783">
        <f>'B - Monthly Positions'!O22</f>
        <v>0</v>
      </c>
      <c r="BT22" s="1782">
        <f>'B - Monthly Positions'!P22</f>
        <v>0</v>
      </c>
      <c r="BU22" s="1782">
        <f>'B - Monthly Positions'!Q22</f>
        <v>0</v>
      </c>
      <c r="BV22" s="1643"/>
      <c r="BW22" s="1875"/>
      <c r="BX22" s="91">
        <f>' Table Z Net Exp Profiles'!A22</f>
        <v>13</v>
      </c>
      <c r="BY22" s="2500" t="str">
        <f>' Table Z Net Exp Profiles'!B22</f>
        <v>Non Delivery of Finalised (M1) Workforce Savings due to Covid-19 - Actual/Forecast (Negative Values)</v>
      </c>
      <c r="BZ22" s="2501">
        <f>' Table Z Net Exp Profiles'!C22</f>
        <v>0</v>
      </c>
      <c r="CA22" s="1189">
        <f>' Table Z Net Exp Profiles'!D22</f>
        <v>0</v>
      </c>
      <c r="CB22" s="1189">
        <f>' Table Z Net Exp Profiles'!E22</f>
        <v>0</v>
      </c>
      <c r="CC22" s="1189">
        <f>' Table Z Net Exp Profiles'!F22</f>
        <v>0</v>
      </c>
      <c r="CD22" s="1189">
        <f>' Table Z Net Exp Profiles'!G22</f>
        <v>0</v>
      </c>
      <c r="CE22" s="1189">
        <f>' Table Z Net Exp Profiles'!H22</f>
        <v>0</v>
      </c>
      <c r="CF22" s="1189">
        <f>' Table Z Net Exp Profiles'!I22</f>
        <v>0</v>
      </c>
      <c r="CG22" s="1189">
        <f>' Table Z Net Exp Profiles'!J22</f>
        <v>0</v>
      </c>
      <c r="CH22" s="1189">
        <f>' Table Z Net Exp Profiles'!K22</f>
        <v>0</v>
      </c>
      <c r="CI22" s="1189">
        <f>' Table Z Net Exp Profiles'!L22</f>
        <v>0</v>
      </c>
      <c r="CJ22" s="1189">
        <f>' Table Z Net Exp Profiles'!M22</f>
        <v>0</v>
      </c>
      <c r="CK22" s="1189">
        <f>' Table Z Net Exp Profiles'!N22</f>
        <v>0</v>
      </c>
      <c r="CL22" s="1692">
        <f>' Table Z Net Exp Profiles'!O22</f>
        <v>0</v>
      </c>
      <c r="CM22" s="1692">
        <f>' Table Z Net Exp Profiles'!P22</f>
        <v>0</v>
      </c>
      <c r="CO22" s="80"/>
      <c r="CP22" s="80"/>
      <c r="CQ22" s="80"/>
      <c r="CR22" s="80"/>
      <c r="CS22" s="80"/>
      <c r="CT22" s="80"/>
      <c r="CU22" s="80"/>
      <c r="CV22" s="80"/>
      <c r="CW22" s="80"/>
      <c r="CX22" s="80"/>
      <c r="CY22" s="80"/>
      <c r="CZ22" s="80"/>
      <c r="DA22" s="80"/>
      <c r="DB22" s="80"/>
      <c r="DC22" s="80"/>
      <c r="DD22" s="608"/>
      <c r="DF22" s="2852">
        <f>'B3 - COVID-19'!A22</f>
        <v>15</v>
      </c>
      <c r="DG22" s="2845" t="str">
        <f>'B3 - COVID-19'!B22</f>
        <v>Secondary Care - Drugs</v>
      </c>
      <c r="DH22" s="1330">
        <f>'B3 - COVID-19'!C22</f>
        <v>0</v>
      </c>
      <c r="DI22" s="1330">
        <f>'B3 - COVID-19'!D22</f>
        <v>0</v>
      </c>
      <c r="DJ22" s="1330">
        <f>'B3 - COVID-19'!E22</f>
        <v>0</v>
      </c>
      <c r="DK22" s="1330">
        <f>'B3 - COVID-19'!F22</f>
        <v>0</v>
      </c>
      <c r="DL22" s="1330">
        <f>'B3 - COVID-19'!G22</f>
        <v>0</v>
      </c>
      <c r="DM22" s="1330">
        <f>'B3 - COVID-19'!H22</f>
        <v>0</v>
      </c>
      <c r="DN22" s="1330">
        <f>'B3 - COVID-19'!I22</f>
        <v>0</v>
      </c>
      <c r="DO22" s="1330">
        <f>'B3 - COVID-19'!J22</f>
        <v>0</v>
      </c>
      <c r="DP22" s="1330">
        <f>'B3 - COVID-19'!K22</f>
        <v>0</v>
      </c>
      <c r="DQ22" s="1330">
        <f>'B3 - COVID-19'!L22</f>
        <v>0</v>
      </c>
      <c r="DR22" s="1330">
        <f>'B3 - COVID-19'!M22</f>
        <v>0</v>
      </c>
      <c r="DS22" s="1330">
        <f>'B3 - COVID-19'!N22</f>
        <v>0</v>
      </c>
      <c r="DT22" s="1863">
        <f>'B3 - COVID-19'!O22</f>
        <v>0</v>
      </c>
      <c r="DU22" s="1863">
        <f>'B3 - COVID-19'!P22</f>
        <v>0</v>
      </c>
      <c r="DV22" s="608"/>
      <c r="DW22" s="1116"/>
      <c r="DY22" s="2111">
        <f>'C, C1, C2&amp; C3 - Savings Schemes'!A22</f>
        <v>10</v>
      </c>
      <c r="DZ22" s="3038" t="str">
        <f>'C, C1, C2&amp; C3 - Savings Schemes'!B22</f>
        <v>Non Pay</v>
      </c>
      <c r="EA22" s="87" t="str">
        <f>'C, C1, C2&amp; C3 - Savings Schemes'!C22</f>
        <v>Budget/Plan</v>
      </c>
      <c r="EB22" s="1790">
        <f>'C, C1, C2&amp; C3 - Savings Schemes'!D22</f>
        <v>454.5</v>
      </c>
      <c r="EC22" s="1790">
        <f>'C, C1, C2&amp; C3 - Savings Schemes'!E22</f>
        <v>118.5</v>
      </c>
      <c r="ED22" s="1790">
        <f>'C, C1, C2&amp; C3 - Savings Schemes'!F22</f>
        <v>118.5</v>
      </c>
      <c r="EE22" s="1790">
        <f>'C, C1, C2&amp; C3 - Savings Schemes'!G22</f>
        <v>118.5</v>
      </c>
      <c r="EF22" s="1790">
        <f>'C, C1, C2&amp; C3 - Savings Schemes'!H22</f>
        <v>118.5</v>
      </c>
      <c r="EG22" s="1790">
        <f>'C, C1, C2&amp; C3 - Savings Schemes'!I22</f>
        <v>118.5</v>
      </c>
      <c r="EH22" s="1790">
        <f>'C, C1, C2&amp; C3 - Savings Schemes'!J22</f>
        <v>118.5</v>
      </c>
      <c r="EI22" s="1790">
        <f>'C, C1, C2&amp; C3 - Savings Schemes'!K22</f>
        <v>118.5</v>
      </c>
      <c r="EJ22" s="1790">
        <f>'C, C1, C2&amp; C3 - Savings Schemes'!L22</f>
        <v>118.5</v>
      </c>
      <c r="EK22" s="1790">
        <f>'C, C1, C2&amp; C3 - Savings Schemes'!M22</f>
        <v>118.5</v>
      </c>
      <c r="EL22" s="1790">
        <f>'C, C1, C2&amp; C3 - Savings Schemes'!N22</f>
        <v>118.5</v>
      </c>
      <c r="EM22" s="1790">
        <f>'C, C1, C2&amp; C3 - Savings Schemes'!O22</f>
        <v>118.5</v>
      </c>
      <c r="EN22" s="73">
        <f>'C, C1, C2&amp; C3 - Savings Schemes'!P22</f>
        <v>454.5</v>
      </c>
      <c r="EO22" s="938">
        <f>'C, C1, C2&amp; C3 - Savings Schemes'!Q22</f>
        <v>1758</v>
      </c>
      <c r="EP22" s="2080"/>
      <c r="EQ22" s="2081"/>
      <c r="ER22" s="2081"/>
      <c r="ES22" s="2081"/>
      <c r="ET22" s="2081"/>
      <c r="EU22" s="608"/>
      <c r="EV22" s="594"/>
      <c r="EW22" s="1932"/>
      <c r="EX22" s="3074"/>
      <c r="EY22" s="1700" t="str">
        <f>'Table C4 Tracker'!B22</f>
        <v>Variance</v>
      </c>
      <c r="EZ22" s="1109">
        <f>'Table C4 Tracker'!C22</f>
        <v>0</v>
      </c>
      <c r="FA22" s="1703">
        <f>'Table C4 Tracker'!D22</f>
        <v>0</v>
      </c>
      <c r="FB22" s="1703">
        <f>'Table C4 Tracker'!E22</f>
        <v>0</v>
      </c>
      <c r="FC22" s="1703">
        <f>'Table C4 Tracker'!F22</f>
        <v>0</v>
      </c>
      <c r="FD22" s="1703">
        <f>'Table C4 Tracker'!G22</f>
        <v>0</v>
      </c>
      <c r="FE22" s="1703">
        <f>'Table C4 Tracker'!H22</f>
        <v>0</v>
      </c>
      <c r="FF22" s="1703">
        <f>'Table C4 Tracker'!I22</f>
        <v>0</v>
      </c>
      <c r="FG22" s="1703">
        <f>'Table C4 Tracker'!J22</f>
        <v>0</v>
      </c>
      <c r="FH22" s="1703">
        <f>'Table C4 Tracker'!K22</f>
        <v>0</v>
      </c>
      <c r="FI22" s="1703">
        <f>'Table C4 Tracker'!L22</f>
        <v>0</v>
      </c>
      <c r="FJ22" s="1703">
        <f>'Table C4 Tracker'!M22</f>
        <v>0</v>
      </c>
      <c r="FK22" s="1703">
        <f>'Table C4 Tracker'!N22</f>
        <v>0</v>
      </c>
      <c r="FL22" s="1710">
        <f>'Table C4 Tracker'!O22</f>
        <v>0</v>
      </c>
      <c r="FM22" s="1701">
        <f>'Table C4 Tracker'!P22</f>
        <v>0</v>
      </c>
      <c r="FN22" s="1702">
        <f>'Table C4 Tracker'!Q22</f>
        <v>0</v>
      </c>
      <c r="FO22" s="1710">
        <f>'Table C4 Tracker'!R22</f>
        <v>0</v>
      </c>
      <c r="FP22" s="1710">
        <f>'Table C4 Tracker'!S22</f>
        <v>0</v>
      </c>
      <c r="FQ22" s="1710">
        <f>'Table C4 Tracker'!T22</f>
        <v>0</v>
      </c>
      <c r="FR22" s="1710">
        <f>'Table C4 Tracker'!U22</f>
        <v>0</v>
      </c>
      <c r="FS22" s="1957"/>
      <c r="FU22" s="2045">
        <f>'D - Welsh NHS Assumptions'!A22</f>
        <v>12</v>
      </c>
      <c r="FV22" s="2083" t="str">
        <f>'D - Welsh NHS Assumptions'!B22</f>
        <v>Wales Ambulance Services</v>
      </c>
      <c r="FW22" s="2069">
        <f>'D - Welsh NHS Assumptions'!C22</f>
        <v>0</v>
      </c>
      <c r="FX22" s="2069">
        <f>'D - Welsh NHS Assumptions'!D22</f>
        <v>34</v>
      </c>
      <c r="FY22" s="2048">
        <f>'D - Welsh NHS Assumptions'!E22</f>
        <v>34</v>
      </c>
      <c r="FZ22" s="1745"/>
      <c r="GA22" s="2069">
        <f>'D - Welsh NHS Assumptions'!G22</f>
        <v>49</v>
      </c>
      <c r="GB22" s="2069">
        <f>'D - Welsh NHS Assumptions'!H22</f>
        <v>0</v>
      </c>
      <c r="GC22" s="2048">
        <f>'D - Welsh NHS Assumptions'!I22</f>
        <v>49</v>
      </c>
      <c r="GD22" s="1745"/>
      <c r="GF22" s="2112">
        <f>'E - Resource Limits'!A22</f>
        <v>10</v>
      </c>
      <c r="GG22" s="2113" t="str">
        <f>'E - Resource Limits'!B22</f>
        <v>AME Non Cash Depreciation - Impairment</v>
      </c>
      <c r="GH22" s="2114">
        <f>'E - Resource Limits'!C22</f>
        <v>0</v>
      </c>
      <c r="GI22" s="2114">
        <f>'E - Resource Limits'!D22</f>
        <v>0</v>
      </c>
      <c r="GJ22" s="2114">
        <f>'E - Resource Limits'!E22</f>
        <v>0</v>
      </c>
      <c r="GK22" s="2114">
        <f>'E - Resource Limits'!F22</f>
        <v>0</v>
      </c>
      <c r="GL22" s="2048">
        <f>'E - Resource Limits'!G22</f>
        <v>0</v>
      </c>
      <c r="GM22" s="2115">
        <f>'E - Resource Limits'!H22</f>
        <v>0</v>
      </c>
      <c r="GN22" s="2114">
        <f>'E - Resource Limits'!I22</f>
        <v>0</v>
      </c>
      <c r="GO22" s="2114">
        <f>'E - Resource Limits'!J22</f>
        <v>0</v>
      </c>
      <c r="GP22" s="2114">
        <f>'E - Resource Limits'!K22</f>
        <v>0</v>
      </c>
      <c r="GQ22" s="2116">
        <f>'E - Resource Limits'!L22</f>
        <v>0</v>
      </c>
      <c r="GR22" s="1935">
        <f t="shared" si="6"/>
        <v>0</v>
      </c>
      <c r="GT22" s="175">
        <f>'E1 - Invoiced Income'!A22</f>
        <v>11</v>
      </c>
      <c r="GU22" s="1797" t="str">
        <f>'E1 - Invoiced Income'!B22</f>
        <v>Total COVID-19 (see below analysis)</v>
      </c>
      <c r="GV22" s="1798">
        <f>'E1 - Invoiced Income'!C22</f>
        <v>0</v>
      </c>
      <c r="GW22" s="1798">
        <f>'E1 - Invoiced Income'!D22</f>
        <v>0</v>
      </c>
      <c r="GX22" s="1798">
        <f>'E1 - Invoiced Income'!E22</f>
        <v>0</v>
      </c>
      <c r="GY22" s="1798">
        <f>'E1 - Invoiced Income'!F22</f>
        <v>0</v>
      </c>
      <c r="GZ22" s="1798">
        <f>'E1 - Invoiced Income'!G22</f>
        <v>0</v>
      </c>
      <c r="HA22" s="1798">
        <f>'E1 - Invoiced Income'!H22</f>
        <v>0</v>
      </c>
      <c r="HB22" s="1798">
        <f>'E1 - Invoiced Income'!I22</f>
        <v>0</v>
      </c>
      <c r="HC22" s="1798">
        <f>'E1 - Invoiced Income'!J22</f>
        <v>0</v>
      </c>
      <c r="HD22" s="1798">
        <f>'E1 - Invoiced Income'!K22</f>
        <v>0</v>
      </c>
      <c r="HE22" s="1798">
        <f>'E1 - Invoiced Income'!L22</f>
        <v>0</v>
      </c>
      <c r="HF22" s="1798">
        <f>'E1 - Invoiced Income'!M22</f>
        <v>0</v>
      </c>
      <c r="HG22" s="1798">
        <f>'E1 - Invoiced Income'!N22</f>
        <v>0</v>
      </c>
      <c r="HH22" s="1798">
        <f>'E1 - Invoiced Income'!O22</f>
        <v>0</v>
      </c>
      <c r="HI22" s="1798">
        <f>'E1 - Invoiced Income'!P22</f>
        <v>16930</v>
      </c>
      <c r="HJ22" s="1798">
        <f>'E1 - Invoiced Income'!R22</f>
        <v>0</v>
      </c>
      <c r="HK22" s="1798">
        <f>'E1 - Invoiced Income'!S22</f>
        <v>0</v>
      </c>
      <c r="HL22" s="1665">
        <f>'E1 - Invoiced Income'!T22</f>
        <v>16930</v>
      </c>
      <c r="HM22" s="2596" t="str">
        <f>'E1 - Invoiced Income'!U22</f>
        <v>See below analysis</v>
      </c>
      <c r="HO22" s="2084">
        <f>'F - SoFP'!A22</f>
        <v>12</v>
      </c>
      <c r="HP22" s="2131" t="str">
        <f>'F - SoFP'!B22</f>
        <v>TOTAL ASSETS</v>
      </c>
      <c r="HQ22" s="2037">
        <f>'F - SoFP'!C22</f>
        <v>0</v>
      </c>
      <c r="HR22" s="2026">
        <f>'F - SoFP'!D22</f>
        <v>0</v>
      </c>
      <c r="HS22" s="2026">
        <f>'F - SoFP'!E22</f>
        <v>0</v>
      </c>
      <c r="HT22" s="1946"/>
      <c r="HV22" s="2132"/>
      <c r="HW22" s="2133" t="str">
        <f>'G - Cash Flow'!B22</f>
        <v>PAYMENTS</v>
      </c>
      <c r="HX22" s="2134"/>
      <c r="HY22" s="2134"/>
      <c r="HZ22" s="2134"/>
      <c r="IA22" s="2134"/>
      <c r="IB22" s="2134"/>
      <c r="IC22" s="2134"/>
      <c r="ID22" s="2134"/>
      <c r="IE22" s="2135"/>
      <c r="IF22" s="2135"/>
      <c r="IG22" s="2135"/>
      <c r="IH22" s="2135"/>
      <c r="II22" s="2135"/>
      <c r="IJ22" s="2135"/>
      <c r="IK22" s="1942"/>
      <c r="IM22" s="1745"/>
      <c r="IN22" s="1745"/>
      <c r="IO22" s="1745"/>
      <c r="IP22" s="1745"/>
      <c r="IQ22" s="1745"/>
      <c r="IR22" s="1745"/>
      <c r="IS22" s="1745"/>
      <c r="IT22" s="1745"/>
      <c r="IU22" s="1745"/>
      <c r="IV22" s="1745"/>
      <c r="IW22" s="1745"/>
      <c r="IX22" s="1745"/>
      <c r="IY22" s="1745"/>
      <c r="IZ22" s="1745"/>
      <c r="JA22" s="1745"/>
      <c r="JB22" s="1745"/>
      <c r="JD22" s="2088">
        <f>'I - Capital RLM'!A22</f>
        <v>4</v>
      </c>
      <c r="JE22" s="2126">
        <f>'I - Capital RLM'!B22</f>
        <v>0</v>
      </c>
      <c r="JF22" s="2010">
        <f>'I - Capital RLM'!C22</f>
        <v>0</v>
      </c>
      <c r="JG22" s="2010">
        <f>'I - Capital RLM'!D22</f>
        <v>0</v>
      </c>
      <c r="JH22" s="2118">
        <f>'I - Capital RLM'!E22</f>
        <v>0</v>
      </c>
      <c r="JI22" s="2119">
        <f>'I - Capital RLM'!F22</f>
        <v>0</v>
      </c>
      <c r="JJ22" s="2010">
        <f>'I - Capital RLM'!G22</f>
        <v>0</v>
      </c>
      <c r="JK22" s="2010">
        <f>'I - Capital RLM'!H22</f>
        <v>0</v>
      </c>
      <c r="JL22" s="2118">
        <f>'I - Capital RLM'!I22</f>
        <v>0</v>
      </c>
      <c r="JM22" s="2120"/>
      <c r="JN22" s="1890">
        <f>'I - Capital RLM'!K22</f>
        <v>0</v>
      </c>
      <c r="JO22" s="2120">
        <f t="shared" si="7"/>
        <v>0</v>
      </c>
      <c r="JQ22" s="2088">
        <f>'J - Capital In Year Schemes'!A22</f>
        <v>11</v>
      </c>
      <c r="JR22" s="2089">
        <f>'J - Capital In Year Schemes'!B22</f>
        <v>0</v>
      </c>
      <c r="JS22" s="2089">
        <f>'J - Capital In Year Schemes'!C22</f>
        <v>0</v>
      </c>
      <c r="JT22" s="2010">
        <f>'J - Capital In Year Schemes'!D22</f>
        <v>0</v>
      </c>
      <c r="JU22" s="2010">
        <f>'J - Capital In Year Schemes'!E22</f>
        <v>0</v>
      </c>
      <c r="JV22" s="2010">
        <f>'J - Capital In Year Schemes'!F22</f>
        <v>0</v>
      </c>
      <c r="JW22" s="2010">
        <f>'J - Capital In Year Schemes'!G22</f>
        <v>0</v>
      </c>
      <c r="JX22" s="2010">
        <f>'J - Capital In Year Schemes'!H22</f>
        <v>0</v>
      </c>
      <c r="JY22" s="2010">
        <f>'J - Capital In Year Schemes'!I22</f>
        <v>0</v>
      </c>
      <c r="JZ22" s="2010">
        <f>'J - Capital In Year Schemes'!J22</f>
        <v>0</v>
      </c>
      <c r="KA22" s="2010">
        <f>'J - Capital In Year Schemes'!K22</f>
        <v>0</v>
      </c>
      <c r="KB22" s="2010">
        <f>'J - Capital In Year Schemes'!L22</f>
        <v>0</v>
      </c>
      <c r="KC22" s="2010">
        <f>'J - Capital In Year Schemes'!M22</f>
        <v>0</v>
      </c>
      <c r="KD22" s="2010">
        <f>'J - Capital In Year Schemes'!N22</f>
        <v>0</v>
      </c>
      <c r="KE22" s="2010">
        <f>'J - Capital In Year Schemes'!O22</f>
        <v>0</v>
      </c>
      <c r="KF22" s="2010">
        <f>'J - Capital In Year Schemes'!P22</f>
        <v>0</v>
      </c>
      <c r="KG22" s="2010">
        <f>'J - Capital In Year Schemes'!Q22</f>
        <v>0</v>
      </c>
      <c r="KH22" s="2090">
        <f>'J - Capital In Year Schemes'!R22</f>
        <v>0</v>
      </c>
      <c r="KI22" s="2090">
        <f>'J - Capital In Year Schemes'!S22</f>
        <v>0</v>
      </c>
      <c r="KJ22" s="2091">
        <f>'J - Capital In Year Schemes'!T22</f>
        <v>0</v>
      </c>
      <c r="KK22" s="2060">
        <f t="shared" si="5"/>
        <v>0</v>
      </c>
      <c r="KM22" s="2053">
        <f>'K - Capital Disposals'!A22</f>
        <v>12</v>
      </c>
      <c r="KN22" s="2077">
        <f>'K - Capital Disposals'!B22</f>
        <v>0</v>
      </c>
      <c r="KO22" s="2062">
        <f>'K - Capital Disposals'!C22</f>
        <v>0</v>
      </c>
      <c r="KP22" s="2062">
        <f>'K - Capital Disposals'!D22</f>
        <v>0</v>
      </c>
      <c r="KQ22" s="2078">
        <f>'K - Capital Disposals'!E22</f>
        <v>0</v>
      </c>
      <c r="KR22" s="2064">
        <f>'K - Capital Disposals'!F22</f>
        <v>0</v>
      </c>
      <c r="KS22" s="2064">
        <f>'K - Capital Disposals'!G22</f>
        <v>0</v>
      </c>
      <c r="KT22" s="2054">
        <f>'K - Capital Disposals'!H22</f>
        <v>0</v>
      </c>
      <c r="KU22" s="2055">
        <f>'K - Capital Disposals'!I22</f>
        <v>0</v>
      </c>
      <c r="KV22" s="3100">
        <f>'K - Capital Disposals'!J22</f>
        <v>0</v>
      </c>
      <c r="KW22" s="3095"/>
      <c r="KX22" s="3095"/>
      <c r="KY22" s="3095"/>
      <c r="KZ22" s="3095"/>
      <c r="LA22" s="3095"/>
      <c r="LB22" s="3096"/>
      <c r="LC22" s="1935"/>
      <c r="LE22" s="2136"/>
      <c r="LF22" s="2137" t="str">
        <f>'L - EFL'!B22</f>
        <v>MOVEMENTS IN WORKING CAPITAL</v>
      </c>
      <c r="LG22" s="2138"/>
      <c r="LH22" s="2138"/>
      <c r="LI22" s="2139"/>
      <c r="LJ22" s="2138"/>
      <c r="LL22" s="814"/>
      <c r="LM22" s="2140">
        <f>'M - Aged Debtors'!B22</f>
        <v>0</v>
      </c>
      <c r="LN22" s="2141">
        <f>'M - Aged Debtors'!C22</f>
        <v>0</v>
      </c>
      <c r="LO22" s="2142">
        <f>'M - Aged Debtors'!D22</f>
        <v>0</v>
      </c>
      <c r="LP22" s="2143">
        <f>'M - Aged Debtors'!E22</f>
        <v>0</v>
      </c>
      <c r="LQ22" s="2144">
        <f>'M - Aged Debtors'!F22</f>
        <v>0</v>
      </c>
      <c r="LR22" s="2145" t="str">
        <f>'M - Aged Debtors'!G22</f>
        <v/>
      </c>
      <c r="LS22" s="829" t="str">
        <f>'M - Aged Debtors'!H22</f>
        <v/>
      </c>
      <c r="LT22" s="829" t="str">
        <f>'M - Aged Debtors'!I22</f>
        <v/>
      </c>
      <c r="LU22" s="830" t="str">
        <f>'M - Aged Debtors'!J22</f>
        <v/>
      </c>
      <c r="LV22" s="1757">
        <f>'M - Aged Debtors'!K22</f>
        <v>0</v>
      </c>
      <c r="LX22" s="464" t="str">
        <f>'N - GMS'!A22</f>
        <v>Local Enhanced Services         (To equal data in Section A (iii) Line 94)</v>
      </c>
      <c r="LY22" s="452"/>
      <c r="LZ22" s="453">
        <f>'N - GMS'!C22</f>
        <v>10</v>
      </c>
      <c r="MA22" s="68">
        <f>'N - GMS'!D22</f>
        <v>0</v>
      </c>
      <c r="MB22" s="1812">
        <f>'N - GMS'!E22</f>
        <v>0</v>
      </c>
      <c r="MC22" s="1812">
        <f>'N - GMS'!F22</f>
        <v>0</v>
      </c>
      <c r="MD22" s="463">
        <f>'N - GMS'!G22</f>
        <v>0</v>
      </c>
      <c r="ME22" s="215"/>
      <c r="MF22" s="1813">
        <f>'N - GMS'!I22</f>
        <v>0</v>
      </c>
      <c r="MH22" s="707"/>
      <c r="MI22" s="373"/>
      <c r="MJ22" s="373"/>
      <c r="MK22" s="669"/>
      <c r="ML22" s="669"/>
      <c r="MM22" s="669"/>
      <c r="MN22" s="669"/>
      <c r="MO22" s="308"/>
      <c r="MP22" s="669"/>
      <c r="MR22" s="684"/>
      <c r="MS22" s="3033" t="str">
        <f>'P - Ringfenced'!B22</f>
        <v>Critical Care Funding (£18.7m)</v>
      </c>
      <c r="MT22" s="1101" t="str">
        <f>'P - Ringfenced'!C22</f>
        <v>Plan</v>
      </c>
      <c r="MU22" s="2655">
        <f>'P - Ringfenced'!D22</f>
        <v>0</v>
      </c>
      <c r="MV22" s="2655">
        <f>'P - Ringfenced'!E22</f>
        <v>0</v>
      </c>
      <c r="MW22" s="2693">
        <f>'P - Ringfenced'!F22</f>
        <v>0</v>
      </c>
      <c r="MX22" s="2693">
        <f>'P - Ringfenced'!G22</f>
        <v>0</v>
      </c>
      <c r="MY22" s="2693">
        <f>'P - Ringfenced'!H22</f>
        <v>0</v>
      </c>
      <c r="MZ22" s="2693">
        <f>'P - Ringfenced'!I22</f>
        <v>0</v>
      </c>
      <c r="NA22" s="2693">
        <f>'P - Ringfenced'!J22</f>
        <v>0</v>
      </c>
      <c r="NB22" s="2693">
        <f>'P - Ringfenced'!K22</f>
        <v>0</v>
      </c>
      <c r="NC22" s="2693">
        <f>'P - Ringfenced'!L22</f>
        <v>0</v>
      </c>
      <c r="ND22" s="2693">
        <f>'P - Ringfenced'!M22</f>
        <v>0</v>
      </c>
      <c r="NE22" s="2693">
        <f>'P - Ringfenced'!N22</f>
        <v>0</v>
      </c>
      <c r="NF22" s="2693">
        <f>'P - Ringfenced'!O22</f>
        <v>0</v>
      </c>
      <c r="NG22" s="2693">
        <f>'P - Ringfenced'!P22</f>
        <v>0</v>
      </c>
      <c r="NH22" s="2695">
        <f>'P - Ringfenced'!Q22</f>
        <v>0</v>
      </c>
      <c r="NI22" s="1324">
        <f>'P - Ringfenced'!R22</f>
        <v>0</v>
      </c>
      <c r="NJ22" s="1325">
        <f>'P - Ringfenced'!S22</f>
        <v>0</v>
      </c>
      <c r="NK22" s="2860"/>
      <c r="NL22" s="684"/>
    </row>
    <row r="23" spans="1:376" ht="20.149999999999999" customHeight="1" thickTop="1" thickBot="1">
      <c r="A23" s="1745"/>
      <c r="B23" s="1745"/>
      <c r="C23" s="1745"/>
      <c r="D23" s="1745"/>
      <c r="E23" s="1745"/>
      <c r="F23" s="1745"/>
      <c r="G23" s="1745"/>
      <c r="H23" s="1745"/>
      <c r="I23" s="1745"/>
      <c r="J23" s="1745"/>
      <c r="K23" s="1745"/>
      <c r="M23" s="950">
        <f>'A - Movement'!A23</f>
        <v>13</v>
      </c>
      <c r="N23" s="991" t="str">
        <f>'A - Movement'!B23</f>
        <v>Planning Assumptions still to be finalised at Month 1</v>
      </c>
      <c r="O23" s="1131">
        <f>'A - Movement'!C23</f>
        <v>0</v>
      </c>
      <c r="P23" s="1131">
        <f>'A - Movement'!D23</f>
        <v>0</v>
      </c>
      <c r="Q23" s="954">
        <f>'A - Movement'!E23</f>
        <v>0</v>
      </c>
      <c r="R23" s="954">
        <f>'A - Movement'!F23</f>
        <v>0</v>
      </c>
      <c r="S23" s="1745"/>
      <c r="T23" s="1928"/>
      <c r="U23" s="950">
        <f>'A - Movement'!I23</f>
        <v>13</v>
      </c>
      <c r="V23" s="991" t="str">
        <f t="shared" si="4"/>
        <v>Planning Assumptions still to be finalised at Month 1</v>
      </c>
      <c r="W23" s="954">
        <f>'A - Movement'!J23</f>
        <v>0</v>
      </c>
      <c r="X23" s="954">
        <f>'A - Movement'!K23</f>
        <v>0</v>
      </c>
      <c r="Y23" s="954">
        <f>'A - Movement'!L23</f>
        <v>0</v>
      </c>
      <c r="Z23" s="954">
        <f>'A - Movement'!M23</f>
        <v>0</v>
      </c>
      <c r="AA23" s="954">
        <f>'A - Movement'!N23</f>
        <v>0</v>
      </c>
      <c r="AB23" s="954">
        <f>'A - Movement'!O23</f>
        <v>0</v>
      </c>
      <c r="AC23" s="954">
        <f>'A - Movement'!P23</f>
        <v>0</v>
      </c>
      <c r="AD23" s="954">
        <f>'A - Movement'!Q23</f>
        <v>0</v>
      </c>
      <c r="AE23" s="954">
        <f>'A - Movement'!R23</f>
        <v>0</v>
      </c>
      <c r="AF23" s="954">
        <f>'A - Movement'!S23</f>
        <v>0</v>
      </c>
      <c r="AG23" s="954">
        <f>'A - Movement'!T23</f>
        <v>0</v>
      </c>
      <c r="AH23" s="954">
        <f>'A - Movement'!U23</f>
        <v>0</v>
      </c>
      <c r="AI23" s="1131">
        <f>'A - Movement'!V23</f>
        <v>0</v>
      </c>
      <c r="AJ23" s="1131">
        <f>'A - Movement'!W23</f>
        <v>0</v>
      </c>
      <c r="AK23" s="1131">
        <f t="shared" si="1"/>
        <v>0</v>
      </c>
      <c r="AL23" s="954">
        <f t="shared" si="2"/>
        <v>0</v>
      </c>
      <c r="AM23" s="954">
        <f t="shared" si="3"/>
        <v>0</v>
      </c>
      <c r="AN23" s="1745"/>
      <c r="AO23" s="1928"/>
      <c r="AP23" s="1403">
        <f>'A1 - Underlying Position'!A24</f>
        <v>13</v>
      </c>
      <c r="AQ23" s="1375" t="str">
        <f>'A1 - Underlying Position'!B24</f>
        <v>Non Pay - Establishment</v>
      </c>
      <c r="AR23" s="1800">
        <f>'A1 - Underlying Position'!C24</f>
        <v>0</v>
      </c>
      <c r="AS23" s="2124">
        <f>'A1 - Underlying Position'!D24</f>
        <v>0</v>
      </c>
      <c r="AT23" s="2124">
        <f>'A1 - Underlying Position'!E24</f>
        <v>0</v>
      </c>
      <c r="AU23" s="75">
        <f>'A1 - Underlying Position'!F24</f>
        <v>0</v>
      </c>
      <c r="AV23" s="2125">
        <f>'A1 - Underlying Position'!G24</f>
        <v>0</v>
      </c>
      <c r="AW23" s="75">
        <f>'A1 - Underlying Position'!H24</f>
        <v>0</v>
      </c>
      <c r="AX23" s="1745"/>
      <c r="AZ23" s="1717">
        <f>'A2 - Risks'!A23</f>
        <v>15</v>
      </c>
      <c r="BA23" s="1806">
        <f>'A2 - Risks'!B23</f>
        <v>0</v>
      </c>
      <c r="BB23" s="1788">
        <f>'A2 - Risks'!C23</f>
        <v>0</v>
      </c>
      <c r="BC23" s="1759">
        <f>'A2 - Risks'!D23</f>
        <v>0</v>
      </c>
      <c r="BE23" s="2146">
        <f>'B - Monthly Positions'!A23</f>
        <v>13</v>
      </c>
      <c r="BF23" s="1373" t="str">
        <f>'B - Monthly Positions'!B23</f>
        <v>Healthcare Services Provided by Other NHS Bodies</v>
      </c>
      <c r="BG23" s="93" t="str">
        <f>'B - Monthly Positions'!C23</f>
        <v>Actual/F'cast</v>
      </c>
      <c r="BH23" s="1810">
        <f>'B - Monthly Positions'!D23</f>
        <v>0</v>
      </c>
      <c r="BI23" s="1810">
        <f>'B - Monthly Positions'!E23</f>
        <v>0</v>
      </c>
      <c r="BJ23" s="1810">
        <f>'B - Monthly Positions'!F23</f>
        <v>0</v>
      </c>
      <c r="BK23" s="1810">
        <f>'B - Monthly Positions'!G23</f>
        <v>0</v>
      </c>
      <c r="BL23" s="1789">
        <f>'B - Monthly Positions'!H23</f>
        <v>0</v>
      </c>
      <c r="BM23" s="1789">
        <f>'B - Monthly Positions'!I23</f>
        <v>0</v>
      </c>
      <c r="BN23" s="1789">
        <f>'B - Monthly Positions'!J23</f>
        <v>0</v>
      </c>
      <c r="BO23" s="1789">
        <f>'B - Monthly Positions'!K23</f>
        <v>0</v>
      </c>
      <c r="BP23" s="1789">
        <f>'B - Monthly Positions'!L23</f>
        <v>0</v>
      </c>
      <c r="BQ23" s="1789">
        <f>'B - Monthly Positions'!M23</f>
        <v>0</v>
      </c>
      <c r="BR23" s="1789">
        <f>'B - Monthly Positions'!N23</f>
        <v>0</v>
      </c>
      <c r="BS23" s="1789">
        <f>'B - Monthly Positions'!O23</f>
        <v>0</v>
      </c>
      <c r="BT23" s="1810">
        <f>'B - Monthly Positions'!P23</f>
        <v>0</v>
      </c>
      <c r="BU23" s="1810">
        <f>'B - Monthly Positions'!Q23</f>
        <v>0</v>
      </c>
      <c r="BV23" s="1643"/>
      <c r="BW23" s="1875"/>
      <c r="BX23" s="144">
        <f>' Table Z Net Exp Profiles'!A23</f>
        <v>14</v>
      </c>
      <c r="BY23" s="1688" t="str">
        <f>' Table Z Net Exp Profiles'!B23</f>
        <v>Pay Savings Movement Not due to Covid-19</v>
      </c>
      <c r="BZ23" s="1218">
        <f>' Table Z Net Exp Profiles'!C23</f>
        <v>0</v>
      </c>
      <c r="CA23" s="1219">
        <f>' Table Z Net Exp Profiles'!D23</f>
        <v>0</v>
      </c>
      <c r="CB23" s="1219">
        <f>' Table Z Net Exp Profiles'!E23</f>
        <v>0</v>
      </c>
      <c r="CC23" s="1219">
        <f>' Table Z Net Exp Profiles'!F23</f>
        <v>0</v>
      </c>
      <c r="CD23" s="1219">
        <f>' Table Z Net Exp Profiles'!G23</f>
        <v>0</v>
      </c>
      <c r="CE23" s="1219">
        <f>' Table Z Net Exp Profiles'!H23</f>
        <v>0</v>
      </c>
      <c r="CF23" s="1219">
        <f>' Table Z Net Exp Profiles'!I23</f>
        <v>0</v>
      </c>
      <c r="CG23" s="1219">
        <f>' Table Z Net Exp Profiles'!J23</f>
        <v>0</v>
      </c>
      <c r="CH23" s="1219">
        <f>' Table Z Net Exp Profiles'!K23</f>
        <v>0</v>
      </c>
      <c r="CI23" s="1219">
        <f>' Table Z Net Exp Profiles'!L23</f>
        <v>0</v>
      </c>
      <c r="CJ23" s="1219">
        <f>' Table Z Net Exp Profiles'!M23</f>
        <v>0</v>
      </c>
      <c r="CK23" s="1362">
        <f>' Table Z Net Exp Profiles'!N23</f>
        <v>0</v>
      </c>
      <c r="CL23" s="1101">
        <f>' Table Z Net Exp Profiles'!O23</f>
        <v>0</v>
      </c>
      <c r="CM23" s="1101">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2">
        <f>'B3 - COVID-19'!A23</f>
        <v>16</v>
      </c>
      <c r="DG23" s="2845" t="str">
        <f>'B3 - COVID-19'!B23</f>
        <v>Provider - Non Pay (Clinical &amp; General Supplies, Rent, Rates, Equipment etc) Exclude PPE - see A3 - Complete Analysis to the Right</v>
      </c>
      <c r="DH23" s="1330">
        <f>'B3 - COVID-19'!C23</f>
        <v>859.04843000000005</v>
      </c>
      <c r="DI23" s="1330">
        <f>'B3 - COVID-19'!D23</f>
        <v>893.20325773574302</v>
      </c>
      <c r="DJ23" s="1330">
        <f>'B3 - COVID-19'!E23</f>
        <v>1300.8051747442678</v>
      </c>
      <c r="DK23" s="1330">
        <f>'B3 - COVID-19'!F23</f>
        <v>883.70325773574302</v>
      </c>
      <c r="DL23" s="1330">
        <f>'B3 - COVID-19'!G23</f>
        <v>874.20325773574302</v>
      </c>
      <c r="DM23" s="1330">
        <f>'B3 - COVID-19'!H23</f>
        <v>1291.3051747442678</v>
      </c>
      <c r="DN23" s="1330">
        <f>'B3 - COVID-19'!I23</f>
        <v>1110.8900154706657</v>
      </c>
      <c r="DO23" s="1330">
        <f>'B3 - COVID-19'!J23</f>
        <v>1116.1104443264508</v>
      </c>
      <c r="DP23" s="1330">
        <f>'B3 - COVID-19'!K23</f>
        <v>1601.4106404706658</v>
      </c>
      <c r="DQ23" s="1330">
        <f>'B3 - COVID-19'!L23</f>
        <v>1148.8900154706657</v>
      </c>
      <c r="DR23" s="1330">
        <f>'B3 - COVID-19'!M23</f>
        <v>1064.3308731822358</v>
      </c>
      <c r="DS23" s="1330">
        <f>'B3 - COVID-19'!N23</f>
        <v>1544.1690304706658</v>
      </c>
      <c r="DT23" s="1863">
        <f>'B3 - COVID-19'!O23</f>
        <v>859.04843000000005</v>
      </c>
      <c r="DU23" s="1863">
        <f>'B3 - COVID-19'!P23</f>
        <v>13688.069572087115</v>
      </c>
      <c r="DV23" s="608"/>
      <c r="DW23" s="1116"/>
      <c r="DY23" s="2095">
        <f>'C, C1, C2&amp; C3 - Savings Schemes'!A23</f>
        <v>11</v>
      </c>
      <c r="DZ23" s="3039"/>
      <c r="EA23" s="90" t="str">
        <f>'C, C1, C2&amp; C3 - Savings Schemes'!C23</f>
        <v>Actual/F'cast</v>
      </c>
      <c r="EB23" s="1782">
        <f>'C, C1, C2&amp; C3 - Savings Schemes'!D23</f>
        <v>454.5</v>
      </c>
      <c r="EC23" s="1782">
        <f>'C, C1, C2&amp; C3 - Savings Schemes'!E23</f>
        <v>118.5</v>
      </c>
      <c r="ED23" s="1782">
        <f>'C, C1, C2&amp; C3 - Savings Schemes'!F23</f>
        <v>118.5</v>
      </c>
      <c r="EE23" s="1782">
        <f>'C, C1, C2&amp; C3 - Savings Schemes'!G23</f>
        <v>118.5</v>
      </c>
      <c r="EF23" s="1782">
        <f>'C, C1, C2&amp; C3 - Savings Schemes'!H23</f>
        <v>118.5</v>
      </c>
      <c r="EG23" s="1782">
        <f>'C, C1, C2&amp; C3 - Savings Schemes'!I23</f>
        <v>118.5</v>
      </c>
      <c r="EH23" s="1782">
        <f>'C, C1, C2&amp; C3 - Savings Schemes'!J23</f>
        <v>118.5</v>
      </c>
      <c r="EI23" s="1782">
        <f>'C, C1, C2&amp; C3 - Savings Schemes'!K23</f>
        <v>118.5</v>
      </c>
      <c r="EJ23" s="1782">
        <f>'C, C1, C2&amp; C3 - Savings Schemes'!L23</f>
        <v>118.5</v>
      </c>
      <c r="EK23" s="1782">
        <f>'C, C1, C2&amp; C3 - Savings Schemes'!M23</f>
        <v>118.5</v>
      </c>
      <c r="EL23" s="1782">
        <f>'C, C1, C2&amp; C3 - Savings Schemes'!N23</f>
        <v>118.5</v>
      </c>
      <c r="EM23" s="1795">
        <f>'C, C1, C2&amp; C3 - Savings Schemes'!O23</f>
        <v>118.5</v>
      </c>
      <c r="EN23" s="121">
        <f>'C, C1, C2&amp; C3 - Savings Schemes'!P23</f>
        <v>454.5</v>
      </c>
      <c r="EO23" s="940">
        <f>'C, C1, C2&amp; C3 - Savings Schemes'!Q23</f>
        <v>1758</v>
      </c>
      <c r="EP23" s="1167">
        <f>'C, C1, C2&amp; C3 - Savings Schemes'!R23</f>
        <v>0.25853242320819114</v>
      </c>
      <c r="EQ23" s="2096">
        <f>'C, C1, C2&amp; C3 - Savings Schemes'!S23</f>
        <v>1758</v>
      </c>
      <c r="ER23" s="2096">
        <f>'C, C1, C2&amp; C3 - Savings Schemes'!T23</f>
        <v>0</v>
      </c>
      <c r="ES23" s="2096">
        <f>'C, C1, C2&amp; C3 - Savings Schemes'!U23</f>
        <v>661</v>
      </c>
      <c r="ET23" s="2096">
        <f>'C, C1, C2&amp; C3 - Savings Schemes'!V23</f>
        <v>1097</v>
      </c>
      <c r="EU23" s="111"/>
      <c r="EV23" s="1796">
        <f>'C, C1, C2&amp; C3 - Savings Schemes'!X23</f>
        <v>1097</v>
      </c>
      <c r="EW23" s="1932"/>
      <c r="EX23" s="3074"/>
      <c r="EY23" s="1063" t="str">
        <f>'Table C4 Tracker'!B23</f>
        <v>Total Plan</v>
      </c>
      <c r="EZ23" s="1705">
        <f>'Table C4 Tracker'!C23</f>
        <v>0</v>
      </c>
      <c r="FA23" s="1706">
        <f>'Table C4 Tracker'!D23</f>
        <v>0</v>
      </c>
      <c r="FB23" s="1706">
        <f>'Table C4 Tracker'!E23</f>
        <v>0</v>
      </c>
      <c r="FC23" s="1706">
        <f>'Table C4 Tracker'!F23</f>
        <v>0</v>
      </c>
      <c r="FD23" s="1706">
        <f>'Table C4 Tracker'!G23</f>
        <v>0</v>
      </c>
      <c r="FE23" s="1706">
        <f>'Table C4 Tracker'!H23</f>
        <v>0</v>
      </c>
      <c r="FF23" s="1706">
        <f>'Table C4 Tracker'!I23</f>
        <v>0</v>
      </c>
      <c r="FG23" s="1706">
        <f>'Table C4 Tracker'!J23</f>
        <v>0</v>
      </c>
      <c r="FH23" s="1706">
        <f>'Table C4 Tracker'!K23</f>
        <v>0</v>
      </c>
      <c r="FI23" s="1706">
        <f>'Table C4 Tracker'!L23</f>
        <v>0</v>
      </c>
      <c r="FJ23" s="1706">
        <f>'Table C4 Tracker'!M23</f>
        <v>0</v>
      </c>
      <c r="FK23" s="1706">
        <f>'Table C4 Tracker'!N23</f>
        <v>0</v>
      </c>
      <c r="FL23" s="1709">
        <f>'Table C4 Tracker'!O23</f>
        <v>0</v>
      </c>
      <c r="FM23" s="1458">
        <f>'Table C4 Tracker'!P23</f>
        <v>0</v>
      </c>
      <c r="FN23" s="1707">
        <f>'Table C4 Tracker'!Q23</f>
        <v>0</v>
      </c>
      <c r="FO23" s="1709">
        <f>'Table C4 Tracker'!R23</f>
        <v>0</v>
      </c>
      <c r="FP23" s="1709">
        <f>'Table C4 Tracker'!S23</f>
        <v>0</v>
      </c>
      <c r="FQ23" s="1709">
        <f>'Table C4 Tracker'!T23</f>
        <v>0</v>
      </c>
      <c r="FR23" s="1709">
        <f>'Table C4 Tracker'!U23</f>
        <v>0</v>
      </c>
      <c r="FS23" s="1957"/>
      <c r="FU23" s="2045">
        <f>'D - Welsh NHS Assumptions'!A23</f>
        <v>13</v>
      </c>
      <c r="FV23" s="2083" t="str">
        <f>'D - Welsh NHS Assumptions'!B23</f>
        <v>WHSSC</v>
      </c>
      <c r="FW23" s="2069">
        <f>'D - Welsh NHS Assumptions'!C23</f>
        <v>0</v>
      </c>
      <c r="FX23" s="2069">
        <f>'D - Welsh NHS Assumptions'!D23</f>
        <v>190</v>
      </c>
      <c r="FY23" s="2048">
        <f>'D - Welsh NHS Assumptions'!E23</f>
        <v>190</v>
      </c>
      <c r="FZ23" s="1745"/>
      <c r="GA23" s="2069">
        <f>'D - Welsh NHS Assumptions'!G23</f>
        <v>0</v>
      </c>
      <c r="GB23" s="2069">
        <f>'D - Welsh NHS Assumptions'!H23</f>
        <v>144</v>
      </c>
      <c r="GC23" s="2048">
        <f>'D - Welsh NHS Assumptions'!I23</f>
        <v>144</v>
      </c>
      <c r="GD23" s="1745"/>
      <c r="GF23" s="2112">
        <f>'E - Resource Limits'!A23</f>
        <v>11</v>
      </c>
      <c r="GG23" s="2113" t="str">
        <f>'E - Resource Limits'!B23</f>
        <v>AME Non Cash Depreciation - Impairment Reversals</v>
      </c>
      <c r="GH23" s="2114">
        <f>'E - Resource Limits'!C23</f>
        <v>0</v>
      </c>
      <c r="GI23" s="2114">
        <f>'E - Resource Limits'!D23</f>
        <v>0</v>
      </c>
      <c r="GJ23" s="2114">
        <f>'E - Resource Limits'!E23</f>
        <v>0</v>
      </c>
      <c r="GK23" s="2114">
        <f>'E - Resource Limits'!F23</f>
        <v>0</v>
      </c>
      <c r="GL23" s="2048">
        <f>'E - Resource Limits'!G23</f>
        <v>0</v>
      </c>
      <c r="GM23" s="2115">
        <f>'E - Resource Limits'!H23</f>
        <v>0</v>
      </c>
      <c r="GN23" s="2114">
        <f>'E - Resource Limits'!I23</f>
        <v>0</v>
      </c>
      <c r="GO23" s="2114">
        <f>'E - Resource Limits'!J23</f>
        <v>0</v>
      </c>
      <c r="GP23" s="2114">
        <f>'E - Resource Limits'!K23</f>
        <v>0</v>
      </c>
      <c r="GQ23" s="2116">
        <f>'E - Resource Limits'!L23</f>
        <v>0</v>
      </c>
      <c r="GR23" s="1935">
        <f t="shared" si="6"/>
        <v>0</v>
      </c>
      <c r="GT23" s="175">
        <f>'E1 - Invoiced Income'!A23</f>
        <v>12</v>
      </c>
      <c r="GU23" s="1797" t="str">
        <f>'E1 - Invoiced Income'!B23</f>
        <v>Removal of IFRS-16 Leases (Revenue)</v>
      </c>
      <c r="GV23" s="1798">
        <f>'E1 - Invoiced Income'!C23</f>
        <v>0</v>
      </c>
      <c r="GW23" s="1798">
        <f>'E1 - Invoiced Income'!D23</f>
        <v>0</v>
      </c>
      <c r="GX23" s="1798">
        <f>'E1 - Invoiced Income'!E23</f>
        <v>0</v>
      </c>
      <c r="GY23" s="1798">
        <f>'E1 - Invoiced Income'!F23</f>
        <v>0</v>
      </c>
      <c r="GZ23" s="1798">
        <f>'E1 - Invoiced Income'!G23</f>
        <v>0</v>
      </c>
      <c r="HA23" s="1798">
        <f>'E1 - Invoiced Income'!H23</f>
        <v>0</v>
      </c>
      <c r="HB23" s="1798">
        <f>'E1 - Invoiced Income'!I23</f>
        <v>0</v>
      </c>
      <c r="HC23" s="1798">
        <f>'E1 - Invoiced Income'!J23</f>
        <v>0</v>
      </c>
      <c r="HD23" s="1798">
        <f>'E1 - Invoiced Income'!K23</f>
        <v>0</v>
      </c>
      <c r="HE23" s="1798">
        <f>'E1 - Invoiced Income'!L23</f>
        <v>0</v>
      </c>
      <c r="HF23" s="1798">
        <f>'E1 - Invoiced Income'!M23</f>
        <v>0</v>
      </c>
      <c r="HG23" s="1798">
        <f>'E1 - Invoiced Income'!N23</f>
        <v>0</v>
      </c>
      <c r="HH23" s="1798">
        <f>'E1 - Invoiced Income'!O23</f>
        <v>0</v>
      </c>
      <c r="HI23" s="1798">
        <f>'E1 - Invoiced Income'!P23</f>
        <v>0</v>
      </c>
      <c r="HJ23" s="1798">
        <f>'E1 - Invoiced Income'!R23</f>
        <v>0</v>
      </c>
      <c r="HK23" s="1798">
        <f>'E1 - Invoiced Income'!S23</f>
        <v>0</v>
      </c>
      <c r="HL23" s="1665">
        <f>'E1 - Invoiced Income'!T23</f>
        <v>0</v>
      </c>
      <c r="HM23" s="1799">
        <f>'E1 - Invoiced Income'!U23</f>
        <v>0</v>
      </c>
      <c r="HO23" s="2049"/>
      <c r="HP23" s="2147"/>
      <c r="HQ23" s="2097"/>
      <c r="HR23" s="2098"/>
      <c r="HS23" s="2098"/>
      <c r="HT23" s="1946"/>
      <c r="HV23" s="2148">
        <f>'G - Cash Flow'!A23</f>
        <v>12</v>
      </c>
      <c r="HW23" s="2149" t="str">
        <f>'G - Cash Flow'!B23</f>
        <v>Primary Care Services : General Medical Services</v>
      </c>
      <c r="HX23" s="2064">
        <f>'G - Cash Flow'!C23</f>
        <v>0</v>
      </c>
      <c r="HY23" s="2064">
        <f>'G - Cash Flow'!D23</f>
        <v>0</v>
      </c>
      <c r="HZ23" s="2064">
        <f>'G - Cash Flow'!E23</f>
        <v>0</v>
      </c>
      <c r="IA23" s="2064">
        <f>'G - Cash Flow'!F23</f>
        <v>0</v>
      </c>
      <c r="IB23" s="2064">
        <f>'G - Cash Flow'!G23</f>
        <v>0</v>
      </c>
      <c r="IC23" s="2064">
        <f>'G - Cash Flow'!H23</f>
        <v>0</v>
      </c>
      <c r="ID23" s="2064">
        <f>'G - Cash Flow'!I23</f>
        <v>0</v>
      </c>
      <c r="IE23" s="2064">
        <f>'G - Cash Flow'!J23</f>
        <v>0</v>
      </c>
      <c r="IF23" s="2064">
        <f>'G - Cash Flow'!K23</f>
        <v>0</v>
      </c>
      <c r="IG23" s="2064">
        <f>'G - Cash Flow'!L23</f>
        <v>0</v>
      </c>
      <c r="IH23" s="2064">
        <f>'G - Cash Flow'!M23</f>
        <v>0</v>
      </c>
      <c r="II23" s="2064">
        <f>'G - Cash Flow'!N23</f>
        <v>0</v>
      </c>
      <c r="IJ23" s="2150">
        <f>'G - Cash Flow'!O23</f>
        <v>0</v>
      </c>
      <c r="IK23" s="1942"/>
      <c r="IM23" s="1745"/>
      <c r="IN23" s="1745"/>
      <c r="IO23" s="1745"/>
      <c r="IP23" s="1745"/>
      <c r="IQ23" s="1745"/>
      <c r="IR23" s="1745"/>
      <c r="IS23" s="1745"/>
      <c r="IT23" s="1745"/>
      <c r="IU23" s="1745"/>
      <c r="IV23" s="1745"/>
      <c r="IW23" s="1745"/>
      <c r="IX23" s="1745"/>
      <c r="IY23" s="1745"/>
      <c r="IZ23" s="1745"/>
      <c r="JA23" s="1745"/>
      <c r="JB23" s="1745"/>
      <c r="JD23" s="2088">
        <f>'I - Capital RLM'!A23</f>
        <v>5</v>
      </c>
      <c r="JE23" s="2126">
        <f>'I - Capital RLM'!B23</f>
        <v>0</v>
      </c>
      <c r="JF23" s="2010">
        <f>'I - Capital RLM'!C23</f>
        <v>0</v>
      </c>
      <c r="JG23" s="2010">
        <f>'I - Capital RLM'!D23</f>
        <v>0</v>
      </c>
      <c r="JH23" s="2118">
        <f>'I - Capital RLM'!E23</f>
        <v>0</v>
      </c>
      <c r="JI23" s="2119">
        <f>'I - Capital RLM'!F23</f>
        <v>0</v>
      </c>
      <c r="JJ23" s="2010">
        <f>'I - Capital RLM'!G23</f>
        <v>0</v>
      </c>
      <c r="JK23" s="2010">
        <f>'I - Capital RLM'!H23</f>
        <v>0</v>
      </c>
      <c r="JL23" s="2118">
        <f>'I - Capital RLM'!I23</f>
        <v>0</v>
      </c>
      <c r="JM23" s="2120"/>
      <c r="JN23" s="1890">
        <f>'I - Capital RLM'!K23</f>
        <v>0</v>
      </c>
      <c r="JO23" s="2120">
        <f t="shared" si="7"/>
        <v>0</v>
      </c>
      <c r="JQ23" s="2088">
        <f>'J - Capital In Year Schemes'!A23</f>
        <v>12</v>
      </c>
      <c r="JR23" s="2089">
        <f>'J - Capital In Year Schemes'!B23</f>
        <v>0</v>
      </c>
      <c r="JS23" s="2089">
        <f>'J - Capital In Year Schemes'!C23</f>
        <v>0</v>
      </c>
      <c r="JT23" s="2010">
        <f>'J - Capital In Year Schemes'!D23</f>
        <v>0</v>
      </c>
      <c r="JU23" s="2010">
        <f>'J - Capital In Year Schemes'!E23</f>
        <v>0</v>
      </c>
      <c r="JV23" s="2010">
        <f>'J - Capital In Year Schemes'!F23</f>
        <v>0</v>
      </c>
      <c r="JW23" s="2010">
        <f>'J - Capital In Year Schemes'!G23</f>
        <v>0</v>
      </c>
      <c r="JX23" s="2010">
        <f>'J - Capital In Year Schemes'!H23</f>
        <v>0</v>
      </c>
      <c r="JY23" s="2010">
        <f>'J - Capital In Year Schemes'!I23</f>
        <v>0</v>
      </c>
      <c r="JZ23" s="2010">
        <f>'J - Capital In Year Schemes'!J23</f>
        <v>0</v>
      </c>
      <c r="KA23" s="2010">
        <f>'J - Capital In Year Schemes'!K23</f>
        <v>0</v>
      </c>
      <c r="KB23" s="2010">
        <f>'J - Capital In Year Schemes'!L23</f>
        <v>0</v>
      </c>
      <c r="KC23" s="2010">
        <f>'J - Capital In Year Schemes'!M23</f>
        <v>0</v>
      </c>
      <c r="KD23" s="2010">
        <f>'J - Capital In Year Schemes'!N23</f>
        <v>0</v>
      </c>
      <c r="KE23" s="2010">
        <f>'J - Capital In Year Schemes'!O23</f>
        <v>0</v>
      </c>
      <c r="KF23" s="2010">
        <f>'J - Capital In Year Schemes'!P23</f>
        <v>0</v>
      </c>
      <c r="KG23" s="2010">
        <f>'J - Capital In Year Schemes'!Q23</f>
        <v>0</v>
      </c>
      <c r="KH23" s="2090">
        <f>'J - Capital In Year Schemes'!R23</f>
        <v>0</v>
      </c>
      <c r="KI23" s="2090">
        <f>'J - Capital In Year Schemes'!S23</f>
        <v>0</v>
      </c>
      <c r="KJ23" s="2091">
        <f>'J - Capital In Year Schemes'!T23</f>
        <v>0</v>
      </c>
      <c r="KK23" s="2060">
        <f t="shared" si="5"/>
        <v>0</v>
      </c>
      <c r="KM23" s="2053">
        <f>'K - Capital Disposals'!A23</f>
        <v>13</v>
      </c>
      <c r="KN23" s="2077">
        <f>'K - Capital Disposals'!B23</f>
        <v>0</v>
      </c>
      <c r="KO23" s="2062">
        <f>'K - Capital Disposals'!C23</f>
        <v>0</v>
      </c>
      <c r="KP23" s="2062">
        <f>'K - Capital Disposals'!D23</f>
        <v>0</v>
      </c>
      <c r="KQ23" s="2078">
        <f>'K - Capital Disposals'!E23</f>
        <v>0</v>
      </c>
      <c r="KR23" s="2064">
        <f>'K - Capital Disposals'!F23</f>
        <v>0</v>
      </c>
      <c r="KS23" s="2064">
        <f>'K - Capital Disposals'!G23</f>
        <v>0</v>
      </c>
      <c r="KT23" s="2054">
        <f>'K - Capital Disposals'!H23</f>
        <v>0</v>
      </c>
      <c r="KU23" s="2055">
        <f>'K - Capital Disposals'!I23</f>
        <v>0</v>
      </c>
      <c r="KV23" s="3100">
        <f>'K - Capital Disposals'!J23</f>
        <v>0</v>
      </c>
      <c r="KW23" s="3095"/>
      <c r="KX23" s="3095"/>
      <c r="KY23" s="3095"/>
      <c r="KZ23" s="3095"/>
      <c r="LA23" s="3095"/>
      <c r="LB23" s="3096"/>
      <c r="LC23" s="1935"/>
      <c r="LE23" s="1624">
        <f>'L - EFL'!A23</f>
        <v>12</v>
      </c>
      <c r="LF23" s="1614" t="str">
        <f>'L - EFL'!B23</f>
        <v>Inventories</v>
      </c>
      <c r="LG23" s="1811">
        <f>'L - EFL'!C23</f>
        <v>0</v>
      </c>
      <c r="LH23" s="1811">
        <f>'L - EFL'!D23</f>
        <v>0</v>
      </c>
      <c r="LI23" s="1613">
        <f>'L - EFL'!E23</f>
        <v>0</v>
      </c>
      <c r="LJ23" s="1811">
        <f>'L - EFL'!F23</f>
        <v>0</v>
      </c>
      <c r="LL23" s="814"/>
      <c r="LM23" s="1761">
        <f>'M - Aged Debtors'!B23</f>
        <v>0</v>
      </c>
      <c r="LN23" s="1762">
        <f>'M - Aged Debtors'!C23</f>
        <v>0</v>
      </c>
      <c r="LO23" s="1763">
        <f>'M - Aged Debtors'!D23</f>
        <v>0</v>
      </c>
      <c r="LP23" s="1764">
        <f>'M - Aged Debtors'!E23</f>
        <v>0</v>
      </c>
      <c r="LQ23" s="1972">
        <f>'M - Aged Debtors'!F23</f>
        <v>0</v>
      </c>
      <c r="LR23" s="1166" t="str">
        <f>'M - Aged Debtors'!G23</f>
        <v/>
      </c>
      <c r="LS23" s="829" t="str">
        <f>'M - Aged Debtors'!H23</f>
        <v/>
      </c>
      <c r="LT23" s="829" t="str">
        <f>'M - Aged Debtors'!I23</f>
        <v/>
      </c>
      <c r="LU23" s="830" t="str">
        <f>'M - Aged Debtors'!J23</f>
        <v/>
      </c>
      <c r="LV23" s="1757">
        <f>'M - Aged Debtors'!K23</f>
        <v>0</v>
      </c>
      <c r="LX23" s="230" t="str">
        <f>'N - GMS'!A23</f>
        <v>Total Enhanced Services       (To equal data in section A Line 95)</v>
      </c>
      <c r="LY23" s="455"/>
      <c r="LZ23" s="456">
        <f>'N - GMS'!C23</f>
        <v>11</v>
      </c>
      <c r="MA23" s="1814">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8" t="str">
        <f>'O - Dental'!C23</f>
        <v>LINE NO.</v>
      </c>
      <c r="MK23" s="670">
        <f>'O - Dental'!D23</f>
        <v>0</v>
      </c>
      <c r="ML23" s="670" t="str">
        <f>'O - Dental'!E23</f>
        <v>£000's</v>
      </c>
      <c r="MM23" s="670" t="str">
        <f>'O - Dental'!F23</f>
        <v>£000's</v>
      </c>
      <c r="MN23" s="671" t="str">
        <f>'O - Dental'!G23</f>
        <v>£000's</v>
      </c>
      <c r="MO23" s="308"/>
      <c r="MP23" s="672" t="str">
        <f>'O - Dental'!I23</f>
        <v>£000's</v>
      </c>
      <c r="MR23" s="684"/>
      <c r="MS23" s="3034">
        <f>'P - Ringfenced'!B23</f>
        <v>0</v>
      </c>
      <c r="MT23" s="2661" t="str">
        <f>'P - Ringfenced'!C23</f>
        <v>Actual/Forecast - not yet committed</v>
      </c>
      <c r="MU23" s="2656">
        <f>'P - Ringfenced'!D23</f>
        <v>0</v>
      </c>
      <c r="MV23" s="2656">
        <f>'P - Ringfenced'!E23</f>
        <v>0</v>
      </c>
      <c r="MW23" s="2693">
        <f>'P - Ringfenced'!F23</f>
        <v>0</v>
      </c>
      <c r="MX23" s="2693">
        <f>'P - Ringfenced'!G23</f>
        <v>0</v>
      </c>
      <c r="MY23" s="2693">
        <f>'P - Ringfenced'!H23</f>
        <v>0</v>
      </c>
      <c r="MZ23" s="2693">
        <f>'P - Ringfenced'!I23</f>
        <v>0</v>
      </c>
      <c r="NA23" s="2693">
        <f>'P - Ringfenced'!J23</f>
        <v>0</v>
      </c>
      <c r="NB23" s="2693">
        <f>'P - Ringfenced'!K23</f>
        <v>0</v>
      </c>
      <c r="NC23" s="2693">
        <f>'P - Ringfenced'!L23</f>
        <v>0</v>
      </c>
      <c r="ND23" s="2693">
        <f>'P - Ringfenced'!M23</f>
        <v>0</v>
      </c>
      <c r="NE23" s="2693">
        <f>'P - Ringfenced'!N23</f>
        <v>0</v>
      </c>
      <c r="NF23" s="2693">
        <f>'P - Ringfenced'!O23</f>
        <v>0</v>
      </c>
      <c r="NG23" s="2693">
        <f>'P - Ringfenced'!P23</f>
        <v>0</v>
      </c>
      <c r="NH23" s="2695">
        <f>'P - Ringfenced'!Q23</f>
        <v>0</v>
      </c>
      <c r="NI23" s="1324">
        <f>'P - Ringfenced'!R23</f>
        <v>0</v>
      </c>
      <c r="NJ23" s="1325">
        <f>'P - Ringfenced'!S23</f>
        <v>0</v>
      </c>
      <c r="NK23" s="2861"/>
      <c r="NL23" s="684"/>
    </row>
    <row r="24" spans="1:376" ht="20.149999999999999" customHeight="1" thickBot="1">
      <c r="A24" s="1745"/>
      <c r="B24" s="1745"/>
      <c r="C24" s="1745"/>
      <c r="D24" s="1745"/>
      <c r="E24" s="1745"/>
      <c r="F24" s="1745"/>
      <c r="G24" s="1745"/>
      <c r="H24" s="1745"/>
      <c r="I24" s="1745"/>
      <c r="J24" s="1745"/>
      <c r="K24" s="1745"/>
      <c r="M24" s="950">
        <f>'A - Movement'!A24</f>
        <v>14</v>
      </c>
      <c r="N24" s="1129" t="str">
        <f>'A - Movement'!B24</f>
        <v xml:space="preserve">Opening IMTP / Annual Operating Plan </v>
      </c>
      <c r="O24" s="951">
        <f>'A - Movement'!C24</f>
        <v>-1.8999998428625986E-4</v>
      </c>
      <c r="P24" s="951">
        <f>'A - Movement'!D24</f>
        <v>-1.8999998428625986E-4</v>
      </c>
      <c r="Q24" s="951">
        <f>'A - Movement'!E24</f>
        <v>0</v>
      </c>
      <c r="R24" s="951">
        <f>'A - Movement'!F24</f>
        <v>0</v>
      </c>
      <c r="S24" s="1745"/>
      <c r="T24" s="1928"/>
      <c r="U24" s="950">
        <f>'A - Movement'!I24</f>
        <v>14</v>
      </c>
      <c r="V24" s="1129" t="str">
        <f t="shared" si="4"/>
        <v xml:space="preserve">Opening IMTP / Annual Operating Plan </v>
      </c>
      <c r="W24" s="951">
        <f>'A - Movement'!J24</f>
        <v>-1.9000000020241714E-4</v>
      </c>
      <c r="X24" s="951">
        <f>'A - Movement'!K24</f>
        <v>1.4210854715202004E-13</v>
      </c>
      <c r="Y24" s="951">
        <f>'A - Movement'!L24</f>
        <v>1.4210854715202004E-13</v>
      </c>
      <c r="Z24" s="951">
        <f>'A - Movement'!M24</f>
        <v>3.694822225952521E-13</v>
      </c>
      <c r="AA24" s="951">
        <f>'A - Movement'!N24</f>
        <v>3.694822225952521E-13</v>
      </c>
      <c r="AB24" s="951">
        <f>'A - Movement'!O24</f>
        <v>-8.5265128291212022E-14</v>
      </c>
      <c r="AC24" s="951">
        <f>'A - Movement'!P24</f>
        <v>-8.5265128291212022E-14</v>
      </c>
      <c r="AD24" s="951">
        <f>'A - Movement'!Q24</f>
        <v>5.9685589803848416E-13</v>
      </c>
      <c r="AE24" s="951">
        <f>'A - Movement'!R24</f>
        <v>1.4210854715202004E-13</v>
      </c>
      <c r="AF24" s="951">
        <f>'A - Movement'!S24</f>
        <v>-8.5265128291212022E-14</v>
      </c>
      <c r="AG24" s="951">
        <f>'A - Movement'!T24</f>
        <v>1.4210854715202004E-13</v>
      </c>
      <c r="AH24" s="951">
        <f>'A - Movement'!U24</f>
        <v>-3.1263880373444408E-13</v>
      </c>
      <c r="AI24" s="951">
        <f>'A - Movement'!V24</f>
        <v>-1.9000000020241714E-4</v>
      </c>
      <c r="AJ24" s="951">
        <f>'A - Movement'!W24</f>
        <v>-1.8999998519575456E-4</v>
      </c>
      <c r="AK24" s="951">
        <f t="shared" si="1"/>
        <v>-1.8999998428625986E-4</v>
      </c>
      <c r="AL24" s="951">
        <f t="shared" si="2"/>
        <v>0</v>
      </c>
      <c r="AM24" s="951">
        <f t="shared" si="3"/>
        <v>0</v>
      </c>
      <c r="AN24" s="1745"/>
      <c r="AO24" s="1928"/>
      <c r="AP24" s="1403">
        <f>'A1 - Underlying Position'!A25</f>
        <v>14</v>
      </c>
      <c r="AQ24" s="1375" t="str">
        <f>'A1 - Underlying Position'!B25</f>
        <v>Non Pay - Transport</v>
      </c>
      <c r="AR24" s="1800">
        <f>'A1 - Underlying Position'!C25</f>
        <v>0</v>
      </c>
      <c r="AS24" s="1801">
        <f>'A1 - Underlying Position'!D25</f>
        <v>0</v>
      </c>
      <c r="AT24" s="1801">
        <f>'A1 - Underlying Position'!E25</f>
        <v>0</v>
      </c>
      <c r="AU24" s="75">
        <f>'A1 - Underlying Position'!F25</f>
        <v>0</v>
      </c>
      <c r="AV24" s="1802">
        <f>'A1 - Underlying Position'!G25</f>
        <v>0</v>
      </c>
      <c r="AW24" s="75">
        <f>'A1 - Underlying Position'!H25</f>
        <v>0</v>
      </c>
      <c r="AX24" s="1745"/>
      <c r="AZ24" s="1717">
        <f>'A2 - Risks'!A24</f>
        <v>16</v>
      </c>
      <c r="BA24" s="1806">
        <f>'A2 - Risks'!B24</f>
        <v>0</v>
      </c>
      <c r="BB24" s="1788">
        <f>'A2 - Risks'!C24</f>
        <v>0</v>
      </c>
      <c r="BC24" s="1759">
        <f>'A2 - Risks'!D24</f>
        <v>0</v>
      </c>
      <c r="BE24" s="2109">
        <f>'B - Monthly Positions'!A24</f>
        <v>14</v>
      </c>
      <c r="BF24" s="1373" t="str">
        <f>'B - Monthly Positions'!B24</f>
        <v>Non Healthcare Services Provided by Other NHS Bodies</v>
      </c>
      <c r="BG24" s="93" t="str">
        <f>'B - Monthly Positions'!C24</f>
        <v>Actual/F'cast</v>
      </c>
      <c r="BH24" s="1782">
        <f>'B - Monthly Positions'!D24</f>
        <v>0</v>
      </c>
      <c r="BI24" s="1782">
        <f>'B - Monthly Positions'!E24</f>
        <v>0</v>
      </c>
      <c r="BJ24" s="1782">
        <f>'B - Monthly Positions'!F24</f>
        <v>0</v>
      </c>
      <c r="BK24" s="1782">
        <f>'B - Monthly Positions'!G24</f>
        <v>0</v>
      </c>
      <c r="BL24" s="1783">
        <f>'B - Monthly Positions'!H24</f>
        <v>0</v>
      </c>
      <c r="BM24" s="1783">
        <f>'B - Monthly Positions'!I24</f>
        <v>0</v>
      </c>
      <c r="BN24" s="1783">
        <f>'B - Monthly Positions'!J24</f>
        <v>0</v>
      </c>
      <c r="BO24" s="1783">
        <f>'B - Monthly Positions'!K24</f>
        <v>0</v>
      </c>
      <c r="BP24" s="1783">
        <f>'B - Monthly Positions'!L24</f>
        <v>0</v>
      </c>
      <c r="BQ24" s="1783">
        <f>'B - Monthly Positions'!M24</f>
        <v>0</v>
      </c>
      <c r="BR24" s="1783">
        <f>'B - Monthly Positions'!N24</f>
        <v>0</v>
      </c>
      <c r="BS24" s="1786">
        <f>'B - Monthly Positions'!O24</f>
        <v>0</v>
      </c>
      <c r="BT24" s="1782">
        <f>'B - Monthly Positions'!P24</f>
        <v>0</v>
      </c>
      <c r="BU24" s="1782">
        <f>'B - Monthly Positions'!Q24</f>
        <v>0</v>
      </c>
      <c r="BV24" s="1643"/>
      <c r="BW24" s="1875"/>
      <c r="BX24" s="144">
        <f>' Table Z Net Exp Profiles'!A24</f>
        <v>15</v>
      </c>
      <c r="BY24" s="92" t="str">
        <f>' Table Z Net Exp Profiles'!B24</f>
        <v>Pay Accountancy Gains - Actual/Forecast</v>
      </c>
      <c r="BZ24" s="1296">
        <f>' Table Z Net Exp Profiles'!C24</f>
        <v>0</v>
      </c>
      <c r="CA24" s="1297">
        <f>' Table Z Net Exp Profiles'!D24</f>
        <v>0</v>
      </c>
      <c r="CB24" s="1297">
        <f>' Table Z Net Exp Profiles'!E24</f>
        <v>0</v>
      </c>
      <c r="CC24" s="1297">
        <f>' Table Z Net Exp Profiles'!F24</f>
        <v>0</v>
      </c>
      <c r="CD24" s="1297">
        <f>' Table Z Net Exp Profiles'!G24</f>
        <v>0</v>
      </c>
      <c r="CE24" s="1297">
        <f>' Table Z Net Exp Profiles'!H24</f>
        <v>0</v>
      </c>
      <c r="CF24" s="1297">
        <f>' Table Z Net Exp Profiles'!I24</f>
        <v>0</v>
      </c>
      <c r="CG24" s="1297">
        <f>' Table Z Net Exp Profiles'!J24</f>
        <v>0</v>
      </c>
      <c r="CH24" s="1297">
        <f>' Table Z Net Exp Profiles'!K24</f>
        <v>0</v>
      </c>
      <c r="CI24" s="1297">
        <f>' Table Z Net Exp Profiles'!L24</f>
        <v>0</v>
      </c>
      <c r="CJ24" s="1297">
        <f>' Table Z Net Exp Profiles'!M24</f>
        <v>0</v>
      </c>
      <c r="CK24" s="1298">
        <f>' Table Z Net Exp Profiles'!N24</f>
        <v>0</v>
      </c>
      <c r="CL24" s="1215">
        <f>' Table Z Net Exp Profiles'!O24</f>
        <v>0</v>
      </c>
      <c r="CM24" s="1215">
        <f>' Table Z Net Exp Profiles'!P24</f>
        <v>0</v>
      </c>
      <c r="CO24" s="1347">
        <f>'B2 - Pay &amp; Agency'!A24</f>
        <v>11</v>
      </c>
      <c r="CP24" s="1348" t="str">
        <f>'B2 - Pay &amp; Agency'!B24</f>
        <v xml:space="preserve">LHB Provided Services - Pay </v>
      </c>
      <c r="CQ24" s="1570">
        <f>'B2 - Pay &amp; Agency'!C24</f>
        <v>10151</v>
      </c>
      <c r="CR24" s="1570">
        <f>'B2 - Pay &amp; Agency'!D24</f>
        <v>9831.948833333332</v>
      </c>
      <c r="CS24" s="1570">
        <f>'B2 - Pay &amp; Agency'!E24</f>
        <v>9872.6593499999999</v>
      </c>
      <c r="CT24" s="1570">
        <f>'B2 - Pay &amp; Agency'!F24</f>
        <v>9902.2591583333324</v>
      </c>
      <c r="CU24" s="1570">
        <f>'B2 - Pay &amp; Agency'!G24</f>
        <v>9895.2591583333324</v>
      </c>
      <c r="CV24" s="1570">
        <f>'B2 - Pay &amp; Agency'!H24</f>
        <v>9904.7003583333335</v>
      </c>
      <c r="CW24" s="1570">
        <f>'B2 - Pay &amp; Agency'!I24</f>
        <v>9899.5761133333326</v>
      </c>
      <c r="CX24" s="1570">
        <f>'B2 - Pay &amp; Agency'!J24</f>
        <v>9899.5761133333326</v>
      </c>
      <c r="CY24" s="1570">
        <f>'B2 - Pay &amp; Agency'!K24</f>
        <v>9888.6128800000006</v>
      </c>
      <c r="CZ24" s="1570">
        <f>'B2 - Pay &amp; Agency'!L24</f>
        <v>9886.5761133333326</v>
      </c>
      <c r="DA24" s="1570">
        <f>'B2 - Pay &amp; Agency'!M24</f>
        <v>9867.2591583333324</v>
      </c>
      <c r="DB24" s="1570">
        <f>'B2 - Pay &amp; Agency'!N24</f>
        <v>9878.2622222222217</v>
      </c>
      <c r="DC24" s="1132">
        <f>'B2 - Pay &amp; Agency'!O24</f>
        <v>10151</v>
      </c>
      <c r="DD24" s="1323">
        <f>'B2 - Pay &amp; Agency'!P24</f>
        <v>118877.68945888888</v>
      </c>
      <c r="DF24" s="2852">
        <f>'B3 - COVID-19'!A24</f>
        <v>17</v>
      </c>
      <c r="DG24" s="2845" t="str">
        <f>'B3 - COVID-19'!B24</f>
        <v>Healthcare Services Provided by Other NHS Bodies</v>
      </c>
      <c r="DH24" s="1330">
        <f>'B3 - COVID-19'!C24</f>
        <v>18.600000000000001</v>
      </c>
      <c r="DI24" s="1330">
        <f>'B3 - COVID-19'!D24</f>
        <v>18.600000000000001</v>
      </c>
      <c r="DJ24" s="1330">
        <f>'B3 - COVID-19'!E24</f>
        <v>57.6</v>
      </c>
      <c r="DK24" s="1330">
        <f>'B3 - COVID-19'!F24</f>
        <v>18.600000000000001</v>
      </c>
      <c r="DL24" s="1330">
        <f>'B3 - COVID-19'!G24</f>
        <v>18.600000000000001</v>
      </c>
      <c r="DM24" s="1330">
        <f>'B3 - COVID-19'!H24</f>
        <v>57.6</v>
      </c>
      <c r="DN24" s="1330">
        <f>'B3 - COVID-19'!I24</f>
        <v>18.600000000000001</v>
      </c>
      <c r="DO24" s="1330">
        <f>'B3 - COVID-19'!J24</f>
        <v>18.600000000000001</v>
      </c>
      <c r="DP24" s="1330">
        <f>'B3 - COVID-19'!K24</f>
        <v>57.6</v>
      </c>
      <c r="DQ24" s="1330">
        <f>'B3 - COVID-19'!L24</f>
        <v>18.600000000000001</v>
      </c>
      <c r="DR24" s="1330">
        <f>'B3 - COVID-19'!M24</f>
        <v>18.600000000000001</v>
      </c>
      <c r="DS24" s="1330">
        <f>'B3 - COVID-19'!N24</f>
        <v>57.6</v>
      </c>
      <c r="DT24" s="1863">
        <f>'B3 - COVID-19'!O24</f>
        <v>18.600000000000001</v>
      </c>
      <c r="DU24" s="1863">
        <f>'B3 - COVID-19'!P24</f>
        <v>379.20000000000005</v>
      </c>
      <c r="DV24" s="608"/>
      <c r="DW24" s="1116"/>
      <c r="DY24" s="2095">
        <f>'C, C1, C2&amp; C3 - Savings Schemes'!A24</f>
        <v>12</v>
      </c>
      <c r="DZ24" s="3040"/>
      <c r="EA24" s="92" t="str">
        <f>'C, C1, C2&amp; C3 - Savings Schemes'!C24</f>
        <v>Variance</v>
      </c>
      <c r="EB24" s="944">
        <f>'C, C1, C2&amp; C3 - Savings Schemes'!D24</f>
        <v>0</v>
      </c>
      <c r="EC24" s="944">
        <f>'C, C1, C2&amp; C3 - Savings Schemes'!E24</f>
        <v>0</v>
      </c>
      <c r="ED24" s="944">
        <f>'C, C1, C2&amp; C3 - Savings Schemes'!F24</f>
        <v>0</v>
      </c>
      <c r="EE24" s="944">
        <f>'C, C1, C2&amp; C3 - Savings Schemes'!G24</f>
        <v>0</v>
      </c>
      <c r="EF24" s="944">
        <f>'C, C1, C2&amp; C3 - Savings Schemes'!H24</f>
        <v>0</v>
      </c>
      <c r="EG24" s="944">
        <f>'C, C1, C2&amp; C3 - Savings Schemes'!I24</f>
        <v>0</v>
      </c>
      <c r="EH24" s="944">
        <f>'C, C1, C2&amp; C3 - Savings Schemes'!J24</f>
        <v>0</v>
      </c>
      <c r="EI24" s="944">
        <f>'C, C1, C2&amp; C3 - Savings Schemes'!K24</f>
        <v>0</v>
      </c>
      <c r="EJ24" s="944">
        <f>'C, C1, C2&amp; C3 - Savings Schemes'!L24</f>
        <v>0</v>
      </c>
      <c r="EK24" s="944">
        <f>'C, C1, C2&amp; C3 - Savings Schemes'!M24</f>
        <v>0</v>
      </c>
      <c r="EL24" s="944">
        <f>'C, C1, C2&amp; C3 - Savings Schemes'!N24</f>
        <v>0</v>
      </c>
      <c r="EM24" s="944">
        <f>'C, C1, C2&amp; C3 - Savings Schemes'!O24</f>
        <v>0</v>
      </c>
      <c r="EN24" s="943">
        <f>'C, C1, C2&amp; C3 - Savings Schemes'!P24</f>
        <v>0</v>
      </c>
      <c r="EO24" s="939">
        <f>'C, C1, C2&amp; C3 - Savings Schemes'!Q24</f>
        <v>0</v>
      </c>
      <c r="EP24" s="1168">
        <f>'C, C1, C2&amp; C3 - Savings Schemes'!R24</f>
        <v>0</v>
      </c>
      <c r="EQ24" s="2081"/>
      <c r="ER24" s="2081"/>
      <c r="ES24" s="2081"/>
      <c r="ET24" s="2081"/>
      <c r="EU24" s="608"/>
      <c r="EV24" s="594"/>
      <c r="EW24" s="1932"/>
      <c r="EX24" s="3074"/>
      <c r="EY24" s="1698" t="str">
        <f>'Table C4 Tracker'!B24</f>
        <v>Total Actual/Forecast</v>
      </c>
      <c r="EZ24" s="1371">
        <f>'Table C4 Tracker'!C24</f>
        <v>0</v>
      </c>
      <c r="FA24" s="1708">
        <f>'Table C4 Tracker'!D24</f>
        <v>0</v>
      </c>
      <c r="FB24" s="1708">
        <f>'Table C4 Tracker'!E24</f>
        <v>0</v>
      </c>
      <c r="FC24" s="1708">
        <f>'Table C4 Tracker'!F24</f>
        <v>0</v>
      </c>
      <c r="FD24" s="1708">
        <f>'Table C4 Tracker'!G24</f>
        <v>0</v>
      </c>
      <c r="FE24" s="1708">
        <f>'Table C4 Tracker'!H24</f>
        <v>0</v>
      </c>
      <c r="FF24" s="1708">
        <f>'Table C4 Tracker'!I24</f>
        <v>0</v>
      </c>
      <c r="FG24" s="1708">
        <f>'Table C4 Tracker'!J24</f>
        <v>0</v>
      </c>
      <c r="FH24" s="1708">
        <f>'Table C4 Tracker'!K24</f>
        <v>0</v>
      </c>
      <c r="FI24" s="1708">
        <f>'Table C4 Tracker'!L24</f>
        <v>0</v>
      </c>
      <c r="FJ24" s="1708">
        <f>'Table C4 Tracker'!M24</f>
        <v>0</v>
      </c>
      <c r="FK24" s="1708">
        <f>'Table C4 Tracker'!N24</f>
        <v>0</v>
      </c>
      <c r="FL24" s="1577">
        <f>'Table C4 Tracker'!O24</f>
        <v>0</v>
      </c>
      <c r="FM24" s="1465">
        <f>'Table C4 Tracker'!P24</f>
        <v>0</v>
      </c>
      <c r="FN24" s="939">
        <f>'Table C4 Tracker'!Q24</f>
        <v>0</v>
      </c>
      <c r="FO24" s="1577">
        <f>'Table C4 Tracker'!R24</f>
        <v>0</v>
      </c>
      <c r="FP24" s="1577">
        <f>'Table C4 Tracker'!S24</f>
        <v>0</v>
      </c>
      <c r="FQ24" s="1577">
        <f>'Table C4 Tracker'!T24</f>
        <v>0</v>
      </c>
      <c r="FR24" s="1577">
        <f>'Table C4 Tracker'!U24</f>
        <v>0</v>
      </c>
      <c r="FS24" s="1957"/>
      <c r="FU24" s="2045">
        <f>'D - Welsh NHS Assumptions'!A24</f>
        <v>14</v>
      </c>
      <c r="FV24" s="2083" t="str">
        <f>'D - Welsh NHS Assumptions'!B24</f>
        <v>EASC</v>
      </c>
      <c r="FW24" s="2069">
        <f>'D - Welsh NHS Assumptions'!C24</f>
        <v>0</v>
      </c>
      <c r="FX24" s="2069">
        <f>'D - Welsh NHS Assumptions'!D24</f>
        <v>0</v>
      </c>
      <c r="FY24" s="2048">
        <f>'D - Welsh NHS Assumptions'!E24</f>
        <v>0</v>
      </c>
      <c r="FZ24" s="1745"/>
      <c r="GA24" s="2069">
        <f>'D - Welsh NHS Assumptions'!G24</f>
        <v>0</v>
      </c>
      <c r="GB24" s="2069">
        <f>'D - Welsh NHS Assumptions'!H24</f>
        <v>0</v>
      </c>
      <c r="GC24" s="2048">
        <f>'D - Welsh NHS Assumptions'!I24</f>
        <v>0</v>
      </c>
      <c r="GD24" s="1745"/>
      <c r="GF24" s="2112">
        <f>'E - Resource Limits'!A24</f>
        <v>12</v>
      </c>
      <c r="GG24" s="2113" t="str">
        <f>'E - Resource Limits'!B24</f>
        <v>Removal of Donated Assets / Government Grant Receipts</v>
      </c>
      <c r="GH24" s="2114">
        <f>'E - Resource Limits'!C24</f>
        <v>0</v>
      </c>
      <c r="GI24" s="2114">
        <f>'E - Resource Limits'!D24</f>
        <v>0</v>
      </c>
      <c r="GJ24" s="2114">
        <f>'E - Resource Limits'!E24</f>
        <v>0</v>
      </c>
      <c r="GK24" s="2114">
        <f>'E - Resource Limits'!F24</f>
        <v>0</v>
      </c>
      <c r="GL24" s="2048">
        <f>'E - Resource Limits'!G24</f>
        <v>0</v>
      </c>
      <c r="GM24" s="2115">
        <f>'E - Resource Limits'!H24</f>
        <v>0</v>
      </c>
      <c r="GN24" s="2114">
        <f>'E - Resource Limits'!I24</f>
        <v>0</v>
      </c>
      <c r="GO24" s="2114">
        <f>'E - Resource Limits'!J24</f>
        <v>0</v>
      </c>
      <c r="GP24" s="2114">
        <f>'E - Resource Limits'!K24</f>
        <v>0</v>
      </c>
      <c r="GQ24" s="2116">
        <f>'E - Resource Limits'!L24</f>
        <v>0</v>
      </c>
      <c r="GR24" s="1935">
        <f t="shared" si="6"/>
        <v>0</v>
      </c>
      <c r="GT24" s="175">
        <f>'E1 - Invoiced Income'!A24</f>
        <v>13</v>
      </c>
      <c r="GU24" s="1797" t="str">
        <f>'E1 - Invoiced Income'!B24</f>
        <v>Real Living Wage (Care Homes)</v>
      </c>
      <c r="GV24" s="1798">
        <f>'E1 - Invoiced Income'!C24</f>
        <v>0</v>
      </c>
      <c r="GW24" s="1798">
        <f>'E1 - Invoiced Income'!D24</f>
        <v>0</v>
      </c>
      <c r="GX24" s="1798">
        <f>'E1 - Invoiced Income'!E24</f>
        <v>0</v>
      </c>
      <c r="GY24" s="1798">
        <f>'E1 - Invoiced Income'!F24</f>
        <v>0</v>
      </c>
      <c r="GZ24" s="1798">
        <f>'E1 - Invoiced Income'!G24</f>
        <v>0</v>
      </c>
      <c r="HA24" s="1798">
        <f>'E1 - Invoiced Income'!H24</f>
        <v>0</v>
      </c>
      <c r="HB24" s="1798">
        <f>'E1 - Invoiced Income'!I24</f>
        <v>0</v>
      </c>
      <c r="HC24" s="1798">
        <f>'E1 - Invoiced Income'!J24</f>
        <v>0</v>
      </c>
      <c r="HD24" s="1798">
        <f>'E1 - Invoiced Income'!K24</f>
        <v>0</v>
      </c>
      <c r="HE24" s="1798">
        <f>'E1 - Invoiced Income'!L24</f>
        <v>0</v>
      </c>
      <c r="HF24" s="1798">
        <f>'E1 - Invoiced Income'!M24</f>
        <v>0</v>
      </c>
      <c r="HG24" s="1798">
        <f>'E1 - Invoiced Income'!N24</f>
        <v>0</v>
      </c>
      <c r="HH24" s="1798">
        <f>'E1 - Invoiced Income'!O24</f>
        <v>0</v>
      </c>
      <c r="HI24" s="1798">
        <f>'E1 - Invoiced Income'!P24</f>
        <v>0</v>
      </c>
      <c r="HJ24" s="1798">
        <f>'E1 - Invoiced Income'!R24</f>
        <v>0</v>
      </c>
      <c r="HK24" s="1798">
        <f>'E1 - Invoiced Income'!S24</f>
        <v>0</v>
      </c>
      <c r="HL24" s="1665">
        <f>'E1 - Invoiced Income'!T24</f>
        <v>0</v>
      </c>
      <c r="HM24" s="1799">
        <f>'E1 - Invoiced Income'!U24</f>
        <v>0</v>
      </c>
      <c r="HO24" s="2049"/>
      <c r="HP24" s="2032" t="str">
        <f>'F - SoFP'!B24</f>
        <v>Current Liabilities</v>
      </c>
      <c r="HQ24" s="2097"/>
      <c r="HR24" s="2098"/>
      <c r="HS24" s="2098"/>
      <c r="HT24" s="1946"/>
      <c r="HV24" s="2148">
        <f>'G - Cash Flow'!A24</f>
        <v>13</v>
      </c>
      <c r="HW24" s="2149" t="str">
        <f>'G - Cash Flow'!B24</f>
        <v>Primary Care Services : Pharmacy Services</v>
      </c>
      <c r="HX24" s="2064">
        <f>'G - Cash Flow'!C24</f>
        <v>0</v>
      </c>
      <c r="HY24" s="2064">
        <f>'G - Cash Flow'!D24</f>
        <v>0</v>
      </c>
      <c r="HZ24" s="2064">
        <f>'G - Cash Flow'!E24</f>
        <v>0</v>
      </c>
      <c r="IA24" s="2064">
        <f>'G - Cash Flow'!F24</f>
        <v>0</v>
      </c>
      <c r="IB24" s="2064">
        <f>'G - Cash Flow'!G24</f>
        <v>0</v>
      </c>
      <c r="IC24" s="2064">
        <f>'G - Cash Flow'!H24</f>
        <v>0</v>
      </c>
      <c r="ID24" s="2064">
        <f>'G - Cash Flow'!I24</f>
        <v>0</v>
      </c>
      <c r="IE24" s="2064">
        <f>'G - Cash Flow'!J24</f>
        <v>0</v>
      </c>
      <c r="IF24" s="2064">
        <f>'G - Cash Flow'!K24</f>
        <v>0</v>
      </c>
      <c r="IG24" s="2064">
        <f>'G - Cash Flow'!L24</f>
        <v>0</v>
      </c>
      <c r="IH24" s="2064">
        <f>'G - Cash Flow'!M24</f>
        <v>0</v>
      </c>
      <c r="II24" s="2064">
        <f>'G - Cash Flow'!N24</f>
        <v>0</v>
      </c>
      <c r="IJ24" s="2150">
        <f>'G - Cash Flow'!O24</f>
        <v>0</v>
      </c>
      <c r="IK24" s="1942"/>
      <c r="IM24" s="1745"/>
      <c r="IN24" s="1745"/>
      <c r="IO24" s="1745"/>
      <c r="IP24" s="1745"/>
      <c r="IQ24" s="1745"/>
      <c r="IR24" s="1745"/>
      <c r="IS24" s="1745"/>
      <c r="IT24" s="1745"/>
      <c r="IU24" s="1745"/>
      <c r="IV24" s="1745"/>
      <c r="IW24" s="1745"/>
      <c r="IX24" s="1745"/>
      <c r="IY24" s="1745"/>
      <c r="IZ24" s="1745"/>
      <c r="JA24" s="1745"/>
      <c r="JB24" s="1745"/>
      <c r="JD24" s="2088">
        <f>'I - Capital RLM'!A24</f>
        <v>6</v>
      </c>
      <c r="JE24" s="2126">
        <f>'I - Capital RLM'!B24</f>
        <v>0</v>
      </c>
      <c r="JF24" s="2010">
        <f>'I - Capital RLM'!C24</f>
        <v>0</v>
      </c>
      <c r="JG24" s="2010">
        <f>'I - Capital RLM'!D24</f>
        <v>0</v>
      </c>
      <c r="JH24" s="2118">
        <f>'I - Capital RLM'!E24</f>
        <v>0</v>
      </c>
      <c r="JI24" s="2119">
        <f>'I - Capital RLM'!F24</f>
        <v>0</v>
      </c>
      <c r="JJ24" s="2010">
        <f>'I - Capital RLM'!G24</f>
        <v>0</v>
      </c>
      <c r="JK24" s="2010">
        <f>'I - Capital RLM'!H24</f>
        <v>0</v>
      </c>
      <c r="JL24" s="2118">
        <f>'I - Capital RLM'!I24</f>
        <v>0</v>
      </c>
      <c r="JM24" s="2120"/>
      <c r="JN24" s="1890">
        <f>'I - Capital RLM'!K24</f>
        <v>0</v>
      </c>
      <c r="JO24" s="2120">
        <f t="shared" si="7"/>
        <v>0</v>
      </c>
      <c r="JQ24" s="2088">
        <f>'J - Capital In Year Schemes'!A24</f>
        <v>13</v>
      </c>
      <c r="JR24" s="2089">
        <f>'J - Capital In Year Schemes'!B24</f>
        <v>0</v>
      </c>
      <c r="JS24" s="2089">
        <f>'J - Capital In Year Schemes'!C24</f>
        <v>0</v>
      </c>
      <c r="JT24" s="2010">
        <f>'J - Capital In Year Schemes'!D24</f>
        <v>0</v>
      </c>
      <c r="JU24" s="2010">
        <f>'J - Capital In Year Schemes'!E24</f>
        <v>0</v>
      </c>
      <c r="JV24" s="2010">
        <f>'J - Capital In Year Schemes'!F24</f>
        <v>0</v>
      </c>
      <c r="JW24" s="2010">
        <f>'J - Capital In Year Schemes'!G24</f>
        <v>0</v>
      </c>
      <c r="JX24" s="2010">
        <f>'J - Capital In Year Schemes'!H24</f>
        <v>0</v>
      </c>
      <c r="JY24" s="2010">
        <f>'J - Capital In Year Schemes'!I24</f>
        <v>0</v>
      </c>
      <c r="JZ24" s="2010">
        <f>'J - Capital In Year Schemes'!J24</f>
        <v>0</v>
      </c>
      <c r="KA24" s="2010">
        <f>'J - Capital In Year Schemes'!K24</f>
        <v>0</v>
      </c>
      <c r="KB24" s="2010">
        <f>'J - Capital In Year Schemes'!L24</f>
        <v>0</v>
      </c>
      <c r="KC24" s="2010">
        <f>'J - Capital In Year Schemes'!M24</f>
        <v>0</v>
      </c>
      <c r="KD24" s="2010">
        <f>'J - Capital In Year Schemes'!N24</f>
        <v>0</v>
      </c>
      <c r="KE24" s="2010">
        <f>'J - Capital In Year Schemes'!O24</f>
        <v>0</v>
      </c>
      <c r="KF24" s="2010">
        <f>'J - Capital In Year Schemes'!P24</f>
        <v>0</v>
      </c>
      <c r="KG24" s="2010">
        <f>'J - Capital In Year Schemes'!Q24</f>
        <v>0</v>
      </c>
      <c r="KH24" s="2090">
        <f>'J - Capital In Year Schemes'!R24</f>
        <v>0</v>
      </c>
      <c r="KI24" s="2090">
        <f>'J - Capital In Year Schemes'!S24</f>
        <v>0</v>
      </c>
      <c r="KJ24" s="2091">
        <f>'J - Capital In Year Schemes'!T24</f>
        <v>0</v>
      </c>
      <c r="KK24" s="2060">
        <f t="shared" si="5"/>
        <v>0</v>
      </c>
      <c r="KM24" s="2053">
        <f>'K - Capital Disposals'!A24</f>
        <v>14</v>
      </c>
      <c r="KN24" s="2077">
        <f>'K - Capital Disposals'!B24</f>
        <v>0</v>
      </c>
      <c r="KO24" s="2062">
        <f>'K - Capital Disposals'!C24</f>
        <v>0</v>
      </c>
      <c r="KP24" s="2062">
        <f>'K - Capital Disposals'!D24</f>
        <v>0</v>
      </c>
      <c r="KQ24" s="2078">
        <f>'K - Capital Disposals'!E24</f>
        <v>0</v>
      </c>
      <c r="KR24" s="2064">
        <f>'K - Capital Disposals'!F24</f>
        <v>0</v>
      </c>
      <c r="KS24" s="2064">
        <f>'K - Capital Disposals'!G24</f>
        <v>0</v>
      </c>
      <c r="KT24" s="2054">
        <f>'K - Capital Disposals'!H24</f>
        <v>0</v>
      </c>
      <c r="KU24" s="2055">
        <f>'K - Capital Disposals'!I24</f>
        <v>0</v>
      </c>
      <c r="KV24" s="3100">
        <f>'K - Capital Disposals'!J24</f>
        <v>0</v>
      </c>
      <c r="KW24" s="3095"/>
      <c r="KX24" s="3095"/>
      <c r="KY24" s="3095"/>
      <c r="KZ24" s="3095"/>
      <c r="LA24" s="3095"/>
      <c r="LB24" s="3096"/>
      <c r="LC24" s="1935"/>
      <c r="LE24" s="1624">
        <f>'L - EFL'!A24</f>
        <v>13</v>
      </c>
      <c r="LF24" s="1614" t="str">
        <f>'L - EFL'!B24</f>
        <v>Current assets - Trade and other receivables</v>
      </c>
      <c r="LG24" s="1811">
        <f>'L - EFL'!C24</f>
        <v>0</v>
      </c>
      <c r="LH24" s="1811">
        <f>'L - EFL'!D24</f>
        <v>0</v>
      </c>
      <c r="LI24" s="1613">
        <f>'L - EFL'!E24</f>
        <v>0</v>
      </c>
      <c r="LJ24" s="1811">
        <f>'L - EFL'!F24</f>
        <v>0</v>
      </c>
      <c r="LL24" s="814"/>
      <c r="LM24" s="2140">
        <f>'M - Aged Debtors'!B24</f>
        <v>0</v>
      </c>
      <c r="LN24" s="2141">
        <f>'M - Aged Debtors'!C24</f>
        <v>0</v>
      </c>
      <c r="LO24" s="2142">
        <f>'M - Aged Debtors'!D24</f>
        <v>0</v>
      </c>
      <c r="LP24" s="2143">
        <f>'M - Aged Debtors'!E24</f>
        <v>0</v>
      </c>
      <c r="LQ24" s="2144">
        <f>'M - Aged Debtors'!F24</f>
        <v>0</v>
      </c>
      <c r="LR24" s="2145" t="str">
        <f>'M - Aged Debtors'!G24</f>
        <v/>
      </c>
      <c r="LS24" s="829" t="str">
        <f>'M - Aged Debtors'!H24</f>
        <v/>
      </c>
      <c r="LT24" s="829" t="str">
        <f>'M - Aged Debtors'!I24</f>
        <v/>
      </c>
      <c r="LU24" s="830" t="str">
        <f>'M - Aged Debtors'!J24</f>
        <v/>
      </c>
      <c r="LV24" s="1757">
        <f>'M - Aged Debtors'!K24</f>
        <v>0</v>
      </c>
      <c r="LX24" s="3098" t="str">
        <f>'N - GMS'!A24</f>
        <v/>
      </c>
      <c r="LY24" s="3099"/>
      <c r="LZ24" s="3099"/>
      <c r="MA24" s="223"/>
      <c r="MB24" s="223"/>
      <c r="MC24" s="223"/>
      <c r="MD24" s="214"/>
      <c r="ME24" s="214"/>
      <c r="MF24" s="214"/>
      <c r="MH24" s="702" t="str">
        <f>'O - Dental'!A24</f>
        <v>Emergency Dental Services (inc Out of Hours)</v>
      </c>
      <c r="MI24" s="703"/>
      <c r="MJ24" s="701">
        <f>'O - Dental'!C24</f>
        <v>14</v>
      </c>
      <c r="MK24" s="2151">
        <f>'O - Dental'!D24</f>
        <v>0</v>
      </c>
      <c r="ML24" s="2151">
        <f>'O - Dental'!E24</f>
        <v>0</v>
      </c>
      <c r="MM24" s="2152">
        <f>'O - Dental'!F24</f>
        <v>0</v>
      </c>
      <c r="MN24" s="2153">
        <f>'O - Dental'!G24</f>
        <v>0</v>
      </c>
      <c r="MO24" s="308"/>
      <c r="MP24" s="1765">
        <f>'O - Dental'!I24</f>
        <v>0</v>
      </c>
      <c r="MR24" s="684"/>
      <c r="MS24" s="3034">
        <f>'P - Ringfenced'!B24</f>
        <v>0</v>
      </c>
      <c r="MT24" s="1101" t="str">
        <f>'P - Ringfenced'!C24</f>
        <v>Actual/Forecast - committed</v>
      </c>
      <c r="MU24" s="2656">
        <f>'P - Ringfenced'!D24</f>
        <v>0</v>
      </c>
      <c r="MV24" s="2656">
        <f>'P - Ringfenced'!E24</f>
        <v>0</v>
      </c>
      <c r="MW24" s="2693">
        <f>'P - Ringfenced'!F24</f>
        <v>0</v>
      </c>
      <c r="MX24" s="2693">
        <f>'P - Ringfenced'!G24</f>
        <v>0</v>
      </c>
      <c r="MY24" s="2693">
        <f>'P - Ringfenced'!H24</f>
        <v>0</v>
      </c>
      <c r="MZ24" s="2693">
        <f>'P - Ringfenced'!I24</f>
        <v>0</v>
      </c>
      <c r="NA24" s="2693">
        <f>'P - Ringfenced'!J24</f>
        <v>0</v>
      </c>
      <c r="NB24" s="2693">
        <f>'P - Ringfenced'!K24</f>
        <v>0</v>
      </c>
      <c r="NC24" s="2693">
        <f>'P - Ringfenced'!L24</f>
        <v>0</v>
      </c>
      <c r="ND24" s="2693">
        <f>'P - Ringfenced'!M24</f>
        <v>0</v>
      </c>
      <c r="NE24" s="2693">
        <f>'P - Ringfenced'!N24</f>
        <v>0</v>
      </c>
      <c r="NF24" s="2693">
        <f>'P - Ringfenced'!O24</f>
        <v>0</v>
      </c>
      <c r="NG24" s="2693">
        <f>'P - Ringfenced'!P24</f>
        <v>0</v>
      </c>
      <c r="NH24" s="2695">
        <f>'P - Ringfenced'!Q24</f>
        <v>0</v>
      </c>
      <c r="NI24" s="1324">
        <f>'P - Ringfenced'!R24</f>
        <v>0</v>
      </c>
      <c r="NJ24" s="1325">
        <f>'P - Ringfenced'!S24</f>
        <v>0</v>
      </c>
      <c r="NK24" s="2861"/>
      <c r="NL24" s="684"/>
    </row>
    <row r="25" spans="1:376" ht="20.149999999999999" customHeight="1" thickBot="1">
      <c r="A25" s="1745"/>
      <c r="B25" s="1745"/>
      <c r="C25" s="1745"/>
      <c r="D25" s="1745"/>
      <c r="E25" s="1745"/>
      <c r="F25" s="1745"/>
      <c r="G25" s="1745"/>
      <c r="H25" s="1745"/>
      <c r="I25" s="1745"/>
      <c r="J25" s="1745"/>
      <c r="K25" s="1745"/>
      <c r="M25" s="950">
        <f>'A - Movement'!A25</f>
        <v>15</v>
      </c>
      <c r="N25" s="1030" t="str">
        <f>'A - Movement'!B25</f>
        <v>Reversal of Planning Assumptions still to be finalised at Month 1</v>
      </c>
      <c r="O25" s="1131">
        <f>'A - Movement'!C25</f>
        <v>0</v>
      </c>
      <c r="P25" s="1131">
        <f>'A - Movement'!D25</f>
        <v>0</v>
      </c>
      <c r="Q25" s="1131">
        <f>'A - Movement'!E25</f>
        <v>0</v>
      </c>
      <c r="R25" s="1131">
        <f>'A - Movement'!F25</f>
        <v>0</v>
      </c>
      <c r="S25" s="1745"/>
      <c r="T25" s="1928"/>
      <c r="U25" s="950">
        <f>'A - Movement'!I25</f>
        <v>15</v>
      </c>
      <c r="V25" s="1030" t="str">
        <f t="shared" ref="V25:V50" si="8">N25</f>
        <v>Reversal of Planning Assumptions still to be finalised at Month 1</v>
      </c>
      <c r="W25" s="1131">
        <f>'A - Movement'!J25</f>
        <v>0</v>
      </c>
      <c r="X25" s="1131">
        <f>'A - Movement'!K25</f>
        <v>0</v>
      </c>
      <c r="Y25" s="1131">
        <f>'A - Movement'!L25</f>
        <v>0</v>
      </c>
      <c r="Z25" s="1131">
        <f>'A - Movement'!M25</f>
        <v>0</v>
      </c>
      <c r="AA25" s="1131">
        <f>'A - Movement'!N25</f>
        <v>0</v>
      </c>
      <c r="AB25" s="1131">
        <f>'A - Movement'!O25</f>
        <v>0</v>
      </c>
      <c r="AC25" s="1131">
        <f>'A - Movement'!P25</f>
        <v>0</v>
      </c>
      <c r="AD25" s="1131">
        <f>'A - Movement'!Q25</f>
        <v>0</v>
      </c>
      <c r="AE25" s="1131">
        <f>'A - Movement'!R25</f>
        <v>0</v>
      </c>
      <c r="AF25" s="1131">
        <f>'A - Movement'!S25</f>
        <v>0</v>
      </c>
      <c r="AG25" s="1131">
        <f>'A - Movement'!T25</f>
        <v>0</v>
      </c>
      <c r="AH25" s="1131">
        <f>'A - Movement'!U25</f>
        <v>0</v>
      </c>
      <c r="AI25" s="1131">
        <f>'A - Movement'!V25</f>
        <v>0</v>
      </c>
      <c r="AJ25" s="1131">
        <f>'A - Movement'!W25</f>
        <v>0</v>
      </c>
      <c r="AK25" s="1131">
        <f t="shared" ref="AK25:AK36" si="9">P25</f>
        <v>0</v>
      </c>
      <c r="AL25" s="1131">
        <f t="shared" ref="AL25:AL36" si="10">Q25</f>
        <v>0</v>
      </c>
      <c r="AM25" s="1131">
        <f t="shared" ref="AM25:AM36" si="11">R25</f>
        <v>0</v>
      </c>
      <c r="AN25" s="1745"/>
      <c r="AO25" s="1928"/>
      <c r="AP25" s="1403">
        <f>'A1 - Underlying Position'!A26</f>
        <v>15</v>
      </c>
      <c r="AQ25" s="1375" t="str">
        <f>'A1 - Underlying Position'!B26</f>
        <v>Non Pay - Premises</v>
      </c>
      <c r="AR25" s="1800">
        <f>'A1 - Underlying Position'!C26</f>
        <v>0</v>
      </c>
      <c r="AS25" s="2154">
        <f>'A1 - Underlying Position'!D26</f>
        <v>0</v>
      </c>
      <c r="AT25" s="2154">
        <f>'A1 - Underlying Position'!E26</f>
        <v>0</v>
      </c>
      <c r="AU25" s="75">
        <f>'A1 - Underlying Position'!F26</f>
        <v>0</v>
      </c>
      <c r="AV25" s="2155">
        <f>'A1 - Underlying Position'!G26</f>
        <v>0</v>
      </c>
      <c r="AW25" s="75">
        <f>'A1 - Underlying Position'!H26</f>
        <v>0</v>
      </c>
      <c r="AX25" s="1745"/>
      <c r="AZ25" s="1717">
        <f>'A2 - Risks'!A25</f>
        <v>17</v>
      </c>
      <c r="BA25" s="1806">
        <f>'A2 - Risks'!B25</f>
        <v>0</v>
      </c>
      <c r="BB25" s="1788">
        <f>'A2 - Risks'!C25</f>
        <v>0</v>
      </c>
      <c r="BC25" s="1759">
        <f>'A2 - Risks'!D25</f>
        <v>0</v>
      </c>
      <c r="BE25" s="2109">
        <f>'B - Monthly Positions'!A25</f>
        <v>15</v>
      </c>
      <c r="BF25" s="1373" t="str">
        <f>'B - Monthly Positions'!B25</f>
        <v>Continuing Care and Funded Nursing Care</v>
      </c>
      <c r="BG25" s="93" t="str">
        <f>'B - Monthly Positions'!C25</f>
        <v>Actual/F'cast</v>
      </c>
      <c r="BH25" s="1782">
        <f>'B - Monthly Positions'!D25</f>
        <v>0</v>
      </c>
      <c r="BI25" s="1782">
        <f>'B - Monthly Positions'!E25</f>
        <v>0</v>
      </c>
      <c r="BJ25" s="1782">
        <f>'B - Monthly Positions'!F25</f>
        <v>0</v>
      </c>
      <c r="BK25" s="1782">
        <f>'B - Monthly Positions'!G25</f>
        <v>0</v>
      </c>
      <c r="BL25" s="1783">
        <f>'B - Monthly Positions'!H25</f>
        <v>0</v>
      </c>
      <c r="BM25" s="1783">
        <f>'B - Monthly Positions'!I25</f>
        <v>0</v>
      </c>
      <c r="BN25" s="1783">
        <f>'B - Monthly Positions'!J25</f>
        <v>0</v>
      </c>
      <c r="BO25" s="1783">
        <f>'B - Monthly Positions'!K25</f>
        <v>0</v>
      </c>
      <c r="BP25" s="1783">
        <f>'B - Monthly Positions'!L25</f>
        <v>0</v>
      </c>
      <c r="BQ25" s="1783">
        <f>'B - Monthly Positions'!M25</f>
        <v>0</v>
      </c>
      <c r="BR25" s="1783">
        <f>'B - Monthly Positions'!N25</f>
        <v>0</v>
      </c>
      <c r="BS25" s="1815">
        <f>'B - Monthly Positions'!O25</f>
        <v>0</v>
      </c>
      <c r="BT25" s="1782">
        <f>'B - Monthly Positions'!P25</f>
        <v>0</v>
      </c>
      <c r="BU25" s="1782">
        <f>'B - Monthly Positions'!Q25</f>
        <v>0</v>
      </c>
      <c r="BV25" s="1643"/>
      <c r="BW25" s="1875"/>
      <c r="BX25" s="1191">
        <f>' Table Z Net Exp Profiles'!A25</f>
        <v>16</v>
      </c>
      <c r="BY25" s="2519" t="str">
        <f>' Table Z Net Exp Profiles'!B25</f>
        <v>In Year Operational Pay Expenditure Cost Reduction Due To C19 (Positive Values)</v>
      </c>
      <c r="BZ25" s="2503">
        <f>' Table Z Net Exp Profiles'!C25</f>
        <v>0</v>
      </c>
      <c r="CA25" s="2504">
        <f>' Table Z Net Exp Profiles'!D25</f>
        <v>0</v>
      </c>
      <c r="CB25" s="2504">
        <f>' Table Z Net Exp Profiles'!E25</f>
        <v>0</v>
      </c>
      <c r="CC25" s="2504">
        <f>' Table Z Net Exp Profiles'!F25</f>
        <v>0</v>
      </c>
      <c r="CD25" s="2504">
        <f>' Table Z Net Exp Profiles'!G25</f>
        <v>0</v>
      </c>
      <c r="CE25" s="2504">
        <f>' Table Z Net Exp Profiles'!H25</f>
        <v>0</v>
      </c>
      <c r="CF25" s="2504">
        <f>' Table Z Net Exp Profiles'!I25</f>
        <v>0</v>
      </c>
      <c r="CG25" s="2504">
        <f>' Table Z Net Exp Profiles'!J25</f>
        <v>0</v>
      </c>
      <c r="CH25" s="2504">
        <f>' Table Z Net Exp Profiles'!K25</f>
        <v>0</v>
      </c>
      <c r="CI25" s="2504">
        <f>' Table Z Net Exp Profiles'!L25</f>
        <v>0</v>
      </c>
      <c r="CJ25" s="2504">
        <f>' Table Z Net Exp Profiles'!M25</f>
        <v>0</v>
      </c>
      <c r="CK25" s="2505">
        <f>' Table Z Net Exp Profiles'!N25</f>
        <v>0</v>
      </c>
      <c r="CL25" s="1692">
        <f>' Table Z Net Exp Profiles'!O25</f>
        <v>0</v>
      </c>
      <c r="CM25" s="1692">
        <f>' Table Z Net Exp Profiles'!P25</f>
        <v>0</v>
      </c>
      <c r="CO25" s="1349">
        <f>'B2 - Pay &amp; Agency'!A25</f>
        <v>12</v>
      </c>
      <c r="CP25" s="1322" t="str">
        <f>'B2 - Pay &amp; Agency'!B25</f>
        <v>Other Services (incl. Primary Care) - Pay</v>
      </c>
      <c r="CQ25" s="2156">
        <f>'B2 - Pay &amp; Agency'!C25</f>
        <v>0</v>
      </c>
      <c r="CR25" s="2156">
        <f>'B2 - Pay &amp; Agency'!D25</f>
        <v>0</v>
      </c>
      <c r="CS25" s="2156">
        <f>'B2 - Pay &amp; Agency'!E25</f>
        <v>0</v>
      </c>
      <c r="CT25" s="2156">
        <f>'B2 - Pay &amp; Agency'!F25</f>
        <v>0</v>
      </c>
      <c r="CU25" s="2156">
        <f>'B2 - Pay &amp; Agency'!G25</f>
        <v>0</v>
      </c>
      <c r="CV25" s="2156">
        <f>'B2 - Pay &amp; Agency'!H25</f>
        <v>0</v>
      </c>
      <c r="CW25" s="2156">
        <f>'B2 - Pay &amp; Agency'!I25</f>
        <v>0</v>
      </c>
      <c r="CX25" s="2156">
        <f>'B2 - Pay &amp; Agency'!J25</f>
        <v>0</v>
      </c>
      <c r="CY25" s="2156">
        <f>'B2 - Pay &amp; Agency'!K25</f>
        <v>0</v>
      </c>
      <c r="CZ25" s="2156">
        <f>'B2 - Pay &amp; Agency'!L25</f>
        <v>0</v>
      </c>
      <c r="DA25" s="2156">
        <f>'B2 - Pay &amp; Agency'!M25</f>
        <v>0</v>
      </c>
      <c r="DB25" s="2156">
        <f>'B2 - Pay &amp; Agency'!N25</f>
        <v>0</v>
      </c>
      <c r="DC25" s="1339">
        <f>'B2 - Pay &amp; Agency'!O25</f>
        <v>0</v>
      </c>
      <c r="DD25" s="1340">
        <f>'B2 - Pay &amp; Agency'!P25</f>
        <v>0</v>
      </c>
      <c r="DF25" s="2852">
        <f>'B3 - COVID-19'!A25</f>
        <v>18</v>
      </c>
      <c r="DG25" s="2845" t="str">
        <f>'B3 - COVID-19'!B25</f>
        <v>Non Healthcare Services Provided by Other NHS Bodies</v>
      </c>
      <c r="DH25" s="1330">
        <f>'B3 - COVID-19'!C25</f>
        <v>0</v>
      </c>
      <c r="DI25" s="1330">
        <f>'B3 - COVID-19'!D25</f>
        <v>0</v>
      </c>
      <c r="DJ25" s="1330">
        <f>'B3 - COVID-19'!E25</f>
        <v>0</v>
      </c>
      <c r="DK25" s="1330">
        <f>'B3 - COVID-19'!F25</f>
        <v>0</v>
      </c>
      <c r="DL25" s="1330">
        <f>'B3 - COVID-19'!G25</f>
        <v>0</v>
      </c>
      <c r="DM25" s="1330">
        <f>'B3 - COVID-19'!H25</f>
        <v>0</v>
      </c>
      <c r="DN25" s="1330">
        <f>'B3 - COVID-19'!I25</f>
        <v>0</v>
      </c>
      <c r="DO25" s="1330">
        <f>'B3 - COVID-19'!J25</f>
        <v>0</v>
      </c>
      <c r="DP25" s="1330">
        <f>'B3 - COVID-19'!K25</f>
        <v>0</v>
      </c>
      <c r="DQ25" s="1330">
        <f>'B3 - COVID-19'!L25</f>
        <v>0</v>
      </c>
      <c r="DR25" s="1330">
        <f>'B3 - COVID-19'!M25</f>
        <v>0</v>
      </c>
      <c r="DS25" s="1330">
        <f>'B3 - COVID-19'!N25</f>
        <v>0</v>
      </c>
      <c r="DT25" s="1863">
        <f>'B3 - COVID-19'!O25</f>
        <v>0</v>
      </c>
      <c r="DU25" s="1863">
        <f>'B3 - COVID-19'!P25</f>
        <v>0</v>
      </c>
      <c r="DV25" s="608"/>
      <c r="DW25" s="1116"/>
      <c r="DY25" s="2079">
        <f>'C, C1, C2&amp; C3 - Savings Schemes'!A25</f>
        <v>13</v>
      </c>
      <c r="DZ25" s="3038" t="str">
        <f>'C, C1, C2&amp; C3 - Savings Schemes'!B25</f>
        <v>Pay</v>
      </c>
      <c r="EA25" s="87" t="str">
        <f>'C, C1, C2&amp; C3 - Savings Schemes'!C25</f>
        <v>Budget/Plan</v>
      </c>
      <c r="EB25" s="1790">
        <f>'C, C1, C2&amp; C3 - Savings Schemes'!D25</f>
        <v>789.91666666666663</v>
      </c>
      <c r="EC25" s="1790">
        <f>'C, C1, C2&amp; C3 - Savings Schemes'!E25</f>
        <v>56.916666666666664</v>
      </c>
      <c r="ED25" s="1790">
        <f>'C, C1, C2&amp; C3 - Savings Schemes'!F25</f>
        <v>56.916666666666664</v>
      </c>
      <c r="EE25" s="1790">
        <f>'C, C1, C2&amp; C3 - Savings Schemes'!G25</f>
        <v>56.916666666666664</v>
      </c>
      <c r="EF25" s="1790">
        <f>'C, C1, C2&amp; C3 - Savings Schemes'!H25</f>
        <v>56.916666666666664</v>
      </c>
      <c r="EG25" s="1790">
        <f>'C, C1, C2&amp; C3 - Savings Schemes'!I25</f>
        <v>56.916666666666664</v>
      </c>
      <c r="EH25" s="1790">
        <f>'C, C1, C2&amp; C3 - Savings Schemes'!J25</f>
        <v>56.916666666666664</v>
      </c>
      <c r="EI25" s="1790">
        <f>'C, C1, C2&amp; C3 - Savings Schemes'!K25</f>
        <v>56.916666666666664</v>
      </c>
      <c r="EJ25" s="1790">
        <f>'C, C1, C2&amp; C3 - Savings Schemes'!L25</f>
        <v>56.916666666666664</v>
      </c>
      <c r="EK25" s="1790">
        <f>'C, C1, C2&amp; C3 - Savings Schemes'!M25</f>
        <v>56.916666666666664</v>
      </c>
      <c r="EL25" s="1790">
        <f>'C, C1, C2&amp; C3 - Savings Schemes'!N25</f>
        <v>56.916666666666664</v>
      </c>
      <c r="EM25" s="1790">
        <f>'C, C1, C2&amp; C3 - Savings Schemes'!O25</f>
        <v>56.916666666666664</v>
      </c>
      <c r="EN25" s="941">
        <f>'C, C1, C2&amp; C3 - Savings Schemes'!P25</f>
        <v>789.91666666666663</v>
      </c>
      <c r="EO25" s="938">
        <f>'C, C1, C2&amp; C3 - Savings Schemes'!Q25</f>
        <v>1416.0000000000002</v>
      </c>
      <c r="EP25" s="2080"/>
      <c r="EQ25" s="2081"/>
      <c r="ER25" s="2081"/>
      <c r="ES25" s="2081"/>
      <c r="ET25" s="2081"/>
      <c r="EU25" s="608"/>
      <c r="EV25" s="594"/>
      <c r="EW25" s="1932"/>
      <c r="EX25" s="3075"/>
      <c r="EY25" s="1700" t="str">
        <f>'Table C4 Tracker'!B25</f>
        <v>Total Variance</v>
      </c>
      <c r="EZ25" s="1109">
        <f>'Table C4 Tracker'!C25</f>
        <v>0</v>
      </c>
      <c r="FA25" s="1703">
        <f>'Table C4 Tracker'!D25</f>
        <v>0</v>
      </c>
      <c r="FB25" s="1703">
        <f>'Table C4 Tracker'!E25</f>
        <v>0</v>
      </c>
      <c r="FC25" s="1703">
        <f>'Table C4 Tracker'!F25</f>
        <v>0</v>
      </c>
      <c r="FD25" s="1703">
        <f>'Table C4 Tracker'!G25</f>
        <v>0</v>
      </c>
      <c r="FE25" s="1703">
        <f>'Table C4 Tracker'!H25</f>
        <v>0</v>
      </c>
      <c r="FF25" s="1703">
        <f>'Table C4 Tracker'!I25</f>
        <v>0</v>
      </c>
      <c r="FG25" s="1703">
        <f>'Table C4 Tracker'!J25</f>
        <v>0</v>
      </c>
      <c r="FH25" s="1703">
        <f>'Table C4 Tracker'!K25</f>
        <v>0</v>
      </c>
      <c r="FI25" s="1703">
        <f>'Table C4 Tracker'!L25</f>
        <v>0</v>
      </c>
      <c r="FJ25" s="1703">
        <f>'Table C4 Tracker'!M25</f>
        <v>0</v>
      </c>
      <c r="FK25" s="1703">
        <f>'Table C4 Tracker'!N25</f>
        <v>0</v>
      </c>
      <c r="FL25" s="1710">
        <f>'Table C4 Tracker'!O25</f>
        <v>0</v>
      </c>
      <c r="FM25" s="1701">
        <f>'Table C4 Tracker'!P25</f>
        <v>0</v>
      </c>
      <c r="FN25" s="1702">
        <f>'Table C4 Tracker'!Q25</f>
        <v>0</v>
      </c>
      <c r="FO25" s="1710">
        <f>'Table C4 Tracker'!R25</f>
        <v>0</v>
      </c>
      <c r="FP25" s="1710">
        <f>'Table C4 Tracker'!S25</f>
        <v>0</v>
      </c>
      <c r="FQ25" s="1710">
        <f>'Table C4 Tracker'!T25</f>
        <v>0</v>
      </c>
      <c r="FR25" s="1710">
        <f>'Table C4 Tracker'!U25</f>
        <v>0</v>
      </c>
      <c r="FS25" s="1957"/>
      <c r="FU25" s="2045">
        <f>'D - Welsh NHS Assumptions'!A25</f>
        <v>15</v>
      </c>
      <c r="FV25" s="2083" t="str">
        <f>'D - Welsh NHS Assumptions'!B25</f>
        <v>HEIW</v>
      </c>
      <c r="FW25" s="2069">
        <f>'D - Welsh NHS Assumptions'!C25</f>
        <v>1699</v>
      </c>
      <c r="FX25" s="2069">
        <f>'D - Welsh NHS Assumptions'!D25</f>
        <v>0</v>
      </c>
      <c r="FY25" s="2048">
        <f>'D - Welsh NHS Assumptions'!E25</f>
        <v>1699</v>
      </c>
      <c r="FZ25" s="1745"/>
      <c r="GA25" s="2069">
        <f>'D - Welsh NHS Assumptions'!G25</f>
        <v>0</v>
      </c>
      <c r="GB25" s="2069">
        <f>'D - Welsh NHS Assumptions'!H25</f>
        <v>157</v>
      </c>
      <c r="GC25" s="2048">
        <f>'D - Welsh NHS Assumptions'!I25</f>
        <v>157</v>
      </c>
      <c r="GD25" s="1745"/>
      <c r="GF25" s="2112">
        <f>'E - Resource Limits'!A25</f>
        <v>13</v>
      </c>
      <c r="GG25" s="2113" t="str">
        <f>'E - Resource Limits'!B25</f>
        <v>Total COVID-19 (see below analysis)</v>
      </c>
      <c r="GH25" s="2114">
        <f>'E - Resource Limits'!C25</f>
        <v>0</v>
      </c>
      <c r="GI25" s="2114">
        <f>'E - Resource Limits'!D25</f>
        <v>0</v>
      </c>
      <c r="GJ25" s="2114">
        <f>'E - Resource Limits'!E25</f>
        <v>0</v>
      </c>
      <c r="GK25" s="2114">
        <f>'E - Resource Limits'!F25</f>
        <v>0</v>
      </c>
      <c r="GL25" s="2048">
        <f>'E - Resource Limits'!G25</f>
        <v>0</v>
      </c>
      <c r="GM25" s="2115">
        <f>'E - Resource Limits'!H25</f>
        <v>0</v>
      </c>
      <c r="GN25" s="2114">
        <f>'E - Resource Limits'!I25</f>
        <v>0</v>
      </c>
      <c r="GO25" s="2114">
        <f>'E - Resource Limits'!J25</f>
        <v>0</v>
      </c>
      <c r="GP25" s="2114">
        <f>'E - Resource Limits'!K25</f>
        <v>0</v>
      </c>
      <c r="GQ25" s="2116" t="str">
        <f>'E - Resource Limits'!L25</f>
        <v>See below analysis</v>
      </c>
      <c r="GR25" s="1935">
        <f t="shared" si="6"/>
        <v>0</v>
      </c>
      <c r="GT25" s="175">
        <f>'E1 - Invoiced Income'!A25</f>
        <v>14</v>
      </c>
      <c r="GU25" s="1797">
        <f>'E1 - Invoiced Income'!B25</f>
        <v>0</v>
      </c>
      <c r="GV25" s="1798">
        <f>'E1 - Invoiced Income'!C25</f>
        <v>0</v>
      </c>
      <c r="GW25" s="1798">
        <f>'E1 - Invoiced Income'!D25</f>
        <v>0</v>
      </c>
      <c r="GX25" s="1798">
        <f>'E1 - Invoiced Income'!E25</f>
        <v>0</v>
      </c>
      <c r="GY25" s="1798">
        <f>'E1 - Invoiced Income'!F25</f>
        <v>0</v>
      </c>
      <c r="GZ25" s="1798">
        <f>'E1 - Invoiced Income'!G25</f>
        <v>0</v>
      </c>
      <c r="HA25" s="1798">
        <f>'E1 - Invoiced Income'!H25</f>
        <v>0</v>
      </c>
      <c r="HB25" s="1798">
        <f>'E1 - Invoiced Income'!I25</f>
        <v>0</v>
      </c>
      <c r="HC25" s="1798">
        <f>'E1 - Invoiced Income'!J25</f>
        <v>0</v>
      </c>
      <c r="HD25" s="1798">
        <f>'E1 - Invoiced Income'!K25</f>
        <v>0</v>
      </c>
      <c r="HE25" s="1798">
        <f>'E1 - Invoiced Income'!L25</f>
        <v>0</v>
      </c>
      <c r="HF25" s="1798">
        <f>'E1 - Invoiced Income'!M25</f>
        <v>0</v>
      </c>
      <c r="HG25" s="1798">
        <f>'E1 - Invoiced Income'!N25</f>
        <v>0</v>
      </c>
      <c r="HH25" s="1798">
        <f>'E1 - Invoiced Income'!O25</f>
        <v>0</v>
      </c>
      <c r="HI25" s="1798">
        <f>'E1 - Invoiced Income'!P25</f>
        <v>0</v>
      </c>
      <c r="HJ25" s="1798">
        <f>'E1 - Invoiced Income'!R25</f>
        <v>0</v>
      </c>
      <c r="HK25" s="1798">
        <f>'E1 - Invoiced Income'!S25</f>
        <v>0</v>
      </c>
      <c r="HL25" s="1665">
        <f>'E1 - Invoiced Income'!T25</f>
        <v>0</v>
      </c>
      <c r="HM25" s="1799">
        <f>'E1 - Invoiced Income'!U25</f>
        <v>0</v>
      </c>
      <c r="HO25" s="2007">
        <f>'F - SoFP'!A25</f>
        <v>13</v>
      </c>
      <c r="HP25" s="2008" t="str">
        <f>'F - SoFP'!B25</f>
        <v>Trade and other payables</v>
      </c>
      <c r="HQ25" s="2009">
        <f>'F - SoFP'!C25</f>
        <v>0</v>
      </c>
      <c r="HR25" s="2010">
        <f>'F - SoFP'!D25</f>
        <v>0</v>
      </c>
      <c r="HS25" s="2010">
        <f>'F - SoFP'!E25</f>
        <v>0</v>
      </c>
      <c r="HT25" s="1946"/>
      <c r="HV25" s="2148">
        <f>'G - Cash Flow'!A25</f>
        <v>14</v>
      </c>
      <c r="HW25" s="2149" t="str">
        <f>'G - Cash Flow'!B25</f>
        <v>Primary Care Services : Prescribed Drugs &amp; Appliances</v>
      </c>
      <c r="HX25" s="2064">
        <f>'G - Cash Flow'!C25</f>
        <v>0</v>
      </c>
      <c r="HY25" s="2064">
        <f>'G - Cash Flow'!D25</f>
        <v>0</v>
      </c>
      <c r="HZ25" s="2064">
        <f>'G - Cash Flow'!E25</f>
        <v>0</v>
      </c>
      <c r="IA25" s="2064">
        <f>'G - Cash Flow'!F25</f>
        <v>0</v>
      </c>
      <c r="IB25" s="2064">
        <f>'G - Cash Flow'!G25</f>
        <v>0</v>
      </c>
      <c r="IC25" s="2064">
        <f>'G - Cash Flow'!H25</f>
        <v>0</v>
      </c>
      <c r="ID25" s="2064">
        <f>'G - Cash Flow'!I25</f>
        <v>0</v>
      </c>
      <c r="IE25" s="2064">
        <f>'G - Cash Flow'!J25</f>
        <v>0</v>
      </c>
      <c r="IF25" s="2064">
        <f>'G - Cash Flow'!K25</f>
        <v>0</v>
      </c>
      <c r="IG25" s="2064">
        <f>'G - Cash Flow'!L25</f>
        <v>0</v>
      </c>
      <c r="IH25" s="2064">
        <f>'G - Cash Flow'!M25</f>
        <v>0</v>
      </c>
      <c r="II25" s="2064">
        <f>'G - Cash Flow'!N25</f>
        <v>0</v>
      </c>
      <c r="IJ25" s="2150">
        <f>'G - Cash Flow'!O25</f>
        <v>0</v>
      </c>
      <c r="IK25" s="1942"/>
      <c r="IM25" s="1745"/>
      <c r="IN25" s="1745"/>
      <c r="IO25" s="1745"/>
      <c r="IP25" s="1745"/>
      <c r="IQ25" s="1745"/>
      <c r="IR25" s="1745"/>
      <c r="IS25" s="1745"/>
      <c r="IT25" s="1745"/>
      <c r="IU25" s="1745"/>
      <c r="IV25" s="1745"/>
      <c r="IW25" s="1745"/>
      <c r="IX25" s="1745"/>
      <c r="IY25" s="1745"/>
      <c r="IZ25" s="1745"/>
      <c r="JA25" s="1745"/>
      <c r="JB25" s="1745"/>
      <c r="JD25" s="2088">
        <f>'I - Capital RLM'!A25</f>
        <v>7</v>
      </c>
      <c r="JE25" s="2126">
        <f>'I - Capital RLM'!B25</f>
        <v>0</v>
      </c>
      <c r="JF25" s="2010">
        <f>'I - Capital RLM'!C25</f>
        <v>0</v>
      </c>
      <c r="JG25" s="2010">
        <f>'I - Capital RLM'!D25</f>
        <v>0</v>
      </c>
      <c r="JH25" s="2118">
        <f>'I - Capital RLM'!E25</f>
        <v>0</v>
      </c>
      <c r="JI25" s="2119">
        <f>'I - Capital RLM'!F25</f>
        <v>0</v>
      </c>
      <c r="JJ25" s="2010">
        <f>'I - Capital RLM'!G25</f>
        <v>0</v>
      </c>
      <c r="JK25" s="2010">
        <f>'I - Capital RLM'!H25</f>
        <v>0</v>
      </c>
      <c r="JL25" s="2118">
        <f>'I - Capital RLM'!I25</f>
        <v>0</v>
      </c>
      <c r="JM25" s="2120"/>
      <c r="JN25" s="1890">
        <f>'I - Capital RLM'!K25</f>
        <v>0</v>
      </c>
      <c r="JO25" s="2120">
        <f t="shared" si="7"/>
        <v>0</v>
      </c>
      <c r="JQ25" s="2088">
        <f>'J - Capital In Year Schemes'!A25</f>
        <v>14</v>
      </c>
      <c r="JR25" s="2089">
        <f>'J - Capital In Year Schemes'!B25</f>
        <v>0</v>
      </c>
      <c r="JS25" s="2089">
        <f>'J - Capital In Year Schemes'!C25</f>
        <v>0</v>
      </c>
      <c r="JT25" s="2010">
        <f>'J - Capital In Year Schemes'!D25</f>
        <v>0</v>
      </c>
      <c r="JU25" s="2010">
        <f>'J - Capital In Year Schemes'!E25</f>
        <v>0</v>
      </c>
      <c r="JV25" s="2010">
        <f>'J - Capital In Year Schemes'!F25</f>
        <v>0</v>
      </c>
      <c r="JW25" s="2010">
        <f>'J - Capital In Year Schemes'!G25</f>
        <v>0</v>
      </c>
      <c r="JX25" s="2010">
        <f>'J - Capital In Year Schemes'!H25</f>
        <v>0</v>
      </c>
      <c r="JY25" s="2010">
        <f>'J - Capital In Year Schemes'!I25</f>
        <v>0</v>
      </c>
      <c r="JZ25" s="2010">
        <f>'J - Capital In Year Schemes'!J25</f>
        <v>0</v>
      </c>
      <c r="KA25" s="2010">
        <f>'J - Capital In Year Schemes'!K25</f>
        <v>0</v>
      </c>
      <c r="KB25" s="2010">
        <f>'J - Capital In Year Schemes'!L25</f>
        <v>0</v>
      </c>
      <c r="KC25" s="2010">
        <f>'J - Capital In Year Schemes'!M25</f>
        <v>0</v>
      </c>
      <c r="KD25" s="2010">
        <f>'J - Capital In Year Schemes'!N25</f>
        <v>0</v>
      </c>
      <c r="KE25" s="2010">
        <f>'J - Capital In Year Schemes'!O25</f>
        <v>0</v>
      </c>
      <c r="KF25" s="2010">
        <f>'J - Capital In Year Schemes'!P25</f>
        <v>0</v>
      </c>
      <c r="KG25" s="2010">
        <f>'J - Capital In Year Schemes'!Q25</f>
        <v>0</v>
      </c>
      <c r="KH25" s="2090">
        <f>'J - Capital In Year Schemes'!R25</f>
        <v>0</v>
      </c>
      <c r="KI25" s="2090">
        <f>'J - Capital In Year Schemes'!S25</f>
        <v>0</v>
      </c>
      <c r="KJ25" s="2091">
        <f>'J - Capital In Year Schemes'!T25</f>
        <v>0</v>
      </c>
      <c r="KK25" s="2060">
        <f t="shared" si="5"/>
        <v>0</v>
      </c>
      <c r="KM25" s="2053">
        <f>'K - Capital Disposals'!A25</f>
        <v>15</v>
      </c>
      <c r="KN25" s="2077">
        <f>'K - Capital Disposals'!B25</f>
        <v>0</v>
      </c>
      <c r="KO25" s="2062">
        <f>'K - Capital Disposals'!C25</f>
        <v>0</v>
      </c>
      <c r="KP25" s="2062">
        <f>'K - Capital Disposals'!D25</f>
        <v>0</v>
      </c>
      <c r="KQ25" s="2078">
        <f>'K - Capital Disposals'!E25</f>
        <v>0</v>
      </c>
      <c r="KR25" s="2064">
        <f>'K - Capital Disposals'!F25</f>
        <v>0</v>
      </c>
      <c r="KS25" s="2064">
        <f>'K - Capital Disposals'!G25</f>
        <v>0</v>
      </c>
      <c r="KT25" s="2054">
        <f>'K - Capital Disposals'!H25</f>
        <v>0</v>
      </c>
      <c r="KU25" s="2055">
        <f>'K - Capital Disposals'!I25</f>
        <v>0</v>
      </c>
      <c r="KV25" s="3100">
        <f>'K - Capital Disposals'!J25</f>
        <v>0</v>
      </c>
      <c r="KW25" s="3095"/>
      <c r="KX25" s="3095"/>
      <c r="KY25" s="3095"/>
      <c r="KZ25" s="3095"/>
      <c r="LA25" s="3095"/>
      <c r="LB25" s="3096"/>
      <c r="LC25" s="1935"/>
      <c r="LE25" s="1624">
        <f>'L - EFL'!A25</f>
        <v>14</v>
      </c>
      <c r="LF25" s="1614" t="str">
        <f>'L - EFL'!B25</f>
        <v>Current liabilities - Trade and other payables</v>
      </c>
      <c r="LG25" s="1811">
        <f>'L - EFL'!C25</f>
        <v>0</v>
      </c>
      <c r="LH25" s="1811">
        <f>'L - EFL'!D25</f>
        <v>0</v>
      </c>
      <c r="LI25" s="1613">
        <f>'L - EFL'!E25</f>
        <v>0</v>
      </c>
      <c r="LJ25" s="1811">
        <f>'L - EFL'!F25</f>
        <v>0</v>
      </c>
      <c r="LL25" s="814"/>
      <c r="LM25" s="2140">
        <f>'M - Aged Debtors'!B25</f>
        <v>0</v>
      </c>
      <c r="LN25" s="2141">
        <f>'M - Aged Debtors'!C25</f>
        <v>0</v>
      </c>
      <c r="LO25" s="2142">
        <f>'M - Aged Debtors'!D25</f>
        <v>0</v>
      </c>
      <c r="LP25" s="2143">
        <f>'M - Aged Debtors'!E25</f>
        <v>0</v>
      </c>
      <c r="LQ25" s="2144">
        <f>'M - Aged Debtors'!F25</f>
        <v>0</v>
      </c>
      <c r="LR25" s="2145" t="str">
        <f>'M - Aged Debtors'!G25</f>
        <v/>
      </c>
      <c r="LS25" s="829" t="str">
        <f>'M - Aged Debtors'!H25</f>
        <v/>
      </c>
      <c r="LT25" s="829" t="str">
        <f>'M - Aged Debtors'!I25</f>
        <v/>
      </c>
      <c r="LU25" s="830" t="str">
        <f>'M - Aged Debtors'!J25</f>
        <v/>
      </c>
      <c r="LV25" s="1757">
        <f>'M - Aged Debtors'!K25</f>
        <v>0</v>
      </c>
      <c r="LX25" s="462" t="str">
        <f>'N - GMS'!A25</f>
        <v>LHB Administered                    (To equal data in Section B Line 109)</v>
      </c>
      <c r="LY25" s="460"/>
      <c r="LZ25" s="461">
        <f>'N - GMS'!C25</f>
        <v>12</v>
      </c>
      <c r="MA25" s="1028">
        <f>'N - GMS'!D25</f>
        <v>0</v>
      </c>
      <c r="MB25" s="1808">
        <f>'N - GMS'!E25</f>
        <v>0</v>
      </c>
      <c r="MC25" s="1808">
        <f>'N - GMS'!F25</f>
        <v>0</v>
      </c>
      <c r="MD25" s="463">
        <f>'N - GMS'!G25</f>
        <v>0</v>
      </c>
      <c r="ME25" s="213"/>
      <c r="MF25" s="1808">
        <f>'N - GMS'!I25</f>
        <v>0</v>
      </c>
      <c r="MH25" s="1679" t="str">
        <f>'O - Dental'!A25</f>
        <v>Additional Access</v>
      </c>
      <c r="MI25" s="703"/>
      <c r="MJ25" s="701">
        <f>'O - Dental'!C25</f>
        <v>15</v>
      </c>
      <c r="MK25" s="2151">
        <f>'O - Dental'!D25</f>
        <v>0</v>
      </c>
      <c r="ML25" s="2151">
        <f>'O - Dental'!E25</f>
        <v>0</v>
      </c>
      <c r="MM25" s="2152">
        <f>'O - Dental'!F25</f>
        <v>0</v>
      </c>
      <c r="MN25" s="2153">
        <f>'O - Dental'!G25</f>
        <v>0</v>
      </c>
      <c r="MO25" s="308"/>
      <c r="MP25" s="1765">
        <f>'O - Dental'!I25</f>
        <v>0</v>
      </c>
      <c r="MR25" s="684"/>
      <c r="MS25" s="3035">
        <f>'P - Ringfenced'!B25</f>
        <v>0</v>
      </c>
      <c r="MT25" s="2661" t="str">
        <f>'P - Ringfenced'!C25</f>
        <v>Variance against current plan</v>
      </c>
      <c r="MU25" s="2656">
        <f>'P - Ringfenced'!D25</f>
        <v>0</v>
      </c>
      <c r="MV25" s="2656">
        <f>'P - Ringfenced'!E25</f>
        <v>0</v>
      </c>
      <c r="MW25" s="2680">
        <f>'P - Ringfenced'!F25</f>
        <v>0</v>
      </c>
      <c r="MX25" s="2680">
        <f>'P - Ringfenced'!G25</f>
        <v>0</v>
      </c>
      <c r="MY25" s="2680">
        <f>'P - Ringfenced'!H25</f>
        <v>0</v>
      </c>
      <c r="MZ25" s="2680">
        <f>'P - Ringfenced'!I25</f>
        <v>0</v>
      </c>
      <c r="NA25" s="2680">
        <f>'P - Ringfenced'!J25</f>
        <v>0</v>
      </c>
      <c r="NB25" s="2680">
        <f>'P - Ringfenced'!K25</f>
        <v>0</v>
      </c>
      <c r="NC25" s="2680">
        <f>'P - Ringfenced'!L25</f>
        <v>0</v>
      </c>
      <c r="ND25" s="2680">
        <f>'P - Ringfenced'!M25</f>
        <v>0</v>
      </c>
      <c r="NE25" s="2680">
        <f>'P - Ringfenced'!N25</f>
        <v>0</v>
      </c>
      <c r="NF25" s="2680">
        <f>'P - Ringfenced'!O25</f>
        <v>0</v>
      </c>
      <c r="NG25" s="2680">
        <f>'P - Ringfenced'!P25</f>
        <v>0</v>
      </c>
      <c r="NH25" s="2681">
        <f>'P - Ringfenced'!Q25</f>
        <v>0</v>
      </c>
      <c r="NI25" s="1110">
        <f>'P - Ringfenced'!R25</f>
        <v>0</v>
      </c>
      <c r="NJ25" s="1220">
        <f>'P - Ringfenced'!S25</f>
        <v>0</v>
      </c>
      <c r="NK25" s="1220">
        <f>'P - Ringfenced'!T25</f>
        <v>0</v>
      </c>
      <c r="NL25" s="684"/>
    </row>
    <row r="26" spans="1:376" ht="20.149999999999999" customHeight="1" thickBot="1">
      <c r="A26" s="1745"/>
      <c r="B26" s="1745"/>
      <c r="C26" s="1745"/>
      <c r="D26" s="1745"/>
      <c r="E26" s="1745"/>
      <c r="F26" s="1745"/>
      <c r="G26" s="1745"/>
      <c r="H26" s="1745"/>
      <c r="I26" s="1745"/>
      <c r="J26" s="1745"/>
      <c r="K26" s="1745"/>
      <c r="M26" s="950">
        <f>'A - Movement'!A26</f>
        <v>16</v>
      </c>
      <c r="N26" s="1030" t="str">
        <f>'A - Movement'!B26</f>
        <v>Additional In Year &amp; Movement from Planned Release of Previously Committed Contingencies &amp; Reserves (Positive Value)</v>
      </c>
      <c r="O26" s="1131">
        <f>'A - Movement'!C26</f>
        <v>0</v>
      </c>
      <c r="P26" s="1131">
        <f>'A - Movement'!D26</f>
        <v>0</v>
      </c>
      <c r="Q26" s="954">
        <f>'A - Movement'!E26</f>
        <v>0</v>
      </c>
      <c r="R26" s="954">
        <f>'A - Movement'!F26</f>
        <v>0</v>
      </c>
      <c r="S26" s="1745"/>
      <c r="T26" s="1928"/>
      <c r="U26" s="950">
        <f>'A - Movement'!I26</f>
        <v>16</v>
      </c>
      <c r="V26" s="1030" t="str">
        <f t="shared" si="8"/>
        <v>Additional In Year &amp; Movement from Planned Release of Previously Committed Contingencies &amp; Reserves (Positive Value)</v>
      </c>
      <c r="W26" s="954">
        <f>'A - Movement'!J26</f>
        <v>0</v>
      </c>
      <c r="X26" s="954">
        <f>'A - Movement'!K26</f>
        <v>0</v>
      </c>
      <c r="Y26" s="954">
        <f>'A - Movement'!L26</f>
        <v>0</v>
      </c>
      <c r="Z26" s="954">
        <f>'A - Movement'!M26</f>
        <v>0</v>
      </c>
      <c r="AA26" s="954">
        <f>'A - Movement'!N26</f>
        <v>0</v>
      </c>
      <c r="AB26" s="954">
        <f>'A - Movement'!O26</f>
        <v>0</v>
      </c>
      <c r="AC26" s="954">
        <f>'A - Movement'!P26</f>
        <v>0</v>
      </c>
      <c r="AD26" s="954">
        <f>'A - Movement'!Q26</f>
        <v>0</v>
      </c>
      <c r="AE26" s="954">
        <f>'A - Movement'!R26</f>
        <v>0</v>
      </c>
      <c r="AF26" s="954">
        <f>'A - Movement'!S26</f>
        <v>0</v>
      </c>
      <c r="AG26" s="954">
        <f>'A - Movement'!T26</f>
        <v>0</v>
      </c>
      <c r="AH26" s="954">
        <f>'A - Movement'!U26</f>
        <v>0</v>
      </c>
      <c r="AI26" s="1131">
        <f>'A - Movement'!V26</f>
        <v>0</v>
      </c>
      <c r="AJ26" s="1131">
        <f>'A - Movement'!W26</f>
        <v>0</v>
      </c>
      <c r="AK26" s="1131">
        <f t="shared" si="9"/>
        <v>0</v>
      </c>
      <c r="AL26" s="954">
        <f t="shared" si="10"/>
        <v>0</v>
      </c>
      <c r="AM26" s="954">
        <f t="shared" si="11"/>
        <v>0</v>
      </c>
      <c r="AN26" s="1745"/>
      <c r="AO26" s="1928"/>
      <c r="AP26" s="1403">
        <f>'A1 - Underlying Position'!A27</f>
        <v>16</v>
      </c>
      <c r="AQ26" s="1375" t="str">
        <f>'A1 - Underlying Position'!B27</f>
        <v>Non Pay - External Contractors</v>
      </c>
      <c r="AR26" s="1800">
        <f>'A1 - Underlying Position'!C27</f>
        <v>0</v>
      </c>
      <c r="AS26" s="2154">
        <f>'A1 - Underlying Position'!D27</f>
        <v>0</v>
      </c>
      <c r="AT26" s="2154">
        <f>'A1 - Underlying Position'!E27</f>
        <v>0</v>
      </c>
      <c r="AU26" s="75">
        <f>'A1 - Underlying Position'!F27</f>
        <v>0</v>
      </c>
      <c r="AV26" s="2155">
        <f>'A1 - Underlying Position'!G27</f>
        <v>0</v>
      </c>
      <c r="AW26" s="75">
        <f>'A1 - Underlying Position'!H27</f>
        <v>0</v>
      </c>
      <c r="AX26" s="1745"/>
      <c r="AZ26" s="1717">
        <f>'A2 - Risks'!A26</f>
        <v>18</v>
      </c>
      <c r="BA26" s="1806">
        <f>'A2 - Risks'!B26</f>
        <v>0</v>
      </c>
      <c r="BB26" s="1788">
        <f>'A2 - Risks'!C26</f>
        <v>0</v>
      </c>
      <c r="BC26" s="1759">
        <f>'A2 - Risks'!D26</f>
        <v>0</v>
      </c>
      <c r="BE26" s="2109">
        <f>'B - Monthly Positions'!A26</f>
        <v>16</v>
      </c>
      <c r="BF26" s="1373" t="str">
        <f>'B - Monthly Positions'!B26</f>
        <v>Other Private &amp; Voluntary Sector</v>
      </c>
      <c r="BG26" s="93" t="str">
        <f>'B - Monthly Positions'!C26</f>
        <v>Actual/F'cast</v>
      </c>
      <c r="BH26" s="1782">
        <f>'B - Monthly Positions'!D26</f>
        <v>0</v>
      </c>
      <c r="BI26" s="1782">
        <f>'B - Monthly Positions'!E26</f>
        <v>0</v>
      </c>
      <c r="BJ26" s="1782">
        <f>'B - Monthly Positions'!F26</f>
        <v>0</v>
      </c>
      <c r="BK26" s="1782">
        <f>'B - Monthly Positions'!G26</f>
        <v>0</v>
      </c>
      <c r="BL26" s="1783">
        <f>'B - Monthly Positions'!H26</f>
        <v>0</v>
      </c>
      <c r="BM26" s="1783">
        <f>'B - Monthly Positions'!I26</f>
        <v>0</v>
      </c>
      <c r="BN26" s="1783">
        <f>'B - Monthly Positions'!J26</f>
        <v>0</v>
      </c>
      <c r="BO26" s="1783">
        <f>'B - Monthly Positions'!K26</f>
        <v>0</v>
      </c>
      <c r="BP26" s="1783">
        <f>'B - Monthly Positions'!L26</f>
        <v>0</v>
      </c>
      <c r="BQ26" s="1783">
        <f>'B - Monthly Positions'!M26</f>
        <v>0</v>
      </c>
      <c r="BR26" s="1783">
        <f>'B - Monthly Positions'!N26</f>
        <v>0</v>
      </c>
      <c r="BS26" s="1815">
        <f>'B - Monthly Positions'!O26</f>
        <v>0</v>
      </c>
      <c r="BT26" s="1782">
        <f>'B - Monthly Positions'!P26</f>
        <v>0</v>
      </c>
      <c r="BU26" s="1782">
        <f>'B - Monthly Positions'!Q26</f>
        <v>0</v>
      </c>
      <c r="BV26" s="1643"/>
      <c r="BW26" s="1875"/>
      <c r="BX26" s="144">
        <f>' Table Z Net Exp Profiles'!A26</f>
        <v>17</v>
      </c>
      <c r="BY26" s="1075" t="str">
        <f>' Table Z Net Exp Profiles'!B26</f>
        <v>In Year Slippage on Current Planned Pay Investments/Repurposing of Developmental Initiatives due to C19 (Positive Values)</v>
      </c>
      <c r="BZ26" s="2506">
        <f>' Table Z Net Exp Profiles'!C26</f>
        <v>0</v>
      </c>
      <c r="CA26" s="2502">
        <f>' Table Z Net Exp Profiles'!D26</f>
        <v>0</v>
      </c>
      <c r="CB26" s="2502">
        <f>' Table Z Net Exp Profiles'!E26</f>
        <v>0</v>
      </c>
      <c r="CC26" s="2502">
        <f>' Table Z Net Exp Profiles'!F26</f>
        <v>0</v>
      </c>
      <c r="CD26" s="2502">
        <f>' Table Z Net Exp Profiles'!G26</f>
        <v>0</v>
      </c>
      <c r="CE26" s="2502">
        <f>' Table Z Net Exp Profiles'!H26</f>
        <v>0</v>
      </c>
      <c r="CF26" s="2502">
        <f>' Table Z Net Exp Profiles'!I26</f>
        <v>0</v>
      </c>
      <c r="CG26" s="2502">
        <f>' Table Z Net Exp Profiles'!J26</f>
        <v>0</v>
      </c>
      <c r="CH26" s="2502">
        <f>' Table Z Net Exp Profiles'!K26</f>
        <v>0</v>
      </c>
      <c r="CI26" s="2502">
        <f>' Table Z Net Exp Profiles'!L26</f>
        <v>0</v>
      </c>
      <c r="CJ26" s="2502">
        <f>' Table Z Net Exp Profiles'!M26</f>
        <v>0</v>
      </c>
      <c r="CK26" s="2502">
        <f>' Table Z Net Exp Profiles'!N26</f>
        <v>0</v>
      </c>
      <c r="CL26" s="1101">
        <f>' Table Z Net Exp Profiles'!O26</f>
        <v>0</v>
      </c>
      <c r="CM26" s="1101">
        <f>' Table Z Net Exp Profiles'!P26</f>
        <v>0</v>
      </c>
      <c r="CO26" s="1350">
        <f>'B2 - Pay &amp; Agency'!A26</f>
        <v>13</v>
      </c>
      <c r="CP26" s="1351" t="str">
        <f>'B2 - Pay &amp; Agency'!B26</f>
        <v>Total - Pay</v>
      </c>
      <c r="CQ26" s="1344">
        <f>'B2 - Pay &amp; Agency'!C26</f>
        <v>10151</v>
      </c>
      <c r="CR26" s="1346">
        <f>'B2 - Pay &amp; Agency'!D26</f>
        <v>9831.948833333332</v>
      </c>
      <c r="CS26" s="1346">
        <f>'B2 - Pay &amp; Agency'!E26</f>
        <v>9872.6593499999999</v>
      </c>
      <c r="CT26" s="1346">
        <f>'B2 - Pay &amp; Agency'!F26</f>
        <v>9902.2591583333324</v>
      </c>
      <c r="CU26" s="1346">
        <f>'B2 - Pay &amp; Agency'!G26</f>
        <v>9895.2591583333324</v>
      </c>
      <c r="CV26" s="1346">
        <f>'B2 - Pay &amp; Agency'!H26</f>
        <v>9904.7003583333335</v>
      </c>
      <c r="CW26" s="1346">
        <f>'B2 - Pay &amp; Agency'!I26</f>
        <v>9899.5761133333326</v>
      </c>
      <c r="CX26" s="1346">
        <f>'B2 - Pay &amp; Agency'!J26</f>
        <v>9899.5761133333326</v>
      </c>
      <c r="CY26" s="1346">
        <f>'B2 - Pay &amp; Agency'!K26</f>
        <v>9888.6128800000006</v>
      </c>
      <c r="CZ26" s="1346">
        <f>'B2 - Pay &amp; Agency'!L26</f>
        <v>9886.5761133333326</v>
      </c>
      <c r="DA26" s="1346">
        <f>'B2 - Pay &amp; Agency'!M26</f>
        <v>9867.2591583333324</v>
      </c>
      <c r="DB26" s="1345">
        <f>'B2 - Pay &amp; Agency'!N26</f>
        <v>9878.2622222222217</v>
      </c>
      <c r="DC26" s="1344">
        <f>'B2 - Pay &amp; Agency'!O26</f>
        <v>10151</v>
      </c>
      <c r="DD26" s="1345">
        <f>'B2 - Pay &amp; Agency'!P26</f>
        <v>118877.68945888888</v>
      </c>
      <c r="DF26" s="2852">
        <f>'B3 - COVID-19'!A26</f>
        <v>19</v>
      </c>
      <c r="DG26" s="2845" t="str">
        <f>'B3 - COVID-19'!B26</f>
        <v>Continuing Care and Funded Nursing Care</v>
      </c>
      <c r="DH26" s="1330">
        <f>'B3 - COVID-19'!C26</f>
        <v>0</v>
      </c>
      <c r="DI26" s="1330">
        <f>'B3 - COVID-19'!D26</f>
        <v>0</v>
      </c>
      <c r="DJ26" s="1330">
        <f>'B3 - COVID-19'!E26</f>
        <v>0</v>
      </c>
      <c r="DK26" s="1330">
        <f>'B3 - COVID-19'!F26</f>
        <v>0</v>
      </c>
      <c r="DL26" s="1330">
        <f>'B3 - COVID-19'!G26</f>
        <v>0</v>
      </c>
      <c r="DM26" s="1330">
        <f>'B3 - COVID-19'!H26</f>
        <v>0</v>
      </c>
      <c r="DN26" s="1330">
        <f>'B3 - COVID-19'!I26</f>
        <v>0</v>
      </c>
      <c r="DO26" s="1330">
        <f>'B3 - COVID-19'!J26</f>
        <v>0</v>
      </c>
      <c r="DP26" s="1330">
        <f>'B3 - COVID-19'!K26</f>
        <v>0</v>
      </c>
      <c r="DQ26" s="1330">
        <f>'B3 - COVID-19'!L26</f>
        <v>0</v>
      </c>
      <c r="DR26" s="1330">
        <f>'B3 - COVID-19'!M26</f>
        <v>0</v>
      </c>
      <c r="DS26" s="1330">
        <f>'B3 - COVID-19'!N26</f>
        <v>0</v>
      </c>
      <c r="DT26" s="1863">
        <f>'B3 - COVID-19'!O26</f>
        <v>0</v>
      </c>
      <c r="DU26" s="1863">
        <f>'B3 - COVID-19'!P26</f>
        <v>0</v>
      </c>
      <c r="DV26" s="608"/>
      <c r="DW26" s="1116"/>
      <c r="DY26" s="2095">
        <f>'C, C1, C2&amp; C3 - Savings Schemes'!A26</f>
        <v>14</v>
      </c>
      <c r="DZ26" s="3039"/>
      <c r="EA26" s="90" t="str">
        <f>'C, C1, C2&amp; C3 - Savings Schemes'!C26</f>
        <v>Actual/F'cast</v>
      </c>
      <c r="EB26" s="1782">
        <f>'C, C1, C2&amp; C3 - Savings Schemes'!D26</f>
        <v>789.91666666666663</v>
      </c>
      <c r="EC26" s="1782">
        <f>'C, C1, C2&amp; C3 - Savings Schemes'!E26</f>
        <v>56.916666666666664</v>
      </c>
      <c r="ED26" s="1782">
        <f>'C, C1, C2&amp; C3 - Savings Schemes'!F26</f>
        <v>56.916666666666664</v>
      </c>
      <c r="EE26" s="1782">
        <f>'C, C1, C2&amp; C3 - Savings Schemes'!G26</f>
        <v>56.916666666666664</v>
      </c>
      <c r="EF26" s="1782">
        <f>'C, C1, C2&amp; C3 - Savings Schemes'!H26</f>
        <v>56.916666666666664</v>
      </c>
      <c r="EG26" s="1782">
        <f>'C, C1, C2&amp; C3 - Savings Schemes'!I26</f>
        <v>56.916666666666664</v>
      </c>
      <c r="EH26" s="1782">
        <f>'C, C1, C2&amp; C3 - Savings Schemes'!J26</f>
        <v>56.916666666666664</v>
      </c>
      <c r="EI26" s="1782">
        <f>'C, C1, C2&amp; C3 - Savings Schemes'!K26</f>
        <v>56.916666666666664</v>
      </c>
      <c r="EJ26" s="1782">
        <f>'C, C1, C2&amp; C3 - Savings Schemes'!L26</f>
        <v>56.916666666666664</v>
      </c>
      <c r="EK26" s="1782">
        <f>'C, C1, C2&amp; C3 - Savings Schemes'!M26</f>
        <v>56.916666666666664</v>
      </c>
      <c r="EL26" s="1782">
        <f>'C, C1, C2&amp; C3 - Savings Schemes'!N26</f>
        <v>56.916666666666664</v>
      </c>
      <c r="EM26" s="1795">
        <f>'C, C1, C2&amp; C3 - Savings Schemes'!O26</f>
        <v>56.916666666666664</v>
      </c>
      <c r="EN26" s="121">
        <f>'C, C1, C2&amp; C3 - Savings Schemes'!P26</f>
        <v>789.91666666666663</v>
      </c>
      <c r="EO26" s="940">
        <f>'C, C1, C2&amp; C3 - Savings Schemes'!Q26</f>
        <v>1416.0000000000002</v>
      </c>
      <c r="EP26" s="1167">
        <f>'C, C1, C2&amp; C3 - Savings Schemes'!R26</f>
        <v>0.55785075329566847</v>
      </c>
      <c r="EQ26" s="2096">
        <f>'C, C1, C2&amp; C3 - Savings Schemes'!S26</f>
        <v>1416</v>
      </c>
      <c r="ER26" s="2096">
        <f>'C, C1, C2&amp; C3 - Savings Schemes'!T26</f>
        <v>0</v>
      </c>
      <c r="ES26" s="2096">
        <f>'C, C1, C2&amp; C3 - Savings Schemes'!U26</f>
        <v>0</v>
      </c>
      <c r="ET26" s="2096">
        <f>'C, C1, C2&amp; C3 - Savings Schemes'!V26</f>
        <v>1416</v>
      </c>
      <c r="EU26" s="111"/>
      <c r="EV26" s="1796">
        <f>'C, C1, C2&amp; C3 - Savings Schemes'!X26</f>
        <v>1416</v>
      </c>
      <c r="EW26" s="1932"/>
      <c r="EX26" s="3073" t="str">
        <f>'Table C4 Tracker'!A26:A28</f>
        <v>Accountancy Gains</v>
      </c>
      <c r="EY26" s="1063"/>
      <c r="EZ26" s="1705"/>
      <c r="FA26" s="1706"/>
      <c r="FB26" s="1706"/>
      <c r="FC26" s="1706"/>
      <c r="FD26" s="1706"/>
      <c r="FE26" s="1706"/>
      <c r="FF26" s="1706"/>
      <c r="FG26" s="1706"/>
      <c r="FH26" s="1706"/>
      <c r="FI26" s="1706"/>
      <c r="FJ26" s="1706"/>
      <c r="FK26" s="1706"/>
      <c r="FL26" s="1709"/>
      <c r="FM26" s="1458"/>
      <c r="FN26" s="1707"/>
      <c r="FO26" s="1709"/>
      <c r="FP26" s="1709"/>
      <c r="FQ26" s="1709"/>
      <c r="FR26" s="1709"/>
      <c r="FS26" s="1957"/>
      <c r="FU26" s="2045">
        <f>'D - Welsh NHS Assumptions'!A26</f>
        <v>16</v>
      </c>
      <c r="FV26" s="2083" t="str">
        <f>'D - Welsh NHS Assumptions'!B26</f>
        <v>NHS Executive</v>
      </c>
      <c r="FW26" s="2069">
        <f>'D - Welsh NHS Assumptions'!C26</f>
        <v>0</v>
      </c>
      <c r="FX26" s="2069">
        <f>'D - Welsh NHS Assumptions'!D26</f>
        <v>0</v>
      </c>
      <c r="FY26" s="2048">
        <f>'D - Welsh NHS Assumptions'!E26</f>
        <v>0</v>
      </c>
      <c r="FZ26" s="1745"/>
      <c r="GA26" s="2069">
        <f>'D - Welsh NHS Assumptions'!G26</f>
        <v>0</v>
      </c>
      <c r="GB26" s="2069">
        <f>'D - Welsh NHS Assumptions'!H26</f>
        <v>0</v>
      </c>
      <c r="GC26" s="2048">
        <f>'D - Welsh NHS Assumptions'!I26</f>
        <v>0</v>
      </c>
      <c r="GD26" s="1745"/>
      <c r="GF26" s="2112">
        <f>'E - Resource Limits'!A26</f>
        <v>14</v>
      </c>
      <c r="GG26" s="2113" t="str">
        <f>'E - Resource Limits'!B26</f>
        <v>Removal of IFRS-16 Leases (Revenue)</v>
      </c>
      <c r="GH26" s="2114">
        <f>'E - Resource Limits'!C26</f>
        <v>0</v>
      </c>
      <c r="GI26" s="2114">
        <f>'E - Resource Limits'!D26</f>
        <v>0</v>
      </c>
      <c r="GJ26" s="2114">
        <f>'E - Resource Limits'!E26</f>
        <v>0</v>
      </c>
      <c r="GK26" s="2114">
        <f>'E - Resource Limits'!F26</f>
        <v>0</v>
      </c>
      <c r="GL26" s="2048">
        <f>'E - Resource Limits'!G26</f>
        <v>0</v>
      </c>
      <c r="GM26" s="2115">
        <f>'E - Resource Limits'!H26</f>
        <v>0</v>
      </c>
      <c r="GN26" s="2114">
        <f>'E - Resource Limits'!I26</f>
        <v>0</v>
      </c>
      <c r="GO26" s="2114">
        <f>'E - Resource Limits'!J26</f>
        <v>0</v>
      </c>
      <c r="GP26" s="2114">
        <f>'E - Resource Limits'!K26</f>
        <v>0</v>
      </c>
      <c r="GQ26" s="2116">
        <f>'E - Resource Limits'!L26</f>
        <v>0</v>
      </c>
      <c r="GR26" s="1935">
        <f t="shared" si="6"/>
        <v>0</v>
      </c>
      <c r="GT26" s="175">
        <f>'E1 - Invoiced Income'!A26</f>
        <v>15</v>
      </c>
      <c r="GU26" s="1797">
        <f>'E1 - Invoiced Income'!B26</f>
        <v>0</v>
      </c>
      <c r="GV26" s="1798">
        <f>'E1 - Invoiced Income'!C26</f>
        <v>0</v>
      </c>
      <c r="GW26" s="1798">
        <f>'E1 - Invoiced Income'!D26</f>
        <v>0</v>
      </c>
      <c r="GX26" s="1798">
        <f>'E1 - Invoiced Income'!E26</f>
        <v>0</v>
      </c>
      <c r="GY26" s="1798">
        <f>'E1 - Invoiced Income'!F26</f>
        <v>0</v>
      </c>
      <c r="GZ26" s="1798">
        <f>'E1 - Invoiced Income'!G26</f>
        <v>0</v>
      </c>
      <c r="HA26" s="1798">
        <f>'E1 - Invoiced Income'!H26</f>
        <v>0</v>
      </c>
      <c r="HB26" s="1798">
        <f>'E1 - Invoiced Income'!I26</f>
        <v>0</v>
      </c>
      <c r="HC26" s="1798">
        <f>'E1 - Invoiced Income'!J26</f>
        <v>0</v>
      </c>
      <c r="HD26" s="1798">
        <f>'E1 - Invoiced Income'!K26</f>
        <v>0</v>
      </c>
      <c r="HE26" s="1798">
        <f>'E1 - Invoiced Income'!L26</f>
        <v>0</v>
      </c>
      <c r="HF26" s="1798">
        <f>'E1 - Invoiced Income'!M26</f>
        <v>0</v>
      </c>
      <c r="HG26" s="1798">
        <f>'E1 - Invoiced Income'!N26</f>
        <v>0</v>
      </c>
      <c r="HH26" s="1798">
        <f>'E1 - Invoiced Income'!O26</f>
        <v>0</v>
      </c>
      <c r="HI26" s="1798">
        <f>'E1 - Invoiced Income'!P26</f>
        <v>0</v>
      </c>
      <c r="HJ26" s="1798">
        <f>'E1 - Invoiced Income'!R26</f>
        <v>0</v>
      </c>
      <c r="HK26" s="1798">
        <f>'E1 - Invoiced Income'!S26</f>
        <v>0</v>
      </c>
      <c r="HL26" s="1665">
        <f>'E1 - Invoiced Income'!T26</f>
        <v>0</v>
      </c>
      <c r="HM26" s="1799">
        <f>'E1 - Invoiced Income'!U26</f>
        <v>0</v>
      </c>
      <c r="HO26" s="2007">
        <f>'F - SoFP'!A26</f>
        <v>14</v>
      </c>
      <c r="HP26" s="2008" t="str">
        <f>'F - SoFP'!B26</f>
        <v>Borrowings (Trust Only)</v>
      </c>
      <c r="HQ26" s="2009">
        <f>'F - SoFP'!C26</f>
        <v>0</v>
      </c>
      <c r="HR26" s="2010">
        <f>'F - SoFP'!D26</f>
        <v>0</v>
      </c>
      <c r="HS26" s="2010">
        <f>'F - SoFP'!E26</f>
        <v>0</v>
      </c>
      <c r="HT26" s="1946"/>
      <c r="HV26" s="2148">
        <f>'G - Cash Flow'!A26</f>
        <v>15</v>
      </c>
      <c r="HW26" s="2149" t="str">
        <f>'G - Cash Flow'!B26</f>
        <v>Primary Care Services : General Dental Services</v>
      </c>
      <c r="HX26" s="2064">
        <f>'G - Cash Flow'!C26</f>
        <v>0</v>
      </c>
      <c r="HY26" s="2064">
        <f>'G - Cash Flow'!D26</f>
        <v>0</v>
      </c>
      <c r="HZ26" s="2064">
        <f>'G - Cash Flow'!E26</f>
        <v>0</v>
      </c>
      <c r="IA26" s="2064">
        <f>'G - Cash Flow'!F26</f>
        <v>0</v>
      </c>
      <c r="IB26" s="2064">
        <f>'G - Cash Flow'!G26</f>
        <v>0</v>
      </c>
      <c r="IC26" s="2064">
        <f>'G - Cash Flow'!H26</f>
        <v>0</v>
      </c>
      <c r="ID26" s="2064">
        <f>'G - Cash Flow'!I26</f>
        <v>0</v>
      </c>
      <c r="IE26" s="2064">
        <f>'G - Cash Flow'!J26</f>
        <v>0</v>
      </c>
      <c r="IF26" s="2064">
        <f>'G - Cash Flow'!K26</f>
        <v>0</v>
      </c>
      <c r="IG26" s="2064">
        <f>'G - Cash Flow'!L26</f>
        <v>0</v>
      </c>
      <c r="IH26" s="2064">
        <f>'G - Cash Flow'!M26</f>
        <v>0</v>
      </c>
      <c r="II26" s="2064">
        <f>'G - Cash Flow'!N26</f>
        <v>0</v>
      </c>
      <c r="IJ26" s="2150">
        <f>'G - Cash Flow'!O26</f>
        <v>0</v>
      </c>
      <c r="IK26" s="1942"/>
      <c r="IM26" s="1745"/>
      <c r="IN26" s="1745"/>
      <c r="IO26" s="1745"/>
      <c r="IP26" s="1745"/>
      <c r="IQ26" s="1745"/>
      <c r="IR26" s="1745"/>
      <c r="IS26" s="1745"/>
      <c r="IT26" s="1745"/>
      <c r="IU26" s="1745"/>
      <c r="IV26" s="1745"/>
      <c r="IW26" s="1745"/>
      <c r="IX26" s="1745"/>
      <c r="IY26" s="1745"/>
      <c r="IZ26" s="1745"/>
      <c r="JA26" s="1745"/>
      <c r="JB26" s="1745"/>
      <c r="JD26" s="2088">
        <f>'I - Capital RLM'!A26</f>
        <v>8</v>
      </c>
      <c r="JE26" s="2126">
        <f>'I - Capital RLM'!B26</f>
        <v>0</v>
      </c>
      <c r="JF26" s="2010">
        <f>'I - Capital RLM'!C26</f>
        <v>0</v>
      </c>
      <c r="JG26" s="2010">
        <f>'I - Capital RLM'!D26</f>
        <v>0</v>
      </c>
      <c r="JH26" s="2118">
        <f>'I - Capital RLM'!E26</f>
        <v>0</v>
      </c>
      <c r="JI26" s="2119">
        <f>'I - Capital RLM'!F26</f>
        <v>0</v>
      </c>
      <c r="JJ26" s="2010">
        <f>'I - Capital RLM'!G26</f>
        <v>0</v>
      </c>
      <c r="JK26" s="2010">
        <f>'I - Capital RLM'!H26</f>
        <v>0</v>
      </c>
      <c r="JL26" s="2118">
        <f>'I - Capital RLM'!I26</f>
        <v>0</v>
      </c>
      <c r="JM26" s="2120"/>
      <c r="JN26" s="1890">
        <f>'I - Capital RLM'!K26</f>
        <v>0</v>
      </c>
      <c r="JO26" s="2120">
        <f t="shared" si="7"/>
        <v>0</v>
      </c>
      <c r="JQ26" s="2088">
        <f>'J - Capital In Year Schemes'!A26</f>
        <v>15</v>
      </c>
      <c r="JR26" s="2089">
        <f>'J - Capital In Year Schemes'!B26</f>
        <v>0</v>
      </c>
      <c r="JS26" s="2089">
        <f>'J - Capital In Year Schemes'!C26</f>
        <v>0</v>
      </c>
      <c r="JT26" s="2010">
        <f>'J - Capital In Year Schemes'!D26</f>
        <v>0</v>
      </c>
      <c r="JU26" s="2010">
        <f>'J - Capital In Year Schemes'!E26</f>
        <v>0</v>
      </c>
      <c r="JV26" s="2010">
        <f>'J - Capital In Year Schemes'!F26</f>
        <v>0</v>
      </c>
      <c r="JW26" s="2010">
        <f>'J - Capital In Year Schemes'!G26</f>
        <v>0</v>
      </c>
      <c r="JX26" s="2010">
        <f>'J - Capital In Year Schemes'!H26</f>
        <v>0</v>
      </c>
      <c r="JY26" s="2010">
        <f>'J - Capital In Year Schemes'!I26</f>
        <v>0</v>
      </c>
      <c r="JZ26" s="2010">
        <f>'J - Capital In Year Schemes'!J26</f>
        <v>0</v>
      </c>
      <c r="KA26" s="2010">
        <f>'J - Capital In Year Schemes'!K26</f>
        <v>0</v>
      </c>
      <c r="KB26" s="2010">
        <f>'J - Capital In Year Schemes'!L26</f>
        <v>0</v>
      </c>
      <c r="KC26" s="2010">
        <f>'J - Capital In Year Schemes'!M26</f>
        <v>0</v>
      </c>
      <c r="KD26" s="2010">
        <f>'J - Capital In Year Schemes'!N26</f>
        <v>0</v>
      </c>
      <c r="KE26" s="2010">
        <f>'J - Capital In Year Schemes'!O26</f>
        <v>0</v>
      </c>
      <c r="KF26" s="2010">
        <f>'J - Capital In Year Schemes'!P26</f>
        <v>0</v>
      </c>
      <c r="KG26" s="2010">
        <f>'J - Capital In Year Schemes'!Q26</f>
        <v>0</v>
      </c>
      <c r="KH26" s="2090">
        <f>'J - Capital In Year Schemes'!R26</f>
        <v>0</v>
      </c>
      <c r="KI26" s="2090">
        <f>'J - Capital In Year Schemes'!S26</f>
        <v>0</v>
      </c>
      <c r="KJ26" s="2091">
        <f>'J - Capital In Year Schemes'!T26</f>
        <v>0</v>
      </c>
      <c r="KK26" s="2060">
        <f t="shared" si="5"/>
        <v>0</v>
      </c>
      <c r="KM26" s="2053">
        <f>'K - Capital Disposals'!A26</f>
        <v>16</v>
      </c>
      <c r="KN26" s="2077">
        <f>'K - Capital Disposals'!B26</f>
        <v>0</v>
      </c>
      <c r="KO26" s="2062">
        <f>'K - Capital Disposals'!C26</f>
        <v>0</v>
      </c>
      <c r="KP26" s="2062">
        <f>'K - Capital Disposals'!D26</f>
        <v>0</v>
      </c>
      <c r="KQ26" s="2078">
        <f>'K - Capital Disposals'!E26</f>
        <v>0</v>
      </c>
      <c r="KR26" s="2064">
        <f>'K - Capital Disposals'!F26</f>
        <v>0</v>
      </c>
      <c r="KS26" s="2064">
        <f>'K - Capital Disposals'!G26</f>
        <v>0</v>
      </c>
      <c r="KT26" s="2054">
        <f>'K - Capital Disposals'!H26</f>
        <v>0</v>
      </c>
      <c r="KU26" s="2055">
        <f>'K - Capital Disposals'!I26</f>
        <v>0</v>
      </c>
      <c r="KV26" s="3100">
        <f>'K - Capital Disposals'!J26</f>
        <v>0</v>
      </c>
      <c r="KW26" s="3095"/>
      <c r="KX26" s="3095"/>
      <c r="KY26" s="3095"/>
      <c r="KZ26" s="3095"/>
      <c r="LA26" s="3095"/>
      <c r="LB26" s="3096"/>
      <c r="LC26" s="1935"/>
      <c r="LE26" s="1624">
        <f>'L - EFL'!A26</f>
        <v>15</v>
      </c>
      <c r="LF26" s="1623" t="str">
        <f>'L - EFL'!B26</f>
        <v>Non current liabilities - Trade and other payables</v>
      </c>
      <c r="LG26" s="1811">
        <f>'L - EFL'!C26</f>
        <v>0</v>
      </c>
      <c r="LH26" s="1811">
        <f>'L - EFL'!D26</f>
        <v>0</v>
      </c>
      <c r="LI26" s="1613">
        <f>'L - EFL'!E26</f>
        <v>0</v>
      </c>
      <c r="LJ26" s="1811">
        <f>'L - EFL'!F26</f>
        <v>0</v>
      </c>
      <c r="LL26" s="814"/>
      <c r="LM26" s="2140">
        <f>'M - Aged Debtors'!B26</f>
        <v>0</v>
      </c>
      <c r="LN26" s="2141">
        <f>'M - Aged Debtors'!C26</f>
        <v>0</v>
      </c>
      <c r="LO26" s="2142">
        <f>'M - Aged Debtors'!D26</f>
        <v>0</v>
      </c>
      <c r="LP26" s="2143">
        <f>'M - Aged Debtors'!E26</f>
        <v>0</v>
      </c>
      <c r="LQ26" s="2144">
        <f>'M - Aged Debtors'!F26</f>
        <v>0</v>
      </c>
      <c r="LR26" s="2145" t="str">
        <f>'M - Aged Debtors'!G26</f>
        <v/>
      </c>
      <c r="LS26" s="829" t="str">
        <f>'M - Aged Debtors'!H26</f>
        <v/>
      </c>
      <c r="LT26" s="829" t="str">
        <f>'M - Aged Debtors'!I26</f>
        <v/>
      </c>
      <c r="LU26" s="830" t="str">
        <f>'M - Aged Debtors'!J26</f>
        <v/>
      </c>
      <c r="LV26" s="1757">
        <f>'M - Aged Debtors'!K26</f>
        <v>0</v>
      </c>
      <c r="LX26" s="462" t="str">
        <f>'N - GMS'!A26</f>
        <v>Premises                                  (To equal data in section C Line 138)</v>
      </c>
      <c r="LY26" s="460"/>
      <c r="LZ26" s="461">
        <f>'N - GMS'!C26</f>
        <v>13</v>
      </c>
      <c r="MA26" s="1028">
        <f>'N - GMS'!D26</f>
        <v>0</v>
      </c>
      <c r="MB26" s="1808">
        <f>'N - GMS'!E26</f>
        <v>0</v>
      </c>
      <c r="MC26" s="1808">
        <f>'N - GMS'!F26</f>
        <v>0</v>
      </c>
      <c r="MD26" s="463">
        <f>'N - GMS'!G26</f>
        <v>0</v>
      </c>
      <c r="ME26" s="213"/>
      <c r="MF26" s="1808">
        <f>'N - GMS'!I26</f>
        <v>0</v>
      </c>
      <c r="MH26" s="1679" t="str">
        <f>'O - Dental'!A26</f>
        <v>Sedation services including GA</v>
      </c>
      <c r="MI26" s="709"/>
      <c r="MJ26" s="701">
        <f>'O - Dental'!C26</f>
        <v>16</v>
      </c>
      <c r="MK26" s="664">
        <f>'O - Dental'!D26</f>
        <v>0</v>
      </c>
      <c r="ML26" s="2151">
        <f>'O - Dental'!E26</f>
        <v>0</v>
      </c>
      <c r="MM26" s="2152">
        <f>'O - Dental'!F26</f>
        <v>0</v>
      </c>
      <c r="MN26" s="2153">
        <f>'O - Dental'!G26</f>
        <v>0</v>
      </c>
      <c r="MO26" s="308"/>
      <c r="MP26" s="1765">
        <f>'O - Dental'!I26</f>
        <v>0</v>
      </c>
      <c r="MR26" s="684"/>
      <c r="MS26" s="2657"/>
      <c r="MT26" s="2658"/>
      <c r="MU26" s="2659"/>
      <c r="MV26" s="2659"/>
      <c r="MW26" s="2659"/>
      <c r="MX26" s="2659"/>
      <c r="MY26" s="2659"/>
      <c r="MZ26" s="2659"/>
      <c r="NA26" s="2659"/>
      <c r="NB26" s="2659"/>
      <c r="NC26" s="2659"/>
      <c r="ND26" s="2659"/>
      <c r="NE26" s="2659"/>
      <c r="NF26" s="2659"/>
      <c r="NG26" s="2659"/>
      <c r="NH26" s="2659"/>
      <c r="NI26" s="2664"/>
      <c r="NJ26" s="2664"/>
      <c r="NK26" s="1468" t="str">
        <f>IF(NJ34-MV34=0,"","check")</f>
        <v/>
      </c>
      <c r="NL26" s="684"/>
    </row>
    <row r="27" spans="1:376" ht="20.149999999999999" customHeight="1" thickBot="1">
      <c r="A27" s="1745"/>
      <c r="B27" s="1745"/>
      <c r="C27" s="1745"/>
      <c r="D27" s="1745"/>
      <c r="E27" s="1745"/>
      <c r="F27" s="1745"/>
      <c r="G27" s="1745"/>
      <c r="H27" s="1745"/>
      <c r="I27" s="1745"/>
      <c r="J27" s="1745"/>
      <c r="K27" s="1745"/>
      <c r="M27" s="950">
        <f>'A - Movement'!A27</f>
        <v>17</v>
      </c>
      <c r="N27" s="991" t="str">
        <f>'A - Movement'!B27</f>
        <v>Additional In Year &amp; Movement from Planned Profit / (Loss) on Disposal of Assets</v>
      </c>
      <c r="O27" s="1131">
        <f>'A - Movement'!C27</f>
        <v>0</v>
      </c>
      <c r="P27" s="1131">
        <f>'A - Movement'!D27</f>
        <v>0</v>
      </c>
      <c r="Q27" s="954">
        <f>'A - Movement'!E27</f>
        <v>0</v>
      </c>
      <c r="R27" s="954">
        <f>'A - Movement'!F27</f>
        <v>0</v>
      </c>
      <c r="S27" s="1745"/>
      <c r="T27" s="1928"/>
      <c r="U27" s="950">
        <f>'A - Movement'!I27</f>
        <v>17</v>
      </c>
      <c r="V27" s="991" t="str">
        <f t="shared" si="8"/>
        <v>Additional In Year &amp; Movement from Planned Profit / (Loss) on Disposal of Assets</v>
      </c>
      <c r="W27" s="954">
        <f>'A - Movement'!J27</f>
        <v>0</v>
      </c>
      <c r="X27" s="954">
        <f>'A - Movement'!K27</f>
        <v>0</v>
      </c>
      <c r="Y27" s="954">
        <f>'A - Movement'!L27</f>
        <v>0</v>
      </c>
      <c r="Z27" s="954">
        <f>'A - Movement'!M27</f>
        <v>0</v>
      </c>
      <c r="AA27" s="954">
        <f>'A - Movement'!N27</f>
        <v>0</v>
      </c>
      <c r="AB27" s="954">
        <f>'A - Movement'!O27</f>
        <v>0</v>
      </c>
      <c r="AC27" s="954">
        <f>'A - Movement'!P27</f>
        <v>0</v>
      </c>
      <c r="AD27" s="954">
        <f>'A - Movement'!Q27</f>
        <v>0</v>
      </c>
      <c r="AE27" s="954">
        <f>'A - Movement'!R27</f>
        <v>0</v>
      </c>
      <c r="AF27" s="954">
        <f>'A - Movement'!S27</f>
        <v>0</v>
      </c>
      <c r="AG27" s="954">
        <f>'A - Movement'!T27</f>
        <v>0</v>
      </c>
      <c r="AH27" s="954">
        <f>'A - Movement'!U27</f>
        <v>0</v>
      </c>
      <c r="AI27" s="1131">
        <f>'A - Movement'!V27</f>
        <v>0</v>
      </c>
      <c r="AJ27" s="1131">
        <f>'A - Movement'!W27</f>
        <v>0</v>
      </c>
      <c r="AK27" s="1131">
        <f t="shared" si="9"/>
        <v>0</v>
      </c>
      <c r="AL27" s="954">
        <f t="shared" si="10"/>
        <v>0</v>
      </c>
      <c r="AM27" s="954">
        <f t="shared" si="11"/>
        <v>0</v>
      </c>
      <c r="AN27" s="1745"/>
      <c r="AO27" s="1928"/>
      <c r="AP27" s="1403">
        <f>'A1 - Underlying Position'!A28</f>
        <v>17</v>
      </c>
      <c r="AQ27" s="1375" t="str">
        <f>'A1 - Underlying Position'!B28</f>
        <v>Health Care Provided by other Orgs – Welsh LHBs</v>
      </c>
      <c r="AR27" s="1800">
        <f>'A1 - Underlying Position'!C28</f>
        <v>0</v>
      </c>
      <c r="AS27" s="2154">
        <f>'A1 - Underlying Position'!D28</f>
        <v>0</v>
      </c>
      <c r="AT27" s="2154">
        <f>'A1 - Underlying Position'!E28</f>
        <v>0</v>
      </c>
      <c r="AU27" s="75">
        <f>'A1 - Underlying Position'!F28</f>
        <v>0</v>
      </c>
      <c r="AV27" s="2155">
        <f>'A1 - Underlying Position'!G28</f>
        <v>0</v>
      </c>
      <c r="AW27" s="75">
        <f>'A1 - Underlying Position'!H28</f>
        <v>0</v>
      </c>
      <c r="AX27" s="1745"/>
      <c r="AZ27" s="1717">
        <f>'A2 - Risks'!A27</f>
        <v>19</v>
      </c>
      <c r="BA27" s="1806">
        <f>'A2 - Risks'!B27</f>
        <v>0</v>
      </c>
      <c r="BB27" s="1788">
        <f>'A2 - Risks'!C27</f>
        <v>0</v>
      </c>
      <c r="BC27" s="1759">
        <f>'A2 - Risks'!D27</f>
        <v>0</v>
      </c>
      <c r="BE27" s="2109">
        <f>'B - Monthly Positions'!A27</f>
        <v>17</v>
      </c>
      <c r="BF27" s="1373" t="str">
        <f>'B - Monthly Positions'!B27</f>
        <v xml:space="preserve">Joint Financing and Other </v>
      </c>
      <c r="BG27" s="93" t="str">
        <f>'B - Monthly Positions'!C27</f>
        <v>Actual/F'cast</v>
      </c>
      <c r="BH27" s="1782">
        <f>'B - Monthly Positions'!D27</f>
        <v>0</v>
      </c>
      <c r="BI27" s="1782">
        <f>'B - Monthly Positions'!E27</f>
        <v>0</v>
      </c>
      <c r="BJ27" s="1782">
        <f>'B - Monthly Positions'!F27</f>
        <v>0</v>
      </c>
      <c r="BK27" s="1782">
        <f>'B - Monthly Positions'!G27</f>
        <v>0</v>
      </c>
      <c r="BL27" s="1783">
        <f>'B - Monthly Positions'!H27</f>
        <v>0</v>
      </c>
      <c r="BM27" s="1783">
        <f>'B - Monthly Positions'!I27</f>
        <v>0</v>
      </c>
      <c r="BN27" s="1783">
        <f>'B - Monthly Positions'!J27</f>
        <v>0</v>
      </c>
      <c r="BO27" s="1783">
        <f>'B - Monthly Positions'!K27</f>
        <v>0</v>
      </c>
      <c r="BP27" s="1783">
        <f>'B - Monthly Positions'!L27</f>
        <v>0</v>
      </c>
      <c r="BQ27" s="1783">
        <f>'B - Monthly Positions'!M27</f>
        <v>0</v>
      </c>
      <c r="BR27" s="1783">
        <f>'B - Monthly Positions'!N27</f>
        <v>0</v>
      </c>
      <c r="BS27" s="1815">
        <f>'B - Monthly Positions'!O27</f>
        <v>0</v>
      </c>
      <c r="BT27" s="1782">
        <f>'B - Monthly Positions'!P27</f>
        <v>0</v>
      </c>
      <c r="BU27" s="1782">
        <f>'B - Monthly Positions'!Q27</f>
        <v>0</v>
      </c>
      <c r="BV27" s="1643"/>
      <c r="BW27" s="1875"/>
      <c r="BX27" s="3068"/>
      <c r="BY27" s="3068"/>
      <c r="BZ27" s="3068"/>
      <c r="CA27" s="3068"/>
      <c r="CB27" s="3068"/>
      <c r="CC27" s="3068"/>
      <c r="CD27" s="3068"/>
      <c r="CE27" s="3068"/>
      <c r="CF27" s="3068"/>
      <c r="CG27" s="3068"/>
      <c r="CH27" s="3068"/>
      <c r="CI27" s="3068"/>
      <c r="CJ27" s="3068"/>
      <c r="CK27" s="3068"/>
      <c r="CL27" s="3068"/>
      <c r="CM27" s="3068"/>
      <c r="CO27" s="80"/>
      <c r="CP27" s="1123"/>
      <c r="CQ27" s="1361"/>
      <c r="CR27" s="1361"/>
      <c r="CS27" s="1361"/>
      <c r="CT27" s="1361"/>
      <c r="CU27" s="1361"/>
      <c r="CV27" s="1361"/>
      <c r="CW27" s="1361"/>
      <c r="CX27" s="1361"/>
      <c r="CY27" s="1361"/>
      <c r="CZ27" s="1361"/>
      <c r="DA27" s="1361"/>
      <c r="DB27" s="1361"/>
      <c r="DC27" s="80"/>
      <c r="DD27" s="608"/>
      <c r="DF27" s="2852">
        <f>'B3 - COVID-19'!A27</f>
        <v>20</v>
      </c>
      <c r="DG27" s="2845" t="str">
        <f>'B3 - COVID-19'!B27</f>
        <v>Other Private &amp; Voluntary Sector</v>
      </c>
      <c r="DH27" s="1330">
        <f>'B3 - COVID-19'!C27</f>
        <v>0</v>
      </c>
      <c r="DI27" s="1330">
        <f>'B3 - COVID-19'!D27</f>
        <v>0</v>
      </c>
      <c r="DJ27" s="1330">
        <f>'B3 - COVID-19'!E27</f>
        <v>0</v>
      </c>
      <c r="DK27" s="1330">
        <f>'B3 - COVID-19'!F27</f>
        <v>0</v>
      </c>
      <c r="DL27" s="1330">
        <f>'B3 - COVID-19'!G27</f>
        <v>0</v>
      </c>
      <c r="DM27" s="1330">
        <f>'B3 - COVID-19'!H27</f>
        <v>0</v>
      </c>
      <c r="DN27" s="1330">
        <f>'B3 - COVID-19'!I27</f>
        <v>0</v>
      </c>
      <c r="DO27" s="1330">
        <f>'B3 - COVID-19'!J27</f>
        <v>0</v>
      </c>
      <c r="DP27" s="1330">
        <f>'B3 - COVID-19'!K27</f>
        <v>0</v>
      </c>
      <c r="DQ27" s="1330">
        <f>'B3 - COVID-19'!L27</f>
        <v>0</v>
      </c>
      <c r="DR27" s="1330">
        <f>'B3 - COVID-19'!M27</f>
        <v>0</v>
      </c>
      <c r="DS27" s="1330">
        <f>'B3 - COVID-19'!N27</f>
        <v>0</v>
      </c>
      <c r="DT27" s="1863">
        <f>'B3 - COVID-19'!O27</f>
        <v>0</v>
      </c>
      <c r="DU27" s="1863">
        <f>'B3 - COVID-19'!P27</f>
        <v>0</v>
      </c>
      <c r="DV27" s="608"/>
      <c r="DW27" s="1116"/>
      <c r="DY27" s="2095">
        <f>'C, C1, C2&amp; C3 - Savings Schemes'!A27</f>
        <v>15</v>
      </c>
      <c r="DZ27" s="3040"/>
      <c r="EA27" s="92" t="str">
        <f>'C, C1, C2&amp; C3 - Savings Schemes'!C27</f>
        <v>Variance</v>
      </c>
      <c r="EB27" s="944">
        <f>'C, C1, C2&amp; C3 - Savings Schemes'!D27</f>
        <v>0</v>
      </c>
      <c r="EC27" s="944">
        <f>'C, C1, C2&amp; C3 - Savings Schemes'!E27</f>
        <v>0</v>
      </c>
      <c r="ED27" s="944">
        <f>'C, C1, C2&amp; C3 - Savings Schemes'!F27</f>
        <v>0</v>
      </c>
      <c r="EE27" s="944">
        <f>'C, C1, C2&amp; C3 - Savings Schemes'!G27</f>
        <v>0</v>
      </c>
      <c r="EF27" s="944">
        <f>'C, C1, C2&amp; C3 - Savings Schemes'!H27</f>
        <v>0</v>
      </c>
      <c r="EG27" s="944">
        <f>'C, C1, C2&amp; C3 - Savings Schemes'!I27</f>
        <v>0</v>
      </c>
      <c r="EH27" s="944">
        <f>'C, C1, C2&amp; C3 - Savings Schemes'!J27</f>
        <v>0</v>
      </c>
      <c r="EI27" s="944">
        <f>'C, C1, C2&amp; C3 - Savings Schemes'!K27</f>
        <v>0</v>
      </c>
      <c r="EJ27" s="944">
        <f>'C, C1, C2&amp; C3 - Savings Schemes'!L27</f>
        <v>0</v>
      </c>
      <c r="EK27" s="944">
        <f>'C, C1, C2&amp; C3 - Savings Schemes'!M27</f>
        <v>0</v>
      </c>
      <c r="EL27" s="944">
        <f>'C, C1, C2&amp; C3 - Savings Schemes'!N27</f>
        <v>0</v>
      </c>
      <c r="EM27" s="944">
        <f>'C, C1, C2&amp; C3 - Savings Schemes'!O27</f>
        <v>0</v>
      </c>
      <c r="EN27" s="942">
        <f>'C, C1, C2&amp; C3 - Savings Schemes'!P27</f>
        <v>0</v>
      </c>
      <c r="EO27" s="939">
        <f>'C, C1, C2&amp; C3 - Savings Schemes'!Q27</f>
        <v>0</v>
      </c>
      <c r="EP27" s="1168">
        <f>'C, C1, C2&amp; C3 - Savings Schemes'!R27</f>
        <v>0</v>
      </c>
      <c r="EQ27" s="2081"/>
      <c r="ER27" s="2081"/>
      <c r="ES27" s="2081"/>
      <c r="ET27" s="2081"/>
      <c r="EU27" s="608"/>
      <c r="EV27" s="594"/>
      <c r="EW27" s="1932"/>
      <c r="EX27" s="3074"/>
      <c r="EY27" s="1698"/>
      <c r="EZ27" s="1371"/>
      <c r="FA27" s="1708"/>
      <c r="FB27" s="1708"/>
      <c r="FC27" s="1708"/>
      <c r="FD27" s="1708"/>
      <c r="FE27" s="1708"/>
      <c r="FF27" s="1708"/>
      <c r="FG27" s="1708"/>
      <c r="FH27" s="1708"/>
      <c r="FI27" s="1708"/>
      <c r="FJ27" s="1708"/>
      <c r="FK27" s="1708"/>
      <c r="FL27" s="1577"/>
      <c r="FM27" s="1465"/>
      <c r="FN27" s="939"/>
      <c r="FO27" s="1577"/>
      <c r="FP27" s="1577"/>
      <c r="FQ27" s="1577"/>
      <c r="FR27" s="1577"/>
      <c r="FS27" s="1957"/>
      <c r="FU27" s="2045">
        <f>'D - Welsh NHS Assumptions'!A27</f>
        <v>17</v>
      </c>
      <c r="FV27" s="2157" t="str">
        <f>'D - Welsh NHS Assumptions'!B27</f>
        <v xml:space="preserve">Total  </v>
      </c>
      <c r="FW27" s="2048">
        <f>'D - Welsh NHS Assumptions'!C27</f>
        <v>19974</v>
      </c>
      <c r="FX27" s="2048">
        <f>'D - Welsh NHS Assumptions'!D27</f>
        <v>12224</v>
      </c>
      <c r="FY27" s="2048">
        <f>'D - Welsh NHS Assumptions'!E27</f>
        <v>32198</v>
      </c>
      <c r="FZ27" s="1745"/>
      <c r="GA27" s="2048">
        <f>'D - Welsh NHS Assumptions'!G27</f>
        <v>17687</v>
      </c>
      <c r="GB27" s="2048">
        <f>'D - Welsh NHS Assumptions'!H27</f>
        <v>23230</v>
      </c>
      <c r="GC27" s="2048">
        <f>'D - Welsh NHS Assumptions'!I27</f>
        <v>40917</v>
      </c>
      <c r="GD27" s="1745"/>
      <c r="GF27" s="2112">
        <f>'E - Resource Limits'!A27</f>
        <v>15</v>
      </c>
      <c r="GG27" s="2113" t="str">
        <f>'E - Resource Limits'!B27</f>
        <v>Real Living Wage (Care Homes)</v>
      </c>
      <c r="GH27" s="2114">
        <f>'E - Resource Limits'!C27</f>
        <v>0</v>
      </c>
      <c r="GI27" s="2114">
        <f>'E - Resource Limits'!D27</f>
        <v>0</v>
      </c>
      <c r="GJ27" s="2114">
        <f>'E - Resource Limits'!E27</f>
        <v>0</v>
      </c>
      <c r="GK27" s="2114">
        <f>'E - Resource Limits'!F27</f>
        <v>0</v>
      </c>
      <c r="GL27" s="2048">
        <f>'E - Resource Limits'!G27</f>
        <v>0</v>
      </c>
      <c r="GM27" s="2115">
        <f>'E - Resource Limits'!H27</f>
        <v>0</v>
      </c>
      <c r="GN27" s="2114">
        <f>'E - Resource Limits'!I27</f>
        <v>0</v>
      </c>
      <c r="GO27" s="2114">
        <f>'E - Resource Limits'!J27</f>
        <v>0</v>
      </c>
      <c r="GP27" s="2114">
        <f>'E - Resource Limits'!K27</f>
        <v>0</v>
      </c>
      <c r="GQ27" s="2116">
        <f>'E - Resource Limits'!L27</f>
        <v>0</v>
      </c>
      <c r="GR27" s="1935">
        <f t="shared" si="6"/>
        <v>0</v>
      </c>
      <c r="GT27" s="175">
        <f>'E1 - Invoiced Income'!A27</f>
        <v>16</v>
      </c>
      <c r="GU27" s="1797">
        <f>'E1 - Invoiced Income'!B27</f>
        <v>0</v>
      </c>
      <c r="GV27" s="1798">
        <f>'E1 - Invoiced Income'!C27</f>
        <v>0</v>
      </c>
      <c r="GW27" s="1798">
        <f>'E1 - Invoiced Income'!D27</f>
        <v>0</v>
      </c>
      <c r="GX27" s="1798">
        <f>'E1 - Invoiced Income'!E27</f>
        <v>0</v>
      </c>
      <c r="GY27" s="1798">
        <f>'E1 - Invoiced Income'!F27</f>
        <v>0</v>
      </c>
      <c r="GZ27" s="1798">
        <f>'E1 - Invoiced Income'!G27</f>
        <v>0</v>
      </c>
      <c r="HA27" s="1798">
        <f>'E1 - Invoiced Income'!H27</f>
        <v>0</v>
      </c>
      <c r="HB27" s="1798">
        <f>'E1 - Invoiced Income'!I27</f>
        <v>0</v>
      </c>
      <c r="HC27" s="1798">
        <f>'E1 - Invoiced Income'!J27</f>
        <v>0</v>
      </c>
      <c r="HD27" s="1798">
        <f>'E1 - Invoiced Income'!K27</f>
        <v>0</v>
      </c>
      <c r="HE27" s="1798">
        <f>'E1 - Invoiced Income'!L27</f>
        <v>0</v>
      </c>
      <c r="HF27" s="1798">
        <f>'E1 - Invoiced Income'!M27</f>
        <v>0</v>
      </c>
      <c r="HG27" s="1798">
        <f>'E1 - Invoiced Income'!N27</f>
        <v>0</v>
      </c>
      <c r="HH27" s="1798">
        <f>'E1 - Invoiced Income'!O27</f>
        <v>0</v>
      </c>
      <c r="HI27" s="1798">
        <f>'E1 - Invoiced Income'!P27</f>
        <v>0</v>
      </c>
      <c r="HJ27" s="1798">
        <f>'E1 - Invoiced Income'!R27</f>
        <v>0</v>
      </c>
      <c r="HK27" s="1798">
        <f>'E1 - Invoiced Income'!S27</f>
        <v>0</v>
      </c>
      <c r="HL27" s="1665">
        <f>'E1 - Invoiced Income'!T27</f>
        <v>0</v>
      </c>
      <c r="HM27" s="1799">
        <f>'E1 - Invoiced Income'!U27</f>
        <v>0</v>
      </c>
      <c r="HO27" s="2007">
        <f>'F - SoFP'!A27</f>
        <v>15</v>
      </c>
      <c r="HP27" s="2008" t="str">
        <f>'F - SoFP'!B27</f>
        <v>Other financial liabilities</v>
      </c>
      <c r="HQ27" s="2009">
        <f>'F - SoFP'!C27</f>
        <v>0</v>
      </c>
      <c r="HR27" s="2010">
        <f>'F - SoFP'!D27</f>
        <v>0</v>
      </c>
      <c r="HS27" s="2010">
        <f>'F - SoFP'!E27</f>
        <v>0</v>
      </c>
      <c r="HT27" s="1946"/>
      <c r="HV27" s="2148">
        <f>'G - Cash Flow'!A27</f>
        <v>16</v>
      </c>
      <c r="HW27" s="2149" t="str">
        <f>'G - Cash Flow'!B27</f>
        <v>Non Cash Limited Payments</v>
      </c>
      <c r="HX27" s="2064">
        <f>'G - Cash Flow'!C27</f>
        <v>0</v>
      </c>
      <c r="HY27" s="2064">
        <f>'G - Cash Flow'!D27</f>
        <v>0</v>
      </c>
      <c r="HZ27" s="2064">
        <f>'G - Cash Flow'!E27</f>
        <v>0</v>
      </c>
      <c r="IA27" s="2064">
        <f>'G - Cash Flow'!F27</f>
        <v>0</v>
      </c>
      <c r="IB27" s="2064">
        <f>'G - Cash Flow'!G27</f>
        <v>0</v>
      </c>
      <c r="IC27" s="2064">
        <f>'G - Cash Flow'!H27</f>
        <v>0</v>
      </c>
      <c r="ID27" s="2064">
        <f>'G - Cash Flow'!I27</f>
        <v>0</v>
      </c>
      <c r="IE27" s="2064">
        <f>'G - Cash Flow'!J27</f>
        <v>0</v>
      </c>
      <c r="IF27" s="2064">
        <f>'G - Cash Flow'!K27</f>
        <v>0</v>
      </c>
      <c r="IG27" s="2064">
        <f>'G - Cash Flow'!L27</f>
        <v>0</v>
      </c>
      <c r="IH27" s="2064">
        <f>'G - Cash Flow'!M27</f>
        <v>0</v>
      </c>
      <c r="II27" s="2064">
        <f>'G - Cash Flow'!N27</f>
        <v>0</v>
      </c>
      <c r="IJ27" s="2150">
        <f>'G - Cash Flow'!O27</f>
        <v>0</v>
      </c>
      <c r="IK27" s="1942"/>
      <c r="JD27" s="2088">
        <f>'I - Capital RLM'!A27</f>
        <v>9</v>
      </c>
      <c r="JE27" s="2126">
        <f>'I - Capital RLM'!B27</f>
        <v>0</v>
      </c>
      <c r="JF27" s="2010">
        <f>'I - Capital RLM'!C27</f>
        <v>0</v>
      </c>
      <c r="JG27" s="2010">
        <f>'I - Capital RLM'!D27</f>
        <v>0</v>
      </c>
      <c r="JH27" s="2118">
        <f>'I - Capital RLM'!E27</f>
        <v>0</v>
      </c>
      <c r="JI27" s="2119">
        <f>'I - Capital RLM'!F27</f>
        <v>0</v>
      </c>
      <c r="JJ27" s="2010">
        <f>'I - Capital RLM'!G27</f>
        <v>0</v>
      </c>
      <c r="JK27" s="2010">
        <f>'I - Capital RLM'!H27</f>
        <v>0</v>
      </c>
      <c r="JL27" s="2118">
        <f>'I - Capital RLM'!I27</f>
        <v>0</v>
      </c>
      <c r="JM27" s="2120"/>
      <c r="JN27" s="1890">
        <f>'I - Capital RLM'!K27</f>
        <v>0</v>
      </c>
      <c r="JO27" s="2120">
        <f t="shared" si="7"/>
        <v>0</v>
      </c>
      <c r="JQ27" s="2088">
        <f>'J - Capital In Year Schemes'!A27</f>
        <v>16</v>
      </c>
      <c r="JR27" s="2089">
        <f>'J - Capital In Year Schemes'!B27</f>
        <v>0</v>
      </c>
      <c r="JS27" s="2089">
        <f>'J - Capital In Year Schemes'!C27</f>
        <v>0</v>
      </c>
      <c r="JT27" s="2010">
        <f>'J - Capital In Year Schemes'!D27</f>
        <v>0</v>
      </c>
      <c r="JU27" s="2010">
        <f>'J - Capital In Year Schemes'!E27</f>
        <v>0</v>
      </c>
      <c r="JV27" s="2010">
        <f>'J - Capital In Year Schemes'!F27</f>
        <v>0</v>
      </c>
      <c r="JW27" s="2010">
        <f>'J - Capital In Year Schemes'!G27</f>
        <v>0</v>
      </c>
      <c r="JX27" s="2010">
        <f>'J - Capital In Year Schemes'!H27</f>
        <v>0</v>
      </c>
      <c r="JY27" s="2010">
        <f>'J - Capital In Year Schemes'!I27</f>
        <v>0</v>
      </c>
      <c r="JZ27" s="2010">
        <f>'J - Capital In Year Schemes'!J27</f>
        <v>0</v>
      </c>
      <c r="KA27" s="2010">
        <f>'J - Capital In Year Schemes'!K27</f>
        <v>0</v>
      </c>
      <c r="KB27" s="2010">
        <f>'J - Capital In Year Schemes'!L27</f>
        <v>0</v>
      </c>
      <c r="KC27" s="2010">
        <f>'J - Capital In Year Schemes'!M27</f>
        <v>0</v>
      </c>
      <c r="KD27" s="2010">
        <f>'J - Capital In Year Schemes'!N27</f>
        <v>0</v>
      </c>
      <c r="KE27" s="2010">
        <f>'J - Capital In Year Schemes'!O27</f>
        <v>0</v>
      </c>
      <c r="KF27" s="2010">
        <f>'J - Capital In Year Schemes'!P27</f>
        <v>0</v>
      </c>
      <c r="KG27" s="2010">
        <f>'J - Capital In Year Schemes'!Q27</f>
        <v>0</v>
      </c>
      <c r="KH27" s="2090">
        <f>'J - Capital In Year Schemes'!R27</f>
        <v>0</v>
      </c>
      <c r="KI27" s="2090">
        <f>'J - Capital In Year Schemes'!S27</f>
        <v>0</v>
      </c>
      <c r="KJ27" s="2091">
        <f>'J - Capital In Year Schemes'!T27</f>
        <v>0</v>
      </c>
      <c r="KK27" s="2060">
        <f t="shared" si="5"/>
        <v>0</v>
      </c>
      <c r="KM27" s="2053">
        <f>'K - Capital Disposals'!A27</f>
        <v>17</v>
      </c>
      <c r="KN27" s="2077">
        <f>'K - Capital Disposals'!B27</f>
        <v>0</v>
      </c>
      <c r="KO27" s="2062">
        <f>'K - Capital Disposals'!C27</f>
        <v>0</v>
      </c>
      <c r="KP27" s="2062">
        <f>'K - Capital Disposals'!D27</f>
        <v>0</v>
      </c>
      <c r="KQ27" s="2078">
        <f>'K - Capital Disposals'!E27</f>
        <v>0</v>
      </c>
      <c r="KR27" s="2064">
        <f>'K - Capital Disposals'!F27</f>
        <v>0</v>
      </c>
      <c r="KS27" s="2064">
        <f>'K - Capital Disposals'!G27</f>
        <v>0</v>
      </c>
      <c r="KT27" s="2054">
        <f>'K - Capital Disposals'!H27</f>
        <v>0</v>
      </c>
      <c r="KU27" s="2055">
        <f>'K - Capital Disposals'!I27</f>
        <v>0</v>
      </c>
      <c r="KV27" s="3100">
        <f>'K - Capital Disposals'!J27</f>
        <v>0</v>
      </c>
      <c r="KW27" s="3095"/>
      <c r="KX27" s="3095"/>
      <c r="KY27" s="3095"/>
      <c r="KZ27" s="3095"/>
      <c r="LA27" s="3095"/>
      <c r="LB27" s="3096"/>
      <c r="LC27" s="1935"/>
      <c r="LE27" s="1624">
        <f>'L - EFL'!A27</f>
        <v>16</v>
      </c>
      <c r="LF27" s="1623" t="str">
        <f>'L - EFL'!B27</f>
        <v>Provisions</v>
      </c>
      <c r="LG27" s="1811">
        <f>'L - EFL'!C27</f>
        <v>0</v>
      </c>
      <c r="LH27" s="1811">
        <f>'L - EFL'!D27</f>
        <v>0</v>
      </c>
      <c r="LI27" s="1613">
        <f>'L - EFL'!E27</f>
        <v>0</v>
      </c>
      <c r="LJ27" s="1811">
        <f>'L - EFL'!F27</f>
        <v>0</v>
      </c>
      <c r="LL27" s="814"/>
      <c r="LM27" s="2158">
        <f>'M - Aged Debtors'!B27</f>
        <v>0</v>
      </c>
      <c r="LN27" s="2159">
        <f>'M - Aged Debtors'!C27</f>
        <v>0</v>
      </c>
      <c r="LO27" s="2160">
        <f>'M - Aged Debtors'!D27</f>
        <v>0</v>
      </c>
      <c r="LP27" s="2161">
        <f>'M - Aged Debtors'!E27</f>
        <v>0</v>
      </c>
      <c r="LQ27" s="2162">
        <f>'M - Aged Debtors'!F27</f>
        <v>0</v>
      </c>
      <c r="LR27" s="2163" t="str">
        <f>'M - Aged Debtors'!G27</f>
        <v/>
      </c>
      <c r="LS27" s="829" t="str">
        <f>'M - Aged Debtors'!H27</f>
        <v/>
      </c>
      <c r="LT27" s="829" t="str">
        <f>'M - Aged Debtors'!I27</f>
        <v/>
      </c>
      <c r="LU27" s="830" t="str">
        <f>'M - Aged Debtors'!J27</f>
        <v/>
      </c>
      <c r="LV27" s="1757">
        <f>'M - Aged Debtors'!K27</f>
        <v>0</v>
      </c>
      <c r="LX27" s="462" t="str">
        <f>'N - GMS'!A27</f>
        <v>IM &amp; T</v>
      </c>
      <c r="LY27" s="460"/>
      <c r="LZ27" s="461">
        <f>'N - GMS'!C27</f>
        <v>14</v>
      </c>
      <c r="MA27" s="1028">
        <f>'N - GMS'!D27</f>
        <v>0</v>
      </c>
      <c r="MB27" s="1816">
        <f>'N - GMS'!E27</f>
        <v>0</v>
      </c>
      <c r="MC27" s="1816">
        <f>'N - GMS'!F27</f>
        <v>0</v>
      </c>
      <c r="MD27" s="463">
        <f>'N - GMS'!G27</f>
        <v>0</v>
      </c>
      <c r="ME27" s="213"/>
      <c r="MF27" s="1808">
        <f>'N - GMS'!I27</f>
        <v>0</v>
      </c>
      <c r="MH27" s="702" t="str">
        <f>'O - Dental'!A27</f>
        <v>Continuing professional development</v>
      </c>
      <c r="MI27" s="710"/>
      <c r="MJ27" s="701">
        <f>'O - Dental'!C27</f>
        <v>17</v>
      </c>
      <c r="MK27" s="664">
        <f>'O - Dental'!D27</f>
        <v>0</v>
      </c>
      <c r="ML27" s="2164">
        <f>'O - Dental'!E27</f>
        <v>0</v>
      </c>
      <c r="MM27" s="2165">
        <f>'O - Dental'!F27</f>
        <v>0</v>
      </c>
      <c r="MN27" s="2166">
        <f>'O - Dental'!G27</f>
        <v>0</v>
      </c>
      <c r="MO27" s="308"/>
      <c r="MP27" s="1765">
        <f>'O - Dental'!I27</f>
        <v>0</v>
      </c>
      <c r="MR27" s="684"/>
      <c r="MS27" s="1468"/>
      <c r="MT27" s="1468"/>
      <c r="MU27" s="1468"/>
      <c r="MV27" s="1468"/>
      <c r="MW27" s="1468"/>
      <c r="MX27" s="1468"/>
      <c r="MY27" s="1468"/>
      <c r="MZ27" s="1468"/>
      <c r="NA27" s="1468"/>
      <c r="NB27" s="1468"/>
      <c r="NC27" s="1468"/>
      <c r="ND27" s="1468"/>
      <c r="NE27" s="1468"/>
      <c r="NF27" s="1468"/>
      <c r="NG27" s="1468"/>
      <c r="NH27" s="1468"/>
      <c r="NI27" s="1468"/>
      <c r="NJ27" s="1468"/>
      <c r="NK27" s="1468"/>
      <c r="NL27" s="684"/>
    </row>
    <row r="28" spans="1:376" ht="20.149999999999999" customHeight="1" thickBot="1">
      <c r="A28" s="1745"/>
      <c r="B28" s="1745"/>
      <c r="C28" s="1745"/>
      <c r="D28" s="1745"/>
      <c r="E28" s="1745"/>
      <c r="F28" s="1745"/>
      <c r="G28" s="1745"/>
      <c r="H28" s="1745"/>
      <c r="I28" s="1745"/>
      <c r="J28" s="1745"/>
      <c r="K28" s="1745"/>
      <c r="M28" s="950">
        <f>'A - Movement'!A28</f>
        <v>18</v>
      </c>
      <c r="N28" s="991" t="str">
        <f>'A - Movement'!B28</f>
        <v>Other Movement in Month 1 Planned &amp; In Year Net Income Generation</v>
      </c>
      <c r="O28" s="2038">
        <f>'A - Movement'!C28</f>
        <v>0</v>
      </c>
      <c r="P28" s="2038">
        <f>'A - Movement'!D28</f>
        <v>0</v>
      </c>
      <c r="Q28" s="2038">
        <f>'A - Movement'!E28</f>
        <v>0</v>
      </c>
      <c r="R28" s="2038">
        <f>'A - Movement'!F28</f>
        <v>0</v>
      </c>
      <c r="S28" s="1745"/>
      <c r="T28" s="1928"/>
      <c r="U28" s="950">
        <f>'A - Movement'!I28</f>
        <v>18</v>
      </c>
      <c r="V28" s="991" t="str">
        <f t="shared" si="8"/>
        <v>Other Movement in Month 1 Planned &amp; In Year Net Income Generation</v>
      </c>
      <c r="W28" s="1689">
        <f>'A - Movement'!J28</f>
        <v>0</v>
      </c>
      <c r="X28" s="1689">
        <f>'A - Movement'!K28</f>
        <v>0</v>
      </c>
      <c r="Y28" s="1689">
        <f>'A - Movement'!L28</f>
        <v>0</v>
      </c>
      <c r="Z28" s="1689">
        <f>'A - Movement'!M28</f>
        <v>0</v>
      </c>
      <c r="AA28" s="1689">
        <f>'A - Movement'!N28</f>
        <v>0</v>
      </c>
      <c r="AB28" s="1689">
        <f>'A - Movement'!O28</f>
        <v>0</v>
      </c>
      <c r="AC28" s="1689">
        <f>'A - Movement'!P28</f>
        <v>0</v>
      </c>
      <c r="AD28" s="1689">
        <f>'A - Movement'!Q28</f>
        <v>0</v>
      </c>
      <c r="AE28" s="1689">
        <f>'A - Movement'!R28</f>
        <v>0</v>
      </c>
      <c r="AF28" s="1689">
        <f>'A - Movement'!S28</f>
        <v>0</v>
      </c>
      <c r="AG28" s="1689">
        <f>'A - Movement'!T28</f>
        <v>0</v>
      </c>
      <c r="AH28" s="1689">
        <f>'A - Movement'!U28</f>
        <v>0</v>
      </c>
      <c r="AI28" s="1131">
        <f>'A - Movement'!V28</f>
        <v>0</v>
      </c>
      <c r="AJ28" s="1131">
        <f>'A - Movement'!W28</f>
        <v>0</v>
      </c>
      <c r="AK28" s="2038">
        <f t="shared" si="9"/>
        <v>0</v>
      </c>
      <c r="AL28" s="2038">
        <f t="shared" si="10"/>
        <v>0</v>
      </c>
      <c r="AM28" s="2038">
        <f t="shared" si="11"/>
        <v>0</v>
      </c>
      <c r="AN28" s="1745"/>
      <c r="AO28" s="1928"/>
      <c r="AP28" s="1403">
        <f>'A1 - Underlying Position'!A29</f>
        <v>18</v>
      </c>
      <c r="AQ28" s="1375" t="str">
        <f>'A1 - Underlying Position'!B29</f>
        <v>Health Care Provided by other Orgs – Welsh Trusts</v>
      </c>
      <c r="AR28" s="1800">
        <f>'A1 - Underlying Position'!C29</f>
        <v>0</v>
      </c>
      <c r="AS28" s="2167">
        <f>'A1 - Underlying Position'!D29</f>
        <v>0</v>
      </c>
      <c r="AT28" s="2167">
        <f>'A1 - Underlying Position'!E29</f>
        <v>0</v>
      </c>
      <c r="AU28" s="75">
        <f>'A1 - Underlying Position'!F29</f>
        <v>0</v>
      </c>
      <c r="AV28" s="2168">
        <f>'A1 - Underlying Position'!G29</f>
        <v>0</v>
      </c>
      <c r="AW28" s="75">
        <f>'A1 - Underlying Position'!H29</f>
        <v>0</v>
      </c>
      <c r="AX28" s="1745"/>
      <c r="AZ28" s="1717">
        <f>'A2 - Risks'!A28</f>
        <v>20</v>
      </c>
      <c r="BA28" s="1806">
        <f>'A2 - Risks'!B28</f>
        <v>0</v>
      </c>
      <c r="BB28" s="1788">
        <f>'A2 - Risks'!C28</f>
        <v>0</v>
      </c>
      <c r="BC28" s="1759">
        <f>'A2 - Risks'!D28</f>
        <v>0</v>
      </c>
      <c r="BE28" s="2109">
        <f>'B - Monthly Positions'!A28</f>
        <v>18</v>
      </c>
      <c r="BF28" s="1373" t="str">
        <f>'B - Monthly Positions'!B28</f>
        <v xml:space="preserve">Losses, Special Payments and Irrecoverable Debts </v>
      </c>
      <c r="BG28" s="93" t="str">
        <f>'B - Monthly Positions'!C28</f>
        <v>Actual/F'cast</v>
      </c>
      <c r="BH28" s="1782">
        <f>'B - Monthly Positions'!D28</f>
        <v>0</v>
      </c>
      <c r="BI28" s="1782">
        <f>'B - Monthly Positions'!E28</f>
        <v>0</v>
      </c>
      <c r="BJ28" s="1782">
        <f>'B - Monthly Positions'!F28</f>
        <v>0</v>
      </c>
      <c r="BK28" s="1782">
        <f>'B - Monthly Positions'!G28</f>
        <v>0</v>
      </c>
      <c r="BL28" s="1783">
        <f>'B - Monthly Positions'!H28</f>
        <v>0</v>
      </c>
      <c r="BM28" s="1783">
        <f>'B - Monthly Positions'!I28</f>
        <v>0</v>
      </c>
      <c r="BN28" s="1783">
        <f>'B - Monthly Positions'!J28</f>
        <v>0</v>
      </c>
      <c r="BO28" s="1783">
        <f>'B - Monthly Positions'!K28</f>
        <v>0</v>
      </c>
      <c r="BP28" s="1783">
        <f>'B - Monthly Positions'!L28</f>
        <v>0</v>
      </c>
      <c r="BQ28" s="1783">
        <f>'B - Monthly Positions'!M28</f>
        <v>0</v>
      </c>
      <c r="BR28" s="1783">
        <f>'B - Monthly Positions'!N28</f>
        <v>0</v>
      </c>
      <c r="BS28" s="1815">
        <f>'B - Monthly Positions'!O28</f>
        <v>0</v>
      </c>
      <c r="BT28" s="1782">
        <f>'B - Monthly Positions'!P28</f>
        <v>0</v>
      </c>
      <c r="BU28" s="1782">
        <f>'B - Monthly Positions'!Q28</f>
        <v>0</v>
      </c>
      <c r="BV28" s="1643"/>
      <c r="BW28" s="1875"/>
      <c r="BX28" s="1696">
        <f>' Table Z Net Exp Profiles'!A28</f>
        <v>18</v>
      </c>
      <c r="BY28" s="1270" t="str">
        <f>' Table Z Net Exp Profiles'!B28</f>
        <v>Net Pay Expenditure - Current Plan</v>
      </c>
      <c r="BZ28" s="1110">
        <f>' Table Z Net Exp Profiles'!C28</f>
        <v>-789.91666666666663</v>
      </c>
      <c r="CA28" s="1110">
        <f>' Table Z Net Exp Profiles'!D28</f>
        <v>-56.916666666666664</v>
      </c>
      <c r="CB28" s="1110">
        <f>' Table Z Net Exp Profiles'!E28</f>
        <v>-56.916666666666664</v>
      </c>
      <c r="CC28" s="1110">
        <f>' Table Z Net Exp Profiles'!F28</f>
        <v>-56.916666666666664</v>
      </c>
      <c r="CD28" s="1110">
        <f>' Table Z Net Exp Profiles'!G28</f>
        <v>-56.916666666666664</v>
      </c>
      <c r="CE28" s="1110">
        <f>' Table Z Net Exp Profiles'!H28</f>
        <v>-56.916666666666664</v>
      </c>
      <c r="CF28" s="1110">
        <f>' Table Z Net Exp Profiles'!I28</f>
        <v>-56.916666666666664</v>
      </c>
      <c r="CG28" s="1110">
        <f>' Table Z Net Exp Profiles'!J28</f>
        <v>-56.916666666666664</v>
      </c>
      <c r="CH28" s="1110">
        <f>' Table Z Net Exp Profiles'!K28</f>
        <v>-56.916666666666664</v>
      </c>
      <c r="CI28" s="1110">
        <f>' Table Z Net Exp Profiles'!L28</f>
        <v>-56.916666666666664</v>
      </c>
      <c r="CJ28" s="1110">
        <f>' Table Z Net Exp Profiles'!M28</f>
        <v>-56.916666666666664</v>
      </c>
      <c r="CK28" s="1110">
        <f>' Table Z Net Exp Profiles'!N28</f>
        <v>-56.916666666666664</v>
      </c>
      <c r="CL28" s="1110">
        <f>' Table Z Net Exp Profiles'!O28</f>
        <v>-789.91666666666663</v>
      </c>
      <c r="CM28" s="1110">
        <f>' Table Z Net Exp Profiles'!P28</f>
        <v>-1416.0000000000002</v>
      </c>
      <c r="CO28" s="80"/>
      <c r="CP28" s="1123"/>
      <c r="CQ28" s="1257"/>
      <c r="CR28" s="1257"/>
      <c r="CS28" s="1257"/>
      <c r="CT28" s="1257"/>
      <c r="CU28" s="1257"/>
      <c r="CV28" s="1257"/>
      <c r="CW28" s="1257"/>
      <c r="CX28" s="1257"/>
      <c r="CY28" s="1257"/>
      <c r="CZ28" s="1257"/>
      <c r="DA28" s="1257"/>
      <c r="DB28" s="1257"/>
      <c r="DC28" s="80"/>
      <c r="DD28" s="608"/>
      <c r="DF28" s="2852">
        <f>'B3 - COVID-19'!A28</f>
        <v>21</v>
      </c>
      <c r="DG28" s="2845" t="str">
        <f>'B3 - COVID-19'!B28</f>
        <v>Joint Financing and Other (includes Local Authority)</v>
      </c>
      <c r="DH28" s="1330">
        <f>'B3 - COVID-19'!C28</f>
        <v>0</v>
      </c>
      <c r="DI28" s="1330">
        <f>'B3 - COVID-19'!D28</f>
        <v>0</v>
      </c>
      <c r="DJ28" s="1330">
        <f>'B3 - COVID-19'!E28</f>
        <v>0</v>
      </c>
      <c r="DK28" s="1330">
        <f>'B3 - COVID-19'!F28</f>
        <v>0</v>
      </c>
      <c r="DL28" s="1330">
        <f>'B3 - COVID-19'!G28</f>
        <v>0</v>
      </c>
      <c r="DM28" s="1330">
        <f>'B3 - COVID-19'!H28</f>
        <v>0</v>
      </c>
      <c r="DN28" s="1330">
        <f>'B3 - COVID-19'!I28</f>
        <v>0</v>
      </c>
      <c r="DO28" s="1330">
        <f>'B3 - COVID-19'!J28</f>
        <v>0</v>
      </c>
      <c r="DP28" s="1330">
        <f>'B3 - COVID-19'!K28</f>
        <v>0</v>
      </c>
      <c r="DQ28" s="1330">
        <f>'B3 - COVID-19'!L28</f>
        <v>0</v>
      </c>
      <c r="DR28" s="1330">
        <f>'B3 - COVID-19'!M28</f>
        <v>0</v>
      </c>
      <c r="DS28" s="1330">
        <f>'B3 - COVID-19'!N28</f>
        <v>0</v>
      </c>
      <c r="DT28" s="1863">
        <f>'B3 - COVID-19'!O28</f>
        <v>0</v>
      </c>
      <c r="DU28" s="1863">
        <f>'B3 - COVID-19'!P28</f>
        <v>0</v>
      </c>
      <c r="DV28" s="608"/>
      <c r="DW28" s="1116"/>
      <c r="DY28" s="2079">
        <f>'C, C1, C2&amp; C3 - Savings Schemes'!A28</f>
        <v>16</v>
      </c>
      <c r="DZ28" s="3038" t="str">
        <f>'C, C1, C2&amp; C3 - Savings Schemes'!B28</f>
        <v>Primary Care</v>
      </c>
      <c r="EA28" s="87" t="str">
        <f>'C, C1, C2&amp; C3 - Savings Schemes'!C28</f>
        <v>Budget/Plan</v>
      </c>
      <c r="EB28" s="1790">
        <f>'C, C1, C2&amp; C3 - Savings Schemes'!D28</f>
        <v>0</v>
      </c>
      <c r="EC28" s="1790">
        <f>'C, C1, C2&amp; C3 - Savings Schemes'!E28</f>
        <v>0</v>
      </c>
      <c r="ED28" s="1790">
        <f>'C, C1, C2&amp; C3 - Savings Schemes'!F28</f>
        <v>0</v>
      </c>
      <c r="EE28" s="1790">
        <f>'C, C1, C2&amp; C3 - Savings Schemes'!G28</f>
        <v>0</v>
      </c>
      <c r="EF28" s="1790">
        <f>'C, C1, C2&amp; C3 - Savings Schemes'!H28</f>
        <v>0</v>
      </c>
      <c r="EG28" s="1790">
        <f>'C, C1, C2&amp; C3 - Savings Schemes'!I28</f>
        <v>0</v>
      </c>
      <c r="EH28" s="1790">
        <f>'C, C1, C2&amp; C3 - Savings Schemes'!J28</f>
        <v>0</v>
      </c>
      <c r="EI28" s="1790">
        <f>'C, C1, C2&amp; C3 - Savings Schemes'!K28</f>
        <v>0</v>
      </c>
      <c r="EJ28" s="1790">
        <f>'C, C1, C2&amp; C3 - Savings Schemes'!L28</f>
        <v>0</v>
      </c>
      <c r="EK28" s="1790">
        <f>'C, C1, C2&amp; C3 - Savings Schemes'!M28</f>
        <v>0</v>
      </c>
      <c r="EL28" s="1790">
        <f>'C, C1, C2&amp; C3 - Savings Schemes'!N28</f>
        <v>0</v>
      </c>
      <c r="EM28" s="1790">
        <f>'C, C1, C2&amp; C3 - Savings Schemes'!O28</f>
        <v>0</v>
      </c>
      <c r="EN28" s="943">
        <f>'C, C1, C2&amp; C3 - Savings Schemes'!P28</f>
        <v>0</v>
      </c>
      <c r="EO28" s="938">
        <f>'C, C1, C2&amp; C3 - Savings Schemes'!Q28</f>
        <v>0</v>
      </c>
      <c r="EP28" s="2080"/>
      <c r="EQ28" s="2081"/>
      <c r="ER28" s="2081"/>
      <c r="ES28" s="2081"/>
      <c r="ET28" s="2081"/>
      <c r="EU28" s="608"/>
      <c r="EV28" s="594"/>
      <c r="EW28" s="1932"/>
      <c r="EX28" s="3074"/>
      <c r="EY28" s="1700"/>
      <c r="EZ28" s="1109"/>
      <c r="FA28" s="1703"/>
      <c r="FB28" s="1703"/>
      <c r="FC28" s="1703"/>
      <c r="FD28" s="1703"/>
      <c r="FE28" s="1703"/>
      <c r="FF28" s="1703"/>
      <c r="FG28" s="1703"/>
      <c r="FH28" s="1703"/>
      <c r="FI28" s="1703"/>
      <c r="FJ28" s="1703"/>
      <c r="FK28" s="1703"/>
      <c r="FL28" s="1710"/>
      <c r="FM28" s="1701"/>
      <c r="FN28" s="1702"/>
      <c r="FO28" s="1710"/>
      <c r="FP28" s="1710"/>
      <c r="FQ28" s="1710"/>
      <c r="FR28" s="1710"/>
      <c r="FS28" s="1957"/>
      <c r="FU28" s="1745"/>
      <c r="FV28" s="1745"/>
      <c r="FW28" s="1745"/>
      <c r="FX28" s="1745"/>
      <c r="FY28" s="1745"/>
      <c r="FZ28" s="1745"/>
      <c r="GA28" s="1745"/>
      <c r="GB28" s="1745"/>
      <c r="GC28" s="1745"/>
      <c r="GD28" s="1745"/>
      <c r="GF28" s="2112">
        <f>'E - Resource Limits'!A28</f>
        <v>16</v>
      </c>
      <c r="GG28" s="2113">
        <f>'E - Resource Limits'!B28</f>
        <v>0</v>
      </c>
      <c r="GH28" s="2114">
        <f>'E - Resource Limits'!C28</f>
        <v>0</v>
      </c>
      <c r="GI28" s="2114">
        <f>'E - Resource Limits'!D28</f>
        <v>0</v>
      </c>
      <c r="GJ28" s="2114">
        <f>'E - Resource Limits'!E28</f>
        <v>0</v>
      </c>
      <c r="GK28" s="2114">
        <f>'E - Resource Limits'!F28</f>
        <v>0</v>
      </c>
      <c r="GL28" s="2048">
        <f>'E - Resource Limits'!G28</f>
        <v>0</v>
      </c>
      <c r="GM28" s="2115">
        <f>'E - Resource Limits'!H28</f>
        <v>0</v>
      </c>
      <c r="GN28" s="2114">
        <f>'E - Resource Limits'!I28</f>
        <v>0</v>
      </c>
      <c r="GO28" s="2114">
        <f>'E - Resource Limits'!J28</f>
        <v>0</v>
      </c>
      <c r="GP28" s="2114">
        <f>'E - Resource Limits'!K28</f>
        <v>0</v>
      </c>
      <c r="GQ28" s="2116">
        <f>'E - Resource Limits'!L28</f>
        <v>0</v>
      </c>
      <c r="GR28" s="1935">
        <f t="shared" si="6"/>
        <v>0</v>
      </c>
      <c r="GT28" s="175">
        <f>'E1 - Invoiced Income'!A28</f>
        <v>17</v>
      </c>
      <c r="GU28" s="1797">
        <f>'E1 - Invoiced Income'!B28</f>
        <v>0</v>
      </c>
      <c r="GV28" s="1798">
        <f>'E1 - Invoiced Income'!C28</f>
        <v>0</v>
      </c>
      <c r="GW28" s="1798">
        <f>'E1 - Invoiced Income'!D28</f>
        <v>0</v>
      </c>
      <c r="GX28" s="1798">
        <f>'E1 - Invoiced Income'!E28</f>
        <v>0</v>
      </c>
      <c r="GY28" s="1798">
        <f>'E1 - Invoiced Income'!F28</f>
        <v>0</v>
      </c>
      <c r="GZ28" s="1798">
        <f>'E1 - Invoiced Income'!G28</f>
        <v>0</v>
      </c>
      <c r="HA28" s="1798">
        <f>'E1 - Invoiced Income'!H28</f>
        <v>0</v>
      </c>
      <c r="HB28" s="1798">
        <f>'E1 - Invoiced Income'!I28</f>
        <v>0</v>
      </c>
      <c r="HC28" s="1798">
        <f>'E1 - Invoiced Income'!J28</f>
        <v>0</v>
      </c>
      <c r="HD28" s="1798">
        <f>'E1 - Invoiced Income'!K28</f>
        <v>0</v>
      </c>
      <c r="HE28" s="1798">
        <f>'E1 - Invoiced Income'!L28</f>
        <v>0</v>
      </c>
      <c r="HF28" s="1798">
        <f>'E1 - Invoiced Income'!M28</f>
        <v>0</v>
      </c>
      <c r="HG28" s="1798">
        <f>'E1 - Invoiced Income'!N28</f>
        <v>0</v>
      </c>
      <c r="HH28" s="1798">
        <f>'E1 - Invoiced Income'!O28</f>
        <v>0</v>
      </c>
      <c r="HI28" s="1798">
        <f>'E1 - Invoiced Income'!P28</f>
        <v>0</v>
      </c>
      <c r="HJ28" s="1798">
        <f>'E1 - Invoiced Income'!R28</f>
        <v>0</v>
      </c>
      <c r="HK28" s="1798">
        <f>'E1 - Invoiced Income'!S28</f>
        <v>0</v>
      </c>
      <c r="HL28" s="1665">
        <f>'E1 - Invoiced Income'!T28</f>
        <v>0</v>
      </c>
      <c r="HM28" s="1799">
        <f>'E1 - Invoiced Income'!U28</f>
        <v>0</v>
      </c>
      <c r="HO28" s="2007">
        <f>'F - SoFP'!A28</f>
        <v>16</v>
      </c>
      <c r="HP28" s="2008" t="str">
        <f>'F - SoFP'!B28</f>
        <v>Provisions</v>
      </c>
      <c r="HQ28" s="2009">
        <f>'F - SoFP'!C28</f>
        <v>0</v>
      </c>
      <c r="HR28" s="2010">
        <f>'F - SoFP'!D28</f>
        <v>0</v>
      </c>
      <c r="HS28" s="2010">
        <f>'F - SoFP'!E28</f>
        <v>0</v>
      </c>
      <c r="HT28" s="1946"/>
      <c r="HV28" s="2148">
        <f>'G - Cash Flow'!A28</f>
        <v>17</v>
      </c>
      <c r="HW28" s="2149" t="str">
        <f>'G - Cash Flow'!B28</f>
        <v>Salaries and Wages</v>
      </c>
      <c r="HX28" s="2064">
        <f>'G - Cash Flow'!C28</f>
        <v>0</v>
      </c>
      <c r="HY28" s="2064">
        <f>'G - Cash Flow'!D28</f>
        <v>0</v>
      </c>
      <c r="HZ28" s="2064">
        <f>'G - Cash Flow'!E28</f>
        <v>0</v>
      </c>
      <c r="IA28" s="2064">
        <f>'G - Cash Flow'!F28</f>
        <v>0</v>
      </c>
      <c r="IB28" s="2064">
        <f>'G - Cash Flow'!G28</f>
        <v>0</v>
      </c>
      <c r="IC28" s="2064">
        <f>'G - Cash Flow'!H28</f>
        <v>0</v>
      </c>
      <c r="ID28" s="2064">
        <f>'G - Cash Flow'!I28</f>
        <v>0</v>
      </c>
      <c r="IE28" s="2064">
        <f>'G - Cash Flow'!J28</f>
        <v>0</v>
      </c>
      <c r="IF28" s="2064">
        <f>'G - Cash Flow'!K28</f>
        <v>0</v>
      </c>
      <c r="IG28" s="2064">
        <f>'G - Cash Flow'!L28</f>
        <v>0</v>
      </c>
      <c r="IH28" s="2064">
        <f>'G - Cash Flow'!M28</f>
        <v>0</v>
      </c>
      <c r="II28" s="2064">
        <f>'G - Cash Flow'!N28</f>
        <v>0</v>
      </c>
      <c r="IJ28" s="2150">
        <f>'G - Cash Flow'!O28</f>
        <v>0</v>
      </c>
      <c r="IK28" s="1942"/>
      <c r="JD28" s="2088">
        <f>'I - Capital RLM'!A28</f>
        <v>10</v>
      </c>
      <c r="JE28" s="2126">
        <f>'I - Capital RLM'!B28</f>
        <v>0</v>
      </c>
      <c r="JF28" s="2010">
        <f>'I - Capital RLM'!C28</f>
        <v>0</v>
      </c>
      <c r="JG28" s="2010">
        <f>'I - Capital RLM'!D28</f>
        <v>0</v>
      </c>
      <c r="JH28" s="2118">
        <f>'I - Capital RLM'!E28</f>
        <v>0</v>
      </c>
      <c r="JI28" s="2119">
        <f>'I - Capital RLM'!F28</f>
        <v>0</v>
      </c>
      <c r="JJ28" s="2010">
        <f>'I - Capital RLM'!G28</f>
        <v>0</v>
      </c>
      <c r="JK28" s="2010">
        <f>'I - Capital RLM'!H28</f>
        <v>0</v>
      </c>
      <c r="JL28" s="2118">
        <f>'I - Capital RLM'!I28</f>
        <v>0</v>
      </c>
      <c r="JM28" s="2120"/>
      <c r="JN28" s="1890">
        <f>'I - Capital RLM'!K28</f>
        <v>0</v>
      </c>
      <c r="JO28" s="2120">
        <f t="shared" si="7"/>
        <v>0</v>
      </c>
      <c r="JQ28" s="2088">
        <f>'J - Capital In Year Schemes'!A28</f>
        <v>17</v>
      </c>
      <c r="JR28" s="2089">
        <f>'J - Capital In Year Schemes'!B28</f>
        <v>0</v>
      </c>
      <c r="JS28" s="2089">
        <f>'J - Capital In Year Schemes'!C28</f>
        <v>0</v>
      </c>
      <c r="JT28" s="2010">
        <f>'J - Capital In Year Schemes'!D28</f>
        <v>0</v>
      </c>
      <c r="JU28" s="2010">
        <f>'J - Capital In Year Schemes'!E28</f>
        <v>0</v>
      </c>
      <c r="JV28" s="2010">
        <f>'J - Capital In Year Schemes'!F28</f>
        <v>0</v>
      </c>
      <c r="JW28" s="2010">
        <f>'J - Capital In Year Schemes'!G28</f>
        <v>0</v>
      </c>
      <c r="JX28" s="2010">
        <f>'J - Capital In Year Schemes'!H28</f>
        <v>0</v>
      </c>
      <c r="JY28" s="2010">
        <f>'J - Capital In Year Schemes'!I28</f>
        <v>0</v>
      </c>
      <c r="JZ28" s="2010">
        <f>'J - Capital In Year Schemes'!J28</f>
        <v>0</v>
      </c>
      <c r="KA28" s="2010">
        <f>'J - Capital In Year Schemes'!K28</f>
        <v>0</v>
      </c>
      <c r="KB28" s="2010">
        <f>'J - Capital In Year Schemes'!L28</f>
        <v>0</v>
      </c>
      <c r="KC28" s="2010">
        <f>'J - Capital In Year Schemes'!M28</f>
        <v>0</v>
      </c>
      <c r="KD28" s="2010">
        <f>'J - Capital In Year Schemes'!N28</f>
        <v>0</v>
      </c>
      <c r="KE28" s="2010">
        <f>'J - Capital In Year Schemes'!O28</f>
        <v>0</v>
      </c>
      <c r="KF28" s="2010">
        <f>'J - Capital In Year Schemes'!P28</f>
        <v>0</v>
      </c>
      <c r="KG28" s="2010">
        <f>'J - Capital In Year Schemes'!Q28</f>
        <v>0</v>
      </c>
      <c r="KH28" s="2090">
        <f>'J - Capital In Year Schemes'!R28</f>
        <v>0</v>
      </c>
      <c r="KI28" s="2090">
        <f>'J - Capital In Year Schemes'!S28</f>
        <v>0</v>
      </c>
      <c r="KJ28" s="2091">
        <f>'J - Capital In Year Schemes'!T28</f>
        <v>0</v>
      </c>
      <c r="KK28" s="2060">
        <f t="shared" si="5"/>
        <v>0</v>
      </c>
      <c r="KM28" s="2053">
        <f>'K - Capital Disposals'!A28</f>
        <v>18</v>
      </c>
      <c r="KN28" s="2077">
        <f>'K - Capital Disposals'!B28</f>
        <v>0</v>
      </c>
      <c r="KO28" s="2062">
        <f>'K - Capital Disposals'!C28</f>
        <v>0</v>
      </c>
      <c r="KP28" s="2062">
        <f>'K - Capital Disposals'!D28</f>
        <v>0</v>
      </c>
      <c r="KQ28" s="2078">
        <f>'K - Capital Disposals'!E28</f>
        <v>0</v>
      </c>
      <c r="KR28" s="2064">
        <f>'K - Capital Disposals'!F28</f>
        <v>0</v>
      </c>
      <c r="KS28" s="2064">
        <f>'K - Capital Disposals'!G28</f>
        <v>0</v>
      </c>
      <c r="KT28" s="2054">
        <f>'K - Capital Disposals'!H28</f>
        <v>0</v>
      </c>
      <c r="KU28" s="2055">
        <f>'K - Capital Disposals'!I28</f>
        <v>0</v>
      </c>
      <c r="KV28" s="3100">
        <f>'K - Capital Disposals'!J28</f>
        <v>0</v>
      </c>
      <c r="KW28" s="3095"/>
      <c r="KX28" s="3095"/>
      <c r="KY28" s="3095"/>
      <c r="KZ28" s="3095"/>
      <c r="LA28" s="3095"/>
      <c r="LB28" s="3096"/>
      <c r="LC28" s="1935"/>
      <c r="LE28" s="2169">
        <f>'L - EFL'!A28</f>
        <v>17</v>
      </c>
      <c r="LF28" s="2170" t="str">
        <f>'L - EFL'!B28</f>
        <v>Sub total - movement in working capital</v>
      </c>
      <c r="LG28" s="2171">
        <f>'L - EFL'!C28</f>
        <v>0</v>
      </c>
      <c r="LH28" s="2171">
        <f>'L - EFL'!D28</f>
        <v>0</v>
      </c>
      <c r="LI28" s="2172">
        <f>'L - EFL'!E28</f>
        <v>0</v>
      </c>
      <c r="LJ28" s="2171">
        <f>'L - EFL'!F28</f>
        <v>0</v>
      </c>
      <c r="LL28" s="814"/>
      <c r="LM28" s="2140">
        <f>'M - Aged Debtors'!B28</f>
        <v>0</v>
      </c>
      <c r="LN28" s="2141">
        <f>'M - Aged Debtors'!C28</f>
        <v>0</v>
      </c>
      <c r="LO28" s="2142">
        <f>'M - Aged Debtors'!D28</f>
        <v>0</v>
      </c>
      <c r="LP28" s="2143">
        <f>'M - Aged Debtors'!E28</f>
        <v>0</v>
      </c>
      <c r="LQ28" s="2144">
        <f>'M - Aged Debtors'!F28</f>
        <v>0</v>
      </c>
      <c r="LR28" s="2145" t="str">
        <f>'M - Aged Debtors'!G28</f>
        <v/>
      </c>
      <c r="LS28" s="829" t="str">
        <f>'M - Aged Debtors'!H28</f>
        <v/>
      </c>
      <c r="LT28" s="829" t="str">
        <f>'M - Aged Debtors'!I28</f>
        <v/>
      </c>
      <c r="LU28" s="830" t="str">
        <f>'M - Aged Debtors'!J28</f>
        <v/>
      </c>
      <c r="LV28" s="1757">
        <f>'M - Aged Debtors'!K28</f>
        <v>0</v>
      </c>
      <c r="LX28" s="462" t="str">
        <f>'N - GMS'!A28</f>
        <v>Out of Hours                             (including OOHDF)</v>
      </c>
      <c r="LY28" s="460"/>
      <c r="LZ28" s="461">
        <f>'N - GMS'!C28</f>
        <v>15</v>
      </c>
      <c r="MA28" s="1028">
        <f>'N - GMS'!D28</f>
        <v>0</v>
      </c>
      <c r="MB28" s="2183">
        <f>'N - GMS'!E28</f>
        <v>0</v>
      </c>
      <c r="MC28" s="2183">
        <f>'N - GMS'!F28</f>
        <v>0</v>
      </c>
      <c r="MD28" s="463">
        <f>'N - GMS'!G28</f>
        <v>0</v>
      </c>
      <c r="ME28" s="213"/>
      <c r="MF28" s="1808">
        <f>'N - GMS'!I28</f>
        <v>0</v>
      </c>
      <c r="MH28" s="702" t="str">
        <f>'O - Dental'!A28</f>
        <v>Occupational Health / Hepatitis B</v>
      </c>
      <c r="MI28" s="711"/>
      <c r="MJ28" s="701">
        <f>'O - Dental'!C28</f>
        <v>18</v>
      </c>
      <c r="MK28" s="664">
        <f>'O - Dental'!D28</f>
        <v>0</v>
      </c>
      <c r="ML28" s="2164">
        <f>'O - Dental'!E28</f>
        <v>0</v>
      </c>
      <c r="MM28" s="2165">
        <f>'O - Dental'!F28</f>
        <v>0</v>
      </c>
      <c r="MN28" s="2166">
        <f>'O - Dental'!G28</f>
        <v>0</v>
      </c>
      <c r="MO28" s="308"/>
      <c r="MP28" s="1765">
        <f>'O - Dental'!I28</f>
        <v>0</v>
      </c>
      <c r="MR28" s="684"/>
      <c r="MS28" s="1468"/>
      <c r="MT28" s="2665"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7" t="str">
        <f>'P - Ringfenced'!R28</f>
        <v>Total</v>
      </c>
      <c r="NJ28" s="2668" t="str">
        <f>'P - Ringfenced'!S28</f>
        <v>Total</v>
      </c>
      <c r="NK28" s="2668" t="str">
        <f>'P - Ringfenced'!T28</f>
        <v xml:space="preserve">Total </v>
      </c>
      <c r="NL28" s="684"/>
    </row>
    <row r="29" spans="1:376" ht="20.149999999999999" customHeight="1" thickBot="1">
      <c r="M29" s="950">
        <f>'A - Movement'!A29</f>
        <v>19</v>
      </c>
      <c r="N29" s="991" t="str">
        <f>'A - Movement'!B29</f>
        <v>Other Movement in Month 1 Planned Savings - (Underachievement) / Overachievement</v>
      </c>
      <c r="O29" s="2038">
        <f>'A - Movement'!C29</f>
        <v>0</v>
      </c>
      <c r="P29" s="2038">
        <f>'A - Movement'!D29</f>
        <v>0</v>
      </c>
      <c r="Q29" s="2038">
        <f>'A - Movement'!E29</f>
        <v>0</v>
      </c>
      <c r="R29" s="2038">
        <f>'A - Movement'!F29</f>
        <v>0</v>
      </c>
      <c r="S29" s="1745"/>
      <c r="T29" s="1928"/>
      <c r="U29" s="950">
        <f>'A - Movement'!I29</f>
        <v>19</v>
      </c>
      <c r="V29" s="991" t="str">
        <f t="shared" si="8"/>
        <v>Other Movement in Month 1 Planned Savings - (Underachievement) / Overachievement</v>
      </c>
      <c r="W29" s="2038">
        <f>'A - Movement'!J29</f>
        <v>0</v>
      </c>
      <c r="X29" s="2038">
        <f>'A - Movement'!K29</f>
        <v>0</v>
      </c>
      <c r="Y29" s="2038">
        <f>'A - Movement'!L29</f>
        <v>0</v>
      </c>
      <c r="Z29" s="2038">
        <f>'A - Movement'!M29</f>
        <v>0</v>
      </c>
      <c r="AA29" s="2038">
        <f>'A - Movement'!N29</f>
        <v>0</v>
      </c>
      <c r="AB29" s="2038">
        <f>'A - Movement'!O29</f>
        <v>0</v>
      </c>
      <c r="AC29" s="2038">
        <f>'A - Movement'!P29</f>
        <v>0</v>
      </c>
      <c r="AD29" s="2038">
        <f>'A - Movement'!Q29</f>
        <v>0</v>
      </c>
      <c r="AE29" s="2038">
        <f>'A - Movement'!R29</f>
        <v>0</v>
      </c>
      <c r="AF29" s="2038">
        <f>'A - Movement'!S29</f>
        <v>0</v>
      </c>
      <c r="AG29" s="2038">
        <f>'A - Movement'!T29</f>
        <v>0</v>
      </c>
      <c r="AH29" s="2038">
        <f>'A - Movement'!U29</f>
        <v>0</v>
      </c>
      <c r="AI29" s="1131">
        <f>'A - Movement'!V29</f>
        <v>0</v>
      </c>
      <c r="AJ29" s="1131">
        <f>'A - Movement'!W29</f>
        <v>0</v>
      </c>
      <c r="AK29" s="2038">
        <f t="shared" si="9"/>
        <v>0</v>
      </c>
      <c r="AL29" s="2038">
        <f t="shared" si="10"/>
        <v>0</v>
      </c>
      <c r="AM29" s="2038">
        <f t="shared" si="11"/>
        <v>0</v>
      </c>
      <c r="AN29" s="1745"/>
      <c r="AO29" s="1928"/>
      <c r="AP29" s="1403">
        <f>'A1 - Underlying Position'!A30</f>
        <v>19</v>
      </c>
      <c r="AQ29" s="1375" t="str">
        <f>'A1 - Underlying Position'!B30</f>
        <v>Health Care Provided by other Orgs – WHSSC</v>
      </c>
      <c r="AR29" s="1800">
        <f>'A1 - Underlying Position'!C30</f>
        <v>0</v>
      </c>
      <c r="AS29" s="2167">
        <f>'A1 - Underlying Position'!D30</f>
        <v>0</v>
      </c>
      <c r="AT29" s="2167">
        <f>'A1 - Underlying Position'!E30</f>
        <v>0</v>
      </c>
      <c r="AU29" s="75">
        <f>'A1 - Underlying Position'!F30</f>
        <v>0</v>
      </c>
      <c r="AV29" s="2168">
        <f>'A1 - Underlying Position'!G30</f>
        <v>0</v>
      </c>
      <c r="AW29" s="75">
        <f>'A1 - Underlying Position'!H30</f>
        <v>0</v>
      </c>
      <c r="AX29" s="1745"/>
      <c r="AZ29" s="1717">
        <f>'A2 - Risks'!A29</f>
        <v>21</v>
      </c>
      <c r="BA29" s="1806">
        <f>'A2 - Risks'!B29</f>
        <v>0</v>
      </c>
      <c r="BB29" s="1788">
        <f>'A2 - Risks'!C29</f>
        <v>0</v>
      </c>
      <c r="BC29" s="1759">
        <f>'A2 - Risks'!D29</f>
        <v>0</v>
      </c>
      <c r="BE29" s="2109">
        <f>'B - Monthly Positions'!A29</f>
        <v>19</v>
      </c>
      <c r="BF29" s="1373" t="str">
        <f>'B - Monthly Positions'!B29</f>
        <v>Exceptional (Income) / Costs - (Trust Only)</v>
      </c>
      <c r="BG29" s="93" t="str">
        <f>'B - Monthly Positions'!C29</f>
        <v>Actual/F'cast</v>
      </c>
      <c r="BH29" s="1782">
        <f>'B - Monthly Positions'!D29</f>
        <v>0</v>
      </c>
      <c r="BI29" s="1782">
        <f>'B - Monthly Positions'!E29</f>
        <v>0</v>
      </c>
      <c r="BJ29" s="1782">
        <f>'B - Monthly Positions'!F29</f>
        <v>0</v>
      </c>
      <c r="BK29" s="1782">
        <f>'B - Monthly Positions'!G29</f>
        <v>0</v>
      </c>
      <c r="BL29" s="1783">
        <f>'B - Monthly Positions'!H29</f>
        <v>0</v>
      </c>
      <c r="BM29" s="1783">
        <f>'B - Monthly Positions'!I29</f>
        <v>0</v>
      </c>
      <c r="BN29" s="1783">
        <f>'B - Monthly Positions'!J29</f>
        <v>0</v>
      </c>
      <c r="BO29" s="1783">
        <f>'B - Monthly Positions'!K29</f>
        <v>0</v>
      </c>
      <c r="BP29" s="1783">
        <f>'B - Monthly Positions'!L29</f>
        <v>0</v>
      </c>
      <c r="BQ29" s="1783">
        <f>'B - Monthly Positions'!M29</f>
        <v>0</v>
      </c>
      <c r="BR29" s="1783">
        <f>'B - Monthly Positions'!N29</f>
        <v>0</v>
      </c>
      <c r="BS29" s="1815">
        <f>'B - Monthly Positions'!O29</f>
        <v>0</v>
      </c>
      <c r="BT29" s="1782">
        <f>'B - Monthly Positions'!P29</f>
        <v>0</v>
      </c>
      <c r="BU29" s="1782">
        <f>'B - Monthly Positions'!Q29</f>
        <v>0</v>
      </c>
      <c r="BV29" s="1643"/>
      <c r="BW29" s="1875"/>
      <c r="BX29" s="144">
        <f>' Table Z Net Exp Profiles'!A29</f>
        <v>19</v>
      </c>
      <c r="BY29" s="1270" t="str">
        <f>' Table Z Net Exp Profiles'!B29</f>
        <v>Net Pay Expenditure - Actual/Forecast (as per Table B)</v>
      </c>
      <c r="BZ29" s="1110" t="e">
        <f>' Table Z Net Exp Profiles'!C29</f>
        <v>#REF!</v>
      </c>
      <c r="CA29" s="1110" t="e">
        <f>' Table Z Net Exp Profiles'!D29</f>
        <v>#REF!</v>
      </c>
      <c r="CB29" s="1110" t="e">
        <f>' Table Z Net Exp Profiles'!E29</f>
        <v>#REF!</v>
      </c>
      <c r="CC29" s="1110" t="e">
        <f>' Table Z Net Exp Profiles'!F29</f>
        <v>#REF!</v>
      </c>
      <c r="CD29" s="1110" t="e">
        <f>' Table Z Net Exp Profiles'!G29</f>
        <v>#REF!</v>
      </c>
      <c r="CE29" s="1110" t="e">
        <f>' Table Z Net Exp Profiles'!H29</f>
        <v>#REF!</v>
      </c>
      <c r="CF29" s="1110" t="e">
        <f>' Table Z Net Exp Profiles'!I29</f>
        <v>#REF!</v>
      </c>
      <c r="CG29" s="1110" t="e">
        <f>' Table Z Net Exp Profiles'!J29</f>
        <v>#REF!</v>
      </c>
      <c r="CH29" s="1110" t="e">
        <f>' Table Z Net Exp Profiles'!K29</f>
        <v>#REF!</v>
      </c>
      <c r="CI29" s="1110" t="e">
        <f>' Table Z Net Exp Profiles'!L29</f>
        <v>#REF!</v>
      </c>
      <c r="CJ29" s="1110" t="e">
        <f>' Table Z Net Exp Profiles'!M29</f>
        <v>#REF!</v>
      </c>
      <c r="CK29" s="1110" t="e">
        <f>' Table Z Net Exp Profiles'!N29</f>
        <v>#REF!</v>
      </c>
      <c r="CL29" s="1110" t="e">
        <f>' Table Z Net Exp Profiles'!O29</f>
        <v>#REF!</v>
      </c>
      <c r="CM29" s="1110" t="e">
        <f>' Table Z Net Exp Profiles'!P29</f>
        <v>#REF!</v>
      </c>
      <c r="CO29" s="1308"/>
      <c r="CP29" s="1313"/>
      <c r="CQ29" s="1315"/>
      <c r="CR29" s="1315"/>
      <c r="CS29" s="1315"/>
      <c r="CT29" s="1315"/>
      <c r="CU29" s="1315"/>
      <c r="CV29" s="1315"/>
      <c r="CW29" s="1315"/>
      <c r="CX29" s="1315"/>
      <c r="CY29" s="1315"/>
      <c r="CZ29" s="1315"/>
      <c r="DA29" s="1315"/>
      <c r="DB29" s="1315"/>
      <c r="DC29" s="1315"/>
      <c r="DD29" s="608"/>
      <c r="DF29" s="2852">
        <f>'B3 - COVID-19'!A29</f>
        <v>22</v>
      </c>
      <c r="DG29" s="2845" t="str">
        <f>'B3 - COVID-19'!B29</f>
        <v>Other (only use with WG agreement &amp; state SoCNE/I line ref)</v>
      </c>
      <c r="DH29" s="1330">
        <f>'B3 - COVID-19'!C29</f>
        <v>0</v>
      </c>
      <c r="DI29" s="1330">
        <f>'B3 - COVID-19'!D29</f>
        <v>0</v>
      </c>
      <c r="DJ29" s="1330">
        <f>'B3 - COVID-19'!E29</f>
        <v>0</v>
      </c>
      <c r="DK29" s="1330">
        <f>'B3 - COVID-19'!F29</f>
        <v>0</v>
      </c>
      <c r="DL29" s="1330">
        <f>'B3 - COVID-19'!G29</f>
        <v>0</v>
      </c>
      <c r="DM29" s="1330">
        <f>'B3 - COVID-19'!H29</f>
        <v>0</v>
      </c>
      <c r="DN29" s="1330">
        <f>'B3 - COVID-19'!I29</f>
        <v>0</v>
      </c>
      <c r="DO29" s="1330">
        <f>'B3 - COVID-19'!J29</f>
        <v>0</v>
      </c>
      <c r="DP29" s="1330">
        <f>'B3 - COVID-19'!K29</f>
        <v>0</v>
      </c>
      <c r="DQ29" s="1330">
        <f>'B3 - COVID-19'!L29</f>
        <v>0</v>
      </c>
      <c r="DR29" s="1330">
        <f>'B3 - COVID-19'!M29</f>
        <v>0</v>
      </c>
      <c r="DS29" s="1330">
        <f>'B3 - COVID-19'!N29</f>
        <v>0</v>
      </c>
      <c r="DT29" s="1863">
        <f>'B3 - COVID-19'!O29</f>
        <v>0</v>
      </c>
      <c r="DU29" s="1863">
        <f>'B3 - COVID-19'!P29</f>
        <v>0</v>
      </c>
      <c r="DV29" s="608"/>
      <c r="DW29" s="1116"/>
      <c r="DY29" s="2095">
        <f>'C, C1, C2&amp; C3 - Savings Schemes'!A29</f>
        <v>17</v>
      </c>
      <c r="DZ29" s="3039"/>
      <c r="EA29" s="90" t="str">
        <f>'C, C1, C2&amp; C3 - Savings Schemes'!C29</f>
        <v>Actual/F'cast</v>
      </c>
      <c r="EB29" s="1782">
        <f>'C, C1, C2&amp; C3 - Savings Schemes'!D29</f>
        <v>0</v>
      </c>
      <c r="EC29" s="1782">
        <f>'C, C1, C2&amp; C3 - Savings Schemes'!E29</f>
        <v>0</v>
      </c>
      <c r="ED29" s="1782">
        <f>'C, C1, C2&amp; C3 - Savings Schemes'!F29</f>
        <v>0</v>
      </c>
      <c r="EE29" s="1782">
        <f>'C, C1, C2&amp; C3 - Savings Schemes'!G29</f>
        <v>0</v>
      </c>
      <c r="EF29" s="1782">
        <f>'C, C1, C2&amp; C3 - Savings Schemes'!H29</f>
        <v>0</v>
      </c>
      <c r="EG29" s="1782">
        <f>'C, C1, C2&amp; C3 - Savings Schemes'!I29</f>
        <v>0</v>
      </c>
      <c r="EH29" s="1782">
        <f>'C, C1, C2&amp; C3 - Savings Schemes'!J29</f>
        <v>0</v>
      </c>
      <c r="EI29" s="1782">
        <f>'C, C1, C2&amp; C3 - Savings Schemes'!K29</f>
        <v>0</v>
      </c>
      <c r="EJ29" s="1782">
        <f>'C, C1, C2&amp; C3 - Savings Schemes'!L29</f>
        <v>0</v>
      </c>
      <c r="EK29" s="1782">
        <f>'C, C1, C2&amp; C3 - Savings Schemes'!M29</f>
        <v>0</v>
      </c>
      <c r="EL29" s="1782">
        <f>'C, C1, C2&amp; C3 - Savings Schemes'!N29</f>
        <v>0</v>
      </c>
      <c r="EM29" s="1795">
        <f>'C, C1, C2&amp; C3 - Savings Schemes'!O29</f>
        <v>0</v>
      </c>
      <c r="EN29" s="121">
        <f>'C, C1, C2&amp; C3 - Savings Schemes'!P29</f>
        <v>0</v>
      </c>
      <c r="EO29" s="940">
        <f>'C, C1, C2&amp; C3 - Savings Schemes'!Q29</f>
        <v>0</v>
      </c>
      <c r="EP29" s="1167" t="e">
        <f>'C, C1, C2&amp; C3 - Savings Schemes'!R29</f>
        <v>#DIV/0!</v>
      </c>
      <c r="EQ29" s="2096">
        <f>'C, C1, C2&amp; C3 - Savings Schemes'!S29</f>
        <v>0</v>
      </c>
      <c r="ER29" s="2096">
        <f>'C, C1, C2&amp; C3 - Savings Schemes'!T29</f>
        <v>0</v>
      </c>
      <c r="ES29" s="2096">
        <f>'C, C1, C2&amp; C3 - Savings Schemes'!U29</f>
        <v>0</v>
      </c>
      <c r="ET29" s="2096">
        <f>'C, C1, C2&amp; C3 - Savings Schemes'!V29</f>
        <v>0</v>
      </c>
      <c r="EU29" s="111"/>
      <c r="EV29" s="1796">
        <f>'C, C1, C2&amp; C3 - Savings Schemes'!X29</f>
        <v>0</v>
      </c>
      <c r="EW29" s="1932"/>
      <c r="EX29" s="3074"/>
      <c r="EY29" s="1063" t="str">
        <f>'Table C4 Tracker'!B26</f>
        <v>In Year - Plan</v>
      </c>
      <c r="EZ29" s="1705">
        <f>'Table C4 Tracker'!C26</f>
        <v>0</v>
      </c>
      <c r="FA29" s="1706">
        <f>'Table C4 Tracker'!D26</f>
        <v>0</v>
      </c>
      <c r="FB29" s="1706">
        <f>'Table C4 Tracker'!E26</f>
        <v>0</v>
      </c>
      <c r="FC29" s="1706">
        <f>'Table C4 Tracker'!F26</f>
        <v>0</v>
      </c>
      <c r="FD29" s="1706">
        <f>'Table C4 Tracker'!G26</f>
        <v>0</v>
      </c>
      <c r="FE29" s="1706">
        <f>'Table C4 Tracker'!H26</f>
        <v>0</v>
      </c>
      <c r="FF29" s="1706">
        <f>'Table C4 Tracker'!I26</f>
        <v>0</v>
      </c>
      <c r="FG29" s="1706">
        <f>'Table C4 Tracker'!J26</f>
        <v>0</v>
      </c>
      <c r="FH29" s="1706">
        <f>'Table C4 Tracker'!K26</f>
        <v>0</v>
      </c>
      <c r="FI29" s="1706">
        <f>'Table C4 Tracker'!L26</f>
        <v>0</v>
      </c>
      <c r="FJ29" s="1706">
        <f>'Table C4 Tracker'!M26</f>
        <v>0</v>
      </c>
      <c r="FK29" s="1706">
        <f>'Table C4 Tracker'!N26</f>
        <v>0</v>
      </c>
      <c r="FL29" s="1709">
        <f>'Table C4 Tracker'!O26</f>
        <v>0</v>
      </c>
      <c r="FM29" s="1458">
        <f>'Table C4 Tracker'!P26</f>
        <v>0</v>
      </c>
      <c r="FN29" s="1707">
        <f>'Table C4 Tracker'!Q26</f>
        <v>0</v>
      </c>
      <c r="FO29" s="1709">
        <f>'Table C4 Tracker'!R26</f>
        <v>0</v>
      </c>
      <c r="FP29" s="1709">
        <f>'Table C4 Tracker'!S26</f>
        <v>0</v>
      </c>
      <c r="FQ29" s="1709">
        <f>'Table C4 Tracker'!T26</f>
        <v>0</v>
      </c>
      <c r="FR29" s="1709">
        <f>'Table C4 Tracker'!U26</f>
        <v>0</v>
      </c>
      <c r="FS29" s="1957"/>
      <c r="GF29" s="2112">
        <f>'E - Resource Limits'!A29</f>
        <v>17</v>
      </c>
      <c r="GG29" s="2113">
        <f>'E - Resource Limits'!B29</f>
        <v>0</v>
      </c>
      <c r="GH29" s="2114">
        <f>'E - Resource Limits'!C29</f>
        <v>0</v>
      </c>
      <c r="GI29" s="2114">
        <f>'E - Resource Limits'!D29</f>
        <v>0</v>
      </c>
      <c r="GJ29" s="2114">
        <f>'E - Resource Limits'!E29</f>
        <v>0</v>
      </c>
      <c r="GK29" s="2114">
        <f>'E - Resource Limits'!F29</f>
        <v>0</v>
      </c>
      <c r="GL29" s="2048">
        <f>'E - Resource Limits'!G29</f>
        <v>0</v>
      </c>
      <c r="GM29" s="2115">
        <f>'E - Resource Limits'!H29</f>
        <v>0</v>
      </c>
      <c r="GN29" s="2114">
        <f>'E - Resource Limits'!I29</f>
        <v>0</v>
      </c>
      <c r="GO29" s="2114">
        <f>'E - Resource Limits'!J29</f>
        <v>0</v>
      </c>
      <c r="GP29" s="2114">
        <f>'E - Resource Limits'!K29</f>
        <v>0</v>
      </c>
      <c r="GQ29" s="2116">
        <f>'E - Resource Limits'!L29</f>
        <v>0</v>
      </c>
      <c r="GR29" s="1935">
        <f t="shared" si="6"/>
        <v>0</v>
      </c>
      <c r="GT29" s="175">
        <f>'E1 - Invoiced Income'!A29</f>
        <v>18</v>
      </c>
      <c r="GU29" s="1797">
        <f>'E1 - Invoiced Income'!B29</f>
        <v>0</v>
      </c>
      <c r="GV29" s="1798">
        <f>'E1 - Invoiced Income'!C29</f>
        <v>0</v>
      </c>
      <c r="GW29" s="1798">
        <f>'E1 - Invoiced Income'!D29</f>
        <v>0</v>
      </c>
      <c r="GX29" s="1798">
        <f>'E1 - Invoiced Income'!E29</f>
        <v>0</v>
      </c>
      <c r="GY29" s="1798">
        <f>'E1 - Invoiced Income'!F29</f>
        <v>0</v>
      </c>
      <c r="GZ29" s="1798">
        <f>'E1 - Invoiced Income'!G29</f>
        <v>0</v>
      </c>
      <c r="HA29" s="1798">
        <f>'E1 - Invoiced Income'!H29</f>
        <v>0</v>
      </c>
      <c r="HB29" s="1798">
        <f>'E1 - Invoiced Income'!I29</f>
        <v>0</v>
      </c>
      <c r="HC29" s="1798">
        <f>'E1 - Invoiced Income'!J29</f>
        <v>0</v>
      </c>
      <c r="HD29" s="1798">
        <f>'E1 - Invoiced Income'!K29</f>
        <v>0</v>
      </c>
      <c r="HE29" s="1798">
        <f>'E1 - Invoiced Income'!L29</f>
        <v>0</v>
      </c>
      <c r="HF29" s="1798">
        <f>'E1 - Invoiced Income'!M29</f>
        <v>0</v>
      </c>
      <c r="HG29" s="1798">
        <f>'E1 - Invoiced Income'!N29</f>
        <v>0</v>
      </c>
      <c r="HH29" s="1798">
        <f>'E1 - Invoiced Income'!O29</f>
        <v>0</v>
      </c>
      <c r="HI29" s="1798">
        <f>'E1 - Invoiced Income'!P29</f>
        <v>0</v>
      </c>
      <c r="HJ29" s="1798">
        <f>'E1 - Invoiced Income'!R29</f>
        <v>0</v>
      </c>
      <c r="HK29" s="1798">
        <f>'E1 - Invoiced Income'!S29</f>
        <v>0</v>
      </c>
      <c r="HL29" s="1665">
        <f>'E1 - Invoiced Income'!T29</f>
        <v>0</v>
      </c>
      <c r="HM29" s="1799">
        <f>'E1 - Invoiced Income'!U29</f>
        <v>0</v>
      </c>
      <c r="HO29" s="2084">
        <f>'F - SoFP'!A29</f>
        <v>17</v>
      </c>
      <c r="HP29" s="2085" t="str">
        <f>'F - SoFP'!B29</f>
        <v xml:space="preserve">Current Liabilities sub total </v>
      </c>
      <c r="HQ29" s="2037">
        <f>'F - SoFP'!C29</f>
        <v>0</v>
      </c>
      <c r="HR29" s="2037">
        <f>'F - SoFP'!D29</f>
        <v>0</v>
      </c>
      <c r="HS29" s="2037">
        <f>'F - SoFP'!E29</f>
        <v>0</v>
      </c>
      <c r="HT29" s="1946"/>
      <c r="HV29" s="2148">
        <f>'G - Cash Flow'!A29</f>
        <v>18</v>
      </c>
      <c r="HW29" s="2149" t="str">
        <f>'G - Cash Flow'!B29</f>
        <v>Non Pay Expenditure</v>
      </c>
      <c r="HX29" s="2064">
        <f>'G - Cash Flow'!C29</f>
        <v>0</v>
      </c>
      <c r="HY29" s="2064">
        <f>'G - Cash Flow'!D29</f>
        <v>0</v>
      </c>
      <c r="HZ29" s="2064">
        <f>'G - Cash Flow'!E29</f>
        <v>0</v>
      </c>
      <c r="IA29" s="2064">
        <f>'G - Cash Flow'!F29</f>
        <v>0</v>
      </c>
      <c r="IB29" s="2064">
        <f>'G - Cash Flow'!G29</f>
        <v>0</v>
      </c>
      <c r="IC29" s="2064">
        <f>'G - Cash Flow'!H29</f>
        <v>0</v>
      </c>
      <c r="ID29" s="2064">
        <f>'G - Cash Flow'!I29</f>
        <v>0</v>
      </c>
      <c r="IE29" s="2064">
        <f>'G - Cash Flow'!J29</f>
        <v>0</v>
      </c>
      <c r="IF29" s="2064">
        <f>'G - Cash Flow'!K29</f>
        <v>0</v>
      </c>
      <c r="IG29" s="2064">
        <f>'G - Cash Flow'!L29</f>
        <v>0</v>
      </c>
      <c r="IH29" s="2064">
        <f>'G - Cash Flow'!M29</f>
        <v>0</v>
      </c>
      <c r="II29" s="2064">
        <f>'G - Cash Flow'!N29</f>
        <v>0</v>
      </c>
      <c r="IJ29" s="2150">
        <f>'G - Cash Flow'!O29</f>
        <v>0</v>
      </c>
      <c r="IK29" s="1942"/>
      <c r="JD29" s="2088">
        <f>'I - Capital RLM'!A29</f>
        <v>11</v>
      </c>
      <c r="JE29" s="2126">
        <f>'I - Capital RLM'!B29</f>
        <v>0</v>
      </c>
      <c r="JF29" s="2010">
        <f>'I - Capital RLM'!C29</f>
        <v>0</v>
      </c>
      <c r="JG29" s="2010">
        <f>'I - Capital RLM'!D29</f>
        <v>0</v>
      </c>
      <c r="JH29" s="2118">
        <f>'I - Capital RLM'!E29</f>
        <v>0</v>
      </c>
      <c r="JI29" s="2119">
        <f>'I - Capital RLM'!F29</f>
        <v>0</v>
      </c>
      <c r="JJ29" s="2010">
        <f>'I - Capital RLM'!G29</f>
        <v>0</v>
      </c>
      <c r="JK29" s="2010">
        <f>'I - Capital RLM'!H29</f>
        <v>0</v>
      </c>
      <c r="JL29" s="2118">
        <f>'I - Capital RLM'!I29</f>
        <v>0</v>
      </c>
      <c r="JM29" s="2120"/>
      <c r="JN29" s="1890">
        <f>'I - Capital RLM'!K29</f>
        <v>0</v>
      </c>
      <c r="JO29" s="2120">
        <f t="shared" si="7"/>
        <v>0</v>
      </c>
      <c r="JQ29" s="2088">
        <f>'J - Capital In Year Schemes'!A29</f>
        <v>18</v>
      </c>
      <c r="JR29" s="2089">
        <f>'J - Capital In Year Schemes'!B29</f>
        <v>0</v>
      </c>
      <c r="JS29" s="2089">
        <f>'J - Capital In Year Schemes'!C29</f>
        <v>0</v>
      </c>
      <c r="JT29" s="2010">
        <f>'J - Capital In Year Schemes'!D29</f>
        <v>0</v>
      </c>
      <c r="JU29" s="2010">
        <f>'J - Capital In Year Schemes'!E29</f>
        <v>0</v>
      </c>
      <c r="JV29" s="2010">
        <f>'J - Capital In Year Schemes'!F29</f>
        <v>0</v>
      </c>
      <c r="JW29" s="2010">
        <f>'J - Capital In Year Schemes'!G29</f>
        <v>0</v>
      </c>
      <c r="JX29" s="2010">
        <f>'J - Capital In Year Schemes'!H29</f>
        <v>0</v>
      </c>
      <c r="JY29" s="2010">
        <f>'J - Capital In Year Schemes'!I29</f>
        <v>0</v>
      </c>
      <c r="JZ29" s="2010">
        <f>'J - Capital In Year Schemes'!J29</f>
        <v>0</v>
      </c>
      <c r="KA29" s="2010">
        <f>'J - Capital In Year Schemes'!K29</f>
        <v>0</v>
      </c>
      <c r="KB29" s="2010">
        <f>'J - Capital In Year Schemes'!L29</f>
        <v>0</v>
      </c>
      <c r="KC29" s="2010">
        <f>'J - Capital In Year Schemes'!M29</f>
        <v>0</v>
      </c>
      <c r="KD29" s="2010">
        <f>'J - Capital In Year Schemes'!N29</f>
        <v>0</v>
      </c>
      <c r="KE29" s="2010">
        <f>'J - Capital In Year Schemes'!O29</f>
        <v>0</v>
      </c>
      <c r="KF29" s="2010">
        <f>'J - Capital In Year Schemes'!P29</f>
        <v>0</v>
      </c>
      <c r="KG29" s="2010">
        <f>'J - Capital In Year Schemes'!Q29</f>
        <v>0</v>
      </c>
      <c r="KH29" s="2090">
        <f>'J - Capital In Year Schemes'!R29</f>
        <v>0</v>
      </c>
      <c r="KI29" s="2090">
        <f>'J - Capital In Year Schemes'!S29</f>
        <v>0</v>
      </c>
      <c r="KJ29" s="2091">
        <f>'J - Capital In Year Schemes'!T29</f>
        <v>0</v>
      </c>
      <c r="KK29" s="2060">
        <f t="shared" si="5"/>
        <v>0</v>
      </c>
      <c r="KM29" s="2053">
        <f>'K - Capital Disposals'!A29</f>
        <v>19</v>
      </c>
      <c r="KN29" s="2077">
        <f>'K - Capital Disposals'!B29</f>
        <v>0</v>
      </c>
      <c r="KO29" s="2062">
        <f>'K - Capital Disposals'!C29</f>
        <v>0</v>
      </c>
      <c r="KP29" s="2062">
        <f>'K - Capital Disposals'!D29</f>
        <v>0</v>
      </c>
      <c r="KQ29" s="2078">
        <f>'K - Capital Disposals'!E29</f>
        <v>0</v>
      </c>
      <c r="KR29" s="2064">
        <f>'K - Capital Disposals'!F29</f>
        <v>0</v>
      </c>
      <c r="KS29" s="2064">
        <f>'K - Capital Disposals'!G29</f>
        <v>0</v>
      </c>
      <c r="KT29" s="2054">
        <f>'K - Capital Disposals'!H29</f>
        <v>0</v>
      </c>
      <c r="KU29" s="2055">
        <f>'K - Capital Disposals'!I29</f>
        <v>0</v>
      </c>
      <c r="KV29" s="3100">
        <f>'K - Capital Disposals'!J29</f>
        <v>0</v>
      </c>
      <c r="KW29" s="3095"/>
      <c r="KX29" s="3095"/>
      <c r="KY29" s="3095"/>
      <c r="KZ29" s="3095"/>
      <c r="LA29" s="3095"/>
      <c r="LB29" s="3096"/>
      <c r="LC29" s="1935"/>
      <c r="LE29" s="2173">
        <f>'L - EFL'!A29</f>
        <v>18</v>
      </c>
      <c r="LF29" s="2174" t="str">
        <f>'L - EFL'!B29</f>
        <v>NET FINANCIAL CHANGE</v>
      </c>
      <c r="LG29" s="2175">
        <f>'L - EFL'!C29</f>
        <v>0</v>
      </c>
      <c r="LH29" s="2175">
        <f>'L - EFL'!D29</f>
        <v>0</v>
      </c>
      <c r="LI29" s="2176">
        <f>'L - EFL'!E29</f>
        <v>0</v>
      </c>
      <c r="LJ29" s="2175">
        <f>'L - EFL'!F29</f>
        <v>0</v>
      </c>
      <c r="LL29" s="814"/>
      <c r="LM29" s="2177">
        <f>'M - Aged Debtors'!B29</f>
        <v>0</v>
      </c>
      <c r="LN29" s="2178">
        <f>'M - Aged Debtors'!C29</f>
        <v>0</v>
      </c>
      <c r="LO29" s="2179">
        <f>'M - Aged Debtors'!D29</f>
        <v>0</v>
      </c>
      <c r="LP29" s="2180">
        <f>'M - Aged Debtors'!E29</f>
        <v>0</v>
      </c>
      <c r="LQ29" s="2181">
        <f>'M - Aged Debtors'!F29</f>
        <v>0</v>
      </c>
      <c r="LR29" s="2182" t="str">
        <f>'M - Aged Debtors'!G29</f>
        <v/>
      </c>
      <c r="LS29" s="829" t="str">
        <f>'M - Aged Debtors'!H29</f>
        <v/>
      </c>
      <c r="LT29" s="829" t="str">
        <f>'M - Aged Debtors'!I29</f>
        <v/>
      </c>
      <c r="LU29" s="830" t="str">
        <f>'M - Aged Debtors'!J29</f>
        <v/>
      </c>
      <c r="LV29" s="1757">
        <f>'M - Aged Debtors'!K29</f>
        <v>0</v>
      </c>
      <c r="LX29" s="462" t="str">
        <f>'N - GMS'!A29</f>
        <v>Dispensing                               (To equal data in Line 154)</v>
      </c>
      <c r="LY29" s="460"/>
      <c r="LZ29" s="461">
        <f>'N - GMS'!C29</f>
        <v>16</v>
      </c>
      <c r="MA29" s="1028">
        <f>'N - GMS'!D29</f>
        <v>0</v>
      </c>
      <c r="MB29" s="1808">
        <f>'N - GMS'!E29</f>
        <v>0</v>
      </c>
      <c r="MC29" s="1808">
        <f>'N - GMS'!F29</f>
        <v>0</v>
      </c>
      <c r="MD29" s="463">
        <f>'N - GMS'!G29</f>
        <v>0</v>
      </c>
      <c r="ME29" s="213"/>
      <c r="MF29" s="1808">
        <f>'N - GMS'!I29</f>
        <v>0</v>
      </c>
      <c r="MH29" s="702" t="str">
        <f>'O - Dental'!A29</f>
        <v>Gwen Am Byth - Oral Health in care homes</v>
      </c>
      <c r="MI29" s="703"/>
      <c r="MJ29" s="701">
        <f>'O - Dental'!C29</f>
        <v>19</v>
      </c>
      <c r="MK29" s="2164">
        <f>'O - Dental'!D29</f>
        <v>0</v>
      </c>
      <c r="ML29" s="2164">
        <f>'O - Dental'!E29</f>
        <v>0</v>
      </c>
      <c r="MM29" s="2165">
        <f>'O - Dental'!F29</f>
        <v>0</v>
      </c>
      <c r="MN29" s="2166">
        <f>'O - Dental'!G29</f>
        <v>0</v>
      </c>
      <c r="MO29" s="308"/>
      <c r="MP29" s="1765">
        <f>'O - Dental'!I29</f>
        <v>0</v>
      </c>
      <c r="MR29" s="684"/>
      <c r="MS29" s="3031" t="str">
        <f>'P - Ringfenced'!B29</f>
        <v>Table B : Additional In-Year (23/24 Anticipated &amp; Allocated)</v>
      </c>
      <c r="MT29" s="3036"/>
      <c r="MU29" s="3022"/>
      <c r="MV29" s="3022"/>
      <c r="MW29" s="2669" t="str">
        <f>'P - Ringfenced'!F29</f>
        <v>April</v>
      </c>
      <c r="MX29" s="2669" t="str">
        <f>'P - Ringfenced'!G29</f>
        <v>May</v>
      </c>
      <c r="MY29" s="2669" t="str">
        <f>'P - Ringfenced'!H29</f>
        <v>June</v>
      </c>
      <c r="MZ29" s="2669" t="str">
        <f>'P - Ringfenced'!I29</f>
        <v>July</v>
      </c>
      <c r="NA29" s="2669" t="str">
        <f>'P - Ringfenced'!J29</f>
        <v xml:space="preserve">August </v>
      </c>
      <c r="NB29" s="2669" t="str">
        <f>'P - Ringfenced'!K29</f>
        <v>September</v>
      </c>
      <c r="NC29" s="2669" t="str">
        <f>'P - Ringfenced'!L29</f>
        <v>October</v>
      </c>
      <c r="ND29" s="2669" t="str">
        <f>'P - Ringfenced'!M29</f>
        <v>November</v>
      </c>
      <c r="NE29" s="2669" t="str">
        <f>'P - Ringfenced'!N29</f>
        <v>December</v>
      </c>
      <c r="NF29" s="2669" t="str">
        <f>'P - Ringfenced'!O29</f>
        <v>January</v>
      </c>
      <c r="NG29" s="2669" t="str">
        <f>'P - Ringfenced'!P29</f>
        <v>February</v>
      </c>
      <c r="NH29" s="2669" t="str">
        <f>'P - Ringfenced'!Q29</f>
        <v>March</v>
      </c>
      <c r="NI29" s="2670" t="str">
        <f>'P - Ringfenced'!R29</f>
        <v>YTD</v>
      </c>
      <c r="NJ29" s="2671" t="str">
        <f>'P - Ringfenced'!S29</f>
        <v>Annual</v>
      </c>
      <c r="NK29" s="2671" t="str">
        <f>'P - Ringfenced'!T29</f>
        <v>Variance against WG Allocation (+over/-under spend)</v>
      </c>
      <c r="NL29" s="684"/>
    </row>
    <row r="30" spans="1:376" ht="20.149999999999999" customHeight="1" thickBot="1">
      <c r="M30" s="950">
        <f>'A - Movement'!A30</f>
        <v>20</v>
      </c>
      <c r="N30" s="991" t="str">
        <f>'A - Movement'!B30</f>
        <v>Additional In Year Identified Savings - Forecast</v>
      </c>
      <c r="O30" s="2038">
        <f>'A - Movement'!C30</f>
        <v>0</v>
      </c>
      <c r="P30" s="2038">
        <f>'A - Movement'!D30</f>
        <v>0</v>
      </c>
      <c r="Q30" s="2038">
        <f>'A - Movement'!E30</f>
        <v>0</v>
      </c>
      <c r="R30" s="2038">
        <f>'A - Movement'!F30</f>
        <v>0</v>
      </c>
      <c r="S30" s="1745"/>
      <c r="T30" s="1928"/>
      <c r="U30" s="950">
        <f>'A - Movement'!I30</f>
        <v>20</v>
      </c>
      <c r="V30" s="991" t="str">
        <f t="shared" si="8"/>
        <v>Additional In Year Identified Savings - Forecast</v>
      </c>
      <c r="W30" s="2038">
        <f>'A - Movement'!J30</f>
        <v>0</v>
      </c>
      <c r="X30" s="2038">
        <f>'A - Movement'!K30</f>
        <v>0</v>
      </c>
      <c r="Y30" s="2038">
        <f>'A - Movement'!L30</f>
        <v>0</v>
      </c>
      <c r="Z30" s="2038">
        <f>'A - Movement'!M30</f>
        <v>0</v>
      </c>
      <c r="AA30" s="2038">
        <f>'A - Movement'!N30</f>
        <v>0</v>
      </c>
      <c r="AB30" s="2038">
        <f>'A - Movement'!O30</f>
        <v>0</v>
      </c>
      <c r="AC30" s="2038">
        <f>'A - Movement'!P30</f>
        <v>0</v>
      </c>
      <c r="AD30" s="2038">
        <f>'A - Movement'!Q30</f>
        <v>0</v>
      </c>
      <c r="AE30" s="2038">
        <f>'A - Movement'!R30</f>
        <v>0</v>
      </c>
      <c r="AF30" s="2038">
        <f>'A - Movement'!S30</f>
        <v>0</v>
      </c>
      <c r="AG30" s="2038">
        <f>'A - Movement'!T30</f>
        <v>0</v>
      </c>
      <c r="AH30" s="2038">
        <f>'A - Movement'!U30</f>
        <v>0</v>
      </c>
      <c r="AI30" s="1131">
        <f>'A - Movement'!V30</f>
        <v>0</v>
      </c>
      <c r="AJ30" s="1131">
        <f>'A - Movement'!W30</f>
        <v>0</v>
      </c>
      <c r="AK30" s="2038">
        <f t="shared" si="9"/>
        <v>0</v>
      </c>
      <c r="AL30" s="2038">
        <f t="shared" si="10"/>
        <v>0</v>
      </c>
      <c r="AM30" s="2038">
        <f t="shared" si="11"/>
        <v>0</v>
      </c>
      <c r="AN30" s="1745"/>
      <c r="AO30" s="1928"/>
      <c r="AP30" s="1403">
        <f>'A1 - Underlying Position'!A31</f>
        <v>20</v>
      </c>
      <c r="AQ30" s="1375" t="str">
        <f>'A1 - Underlying Position'!B31</f>
        <v xml:space="preserve">Health Care Provided by other Orgs – English </v>
      </c>
      <c r="AR30" s="1800">
        <f>'A1 - Underlying Position'!C31</f>
        <v>0</v>
      </c>
      <c r="AS30" s="2167">
        <f>'A1 - Underlying Position'!D31</f>
        <v>0</v>
      </c>
      <c r="AT30" s="2167">
        <f>'A1 - Underlying Position'!E31</f>
        <v>0</v>
      </c>
      <c r="AU30" s="75">
        <f>'A1 - Underlying Position'!F31</f>
        <v>0</v>
      </c>
      <c r="AV30" s="2168">
        <f>'A1 - Underlying Position'!G31</f>
        <v>0</v>
      </c>
      <c r="AW30" s="75">
        <f>'A1 - Underlying Position'!H31</f>
        <v>0</v>
      </c>
      <c r="AX30" s="1745"/>
      <c r="AZ30" s="1717">
        <f>'A2 - Risks'!A30</f>
        <v>22</v>
      </c>
      <c r="BA30" s="1806">
        <f>'A2 - Risks'!B30</f>
        <v>0</v>
      </c>
      <c r="BB30" s="1788">
        <f>'A2 - Risks'!C30</f>
        <v>0</v>
      </c>
      <c r="BC30" s="1759">
        <f>'A2 - Risks'!D30</f>
        <v>0</v>
      </c>
      <c r="BE30" s="2109">
        <f>'B - Monthly Positions'!A30</f>
        <v>20</v>
      </c>
      <c r="BF30" s="1373" t="str">
        <f>'B - Monthly Positions'!B30</f>
        <v>Total Interest Receivable - (Trust Only)</v>
      </c>
      <c r="BG30" s="93" t="str">
        <f>'B - Monthly Positions'!C30</f>
        <v>Actual/F'cast</v>
      </c>
      <c r="BH30" s="1782">
        <f>'B - Monthly Positions'!D30</f>
        <v>0</v>
      </c>
      <c r="BI30" s="1782">
        <f>'B - Monthly Positions'!E30</f>
        <v>0</v>
      </c>
      <c r="BJ30" s="1782">
        <f>'B - Monthly Positions'!F30</f>
        <v>0</v>
      </c>
      <c r="BK30" s="1782">
        <f>'B - Monthly Positions'!G30</f>
        <v>0</v>
      </c>
      <c r="BL30" s="1783">
        <f>'B - Monthly Positions'!H30</f>
        <v>0</v>
      </c>
      <c r="BM30" s="1783">
        <f>'B - Monthly Positions'!I30</f>
        <v>0</v>
      </c>
      <c r="BN30" s="1783">
        <f>'B - Monthly Positions'!J30</f>
        <v>0</v>
      </c>
      <c r="BO30" s="1783">
        <f>'B - Monthly Positions'!K30</f>
        <v>0</v>
      </c>
      <c r="BP30" s="1783">
        <f>'B - Monthly Positions'!L30</f>
        <v>0</v>
      </c>
      <c r="BQ30" s="1783">
        <f>'B - Monthly Positions'!M30</f>
        <v>0</v>
      </c>
      <c r="BR30" s="1783">
        <f>'B - Monthly Positions'!N30</f>
        <v>0</v>
      </c>
      <c r="BS30" s="1815">
        <f>'B - Monthly Positions'!O30</f>
        <v>0</v>
      </c>
      <c r="BT30" s="1782">
        <f>'B - Monthly Positions'!P30</f>
        <v>0</v>
      </c>
      <c r="BU30" s="1782">
        <f>'B - Monthly Positions'!Q30</f>
        <v>0</v>
      </c>
      <c r="BV30" s="1643"/>
      <c r="BW30" s="1875"/>
      <c r="BX30" s="1107">
        <f>' Table Z Net Exp Profiles'!A30</f>
        <v>20</v>
      </c>
      <c r="BY30" s="1270" t="str">
        <f>' Table Z Net Exp Profiles'!B30</f>
        <v>Net Pay Expenditure - Movement</v>
      </c>
      <c r="BZ30" s="1110" t="e">
        <f>' Table Z Net Exp Profiles'!C30</f>
        <v>#REF!</v>
      </c>
      <c r="CA30" s="1110" t="e">
        <f>' Table Z Net Exp Profiles'!D30</f>
        <v>#REF!</v>
      </c>
      <c r="CB30" s="1110" t="e">
        <f>' Table Z Net Exp Profiles'!E30</f>
        <v>#REF!</v>
      </c>
      <c r="CC30" s="1110" t="e">
        <f>' Table Z Net Exp Profiles'!F30</f>
        <v>#REF!</v>
      </c>
      <c r="CD30" s="1110" t="e">
        <f>' Table Z Net Exp Profiles'!G30</f>
        <v>#REF!</v>
      </c>
      <c r="CE30" s="1110" t="e">
        <f>' Table Z Net Exp Profiles'!H30</f>
        <v>#REF!</v>
      </c>
      <c r="CF30" s="1110" t="e">
        <f>' Table Z Net Exp Profiles'!I30</f>
        <v>#REF!</v>
      </c>
      <c r="CG30" s="1110" t="e">
        <f>' Table Z Net Exp Profiles'!J30</f>
        <v>#REF!</v>
      </c>
      <c r="CH30" s="1110" t="e">
        <f>' Table Z Net Exp Profiles'!K30</f>
        <v>#REF!</v>
      </c>
      <c r="CI30" s="1110" t="e">
        <f>' Table Z Net Exp Profiles'!L30</f>
        <v>#REF!</v>
      </c>
      <c r="CJ30" s="1110" t="e">
        <f>' Table Z Net Exp Profiles'!M30</f>
        <v>#REF!</v>
      </c>
      <c r="CK30" s="1110" t="e">
        <f>' Table Z Net Exp Profiles'!N30</f>
        <v>#REF!</v>
      </c>
      <c r="CL30" s="1110" t="e">
        <f>' Table Z Net Exp Profiles'!O30</f>
        <v>#REF!</v>
      </c>
      <c r="CM30" s="1101" t="e">
        <f>' Table Z Net Exp Profiles'!P30</f>
        <v>#REF!</v>
      </c>
      <c r="CO30" s="1308" t="str">
        <f>'B2 - Pay &amp; Agency'!A30</f>
        <v xml:space="preserve">B - Agency / Locum (premium) Expenditure </v>
      </c>
      <c r="CP30" s="80"/>
      <c r="CQ30" s="1236">
        <f>'B2 - Pay &amp; Agency'!C30</f>
        <v>1</v>
      </c>
      <c r="CR30" s="1222">
        <f>'B2 - Pay &amp; Agency'!D30</f>
        <v>2</v>
      </c>
      <c r="CS30" s="1222">
        <f>'B2 - Pay &amp; Agency'!E30</f>
        <v>3</v>
      </c>
      <c r="CT30" s="1222">
        <f>'B2 - Pay &amp; Agency'!F30</f>
        <v>4</v>
      </c>
      <c r="CU30" s="1222">
        <f>'B2 - Pay &amp; Agency'!G30</f>
        <v>5</v>
      </c>
      <c r="CV30" s="1222">
        <f>'B2 - Pay &amp; Agency'!H30</f>
        <v>6</v>
      </c>
      <c r="CW30" s="1222">
        <f>'B2 - Pay &amp; Agency'!I30</f>
        <v>7</v>
      </c>
      <c r="CX30" s="1222">
        <f>'B2 - Pay &amp; Agency'!J30</f>
        <v>8</v>
      </c>
      <c r="CY30" s="1222">
        <f>'B2 - Pay &amp; Agency'!K30</f>
        <v>9</v>
      </c>
      <c r="CZ30" s="1222">
        <f>'B2 - Pay &amp; Agency'!L30</f>
        <v>10</v>
      </c>
      <c r="DA30" s="1222">
        <f>'B2 - Pay &amp; Agency'!M30</f>
        <v>11</v>
      </c>
      <c r="DB30" s="1223">
        <f>'B2 - Pay &amp; Agency'!N30</f>
        <v>12</v>
      </c>
      <c r="DC30" s="1210"/>
      <c r="DD30" s="1211"/>
      <c r="DF30" s="2852">
        <f>'B3 - COVID-19'!A30</f>
        <v>23</v>
      </c>
      <c r="DG30" s="2845">
        <f>'B3 - COVID-19'!B30</f>
        <v>0</v>
      </c>
      <c r="DH30" s="1330">
        <f>'B3 - COVID-19'!C30</f>
        <v>0</v>
      </c>
      <c r="DI30" s="1330">
        <f>'B3 - COVID-19'!D30</f>
        <v>0</v>
      </c>
      <c r="DJ30" s="1330">
        <f>'B3 - COVID-19'!E30</f>
        <v>0</v>
      </c>
      <c r="DK30" s="1330">
        <f>'B3 - COVID-19'!F30</f>
        <v>0</v>
      </c>
      <c r="DL30" s="1330">
        <f>'B3 - COVID-19'!G30</f>
        <v>0</v>
      </c>
      <c r="DM30" s="1330">
        <f>'B3 - COVID-19'!H30</f>
        <v>0</v>
      </c>
      <c r="DN30" s="1330">
        <f>'B3 - COVID-19'!I30</f>
        <v>0</v>
      </c>
      <c r="DO30" s="1330">
        <f>'B3 - COVID-19'!J30</f>
        <v>0</v>
      </c>
      <c r="DP30" s="1330">
        <f>'B3 - COVID-19'!K30</f>
        <v>0</v>
      </c>
      <c r="DQ30" s="1330">
        <f>'B3 - COVID-19'!L30</f>
        <v>0</v>
      </c>
      <c r="DR30" s="1330">
        <f>'B3 - COVID-19'!M30</f>
        <v>0</v>
      </c>
      <c r="DS30" s="1330">
        <f>'B3 - COVID-19'!N30</f>
        <v>0</v>
      </c>
      <c r="DT30" s="1863">
        <f>'B3 - COVID-19'!O30</f>
        <v>0</v>
      </c>
      <c r="DU30" s="1863">
        <f>'B3 - COVID-19'!P30</f>
        <v>0</v>
      </c>
      <c r="DV30" s="608"/>
      <c r="DW30" s="1116"/>
      <c r="DY30" s="2095">
        <f>'C, C1, C2&amp; C3 - Savings Schemes'!A30</f>
        <v>18</v>
      </c>
      <c r="DZ30" s="3040"/>
      <c r="EA30" s="92" t="str">
        <f>'C, C1, C2&amp; C3 - Savings Schemes'!C30</f>
        <v>Variance</v>
      </c>
      <c r="EB30" s="944">
        <f>'C, C1, C2&amp; C3 - Savings Schemes'!D30</f>
        <v>0</v>
      </c>
      <c r="EC30" s="944">
        <f>'C, C1, C2&amp; C3 - Savings Schemes'!E30</f>
        <v>0</v>
      </c>
      <c r="ED30" s="944">
        <f>'C, C1, C2&amp; C3 - Savings Schemes'!F30</f>
        <v>0</v>
      </c>
      <c r="EE30" s="944">
        <f>'C, C1, C2&amp; C3 - Savings Schemes'!G30</f>
        <v>0</v>
      </c>
      <c r="EF30" s="944">
        <f>'C, C1, C2&amp; C3 - Savings Schemes'!H30</f>
        <v>0</v>
      </c>
      <c r="EG30" s="944">
        <f>'C, C1, C2&amp; C3 - Savings Schemes'!I30</f>
        <v>0</v>
      </c>
      <c r="EH30" s="944">
        <f>'C, C1, C2&amp; C3 - Savings Schemes'!J30</f>
        <v>0</v>
      </c>
      <c r="EI30" s="944">
        <f>'C, C1, C2&amp; C3 - Savings Schemes'!K30</f>
        <v>0</v>
      </c>
      <c r="EJ30" s="944">
        <f>'C, C1, C2&amp; C3 - Savings Schemes'!L30</f>
        <v>0</v>
      </c>
      <c r="EK30" s="944">
        <f>'C, C1, C2&amp; C3 - Savings Schemes'!M30</f>
        <v>0</v>
      </c>
      <c r="EL30" s="944">
        <f>'C, C1, C2&amp; C3 - Savings Schemes'!N30</f>
        <v>0</v>
      </c>
      <c r="EM30" s="944">
        <f>'C, C1, C2&amp; C3 - Savings Schemes'!O30</f>
        <v>0</v>
      </c>
      <c r="EN30" s="943">
        <f>'C, C1, C2&amp; C3 - Savings Schemes'!P30</f>
        <v>0</v>
      </c>
      <c r="EO30" s="939">
        <f>'C, C1, C2&amp; C3 - Savings Schemes'!Q30</f>
        <v>0</v>
      </c>
      <c r="EP30" s="1168" t="e">
        <f>'C, C1, C2&amp; C3 - Savings Schemes'!R30</f>
        <v>#DIV/0!</v>
      </c>
      <c r="EQ30" s="2081"/>
      <c r="ER30" s="2081"/>
      <c r="ES30" s="2081"/>
      <c r="ET30" s="2081"/>
      <c r="EU30" s="608"/>
      <c r="EV30" s="594"/>
      <c r="EW30" s="1932"/>
      <c r="EX30" s="3074"/>
      <c r="EY30" s="1698" t="str">
        <f>'Table C4 Tracker'!B27</f>
        <v>In Year - Actual/Forecast</v>
      </c>
      <c r="EZ30" s="1371">
        <f>'Table C4 Tracker'!C27</f>
        <v>0</v>
      </c>
      <c r="FA30" s="1708">
        <f>'Table C4 Tracker'!D27</f>
        <v>0</v>
      </c>
      <c r="FB30" s="1708">
        <f>'Table C4 Tracker'!E27</f>
        <v>0</v>
      </c>
      <c r="FC30" s="1708">
        <f>'Table C4 Tracker'!F27</f>
        <v>0</v>
      </c>
      <c r="FD30" s="1708">
        <f>'Table C4 Tracker'!G27</f>
        <v>0</v>
      </c>
      <c r="FE30" s="1708">
        <f>'Table C4 Tracker'!H27</f>
        <v>0</v>
      </c>
      <c r="FF30" s="1708">
        <f>'Table C4 Tracker'!I27</f>
        <v>0</v>
      </c>
      <c r="FG30" s="1708">
        <f>'Table C4 Tracker'!J27</f>
        <v>0</v>
      </c>
      <c r="FH30" s="1708">
        <f>'Table C4 Tracker'!K27</f>
        <v>0</v>
      </c>
      <c r="FI30" s="1708">
        <f>'Table C4 Tracker'!L27</f>
        <v>0</v>
      </c>
      <c r="FJ30" s="1708">
        <f>'Table C4 Tracker'!M27</f>
        <v>0</v>
      </c>
      <c r="FK30" s="1708">
        <f>'Table C4 Tracker'!N27</f>
        <v>0</v>
      </c>
      <c r="FL30" s="1577">
        <f>'Table C4 Tracker'!O27</f>
        <v>0</v>
      </c>
      <c r="FM30" s="1465">
        <f>'Table C4 Tracker'!P27</f>
        <v>0</v>
      </c>
      <c r="FN30" s="939">
        <f>'Table C4 Tracker'!Q27</f>
        <v>0</v>
      </c>
      <c r="FO30" s="1577">
        <f>'Table C4 Tracker'!R27</f>
        <v>0</v>
      </c>
      <c r="FP30" s="1577">
        <f>'Table C4 Tracker'!S27</f>
        <v>0</v>
      </c>
      <c r="FQ30" s="1577">
        <f>'Table C4 Tracker'!T27</f>
        <v>0</v>
      </c>
      <c r="FR30" s="1577">
        <f>'Table C4 Tracker'!U27</f>
        <v>0</v>
      </c>
      <c r="FS30" s="1957"/>
      <c r="GF30" s="2112">
        <f>'E - Resource Limits'!A30</f>
        <v>18</v>
      </c>
      <c r="GG30" s="2113">
        <f>'E - Resource Limits'!B30</f>
        <v>0</v>
      </c>
      <c r="GH30" s="2114">
        <f>'E - Resource Limits'!C30</f>
        <v>0</v>
      </c>
      <c r="GI30" s="2114">
        <f>'E - Resource Limits'!D30</f>
        <v>0</v>
      </c>
      <c r="GJ30" s="2114">
        <f>'E - Resource Limits'!E30</f>
        <v>0</v>
      </c>
      <c r="GK30" s="2114">
        <f>'E - Resource Limits'!F30</f>
        <v>0</v>
      </c>
      <c r="GL30" s="2048">
        <f>'E - Resource Limits'!G30</f>
        <v>0</v>
      </c>
      <c r="GM30" s="2115">
        <f>'E - Resource Limits'!H30</f>
        <v>0</v>
      </c>
      <c r="GN30" s="2114">
        <f>'E - Resource Limits'!I30</f>
        <v>0</v>
      </c>
      <c r="GO30" s="2114">
        <f>'E - Resource Limits'!J30</f>
        <v>0</v>
      </c>
      <c r="GP30" s="2114">
        <f>'E - Resource Limits'!K30</f>
        <v>0</v>
      </c>
      <c r="GQ30" s="2116">
        <f>'E - Resource Limits'!L30</f>
        <v>0</v>
      </c>
      <c r="GR30" s="1935">
        <f t="shared" si="6"/>
        <v>0</v>
      </c>
      <c r="GT30" s="175">
        <f>'E1 - Invoiced Income'!A30</f>
        <v>19</v>
      </c>
      <c r="GU30" s="1797">
        <f>'E1 - Invoiced Income'!B30</f>
        <v>0</v>
      </c>
      <c r="GV30" s="1798">
        <f>'E1 - Invoiced Income'!C30</f>
        <v>0</v>
      </c>
      <c r="GW30" s="1798">
        <f>'E1 - Invoiced Income'!D30</f>
        <v>0</v>
      </c>
      <c r="GX30" s="1798">
        <f>'E1 - Invoiced Income'!E30</f>
        <v>0</v>
      </c>
      <c r="GY30" s="1798">
        <f>'E1 - Invoiced Income'!F30</f>
        <v>0</v>
      </c>
      <c r="GZ30" s="1798">
        <f>'E1 - Invoiced Income'!G30</f>
        <v>0</v>
      </c>
      <c r="HA30" s="1798">
        <f>'E1 - Invoiced Income'!H30</f>
        <v>0</v>
      </c>
      <c r="HB30" s="1798">
        <f>'E1 - Invoiced Income'!I30</f>
        <v>0</v>
      </c>
      <c r="HC30" s="1798">
        <f>'E1 - Invoiced Income'!J30</f>
        <v>0</v>
      </c>
      <c r="HD30" s="1798">
        <f>'E1 - Invoiced Income'!K30</f>
        <v>0</v>
      </c>
      <c r="HE30" s="1798">
        <f>'E1 - Invoiced Income'!L30</f>
        <v>0</v>
      </c>
      <c r="HF30" s="1798">
        <f>'E1 - Invoiced Income'!M30</f>
        <v>0</v>
      </c>
      <c r="HG30" s="1798">
        <f>'E1 - Invoiced Income'!N30</f>
        <v>0</v>
      </c>
      <c r="HH30" s="1798">
        <f>'E1 - Invoiced Income'!O30</f>
        <v>0</v>
      </c>
      <c r="HI30" s="1798">
        <f>'E1 - Invoiced Income'!P30</f>
        <v>0</v>
      </c>
      <c r="HJ30" s="1798">
        <f>'E1 - Invoiced Income'!R30</f>
        <v>0</v>
      </c>
      <c r="HK30" s="1798">
        <f>'E1 - Invoiced Income'!S30</f>
        <v>0</v>
      </c>
      <c r="HL30" s="1665">
        <f>'E1 - Invoiced Income'!T30</f>
        <v>0</v>
      </c>
      <c r="HM30" s="1799">
        <f>'E1 - Invoiced Income'!U30</f>
        <v>0</v>
      </c>
      <c r="HO30" s="2049"/>
      <c r="HP30" s="2012"/>
      <c r="HQ30" s="2097"/>
      <c r="HR30" s="2098"/>
      <c r="HS30" s="2098"/>
      <c r="HT30" s="1946"/>
      <c r="HV30" s="2148">
        <f>'G - Cash Flow'!A30</f>
        <v>19</v>
      </c>
      <c r="HW30" s="2149" t="str">
        <f>'G - Cash Flow'!B30</f>
        <v>Short Term Loan Repayment - Trust only</v>
      </c>
      <c r="HX30" s="2064">
        <f>'G - Cash Flow'!C30</f>
        <v>0</v>
      </c>
      <c r="HY30" s="2064">
        <f>'G - Cash Flow'!D30</f>
        <v>0</v>
      </c>
      <c r="HZ30" s="2064">
        <f>'G - Cash Flow'!E30</f>
        <v>0</v>
      </c>
      <c r="IA30" s="2064">
        <f>'G - Cash Flow'!F30</f>
        <v>0</v>
      </c>
      <c r="IB30" s="2064">
        <f>'G - Cash Flow'!G30</f>
        <v>0</v>
      </c>
      <c r="IC30" s="2064">
        <f>'G - Cash Flow'!H30</f>
        <v>0</v>
      </c>
      <c r="ID30" s="2064">
        <f>'G - Cash Flow'!I30</f>
        <v>0</v>
      </c>
      <c r="IE30" s="2064">
        <f>'G - Cash Flow'!J30</f>
        <v>0</v>
      </c>
      <c r="IF30" s="2064">
        <f>'G - Cash Flow'!K30</f>
        <v>0</v>
      </c>
      <c r="IG30" s="2064">
        <f>'G - Cash Flow'!L30</f>
        <v>0</v>
      </c>
      <c r="IH30" s="2064">
        <f>'G - Cash Flow'!M30</f>
        <v>0</v>
      </c>
      <c r="II30" s="2064">
        <f>'G - Cash Flow'!N30</f>
        <v>0</v>
      </c>
      <c r="IJ30" s="2150">
        <f>'G - Cash Flow'!O30</f>
        <v>0</v>
      </c>
      <c r="IK30" s="1942"/>
      <c r="JD30" s="2088">
        <f>'I - Capital RLM'!A30</f>
        <v>12</v>
      </c>
      <c r="JE30" s="2126">
        <f>'I - Capital RLM'!B30</f>
        <v>0</v>
      </c>
      <c r="JF30" s="2010">
        <f>'I - Capital RLM'!C30</f>
        <v>0</v>
      </c>
      <c r="JG30" s="2010">
        <f>'I - Capital RLM'!D30</f>
        <v>0</v>
      </c>
      <c r="JH30" s="2118">
        <f>'I - Capital RLM'!E30</f>
        <v>0</v>
      </c>
      <c r="JI30" s="2119">
        <f>'I - Capital RLM'!F30</f>
        <v>0</v>
      </c>
      <c r="JJ30" s="2010">
        <f>'I - Capital RLM'!G30</f>
        <v>0</v>
      </c>
      <c r="JK30" s="2010">
        <f>'I - Capital RLM'!H30</f>
        <v>0</v>
      </c>
      <c r="JL30" s="2118">
        <f>'I - Capital RLM'!I30</f>
        <v>0</v>
      </c>
      <c r="JM30" s="2120"/>
      <c r="JN30" s="1890">
        <f>'I - Capital RLM'!K30</f>
        <v>0</v>
      </c>
      <c r="JO30" s="2120">
        <f t="shared" si="7"/>
        <v>0</v>
      </c>
      <c r="JQ30" s="2073">
        <f>'J - Capital In Year Schemes'!A30</f>
        <v>19</v>
      </c>
      <c r="JR30" s="2089">
        <f>'J - Capital In Year Schemes'!B30</f>
        <v>0</v>
      </c>
      <c r="JS30" s="2089">
        <f>'J - Capital In Year Schemes'!C30</f>
        <v>0</v>
      </c>
      <c r="JT30" s="2010">
        <f>'J - Capital In Year Schemes'!D30</f>
        <v>0</v>
      </c>
      <c r="JU30" s="2010">
        <f>'J - Capital In Year Schemes'!E30</f>
        <v>0</v>
      </c>
      <c r="JV30" s="2010">
        <f>'J - Capital In Year Schemes'!F30</f>
        <v>0</v>
      </c>
      <c r="JW30" s="2010">
        <f>'J - Capital In Year Schemes'!G30</f>
        <v>0</v>
      </c>
      <c r="JX30" s="2010">
        <f>'J - Capital In Year Schemes'!H30</f>
        <v>0</v>
      </c>
      <c r="JY30" s="2010">
        <f>'J - Capital In Year Schemes'!I30</f>
        <v>0</v>
      </c>
      <c r="JZ30" s="2010">
        <f>'J - Capital In Year Schemes'!J30</f>
        <v>0</v>
      </c>
      <c r="KA30" s="2010">
        <f>'J - Capital In Year Schemes'!K30</f>
        <v>0</v>
      </c>
      <c r="KB30" s="2010">
        <f>'J - Capital In Year Schemes'!L30</f>
        <v>0</v>
      </c>
      <c r="KC30" s="2010">
        <f>'J - Capital In Year Schemes'!M30</f>
        <v>0</v>
      </c>
      <c r="KD30" s="2010">
        <f>'J - Capital In Year Schemes'!N30</f>
        <v>0</v>
      </c>
      <c r="KE30" s="2010">
        <f>'J - Capital In Year Schemes'!O30</f>
        <v>0</v>
      </c>
      <c r="KF30" s="2010">
        <f>'J - Capital In Year Schemes'!P30</f>
        <v>0</v>
      </c>
      <c r="KG30" s="2010">
        <f>'J - Capital In Year Schemes'!Q30</f>
        <v>0</v>
      </c>
      <c r="KH30" s="2090">
        <f>'J - Capital In Year Schemes'!R30</f>
        <v>0</v>
      </c>
      <c r="KI30" s="2090">
        <f>'J - Capital In Year Schemes'!S30</f>
        <v>0</v>
      </c>
      <c r="KJ30" s="2091">
        <f>'J - Capital In Year Schemes'!T30</f>
        <v>0</v>
      </c>
      <c r="KK30" s="2060">
        <f t="shared" si="5"/>
        <v>0</v>
      </c>
      <c r="KM30" s="2053"/>
      <c r="KN30" s="2184" t="str">
        <f>'K - Capital Disposals'!B30</f>
        <v>Total for in-year</v>
      </c>
      <c r="KO30" s="2185">
        <f>'K - Capital Disposals'!C30</f>
        <v>0</v>
      </c>
      <c r="KP30" s="2185">
        <f>'K - Capital Disposals'!D30</f>
        <v>0</v>
      </c>
      <c r="KQ30" s="2186">
        <f>'K - Capital Disposals'!E30</f>
        <v>0</v>
      </c>
      <c r="KR30" s="2150">
        <f>'K - Capital Disposals'!F30</f>
        <v>0</v>
      </c>
      <c r="KS30" s="2150">
        <f>'K - Capital Disposals'!G30</f>
        <v>0</v>
      </c>
      <c r="KT30" s="2150">
        <f>'K - Capital Disposals'!H30</f>
        <v>0</v>
      </c>
      <c r="KU30" s="2055">
        <f>'K - Capital Disposals'!I30</f>
        <v>0</v>
      </c>
      <c r="KV30" s="3100">
        <f>'K - Capital Disposals'!J30</f>
        <v>0</v>
      </c>
      <c r="KW30" s="3095"/>
      <c r="KX30" s="3095"/>
      <c r="KY30" s="3095"/>
      <c r="KZ30" s="3095"/>
      <c r="LA30" s="3095"/>
      <c r="LB30" s="3096"/>
      <c r="LC30" s="1935"/>
      <c r="LE30" s="2187"/>
      <c r="LF30" s="2188" t="str">
        <f>'L - EFL'!B30</f>
        <v>EFL REQUIREMENT TO BE MET BY</v>
      </c>
      <c r="LG30" s="2189"/>
      <c r="LH30" s="2189"/>
      <c r="LI30" s="2190"/>
      <c r="LJ30" s="2189"/>
      <c r="LL30" s="814"/>
      <c r="LM30" s="2177">
        <f>'M - Aged Debtors'!B30</f>
        <v>0</v>
      </c>
      <c r="LN30" s="2178">
        <f>'M - Aged Debtors'!C30</f>
        <v>0</v>
      </c>
      <c r="LO30" s="2179">
        <f>'M - Aged Debtors'!D30</f>
        <v>0</v>
      </c>
      <c r="LP30" s="2180">
        <f>'M - Aged Debtors'!E30</f>
        <v>0</v>
      </c>
      <c r="LQ30" s="2181">
        <f>'M - Aged Debtors'!F30</f>
        <v>0</v>
      </c>
      <c r="LR30" s="2182" t="str">
        <f>'M - Aged Debtors'!G30</f>
        <v/>
      </c>
      <c r="LS30" s="829" t="str">
        <f>'M - Aged Debtors'!H30</f>
        <v/>
      </c>
      <c r="LT30" s="829" t="str">
        <f>'M - Aged Debtors'!I30</f>
        <v/>
      </c>
      <c r="LU30" s="830" t="str">
        <f>'M - Aged Debtors'!J30</f>
        <v/>
      </c>
      <c r="LV30" s="1757">
        <f>'M - Aged Debtors'!K30</f>
        <v>0</v>
      </c>
      <c r="LX30" s="465"/>
      <c r="LY30" s="466"/>
      <c r="LZ30" s="466"/>
      <c r="MA30" s="216"/>
      <c r="MB30" s="216"/>
      <c r="MC30" s="216"/>
      <c r="MD30" s="216"/>
      <c r="ME30" s="216"/>
      <c r="MF30" s="226"/>
      <c r="MH30" s="1679" t="str">
        <f>'O - Dental'!A30</f>
        <v>Refund of patient charges</v>
      </c>
      <c r="MI30" s="703"/>
      <c r="MJ30" s="701">
        <f>'O - Dental'!C30</f>
        <v>20</v>
      </c>
      <c r="MK30" s="664">
        <f>'O - Dental'!D30</f>
        <v>0</v>
      </c>
      <c r="ML30" s="2191">
        <f>'O - Dental'!E30</f>
        <v>0</v>
      </c>
      <c r="MM30" s="2192">
        <f>'O - Dental'!F30</f>
        <v>0</v>
      </c>
      <c r="MN30" s="2193">
        <f>'O - Dental'!G30</f>
        <v>0</v>
      </c>
      <c r="MO30" s="308"/>
      <c r="MP30" s="1765">
        <f>'O - Dental'!I30</f>
        <v>0</v>
      </c>
      <c r="MR30" s="684"/>
      <c r="MS30" s="3037" t="str">
        <f>'P - Ringfenced'!B30</f>
        <v>Urgent Emergency Care Allocations</v>
      </c>
      <c r="MT30" s="1101" t="str">
        <f>'P - Ringfenced'!C30</f>
        <v>Plan</v>
      </c>
      <c r="MU30" s="2666">
        <f>'P - Ringfenced'!D30</f>
        <v>0</v>
      </c>
      <c r="MV30" s="2666">
        <f>'P - Ringfenced'!E30</f>
        <v>0</v>
      </c>
      <c r="MW30" s="2694">
        <f>'P - Ringfenced'!F30</f>
        <v>0</v>
      </c>
      <c r="MX30" s="2694">
        <f>'P - Ringfenced'!G30</f>
        <v>0</v>
      </c>
      <c r="MY30" s="2694">
        <f>'P - Ringfenced'!H30</f>
        <v>0</v>
      </c>
      <c r="MZ30" s="2694">
        <f>'P - Ringfenced'!I30</f>
        <v>0</v>
      </c>
      <c r="NA30" s="2694">
        <f>'P - Ringfenced'!J30</f>
        <v>0</v>
      </c>
      <c r="NB30" s="2694">
        <f>'P - Ringfenced'!K30</f>
        <v>0</v>
      </c>
      <c r="NC30" s="2694">
        <f>'P - Ringfenced'!L30</f>
        <v>0</v>
      </c>
      <c r="ND30" s="2694">
        <f>'P - Ringfenced'!M30</f>
        <v>0</v>
      </c>
      <c r="NE30" s="2694">
        <f>'P - Ringfenced'!N30</f>
        <v>0</v>
      </c>
      <c r="NF30" s="2694">
        <f>'P - Ringfenced'!O30</f>
        <v>0</v>
      </c>
      <c r="NG30" s="2694">
        <f>'P - Ringfenced'!P30</f>
        <v>0</v>
      </c>
      <c r="NH30" s="2694">
        <f>'P - Ringfenced'!Q30</f>
        <v>0</v>
      </c>
      <c r="NI30" s="1132">
        <f>'P - Ringfenced'!R30</f>
        <v>0</v>
      </c>
      <c r="NJ30" s="1323">
        <f>'P - Ringfenced'!S30</f>
        <v>0</v>
      </c>
      <c r="NK30" s="2860"/>
      <c r="NL30" s="684"/>
    </row>
    <row r="31" spans="1:376" ht="20.149999999999999" customHeight="1" thickTop="1" thickBot="1">
      <c r="M31" s="950">
        <f>'A - Movement'!A31</f>
        <v>21</v>
      </c>
      <c r="N31" s="2499" t="str">
        <f>'A - Movement'!B31</f>
        <v xml:space="preserve">Variance to Planned RRL &amp; Other Income  </v>
      </c>
      <c r="O31" s="1131">
        <f>'A - Movement'!C31</f>
        <v>0</v>
      </c>
      <c r="P31" s="1131">
        <f>'A - Movement'!D31</f>
        <v>0</v>
      </c>
      <c r="Q31" s="954">
        <f>'A - Movement'!E31</f>
        <v>0</v>
      </c>
      <c r="R31" s="954">
        <f>'A - Movement'!F31</f>
        <v>0</v>
      </c>
      <c r="S31" s="1745"/>
      <c r="T31" s="1928"/>
      <c r="U31" s="950">
        <f>'A - Movement'!I31</f>
        <v>21</v>
      </c>
      <c r="V31" s="2499" t="str">
        <f t="shared" si="8"/>
        <v xml:space="preserve">Variance to Planned RRL &amp; Other Income  </v>
      </c>
      <c r="W31" s="954">
        <f>'A - Movement'!J31</f>
        <v>0</v>
      </c>
      <c r="X31" s="954">
        <f>'A - Movement'!K31</f>
        <v>0</v>
      </c>
      <c r="Y31" s="954">
        <f>'A - Movement'!L31</f>
        <v>0</v>
      </c>
      <c r="Z31" s="954">
        <f>'A - Movement'!M31</f>
        <v>0</v>
      </c>
      <c r="AA31" s="954">
        <f>'A - Movement'!N31</f>
        <v>0</v>
      </c>
      <c r="AB31" s="954">
        <f>'A - Movement'!O31</f>
        <v>0</v>
      </c>
      <c r="AC31" s="954">
        <f>'A - Movement'!P31</f>
        <v>0</v>
      </c>
      <c r="AD31" s="954">
        <f>'A - Movement'!Q31</f>
        <v>0</v>
      </c>
      <c r="AE31" s="954">
        <f>'A - Movement'!R31</f>
        <v>0</v>
      </c>
      <c r="AF31" s="954">
        <f>'A - Movement'!S31</f>
        <v>0</v>
      </c>
      <c r="AG31" s="954">
        <f>'A - Movement'!T31</f>
        <v>0</v>
      </c>
      <c r="AH31" s="954">
        <f>'A - Movement'!U31</f>
        <v>0</v>
      </c>
      <c r="AI31" s="1131">
        <f>'A - Movement'!V31</f>
        <v>0</v>
      </c>
      <c r="AJ31" s="1131">
        <f>'A - Movement'!W31</f>
        <v>0</v>
      </c>
      <c r="AK31" s="1131">
        <f t="shared" si="9"/>
        <v>0</v>
      </c>
      <c r="AL31" s="954">
        <f t="shared" si="10"/>
        <v>0</v>
      </c>
      <c r="AM31" s="954">
        <f t="shared" si="11"/>
        <v>0</v>
      </c>
      <c r="AN31" s="1745"/>
      <c r="AO31" s="1928"/>
      <c r="AP31" s="1403">
        <f>'A1 - Underlying Position'!A32</f>
        <v>21</v>
      </c>
      <c r="AQ31" s="1375" t="str">
        <f>'A1 - Underlying Position'!B32</f>
        <v>Health Care Provided by other Orgs – Private / Other</v>
      </c>
      <c r="AR31" s="1800">
        <f>'A1 - Underlying Position'!C32</f>
        <v>0</v>
      </c>
      <c r="AS31" s="2194">
        <f>'A1 - Underlying Position'!D32</f>
        <v>0</v>
      </c>
      <c r="AT31" s="2194">
        <f>'A1 - Underlying Position'!E32</f>
        <v>0</v>
      </c>
      <c r="AU31" s="1081">
        <f>'A1 - Underlying Position'!F32</f>
        <v>0</v>
      </c>
      <c r="AV31" s="2195">
        <f>'A1 - Underlying Position'!G32</f>
        <v>0</v>
      </c>
      <c r="AW31" s="1081">
        <f>'A1 - Underlying Position'!H32</f>
        <v>0</v>
      </c>
      <c r="AX31" s="2594"/>
      <c r="AZ31" s="1717">
        <f>'A2 - Risks'!A31</f>
        <v>23</v>
      </c>
      <c r="BA31" s="1806">
        <f>'A2 - Risks'!B31</f>
        <v>0</v>
      </c>
      <c r="BB31" s="1788">
        <f>'A2 - Risks'!C31</f>
        <v>0</v>
      </c>
      <c r="BC31" s="1759">
        <f>'A2 - Risks'!D31</f>
        <v>0</v>
      </c>
      <c r="BE31" s="2109">
        <f>'B - Monthly Positions'!A31</f>
        <v>21</v>
      </c>
      <c r="BF31" s="1373" t="str">
        <f>'B - Monthly Positions'!B31</f>
        <v>Total Interest Payable - (Trust Only)</v>
      </c>
      <c r="BG31" s="93" t="str">
        <f>'B - Monthly Positions'!C31</f>
        <v>Actual/F'cast</v>
      </c>
      <c r="BH31" s="1782">
        <f>'B - Monthly Positions'!D31</f>
        <v>0</v>
      </c>
      <c r="BI31" s="1782">
        <f>'B - Monthly Positions'!E31</f>
        <v>0</v>
      </c>
      <c r="BJ31" s="1782">
        <f>'B - Monthly Positions'!F31</f>
        <v>0</v>
      </c>
      <c r="BK31" s="1782">
        <f>'B - Monthly Positions'!G31</f>
        <v>0</v>
      </c>
      <c r="BL31" s="1783">
        <f>'B - Monthly Positions'!H31</f>
        <v>0</v>
      </c>
      <c r="BM31" s="1783">
        <f>'B - Monthly Positions'!I31</f>
        <v>0</v>
      </c>
      <c r="BN31" s="1783">
        <f>'B - Monthly Positions'!J31</f>
        <v>0</v>
      </c>
      <c r="BO31" s="1783">
        <f>'B - Monthly Positions'!K31</f>
        <v>0</v>
      </c>
      <c r="BP31" s="1783">
        <f>'B - Monthly Positions'!L31</f>
        <v>0</v>
      </c>
      <c r="BQ31" s="1783">
        <f>'B - Monthly Positions'!M31</f>
        <v>0</v>
      </c>
      <c r="BR31" s="1783">
        <f>'B - Monthly Positions'!N31</f>
        <v>0</v>
      </c>
      <c r="BS31" s="1815">
        <f>'B - Monthly Positions'!O31</f>
        <v>0</v>
      </c>
      <c r="BT31" s="1782">
        <f>'B - Monthly Positions'!P31</f>
        <v>0</v>
      </c>
      <c r="BU31" s="1782">
        <f>'B - Monthly Positions'!Q31</f>
        <v>0</v>
      </c>
      <c r="BV31" s="1644"/>
      <c r="BW31" s="1875"/>
      <c r="BX31" s="1107">
        <f>' Table Z Net Exp Profiles'!A31</f>
        <v>21</v>
      </c>
      <c r="BY31" s="1270" t="str">
        <f>' Table Z Net Exp Profiles'!B31</f>
        <v>Net Pay Expenditure - Movement due to Covid-19</v>
      </c>
      <c r="BZ31" s="1110" t="e">
        <f>' Table Z Net Exp Profiles'!C31</f>
        <v>#REF!</v>
      </c>
      <c r="CA31" s="1110" t="e">
        <f>' Table Z Net Exp Profiles'!D31</f>
        <v>#REF!</v>
      </c>
      <c r="CB31" s="1110" t="e">
        <f>' Table Z Net Exp Profiles'!E31</f>
        <v>#REF!</v>
      </c>
      <c r="CC31" s="1110" t="e">
        <f>' Table Z Net Exp Profiles'!F31</f>
        <v>#REF!</v>
      </c>
      <c r="CD31" s="1110" t="e">
        <f>' Table Z Net Exp Profiles'!G31</f>
        <v>#REF!</v>
      </c>
      <c r="CE31" s="1110" t="e">
        <f>' Table Z Net Exp Profiles'!H31</f>
        <v>#REF!</v>
      </c>
      <c r="CF31" s="1110" t="e">
        <f>' Table Z Net Exp Profiles'!I31</f>
        <v>#REF!</v>
      </c>
      <c r="CG31" s="1110" t="e">
        <f>' Table Z Net Exp Profiles'!J31</f>
        <v>#REF!</v>
      </c>
      <c r="CH31" s="1110" t="e">
        <f>' Table Z Net Exp Profiles'!K31</f>
        <v>#REF!</v>
      </c>
      <c r="CI31" s="1110" t="e">
        <f>' Table Z Net Exp Profiles'!L31</f>
        <v>#REF!</v>
      </c>
      <c r="CJ31" s="1110" t="e">
        <f>' Table Z Net Exp Profiles'!M31</f>
        <v>#REF!</v>
      </c>
      <c r="CK31" s="1110" t="e">
        <f>' Table Z Net Exp Profiles'!N31</f>
        <v>#REF!</v>
      </c>
      <c r="CL31" s="1110" t="e">
        <f>' Table Z Net Exp Profiles'!O31</f>
        <v>#REF!</v>
      </c>
      <c r="CM31" s="1101" t="e">
        <f>' Table Z Net Exp Profiles'!P31</f>
        <v>#REF!</v>
      </c>
      <c r="CO31" s="80"/>
      <c r="CP31" s="373"/>
      <c r="CQ31" s="1238" t="str">
        <f>'B2 - Pay &amp; Agency'!C31</f>
        <v>Apr</v>
      </c>
      <c r="CR31" s="1302" t="str">
        <f>'B2 - Pay &amp; Agency'!D31</f>
        <v>May</v>
      </c>
      <c r="CS31" s="1302" t="str">
        <f>'B2 - Pay &amp; Agency'!E31</f>
        <v>Jun</v>
      </c>
      <c r="CT31" s="1302" t="str">
        <f>'B2 - Pay &amp; Agency'!F31</f>
        <v>Jul</v>
      </c>
      <c r="CU31" s="1302" t="str">
        <f>'B2 - Pay &amp; Agency'!G31</f>
        <v>Aug</v>
      </c>
      <c r="CV31" s="1302" t="str">
        <f>'B2 - Pay &amp; Agency'!H31</f>
        <v>Sep</v>
      </c>
      <c r="CW31" s="1302" t="str">
        <f>'B2 - Pay &amp; Agency'!I31</f>
        <v>Oct</v>
      </c>
      <c r="CX31" s="1302" t="str">
        <f>'B2 - Pay &amp; Agency'!J31</f>
        <v>Nov</v>
      </c>
      <c r="CY31" s="1302" t="str">
        <f>'B2 - Pay &amp; Agency'!K31</f>
        <v>Dec</v>
      </c>
      <c r="CZ31" s="1302" t="str">
        <f>'B2 - Pay &amp; Agency'!L31</f>
        <v>Jan</v>
      </c>
      <c r="DA31" s="1302" t="str">
        <f>'B2 - Pay &amp; Agency'!M31</f>
        <v>Feb</v>
      </c>
      <c r="DB31" s="1251" t="str">
        <f>'B2 - Pay &amp; Agency'!N31</f>
        <v>Mar</v>
      </c>
      <c r="DC31" s="1227" t="str">
        <f>'B2 - Pay &amp; Agency'!O31</f>
        <v>Total YTD</v>
      </c>
      <c r="DD31" s="1227" t="str">
        <f>'B2 - Pay &amp; Agency'!P31</f>
        <v>Forecast year-end position</v>
      </c>
      <c r="DF31" s="2852">
        <f>'B3 - COVID-19'!A31</f>
        <v>24</v>
      </c>
      <c r="DG31" s="2845">
        <f>'B3 - COVID-19'!B31</f>
        <v>0</v>
      </c>
      <c r="DH31" s="1330">
        <f>'B3 - COVID-19'!C31</f>
        <v>0</v>
      </c>
      <c r="DI31" s="1330">
        <f>'B3 - COVID-19'!D31</f>
        <v>0</v>
      </c>
      <c r="DJ31" s="1330">
        <f>'B3 - COVID-19'!E31</f>
        <v>0</v>
      </c>
      <c r="DK31" s="1330">
        <f>'B3 - COVID-19'!F31</f>
        <v>0</v>
      </c>
      <c r="DL31" s="1330">
        <f>'B3 - COVID-19'!G31</f>
        <v>0</v>
      </c>
      <c r="DM31" s="1330">
        <f>'B3 - COVID-19'!H31</f>
        <v>0</v>
      </c>
      <c r="DN31" s="1330">
        <f>'B3 - COVID-19'!I31</f>
        <v>0</v>
      </c>
      <c r="DO31" s="1330">
        <f>'B3 - COVID-19'!J31</f>
        <v>0</v>
      </c>
      <c r="DP31" s="1330">
        <f>'B3 - COVID-19'!K31</f>
        <v>0</v>
      </c>
      <c r="DQ31" s="1330">
        <f>'B3 - COVID-19'!L31</f>
        <v>0</v>
      </c>
      <c r="DR31" s="1330">
        <f>'B3 - COVID-19'!M31</f>
        <v>0</v>
      </c>
      <c r="DS31" s="1330">
        <f>'B3 - COVID-19'!N31</f>
        <v>0</v>
      </c>
      <c r="DT31" s="1863">
        <f>'B3 - COVID-19'!O31</f>
        <v>0</v>
      </c>
      <c r="DU31" s="1863">
        <f>'B3 - COVID-19'!P31</f>
        <v>0</v>
      </c>
      <c r="DV31" s="608"/>
      <c r="DW31" s="1116"/>
      <c r="DY31" s="2111">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1244.4166666666665</v>
      </c>
      <c r="EO31" s="73">
        <f>'C, C1, C2&amp; C3 - Savings Schemes'!Q31</f>
        <v>3174</v>
      </c>
      <c r="EP31" s="2080"/>
      <c r="EQ31" s="2081"/>
      <c r="ER31" s="2081"/>
      <c r="ES31" s="2081"/>
      <c r="ET31" s="2081"/>
      <c r="EU31" s="608"/>
      <c r="EV31" s="594"/>
      <c r="EW31" s="1932"/>
      <c r="EX31" s="3074"/>
      <c r="EY31" s="1700" t="str">
        <f>'Table C4 Tracker'!B28</f>
        <v>Variance</v>
      </c>
      <c r="EZ31" s="1109">
        <f>'Table C4 Tracker'!C28</f>
        <v>0</v>
      </c>
      <c r="FA31" s="1703">
        <f>'Table C4 Tracker'!D28</f>
        <v>0</v>
      </c>
      <c r="FB31" s="1703">
        <f>'Table C4 Tracker'!E28</f>
        <v>0</v>
      </c>
      <c r="FC31" s="1703">
        <f>'Table C4 Tracker'!F28</f>
        <v>0</v>
      </c>
      <c r="FD31" s="1703">
        <f>'Table C4 Tracker'!G28</f>
        <v>0</v>
      </c>
      <c r="FE31" s="1703">
        <f>'Table C4 Tracker'!H28</f>
        <v>0</v>
      </c>
      <c r="FF31" s="1703">
        <f>'Table C4 Tracker'!I28</f>
        <v>0</v>
      </c>
      <c r="FG31" s="1703">
        <f>'Table C4 Tracker'!J28</f>
        <v>0</v>
      </c>
      <c r="FH31" s="1703">
        <f>'Table C4 Tracker'!K28</f>
        <v>0</v>
      </c>
      <c r="FI31" s="1703">
        <f>'Table C4 Tracker'!L28</f>
        <v>0</v>
      </c>
      <c r="FJ31" s="1703">
        <f>'Table C4 Tracker'!M28</f>
        <v>0</v>
      </c>
      <c r="FK31" s="1703">
        <f>'Table C4 Tracker'!N28</f>
        <v>0</v>
      </c>
      <c r="FL31" s="1710">
        <f>'Table C4 Tracker'!O28</f>
        <v>0</v>
      </c>
      <c r="FM31" s="1701">
        <f>'Table C4 Tracker'!P28</f>
        <v>0</v>
      </c>
      <c r="FN31" s="1702">
        <f>'Table C4 Tracker'!Q28</f>
        <v>0</v>
      </c>
      <c r="FO31" s="1710">
        <f>'Table C4 Tracker'!R28</f>
        <v>0</v>
      </c>
      <c r="FP31" s="1710">
        <f>'Table C4 Tracker'!S28</f>
        <v>0</v>
      </c>
      <c r="FQ31" s="1710">
        <f>'Table C4 Tracker'!T28</f>
        <v>0</v>
      </c>
      <c r="FR31" s="1710">
        <f>'Table C4 Tracker'!U28</f>
        <v>0</v>
      </c>
      <c r="FS31" s="1957"/>
      <c r="GF31" s="2112">
        <f>'E - Resource Limits'!A31</f>
        <v>19</v>
      </c>
      <c r="GG31" s="2113">
        <f>'E - Resource Limits'!B31</f>
        <v>0</v>
      </c>
      <c r="GH31" s="2114">
        <f>'E - Resource Limits'!C31</f>
        <v>0</v>
      </c>
      <c r="GI31" s="2114">
        <f>'E - Resource Limits'!D31</f>
        <v>0</v>
      </c>
      <c r="GJ31" s="2114">
        <f>'E - Resource Limits'!E31</f>
        <v>0</v>
      </c>
      <c r="GK31" s="2114">
        <f>'E - Resource Limits'!F31</f>
        <v>0</v>
      </c>
      <c r="GL31" s="2048">
        <f>'E - Resource Limits'!G31</f>
        <v>0</v>
      </c>
      <c r="GM31" s="2115">
        <f>'E - Resource Limits'!H31</f>
        <v>0</v>
      </c>
      <c r="GN31" s="2114">
        <f>'E - Resource Limits'!I31</f>
        <v>0</v>
      </c>
      <c r="GO31" s="2114">
        <f>'E - Resource Limits'!J31</f>
        <v>0</v>
      </c>
      <c r="GP31" s="2114">
        <f>'E - Resource Limits'!K31</f>
        <v>0</v>
      </c>
      <c r="GQ31" s="2116">
        <f>'E - Resource Limits'!L31</f>
        <v>0</v>
      </c>
      <c r="GR31" s="1935">
        <f t="shared" si="6"/>
        <v>0</v>
      </c>
      <c r="GT31" s="175">
        <f>'E1 - Invoiced Income'!A31</f>
        <v>20</v>
      </c>
      <c r="GU31" s="1797">
        <f>'E1 - Invoiced Income'!B31</f>
        <v>0</v>
      </c>
      <c r="GV31" s="1798">
        <f>'E1 - Invoiced Income'!C31</f>
        <v>0</v>
      </c>
      <c r="GW31" s="1798">
        <f>'E1 - Invoiced Income'!D31</f>
        <v>0</v>
      </c>
      <c r="GX31" s="1798">
        <f>'E1 - Invoiced Income'!E31</f>
        <v>0</v>
      </c>
      <c r="GY31" s="1798">
        <f>'E1 - Invoiced Income'!F31</f>
        <v>0</v>
      </c>
      <c r="GZ31" s="1798">
        <f>'E1 - Invoiced Income'!G31</f>
        <v>0</v>
      </c>
      <c r="HA31" s="1798">
        <f>'E1 - Invoiced Income'!H31</f>
        <v>0</v>
      </c>
      <c r="HB31" s="1798">
        <f>'E1 - Invoiced Income'!I31</f>
        <v>0</v>
      </c>
      <c r="HC31" s="1798">
        <f>'E1 - Invoiced Income'!J31</f>
        <v>0</v>
      </c>
      <c r="HD31" s="1798">
        <f>'E1 - Invoiced Income'!K31</f>
        <v>0</v>
      </c>
      <c r="HE31" s="1798">
        <f>'E1 - Invoiced Income'!L31</f>
        <v>0</v>
      </c>
      <c r="HF31" s="1798">
        <f>'E1 - Invoiced Income'!M31</f>
        <v>0</v>
      </c>
      <c r="HG31" s="1798">
        <f>'E1 - Invoiced Income'!N31</f>
        <v>0</v>
      </c>
      <c r="HH31" s="1798">
        <f>'E1 - Invoiced Income'!O31</f>
        <v>0</v>
      </c>
      <c r="HI31" s="1798">
        <f>'E1 - Invoiced Income'!P31</f>
        <v>0</v>
      </c>
      <c r="HJ31" s="1798">
        <f>'E1 - Invoiced Income'!R31</f>
        <v>0</v>
      </c>
      <c r="HK31" s="1798">
        <f>'E1 - Invoiced Income'!S31</f>
        <v>0</v>
      </c>
      <c r="HL31" s="1665">
        <f>'E1 - Invoiced Income'!T31</f>
        <v>0</v>
      </c>
      <c r="HM31" s="1799">
        <f>'E1 - Invoiced Income'!U31</f>
        <v>0</v>
      </c>
      <c r="HO31" s="2084">
        <f>'F - SoFP'!A31</f>
        <v>18</v>
      </c>
      <c r="HP31" s="2131" t="str">
        <f>'F - SoFP'!B31</f>
        <v>NET ASSETS LESS CURRENT LIABILITIES</v>
      </c>
      <c r="HQ31" s="2037">
        <f>'F - SoFP'!C31</f>
        <v>0</v>
      </c>
      <c r="HR31" s="2037">
        <f>'F - SoFP'!D31</f>
        <v>0</v>
      </c>
      <c r="HS31" s="2037">
        <f>'F - SoFP'!E31</f>
        <v>0</v>
      </c>
      <c r="HT31" s="1946"/>
      <c r="HV31" s="2148">
        <f>'G - Cash Flow'!A31</f>
        <v>20</v>
      </c>
      <c r="HW31" s="2149" t="str">
        <f>'G - Cash Flow'!B31</f>
        <v>PDC Repayment - Trust only</v>
      </c>
      <c r="HX31" s="2064">
        <f>'G - Cash Flow'!C31</f>
        <v>0</v>
      </c>
      <c r="HY31" s="2064">
        <f>'G - Cash Flow'!D31</f>
        <v>0</v>
      </c>
      <c r="HZ31" s="2064">
        <f>'G - Cash Flow'!E31</f>
        <v>0</v>
      </c>
      <c r="IA31" s="2064">
        <f>'G - Cash Flow'!F31</f>
        <v>0</v>
      </c>
      <c r="IB31" s="2064">
        <f>'G - Cash Flow'!G31</f>
        <v>0</v>
      </c>
      <c r="IC31" s="2064">
        <f>'G - Cash Flow'!H31</f>
        <v>0</v>
      </c>
      <c r="ID31" s="2064">
        <f>'G - Cash Flow'!I31</f>
        <v>0</v>
      </c>
      <c r="IE31" s="2064">
        <f>'G - Cash Flow'!J31</f>
        <v>0</v>
      </c>
      <c r="IF31" s="2064">
        <f>'G - Cash Flow'!K31</f>
        <v>0</v>
      </c>
      <c r="IG31" s="2064">
        <f>'G - Cash Flow'!L31</f>
        <v>0</v>
      </c>
      <c r="IH31" s="2064">
        <f>'G - Cash Flow'!M31</f>
        <v>0</v>
      </c>
      <c r="II31" s="2064">
        <f>'G - Cash Flow'!N31</f>
        <v>0</v>
      </c>
      <c r="IJ31" s="2150">
        <f>'G - Cash Flow'!O31</f>
        <v>0</v>
      </c>
      <c r="IK31" s="1942"/>
      <c r="JD31" s="2088">
        <f>'I - Capital RLM'!A31</f>
        <v>13</v>
      </c>
      <c r="JE31" s="2126">
        <f>'I - Capital RLM'!B31</f>
        <v>0</v>
      </c>
      <c r="JF31" s="2010">
        <f>'I - Capital RLM'!C31</f>
        <v>0</v>
      </c>
      <c r="JG31" s="2010">
        <f>'I - Capital RLM'!D31</f>
        <v>0</v>
      </c>
      <c r="JH31" s="2118">
        <f>'I - Capital RLM'!E31</f>
        <v>0</v>
      </c>
      <c r="JI31" s="2119">
        <f>'I - Capital RLM'!F31</f>
        <v>0</v>
      </c>
      <c r="JJ31" s="2010">
        <f>'I - Capital RLM'!G31</f>
        <v>0</v>
      </c>
      <c r="JK31" s="2010">
        <f>'I - Capital RLM'!H31</f>
        <v>0</v>
      </c>
      <c r="JL31" s="2118">
        <f>'I - Capital RLM'!I31</f>
        <v>0</v>
      </c>
      <c r="JM31" s="2120"/>
      <c r="JN31" s="1890">
        <f>'I - Capital RLM'!K31</f>
        <v>0</v>
      </c>
      <c r="JO31" s="2120">
        <f t="shared" si="7"/>
        <v>0</v>
      </c>
      <c r="JQ31" s="2088">
        <f>'J - Capital In Year Schemes'!A31</f>
        <v>20</v>
      </c>
      <c r="JR31" s="2089">
        <f>'J - Capital In Year Schemes'!B31</f>
        <v>0</v>
      </c>
      <c r="JS31" s="2089">
        <f>'J - Capital In Year Schemes'!C31</f>
        <v>0</v>
      </c>
      <c r="JT31" s="2010">
        <f>'J - Capital In Year Schemes'!D31</f>
        <v>0</v>
      </c>
      <c r="JU31" s="2010">
        <f>'J - Capital In Year Schemes'!E31</f>
        <v>0</v>
      </c>
      <c r="JV31" s="2010">
        <f>'J - Capital In Year Schemes'!F31</f>
        <v>0</v>
      </c>
      <c r="JW31" s="2010">
        <f>'J - Capital In Year Schemes'!G31</f>
        <v>0</v>
      </c>
      <c r="JX31" s="2010">
        <f>'J - Capital In Year Schemes'!H31</f>
        <v>0</v>
      </c>
      <c r="JY31" s="2010">
        <f>'J - Capital In Year Schemes'!I31</f>
        <v>0</v>
      </c>
      <c r="JZ31" s="2010">
        <f>'J - Capital In Year Schemes'!J31</f>
        <v>0</v>
      </c>
      <c r="KA31" s="2010">
        <f>'J - Capital In Year Schemes'!K31</f>
        <v>0</v>
      </c>
      <c r="KB31" s="2010">
        <f>'J - Capital In Year Schemes'!L31</f>
        <v>0</v>
      </c>
      <c r="KC31" s="2010">
        <f>'J - Capital In Year Schemes'!M31</f>
        <v>0</v>
      </c>
      <c r="KD31" s="2010">
        <f>'J - Capital In Year Schemes'!N31</f>
        <v>0</v>
      </c>
      <c r="KE31" s="2010">
        <f>'J - Capital In Year Schemes'!O31</f>
        <v>0</v>
      </c>
      <c r="KF31" s="2010">
        <f>'J - Capital In Year Schemes'!P31</f>
        <v>0</v>
      </c>
      <c r="KG31" s="2010">
        <f>'J - Capital In Year Schemes'!Q31</f>
        <v>0</v>
      </c>
      <c r="KH31" s="2090">
        <f>'J - Capital In Year Schemes'!R31</f>
        <v>0</v>
      </c>
      <c r="KI31" s="2090">
        <f>'J - Capital In Year Schemes'!S31</f>
        <v>0</v>
      </c>
      <c r="KJ31" s="2091">
        <f>'J - Capital In Year Schemes'!T31</f>
        <v>0</v>
      </c>
      <c r="KK31" s="2060">
        <f t="shared" si="5"/>
        <v>0</v>
      </c>
      <c r="KM31" s="2196"/>
      <c r="KN31" s="1745"/>
      <c r="KO31" s="1745"/>
      <c r="KP31" s="1745"/>
      <c r="KQ31" s="1745"/>
      <c r="KR31" s="1745"/>
      <c r="KS31" s="1745"/>
      <c r="KT31" s="1745"/>
      <c r="KU31" s="3105"/>
      <c r="KV31" s="3105"/>
      <c r="KW31" s="3105"/>
      <c r="KX31" s="3105"/>
      <c r="KY31" s="3105"/>
      <c r="KZ31" s="3105"/>
      <c r="LA31" s="3105"/>
      <c r="LB31" s="3105"/>
      <c r="LC31" s="1935"/>
      <c r="LE31" s="1615">
        <f>'L - EFL'!A31</f>
        <v>19</v>
      </c>
      <c r="LF31" s="1614" t="str">
        <f>'L - EFL'!B31</f>
        <v>Increase in Public Dividend Capital</v>
      </c>
      <c r="LG31" s="1779">
        <f>'L - EFL'!C31</f>
        <v>0</v>
      </c>
      <c r="LH31" s="1779">
        <f>'L - EFL'!D31</f>
        <v>0</v>
      </c>
      <c r="LI31" s="1613">
        <f>'L - EFL'!E31</f>
        <v>0</v>
      </c>
      <c r="LJ31" s="1779">
        <f>'L - EFL'!F31</f>
        <v>0</v>
      </c>
      <c r="LL31" s="814"/>
      <c r="LM31" s="2197">
        <f>'M - Aged Debtors'!B31</f>
        <v>0</v>
      </c>
      <c r="LN31" s="2198">
        <f>'M - Aged Debtors'!C31</f>
        <v>0</v>
      </c>
      <c r="LO31" s="2199">
        <f>'M - Aged Debtors'!D31</f>
        <v>0</v>
      </c>
      <c r="LP31" s="2200">
        <f>'M - Aged Debtors'!E31</f>
        <v>0</v>
      </c>
      <c r="LQ31" s="2201">
        <f>'M - Aged Debtors'!F31</f>
        <v>0</v>
      </c>
      <c r="LR31" s="2202" t="str">
        <f>'M - Aged Debtors'!G31</f>
        <v/>
      </c>
      <c r="LS31" s="829" t="str">
        <f>'M - Aged Debtors'!H31</f>
        <v/>
      </c>
      <c r="LT31" s="829" t="str">
        <f>'M - Aged Debtors'!I31</f>
        <v/>
      </c>
      <c r="LU31" s="830" t="str">
        <f>'M - Aged Debtors'!J31</f>
        <v/>
      </c>
      <c r="LV31" s="1757">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2" t="str">
        <f>'O - Dental'!A31</f>
        <v>Design to Smile</v>
      </c>
      <c r="MI31" s="709"/>
      <c r="MJ31" s="701">
        <f>'O - Dental'!C31</f>
        <v>21</v>
      </c>
      <c r="MK31" s="664">
        <f>'O - Dental'!D31</f>
        <v>0</v>
      </c>
      <c r="ML31" s="2203">
        <f>'O - Dental'!E31</f>
        <v>0</v>
      </c>
      <c r="MM31" s="2204">
        <f>'O - Dental'!F31</f>
        <v>0</v>
      </c>
      <c r="MN31" s="2205">
        <f>'O - Dental'!G31</f>
        <v>0</v>
      </c>
      <c r="MO31" s="308"/>
      <c r="MP31" s="1765">
        <f>'O - Dental'!I31</f>
        <v>0</v>
      </c>
      <c r="MR31" s="684"/>
      <c r="MS31" s="3019">
        <f>'P - Ringfenced'!B31</f>
        <v>0</v>
      </c>
      <c r="MT31" s="2661" t="str">
        <f>'P - Ringfenced'!C31</f>
        <v>Actual/Forecast - not yet committed</v>
      </c>
      <c r="MU31" s="2656">
        <f>'P - Ringfenced'!D31</f>
        <v>0</v>
      </c>
      <c r="MV31" s="2656">
        <f>'P - Ringfenced'!E31</f>
        <v>0</v>
      </c>
      <c r="MW31" s="2693">
        <f>'P - Ringfenced'!F31</f>
        <v>0</v>
      </c>
      <c r="MX31" s="2696">
        <f>'P - Ringfenced'!G31</f>
        <v>0</v>
      </c>
      <c r="MY31" s="2693">
        <f>'P - Ringfenced'!H31</f>
        <v>0</v>
      </c>
      <c r="MZ31" s="2693">
        <f>'P - Ringfenced'!I31</f>
        <v>0</v>
      </c>
      <c r="NA31" s="2693">
        <f>'P - Ringfenced'!J31</f>
        <v>0</v>
      </c>
      <c r="NB31" s="2693">
        <f>'P - Ringfenced'!K31</f>
        <v>0</v>
      </c>
      <c r="NC31" s="2693">
        <f>'P - Ringfenced'!L31</f>
        <v>0</v>
      </c>
      <c r="ND31" s="2693">
        <f>'P - Ringfenced'!M31</f>
        <v>0</v>
      </c>
      <c r="NE31" s="2693">
        <f>'P - Ringfenced'!N31</f>
        <v>0</v>
      </c>
      <c r="NF31" s="2693">
        <f>'P - Ringfenced'!O31</f>
        <v>0</v>
      </c>
      <c r="NG31" s="2693">
        <f>'P - Ringfenced'!P31</f>
        <v>0</v>
      </c>
      <c r="NH31" s="2693">
        <f>'P - Ringfenced'!Q31</f>
        <v>0</v>
      </c>
      <c r="NI31" s="1324">
        <f>'P - Ringfenced'!R31</f>
        <v>0</v>
      </c>
      <c r="NJ31" s="1325">
        <f>'P - Ringfenced'!S31</f>
        <v>0</v>
      </c>
      <c r="NK31" s="2861"/>
      <c r="NL31" s="684"/>
    </row>
    <row r="32" spans="1:376" ht="20.149999999999999" customHeight="1" thickTop="1" thickBot="1">
      <c r="M32" s="950">
        <f>'A - Movement'!A32</f>
        <v>22</v>
      </c>
      <c r="N32" s="1862" t="str">
        <f>'A - Movement'!B32</f>
        <v xml:space="preserve">Additional In Year &amp; Movement in Planned Welsh Government Funding for Covid-19 plus virements (Positive Value - additional) </v>
      </c>
      <c r="O32" s="1131">
        <f>'A - Movement'!C32</f>
        <v>0</v>
      </c>
      <c r="P32" s="1131">
        <f>'A - Movement'!D32</f>
        <v>0</v>
      </c>
      <c r="Q32" s="954">
        <f>'A - Movement'!E32</f>
        <v>0</v>
      </c>
      <c r="R32" s="954">
        <f>'A - Movement'!F32</f>
        <v>0</v>
      </c>
      <c r="S32" s="1745"/>
      <c r="T32" s="1928"/>
      <c r="U32" s="950">
        <f>'A - Movement'!I32</f>
        <v>22</v>
      </c>
      <c r="V32" s="1862" t="str">
        <f t="shared" si="8"/>
        <v xml:space="preserve">Additional In Year &amp; Movement in Planned Welsh Government Funding for Covid-19 plus virements (Positive Value - additional) </v>
      </c>
      <c r="W32" s="1131">
        <f>'A - Movement'!J32</f>
        <v>0</v>
      </c>
      <c r="X32" s="1131">
        <f>'A - Movement'!K32</f>
        <v>0</v>
      </c>
      <c r="Y32" s="1131">
        <f>'A - Movement'!L32</f>
        <v>0</v>
      </c>
      <c r="Z32" s="1131">
        <f>'A - Movement'!M32</f>
        <v>0</v>
      </c>
      <c r="AA32" s="1131">
        <f>'A - Movement'!N32</f>
        <v>0</v>
      </c>
      <c r="AB32" s="1131">
        <f>'A - Movement'!O32</f>
        <v>0</v>
      </c>
      <c r="AC32" s="1131">
        <f>'A - Movement'!P32</f>
        <v>0</v>
      </c>
      <c r="AD32" s="1131">
        <f>'A - Movement'!Q32</f>
        <v>0</v>
      </c>
      <c r="AE32" s="1131">
        <f>'A - Movement'!R32</f>
        <v>0</v>
      </c>
      <c r="AF32" s="1131">
        <f>'A - Movement'!S32</f>
        <v>0</v>
      </c>
      <c r="AG32" s="1131">
        <f>'A - Movement'!T32</f>
        <v>0</v>
      </c>
      <c r="AH32" s="1131">
        <f>'A - Movement'!U32</f>
        <v>0</v>
      </c>
      <c r="AI32" s="1131">
        <f>'A - Movement'!V32</f>
        <v>0</v>
      </c>
      <c r="AJ32" s="1131">
        <f>'A - Movement'!W32</f>
        <v>0</v>
      </c>
      <c r="AK32" s="1131">
        <f t="shared" si="9"/>
        <v>0</v>
      </c>
      <c r="AL32" s="954">
        <f t="shared" si="10"/>
        <v>0</v>
      </c>
      <c r="AM32" s="954">
        <f t="shared" si="11"/>
        <v>0</v>
      </c>
      <c r="AN32" s="1745"/>
      <c r="AO32" s="1928"/>
      <c r="AP32" s="1404">
        <f>'A1 - Underlying Position'!A33</f>
        <v>22</v>
      </c>
      <c r="AQ32" s="1410" t="str">
        <f>'A1 - Underlying Position'!B33</f>
        <v>Total</v>
      </c>
      <c r="AR32" s="1110">
        <f>'A1 - Underlying Position'!C33</f>
        <v>0</v>
      </c>
      <c r="AS32" s="1110">
        <f>'A1 - Underlying Position'!D33</f>
        <v>0</v>
      </c>
      <c r="AT32" s="1110">
        <f>'A1 - Underlying Position'!E33</f>
        <v>0</v>
      </c>
      <c r="AU32" s="1101">
        <f>'A1 - Underlying Position'!F33</f>
        <v>0</v>
      </c>
      <c r="AV32" s="1110">
        <f>'A1 - Underlying Position'!G33</f>
        <v>0</v>
      </c>
      <c r="AW32" s="1101">
        <f>'A1 - Underlying Position'!H33</f>
        <v>0</v>
      </c>
      <c r="AX32" s="2594"/>
      <c r="AZ32" s="1717">
        <f>'A2 - Risks'!A32</f>
        <v>24</v>
      </c>
      <c r="BA32" s="1806">
        <f>'A2 - Risks'!B32</f>
        <v>0</v>
      </c>
      <c r="BB32" s="1788">
        <f>'A2 - Risks'!C32</f>
        <v>0</v>
      </c>
      <c r="BC32" s="1759">
        <f>'A2 - Risks'!D32</f>
        <v>0</v>
      </c>
      <c r="BE32" s="2109">
        <f>'B - Monthly Positions'!A32</f>
        <v>22</v>
      </c>
      <c r="BF32" s="89" t="str">
        <f>'B - Monthly Positions'!B32</f>
        <v>DEL Depreciation\Accelerated Depreciation\Impairments</v>
      </c>
      <c r="BG32" s="93" t="str">
        <f>'B - Monthly Positions'!C32</f>
        <v>Actual/F'cast</v>
      </c>
      <c r="BH32" s="1782">
        <f>'B - Monthly Positions'!D32</f>
        <v>283.82100000000003</v>
      </c>
      <c r="BI32" s="1782">
        <f>'B - Monthly Positions'!E32</f>
        <v>283.82100000000003</v>
      </c>
      <c r="BJ32" s="1782">
        <f>'B - Monthly Positions'!F32</f>
        <v>283.82100000000003</v>
      </c>
      <c r="BK32" s="1782">
        <f>'B - Monthly Positions'!G32</f>
        <v>283.82100000000003</v>
      </c>
      <c r="BL32" s="1783">
        <f>'B - Monthly Positions'!H32</f>
        <v>283.82100000000003</v>
      </c>
      <c r="BM32" s="1783">
        <f>'B - Monthly Positions'!I32</f>
        <v>283.82100000000003</v>
      </c>
      <c r="BN32" s="1783">
        <f>'B - Monthly Positions'!J32</f>
        <v>283.82100000000003</v>
      </c>
      <c r="BO32" s="1783">
        <f>'B - Monthly Positions'!K32</f>
        <v>283.82100000000003</v>
      </c>
      <c r="BP32" s="1783">
        <f>'B - Monthly Positions'!L32</f>
        <v>283.82100000000003</v>
      </c>
      <c r="BQ32" s="1783">
        <f>'B - Monthly Positions'!M32</f>
        <v>283.82100000000003</v>
      </c>
      <c r="BR32" s="1783">
        <f>'B - Monthly Positions'!N32</f>
        <v>283.82100000000003</v>
      </c>
      <c r="BS32" s="1815">
        <f>'B - Monthly Positions'!O32</f>
        <v>283.82100000000003</v>
      </c>
      <c r="BT32" s="1782">
        <f>'B - Monthly Positions'!P32</f>
        <v>283.82100000000003</v>
      </c>
      <c r="BU32" s="1782">
        <f>'B - Monthly Positions'!Q32</f>
        <v>3405.8519999999994</v>
      </c>
      <c r="BV32" s="1083"/>
      <c r="BW32" s="1083"/>
      <c r="BX32" s="1107">
        <f>' Table Z Net Exp Profiles'!A32</f>
        <v>22</v>
      </c>
      <c r="BY32" s="1270" t="str">
        <f>' Table Z Net Exp Profiles'!B32</f>
        <v>Net Pay Expenditure - Movement Other</v>
      </c>
      <c r="BZ32" s="1110" t="e">
        <f>' Table Z Net Exp Profiles'!C32</f>
        <v>#REF!</v>
      </c>
      <c r="CA32" s="1110" t="e">
        <f>' Table Z Net Exp Profiles'!D32</f>
        <v>#REF!</v>
      </c>
      <c r="CB32" s="1110" t="e">
        <f>' Table Z Net Exp Profiles'!E32</f>
        <v>#REF!</v>
      </c>
      <c r="CC32" s="1110" t="e">
        <f>' Table Z Net Exp Profiles'!F32</f>
        <v>#REF!</v>
      </c>
      <c r="CD32" s="1110" t="e">
        <f>' Table Z Net Exp Profiles'!G32</f>
        <v>#REF!</v>
      </c>
      <c r="CE32" s="1110" t="e">
        <f>' Table Z Net Exp Profiles'!H32</f>
        <v>#REF!</v>
      </c>
      <c r="CF32" s="1110" t="e">
        <f>' Table Z Net Exp Profiles'!I32</f>
        <v>#REF!</v>
      </c>
      <c r="CG32" s="1110" t="e">
        <f>' Table Z Net Exp Profiles'!J32</f>
        <v>#REF!</v>
      </c>
      <c r="CH32" s="1110" t="e">
        <f>' Table Z Net Exp Profiles'!K32</f>
        <v>#REF!</v>
      </c>
      <c r="CI32" s="1110" t="e">
        <f>' Table Z Net Exp Profiles'!L32</f>
        <v>#REF!</v>
      </c>
      <c r="CJ32" s="1110" t="e">
        <f>' Table Z Net Exp Profiles'!M32</f>
        <v>#REF!</v>
      </c>
      <c r="CK32" s="1110" t="e">
        <f>' Table Z Net Exp Profiles'!N32</f>
        <v>#REF!</v>
      </c>
      <c r="CL32" s="1110" t="e">
        <f>' Table Z Net Exp Profiles'!O32</f>
        <v>#REF!</v>
      </c>
      <c r="CM32" s="1101" t="e">
        <f>' Table Z Net Exp Profiles'!P32</f>
        <v>#REF!</v>
      </c>
      <c r="CO32" s="1316" t="str">
        <f>'B2 - Pay &amp; Agency'!A32</f>
        <v>REF</v>
      </c>
      <c r="CP32" s="1317" t="str">
        <f>'B2 - Pay &amp; Agency'!B32</f>
        <v>TYPE</v>
      </c>
      <c r="CQ32" s="1303" t="str">
        <f>'B2 - Pay &amp; Agency'!C32</f>
        <v>£'000</v>
      </c>
      <c r="CR32" s="1240" t="str">
        <f>'B2 - Pay &amp; Agency'!D32</f>
        <v>£'000</v>
      </c>
      <c r="CS32" s="1240" t="str">
        <f>'B2 - Pay &amp; Agency'!E32</f>
        <v>£'000</v>
      </c>
      <c r="CT32" s="1240" t="str">
        <f>'B2 - Pay &amp; Agency'!F32</f>
        <v>£'000</v>
      </c>
      <c r="CU32" s="1240" t="str">
        <f>'B2 - Pay &amp; Agency'!G32</f>
        <v>£'000</v>
      </c>
      <c r="CV32" s="1240" t="str">
        <f>'B2 - Pay &amp; Agency'!H32</f>
        <v>£'000</v>
      </c>
      <c r="CW32" s="1240" t="str">
        <f>'B2 - Pay &amp; Agency'!I32</f>
        <v>£'000</v>
      </c>
      <c r="CX32" s="1240" t="str">
        <f>'B2 - Pay &amp; Agency'!J32</f>
        <v>£'000</v>
      </c>
      <c r="CY32" s="1240" t="str">
        <f>'B2 - Pay &amp; Agency'!K32</f>
        <v>£'000</v>
      </c>
      <c r="CZ32" s="1240" t="str">
        <f>'B2 - Pay &amp; Agency'!L32</f>
        <v>£'000</v>
      </c>
      <c r="DA32" s="1240" t="str">
        <f>'B2 - Pay &amp; Agency'!M32</f>
        <v>£'000</v>
      </c>
      <c r="DB32" s="1253" t="str">
        <f>'B2 - Pay &amp; Agency'!N32</f>
        <v>£'000</v>
      </c>
      <c r="DC32" s="1301" t="str">
        <f>'B2 - Pay &amp; Agency'!O32</f>
        <v>£'000</v>
      </c>
      <c r="DD32" s="1301" t="str">
        <f>'B2 - Pay &amp; Agency'!P32</f>
        <v>£'000</v>
      </c>
      <c r="DF32" s="2852">
        <f>'B3 - COVID-19'!A32</f>
        <v>25</v>
      </c>
      <c r="DG32" s="2847">
        <f>'B3 - COVID-19'!B32</f>
        <v>0</v>
      </c>
      <c r="DH32" s="1330">
        <f>'B3 - COVID-19'!C32</f>
        <v>0</v>
      </c>
      <c r="DI32" s="1330">
        <f>'B3 - COVID-19'!D32</f>
        <v>0</v>
      </c>
      <c r="DJ32" s="1330">
        <f>'B3 - COVID-19'!E32</f>
        <v>0</v>
      </c>
      <c r="DK32" s="1330">
        <f>'B3 - COVID-19'!F32</f>
        <v>0</v>
      </c>
      <c r="DL32" s="1330">
        <f>'B3 - COVID-19'!G32</f>
        <v>0</v>
      </c>
      <c r="DM32" s="1330">
        <f>'B3 - COVID-19'!H32</f>
        <v>0</v>
      </c>
      <c r="DN32" s="1330">
        <f>'B3 - COVID-19'!I32</f>
        <v>0</v>
      </c>
      <c r="DO32" s="1330">
        <f>'B3 - COVID-19'!J32</f>
        <v>0</v>
      </c>
      <c r="DP32" s="1330">
        <f>'B3 - COVID-19'!K32</f>
        <v>0</v>
      </c>
      <c r="DQ32" s="1330">
        <f>'B3 - COVID-19'!L32</f>
        <v>0</v>
      </c>
      <c r="DR32" s="1330">
        <f>'B3 - COVID-19'!M32</f>
        <v>0</v>
      </c>
      <c r="DS32" s="1330">
        <f>'B3 - COVID-19'!N32</f>
        <v>0</v>
      </c>
      <c r="DT32" s="1863">
        <f>'B3 - COVID-19'!O32</f>
        <v>0</v>
      </c>
      <c r="DU32" s="1863">
        <f>'B3 - COVID-19'!P32</f>
        <v>0</v>
      </c>
      <c r="DV32" s="608"/>
      <c r="DW32" s="1116"/>
      <c r="DY32" s="2095">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1244.4166666666665</v>
      </c>
      <c r="EO32" s="75">
        <f>'C, C1, C2&amp; C3 - Savings Schemes'!Q32</f>
        <v>3174</v>
      </c>
      <c r="EP32" s="1167">
        <f>'C, C1, C2&amp; C3 - Savings Schemes'!R32</f>
        <v>0.39206574249107323</v>
      </c>
      <c r="EQ32" s="2206">
        <f>'C, C1, C2&amp; C3 - Savings Schemes'!S32</f>
        <v>3174</v>
      </c>
      <c r="ER32" s="2206">
        <f>'C, C1, C2&amp; C3 - Savings Schemes'!T32</f>
        <v>0</v>
      </c>
      <c r="ES32" s="2206">
        <f>'C, C1, C2&amp; C3 - Savings Schemes'!U32</f>
        <v>661</v>
      </c>
      <c r="ET32" s="2206">
        <f>'C, C1, C2&amp; C3 - Savings Schemes'!V32</f>
        <v>2513</v>
      </c>
      <c r="EU32" s="111"/>
      <c r="EV32" s="595">
        <f>'C, C1, C2&amp; C3 - Savings Schemes'!X32</f>
        <v>2513</v>
      </c>
      <c r="EW32" s="1932"/>
      <c r="EX32" s="3074"/>
      <c r="EY32" s="1063"/>
      <c r="EZ32" s="1705"/>
      <c r="FA32" s="1706"/>
      <c r="FB32" s="1706"/>
      <c r="FC32" s="1706"/>
      <c r="FD32" s="1706"/>
      <c r="FE32" s="1706"/>
      <c r="FF32" s="1706"/>
      <c r="FG32" s="1706"/>
      <c r="FH32" s="1706"/>
      <c r="FI32" s="1706"/>
      <c r="FJ32" s="1706"/>
      <c r="FK32" s="1706"/>
      <c r="FL32" s="1709"/>
      <c r="FM32" s="1458"/>
      <c r="FN32" s="1707"/>
      <c r="FO32" s="1709"/>
      <c r="FP32" s="1709"/>
      <c r="FQ32" s="1709"/>
      <c r="FR32" s="1709"/>
      <c r="FS32" s="1957"/>
      <c r="GF32" s="2112">
        <f>'E - Resource Limits'!A32</f>
        <v>20</v>
      </c>
      <c r="GG32" s="2113">
        <f>'E - Resource Limits'!B32</f>
        <v>0</v>
      </c>
      <c r="GH32" s="2114">
        <f>'E - Resource Limits'!C32</f>
        <v>0</v>
      </c>
      <c r="GI32" s="2114">
        <f>'E - Resource Limits'!D32</f>
        <v>0</v>
      </c>
      <c r="GJ32" s="2114">
        <f>'E - Resource Limits'!E32</f>
        <v>0</v>
      </c>
      <c r="GK32" s="2114">
        <f>'E - Resource Limits'!F32</f>
        <v>0</v>
      </c>
      <c r="GL32" s="2048">
        <f>'E - Resource Limits'!G32</f>
        <v>0</v>
      </c>
      <c r="GM32" s="2115">
        <f>'E - Resource Limits'!H32</f>
        <v>0</v>
      </c>
      <c r="GN32" s="2114">
        <f>'E - Resource Limits'!I32</f>
        <v>0</v>
      </c>
      <c r="GO32" s="2114">
        <f>'E - Resource Limits'!J32</f>
        <v>0</v>
      </c>
      <c r="GP32" s="2114">
        <f>'E - Resource Limits'!K32</f>
        <v>0</v>
      </c>
      <c r="GQ32" s="2116">
        <f>'E - Resource Limits'!L32</f>
        <v>0</v>
      </c>
      <c r="GR32" s="1935">
        <f t="shared" si="6"/>
        <v>0</v>
      </c>
      <c r="GT32" s="175">
        <f>'E1 - Invoiced Income'!A32</f>
        <v>21</v>
      </c>
      <c r="GU32" s="1797">
        <f>'E1 - Invoiced Income'!B32</f>
        <v>0</v>
      </c>
      <c r="GV32" s="1798">
        <f>'E1 - Invoiced Income'!C32</f>
        <v>0</v>
      </c>
      <c r="GW32" s="1798">
        <f>'E1 - Invoiced Income'!D32</f>
        <v>0</v>
      </c>
      <c r="GX32" s="1798">
        <f>'E1 - Invoiced Income'!E32</f>
        <v>0</v>
      </c>
      <c r="GY32" s="1798">
        <f>'E1 - Invoiced Income'!F32</f>
        <v>0</v>
      </c>
      <c r="GZ32" s="1798">
        <f>'E1 - Invoiced Income'!G32</f>
        <v>0</v>
      </c>
      <c r="HA32" s="1798">
        <f>'E1 - Invoiced Income'!H32</f>
        <v>0</v>
      </c>
      <c r="HB32" s="1798">
        <f>'E1 - Invoiced Income'!I32</f>
        <v>0</v>
      </c>
      <c r="HC32" s="1798">
        <f>'E1 - Invoiced Income'!J32</f>
        <v>0</v>
      </c>
      <c r="HD32" s="1798">
        <f>'E1 - Invoiced Income'!K32</f>
        <v>0</v>
      </c>
      <c r="HE32" s="1798">
        <f>'E1 - Invoiced Income'!L32</f>
        <v>0</v>
      </c>
      <c r="HF32" s="1798">
        <f>'E1 - Invoiced Income'!M32</f>
        <v>0</v>
      </c>
      <c r="HG32" s="1798">
        <f>'E1 - Invoiced Income'!N32</f>
        <v>0</v>
      </c>
      <c r="HH32" s="1798">
        <f>'E1 - Invoiced Income'!O32</f>
        <v>0</v>
      </c>
      <c r="HI32" s="1798">
        <f>'E1 - Invoiced Income'!P32</f>
        <v>0</v>
      </c>
      <c r="HJ32" s="1798">
        <f>'E1 - Invoiced Income'!R32</f>
        <v>0</v>
      </c>
      <c r="HK32" s="1798">
        <f>'E1 - Invoiced Income'!S32</f>
        <v>0</v>
      </c>
      <c r="HL32" s="1665">
        <f>'E1 - Invoiced Income'!T32</f>
        <v>0</v>
      </c>
      <c r="HM32" s="1799">
        <f>'E1 - Invoiced Income'!U32</f>
        <v>0</v>
      </c>
      <c r="HO32" s="2049"/>
      <c r="HP32" s="2147"/>
      <c r="HQ32" s="2097"/>
      <c r="HR32" s="2098"/>
      <c r="HS32" s="2098"/>
      <c r="HT32" s="1946"/>
      <c r="HV32" s="2148">
        <f>'G - Cash Flow'!A32</f>
        <v>21</v>
      </c>
      <c r="HW32" s="2000" t="str">
        <f>'G - Cash Flow'!B32</f>
        <v>Capital Payment</v>
      </c>
      <c r="HX32" s="2064">
        <f>'G - Cash Flow'!C32</f>
        <v>0</v>
      </c>
      <c r="HY32" s="2064">
        <f>'G - Cash Flow'!D32</f>
        <v>0</v>
      </c>
      <c r="HZ32" s="2064">
        <f>'G - Cash Flow'!E32</f>
        <v>0</v>
      </c>
      <c r="IA32" s="2064">
        <f>'G - Cash Flow'!F32</f>
        <v>0</v>
      </c>
      <c r="IB32" s="2064">
        <f>'G - Cash Flow'!G32</f>
        <v>0</v>
      </c>
      <c r="IC32" s="2064">
        <f>'G - Cash Flow'!H32</f>
        <v>0</v>
      </c>
      <c r="ID32" s="2064">
        <f>'G - Cash Flow'!I32</f>
        <v>0</v>
      </c>
      <c r="IE32" s="2064">
        <f>'G - Cash Flow'!J32</f>
        <v>0</v>
      </c>
      <c r="IF32" s="2064">
        <f>'G - Cash Flow'!K32</f>
        <v>0</v>
      </c>
      <c r="IG32" s="2064">
        <f>'G - Cash Flow'!L32</f>
        <v>0</v>
      </c>
      <c r="IH32" s="2064">
        <f>'G - Cash Flow'!M32</f>
        <v>0</v>
      </c>
      <c r="II32" s="2064">
        <f>'G - Cash Flow'!N32</f>
        <v>0</v>
      </c>
      <c r="IJ32" s="2150">
        <f>'G - Cash Flow'!O32</f>
        <v>0</v>
      </c>
      <c r="IK32" s="1942"/>
      <c r="JD32" s="2088">
        <f>'I - Capital RLM'!A32</f>
        <v>14</v>
      </c>
      <c r="JE32" s="2126">
        <f>'I - Capital RLM'!B32</f>
        <v>0</v>
      </c>
      <c r="JF32" s="2010">
        <f>'I - Capital RLM'!C32</f>
        <v>0</v>
      </c>
      <c r="JG32" s="2010">
        <f>'I - Capital RLM'!D32</f>
        <v>0</v>
      </c>
      <c r="JH32" s="2118">
        <f>'I - Capital RLM'!E32</f>
        <v>0</v>
      </c>
      <c r="JI32" s="2119">
        <f>'I - Capital RLM'!F32</f>
        <v>0</v>
      </c>
      <c r="JJ32" s="2010">
        <f>'I - Capital RLM'!G32</f>
        <v>0</v>
      </c>
      <c r="JK32" s="2010">
        <f>'I - Capital RLM'!H32</f>
        <v>0</v>
      </c>
      <c r="JL32" s="2118">
        <f>'I - Capital RLM'!I32</f>
        <v>0</v>
      </c>
      <c r="JM32" s="2120"/>
      <c r="JN32" s="1890">
        <f>'I - Capital RLM'!K32</f>
        <v>0</v>
      </c>
      <c r="JO32" s="2120">
        <f t="shared" si="7"/>
        <v>0</v>
      </c>
      <c r="JQ32" s="2088">
        <f>'J - Capital In Year Schemes'!A32</f>
        <v>21</v>
      </c>
      <c r="JR32" s="2089">
        <f>'J - Capital In Year Schemes'!B32</f>
        <v>0</v>
      </c>
      <c r="JS32" s="2089">
        <f>'J - Capital In Year Schemes'!C32</f>
        <v>0</v>
      </c>
      <c r="JT32" s="2010">
        <f>'J - Capital In Year Schemes'!D32</f>
        <v>0</v>
      </c>
      <c r="JU32" s="2010">
        <f>'J - Capital In Year Schemes'!E32</f>
        <v>0</v>
      </c>
      <c r="JV32" s="2010">
        <f>'J - Capital In Year Schemes'!F32</f>
        <v>0</v>
      </c>
      <c r="JW32" s="2010">
        <f>'J - Capital In Year Schemes'!G32</f>
        <v>0</v>
      </c>
      <c r="JX32" s="2010">
        <f>'J - Capital In Year Schemes'!H32</f>
        <v>0</v>
      </c>
      <c r="JY32" s="2010">
        <f>'J - Capital In Year Schemes'!I32</f>
        <v>0</v>
      </c>
      <c r="JZ32" s="2010">
        <f>'J - Capital In Year Schemes'!J32</f>
        <v>0</v>
      </c>
      <c r="KA32" s="2010">
        <f>'J - Capital In Year Schemes'!K32</f>
        <v>0</v>
      </c>
      <c r="KB32" s="2010">
        <f>'J - Capital In Year Schemes'!L32</f>
        <v>0</v>
      </c>
      <c r="KC32" s="2010">
        <f>'J - Capital In Year Schemes'!M32</f>
        <v>0</v>
      </c>
      <c r="KD32" s="2010">
        <f>'J - Capital In Year Schemes'!N32</f>
        <v>0</v>
      </c>
      <c r="KE32" s="2010">
        <f>'J - Capital In Year Schemes'!O32</f>
        <v>0</v>
      </c>
      <c r="KF32" s="2010">
        <f>'J - Capital In Year Schemes'!P32</f>
        <v>0</v>
      </c>
      <c r="KG32" s="2010">
        <f>'J - Capital In Year Schemes'!Q32</f>
        <v>0</v>
      </c>
      <c r="KH32" s="2090">
        <f>'J - Capital In Year Schemes'!R32</f>
        <v>0</v>
      </c>
      <c r="KI32" s="2090">
        <f>'J - Capital In Year Schemes'!S32</f>
        <v>0</v>
      </c>
      <c r="KJ32" s="2091">
        <f>'J - Capital In Year Schemes'!T32</f>
        <v>0</v>
      </c>
      <c r="KK32" s="2060">
        <f t="shared" si="5"/>
        <v>0</v>
      </c>
      <c r="KM32" s="1940" t="str">
        <f>'K - Capital Disposals'!A32</f>
        <v>B: Future Years Disposal of Assets</v>
      </c>
      <c r="KN32" s="1745"/>
      <c r="KO32" s="1745"/>
      <c r="KP32" s="1745"/>
      <c r="KQ32" s="1745"/>
      <c r="KR32" s="1745"/>
      <c r="KS32" s="1745"/>
      <c r="KT32" s="1745"/>
      <c r="KU32" s="3105"/>
      <c r="KV32" s="3105"/>
      <c r="KW32" s="3105"/>
      <c r="KX32" s="3105"/>
      <c r="KY32" s="3105"/>
      <c r="KZ32" s="3105"/>
      <c r="LA32" s="3105"/>
      <c r="LB32" s="3105"/>
      <c r="LC32" s="1935"/>
      <c r="LE32" s="1615">
        <f>'L - EFL'!A32</f>
        <v>20</v>
      </c>
      <c r="LF32" s="1614" t="str">
        <f>'L - EFL'!B32</f>
        <v xml:space="preserve">Net change in temporary borrowing </v>
      </c>
      <c r="LG32" s="1779">
        <f>'L - EFL'!C32</f>
        <v>0</v>
      </c>
      <c r="LH32" s="1779">
        <f>'L - EFL'!D32</f>
        <v>0</v>
      </c>
      <c r="LI32" s="1613">
        <f>'L - EFL'!E32</f>
        <v>0</v>
      </c>
      <c r="LJ32" s="1779">
        <f>'L - EFL'!F32</f>
        <v>0</v>
      </c>
      <c r="LL32" s="814"/>
      <c r="LM32" s="2197">
        <f>'M - Aged Debtors'!B32</f>
        <v>0</v>
      </c>
      <c r="LN32" s="2198">
        <f>'M - Aged Debtors'!C32</f>
        <v>0</v>
      </c>
      <c r="LO32" s="2199">
        <f>'M - Aged Debtors'!D32</f>
        <v>0</v>
      </c>
      <c r="LP32" s="2200">
        <f>'M - Aged Debtors'!E32</f>
        <v>0</v>
      </c>
      <c r="LQ32" s="2201">
        <f>'M - Aged Debtors'!F32</f>
        <v>0</v>
      </c>
      <c r="LR32" s="2207" t="str">
        <f>'M - Aged Debtors'!G32</f>
        <v/>
      </c>
      <c r="LS32" s="829" t="str">
        <f>'M - Aged Debtors'!H32</f>
        <v/>
      </c>
      <c r="LT32" s="829" t="str">
        <f>'M - Aged Debtors'!I32</f>
        <v/>
      </c>
      <c r="LU32" s="830" t="str">
        <f>'M - Aged Debtors'!J32</f>
        <v/>
      </c>
      <c r="LV32" s="1757">
        <f>'M - Aged Debtors'!K32</f>
        <v>0</v>
      </c>
      <c r="LX32" s="3108" t="str">
        <f>'N - GMS'!A32</f>
        <v/>
      </c>
      <c r="LY32" s="3108"/>
      <c r="LZ32" s="3108"/>
      <c r="MA32" s="3109"/>
      <c r="MB32" s="3109"/>
      <c r="MC32" s="3109"/>
      <c r="MD32" s="3109"/>
      <c r="ME32" s="3109"/>
      <c r="MF32" s="3109"/>
      <c r="MH32" s="702" t="str">
        <f>'O - Dental'!A32</f>
        <v>Other Community Dental Services</v>
      </c>
      <c r="MI32" s="709"/>
      <c r="MJ32" s="701">
        <f>'O - Dental'!C32</f>
        <v>22</v>
      </c>
      <c r="MK32" s="664">
        <f>'O - Dental'!D32</f>
        <v>0</v>
      </c>
      <c r="ML32" s="2203">
        <f>'O - Dental'!E32</f>
        <v>0</v>
      </c>
      <c r="MM32" s="2204">
        <f>'O - Dental'!F32</f>
        <v>0</v>
      </c>
      <c r="MN32" s="2205">
        <f>'O - Dental'!G32</f>
        <v>0</v>
      </c>
      <c r="MO32" s="308"/>
      <c r="MP32" s="1765">
        <f>'O - Dental'!I32</f>
        <v>0</v>
      </c>
      <c r="MR32" s="684"/>
      <c r="MS32" s="3019">
        <f>'P - Ringfenced'!B32</f>
        <v>0</v>
      </c>
      <c r="MT32" s="1101" t="str">
        <f>'P - Ringfenced'!C32</f>
        <v>Actual/Forecast - committed</v>
      </c>
      <c r="MU32" s="2656">
        <f>'P - Ringfenced'!D32</f>
        <v>0</v>
      </c>
      <c r="MV32" s="2656">
        <f>'P - Ringfenced'!E32</f>
        <v>0</v>
      </c>
      <c r="MW32" s="2693">
        <f>'P - Ringfenced'!F32</f>
        <v>0</v>
      </c>
      <c r="MX32" s="2693">
        <f>'P - Ringfenced'!G32</f>
        <v>0</v>
      </c>
      <c r="MY32" s="2693">
        <f>'P - Ringfenced'!H32</f>
        <v>0</v>
      </c>
      <c r="MZ32" s="2693">
        <f>'P - Ringfenced'!I32</f>
        <v>0</v>
      </c>
      <c r="NA32" s="2693">
        <f>'P - Ringfenced'!J32</f>
        <v>0</v>
      </c>
      <c r="NB32" s="2693">
        <f>'P - Ringfenced'!K32</f>
        <v>0</v>
      </c>
      <c r="NC32" s="2693">
        <f>'P - Ringfenced'!L32</f>
        <v>0</v>
      </c>
      <c r="ND32" s="2693">
        <f>'P - Ringfenced'!M32</f>
        <v>0</v>
      </c>
      <c r="NE32" s="2693">
        <f>'P - Ringfenced'!N32</f>
        <v>0</v>
      </c>
      <c r="NF32" s="2693">
        <f>'P - Ringfenced'!O32</f>
        <v>0</v>
      </c>
      <c r="NG32" s="2693">
        <f>'P - Ringfenced'!P32</f>
        <v>0</v>
      </c>
      <c r="NH32" s="2693">
        <f>'P - Ringfenced'!Q32</f>
        <v>0</v>
      </c>
      <c r="NI32" s="1339">
        <f>'P - Ringfenced'!R32</f>
        <v>0</v>
      </c>
      <c r="NJ32" s="1340">
        <f>'P - Ringfenced'!S32</f>
        <v>0</v>
      </c>
      <c r="NK32" s="2861"/>
      <c r="NL32" s="684"/>
    </row>
    <row r="33" spans="13:376" ht="20.149999999999999" customHeight="1" thickBot="1">
      <c r="M33" s="950">
        <f>'A - Movement'!A33</f>
        <v>23</v>
      </c>
      <c r="N33" s="1030" t="str">
        <f>'A - Movement'!B33</f>
        <v>Additional In Year &amp; Movement in Planned Welsh Government Funding (Non Covid) (Positive Value - additional)</v>
      </c>
      <c r="O33" s="1131">
        <f>'A - Movement'!C33</f>
        <v>0</v>
      </c>
      <c r="P33" s="1131">
        <f>'A - Movement'!D33</f>
        <v>0</v>
      </c>
      <c r="Q33" s="954">
        <f>'A - Movement'!E33</f>
        <v>0</v>
      </c>
      <c r="R33" s="954">
        <f>'A - Movement'!F33</f>
        <v>0</v>
      </c>
      <c r="S33" s="1745"/>
      <c r="T33" s="1928"/>
      <c r="U33" s="950">
        <f>'A - Movement'!I33</f>
        <v>23</v>
      </c>
      <c r="V33" s="1030" t="str">
        <f t="shared" si="8"/>
        <v>Additional In Year &amp; Movement in Planned Welsh Government Funding (Non Covid) (Positive Value - additional)</v>
      </c>
      <c r="W33" s="954">
        <f>'A - Movement'!J33</f>
        <v>0</v>
      </c>
      <c r="X33" s="954">
        <f>'A - Movement'!K33</f>
        <v>0</v>
      </c>
      <c r="Y33" s="954">
        <f>'A - Movement'!L33</f>
        <v>0</v>
      </c>
      <c r="Z33" s="954">
        <f>'A - Movement'!M33</f>
        <v>0</v>
      </c>
      <c r="AA33" s="954">
        <f>'A - Movement'!N33</f>
        <v>0</v>
      </c>
      <c r="AB33" s="954">
        <f>'A - Movement'!O33</f>
        <v>0</v>
      </c>
      <c r="AC33" s="954">
        <f>'A - Movement'!P33</f>
        <v>0</v>
      </c>
      <c r="AD33" s="954">
        <f>'A - Movement'!Q33</f>
        <v>0</v>
      </c>
      <c r="AE33" s="954">
        <f>'A - Movement'!R33</f>
        <v>0</v>
      </c>
      <c r="AF33" s="954">
        <f>'A - Movement'!S33</f>
        <v>0</v>
      </c>
      <c r="AG33" s="954">
        <f>'A - Movement'!T33</f>
        <v>0</v>
      </c>
      <c r="AH33" s="954">
        <f>'A - Movement'!U33</f>
        <v>0</v>
      </c>
      <c r="AI33" s="1131">
        <f>'A - Movement'!V33</f>
        <v>0</v>
      </c>
      <c r="AJ33" s="1131">
        <f>'A - Movement'!W33</f>
        <v>0</v>
      </c>
      <c r="AK33" s="1131">
        <f t="shared" si="9"/>
        <v>0</v>
      </c>
      <c r="AL33" s="954">
        <f t="shared" si="10"/>
        <v>0</v>
      </c>
      <c r="AM33" s="954">
        <f t="shared" si="11"/>
        <v>0</v>
      </c>
      <c r="AN33" s="1745"/>
      <c r="AO33" s="1928"/>
      <c r="AP33" s="1393"/>
      <c r="AQ33" s="1394"/>
      <c r="AR33" s="1125">
        <f>'A1 - Underlying Position'!C34</f>
        <v>-1</v>
      </c>
      <c r="AS33" s="1125">
        <f>'A1 - Underlying Position'!D34</f>
        <v>0</v>
      </c>
      <c r="AT33" s="1125">
        <f>'A1 - Underlying Position'!E34</f>
        <v>0</v>
      </c>
      <c r="AU33" s="1125">
        <f>'A1 - Underlying Position'!F34</f>
        <v>0</v>
      </c>
      <c r="AV33" s="1125">
        <f>'A1 - Underlying Position'!G34</f>
        <v>0</v>
      </c>
      <c r="AW33" s="1125">
        <f>'A1 - Underlying Position'!H34</f>
        <v>0</v>
      </c>
      <c r="AX33" s="2594"/>
      <c r="AZ33" s="1717">
        <f>'A2 - Risks'!A33</f>
        <v>25</v>
      </c>
      <c r="BA33" s="1817">
        <f>'A2 - Risks'!B33</f>
        <v>0</v>
      </c>
      <c r="BB33" s="1818">
        <f>'A2 - Risks'!C33</f>
        <v>0</v>
      </c>
      <c r="BC33" s="1819">
        <f>'A2 - Risks'!D33</f>
        <v>0</v>
      </c>
      <c r="BE33" s="2109">
        <f>'B - Monthly Positions'!A33</f>
        <v>23</v>
      </c>
      <c r="BF33" s="89" t="str">
        <f>'B - Monthly Positions'!B33</f>
        <v>AME Donated Depreciation\Impairments</v>
      </c>
      <c r="BG33" s="93" t="str">
        <f>'B - Monthly Positions'!C33</f>
        <v>Actual/F'cast</v>
      </c>
      <c r="BH33" s="1782">
        <f>'B - Monthly Positions'!D33</f>
        <v>0</v>
      </c>
      <c r="BI33" s="1782">
        <f>'B - Monthly Positions'!E33</f>
        <v>0</v>
      </c>
      <c r="BJ33" s="1782">
        <f>'B - Monthly Positions'!F33</f>
        <v>0</v>
      </c>
      <c r="BK33" s="1782">
        <f>'B - Monthly Positions'!G33</f>
        <v>0</v>
      </c>
      <c r="BL33" s="1783">
        <f>'B - Monthly Positions'!H33</f>
        <v>0</v>
      </c>
      <c r="BM33" s="1783">
        <f>'B - Monthly Positions'!I33</f>
        <v>0</v>
      </c>
      <c r="BN33" s="1783">
        <f>'B - Monthly Positions'!J33</f>
        <v>0</v>
      </c>
      <c r="BO33" s="1783">
        <f>'B - Monthly Positions'!K33</f>
        <v>0</v>
      </c>
      <c r="BP33" s="1783">
        <f>'B - Monthly Positions'!L33</f>
        <v>0</v>
      </c>
      <c r="BQ33" s="1783">
        <f>'B - Monthly Positions'!M33</f>
        <v>0</v>
      </c>
      <c r="BR33" s="1783">
        <f>'B - Monthly Positions'!N33</f>
        <v>0</v>
      </c>
      <c r="BS33" s="1815">
        <f>'B - Monthly Positions'!O33</f>
        <v>0</v>
      </c>
      <c r="BT33" s="1782">
        <f>'B - Monthly Positions'!P33</f>
        <v>0</v>
      </c>
      <c r="BU33" s="1782">
        <f>'B - Monthly Positions'!Q33</f>
        <v>0</v>
      </c>
      <c r="BV33" s="1083"/>
      <c r="BW33" s="1083"/>
      <c r="BX33" s="84"/>
      <c r="BY33" s="80"/>
      <c r="BZ33" s="111"/>
      <c r="CA33" s="111"/>
      <c r="CB33" s="111"/>
      <c r="CC33" s="111"/>
      <c r="CD33" s="111"/>
      <c r="CE33" s="111"/>
      <c r="CF33" s="111"/>
      <c r="CG33" s="111"/>
      <c r="CH33" s="111"/>
      <c r="CI33" s="111"/>
      <c r="CJ33" s="111"/>
      <c r="CK33" s="111"/>
      <c r="CL33" s="111"/>
      <c r="CM33" s="111"/>
      <c r="CO33" s="1328">
        <f>'B2 - Pay &amp; Agency'!A33</f>
        <v>1</v>
      </c>
      <c r="CP33" s="1332" t="str">
        <f>'B2 - Pay &amp; Agency'!B33</f>
        <v xml:space="preserve">Administrative, Clerical &amp; Board Members </v>
      </c>
      <c r="CQ33" s="1768">
        <f>'B2 - Pay &amp; Agency'!C33</f>
        <v>149</v>
      </c>
      <c r="CR33" s="1769">
        <f>'B2 - Pay &amp; Agency'!D33</f>
        <v>149</v>
      </c>
      <c r="CS33" s="1769">
        <f>'B2 - Pay &amp; Agency'!E33</f>
        <v>149</v>
      </c>
      <c r="CT33" s="1769">
        <f>'B2 - Pay &amp; Agency'!F33</f>
        <v>149</v>
      </c>
      <c r="CU33" s="1769">
        <f>'B2 - Pay &amp; Agency'!G33</f>
        <v>149</v>
      </c>
      <c r="CV33" s="1769">
        <f>'B2 - Pay &amp; Agency'!H33</f>
        <v>149</v>
      </c>
      <c r="CW33" s="1769">
        <f>'B2 - Pay &amp; Agency'!I33</f>
        <v>149</v>
      </c>
      <c r="CX33" s="1769">
        <f>'B2 - Pay &amp; Agency'!J33</f>
        <v>149</v>
      </c>
      <c r="CY33" s="1769">
        <f>'B2 - Pay &amp; Agency'!K33</f>
        <v>149</v>
      </c>
      <c r="CZ33" s="1769">
        <f>'B2 - Pay &amp; Agency'!L33</f>
        <v>149</v>
      </c>
      <c r="DA33" s="1769">
        <f>'B2 - Pay &amp; Agency'!M33</f>
        <v>149</v>
      </c>
      <c r="DB33" s="1770">
        <f>'B2 - Pay &amp; Agency'!N33</f>
        <v>149</v>
      </c>
      <c r="DC33" s="1132">
        <f>'B2 - Pay &amp; Agency'!O33</f>
        <v>149</v>
      </c>
      <c r="DD33" s="1323">
        <f>'B2 - Pay &amp; Agency'!P33</f>
        <v>1788</v>
      </c>
      <c r="DF33" s="2852">
        <f>'B3 - COVID-19'!A33</f>
        <v>26</v>
      </c>
      <c r="DG33" s="2822" t="str">
        <f>'B3 - COVID-19'!B33</f>
        <v xml:space="preserve">Sub total Health Protection (including Testing, Tracing and Surveillance)  Non Pay </v>
      </c>
      <c r="DH33" s="1907">
        <f>'B3 - COVID-19'!C33</f>
        <v>877.64843000000008</v>
      </c>
      <c r="DI33" s="1907">
        <f>'B3 - COVID-19'!D33</f>
        <v>911.80325773574305</v>
      </c>
      <c r="DJ33" s="1907">
        <f>'B3 - COVID-19'!E33</f>
        <v>1358.4051747442677</v>
      </c>
      <c r="DK33" s="1907">
        <f>'B3 - COVID-19'!F33</f>
        <v>902.30325773574305</v>
      </c>
      <c r="DL33" s="1907">
        <f>'B3 - COVID-19'!G33</f>
        <v>892.80325773574305</v>
      </c>
      <c r="DM33" s="1907">
        <f>'B3 - COVID-19'!H33</f>
        <v>1348.9051747442677</v>
      </c>
      <c r="DN33" s="1907">
        <f>'B3 - COVID-19'!I33</f>
        <v>1129.4900154706656</v>
      </c>
      <c r="DO33" s="1907">
        <f>'B3 - COVID-19'!J33</f>
        <v>1134.7104443264507</v>
      </c>
      <c r="DP33" s="1907">
        <f>'B3 - COVID-19'!K33</f>
        <v>1659.0106404706657</v>
      </c>
      <c r="DQ33" s="1907">
        <f>'B3 - COVID-19'!L33</f>
        <v>1167.4900154706656</v>
      </c>
      <c r="DR33" s="1907">
        <f>'B3 - COVID-19'!M33</f>
        <v>1082.9308731822357</v>
      </c>
      <c r="DS33" s="1907">
        <f>'B3 - COVID-19'!N33</f>
        <v>1601.7690304706657</v>
      </c>
      <c r="DT33" s="1907">
        <f>'B3 - COVID-19'!O33</f>
        <v>877.64843000000008</v>
      </c>
      <c r="DU33" s="1907">
        <f>'B3 - COVID-19'!P33</f>
        <v>14067.269572087116</v>
      </c>
      <c r="DV33" s="608"/>
      <c r="DW33" s="1116"/>
      <c r="DY33" s="2208">
        <f>'C, C1, C2&amp; C3 - Savings Schemes'!A33</f>
        <v>21</v>
      </c>
      <c r="DZ33" s="3040"/>
      <c r="EA33" s="92" t="str">
        <f>'C, C1, C2&amp; C3 - Savings Schemes'!C33</f>
        <v>Variance</v>
      </c>
      <c r="EB33" s="1171">
        <f>'C, C1, C2&amp; C3 - Savings Schemes'!D33</f>
        <v>0</v>
      </c>
      <c r="EC33" s="1171">
        <f>'C, C1, C2&amp; C3 - Savings Schemes'!E33</f>
        <v>0</v>
      </c>
      <c r="ED33" s="1171">
        <f>'C, C1, C2&amp; C3 - Savings Schemes'!F33</f>
        <v>0</v>
      </c>
      <c r="EE33" s="1171">
        <f>'C, C1, C2&amp; C3 - Savings Schemes'!G33</f>
        <v>0</v>
      </c>
      <c r="EF33" s="1171">
        <f>'C, C1, C2&amp; C3 - Savings Schemes'!H33</f>
        <v>0</v>
      </c>
      <c r="EG33" s="1171">
        <f>'C, C1, C2&amp; C3 - Savings Schemes'!I33</f>
        <v>0</v>
      </c>
      <c r="EH33" s="1171">
        <f>'C, C1, C2&amp; C3 - Savings Schemes'!J33</f>
        <v>0</v>
      </c>
      <c r="EI33" s="1171">
        <f>'C, C1, C2&amp; C3 - Savings Schemes'!K33</f>
        <v>0</v>
      </c>
      <c r="EJ33" s="1171">
        <f>'C, C1, C2&amp; C3 - Savings Schemes'!L33</f>
        <v>0</v>
      </c>
      <c r="EK33" s="1171">
        <f>'C, C1, C2&amp; C3 - Savings Schemes'!M33</f>
        <v>0</v>
      </c>
      <c r="EL33" s="1171">
        <f>'C, C1, C2&amp; C3 - Savings Schemes'!N33</f>
        <v>0</v>
      </c>
      <c r="EM33" s="1171">
        <f>'C, C1, C2&amp; C3 - Savings Schemes'!O33</f>
        <v>0</v>
      </c>
      <c r="EN33" s="123">
        <f>'C, C1, C2&amp; C3 - Savings Schemes'!P33</f>
        <v>0</v>
      </c>
      <c r="EO33" s="939">
        <f>'C, C1, C2&amp; C3 - Savings Schemes'!Q33</f>
        <v>0</v>
      </c>
      <c r="EP33" s="1168">
        <f>'C, C1, C2&amp; C3 - Savings Schemes'!R33</f>
        <v>0</v>
      </c>
      <c r="EQ33" s="2209"/>
      <c r="ER33" s="2209"/>
      <c r="ES33" s="2209"/>
      <c r="ET33" s="2209"/>
      <c r="EU33" s="608"/>
      <c r="EV33" s="63"/>
      <c r="EW33" s="1932"/>
      <c r="EX33" s="3074"/>
      <c r="EY33" s="1698"/>
      <c r="EZ33" s="1371"/>
      <c r="FA33" s="1708"/>
      <c r="FB33" s="1708"/>
      <c r="FC33" s="1708"/>
      <c r="FD33" s="1708"/>
      <c r="FE33" s="1708"/>
      <c r="FF33" s="1708"/>
      <c r="FG33" s="1708"/>
      <c r="FH33" s="1708"/>
      <c r="FI33" s="1708"/>
      <c r="FJ33" s="1708"/>
      <c r="FK33" s="1708"/>
      <c r="FL33" s="1577"/>
      <c r="FM33" s="1465"/>
      <c r="FN33" s="939"/>
      <c r="FO33" s="1577"/>
      <c r="FP33" s="1577"/>
      <c r="FQ33" s="1577"/>
      <c r="FR33" s="1577"/>
      <c r="FS33" s="1957"/>
      <c r="GF33" s="2112">
        <f>'E - Resource Limits'!A33</f>
        <v>21</v>
      </c>
      <c r="GG33" s="2113">
        <f>'E - Resource Limits'!B33</f>
        <v>0</v>
      </c>
      <c r="GH33" s="2114">
        <f>'E - Resource Limits'!C33</f>
        <v>0</v>
      </c>
      <c r="GI33" s="2114">
        <f>'E - Resource Limits'!D33</f>
        <v>0</v>
      </c>
      <c r="GJ33" s="2114">
        <f>'E - Resource Limits'!E33</f>
        <v>0</v>
      </c>
      <c r="GK33" s="2114">
        <f>'E - Resource Limits'!F33</f>
        <v>0</v>
      </c>
      <c r="GL33" s="2048">
        <f>'E - Resource Limits'!G33</f>
        <v>0</v>
      </c>
      <c r="GM33" s="2115">
        <f>'E - Resource Limits'!H33</f>
        <v>0</v>
      </c>
      <c r="GN33" s="2114">
        <f>'E - Resource Limits'!I33</f>
        <v>0</v>
      </c>
      <c r="GO33" s="2114">
        <f>'E - Resource Limits'!J33</f>
        <v>0</v>
      </c>
      <c r="GP33" s="2114">
        <f>'E - Resource Limits'!K33</f>
        <v>0</v>
      </c>
      <c r="GQ33" s="2116">
        <f>'E - Resource Limits'!L33</f>
        <v>0</v>
      </c>
      <c r="GR33" s="1935">
        <f t="shared" si="6"/>
        <v>0</v>
      </c>
      <c r="GT33" s="175">
        <f>'E1 - Invoiced Income'!A33</f>
        <v>22</v>
      </c>
      <c r="GU33" s="1797">
        <f>'E1 - Invoiced Income'!B33</f>
        <v>0</v>
      </c>
      <c r="GV33" s="1798">
        <f>'E1 - Invoiced Income'!C33</f>
        <v>0</v>
      </c>
      <c r="GW33" s="1798">
        <f>'E1 - Invoiced Income'!D33</f>
        <v>0</v>
      </c>
      <c r="GX33" s="1798">
        <f>'E1 - Invoiced Income'!E33</f>
        <v>0</v>
      </c>
      <c r="GY33" s="1798">
        <f>'E1 - Invoiced Income'!F33</f>
        <v>0</v>
      </c>
      <c r="GZ33" s="1798">
        <f>'E1 - Invoiced Income'!G33</f>
        <v>0</v>
      </c>
      <c r="HA33" s="1798">
        <f>'E1 - Invoiced Income'!H33</f>
        <v>0</v>
      </c>
      <c r="HB33" s="1798">
        <f>'E1 - Invoiced Income'!I33</f>
        <v>0</v>
      </c>
      <c r="HC33" s="1798">
        <f>'E1 - Invoiced Income'!J33</f>
        <v>0</v>
      </c>
      <c r="HD33" s="1798">
        <f>'E1 - Invoiced Income'!K33</f>
        <v>0</v>
      </c>
      <c r="HE33" s="1798">
        <f>'E1 - Invoiced Income'!L33</f>
        <v>0</v>
      </c>
      <c r="HF33" s="1798">
        <f>'E1 - Invoiced Income'!M33</f>
        <v>0</v>
      </c>
      <c r="HG33" s="1798">
        <f>'E1 - Invoiced Income'!N33</f>
        <v>0</v>
      </c>
      <c r="HH33" s="1798">
        <f>'E1 - Invoiced Income'!O33</f>
        <v>0</v>
      </c>
      <c r="HI33" s="1798">
        <f>'E1 - Invoiced Income'!P33</f>
        <v>0</v>
      </c>
      <c r="HJ33" s="1798">
        <f>'E1 - Invoiced Income'!R33</f>
        <v>0</v>
      </c>
      <c r="HK33" s="1798">
        <f>'E1 - Invoiced Income'!S33</f>
        <v>0</v>
      </c>
      <c r="HL33" s="1665">
        <f>'E1 - Invoiced Income'!T33</f>
        <v>0</v>
      </c>
      <c r="HM33" s="1799">
        <f>'E1 - Invoiced Income'!U33</f>
        <v>0</v>
      </c>
      <c r="HO33" s="2049"/>
      <c r="HP33" s="2032" t="str">
        <f>'F - SoFP'!B33</f>
        <v>Non-Current Liabilities</v>
      </c>
      <c r="HQ33" s="2097"/>
      <c r="HR33" s="2098"/>
      <c r="HS33" s="2098"/>
      <c r="HT33" s="1946"/>
      <c r="HV33" s="2148">
        <f>'G - Cash Flow'!A33</f>
        <v>22</v>
      </c>
      <c r="HW33" s="2210" t="str">
        <f>'G - Cash Flow'!B33</f>
        <v>Other items  (Specify in narrative)</v>
      </c>
      <c r="HX33" s="2211">
        <f>'G - Cash Flow'!C33</f>
        <v>0</v>
      </c>
      <c r="HY33" s="2211">
        <f>'G - Cash Flow'!D33</f>
        <v>0</v>
      </c>
      <c r="HZ33" s="2211">
        <f>'G - Cash Flow'!E33</f>
        <v>0</v>
      </c>
      <c r="IA33" s="2211">
        <f>'G - Cash Flow'!F33</f>
        <v>0</v>
      </c>
      <c r="IB33" s="2211">
        <f>'G - Cash Flow'!G33</f>
        <v>0</v>
      </c>
      <c r="IC33" s="2211">
        <f>'G - Cash Flow'!H33</f>
        <v>0</v>
      </c>
      <c r="ID33" s="2211">
        <f>'G - Cash Flow'!I33</f>
        <v>0</v>
      </c>
      <c r="IE33" s="2211">
        <f>'G - Cash Flow'!J33</f>
        <v>0</v>
      </c>
      <c r="IF33" s="2211">
        <f>'G - Cash Flow'!K33</f>
        <v>0</v>
      </c>
      <c r="IG33" s="2211">
        <f>'G - Cash Flow'!L33</f>
        <v>0</v>
      </c>
      <c r="IH33" s="2211">
        <f>'G - Cash Flow'!M33</f>
        <v>0</v>
      </c>
      <c r="II33" s="2211">
        <f>'G - Cash Flow'!N33</f>
        <v>0</v>
      </c>
      <c r="IJ33" s="2212">
        <f>'G - Cash Flow'!O33</f>
        <v>0</v>
      </c>
      <c r="IK33" s="1942"/>
      <c r="JD33" s="2088">
        <f>'I - Capital RLM'!A33</f>
        <v>15</v>
      </c>
      <c r="JE33" s="2126">
        <f>'I - Capital RLM'!B33</f>
        <v>0</v>
      </c>
      <c r="JF33" s="2010">
        <f>'I - Capital RLM'!C33</f>
        <v>0</v>
      </c>
      <c r="JG33" s="2010">
        <f>'I - Capital RLM'!D33</f>
        <v>0</v>
      </c>
      <c r="JH33" s="2118">
        <f>'I - Capital RLM'!E33</f>
        <v>0</v>
      </c>
      <c r="JI33" s="2119">
        <f>'I - Capital RLM'!F33</f>
        <v>0</v>
      </c>
      <c r="JJ33" s="2010">
        <f>'I - Capital RLM'!G33</f>
        <v>0</v>
      </c>
      <c r="JK33" s="2010">
        <f>'I - Capital RLM'!H33</f>
        <v>0</v>
      </c>
      <c r="JL33" s="2118">
        <f>'I - Capital RLM'!I33</f>
        <v>0</v>
      </c>
      <c r="JM33" s="2120"/>
      <c r="JN33" s="1890">
        <f>'I - Capital RLM'!K33</f>
        <v>0</v>
      </c>
      <c r="JO33" s="2120">
        <f t="shared" si="7"/>
        <v>0</v>
      </c>
      <c r="JQ33" s="2088">
        <f>'J - Capital In Year Schemes'!A33</f>
        <v>22</v>
      </c>
      <c r="JR33" s="2089">
        <f>'J - Capital In Year Schemes'!B33</f>
        <v>0</v>
      </c>
      <c r="JS33" s="2089">
        <f>'J - Capital In Year Schemes'!C33</f>
        <v>0</v>
      </c>
      <c r="JT33" s="2010">
        <f>'J - Capital In Year Schemes'!D33</f>
        <v>0</v>
      </c>
      <c r="JU33" s="2010">
        <f>'J - Capital In Year Schemes'!E33</f>
        <v>0</v>
      </c>
      <c r="JV33" s="2010">
        <f>'J - Capital In Year Schemes'!F33</f>
        <v>0</v>
      </c>
      <c r="JW33" s="2010">
        <f>'J - Capital In Year Schemes'!G33</f>
        <v>0</v>
      </c>
      <c r="JX33" s="2010">
        <f>'J - Capital In Year Schemes'!H33</f>
        <v>0</v>
      </c>
      <c r="JY33" s="2010">
        <f>'J - Capital In Year Schemes'!I33</f>
        <v>0</v>
      </c>
      <c r="JZ33" s="2010">
        <f>'J - Capital In Year Schemes'!J33</f>
        <v>0</v>
      </c>
      <c r="KA33" s="2010">
        <f>'J - Capital In Year Schemes'!K33</f>
        <v>0</v>
      </c>
      <c r="KB33" s="2010">
        <f>'J - Capital In Year Schemes'!L33</f>
        <v>0</v>
      </c>
      <c r="KC33" s="2010">
        <f>'J - Capital In Year Schemes'!M33</f>
        <v>0</v>
      </c>
      <c r="KD33" s="2010">
        <f>'J - Capital In Year Schemes'!N33</f>
        <v>0</v>
      </c>
      <c r="KE33" s="2010">
        <f>'J - Capital In Year Schemes'!O33</f>
        <v>0</v>
      </c>
      <c r="KF33" s="2010">
        <f>'J - Capital In Year Schemes'!P33</f>
        <v>0</v>
      </c>
      <c r="KG33" s="2010">
        <f>'J - Capital In Year Schemes'!Q33</f>
        <v>0</v>
      </c>
      <c r="KH33" s="2090">
        <f>'J - Capital In Year Schemes'!R33</f>
        <v>0</v>
      </c>
      <c r="KI33" s="2090">
        <f>'J - Capital In Year Schemes'!S33</f>
        <v>0</v>
      </c>
      <c r="KJ33" s="2091">
        <f>'J - Capital In Year Schemes'!T33</f>
        <v>0</v>
      </c>
      <c r="KK33" s="2060">
        <f t="shared" si="5"/>
        <v>0</v>
      </c>
      <c r="KM33" s="2013"/>
      <c r="KN33" s="2000" t="str">
        <f>'K - Capital Disposals'!B33</f>
        <v>Description</v>
      </c>
      <c r="KO33" s="2001" t="str">
        <f>'K - Capital Disposals'!C33</f>
        <v>Date of Ministerial Approval to Dispose (Land &amp; Buildings only)</v>
      </c>
      <c r="KP33" s="2001" t="str">
        <f>'K - Capital Disposals'!D33</f>
        <v>Date of Ministerial Approval to Retain Proceeds &gt; £0.5m</v>
      </c>
      <c r="KQ33" s="2014" t="str">
        <f>'K - Capital Disposals'!E33</f>
        <v xml:space="preserve">Date of Disposal </v>
      </c>
      <c r="KR33" s="2014" t="str">
        <f>'K - Capital Disposals'!F33</f>
        <v>NBV</v>
      </c>
      <c r="KS33" s="2001" t="str">
        <f>'K - Capital Disposals'!G33</f>
        <v>Sales Receipts</v>
      </c>
      <c r="KT33" s="2001" t="str">
        <f>'K - Capital Disposals'!H33</f>
        <v>Cost of Disposals</v>
      </c>
      <c r="KU33" s="2001" t="str">
        <f>'K - Capital Disposals'!I33</f>
        <v>Gain/         (Loss)</v>
      </c>
      <c r="KV33" s="3088" t="str">
        <f>'K - Capital Disposals'!J33</f>
        <v>Comments</v>
      </c>
      <c r="KW33" s="3089"/>
      <c r="KX33" s="3089"/>
      <c r="KY33" s="3089"/>
      <c r="KZ33" s="3089"/>
      <c r="LA33" s="3089"/>
      <c r="LB33" s="3090"/>
      <c r="LC33" s="1935"/>
      <c r="LE33" s="1615">
        <f>'L - EFL'!A33</f>
        <v>21</v>
      </c>
      <c r="LF33" s="1614" t="str">
        <f>'L - EFL'!B33</f>
        <v>Change in bank deposits and interest bearing securities</v>
      </c>
      <c r="LG33" s="1779">
        <f>'L - EFL'!C33</f>
        <v>0</v>
      </c>
      <c r="LH33" s="1779">
        <f>'L - EFL'!D33</f>
        <v>0</v>
      </c>
      <c r="LI33" s="1613">
        <f>'L - EFL'!E33</f>
        <v>0</v>
      </c>
      <c r="LJ33" s="1779">
        <f>'L - EFL'!F33</f>
        <v>0</v>
      </c>
      <c r="LL33" s="814"/>
      <c r="LM33" s="2197">
        <f>'M - Aged Debtors'!B33</f>
        <v>0</v>
      </c>
      <c r="LN33" s="2198">
        <f>'M - Aged Debtors'!C33</f>
        <v>0</v>
      </c>
      <c r="LO33" s="2199">
        <f>'M - Aged Debtors'!D33</f>
        <v>0</v>
      </c>
      <c r="LP33" s="2200">
        <f>'M - Aged Debtors'!E33</f>
        <v>0</v>
      </c>
      <c r="LQ33" s="2201">
        <f>'M - Aged Debtors'!F33</f>
        <v>0</v>
      </c>
      <c r="LR33" s="2207" t="str">
        <f>'M - Aged Debtors'!G33</f>
        <v/>
      </c>
      <c r="LS33" s="829" t="str">
        <f>'M - Aged Debtors'!H33</f>
        <v/>
      </c>
      <c r="LT33" s="829" t="str">
        <f>'M - Aged Debtors'!I33</f>
        <v/>
      </c>
      <c r="LU33" s="830" t="str">
        <f>'M - Aged Debtors'!J33</f>
        <v/>
      </c>
      <c r="LV33" s="1757">
        <f>'M - Aged Debtors'!K33</f>
        <v>0</v>
      </c>
      <c r="LX33" s="468" t="str">
        <f>'N - GMS'!A33</f>
        <v>SUPPLEMENTARY INFORMATION</v>
      </c>
      <c r="LY33" s="149"/>
      <c r="LZ33" s="149"/>
      <c r="MA33" s="1169"/>
      <c r="MB33" s="1169"/>
      <c r="MC33" s="1169"/>
      <c r="MD33" s="1169"/>
      <c r="ME33" s="1170"/>
      <c r="MF33" s="1169"/>
      <c r="MH33" s="702" t="str">
        <f>'O - Dental'!A33</f>
        <v>Dental Foundation Training/Vocational Training</v>
      </c>
      <c r="MI33" s="709"/>
      <c r="MJ33" s="701">
        <f>'O - Dental'!C33</f>
        <v>23</v>
      </c>
      <c r="MK33" s="664">
        <f>'O - Dental'!D33</f>
        <v>0</v>
      </c>
      <c r="ML33" s="2203">
        <f>'O - Dental'!E33</f>
        <v>0</v>
      </c>
      <c r="MM33" s="2204">
        <f>'O - Dental'!F33</f>
        <v>0</v>
      </c>
      <c r="MN33" s="2205">
        <f>'O - Dental'!G33</f>
        <v>0</v>
      </c>
      <c r="MO33" s="308"/>
      <c r="MP33" s="1765">
        <f>'O - Dental'!I33</f>
        <v>0</v>
      </c>
      <c r="MR33" s="684"/>
      <c r="MS33" s="3019">
        <f>'P - Ringfenced'!B33</f>
        <v>0</v>
      </c>
      <c r="MT33" s="2661" t="str">
        <f>'P - Ringfenced'!C33</f>
        <v>Variance against current plan</v>
      </c>
      <c r="MU33" s="2656">
        <f>'P - Ringfenced'!D33</f>
        <v>0</v>
      </c>
      <c r="MV33" s="2656">
        <f>'P - Ringfenced'!E33</f>
        <v>0</v>
      </c>
      <c r="MW33" s="2680">
        <f>'P - Ringfenced'!F33</f>
        <v>0</v>
      </c>
      <c r="MX33" s="2680">
        <f>'P - Ringfenced'!G33</f>
        <v>0</v>
      </c>
      <c r="MY33" s="2680">
        <f>'P - Ringfenced'!H33</f>
        <v>0</v>
      </c>
      <c r="MZ33" s="2680">
        <f>'P - Ringfenced'!I33</f>
        <v>0</v>
      </c>
      <c r="NA33" s="2680">
        <f>'P - Ringfenced'!J33</f>
        <v>0</v>
      </c>
      <c r="NB33" s="2680">
        <f>'P - Ringfenced'!K33</f>
        <v>0</v>
      </c>
      <c r="NC33" s="2680">
        <f>'P - Ringfenced'!L33</f>
        <v>0</v>
      </c>
      <c r="ND33" s="2680">
        <f>'P - Ringfenced'!M33</f>
        <v>0</v>
      </c>
      <c r="NE33" s="2680">
        <f>'P - Ringfenced'!N33</f>
        <v>0</v>
      </c>
      <c r="NF33" s="2680">
        <f>'P - Ringfenced'!O33</f>
        <v>0</v>
      </c>
      <c r="NG33" s="2680">
        <f>'P - Ringfenced'!P33</f>
        <v>0</v>
      </c>
      <c r="NH33" s="2680">
        <f>'P - Ringfenced'!Q33</f>
        <v>0</v>
      </c>
      <c r="NI33" s="1110">
        <f>'P - Ringfenced'!R33</f>
        <v>0</v>
      </c>
      <c r="NJ33" s="1220">
        <f>'P - Ringfenced'!S33</f>
        <v>0</v>
      </c>
      <c r="NK33" s="1220">
        <f>'P - Ringfenced'!T33</f>
        <v>0</v>
      </c>
      <c r="NL33" s="684"/>
    </row>
    <row r="34" spans="13:376" ht="20.149999999999999" customHeight="1" thickBot="1">
      <c r="M34" s="950">
        <f>'A - Movement'!A34</f>
        <v>24</v>
      </c>
      <c r="N34" s="1862" t="str">
        <f>'A - Movement'!B34</f>
        <v>Additional In Year &amp; Movement Expenditure for Covid-19 (Negative Value - additional/Postive Value - reduction)</v>
      </c>
      <c r="O34" s="1131">
        <f>'A - Movement'!C34</f>
        <v>0</v>
      </c>
      <c r="P34" s="1131">
        <f>'A - Movement'!D34</f>
        <v>0</v>
      </c>
      <c r="Q34" s="954">
        <f>'A - Movement'!E34</f>
        <v>0</v>
      </c>
      <c r="R34" s="954">
        <f>'A - Movement'!F34</f>
        <v>0</v>
      </c>
      <c r="S34" s="1745"/>
      <c r="T34" s="1928"/>
      <c r="U34" s="950">
        <f>'A - Movement'!I34</f>
        <v>24</v>
      </c>
      <c r="V34" s="1862" t="str">
        <f t="shared" si="8"/>
        <v>Additional In Year &amp; Movement Expenditure for Covid-19 (Negative Value - additional/Postive Value - reduction)</v>
      </c>
      <c r="W34" s="1131">
        <f>'A - Movement'!J34</f>
        <v>0</v>
      </c>
      <c r="X34" s="1131">
        <f>'A - Movement'!K34</f>
        <v>0</v>
      </c>
      <c r="Y34" s="1131">
        <f>'A - Movement'!L34</f>
        <v>0</v>
      </c>
      <c r="Z34" s="1131">
        <f>'A - Movement'!M34</f>
        <v>0</v>
      </c>
      <c r="AA34" s="1131">
        <f>'A - Movement'!N34</f>
        <v>0</v>
      </c>
      <c r="AB34" s="1131">
        <f>'A - Movement'!O34</f>
        <v>0</v>
      </c>
      <c r="AC34" s="1131">
        <f>'A - Movement'!P34</f>
        <v>0</v>
      </c>
      <c r="AD34" s="1131">
        <f>'A - Movement'!Q34</f>
        <v>0</v>
      </c>
      <c r="AE34" s="1131">
        <f>'A - Movement'!R34</f>
        <v>0</v>
      </c>
      <c r="AF34" s="1131">
        <f>'A - Movement'!S34</f>
        <v>0</v>
      </c>
      <c r="AG34" s="1131">
        <f>'A - Movement'!T34</f>
        <v>0</v>
      </c>
      <c r="AH34" s="1131">
        <f>'A - Movement'!U34</f>
        <v>0</v>
      </c>
      <c r="AI34" s="1131">
        <f>'A - Movement'!V34</f>
        <v>0</v>
      </c>
      <c r="AJ34" s="1131">
        <f>'A - Movement'!W34</f>
        <v>0</v>
      </c>
      <c r="AK34" s="1131">
        <f t="shared" si="9"/>
        <v>0</v>
      </c>
      <c r="AL34" s="954">
        <f t="shared" si="10"/>
        <v>0</v>
      </c>
      <c r="AM34" s="954">
        <f t="shared" si="11"/>
        <v>0</v>
      </c>
      <c r="AN34" s="1745"/>
      <c r="AO34" s="1928"/>
      <c r="AP34" s="1393"/>
      <c r="AQ34" s="1394"/>
      <c r="AR34" s="1125">
        <f>'A1 - Underlying Position'!C35</f>
        <v>0</v>
      </c>
      <c r="AS34" s="1125">
        <f>'A1 - Underlying Position'!D35</f>
        <v>0</v>
      </c>
      <c r="AT34" s="1125">
        <f>'A1 - Underlying Position'!E35</f>
        <v>0</v>
      </c>
      <c r="AU34" s="1125">
        <f>'A1 - Underlying Position'!F35</f>
        <v>0</v>
      </c>
      <c r="AV34" s="1125">
        <f>'A1 - Underlying Position'!G35</f>
        <v>0</v>
      </c>
      <c r="AW34" s="1125">
        <f>'A1 - Underlying Position'!H35</f>
        <v>0</v>
      </c>
      <c r="AX34" s="2594"/>
      <c r="AZ34" s="1198">
        <f>'A2 - Risks'!A34</f>
        <v>26</v>
      </c>
      <c r="BA34" s="949" t="str">
        <f>'A2 - Risks'!B34</f>
        <v>Total Risks</v>
      </c>
      <c r="BB34" s="1143">
        <f>'A2 - Risks'!C34</f>
        <v>-1379</v>
      </c>
      <c r="BC34" s="358">
        <f>'A2 - Risks'!D34</f>
        <v>0</v>
      </c>
      <c r="BE34" s="2109">
        <f>'B - Monthly Positions'!A34</f>
        <v>24</v>
      </c>
      <c r="BF34" s="89" t="str">
        <f>'B - Monthly Positions'!B34</f>
        <v>Uncommitted Reserves &amp; Contingencies</v>
      </c>
      <c r="BG34" s="93" t="str">
        <f>'B - Monthly Positions'!C34</f>
        <v>Actual/F'cast</v>
      </c>
      <c r="BH34" s="1782">
        <f>'B - Monthly Positions'!D34</f>
        <v>0</v>
      </c>
      <c r="BI34" s="1782">
        <f>'B - Monthly Positions'!E34</f>
        <v>0</v>
      </c>
      <c r="BJ34" s="1782">
        <f>'B - Monthly Positions'!F34</f>
        <v>0</v>
      </c>
      <c r="BK34" s="1782">
        <f>'B - Monthly Positions'!G34</f>
        <v>0</v>
      </c>
      <c r="BL34" s="1783">
        <f>'B - Monthly Positions'!H34</f>
        <v>0</v>
      </c>
      <c r="BM34" s="1783">
        <f>'B - Monthly Positions'!I34</f>
        <v>0</v>
      </c>
      <c r="BN34" s="1783">
        <f>'B - Monthly Positions'!J34</f>
        <v>0</v>
      </c>
      <c r="BO34" s="1783">
        <f>'B - Monthly Positions'!K34</f>
        <v>0</v>
      </c>
      <c r="BP34" s="1783">
        <f>'B - Monthly Positions'!L34</f>
        <v>0</v>
      </c>
      <c r="BQ34" s="1783">
        <f>'B - Monthly Positions'!M34</f>
        <v>0</v>
      </c>
      <c r="BR34" s="1783">
        <f>'B - Monthly Positions'!N34</f>
        <v>0</v>
      </c>
      <c r="BS34" s="1815">
        <f>'B - Monthly Positions'!O34</f>
        <v>0</v>
      </c>
      <c r="BT34" s="1782">
        <f>'B - Monthly Positions'!P34</f>
        <v>0</v>
      </c>
      <c r="BU34" s="1782">
        <f>'B - Monthly Positions'!Q34</f>
        <v>0</v>
      </c>
      <c r="BV34" s="1930"/>
      <c r="BW34" s="1930"/>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9">
        <f>'B2 - Pay &amp; Agency'!A34</f>
        <v>2</v>
      </c>
      <c r="CP34" s="1333" t="str">
        <f>'B2 - Pay &amp; Agency'!B34</f>
        <v xml:space="preserve">Medical &amp; Dental </v>
      </c>
      <c r="CQ34" s="1776">
        <f>'B2 - Pay &amp; Agency'!C34</f>
        <v>16</v>
      </c>
      <c r="CR34" s="1777">
        <f>'B2 - Pay &amp; Agency'!D34</f>
        <v>16</v>
      </c>
      <c r="CS34" s="1777">
        <f>'B2 - Pay &amp; Agency'!E34</f>
        <v>16</v>
      </c>
      <c r="CT34" s="1777">
        <f>'B2 - Pay &amp; Agency'!F34</f>
        <v>16</v>
      </c>
      <c r="CU34" s="1777">
        <f>'B2 - Pay &amp; Agency'!G34</f>
        <v>16</v>
      </c>
      <c r="CV34" s="1777">
        <f>'B2 - Pay &amp; Agency'!H34</f>
        <v>16</v>
      </c>
      <c r="CW34" s="1777">
        <f>'B2 - Pay &amp; Agency'!I34</f>
        <v>16</v>
      </c>
      <c r="CX34" s="1777">
        <f>'B2 - Pay &amp; Agency'!J34</f>
        <v>16</v>
      </c>
      <c r="CY34" s="1777">
        <f>'B2 - Pay &amp; Agency'!K34</f>
        <v>16</v>
      </c>
      <c r="CZ34" s="1777">
        <f>'B2 - Pay &amp; Agency'!L34</f>
        <v>16</v>
      </c>
      <c r="DA34" s="1777">
        <f>'B2 - Pay &amp; Agency'!M34</f>
        <v>16</v>
      </c>
      <c r="DB34" s="1778">
        <f>'B2 - Pay &amp; Agency'!N34</f>
        <v>16</v>
      </c>
      <c r="DC34" s="1324">
        <f>'B2 - Pay &amp; Agency'!O34</f>
        <v>16</v>
      </c>
      <c r="DD34" s="1325">
        <f>'B2 - Pay &amp; Agency'!P34</f>
        <v>192</v>
      </c>
      <c r="DF34" s="2853">
        <f>'B3 - COVID-19'!A34</f>
        <v>27</v>
      </c>
      <c r="DG34" s="2857" t="str">
        <f>'B3 - COVID-19'!B34</f>
        <v xml:space="preserve">Total Health Protection (including Testing, Tracing and Surveillance)  </v>
      </c>
      <c r="DH34" s="1912">
        <f>'B3 - COVID-19'!C34</f>
        <v>924.67523000000006</v>
      </c>
      <c r="DI34" s="1912">
        <f>'B3 - COVID-19'!D34</f>
        <v>961.21992440240967</v>
      </c>
      <c r="DJ34" s="1912">
        <f>'B3 - COVID-19'!E34</f>
        <v>1450.7191580776009</v>
      </c>
      <c r="DK34" s="1912">
        <f>'B3 - COVID-19'!F34</f>
        <v>1025.2170494024097</v>
      </c>
      <c r="DL34" s="1912">
        <f>'B3 - COVID-19'!G34</f>
        <v>1015.7170494024097</v>
      </c>
      <c r="DM34" s="1912">
        <f>'B3 - COVID-19'!H34</f>
        <v>1472.2601664109343</v>
      </c>
      <c r="DN34" s="1912">
        <f>'B3 - COVID-19'!I34</f>
        <v>1271.7207621373323</v>
      </c>
      <c r="DO34" s="1912">
        <f>'B3 - COVID-19'!J34</f>
        <v>1276.9411909931173</v>
      </c>
      <c r="DP34" s="1912">
        <f>'B3 - COVID-19'!K34</f>
        <v>1801.278153803999</v>
      </c>
      <c r="DQ34" s="1912">
        <f>'B3 - COVID-19'!L34</f>
        <v>1309.7207621373323</v>
      </c>
      <c r="DR34" s="1912">
        <f>'B3 - COVID-19'!M34</f>
        <v>1205.8446648489023</v>
      </c>
      <c r="DS34" s="1912">
        <f>'B3 - COVID-19'!N34</f>
        <v>1724.6858860262212</v>
      </c>
      <c r="DT34" s="1912">
        <f>'B3 - COVID-19'!O34</f>
        <v>924.67523000000006</v>
      </c>
      <c r="DU34" s="1912">
        <f>'B3 - COVID-19'!P34</f>
        <v>15439.999997642672</v>
      </c>
      <c r="DV34" s="608"/>
      <c r="DW34" s="1116"/>
      <c r="DY34" s="1930"/>
      <c r="DZ34" s="134"/>
      <c r="EA34" s="82"/>
      <c r="EB34" s="985">
        <f>'C, C1, C2&amp; C3 - Savings Schemes'!D34</f>
        <v>789.91666666666663</v>
      </c>
      <c r="EC34" s="985">
        <f>'C, C1, C2&amp; C3 - Savings Schemes'!E34</f>
        <v>56.916666666666664</v>
      </c>
      <c r="ED34" s="985">
        <f>'C, C1, C2&amp; C3 - Savings Schemes'!F34</f>
        <v>56.916666666666664</v>
      </c>
      <c r="EE34" s="985">
        <f>'C, C1, C2&amp; C3 - Savings Schemes'!G34</f>
        <v>56.916666666666664</v>
      </c>
      <c r="EF34" s="985">
        <f>'C, C1, C2&amp; C3 - Savings Schemes'!H34</f>
        <v>56.916666666666664</v>
      </c>
      <c r="EG34" s="985">
        <f>'C, C1, C2&amp; C3 - Savings Schemes'!I34</f>
        <v>56.916666666666664</v>
      </c>
      <c r="EH34" s="985">
        <f>'C, C1, C2&amp; C3 - Savings Schemes'!J34</f>
        <v>56.916666666666664</v>
      </c>
      <c r="EI34" s="985">
        <f>'C, C1, C2&amp; C3 - Savings Schemes'!K34</f>
        <v>56.916666666666664</v>
      </c>
      <c r="EJ34" s="985">
        <f>'C, C1, C2&amp; C3 - Savings Schemes'!L34</f>
        <v>56.916666666666664</v>
      </c>
      <c r="EK34" s="985">
        <f>'C, C1, C2&amp; C3 - Savings Schemes'!M34</f>
        <v>56.916666666666664</v>
      </c>
      <c r="EL34" s="985">
        <f>'C, C1, C2&amp; C3 - Savings Schemes'!N34</f>
        <v>56.916666666666664</v>
      </c>
      <c r="EM34" s="985">
        <f>'C, C1, C2&amp; C3 - Savings Schemes'!O34</f>
        <v>56.916666666666664</v>
      </c>
      <c r="EN34" s="107">
        <f>'C, C1, C2&amp; C3 - Savings Schemes'!P34</f>
        <v>0</v>
      </c>
      <c r="EO34" s="270">
        <f>'C, C1, C2&amp; C3 - Savings Schemes'!Q34</f>
        <v>0</v>
      </c>
      <c r="EP34" s="1172">
        <f>'C, C1, C2&amp; C3 - Savings Schemes'!R34</f>
        <v>0</v>
      </c>
      <c r="EQ34" s="1957">
        <f>'C, C1, C2&amp; C3 - Savings Schemes'!S34</f>
        <v>0</v>
      </c>
      <c r="ER34" s="1930"/>
      <c r="ES34" s="1930"/>
      <c r="ET34" s="1930"/>
      <c r="EU34" s="1930"/>
      <c r="EV34" s="1930"/>
      <c r="EW34" s="1932"/>
      <c r="EX34" s="3075"/>
      <c r="EY34" s="1700"/>
      <c r="EZ34" s="1109"/>
      <c r="FA34" s="1703"/>
      <c r="FB34" s="1703"/>
      <c r="FC34" s="1703"/>
      <c r="FD34" s="1703"/>
      <c r="FE34" s="1703"/>
      <c r="FF34" s="1703"/>
      <c r="FG34" s="1703"/>
      <c r="FH34" s="1703"/>
      <c r="FI34" s="1703"/>
      <c r="FJ34" s="1703"/>
      <c r="FK34" s="1703"/>
      <c r="FL34" s="1710"/>
      <c r="FM34" s="1701"/>
      <c r="FN34" s="1702"/>
      <c r="FO34" s="1710"/>
      <c r="FP34" s="1710"/>
      <c r="FQ34" s="1710"/>
      <c r="FR34" s="1710"/>
      <c r="FS34" s="1957"/>
      <c r="GF34" s="2112">
        <f>'E - Resource Limits'!A34</f>
        <v>22</v>
      </c>
      <c r="GG34" s="2113">
        <f>'E - Resource Limits'!B34</f>
        <v>0</v>
      </c>
      <c r="GH34" s="2114">
        <f>'E - Resource Limits'!C34</f>
        <v>0</v>
      </c>
      <c r="GI34" s="2114">
        <f>'E - Resource Limits'!D34</f>
        <v>0</v>
      </c>
      <c r="GJ34" s="2114">
        <f>'E - Resource Limits'!E34</f>
        <v>0</v>
      </c>
      <c r="GK34" s="2114">
        <f>'E - Resource Limits'!F34</f>
        <v>0</v>
      </c>
      <c r="GL34" s="2048">
        <f>'E - Resource Limits'!G34</f>
        <v>0</v>
      </c>
      <c r="GM34" s="2115">
        <f>'E - Resource Limits'!H34</f>
        <v>0</v>
      </c>
      <c r="GN34" s="2114">
        <f>'E - Resource Limits'!I34</f>
        <v>0</v>
      </c>
      <c r="GO34" s="2114">
        <f>'E - Resource Limits'!J34</f>
        <v>0</v>
      </c>
      <c r="GP34" s="2114">
        <f>'E - Resource Limits'!K34</f>
        <v>0</v>
      </c>
      <c r="GQ34" s="2116">
        <f>'E - Resource Limits'!L34</f>
        <v>0</v>
      </c>
      <c r="GR34" s="1935">
        <f t="shared" si="6"/>
        <v>0</v>
      </c>
      <c r="GT34" s="175">
        <f>'E1 - Invoiced Income'!A34</f>
        <v>23</v>
      </c>
      <c r="GU34" s="1797">
        <f>'E1 - Invoiced Income'!B34</f>
        <v>0</v>
      </c>
      <c r="GV34" s="1798">
        <f>'E1 - Invoiced Income'!C34</f>
        <v>0</v>
      </c>
      <c r="GW34" s="1798">
        <f>'E1 - Invoiced Income'!D34</f>
        <v>0</v>
      </c>
      <c r="GX34" s="1798">
        <f>'E1 - Invoiced Income'!E34</f>
        <v>0</v>
      </c>
      <c r="GY34" s="1798">
        <f>'E1 - Invoiced Income'!F34</f>
        <v>0</v>
      </c>
      <c r="GZ34" s="1798">
        <f>'E1 - Invoiced Income'!G34</f>
        <v>0</v>
      </c>
      <c r="HA34" s="1798">
        <f>'E1 - Invoiced Income'!H34</f>
        <v>0</v>
      </c>
      <c r="HB34" s="1798">
        <f>'E1 - Invoiced Income'!I34</f>
        <v>0</v>
      </c>
      <c r="HC34" s="1798">
        <f>'E1 - Invoiced Income'!J34</f>
        <v>0</v>
      </c>
      <c r="HD34" s="1798">
        <f>'E1 - Invoiced Income'!K34</f>
        <v>0</v>
      </c>
      <c r="HE34" s="1798">
        <f>'E1 - Invoiced Income'!L34</f>
        <v>0</v>
      </c>
      <c r="HF34" s="1798">
        <f>'E1 - Invoiced Income'!M34</f>
        <v>0</v>
      </c>
      <c r="HG34" s="1798">
        <f>'E1 - Invoiced Income'!N34</f>
        <v>0</v>
      </c>
      <c r="HH34" s="1798">
        <f>'E1 - Invoiced Income'!O34</f>
        <v>0</v>
      </c>
      <c r="HI34" s="1798">
        <f>'E1 - Invoiced Income'!P34</f>
        <v>0</v>
      </c>
      <c r="HJ34" s="1798">
        <f>'E1 - Invoiced Income'!R34</f>
        <v>0</v>
      </c>
      <c r="HK34" s="1798">
        <f>'E1 - Invoiced Income'!S34</f>
        <v>0</v>
      </c>
      <c r="HL34" s="1665">
        <f>'E1 - Invoiced Income'!T34</f>
        <v>0</v>
      </c>
      <c r="HM34" s="1799">
        <f>'E1 - Invoiced Income'!U34</f>
        <v>0</v>
      </c>
      <c r="HO34" s="2007">
        <f>'F - SoFP'!A34</f>
        <v>19</v>
      </c>
      <c r="HP34" s="2008" t="str">
        <f>'F - SoFP'!B34</f>
        <v>Trade and other payables</v>
      </c>
      <c r="HQ34" s="2009">
        <f>'F - SoFP'!C34</f>
        <v>0</v>
      </c>
      <c r="HR34" s="2010">
        <f>'F - SoFP'!D34</f>
        <v>0</v>
      </c>
      <c r="HS34" s="2010">
        <f>'F - SoFP'!E34</f>
        <v>0</v>
      </c>
      <c r="HT34" s="1946"/>
      <c r="HV34" s="2213">
        <f>'G - Cash Flow'!A34</f>
        <v>23</v>
      </c>
      <c r="HW34" s="2214" t="str">
        <f>'G - Cash Flow'!B34</f>
        <v>TOTAL PAYMENTS</v>
      </c>
      <c r="HX34" s="2130">
        <f>'G - Cash Flow'!C34</f>
        <v>0</v>
      </c>
      <c r="HY34" s="2130">
        <f>'G - Cash Flow'!D34</f>
        <v>0</v>
      </c>
      <c r="HZ34" s="2130">
        <f>'G - Cash Flow'!E34</f>
        <v>0</v>
      </c>
      <c r="IA34" s="2130">
        <f>'G - Cash Flow'!F34</f>
        <v>0</v>
      </c>
      <c r="IB34" s="2130">
        <f>'G - Cash Flow'!G34</f>
        <v>0</v>
      </c>
      <c r="IC34" s="2130">
        <f>'G - Cash Flow'!H34</f>
        <v>0</v>
      </c>
      <c r="ID34" s="2130">
        <f>'G - Cash Flow'!I34</f>
        <v>0</v>
      </c>
      <c r="IE34" s="2130">
        <f>'G - Cash Flow'!J34</f>
        <v>0</v>
      </c>
      <c r="IF34" s="2130">
        <f>'G - Cash Flow'!K34</f>
        <v>0</v>
      </c>
      <c r="IG34" s="2130">
        <f>'G - Cash Flow'!L34</f>
        <v>0</v>
      </c>
      <c r="IH34" s="2130">
        <f>'G - Cash Flow'!M34</f>
        <v>0</v>
      </c>
      <c r="II34" s="2130">
        <f>'G - Cash Flow'!N34</f>
        <v>0</v>
      </c>
      <c r="IJ34" s="2130">
        <f>'G - Cash Flow'!O34</f>
        <v>0</v>
      </c>
      <c r="IK34" s="1942"/>
      <c r="JD34" s="2088">
        <f>'I - Capital RLM'!A34</f>
        <v>16</v>
      </c>
      <c r="JE34" s="2089">
        <f>'I - Capital RLM'!B34</f>
        <v>0</v>
      </c>
      <c r="JF34" s="2010">
        <f>'I - Capital RLM'!C34</f>
        <v>0</v>
      </c>
      <c r="JG34" s="2010">
        <f>'I - Capital RLM'!D34</f>
        <v>0</v>
      </c>
      <c r="JH34" s="2118">
        <f>'I - Capital RLM'!E34</f>
        <v>0</v>
      </c>
      <c r="JI34" s="2119">
        <f>'I - Capital RLM'!F34</f>
        <v>0</v>
      </c>
      <c r="JJ34" s="2010">
        <f>'I - Capital RLM'!G34</f>
        <v>0</v>
      </c>
      <c r="JK34" s="2010">
        <f>'I - Capital RLM'!H34</f>
        <v>0</v>
      </c>
      <c r="JL34" s="2118">
        <f>'I - Capital RLM'!I34</f>
        <v>0</v>
      </c>
      <c r="JM34" s="2120"/>
      <c r="JN34" s="1890">
        <f>'I - Capital RLM'!K34</f>
        <v>0</v>
      </c>
      <c r="JO34" s="2120">
        <f t="shared" si="7"/>
        <v>0</v>
      </c>
      <c r="JQ34" s="2088">
        <f>'J - Capital In Year Schemes'!A34</f>
        <v>23</v>
      </c>
      <c r="JR34" s="2089">
        <f>'J - Capital In Year Schemes'!B34</f>
        <v>0</v>
      </c>
      <c r="JS34" s="2089">
        <f>'J - Capital In Year Schemes'!C34</f>
        <v>0</v>
      </c>
      <c r="JT34" s="2010">
        <f>'J - Capital In Year Schemes'!D34</f>
        <v>0</v>
      </c>
      <c r="JU34" s="2010">
        <f>'J - Capital In Year Schemes'!E34</f>
        <v>0</v>
      </c>
      <c r="JV34" s="2010">
        <f>'J - Capital In Year Schemes'!F34</f>
        <v>0</v>
      </c>
      <c r="JW34" s="2010">
        <f>'J - Capital In Year Schemes'!G34</f>
        <v>0</v>
      </c>
      <c r="JX34" s="2010">
        <f>'J - Capital In Year Schemes'!H34</f>
        <v>0</v>
      </c>
      <c r="JY34" s="2010">
        <f>'J - Capital In Year Schemes'!I34</f>
        <v>0</v>
      </c>
      <c r="JZ34" s="2010">
        <f>'J - Capital In Year Schemes'!J34</f>
        <v>0</v>
      </c>
      <c r="KA34" s="2010">
        <f>'J - Capital In Year Schemes'!K34</f>
        <v>0</v>
      </c>
      <c r="KB34" s="2010">
        <f>'J - Capital In Year Schemes'!L34</f>
        <v>0</v>
      </c>
      <c r="KC34" s="2010">
        <f>'J - Capital In Year Schemes'!M34</f>
        <v>0</v>
      </c>
      <c r="KD34" s="2010">
        <f>'J - Capital In Year Schemes'!N34</f>
        <v>0</v>
      </c>
      <c r="KE34" s="2010">
        <f>'J - Capital In Year Schemes'!O34</f>
        <v>0</v>
      </c>
      <c r="KF34" s="2010">
        <f>'J - Capital In Year Schemes'!P34</f>
        <v>0</v>
      </c>
      <c r="KG34" s="2010">
        <f>'J - Capital In Year Schemes'!Q34</f>
        <v>0</v>
      </c>
      <c r="KH34" s="2090">
        <f>'J - Capital In Year Schemes'!R34</f>
        <v>0</v>
      </c>
      <c r="KI34" s="2090">
        <f>'J - Capital In Year Schemes'!S34</f>
        <v>0</v>
      </c>
      <c r="KJ34" s="2091">
        <f>'J - Capital In Year Schemes'!T34</f>
        <v>0</v>
      </c>
      <c r="KK34" s="2060">
        <f t="shared" si="5"/>
        <v>0</v>
      </c>
      <c r="KM34" s="2013"/>
      <c r="KN34" s="2000"/>
      <c r="KO34" s="2001" t="str">
        <f>'K - Capital Disposals'!C34</f>
        <v>MM/YY (text format, e.g. April 24</v>
      </c>
      <c r="KP34" s="2001" t="str">
        <f>'K - Capital Disposals'!D34</f>
        <v>MM/YY (text format, e.g. April 24)</v>
      </c>
      <c r="KQ34" s="2001" t="str">
        <f>'K - Capital Disposals'!E34</f>
        <v>MM/YY (text format, e.g. Feb 25)</v>
      </c>
      <c r="KR34" s="2033" t="str">
        <f>'K - Capital Disposals'!F34</f>
        <v>£'000</v>
      </c>
      <c r="KS34" s="2033" t="str">
        <f>'K - Capital Disposals'!G34</f>
        <v>£'000</v>
      </c>
      <c r="KT34" s="2033" t="str">
        <f>'K - Capital Disposals'!H34</f>
        <v>£'000</v>
      </c>
      <c r="KU34" s="2033" t="str">
        <f>'K - Capital Disposals'!I34</f>
        <v>£'000</v>
      </c>
      <c r="KV34" s="3094"/>
      <c r="KW34" s="3095"/>
      <c r="KX34" s="3095"/>
      <c r="KY34" s="3095"/>
      <c r="KZ34" s="3095"/>
      <c r="LA34" s="3095"/>
      <c r="LB34" s="3096"/>
      <c r="LC34" s="1935"/>
      <c r="LE34" s="1615">
        <f>'L - EFL'!A34</f>
        <v>22</v>
      </c>
      <c r="LF34" s="1614" t="str">
        <f>'L - EFL'!B34</f>
        <v>Net change in finance lease payables</v>
      </c>
      <c r="LG34" s="1779">
        <f>'L - EFL'!C34</f>
        <v>0</v>
      </c>
      <c r="LH34" s="1779">
        <f>'L - EFL'!D34</f>
        <v>0</v>
      </c>
      <c r="LI34" s="1613">
        <f>'L - EFL'!E34</f>
        <v>0</v>
      </c>
      <c r="LJ34" s="1779">
        <f>'L - EFL'!F34</f>
        <v>0</v>
      </c>
      <c r="LL34" s="814"/>
      <c r="LM34" s="2197">
        <f>'M - Aged Debtors'!B34</f>
        <v>0</v>
      </c>
      <c r="LN34" s="2198">
        <f>'M - Aged Debtors'!C34</f>
        <v>0</v>
      </c>
      <c r="LO34" s="2199">
        <f>'M - Aged Debtors'!D34</f>
        <v>0</v>
      </c>
      <c r="LP34" s="2200">
        <f>'M - Aged Debtors'!E34</f>
        <v>0</v>
      </c>
      <c r="LQ34" s="2201">
        <f>'M - Aged Debtors'!F34</f>
        <v>0</v>
      </c>
      <c r="LR34" s="2207" t="str">
        <f>'M - Aged Debtors'!G34</f>
        <v/>
      </c>
      <c r="LS34" s="829" t="str">
        <f>'M - Aged Debtors'!H34</f>
        <v/>
      </c>
      <c r="LT34" s="829" t="str">
        <f>'M - Aged Debtors'!I34</f>
        <v/>
      </c>
      <c r="LU34" s="830" t="str">
        <f>'M - Aged Debtors'!J34</f>
        <v/>
      </c>
      <c r="LV34" s="1757">
        <f>'M - Aged Debtors'!K34</f>
        <v>0</v>
      </c>
      <c r="LX34" s="470" t="str">
        <f>'N - GMS'!A34</f>
        <v>Directed Enhanced Services                    Section A (i)</v>
      </c>
      <c r="LY34" s="444"/>
      <c r="LZ34" s="2225" t="str">
        <f>'N - GMS'!C34</f>
        <v>LINE NO.</v>
      </c>
      <c r="MA34" s="472" t="str">
        <f>'N - GMS'!D34</f>
        <v>£000's</v>
      </c>
      <c r="MB34" s="472" t="str">
        <f>'N - GMS'!E34</f>
        <v>£000's</v>
      </c>
      <c r="MC34" s="472" t="str">
        <f>'N - GMS'!F34</f>
        <v>£000's</v>
      </c>
      <c r="MD34" s="473" t="str">
        <f>'N - GMS'!G34</f>
        <v>£000's</v>
      </c>
      <c r="ME34" s="213"/>
      <c r="MF34" s="474" t="str">
        <f>'N - GMS'!I34</f>
        <v>£000's</v>
      </c>
      <c r="MH34" s="712" t="str">
        <f>'O - Dental'!A34</f>
        <v>DBS/CRB checks</v>
      </c>
      <c r="MI34" s="709"/>
      <c r="MJ34" s="701">
        <f>'O - Dental'!C34</f>
        <v>24</v>
      </c>
      <c r="MK34" s="664">
        <f>'O - Dental'!D34</f>
        <v>0</v>
      </c>
      <c r="ML34" s="2203">
        <f>'O - Dental'!E34</f>
        <v>0</v>
      </c>
      <c r="MM34" s="2204">
        <f>'O - Dental'!F34</f>
        <v>0</v>
      </c>
      <c r="MN34" s="2205">
        <f>'O - Dental'!G34</f>
        <v>0</v>
      </c>
      <c r="MO34" s="308"/>
      <c r="MP34" s="1765">
        <f>'O - Dental'!I34</f>
        <v>0</v>
      </c>
      <c r="MR34" s="684"/>
      <c r="MS34" s="3018" t="str">
        <f>'P - Ringfenced'!B34</f>
        <v>Mental Health (SIF) Allocations</v>
      </c>
      <c r="MT34" s="1101" t="str">
        <f>'P - Ringfenced'!C34</f>
        <v>Plan</v>
      </c>
      <c r="MU34" s="2655">
        <f>'P - Ringfenced'!D34</f>
        <v>0</v>
      </c>
      <c r="MV34" s="2655">
        <f>'P - Ringfenced'!E34</f>
        <v>0</v>
      </c>
      <c r="MW34" s="2693">
        <f>'P - Ringfenced'!F34</f>
        <v>0</v>
      </c>
      <c r="MX34" s="2693">
        <f>'P - Ringfenced'!G34</f>
        <v>0</v>
      </c>
      <c r="MY34" s="2693">
        <f>'P - Ringfenced'!H34</f>
        <v>0</v>
      </c>
      <c r="MZ34" s="2693">
        <f>'P - Ringfenced'!I34</f>
        <v>0</v>
      </c>
      <c r="NA34" s="2693">
        <f>'P - Ringfenced'!J34</f>
        <v>0</v>
      </c>
      <c r="NB34" s="2693">
        <f>'P - Ringfenced'!K34</f>
        <v>0</v>
      </c>
      <c r="NC34" s="2693">
        <f>'P - Ringfenced'!L34</f>
        <v>0</v>
      </c>
      <c r="ND34" s="2693">
        <f>'P - Ringfenced'!M34</f>
        <v>0</v>
      </c>
      <c r="NE34" s="2693">
        <f>'P - Ringfenced'!N34</f>
        <v>0</v>
      </c>
      <c r="NF34" s="2693">
        <f>'P - Ringfenced'!O34</f>
        <v>0</v>
      </c>
      <c r="NG34" s="2693">
        <f>'P - Ringfenced'!P34</f>
        <v>0</v>
      </c>
      <c r="NH34" s="2693">
        <f>'P - Ringfenced'!Q34</f>
        <v>0</v>
      </c>
      <c r="NI34" s="1863">
        <f>'P - Ringfenced'!R34</f>
        <v>0</v>
      </c>
      <c r="NJ34" s="1864">
        <f>'P - Ringfenced'!S34</f>
        <v>0</v>
      </c>
      <c r="NK34" s="2860"/>
      <c r="NL34" s="684"/>
    </row>
    <row r="35" spans="13:376" ht="20.149999999999999" customHeight="1" thickBot="1">
      <c r="M35" s="950">
        <f>'A - Movement'!A35</f>
        <v>25</v>
      </c>
      <c r="N35" s="991" t="str">
        <f>'A - Movement'!B35</f>
        <v>In Year Accountancy Gains  (Positive Value)</v>
      </c>
      <c r="O35" s="2038">
        <f>'A - Movement'!C35</f>
        <v>0</v>
      </c>
      <c r="P35" s="2038">
        <f>'A - Movement'!D35</f>
        <v>0</v>
      </c>
      <c r="Q35" s="2038">
        <f>'A - Movement'!E35</f>
        <v>0</v>
      </c>
      <c r="R35" s="2038">
        <f>'A - Movement'!F35</f>
        <v>0</v>
      </c>
      <c r="S35" s="1745"/>
      <c r="T35" s="1928"/>
      <c r="U35" s="950">
        <f>'A - Movement'!I35</f>
        <v>25</v>
      </c>
      <c r="V35" s="991" t="str">
        <f t="shared" si="8"/>
        <v>In Year Accountancy Gains  (Positive Value)</v>
      </c>
      <c r="W35" s="2038">
        <f>'A - Movement'!J35</f>
        <v>0</v>
      </c>
      <c r="X35" s="2038">
        <f>'A - Movement'!K35</f>
        <v>0</v>
      </c>
      <c r="Y35" s="2038">
        <f>'A - Movement'!L35</f>
        <v>0</v>
      </c>
      <c r="Z35" s="2038">
        <f>'A - Movement'!M35</f>
        <v>0</v>
      </c>
      <c r="AA35" s="2038">
        <f>'A - Movement'!N35</f>
        <v>0</v>
      </c>
      <c r="AB35" s="2038">
        <f>'A - Movement'!O35</f>
        <v>0</v>
      </c>
      <c r="AC35" s="2038">
        <f>'A - Movement'!P35</f>
        <v>0</v>
      </c>
      <c r="AD35" s="2038">
        <f>'A - Movement'!Q35</f>
        <v>0</v>
      </c>
      <c r="AE35" s="2038">
        <f>'A - Movement'!R35</f>
        <v>0</v>
      </c>
      <c r="AF35" s="2038">
        <f>'A - Movement'!S35</f>
        <v>0</v>
      </c>
      <c r="AG35" s="2038">
        <f>'A - Movement'!T35</f>
        <v>0</v>
      </c>
      <c r="AH35" s="2038">
        <f>'A - Movement'!U35</f>
        <v>0</v>
      </c>
      <c r="AI35" s="1131">
        <f>'A - Movement'!V35</f>
        <v>0</v>
      </c>
      <c r="AJ35" s="1131">
        <f>'A - Movement'!W35</f>
        <v>0</v>
      </c>
      <c r="AK35" s="2038">
        <f t="shared" si="9"/>
        <v>0</v>
      </c>
      <c r="AL35" s="2038">
        <f t="shared" si="10"/>
        <v>0</v>
      </c>
      <c r="AM35" s="2038">
        <f t="shared" si="11"/>
        <v>0</v>
      </c>
      <c r="AN35" s="1745"/>
      <c r="AO35" s="1928"/>
      <c r="AP35" s="1393"/>
      <c r="AQ35" s="1394"/>
      <c r="AR35" s="1125">
        <f>'A1 - Underlying Position'!C36</f>
        <v>1</v>
      </c>
      <c r="AS35" s="1125">
        <f>'A1 - Underlying Position'!D36</f>
        <v>0</v>
      </c>
      <c r="AT35" s="1125">
        <f>'A1 - Underlying Position'!E36</f>
        <v>0</v>
      </c>
      <c r="AU35" s="1125">
        <f>'A1 - Underlying Position'!F36</f>
        <v>0</v>
      </c>
      <c r="AV35" s="1125">
        <f>'A1 - Underlying Position'!G36</f>
        <v>0</v>
      </c>
      <c r="AW35" s="1125">
        <f>'A1 - Underlying Position'!H36</f>
        <v>0</v>
      </c>
      <c r="AX35" s="2594"/>
      <c r="AZ35" s="1202"/>
      <c r="BA35" s="1820" t="str">
        <f>'A2 - Risks'!B35</f>
        <v>Further Opportunities (positive values)</v>
      </c>
      <c r="BB35" s="1821"/>
      <c r="BC35" s="2595"/>
      <c r="BE35" s="2109">
        <f>'B - Monthly Positions'!A35</f>
        <v>25</v>
      </c>
      <c r="BF35" s="1068" t="str">
        <f>'B - Monthly Positions'!B35</f>
        <v>Profit\Loss Disposal of Assets</v>
      </c>
      <c r="BG35" s="2215" t="str">
        <f>'B - Monthly Positions'!C35</f>
        <v>Actual/F'cast</v>
      </c>
      <c r="BH35" s="1800">
        <f>'B - Monthly Positions'!D35</f>
        <v>0</v>
      </c>
      <c r="BI35" s="1800">
        <f>'B - Monthly Positions'!E35</f>
        <v>0</v>
      </c>
      <c r="BJ35" s="1800">
        <f>'B - Monthly Positions'!F35</f>
        <v>0</v>
      </c>
      <c r="BK35" s="1800">
        <f>'B - Monthly Positions'!G35</f>
        <v>0</v>
      </c>
      <c r="BL35" s="1801">
        <f>'B - Monthly Positions'!H35</f>
        <v>0</v>
      </c>
      <c r="BM35" s="1801">
        <f>'B - Monthly Positions'!I35</f>
        <v>0</v>
      </c>
      <c r="BN35" s="1801">
        <f>'B - Monthly Positions'!J35</f>
        <v>0</v>
      </c>
      <c r="BO35" s="1801">
        <f>'B - Monthly Positions'!K35</f>
        <v>0</v>
      </c>
      <c r="BP35" s="1801">
        <f>'B - Monthly Positions'!L35</f>
        <v>0</v>
      </c>
      <c r="BQ35" s="1801">
        <f>'B - Monthly Positions'!M35</f>
        <v>0</v>
      </c>
      <c r="BR35" s="1801">
        <f>'B - Monthly Positions'!N35</f>
        <v>0</v>
      </c>
      <c r="BS35" s="1822">
        <f>'B - Monthly Positions'!O35</f>
        <v>0</v>
      </c>
      <c r="BT35" s="1800">
        <f>'B - Monthly Positions'!P35</f>
        <v>0</v>
      </c>
      <c r="BU35" s="1800">
        <f>'B - Monthly Positions'!Q35</f>
        <v>0</v>
      </c>
      <c r="BV35" s="1930"/>
      <c r="BW35" s="1930"/>
      <c r="BX35" s="84"/>
      <c r="BY35" s="80"/>
      <c r="BZ35" s="80"/>
      <c r="CA35" s="80"/>
      <c r="CB35" s="80"/>
      <c r="CC35" s="80"/>
      <c r="CD35" s="80"/>
      <c r="CE35" s="80"/>
      <c r="CF35" s="80"/>
      <c r="CG35" s="80"/>
      <c r="CH35" s="80"/>
      <c r="CI35" s="80"/>
      <c r="CJ35" s="80"/>
      <c r="CK35" s="80"/>
      <c r="CL35" s="80"/>
      <c r="CM35" s="80"/>
      <c r="CO35" s="1329">
        <f>'B2 - Pay &amp; Agency'!A35</f>
        <v>3</v>
      </c>
      <c r="CP35" s="1333" t="str">
        <f>'B2 - Pay &amp; Agency'!B35</f>
        <v xml:space="preserve">Nursing &amp; Midwifery Registered </v>
      </c>
      <c r="CQ35" s="1776">
        <f>'B2 - Pay &amp; Agency'!C35</f>
        <v>3</v>
      </c>
      <c r="CR35" s="1777">
        <f>'B2 - Pay &amp; Agency'!D35</f>
        <v>3</v>
      </c>
      <c r="CS35" s="1777">
        <f>'B2 - Pay &amp; Agency'!E35</f>
        <v>3</v>
      </c>
      <c r="CT35" s="1777">
        <f>'B2 - Pay &amp; Agency'!F35</f>
        <v>3</v>
      </c>
      <c r="CU35" s="1777">
        <f>'B2 - Pay &amp; Agency'!G35</f>
        <v>3</v>
      </c>
      <c r="CV35" s="1777">
        <f>'B2 - Pay &amp; Agency'!H35</f>
        <v>3</v>
      </c>
      <c r="CW35" s="1777">
        <f>'B2 - Pay &amp; Agency'!I35</f>
        <v>3</v>
      </c>
      <c r="CX35" s="1777">
        <f>'B2 - Pay &amp; Agency'!J35</f>
        <v>3</v>
      </c>
      <c r="CY35" s="1777">
        <f>'B2 - Pay &amp; Agency'!K35</f>
        <v>3</v>
      </c>
      <c r="CZ35" s="1777">
        <f>'B2 - Pay &amp; Agency'!L35</f>
        <v>3</v>
      </c>
      <c r="DA35" s="1777">
        <f>'B2 - Pay &amp; Agency'!M35</f>
        <v>3</v>
      </c>
      <c r="DB35" s="1778">
        <f>'B2 - Pay &amp; Agency'!N35</f>
        <v>3</v>
      </c>
      <c r="DC35" s="1324">
        <f>'B2 - Pay &amp; Agency'!O35</f>
        <v>3</v>
      </c>
      <c r="DD35" s="1325">
        <f>'B2 - Pay &amp; Agency'!P35</f>
        <v>36</v>
      </c>
      <c r="DF35" s="2486"/>
      <c r="DG35" s="1116"/>
      <c r="DH35" s="1918"/>
      <c r="DI35" s="1918"/>
      <c r="DJ35" s="1918"/>
      <c r="DK35" s="1918"/>
      <c r="DL35" s="1918"/>
      <c r="DM35" s="1918"/>
      <c r="DN35" s="1918"/>
      <c r="DO35" s="1918"/>
      <c r="DP35" s="1918"/>
      <c r="DQ35" s="1918"/>
      <c r="DR35" s="1918"/>
      <c r="DS35" s="1918"/>
      <c r="DT35" s="1918"/>
      <c r="DU35" s="1918"/>
      <c r="DV35" s="608"/>
      <c r="DW35" s="1116"/>
      <c r="DY35" s="1930"/>
      <c r="DZ35" s="1930">
        <f>'C, C1, C2&amp; C3 - Savings Schemes'!B35</f>
        <v>22</v>
      </c>
      <c r="EA35" s="135" t="str">
        <f>'C, C1, C2&amp; C3 - Savings Schemes'!C35</f>
        <v>Variance in month</v>
      </c>
      <c r="EB35" s="1173">
        <f>'C, C1, C2&amp; C3 - Savings Schemes'!D35</f>
        <v>0</v>
      </c>
      <c r="EC35" s="1173">
        <f>'C, C1, C2&amp; C3 - Savings Schemes'!E35</f>
        <v>0</v>
      </c>
      <c r="ED35" s="1173">
        <f>'C, C1, C2&amp; C3 - Savings Schemes'!F35</f>
        <v>0</v>
      </c>
      <c r="EE35" s="1173">
        <f>'C, C1, C2&amp; C3 - Savings Schemes'!G35</f>
        <v>0</v>
      </c>
      <c r="EF35" s="1173">
        <f>'C, C1, C2&amp; C3 - Savings Schemes'!H35</f>
        <v>0</v>
      </c>
      <c r="EG35" s="1173">
        <f>'C, C1, C2&amp; C3 - Savings Schemes'!I35</f>
        <v>0</v>
      </c>
      <c r="EH35" s="1173">
        <f>'C, C1, C2&amp; C3 - Savings Schemes'!J35</f>
        <v>0</v>
      </c>
      <c r="EI35" s="1173">
        <f>'C, C1, C2&amp; C3 - Savings Schemes'!K35</f>
        <v>0</v>
      </c>
      <c r="EJ35" s="1173">
        <f>'C, C1, C2&amp; C3 - Savings Schemes'!L35</f>
        <v>0</v>
      </c>
      <c r="EK35" s="1173">
        <f>'C, C1, C2&amp; C3 - Savings Schemes'!M35</f>
        <v>0</v>
      </c>
      <c r="EL35" s="1173">
        <f>'C, C1, C2&amp; C3 - Savings Schemes'!N35</f>
        <v>0</v>
      </c>
      <c r="EM35" s="1173">
        <f>'C, C1, C2&amp; C3 - Savings Schemes'!O35</f>
        <v>0</v>
      </c>
      <c r="EN35" s="1173">
        <f>'C, C1, C2&amp; C3 - Savings Schemes'!P35</f>
        <v>0</v>
      </c>
      <c r="EO35" s="2216"/>
      <c r="EP35" s="1930"/>
      <c r="EQ35" s="1930"/>
      <c r="ER35" s="1930"/>
      <c r="ES35" s="1930"/>
      <c r="ET35" s="1930"/>
      <c r="EU35" s="1930"/>
      <c r="EV35" s="1930"/>
      <c r="EW35" s="1932"/>
      <c r="EX35" s="1468"/>
      <c r="EY35" s="1468"/>
      <c r="EZ35" s="1468"/>
      <c r="FA35" s="1468"/>
      <c r="FB35" s="1468"/>
      <c r="FC35" s="1468"/>
      <c r="FD35" s="1468"/>
      <c r="FE35" s="1468"/>
      <c r="FF35" s="1468"/>
      <c r="FG35" s="1468"/>
      <c r="FH35" s="1468"/>
      <c r="FI35" s="1468"/>
      <c r="FJ35" s="1468"/>
      <c r="FK35" s="1468"/>
      <c r="FL35" s="1468"/>
      <c r="FM35" s="1468"/>
      <c r="FN35" s="1468"/>
      <c r="FO35" s="1468"/>
      <c r="FP35" s="1468"/>
      <c r="FQ35" s="1468"/>
      <c r="FR35" s="1468"/>
      <c r="FS35" s="1957"/>
      <c r="GF35" s="2112">
        <f>'E - Resource Limits'!A35</f>
        <v>23</v>
      </c>
      <c r="GG35" s="2113">
        <f>'E - Resource Limits'!B35</f>
        <v>0</v>
      </c>
      <c r="GH35" s="2114">
        <f>'E - Resource Limits'!C35</f>
        <v>0</v>
      </c>
      <c r="GI35" s="2114">
        <f>'E - Resource Limits'!D35</f>
        <v>0</v>
      </c>
      <c r="GJ35" s="2114">
        <f>'E - Resource Limits'!E35</f>
        <v>0</v>
      </c>
      <c r="GK35" s="2114">
        <f>'E - Resource Limits'!F35</f>
        <v>0</v>
      </c>
      <c r="GL35" s="2048">
        <f>'E - Resource Limits'!G35</f>
        <v>0</v>
      </c>
      <c r="GM35" s="2115">
        <f>'E - Resource Limits'!H35</f>
        <v>0</v>
      </c>
      <c r="GN35" s="2114">
        <f>'E - Resource Limits'!I35</f>
        <v>0</v>
      </c>
      <c r="GO35" s="2114">
        <f>'E - Resource Limits'!J35</f>
        <v>0</v>
      </c>
      <c r="GP35" s="2114">
        <f>'E - Resource Limits'!K35</f>
        <v>0</v>
      </c>
      <c r="GQ35" s="2116">
        <f>'E - Resource Limits'!L35</f>
        <v>0</v>
      </c>
      <c r="GR35" s="1935">
        <f t="shared" si="6"/>
        <v>0</v>
      </c>
      <c r="GT35" s="175">
        <f>'E1 - Invoiced Income'!A35</f>
        <v>24</v>
      </c>
      <c r="GU35" s="1797">
        <f>'E1 - Invoiced Income'!B35</f>
        <v>0</v>
      </c>
      <c r="GV35" s="1798">
        <f>'E1 - Invoiced Income'!C35</f>
        <v>0</v>
      </c>
      <c r="GW35" s="1798">
        <f>'E1 - Invoiced Income'!D35</f>
        <v>0</v>
      </c>
      <c r="GX35" s="1798">
        <f>'E1 - Invoiced Income'!E35</f>
        <v>0</v>
      </c>
      <c r="GY35" s="1798">
        <f>'E1 - Invoiced Income'!F35</f>
        <v>0</v>
      </c>
      <c r="GZ35" s="1798">
        <f>'E1 - Invoiced Income'!G35</f>
        <v>0</v>
      </c>
      <c r="HA35" s="1798">
        <f>'E1 - Invoiced Income'!H35</f>
        <v>0</v>
      </c>
      <c r="HB35" s="1798">
        <f>'E1 - Invoiced Income'!I35</f>
        <v>0</v>
      </c>
      <c r="HC35" s="1798">
        <f>'E1 - Invoiced Income'!J35</f>
        <v>0</v>
      </c>
      <c r="HD35" s="1798">
        <f>'E1 - Invoiced Income'!K35</f>
        <v>0</v>
      </c>
      <c r="HE35" s="1798">
        <f>'E1 - Invoiced Income'!L35</f>
        <v>0</v>
      </c>
      <c r="HF35" s="1798">
        <f>'E1 - Invoiced Income'!M35</f>
        <v>0</v>
      </c>
      <c r="HG35" s="1798">
        <f>'E1 - Invoiced Income'!N35</f>
        <v>0</v>
      </c>
      <c r="HH35" s="1798">
        <f>'E1 - Invoiced Income'!O35</f>
        <v>0</v>
      </c>
      <c r="HI35" s="1798">
        <f>'E1 - Invoiced Income'!P35</f>
        <v>0</v>
      </c>
      <c r="HJ35" s="1798">
        <f>'E1 - Invoiced Income'!R35</f>
        <v>0</v>
      </c>
      <c r="HK35" s="1798">
        <f>'E1 - Invoiced Income'!S35</f>
        <v>0</v>
      </c>
      <c r="HL35" s="1665">
        <f>'E1 - Invoiced Income'!T35</f>
        <v>0</v>
      </c>
      <c r="HM35" s="1799">
        <f>'E1 - Invoiced Income'!U35</f>
        <v>0</v>
      </c>
      <c r="HO35" s="2007">
        <f>'F - SoFP'!A35</f>
        <v>20</v>
      </c>
      <c r="HP35" s="2008" t="str">
        <f>'F - SoFP'!B35</f>
        <v>Borrowings (Trust Only)</v>
      </c>
      <c r="HQ35" s="2009">
        <f>'F - SoFP'!C35</f>
        <v>0</v>
      </c>
      <c r="HR35" s="2010">
        <f>'F - SoFP'!D35</f>
        <v>0</v>
      </c>
      <c r="HS35" s="2010">
        <f>'F - SoFP'!E35</f>
        <v>0</v>
      </c>
      <c r="HT35" s="1946"/>
      <c r="HV35" s="2217"/>
      <c r="HW35" s="2218"/>
      <c r="HX35" s="2219"/>
      <c r="HY35" s="2219"/>
      <c r="HZ35" s="2219"/>
      <c r="IA35" s="2219"/>
      <c r="IB35" s="2219"/>
      <c r="IC35" s="2219"/>
      <c r="ID35" s="2219"/>
      <c r="IE35" s="2219"/>
      <c r="IF35" s="2219"/>
      <c r="IG35" s="2219"/>
      <c r="IH35" s="2219"/>
      <c r="II35" s="2219"/>
      <c r="IJ35" s="2219"/>
      <c r="IK35" s="1942"/>
      <c r="JD35" s="2088">
        <f>'I - Capital RLM'!A35</f>
        <v>17</v>
      </c>
      <c r="JE35" s="2126">
        <f>'I - Capital RLM'!B35</f>
        <v>0</v>
      </c>
      <c r="JF35" s="2010">
        <f>'I - Capital RLM'!C35</f>
        <v>0</v>
      </c>
      <c r="JG35" s="2010">
        <f>'I - Capital RLM'!D35</f>
        <v>0</v>
      </c>
      <c r="JH35" s="2118">
        <f>'I - Capital RLM'!E35</f>
        <v>0</v>
      </c>
      <c r="JI35" s="2119">
        <f>'I - Capital RLM'!F35</f>
        <v>0</v>
      </c>
      <c r="JJ35" s="2010">
        <f>'I - Capital RLM'!G35</f>
        <v>0</v>
      </c>
      <c r="JK35" s="2010">
        <f>'I - Capital RLM'!H35</f>
        <v>0</v>
      </c>
      <c r="JL35" s="2118">
        <f>'I - Capital RLM'!I35</f>
        <v>0</v>
      </c>
      <c r="JM35" s="2120"/>
      <c r="JN35" s="1890">
        <f>'I - Capital RLM'!K35</f>
        <v>0</v>
      </c>
      <c r="JO35" s="2120">
        <f t="shared" si="7"/>
        <v>0</v>
      </c>
      <c r="JQ35" s="2088">
        <f>'J - Capital In Year Schemes'!A35</f>
        <v>24</v>
      </c>
      <c r="JR35" s="2089">
        <f>'J - Capital In Year Schemes'!B35</f>
        <v>0</v>
      </c>
      <c r="JS35" s="2089">
        <f>'J - Capital In Year Schemes'!C35</f>
        <v>0</v>
      </c>
      <c r="JT35" s="2010">
        <f>'J - Capital In Year Schemes'!D35</f>
        <v>0</v>
      </c>
      <c r="JU35" s="2010">
        <f>'J - Capital In Year Schemes'!E35</f>
        <v>0</v>
      </c>
      <c r="JV35" s="2010">
        <f>'J - Capital In Year Schemes'!F35</f>
        <v>0</v>
      </c>
      <c r="JW35" s="2010">
        <f>'J - Capital In Year Schemes'!G35</f>
        <v>0</v>
      </c>
      <c r="JX35" s="2010">
        <f>'J - Capital In Year Schemes'!H35</f>
        <v>0</v>
      </c>
      <c r="JY35" s="2010">
        <f>'J - Capital In Year Schemes'!I35</f>
        <v>0</v>
      </c>
      <c r="JZ35" s="2010">
        <f>'J - Capital In Year Schemes'!J35</f>
        <v>0</v>
      </c>
      <c r="KA35" s="2010">
        <f>'J - Capital In Year Schemes'!K35</f>
        <v>0</v>
      </c>
      <c r="KB35" s="2010">
        <f>'J - Capital In Year Schemes'!L35</f>
        <v>0</v>
      </c>
      <c r="KC35" s="2010">
        <f>'J - Capital In Year Schemes'!M35</f>
        <v>0</v>
      </c>
      <c r="KD35" s="2010">
        <f>'J - Capital In Year Schemes'!N35</f>
        <v>0</v>
      </c>
      <c r="KE35" s="2010">
        <f>'J - Capital In Year Schemes'!O35</f>
        <v>0</v>
      </c>
      <c r="KF35" s="2010">
        <f>'J - Capital In Year Schemes'!P35</f>
        <v>0</v>
      </c>
      <c r="KG35" s="2010">
        <f>'J - Capital In Year Schemes'!Q35</f>
        <v>0</v>
      </c>
      <c r="KH35" s="2090">
        <f>'J - Capital In Year Schemes'!R35</f>
        <v>0</v>
      </c>
      <c r="KI35" s="2090">
        <f>'J - Capital In Year Schemes'!S35</f>
        <v>0</v>
      </c>
      <c r="KJ35" s="2091">
        <f>'J - Capital In Year Schemes'!T35</f>
        <v>0</v>
      </c>
      <c r="KK35" s="2060">
        <f t="shared" si="5"/>
        <v>0</v>
      </c>
      <c r="KM35" s="2053">
        <f>'K - Capital Disposals'!A35</f>
        <v>20</v>
      </c>
      <c r="KN35" s="2220">
        <f>'K - Capital Disposals'!B35</f>
        <v>0</v>
      </c>
      <c r="KO35" s="2062">
        <f>'K - Capital Disposals'!C35</f>
        <v>0</v>
      </c>
      <c r="KP35" s="2062">
        <f>'K - Capital Disposals'!D35</f>
        <v>0</v>
      </c>
      <c r="KQ35" s="2078">
        <f>'K - Capital Disposals'!E35</f>
        <v>0</v>
      </c>
      <c r="KR35" s="2064">
        <f>'K - Capital Disposals'!F35</f>
        <v>0</v>
      </c>
      <c r="KS35" s="2064">
        <f>'K - Capital Disposals'!G35</f>
        <v>0</v>
      </c>
      <c r="KT35" s="2054">
        <f>'K - Capital Disposals'!H35</f>
        <v>0</v>
      </c>
      <c r="KU35" s="2055">
        <f>'K - Capital Disposals'!I35</f>
        <v>0</v>
      </c>
      <c r="KV35" s="3100">
        <f>'K - Capital Disposals'!J35</f>
        <v>0</v>
      </c>
      <c r="KW35" s="3095"/>
      <c r="KX35" s="3095"/>
      <c r="KY35" s="3095"/>
      <c r="KZ35" s="3095"/>
      <c r="LA35" s="3095"/>
      <c r="LB35" s="3096"/>
      <c r="LC35" s="1935"/>
      <c r="LE35" s="2221"/>
      <c r="LF35" s="2222"/>
      <c r="LG35" s="2223"/>
      <c r="LH35" s="2223"/>
      <c r="LI35" s="2224"/>
      <c r="LJ35" s="2223"/>
      <c r="LL35" s="814"/>
      <c r="LM35" s="2197">
        <f>'M - Aged Debtors'!B35</f>
        <v>0</v>
      </c>
      <c r="LN35" s="2198">
        <f>'M - Aged Debtors'!C35</f>
        <v>0</v>
      </c>
      <c r="LO35" s="2199">
        <f>'M - Aged Debtors'!D35</f>
        <v>0</v>
      </c>
      <c r="LP35" s="2200">
        <f>'M - Aged Debtors'!E35</f>
        <v>0</v>
      </c>
      <c r="LQ35" s="2201">
        <f>'M - Aged Debtors'!F35</f>
        <v>0</v>
      </c>
      <c r="LR35" s="2207" t="str">
        <f>'M - Aged Debtors'!G35</f>
        <v/>
      </c>
      <c r="LS35" s="829" t="str">
        <f>'M - Aged Debtors'!H35</f>
        <v/>
      </c>
      <c r="LT35" s="829" t="str">
        <f>'M - Aged Debtors'!I35</f>
        <v/>
      </c>
      <c r="LU35" s="830" t="str">
        <f>'M - Aged Debtors'!J35</f>
        <v/>
      </c>
      <c r="LV35" s="1757">
        <f>'M - Aged Debtors'!K35</f>
        <v>0</v>
      </c>
      <c r="LX35" s="462" t="str">
        <f>'N - GMS'!A35</f>
        <v>Learning Disabilities</v>
      </c>
      <c r="LY35" s="460"/>
      <c r="LZ35" s="461">
        <f>'N - GMS'!C35</f>
        <v>18</v>
      </c>
      <c r="MA35" s="2230">
        <f>'N - GMS'!D35</f>
        <v>0</v>
      </c>
      <c r="MB35" s="2231">
        <f>'N - GMS'!E35</f>
        <v>0</v>
      </c>
      <c r="MC35" s="2231">
        <f>'N - GMS'!F35</f>
        <v>0</v>
      </c>
      <c r="MD35" s="463">
        <f>'N - GMS'!G35</f>
        <v>0</v>
      </c>
      <c r="ME35" s="1170"/>
      <c r="MF35" s="1028">
        <f>'N - GMS'!I35</f>
        <v>0</v>
      </c>
      <c r="MH35" s="3110" t="str">
        <f>'O - Dental'!A35</f>
        <v>Health Board staff costs associated with the delivery / monitoring of the dental contract</v>
      </c>
      <c r="MI35" s="3111"/>
      <c r="MJ35" s="701">
        <f>'O - Dental'!C35</f>
        <v>25</v>
      </c>
      <c r="MK35" s="664">
        <f>'O - Dental'!D35</f>
        <v>0</v>
      </c>
      <c r="ML35" s="2203">
        <f>'O - Dental'!E35</f>
        <v>0</v>
      </c>
      <c r="MM35" s="2204">
        <f>'O - Dental'!F35</f>
        <v>0</v>
      </c>
      <c r="MN35" s="2205">
        <f>'O - Dental'!G35</f>
        <v>0</v>
      </c>
      <c r="MO35" s="308"/>
      <c r="MP35" s="1765">
        <f>'O - Dental'!I35</f>
        <v>0</v>
      </c>
      <c r="MR35" s="684"/>
      <c r="MS35" s="3019">
        <f>'P - Ringfenced'!B35</f>
        <v>0</v>
      </c>
      <c r="MT35" s="2661" t="str">
        <f>'P - Ringfenced'!C35</f>
        <v>Actual/Forecast - not yet committed</v>
      </c>
      <c r="MU35" s="2656">
        <f>'P - Ringfenced'!D35</f>
        <v>0</v>
      </c>
      <c r="MV35" s="2656">
        <f>'P - Ringfenced'!E35</f>
        <v>0</v>
      </c>
      <c r="MW35" s="2693">
        <f>'P - Ringfenced'!F35</f>
        <v>0</v>
      </c>
      <c r="MX35" s="2693">
        <f>'P - Ringfenced'!G35</f>
        <v>0</v>
      </c>
      <c r="MY35" s="2693">
        <f>'P - Ringfenced'!H35</f>
        <v>0</v>
      </c>
      <c r="MZ35" s="2693">
        <f>'P - Ringfenced'!I35</f>
        <v>0</v>
      </c>
      <c r="NA35" s="2693">
        <f>'P - Ringfenced'!J35</f>
        <v>0</v>
      </c>
      <c r="NB35" s="2693">
        <f>'P - Ringfenced'!K35</f>
        <v>0</v>
      </c>
      <c r="NC35" s="2693">
        <f>'P - Ringfenced'!L35</f>
        <v>0</v>
      </c>
      <c r="ND35" s="2693">
        <f>'P - Ringfenced'!M35</f>
        <v>0</v>
      </c>
      <c r="NE35" s="2693">
        <f>'P - Ringfenced'!N35</f>
        <v>0</v>
      </c>
      <c r="NF35" s="2693">
        <f>'P - Ringfenced'!O35</f>
        <v>0</v>
      </c>
      <c r="NG35" s="2693">
        <f>'P - Ringfenced'!P35</f>
        <v>0</v>
      </c>
      <c r="NH35" s="2693">
        <f>'P - Ringfenced'!Q35</f>
        <v>0</v>
      </c>
      <c r="NI35" s="1324">
        <f>'P - Ringfenced'!R35</f>
        <v>0</v>
      </c>
      <c r="NJ35" s="1325">
        <f>'P - Ringfenced'!S35</f>
        <v>0</v>
      </c>
      <c r="NK35" s="2861"/>
      <c r="NL35" s="684"/>
    </row>
    <row r="36" spans="13:376" ht="20.149999999999999" customHeight="1" thickBot="1">
      <c r="M36" s="950">
        <f>'A - Movement'!A36</f>
        <v>26</v>
      </c>
      <c r="N36" s="1030" t="str">
        <f>'A - Movement'!B36</f>
        <v>Net In Year Operational Variance to IMTP/AOP (material gross amounts to be listed separately)</v>
      </c>
      <c r="O36" s="1131">
        <f>'A - Movement'!C36</f>
        <v>0</v>
      </c>
      <c r="P36" s="1131">
        <f>'A - Movement'!D36</f>
        <v>0</v>
      </c>
      <c r="Q36" s="954">
        <f>'A - Movement'!E36</f>
        <v>0</v>
      </c>
      <c r="R36" s="954">
        <f>'A - Movement'!F36</f>
        <v>0</v>
      </c>
      <c r="S36" s="1745"/>
      <c r="T36" s="1928"/>
      <c r="U36" s="950">
        <f>'A - Movement'!I36</f>
        <v>26</v>
      </c>
      <c r="V36" s="1030" t="str">
        <f t="shared" si="8"/>
        <v>Net In Year Operational Variance to IMTP/AOP (material gross amounts to be listed separately)</v>
      </c>
      <c r="W36" s="954">
        <f>'A - Movement'!J36</f>
        <v>50</v>
      </c>
      <c r="X36" s="954">
        <f>'A - Movement'!K36</f>
        <v>0</v>
      </c>
      <c r="Y36" s="954">
        <f>'A - Movement'!L36</f>
        <v>0</v>
      </c>
      <c r="Z36" s="954">
        <f>'A - Movement'!M36</f>
        <v>0</v>
      </c>
      <c r="AA36" s="954">
        <f>'A - Movement'!N36</f>
        <v>0</v>
      </c>
      <c r="AB36" s="954">
        <f>'A - Movement'!O36</f>
        <v>0</v>
      </c>
      <c r="AC36" s="954">
        <f>'A - Movement'!P36</f>
        <v>0</v>
      </c>
      <c r="AD36" s="954">
        <f>'A - Movement'!Q36</f>
        <v>0</v>
      </c>
      <c r="AE36" s="954">
        <f>'A - Movement'!R36</f>
        <v>0</v>
      </c>
      <c r="AF36" s="954">
        <f>'A - Movement'!S36</f>
        <v>0</v>
      </c>
      <c r="AG36" s="954">
        <f>'A - Movement'!T36</f>
        <v>0</v>
      </c>
      <c r="AH36" s="954">
        <f>'A - Movement'!U36</f>
        <v>-50</v>
      </c>
      <c r="AI36" s="1131">
        <f>'A - Movement'!V36</f>
        <v>50</v>
      </c>
      <c r="AJ36" s="1131">
        <f>'A - Movement'!W36</f>
        <v>0</v>
      </c>
      <c r="AK36" s="1131">
        <f t="shared" si="9"/>
        <v>0</v>
      </c>
      <c r="AL36" s="954">
        <f t="shared" si="10"/>
        <v>0</v>
      </c>
      <c r="AM36" s="954">
        <f t="shared" si="11"/>
        <v>0</v>
      </c>
      <c r="AN36" s="1745"/>
      <c r="AO36" s="1928"/>
      <c r="AP36" s="1395"/>
      <c r="AQ36" s="1395"/>
      <c r="AR36" s="1406" t="str">
        <f>'A1 - Underlying Position'!C37</f>
        <v>IMTP</v>
      </c>
      <c r="AS36" s="1884" t="str">
        <f>'A1 - Underlying Position'!D37</f>
        <v>Full Year Effect of Actions</v>
      </c>
      <c r="AT36" s="1885"/>
      <c r="AU36" s="1396">
        <f>'A1 - Underlying Position'!F37</f>
        <v>0</v>
      </c>
      <c r="AV36" s="1407"/>
      <c r="AW36" s="1396" t="str">
        <f>'A1 - Underlying Position'!H37</f>
        <v>IMTP</v>
      </c>
      <c r="AX36" s="2594"/>
      <c r="AZ36" s="357">
        <f>'A2 - Risks'!A36</f>
        <v>27</v>
      </c>
      <c r="BA36" s="1823">
        <f>'A2 - Risks'!B36</f>
        <v>0</v>
      </c>
      <c r="BB36" s="1824">
        <f>'A2 - Risks'!C36</f>
        <v>0</v>
      </c>
      <c r="BC36" s="1825">
        <f>'A2 - Risks'!D36</f>
        <v>0</v>
      </c>
      <c r="BE36" s="2109">
        <f>'B - Monthly Positions'!A36</f>
        <v>26</v>
      </c>
      <c r="BF36" s="1074" t="str">
        <f>'B - Monthly Positions'!B36</f>
        <v>Cost - Total</v>
      </c>
      <c r="BG36" s="1075" t="str">
        <f>'B - Monthly Positions'!C36</f>
        <v>Actual/F'cast</v>
      </c>
      <c r="BH36" s="1110">
        <f>'B - Monthly Positions'!D36</f>
        <v>18147</v>
      </c>
      <c r="BI36" s="1110">
        <f>'B - Monthly Positions'!E36</f>
        <v>18011.933909250893</v>
      </c>
      <c r="BJ36" s="1110">
        <f>'B - Monthly Positions'!F36</f>
        <v>18400.246342926086</v>
      </c>
      <c r="BK36" s="1110">
        <f>'B - Monthly Positions'!G36</f>
        <v>18052.744234250895</v>
      </c>
      <c r="BL36" s="1110">
        <f>'B - Monthly Positions'!H36</f>
        <v>18014.244234250895</v>
      </c>
      <c r="BM36" s="1110">
        <f>'B - Monthly Positions'!I36</f>
        <v>18553.78735125942</v>
      </c>
      <c r="BN36" s="1110">
        <f>'B - Monthly Positions'!J36</f>
        <v>18313.747946985815</v>
      </c>
      <c r="BO36" s="1110">
        <f>'B - Monthly Positions'!K36</f>
        <v>18229.968375841603</v>
      </c>
      <c r="BP36" s="1110">
        <f>'B - Monthly Positions'!L36</f>
        <v>18741.305338652484</v>
      </c>
      <c r="BQ36" s="1110">
        <f>'B - Monthly Positions'!M36</f>
        <v>18262.747946985815</v>
      </c>
      <c r="BR36" s="1110">
        <f>'B - Monthly Positions'!N36</f>
        <v>18230.722954697387</v>
      </c>
      <c r="BS36" s="1110">
        <f>'B - Monthly Positions'!O36</f>
        <v>19338.564175874704</v>
      </c>
      <c r="BT36" s="1110">
        <f>'B - Monthly Positions'!P36</f>
        <v>18147</v>
      </c>
      <c r="BU36" s="1110">
        <f>'B - Monthly Positions'!Q36</f>
        <v>220297.01281097601</v>
      </c>
      <c r="BV36" s="2226"/>
      <c r="BW36" s="2226"/>
      <c r="BX36" s="84"/>
      <c r="BY36" s="1235"/>
      <c r="BZ36" s="1236">
        <f>' Table Z Net Exp Profiles'!C36</f>
        <v>1</v>
      </c>
      <c r="CA36" s="1222">
        <f>' Table Z Net Exp Profiles'!D36</f>
        <v>2</v>
      </c>
      <c r="CB36" s="1222">
        <f>' Table Z Net Exp Profiles'!E36</f>
        <v>3</v>
      </c>
      <c r="CC36" s="1222">
        <f>' Table Z Net Exp Profiles'!F36</f>
        <v>4</v>
      </c>
      <c r="CD36" s="1222">
        <f>' Table Z Net Exp Profiles'!G36</f>
        <v>5</v>
      </c>
      <c r="CE36" s="1222">
        <f>' Table Z Net Exp Profiles'!H36</f>
        <v>6</v>
      </c>
      <c r="CF36" s="1222">
        <f>' Table Z Net Exp Profiles'!I36</f>
        <v>7</v>
      </c>
      <c r="CG36" s="1222">
        <f>' Table Z Net Exp Profiles'!J36</f>
        <v>8</v>
      </c>
      <c r="CH36" s="1222">
        <f>' Table Z Net Exp Profiles'!K36</f>
        <v>9</v>
      </c>
      <c r="CI36" s="1222">
        <f>' Table Z Net Exp Profiles'!L36</f>
        <v>10</v>
      </c>
      <c r="CJ36" s="1222">
        <f>' Table Z Net Exp Profiles'!M36</f>
        <v>11</v>
      </c>
      <c r="CK36" s="1221">
        <f>' Table Z Net Exp Profiles'!N36</f>
        <v>12</v>
      </c>
      <c r="CL36" s="1237"/>
      <c r="CM36" s="1211"/>
      <c r="CO36" s="1329">
        <f>'B2 - Pay &amp; Agency'!A36</f>
        <v>4</v>
      </c>
      <c r="CP36" s="1333" t="str">
        <f>'B2 - Pay &amp; Agency'!B36</f>
        <v>Prof Scientific &amp; Technical</v>
      </c>
      <c r="CQ36" s="1776">
        <f>'B2 - Pay &amp; Agency'!C36</f>
        <v>0</v>
      </c>
      <c r="CR36" s="1777">
        <f>'B2 - Pay &amp; Agency'!D36</f>
        <v>0</v>
      </c>
      <c r="CS36" s="1777">
        <f>'B2 - Pay &amp; Agency'!E36</f>
        <v>0</v>
      </c>
      <c r="CT36" s="1777">
        <f>'B2 - Pay &amp; Agency'!F36</f>
        <v>0</v>
      </c>
      <c r="CU36" s="1777">
        <f>'B2 - Pay &amp; Agency'!G36</f>
        <v>0</v>
      </c>
      <c r="CV36" s="1777">
        <f>'B2 - Pay &amp; Agency'!H36</f>
        <v>0</v>
      </c>
      <c r="CW36" s="1777">
        <f>'B2 - Pay &amp; Agency'!I36</f>
        <v>0</v>
      </c>
      <c r="CX36" s="1777">
        <f>'B2 - Pay &amp; Agency'!J36</f>
        <v>0</v>
      </c>
      <c r="CY36" s="1777">
        <f>'B2 - Pay &amp; Agency'!K36</f>
        <v>0</v>
      </c>
      <c r="CZ36" s="1777">
        <f>'B2 - Pay &amp; Agency'!L36</f>
        <v>0</v>
      </c>
      <c r="DA36" s="1777">
        <f>'B2 - Pay &amp; Agency'!M36</f>
        <v>0</v>
      </c>
      <c r="DB36" s="1778">
        <f>'B2 - Pay &amp; Agency'!N36</f>
        <v>0</v>
      </c>
      <c r="DC36" s="1324">
        <f>'B2 - Pay &amp; Agency'!O36</f>
        <v>0</v>
      </c>
      <c r="DD36" s="1325">
        <f>'B2 - Pay &amp; Agency'!P36</f>
        <v>0</v>
      </c>
      <c r="DF36" s="1910">
        <f>'B3 - COVID-19'!A36</f>
        <v>28</v>
      </c>
      <c r="DG36" s="2850" t="str">
        <f>'B3 - COVID-19'!B36</f>
        <v>Planned Health Protection (including Testing, Tracing and Surveillance) (In Opening Plan)</v>
      </c>
      <c r="DH36" s="2489">
        <f>'B3 - COVID-19'!C36</f>
        <v>924.67523000000006</v>
      </c>
      <c r="DI36" s="2489">
        <f>'B3 - COVID-19'!D36</f>
        <v>961.21992440240967</v>
      </c>
      <c r="DJ36" s="2489">
        <f>'B3 - COVID-19'!E36</f>
        <v>1450.7191580776007</v>
      </c>
      <c r="DK36" s="2489">
        <f>'B3 - COVID-19'!F36</f>
        <v>1025.2170494024097</v>
      </c>
      <c r="DL36" s="2489">
        <f>'B3 - COVID-19'!G36</f>
        <v>1015.7170494024097</v>
      </c>
      <c r="DM36" s="2489">
        <f>'B3 - COVID-19'!H36</f>
        <v>1472.2601664109341</v>
      </c>
      <c r="DN36" s="2489">
        <f>'B3 - COVID-19'!I36</f>
        <v>1271.7207621373325</v>
      </c>
      <c r="DO36" s="2489">
        <f>'B3 - COVID-19'!J36</f>
        <v>1276.9411909931173</v>
      </c>
      <c r="DP36" s="2489">
        <f>'B3 - COVID-19'!K36</f>
        <v>1801.278153803999</v>
      </c>
      <c r="DQ36" s="2489">
        <f>'B3 - COVID-19'!L36</f>
        <v>1309.7207621373325</v>
      </c>
      <c r="DR36" s="2489">
        <f>'B3 - COVID-19'!M36</f>
        <v>1205.8446648489023</v>
      </c>
      <c r="DS36" s="2489">
        <f>'B3 - COVID-19'!N36</f>
        <v>1724.6858860262212</v>
      </c>
      <c r="DT36" s="2790">
        <f>'B3 - COVID-19'!O36</f>
        <v>924.67523000000006</v>
      </c>
      <c r="DU36" s="2790">
        <f>'B3 - COVID-19'!P36</f>
        <v>15439.99999764267</v>
      </c>
      <c r="DV36" s="608"/>
      <c r="DW36" s="1116"/>
      <c r="DY36" s="1930"/>
      <c r="DZ36" s="1930">
        <f>'C, C1, C2&amp; C3 - Savings Schemes'!B36</f>
        <v>23</v>
      </c>
      <c r="EA36" s="136" t="str">
        <f>'C, C1, C2&amp; C3 - Savings Schemes'!C36</f>
        <v>In month achievement against FY forecast</v>
      </c>
      <c r="EB36" s="1174">
        <f>'C, C1, C2&amp; C3 - Savings Schemes'!D36</f>
        <v>0.39206574249107323</v>
      </c>
      <c r="EC36" s="1174">
        <f>'C, C1, C2&amp; C3 - Savings Schemes'!E36</f>
        <v>5.5266750682629699E-2</v>
      </c>
      <c r="ED36" s="1174">
        <f>'C, C1, C2&amp; C3 - Savings Schemes'!F36</f>
        <v>5.5266750682629699E-2</v>
      </c>
      <c r="EE36" s="1174">
        <f>'C, C1, C2&amp; C3 - Savings Schemes'!G36</f>
        <v>5.5266750682629699E-2</v>
      </c>
      <c r="EF36" s="1174">
        <f>'C, C1, C2&amp; C3 - Savings Schemes'!H36</f>
        <v>5.5266750682629699E-2</v>
      </c>
      <c r="EG36" s="1174">
        <f>'C, C1, C2&amp; C3 - Savings Schemes'!I36</f>
        <v>5.5266750682629699E-2</v>
      </c>
      <c r="EH36" s="1174">
        <f>'C, C1, C2&amp; C3 - Savings Schemes'!J36</f>
        <v>5.5266750682629699E-2</v>
      </c>
      <c r="EI36" s="1174">
        <f>'C, C1, C2&amp; C3 - Savings Schemes'!K36</f>
        <v>5.5266750682629699E-2</v>
      </c>
      <c r="EJ36" s="1174">
        <f>'C, C1, C2&amp; C3 - Savings Schemes'!L36</f>
        <v>5.5266750682629699E-2</v>
      </c>
      <c r="EK36" s="1174">
        <f>'C, C1, C2&amp; C3 - Savings Schemes'!M36</f>
        <v>5.5266750682629699E-2</v>
      </c>
      <c r="EL36" s="1174">
        <f>'C, C1, C2&amp; C3 - Savings Schemes'!N36</f>
        <v>5.5266750682629699E-2</v>
      </c>
      <c r="EM36" s="1174">
        <f>'C, C1, C2&amp; C3 - Savings Schemes'!O36</f>
        <v>5.5266750682629699E-2</v>
      </c>
      <c r="EN36" s="1175">
        <f>'C, C1, C2&amp; C3 - Savings Schemes'!P36</f>
        <v>0</v>
      </c>
      <c r="EO36" s="1930"/>
      <c r="EP36" s="1930"/>
      <c r="EQ36" s="1930"/>
      <c r="ER36" s="1930"/>
      <c r="ES36" s="1930"/>
      <c r="ET36" s="1930"/>
      <c r="EU36" s="1930"/>
      <c r="EV36" s="1930"/>
      <c r="EW36" s="1932"/>
      <c r="EX36" s="3073" t="str">
        <f>'Table C4 Tracker'!A30</f>
        <v>Total</v>
      </c>
      <c r="EY36" s="1063" t="str">
        <f>'Table C4 Tracker'!B30</f>
        <v>Month 1 - Plan</v>
      </c>
      <c r="EZ36" s="1705">
        <f>'Table C4 Tracker'!C30</f>
        <v>0</v>
      </c>
      <c r="FA36" s="1706">
        <f>'Table C4 Tracker'!D30</f>
        <v>1244.4166666666665</v>
      </c>
      <c r="FB36" s="1706">
        <f>'Table C4 Tracker'!E30</f>
        <v>175.41666666666666</v>
      </c>
      <c r="FC36" s="1706">
        <f>'Table C4 Tracker'!F30</f>
        <v>175.41666666666666</v>
      </c>
      <c r="FD36" s="1706">
        <f>'Table C4 Tracker'!G30</f>
        <v>175.41666666666666</v>
      </c>
      <c r="FE36" s="1706">
        <f>'Table C4 Tracker'!H30</f>
        <v>175.41666666666666</v>
      </c>
      <c r="FF36" s="1706">
        <f>'Table C4 Tracker'!I30</f>
        <v>175.41666666666666</v>
      </c>
      <c r="FG36" s="1706">
        <f>'Table C4 Tracker'!J30</f>
        <v>175.41666666666666</v>
      </c>
      <c r="FH36" s="1706">
        <f>'Table C4 Tracker'!K30</f>
        <v>175.41666666666666</v>
      </c>
      <c r="FI36" s="1706">
        <f>'Table C4 Tracker'!L30</f>
        <v>175.41666666666666</v>
      </c>
      <c r="FJ36" s="1706">
        <f>'Table C4 Tracker'!M30</f>
        <v>175.41666666666666</v>
      </c>
      <c r="FK36" s="1706">
        <f>'Table C4 Tracker'!N30</f>
        <v>175.41666666666666</v>
      </c>
      <c r="FL36" s="1709">
        <f>'Table C4 Tracker'!O30</f>
        <v>175.41666666666666</v>
      </c>
      <c r="FM36" s="120">
        <f>'Table C4 Tracker'!P30</f>
        <v>1244.4166666666665</v>
      </c>
      <c r="FN36" s="1707">
        <f>'Table C4 Tracker'!Q30</f>
        <v>3173.9999999999991</v>
      </c>
      <c r="FO36" s="1709">
        <f>'Table C4 Tracker'!R30</f>
        <v>661</v>
      </c>
      <c r="FP36" s="1709">
        <f>'Table C4 Tracker'!S30</f>
        <v>2513</v>
      </c>
      <c r="FQ36" s="1709">
        <f>'Table C4 Tracker'!T30</f>
        <v>0</v>
      </c>
      <c r="FR36" s="1709">
        <f>'Table C4 Tracker'!U30</f>
        <v>2513</v>
      </c>
      <c r="FS36" s="1957"/>
      <c r="GF36" s="2112">
        <f>'E - Resource Limits'!A36</f>
        <v>24</v>
      </c>
      <c r="GG36" s="2113">
        <f>'E - Resource Limits'!B36</f>
        <v>0</v>
      </c>
      <c r="GH36" s="2114">
        <f>'E - Resource Limits'!C36</f>
        <v>0</v>
      </c>
      <c r="GI36" s="2114">
        <f>'E - Resource Limits'!D36</f>
        <v>0</v>
      </c>
      <c r="GJ36" s="2114">
        <f>'E - Resource Limits'!E36</f>
        <v>0</v>
      </c>
      <c r="GK36" s="2114">
        <f>'E - Resource Limits'!F36</f>
        <v>0</v>
      </c>
      <c r="GL36" s="2048">
        <f>'E - Resource Limits'!G36</f>
        <v>0</v>
      </c>
      <c r="GM36" s="2115">
        <f>'E - Resource Limits'!H36</f>
        <v>0</v>
      </c>
      <c r="GN36" s="2114">
        <f>'E - Resource Limits'!I36</f>
        <v>0</v>
      </c>
      <c r="GO36" s="2114">
        <f>'E - Resource Limits'!J36</f>
        <v>0</v>
      </c>
      <c r="GP36" s="2114">
        <f>'E - Resource Limits'!K36</f>
        <v>0</v>
      </c>
      <c r="GQ36" s="2116">
        <f>'E - Resource Limits'!L36</f>
        <v>0</v>
      </c>
      <c r="GR36" s="1935">
        <f t="shared" si="6"/>
        <v>0</v>
      </c>
      <c r="GT36" s="175">
        <f>'E1 - Invoiced Income'!A36</f>
        <v>25</v>
      </c>
      <c r="GU36" s="1797">
        <f>'E1 - Invoiced Income'!B36</f>
        <v>0</v>
      </c>
      <c r="GV36" s="1798">
        <f>'E1 - Invoiced Income'!C36</f>
        <v>0</v>
      </c>
      <c r="GW36" s="1798">
        <f>'E1 - Invoiced Income'!D36</f>
        <v>0</v>
      </c>
      <c r="GX36" s="1798">
        <f>'E1 - Invoiced Income'!E36</f>
        <v>0</v>
      </c>
      <c r="GY36" s="1798">
        <f>'E1 - Invoiced Income'!F36</f>
        <v>0</v>
      </c>
      <c r="GZ36" s="1798">
        <f>'E1 - Invoiced Income'!G36</f>
        <v>0</v>
      </c>
      <c r="HA36" s="1798">
        <f>'E1 - Invoiced Income'!H36</f>
        <v>0</v>
      </c>
      <c r="HB36" s="1798">
        <f>'E1 - Invoiced Income'!I36</f>
        <v>0</v>
      </c>
      <c r="HC36" s="1798">
        <f>'E1 - Invoiced Income'!J36</f>
        <v>0</v>
      </c>
      <c r="HD36" s="1798">
        <f>'E1 - Invoiced Income'!K36</f>
        <v>0</v>
      </c>
      <c r="HE36" s="1798">
        <f>'E1 - Invoiced Income'!L36</f>
        <v>0</v>
      </c>
      <c r="HF36" s="1798">
        <f>'E1 - Invoiced Income'!M36</f>
        <v>0</v>
      </c>
      <c r="HG36" s="1798">
        <f>'E1 - Invoiced Income'!N36</f>
        <v>0</v>
      </c>
      <c r="HH36" s="1798">
        <f>'E1 - Invoiced Income'!O36</f>
        <v>0</v>
      </c>
      <c r="HI36" s="1798">
        <f>'E1 - Invoiced Income'!P36</f>
        <v>0</v>
      </c>
      <c r="HJ36" s="1798">
        <f>'E1 - Invoiced Income'!R36</f>
        <v>0</v>
      </c>
      <c r="HK36" s="1798">
        <f>'E1 - Invoiced Income'!S36</f>
        <v>0</v>
      </c>
      <c r="HL36" s="1665">
        <f>'E1 - Invoiced Income'!T36</f>
        <v>0</v>
      </c>
      <c r="HM36" s="1799">
        <f>'E1 - Invoiced Income'!U36</f>
        <v>0</v>
      </c>
      <c r="HO36" s="2007">
        <f>'F - SoFP'!A36</f>
        <v>21</v>
      </c>
      <c r="HP36" s="2227" t="str">
        <f>'F - SoFP'!B36</f>
        <v>Other financial liabilities</v>
      </c>
      <c r="HQ36" s="2009">
        <f>'F - SoFP'!C36</f>
        <v>0</v>
      </c>
      <c r="HR36" s="2010">
        <f>'F - SoFP'!D36</f>
        <v>0</v>
      </c>
      <c r="HS36" s="2010">
        <f>'F - SoFP'!E36</f>
        <v>0</v>
      </c>
      <c r="HT36" s="1946"/>
      <c r="HV36" s="2053">
        <f>'G - Cash Flow'!A36</f>
        <v>24</v>
      </c>
      <c r="HW36" s="2070" t="str">
        <f>'G - Cash Flow'!B36</f>
        <v>Net cash inflow/outflow</v>
      </c>
      <c r="HX36" s="2055">
        <f>'G - Cash Flow'!C36</f>
        <v>0</v>
      </c>
      <c r="HY36" s="2055">
        <f>'G - Cash Flow'!D36</f>
        <v>0</v>
      </c>
      <c r="HZ36" s="2055">
        <f>'G - Cash Flow'!E36</f>
        <v>0</v>
      </c>
      <c r="IA36" s="2055">
        <f>'G - Cash Flow'!F36</f>
        <v>0</v>
      </c>
      <c r="IB36" s="2055">
        <f>'G - Cash Flow'!G36</f>
        <v>0</v>
      </c>
      <c r="IC36" s="2055">
        <f>'G - Cash Flow'!H36</f>
        <v>0</v>
      </c>
      <c r="ID36" s="2055">
        <f>'G - Cash Flow'!I36</f>
        <v>0</v>
      </c>
      <c r="IE36" s="2055">
        <f>'G - Cash Flow'!J36</f>
        <v>0</v>
      </c>
      <c r="IF36" s="2055">
        <f>'G - Cash Flow'!K36</f>
        <v>0</v>
      </c>
      <c r="IG36" s="2055">
        <f>'G - Cash Flow'!L36</f>
        <v>0</v>
      </c>
      <c r="IH36" s="2055">
        <f>'G - Cash Flow'!M36</f>
        <v>0</v>
      </c>
      <c r="II36" s="2055">
        <f>'G - Cash Flow'!N36</f>
        <v>0</v>
      </c>
      <c r="IJ36" s="2228"/>
      <c r="IK36" s="1942"/>
      <c r="JD36" s="2088">
        <f>'I - Capital RLM'!A36</f>
        <v>18</v>
      </c>
      <c r="JE36" s="2126">
        <f>'I - Capital RLM'!B36</f>
        <v>0</v>
      </c>
      <c r="JF36" s="2010">
        <f>'I - Capital RLM'!C36</f>
        <v>0</v>
      </c>
      <c r="JG36" s="2010">
        <f>'I - Capital RLM'!D36</f>
        <v>0</v>
      </c>
      <c r="JH36" s="2118">
        <f>'I - Capital RLM'!E36</f>
        <v>0</v>
      </c>
      <c r="JI36" s="2119">
        <f>'I - Capital RLM'!F36</f>
        <v>0</v>
      </c>
      <c r="JJ36" s="2010">
        <f>'I - Capital RLM'!G36</f>
        <v>0</v>
      </c>
      <c r="JK36" s="2010">
        <f>'I - Capital RLM'!H36</f>
        <v>0</v>
      </c>
      <c r="JL36" s="2118">
        <f>'I - Capital RLM'!I36</f>
        <v>0</v>
      </c>
      <c r="JM36" s="2120"/>
      <c r="JN36" s="1890">
        <f>'I - Capital RLM'!K36</f>
        <v>0</v>
      </c>
      <c r="JO36" s="2120">
        <f t="shared" si="7"/>
        <v>0</v>
      </c>
      <c r="JQ36" s="2088">
        <f>'J - Capital In Year Schemes'!A36</f>
        <v>25</v>
      </c>
      <c r="JR36" s="2089">
        <f>'J - Capital In Year Schemes'!B36</f>
        <v>0</v>
      </c>
      <c r="JS36" s="2089">
        <f>'J - Capital In Year Schemes'!C36</f>
        <v>0</v>
      </c>
      <c r="JT36" s="2010">
        <f>'J - Capital In Year Schemes'!D36</f>
        <v>0</v>
      </c>
      <c r="JU36" s="2010">
        <f>'J - Capital In Year Schemes'!E36</f>
        <v>0</v>
      </c>
      <c r="JV36" s="2010">
        <f>'J - Capital In Year Schemes'!F36</f>
        <v>0</v>
      </c>
      <c r="JW36" s="2010">
        <f>'J - Capital In Year Schemes'!G36</f>
        <v>0</v>
      </c>
      <c r="JX36" s="2010">
        <f>'J - Capital In Year Schemes'!H36</f>
        <v>0</v>
      </c>
      <c r="JY36" s="2010">
        <f>'J - Capital In Year Schemes'!I36</f>
        <v>0</v>
      </c>
      <c r="JZ36" s="2010">
        <f>'J - Capital In Year Schemes'!J36</f>
        <v>0</v>
      </c>
      <c r="KA36" s="2010">
        <f>'J - Capital In Year Schemes'!K36</f>
        <v>0</v>
      </c>
      <c r="KB36" s="2010">
        <f>'J - Capital In Year Schemes'!L36</f>
        <v>0</v>
      </c>
      <c r="KC36" s="2010">
        <f>'J - Capital In Year Schemes'!M36</f>
        <v>0</v>
      </c>
      <c r="KD36" s="2010">
        <f>'J - Capital In Year Schemes'!N36</f>
        <v>0</v>
      </c>
      <c r="KE36" s="2010">
        <f>'J - Capital In Year Schemes'!O36</f>
        <v>0</v>
      </c>
      <c r="KF36" s="2010">
        <f>'J - Capital In Year Schemes'!P36</f>
        <v>0</v>
      </c>
      <c r="KG36" s="2010">
        <f>'J - Capital In Year Schemes'!Q36</f>
        <v>0</v>
      </c>
      <c r="KH36" s="2090">
        <f>'J - Capital In Year Schemes'!R36</f>
        <v>0</v>
      </c>
      <c r="KI36" s="2090">
        <f>'J - Capital In Year Schemes'!S36</f>
        <v>0</v>
      </c>
      <c r="KJ36" s="2091">
        <f>'J - Capital In Year Schemes'!T36</f>
        <v>0</v>
      </c>
      <c r="KK36" s="2060">
        <f t="shared" si="5"/>
        <v>0</v>
      </c>
      <c r="KM36" s="2053">
        <f>'K - Capital Disposals'!A36</f>
        <v>21</v>
      </c>
      <c r="KN36" s="2220">
        <f>'K - Capital Disposals'!B36</f>
        <v>0</v>
      </c>
      <c r="KO36" s="2062">
        <f>'K - Capital Disposals'!C36</f>
        <v>0</v>
      </c>
      <c r="KP36" s="2062">
        <f>'K - Capital Disposals'!D36</f>
        <v>0</v>
      </c>
      <c r="KQ36" s="2078">
        <f>'K - Capital Disposals'!E36</f>
        <v>0</v>
      </c>
      <c r="KR36" s="2064">
        <f>'K - Capital Disposals'!F36</f>
        <v>0</v>
      </c>
      <c r="KS36" s="2064">
        <f>'K - Capital Disposals'!G36</f>
        <v>0</v>
      </c>
      <c r="KT36" s="2054">
        <f>'K - Capital Disposals'!H36</f>
        <v>0</v>
      </c>
      <c r="KU36" s="2055">
        <f>'K - Capital Disposals'!I36</f>
        <v>0</v>
      </c>
      <c r="KV36" s="2121">
        <f>'K - Capital Disposals'!J36</f>
        <v>0</v>
      </c>
      <c r="KW36" s="2093"/>
      <c r="KX36" s="2093"/>
      <c r="KY36" s="2093"/>
      <c r="KZ36" s="2093"/>
      <c r="LA36" s="2093"/>
      <c r="LB36" s="2094"/>
      <c r="LC36" s="1935"/>
      <c r="LE36" s="1607">
        <f>'L - EFL'!A36</f>
        <v>23</v>
      </c>
      <c r="LF36" s="1606" t="str">
        <f>'L - EFL'!B36</f>
        <v>TOTAL EXTERNAL FINANCE</v>
      </c>
      <c r="LG36" s="1604">
        <f>'L - EFL'!C36</f>
        <v>0</v>
      </c>
      <c r="LH36" s="1604">
        <f>'L - EFL'!D36</f>
        <v>0</v>
      </c>
      <c r="LI36" s="2229">
        <f>'L - EFL'!E36</f>
        <v>0</v>
      </c>
      <c r="LJ36" s="1604">
        <f>'L - EFL'!F36</f>
        <v>0</v>
      </c>
      <c r="LL36" s="814"/>
      <c r="LM36" s="2197">
        <f>'M - Aged Debtors'!B36</f>
        <v>0</v>
      </c>
      <c r="LN36" s="2198">
        <f>'M - Aged Debtors'!C36</f>
        <v>0</v>
      </c>
      <c r="LO36" s="2199">
        <f>'M - Aged Debtors'!D36</f>
        <v>0</v>
      </c>
      <c r="LP36" s="2200">
        <f>'M - Aged Debtors'!E36</f>
        <v>0</v>
      </c>
      <c r="LQ36" s="2201">
        <f>'M - Aged Debtors'!F36</f>
        <v>0</v>
      </c>
      <c r="LR36" s="832" t="str">
        <f>'M - Aged Debtors'!G36</f>
        <v/>
      </c>
      <c r="LS36" s="829" t="str">
        <f>'M - Aged Debtors'!H36</f>
        <v/>
      </c>
      <c r="LT36" s="829" t="str">
        <f>'M - Aged Debtors'!I36</f>
        <v/>
      </c>
      <c r="LU36" s="830" t="str">
        <f>'M - Aged Debtors'!J36</f>
        <v/>
      </c>
      <c r="LV36" s="1757">
        <f>'M - Aged Debtors'!K36</f>
        <v>0</v>
      </c>
      <c r="LX36" s="462" t="str">
        <f>'N - GMS'!A36</f>
        <v>Childhood  Immunisation Scheme</v>
      </c>
      <c r="LY36" s="460"/>
      <c r="LZ36" s="461">
        <f>'N - GMS'!C36</f>
        <v>19</v>
      </c>
      <c r="MA36" s="2230">
        <f>'N - GMS'!D36</f>
        <v>0</v>
      </c>
      <c r="MB36" s="2231">
        <f>'N - GMS'!E36</f>
        <v>0</v>
      </c>
      <c r="MC36" s="2231">
        <f>'N - GMS'!F36</f>
        <v>0</v>
      </c>
      <c r="MD36" s="463">
        <f>'N - GMS'!G36</f>
        <v>0</v>
      </c>
      <c r="ME36" s="1170"/>
      <c r="MF36" s="1028">
        <f>'N - GMS'!I36</f>
        <v>0</v>
      </c>
      <c r="MH36" s="3110" t="str">
        <f>'O - Dental'!A36</f>
        <v>Oral Surgery</v>
      </c>
      <c r="MI36" s="3111"/>
      <c r="MJ36" s="701">
        <f>'O - Dental'!C36</f>
        <v>26</v>
      </c>
      <c r="MK36" s="664">
        <f>'O - Dental'!D36</f>
        <v>0</v>
      </c>
      <c r="ML36" s="2203">
        <f>'O - Dental'!E36</f>
        <v>0</v>
      </c>
      <c r="MM36" s="2204">
        <f>'O - Dental'!F36</f>
        <v>0</v>
      </c>
      <c r="MN36" s="2205">
        <f>'O - Dental'!G36</f>
        <v>0</v>
      </c>
      <c r="MO36" s="308"/>
      <c r="MP36" s="1765">
        <f>'O - Dental'!I36</f>
        <v>0</v>
      </c>
      <c r="MR36" s="684"/>
      <c r="MS36" s="3019">
        <f>'P - Ringfenced'!B36</f>
        <v>0</v>
      </c>
      <c r="MT36" s="1101" t="str">
        <f>'P - Ringfenced'!C36</f>
        <v>Actual/Forecast - committed</v>
      </c>
      <c r="MU36" s="2656">
        <f>'P - Ringfenced'!D36</f>
        <v>0</v>
      </c>
      <c r="MV36" s="2656">
        <f>'P - Ringfenced'!E36</f>
        <v>0</v>
      </c>
      <c r="MW36" s="2693">
        <f>'P - Ringfenced'!F36</f>
        <v>0</v>
      </c>
      <c r="MX36" s="2693">
        <f>'P - Ringfenced'!G36</f>
        <v>0</v>
      </c>
      <c r="MY36" s="2693">
        <f>'P - Ringfenced'!H36</f>
        <v>0</v>
      </c>
      <c r="MZ36" s="2693">
        <f>'P - Ringfenced'!I36</f>
        <v>0</v>
      </c>
      <c r="NA36" s="2693">
        <f>'P - Ringfenced'!J36</f>
        <v>0</v>
      </c>
      <c r="NB36" s="2693">
        <f>'P - Ringfenced'!K36</f>
        <v>0</v>
      </c>
      <c r="NC36" s="2693">
        <f>'P - Ringfenced'!L36</f>
        <v>0</v>
      </c>
      <c r="ND36" s="2693">
        <f>'P - Ringfenced'!M36</f>
        <v>0</v>
      </c>
      <c r="NE36" s="2693">
        <f>'P - Ringfenced'!N36</f>
        <v>0</v>
      </c>
      <c r="NF36" s="2693">
        <f>'P - Ringfenced'!O36</f>
        <v>0</v>
      </c>
      <c r="NG36" s="2693">
        <f>'P - Ringfenced'!P36</f>
        <v>0</v>
      </c>
      <c r="NH36" s="2693">
        <f>'P - Ringfenced'!Q36</f>
        <v>0</v>
      </c>
      <c r="NI36" s="1324">
        <f>'P - Ringfenced'!R36</f>
        <v>0</v>
      </c>
      <c r="NJ36" s="1325">
        <f>'P - Ringfenced'!S36</f>
        <v>0</v>
      </c>
      <c r="NK36" s="2861"/>
      <c r="NL36" s="684"/>
    </row>
    <row r="37" spans="13:376" ht="20.149999999999999" customHeight="1" thickBot="1">
      <c r="M37" s="950">
        <f>'A - Movement'!A37</f>
        <v>27</v>
      </c>
      <c r="N37" s="1893">
        <f>'A - Movement'!B37</f>
        <v>0</v>
      </c>
      <c r="O37" s="1131">
        <f>'A - Movement'!C37</f>
        <v>0</v>
      </c>
      <c r="P37" s="1131">
        <f>'A - Movement'!D37</f>
        <v>0</v>
      </c>
      <c r="Q37" s="954">
        <f>'A - Movement'!E37</f>
        <v>0</v>
      </c>
      <c r="R37" s="954">
        <f>'A - Movement'!F37</f>
        <v>0</v>
      </c>
      <c r="S37" s="1745"/>
      <c r="U37" s="950">
        <f>'A - Movement'!I37</f>
        <v>27</v>
      </c>
      <c r="V37" s="1893">
        <f t="shared" si="8"/>
        <v>0</v>
      </c>
      <c r="W37" s="954">
        <f>'A - Movement'!J37</f>
        <v>0</v>
      </c>
      <c r="X37" s="954">
        <f>'A - Movement'!K37</f>
        <v>0</v>
      </c>
      <c r="Y37" s="954">
        <f>'A - Movement'!L37</f>
        <v>0</v>
      </c>
      <c r="Z37" s="954">
        <f>'A - Movement'!M37</f>
        <v>0</v>
      </c>
      <c r="AA37" s="954">
        <f>'A - Movement'!N37</f>
        <v>0</v>
      </c>
      <c r="AB37" s="954">
        <f>'A - Movement'!O37</f>
        <v>0</v>
      </c>
      <c r="AC37" s="954">
        <f>'A - Movement'!P37</f>
        <v>0</v>
      </c>
      <c r="AD37" s="954">
        <f>'A - Movement'!Q37</f>
        <v>0</v>
      </c>
      <c r="AE37" s="954">
        <f>'A - Movement'!R37</f>
        <v>0</v>
      </c>
      <c r="AF37" s="954">
        <f>'A - Movement'!S37</f>
        <v>0</v>
      </c>
      <c r="AG37" s="954">
        <f>'A - Movement'!T37</f>
        <v>0</v>
      </c>
      <c r="AH37" s="954">
        <f>'A - Movement'!U37</f>
        <v>0</v>
      </c>
      <c r="AI37" s="1131">
        <f>'A - Movement'!V37</f>
        <v>0</v>
      </c>
      <c r="AJ37" s="1131">
        <f>'A - Movement'!W37</f>
        <v>0</v>
      </c>
      <c r="AK37" s="1131">
        <f t="shared" ref="AK37:AK50" si="12">P37</f>
        <v>0</v>
      </c>
      <c r="AL37" s="954">
        <f t="shared" ref="AL37:AL50" si="13">Q37</f>
        <v>0</v>
      </c>
      <c r="AM37" s="954">
        <f t="shared" ref="AM37:AM50" si="14">R37</f>
        <v>0</v>
      </c>
      <c r="AN37" s="1745"/>
      <c r="AO37" s="1928"/>
      <c r="AP37" s="1397"/>
      <c r="AQ37" s="1398" t="str">
        <f>'A1 - Underlying Position'!B38</f>
        <v>Section B - By Directorate</v>
      </c>
      <c r="AR37" s="1408" t="str">
        <f>'A1 - Underlying Position'!C38</f>
        <v>Underlying Position b/f</v>
      </c>
      <c r="AS37" s="2232" t="str">
        <f>'A1 - Underlying Position'!D38</f>
        <v>Recurring Savings (+ve)</v>
      </c>
      <c r="AT37" s="2232" t="str">
        <f>'A1 - Underlying Position'!E38</f>
        <v>Recurring Allocations / Income (+ve)</v>
      </c>
      <c r="AU37" s="1399" t="str">
        <f>'A1 - Underlying Position'!F38</f>
        <v>Subtotal</v>
      </c>
      <c r="AV37" s="1998" t="str">
        <f>'A1 - Underlying Position'!G37</f>
        <v>New, Recurring, Full Year Effect of Unmitigated Pressures (-ve)</v>
      </c>
      <c r="AW37" s="1399" t="str">
        <f>'A1 - Underlying Position'!H38</f>
        <v>Underlying Position c/f</v>
      </c>
      <c r="AX37" s="2594"/>
      <c r="AZ37" s="357">
        <f>'A2 - Risks'!A37</f>
        <v>28</v>
      </c>
      <c r="BA37" s="1823">
        <f>'A2 - Risks'!B37</f>
        <v>0</v>
      </c>
      <c r="BB37" s="1826">
        <f>'A2 - Risks'!C37</f>
        <v>0</v>
      </c>
      <c r="BC37" s="1827">
        <f>'A2 - Risks'!D37</f>
        <v>0</v>
      </c>
      <c r="BE37" s="2233">
        <f>'B - Monthly Positions'!A37</f>
        <v>27</v>
      </c>
      <c r="BF37" s="1082" t="str">
        <f>'B - Monthly Positions'!B37</f>
        <v>Net surplus/ (deficit)</v>
      </c>
      <c r="BG37" s="95" t="str">
        <f>'B - Monthly Positions'!C37</f>
        <v>Actual/F'cast</v>
      </c>
      <c r="BH37" s="1132">
        <f>'B - Monthly Positions'!D37</f>
        <v>50</v>
      </c>
      <c r="BI37" s="1132">
        <f>'B - Monthly Positions'!E37</f>
        <v>3.637978807091713E-12</v>
      </c>
      <c r="BJ37" s="1132">
        <f>'B - Monthly Positions'!F37</f>
        <v>0</v>
      </c>
      <c r="BK37" s="1132">
        <f>'B - Monthly Positions'!G37</f>
        <v>0</v>
      </c>
      <c r="BL37" s="1132">
        <f>'B - Monthly Positions'!H37</f>
        <v>0</v>
      </c>
      <c r="BM37" s="1132">
        <f>'B - Monthly Positions'!I37</f>
        <v>0</v>
      </c>
      <c r="BN37" s="1132">
        <f>'B - Monthly Positions'!J37</f>
        <v>0</v>
      </c>
      <c r="BO37" s="1132">
        <f>'B - Monthly Positions'!K37</f>
        <v>0</v>
      </c>
      <c r="BP37" s="1132">
        <f>'B - Monthly Positions'!L37</f>
        <v>0</v>
      </c>
      <c r="BQ37" s="1132">
        <f>'B - Monthly Positions'!M37</f>
        <v>0</v>
      </c>
      <c r="BR37" s="1132">
        <f>'B - Monthly Positions'!N37</f>
        <v>0</v>
      </c>
      <c r="BS37" s="1110">
        <f>'B - Monthly Positions'!O37</f>
        <v>-49.999999999996362</v>
      </c>
      <c r="BT37" s="1132">
        <f>'B - Monthly Positions'!P37</f>
        <v>50</v>
      </c>
      <c r="BU37" s="1132">
        <f>'B - Monthly Positions'!Q37</f>
        <v>0</v>
      </c>
      <c r="BV37" s="2234"/>
      <c r="BW37" s="2234"/>
      <c r="BX37" s="84"/>
      <c r="BY37" s="1212" t="str">
        <f>' Table Z Net Exp Profiles'!B37</f>
        <v>Non Pay - Expenditure Profiles</v>
      </c>
      <c r="BZ37" s="1238" t="str">
        <f>' Table Z Net Exp Profiles'!C37</f>
        <v>Apr</v>
      </c>
      <c r="CA37" s="1225" t="str">
        <f>' Table Z Net Exp Profiles'!D37</f>
        <v>May</v>
      </c>
      <c r="CB37" s="1225" t="str">
        <f>' Table Z Net Exp Profiles'!E37</f>
        <v>Jun</v>
      </c>
      <c r="CC37" s="1225" t="str">
        <f>' Table Z Net Exp Profiles'!F37</f>
        <v>Jul</v>
      </c>
      <c r="CD37" s="1225" t="str">
        <f>' Table Z Net Exp Profiles'!G37</f>
        <v>Aug</v>
      </c>
      <c r="CE37" s="1225" t="str">
        <f>' Table Z Net Exp Profiles'!H37</f>
        <v>Sep</v>
      </c>
      <c r="CF37" s="1225" t="str">
        <f>' Table Z Net Exp Profiles'!I37</f>
        <v>Oct</v>
      </c>
      <c r="CG37" s="1225" t="str">
        <f>' Table Z Net Exp Profiles'!J37</f>
        <v>Nov</v>
      </c>
      <c r="CH37" s="1225" t="str">
        <f>' Table Z Net Exp Profiles'!K37</f>
        <v>Dec</v>
      </c>
      <c r="CI37" s="1225" t="str">
        <f>' Table Z Net Exp Profiles'!L37</f>
        <v>Jan</v>
      </c>
      <c r="CJ37" s="1225" t="str">
        <f>' Table Z Net Exp Profiles'!M37</f>
        <v>Feb</v>
      </c>
      <c r="CK37" s="1226" t="str">
        <f>' Table Z Net Exp Profiles'!N37</f>
        <v>Mar</v>
      </c>
      <c r="CL37" s="1227" t="str">
        <f>' Table Z Net Exp Profiles'!O37</f>
        <v>Total YTD</v>
      </c>
      <c r="CM37" s="1227" t="str">
        <f>' Table Z Net Exp Profiles'!P37</f>
        <v>Forecast year-end position</v>
      </c>
      <c r="CO37" s="1329">
        <f>'B2 - Pay &amp; Agency'!A37</f>
        <v>5</v>
      </c>
      <c r="CP37" s="1333" t="str">
        <f>'B2 - Pay &amp; Agency'!B37</f>
        <v xml:space="preserve">Additional Clinical Services </v>
      </c>
      <c r="CQ37" s="1776">
        <f>'B2 - Pay &amp; Agency'!C37</f>
        <v>17</v>
      </c>
      <c r="CR37" s="1777">
        <f>'B2 - Pay &amp; Agency'!D37</f>
        <v>17</v>
      </c>
      <c r="CS37" s="1777">
        <f>'B2 - Pay &amp; Agency'!E37</f>
        <v>17</v>
      </c>
      <c r="CT37" s="1777">
        <f>'B2 - Pay &amp; Agency'!F37</f>
        <v>17</v>
      </c>
      <c r="CU37" s="1777">
        <f>'B2 - Pay &amp; Agency'!G37</f>
        <v>17</v>
      </c>
      <c r="CV37" s="1777">
        <f>'B2 - Pay &amp; Agency'!H37</f>
        <v>17</v>
      </c>
      <c r="CW37" s="1777">
        <f>'B2 - Pay &amp; Agency'!I37</f>
        <v>17</v>
      </c>
      <c r="CX37" s="1777">
        <f>'B2 - Pay &amp; Agency'!J37</f>
        <v>17</v>
      </c>
      <c r="CY37" s="1777">
        <f>'B2 - Pay &amp; Agency'!K37</f>
        <v>17</v>
      </c>
      <c r="CZ37" s="1777">
        <f>'B2 - Pay &amp; Agency'!L37</f>
        <v>17</v>
      </c>
      <c r="DA37" s="1777">
        <f>'B2 - Pay &amp; Agency'!M37</f>
        <v>17</v>
      </c>
      <c r="DB37" s="1778">
        <f>'B2 - Pay &amp; Agency'!N37</f>
        <v>17</v>
      </c>
      <c r="DC37" s="1324">
        <f>'B2 - Pay &amp; Agency'!O37</f>
        <v>17</v>
      </c>
      <c r="DD37" s="1325">
        <f>'B2 - Pay &amp; Agency'!P37</f>
        <v>204</v>
      </c>
      <c r="DF37" s="2757">
        <f>'B3 - COVID-19'!A37</f>
        <v>29</v>
      </c>
      <c r="DG37" s="2851" t="str">
        <f>'B3 - COVID-19'!B37</f>
        <v>Movement From Opening Planned Health Protection (including Testing, Tracing and Surveillance) Expenditure</v>
      </c>
      <c r="DH37" s="2779">
        <f>'B3 - COVID-19'!C37</f>
        <v>0</v>
      </c>
      <c r="DI37" s="2779">
        <f>'B3 - COVID-19'!D37</f>
        <v>0</v>
      </c>
      <c r="DJ37" s="2779">
        <f>'B3 - COVID-19'!E37</f>
        <v>0</v>
      </c>
      <c r="DK37" s="2779">
        <f>'B3 - COVID-19'!F37</f>
        <v>0</v>
      </c>
      <c r="DL37" s="2779">
        <f>'B3 - COVID-19'!G37</f>
        <v>0</v>
      </c>
      <c r="DM37" s="2779">
        <f>'B3 - COVID-19'!H37</f>
        <v>0</v>
      </c>
      <c r="DN37" s="2779">
        <f>'B3 - COVID-19'!I37</f>
        <v>0</v>
      </c>
      <c r="DO37" s="2779">
        <f>'B3 - COVID-19'!J37</f>
        <v>0</v>
      </c>
      <c r="DP37" s="2779">
        <f>'B3 - COVID-19'!K37</f>
        <v>0</v>
      </c>
      <c r="DQ37" s="2779">
        <f>'B3 - COVID-19'!L37</f>
        <v>0</v>
      </c>
      <c r="DR37" s="2779">
        <f>'B3 - COVID-19'!M37</f>
        <v>0</v>
      </c>
      <c r="DS37" s="2779">
        <f>'B3 - COVID-19'!N37</f>
        <v>0</v>
      </c>
      <c r="DT37" s="2779">
        <f>'B3 - COVID-19'!O37</f>
        <v>0</v>
      </c>
      <c r="DU37" s="2779">
        <f>'B3 - COVID-19'!P37</f>
        <v>0</v>
      </c>
      <c r="DV37" s="608"/>
      <c r="DW37" s="1116"/>
      <c r="DY37" s="1930"/>
      <c r="DZ37" s="1930"/>
      <c r="EA37" s="1930"/>
      <c r="EB37" s="2235"/>
      <c r="EC37" s="2235"/>
      <c r="ED37" s="2235"/>
      <c r="EE37" s="2235"/>
      <c r="EF37" s="2235"/>
      <c r="EG37" s="2235"/>
      <c r="EH37" s="2235"/>
      <c r="EI37" s="2235"/>
      <c r="EJ37" s="2235"/>
      <c r="EK37" s="2235"/>
      <c r="EL37" s="2235"/>
      <c r="EM37" s="2235"/>
      <c r="EN37" s="1957"/>
      <c r="EO37" s="1930"/>
      <c r="EP37" s="1930"/>
      <c r="EQ37" s="1930"/>
      <c r="ER37" s="1930"/>
      <c r="ES37" s="1930"/>
      <c r="ET37" s="1930"/>
      <c r="EU37" s="1930"/>
      <c r="EV37" s="1930"/>
      <c r="EW37" s="2216"/>
      <c r="EX37" s="3074"/>
      <c r="EY37" s="1698" t="str">
        <f>'Table C4 Tracker'!B31</f>
        <v>Month 1 - Actual/Forecast</v>
      </c>
      <c r="EZ37" s="1371">
        <f>'Table C4 Tracker'!C31</f>
        <v>0</v>
      </c>
      <c r="FA37" s="1708">
        <f>'Table C4 Tracker'!D31</f>
        <v>1244.4166666666665</v>
      </c>
      <c r="FB37" s="1708">
        <f>'Table C4 Tracker'!E31</f>
        <v>175.41666666666666</v>
      </c>
      <c r="FC37" s="1708">
        <f>'Table C4 Tracker'!F31</f>
        <v>175.41666666666666</v>
      </c>
      <c r="FD37" s="1708">
        <f>'Table C4 Tracker'!G31</f>
        <v>175.41666666666666</v>
      </c>
      <c r="FE37" s="1708">
        <f>'Table C4 Tracker'!H31</f>
        <v>175.41666666666666</v>
      </c>
      <c r="FF37" s="1708">
        <f>'Table C4 Tracker'!I31</f>
        <v>175.41666666666666</v>
      </c>
      <c r="FG37" s="1708">
        <f>'Table C4 Tracker'!J31</f>
        <v>175.41666666666666</v>
      </c>
      <c r="FH37" s="1708">
        <f>'Table C4 Tracker'!K31</f>
        <v>175.41666666666666</v>
      </c>
      <c r="FI37" s="1708">
        <f>'Table C4 Tracker'!L31</f>
        <v>175.41666666666666</v>
      </c>
      <c r="FJ37" s="1708">
        <f>'Table C4 Tracker'!M31</f>
        <v>175.41666666666666</v>
      </c>
      <c r="FK37" s="1708">
        <f>'Table C4 Tracker'!N31</f>
        <v>175.41666666666666</v>
      </c>
      <c r="FL37" s="1577">
        <f>'Table C4 Tracker'!O31</f>
        <v>175.41666666666666</v>
      </c>
      <c r="FM37" s="942">
        <f>'Table C4 Tracker'!P31</f>
        <v>1244.4166666666665</v>
      </c>
      <c r="FN37" s="939">
        <f>'Table C4 Tracker'!Q31</f>
        <v>3173.9999999999991</v>
      </c>
      <c r="FO37" s="1577">
        <f>'Table C4 Tracker'!R31</f>
        <v>661</v>
      </c>
      <c r="FP37" s="1577">
        <f>'Table C4 Tracker'!S31</f>
        <v>2513</v>
      </c>
      <c r="FQ37" s="1577">
        <f>'Table C4 Tracker'!T31</f>
        <v>0</v>
      </c>
      <c r="FR37" s="1577">
        <f>'Table C4 Tracker'!U31</f>
        <v>2513</v>
      </c>
      <c r="FS37" s="2236"/>
      <c r="GF37" s="2112">
        <f>'E - Resource Limits'!A37</f>
        <v>25</v>
      </c>
      <c r="GG37" s="2113">
        <f>'E - Resource Limits'!B37</f>
        <v>0</v>
      </c>
      <c r="GH37" s="2114">
        <f>'E - Resource Limits'!C37</f>
        <v>0</v>
      </c>
      <c r="GI37" s="2114">
        <f>'E - Resource Limits'!D37</f>
        <v>0</v>
      </c>
      <c r="GJ37" s="2114">
        <f>'E - Resource Limits'!E37</f>
        <v>0</v>
      </c>
      <c r="GK37" s="2114">
        <f>'E - Resource Limits'!F37</f>
        <v>0</v>
      </c>
      <c r="GL37" s="2048">
        <f>'E - Resource Limits'!G37</f>
        <v>0</v>
      </c>
      <c r="GM37" s="2115">
        <f>'E - Resource Limits'!H37</f>
        <v>0</v>
      </c>
      <c r="GN37" s="2114">
        <f>'E - Resource Limits'!I37</f>
        <v>0</v>
      </c>
      <c r="GO37" s="2114">
        <f>'E - Resource Limits'!J37</f>
        <v>0</v>
      </c>
      <c r="GP37" s="2114">
        <f>'E - Resource Limits'!K37</f>
        <v>0</v>
      </c>
      <c r="GQ37" s="2116">
        <f>'E - Resource Limits'!L37</f>
        <v>0</v>
      </c>
      <c r="GR37" s="1935">
        <f t="shared" si="6"/>
        <v>0</v>
      </c>
      <c r="GT37" s="175">
        <f>'E1 - Invoiced Income'!A37</f>
        <v>26</v>
      </c>
      <c r="GU37" s="1797">
        <f>'E1 - Invoiced Income'!B37</f>
        <v>0</v>
      </c>
      <c r="GV37" s="1798">
        <f>'E1 - Invoiced Income'!C37</f>
        <v>0</v>
      </c>
      <c r="GW37" s="1798">
        <f>'E1 - Invoiced Income'!D37</f>
        <v>0</v>
      </c>
      <c r="GX37" s="1798">
        <f>'E1 - Invoiced Income'!E37</f>
        <v>0</v>
      </c>
      <c r="GY37" s="1798">
        <f>'E1 - Invoiced Income'!F37</f>
        <v>0</v>
      </c>
      <c r="GZ37" s="1798">
        <f>'E1 - Invoiced Income'!G37</f>
        <v>0</v>
      </c>
      <c r="HA37" s="1798">
        <f>'E1 - Invoiced Income'!H37</f>
        <v>0</v>
      </c>
      <c r="HB37" s="1798">
        <f>'E1 - Invoiced Income'!I37</f>
        <v>0</v>
      </c>
      <c r="HC37" s="1798">
        <f>'E1 - Invoiced Income'!J37</f>
        <v>0</v>
      </c>
      <c r="HD37" s="1798">
        <f>'E1 - Invoiced Income'!K37</f>
        <v>0</v>
      </c>
      <c r="HE37" s="1798">
        <f>'E1 - Invoiced Income'!L37</f>
        <v>0</v>
      </c>
      <c r="HF37" s="1798">
        <f>'E1 - Invoiced Income'!M37</f>
        <v>0</v>
      </c>
      <c r="HG37" s="1798">
        <f>'E1 - Invoiced Income'!N37</f>
        <v>0</v>
      </c>
      <c r="HH37" s="1798">
        <f>'E1 - Invoiced Income'!O37</f>
        <v>0</v>
      </c>
      <c r="HI37" s="1798">
        <f>'E1 - Invoiced Income'!P37</f>
        <v>0</v>
      </c>
      <c r="HJ37" s="1798">
        <f>'E1 - Invoiced Income'!R37</f>
        <v>0</v>
      </c>
      <c r="HK37" s="1798">
        <f>'E1 - Invoiced Income'!S37</f>
        <v>0</v>
      </c>
      <c r="HL37" s="1665">
        <f>'E1 - Invoiced Income'!T37</f>
        <v>0</v>
      </c>
      <c r="HM37" s="1799">
        <f>'E1 - Invoiced Income'!U37</f>
        <v>0</v>
      </c>
      <c r="HO37" s="2007">
        <f>'F - SoFP'!A37</f>
        <v>22</v>
      </c>
      <c r="HP37" s="2227" t="str">
        <f>'F - SoFP'!B37</f>
        <v>Provisions</v>
      </c>
      <c r="HQ37" s="2009">
        <f>'F - SoFP'!C37</f>
        <v>0</v>
      </c>
      <c r="HR37" s="2010">
        <f>'F - SoFP'!D37</f>
        <v>0</v>
      </c>
      <c r="HS37" s="2010">
        <f>'F - SoFP'!E37</f>
        <v>0</v>
      </c>
      <c r="HT37" s="1946"/>
      <c r="HV37" s="2217">
        <f>'G - Cash Flow'!A37</f>
        <v>25</v>
      </c>
      <c r="HW37" s="2218" t="str">
        <f>'G - Cash Flow'!B37</f>
        <v>Balance b/f</v>
      </c>
      <c r="HX37" s="2237">
        <f>'G - Cash Flow'!C37</f>
        <v>0</v>
      </c>
      <c r="HY37" s="2238">
        <f>'G - Cash Flow'!D37</f>
        <v>0</v>
      </c>
      <c r="HZ37" s="2238">
        <f>'G - Cash Flow'!E37</f>
        <v>0</v>
      </c>
      <c r="IA37" s="2238">
        <f>'G - Cash Flow'!F37</f>
        <v>0</v>
      </c>
      <c r="IB37" s="2238">
        <f>'G - Cash Flow'!G37</f>
        <v>0</v>
      </c>
      <c r="IC37" s="2238">
        <f>'G - Cash Flow'!H37</f>
        <v>0</v>
      </c>
      <c r="ID37" s="2238">
        <f>'G - Cash Flow'!I37</f>
        <v>0</v>
      </c>
      <c r="IE37" s="2238">
        <f>'G - Cash Flow'!J37</f>
        <v>0</v>
      </c>
      <c r="IF37" s="2238">
        <f>'G - Cash Flow'!K37</f>
        <v>0</v>
      </c>
      <c r="IG37" s="2238">
        <f>'G - Cash Flow'!L37</f>
        <v>0</v>
      </c>
      <c r="IH37" s="2238">
        <f>'G - Cash Flow'!M37</f>
        <v>0</v>
      </c>
      <c r="II37" s="2238">
        <f>'G - Cash Flow'!N37</f>
        <v>0</v>
      </c>
      <c r="IJ37" s="2135"/>
      <c r="IK37" s="1942"/>
      <c r="JD37" s="2088">
        <f>'I - Capital RLM'!A37</f>
        <v>19</v>
      </c>
      <c r="JE37" s="2126">
        <f>'I - Capital RLM'!B37</f>
        <v>0</v>
      </c>
      <c r="JF37" s="2010">
        <f>'I - Capital RLM'!C37</f>
        <v>0</v>
      </c>
      <c r="JG37" s="2010">
        <f>'I - Capital RLM'!D37</f>
        <v>0</v>
      </c>
      <c r="JH37" s="2118">
        <f>'I - Capital RLM'!E37</f>
        <v>0</v>
      </c>
      <c r="JI37" s="2119">
        <f>'I - Capital RLM'!F37</f>
        <v>0</v>
      </c>
      <c r="JJ37" s="2010">
        <f>'I - Capital RLM'!G37</f>
        <v>0</v>
      </c>
      <c r="JK37" s="2010">
        <f>'I - Capital RLM'!H37</f>
        <v>0</v>
      </c>
      <c r="JL37" s="2118">
        <f>'I - Capital RLM'!I37</f>
        <v>0</v>
      </c>
      <c r="JM37" s="2120"/>
      <c r="JN37" s="1890">
        <f>'I - Capital RLM'!K37</f>
        <v>0</v>
      </c>
      <c r="JO37" s="2120">
        <f t="shared" si="7"/>
        <v>0</v>
      </c>
      <c r="JQ37" s="2088">
        <f>'J - Capital In Year Schemes'!A37</f>
        <v>26</v>
      </c>
      <c r="JR37" s="2089">
        <f>'J - Capital In Year Schemes'!B37</f>
        <v>0</v>
      </c>
      <c r="JS37" s="2089">
        <f>'J - Capital In Year Schemes'!C37</f>
        <v>0</v>
      </c>
      <c r="JT37" s="2010">
        <f>'J - Capital In Year Schemes'!D37</f>
        <v>0</v>
      </c>
      <c r="JU37" s="2010">
        <f>'J - Capital In Year Schemes'!E37</f>
        <v>0</v>
      </c>
      <c r="JV37" s="2010">
        <f>'J - Capital In Year Schemes'!F37</f>
        <v>0</v>
      </c>
      <c r="JW37" s="2010">
        <f>'J - Capital In Year Schemes'!G37</f>
        <v>0</v>
      </c>
      <c r="JX37" s="2010">
        <f>'J - Capital In Year Schemes'!H37</f>
        <v>0</v>
      </c>
      <c r="JY37" s="2010">
        <f>'J - Capital In Year Schemes'!I37</f>
        <v>0</v>
      </c>
      <c r="JZ37" s="2010">
        <f>'J - Capital In Year Schemes'!J37</f>
        <v>0</v>
      </c>
      <c r="KA37" s="2010">
        <f>'J - Capital In Year Schemes'!K37</f>
        <v>0</v>
      </c>
      <c r="KB37" s="2010">
        <f>'J - Capital In Year Schemes'!L37</f>
        <v>0</v>
      </c>
      <c r="KC37" s="2010">
        <f>'J - Capital In Year Schemes'!M37</f>
        <v>0</v>
      </c>
      <c r="KD37" s="2010">
        <f>'J - Capital In Year Schemes'!N37</f>
        <v>0</v>
      </c>
      <c r="KE37" s="2010">
        <f>'J - Capital In Year Schemes'!O37</f>
        <v>0</v>
      </c>
      <c r="KF37" s="2010">
        <f>'J - Capital In Year Schemes'!P37</f>
        <v>0</v>
      </c>
      <c r="KG37" s="2010">
        <f>'J - Capital In Year Schemes'!Q37</f>
        <v>0</v>
      </c>
      <c r="KH37" s="2090">
        <f>'J - Capital In Year Schemes'!R37</f>
        <v>0</v>
      </c>
      <c r="KI37" s="2090">
        <f>'J - Capital In Year Schemes'!S37</f>
        <v>0</v>
      </c>
      <c r="KJ37" s="2091">
        <f>'J - Capital In Year Schemes'!T37</f>
        <v>0</v>
      </c>
      <c r="KK37" s="2060">
        <f t="shared" si="5"/>
        <v>0</v>
      </c>
      <c r="KM37" s="2053">
        <f>'K - Capital Disposals'!A37</f>
        <v>22</v>
      </c>
      <c r="KN37" s="2220">
        <f>'K - Capital Disposals'!B37</f>
        <v>0</v>
      </c>
      <c r="KO37" s="2062">
        <f>'K - Capital Disposals'!C37</f>
        <v>0</v>
      </c>
      <c r="KP37" s="2062">
        <f>'K - Capital Disposals'!D37</f>
        <v>0</v>
      </c>
      <c r="KQ37" s="2078">
        <f>'K - Capital Disposals'!E37</f>
        <v>0</v>
      </c>
      <c r="KR37" s="2064">
        <f>'K - Capital Disposals'!F37</f>
        <v>0</v>
      </c>
      <c r="KS37" s="2064">
        <f>'K - Capital Disposals'!G37</f>
        <v>0</v>
      </c>
      <c r="KT37" s="2054">
        <f>'K - Capital Disposals'!H37</f>
        <v>0</v>
      </c>
      <c r="KU37" s="2055">
        <f>'K - Capital Disposals'!I37</f>
        <v>0</v>
      </c>
      <c r="KV37" s="2121">
        <f>'K - Capital Disposals'!J37</f>
        <v>0</v>
      </c>
      <c r="KW37" s="2093"/>
      <c r="KX37" s="2093"/>
      <c r="KY37" s="2093"/>
      <c r="KZ37" s="2093"/>
      <c r="LA37" s="2093"/>
      <c r="LB37" s="2094"/>
      <c r="LC37" s="1935"/>
      <c r="LL37" s="814"/>
      <c r="LM37" s="2197">
        <f>'M - Aged Debtors'!B37</f>
        <v>0</v>
      </c>
      <c r="LN37" s="2198">
        <f>'M - Aged Debtors'!C37</f>
        <v>0</v>
      </c>
      <c r="LO37" s="2199">
        <f>'M - Aged Debtors'!D37</f>
        <v>0</v>
      </c>
      <c r="LP37" s="2200">
        <f>'M - Aged Debtors'!E37</f>
        <v>0</v>
      </c>
      <c r="LQ37" s="2201">
        <f>'M - Aged Debtors'!F37</f>
        <v>0</v>
      </c>
      <c r="LR37" s="832" t="str">
        <f>'M - Aged Debtors'!G37</f>
        <v/>
      </c>
      <c r="LS37" s="829" t="str">
        <f>'M - Aged Debtors'!H37</f>
        <v/>
      </c>
      <c r="LT37" s="829" t="str">
        <f>'M - Aged Debtors'!I37</f>
        <v/>
      </c>
      <c r="LU37" s="830" t="str">
        <f>'M - Aged Debtors'!J37</f>
        <v/>
      </c>
      <c r="LV37" s="1757">
        <f>'M - Aged Debtors'!K37</f>
        <v>0</v>
      </c>
      <c r="LX37" s="462" t="str">
        <f>'N - GMS'!A37</f>
        <v>Mental Health</v>
      </c>
      <c r="LY37" s="460"/>
      <c r="LZ37" s="461">
        <f>'N - GMS'!C37</f>
        <v>20</v>
      </c>
      <c r="MA37" s="2230">
        <f>'N - GMS'!D37</f>
        <v>0</v>
      </c>
      <c r="MB37" s="2231">
        <f>'N - GMS'!E37</f>
        <v>0</v>
      </c>
      <c r="MC37" s="2231">
        <f>'N - GMS'!F37</f>
        <v>0</v>
      </c>
      <c r="MD37" s="463">
        <f>'N - GMS'!G37</f>
        <v>0</v>
      </c>
      <c r="ME37" s="1170"/>
      <c r="MF37" s="1028">
        <f>'N - GMS'!I37</f>
        <v>0</v>
      </c>
      <c r="MH37" s="3112" t="str">
        <f>'O - Dental'!A37</f>
        <v>Orthodontics</v>
      </c>
      <c r="MI37" s="3113"/>
      <c r="MJ37" s="701">
        <f>'O - Dental'!C37</f>
        <v>27</v>
      </c>
      <c r="MK37" s="664">
        <f>'O - Dental'!D37</f>
        <v>0</v>
      </c>
      <c r="ML37" s="2203">
        <f>'O - Dental'!E37</f>
        <v>0</v>
      </c>
      <c r="MM37" s="2204">
        <f>'O - Dental'!F37</f>
        <v>0</v>
      </c>
      <c r="MN37" s="2205">
        <f>'O - Dental'!G37</f>
        <v>0</v>
      </c>
      <c r="MO37" s="308"/>
      <c r="MP37" s="1765">
        <f>'O - Dental'!I37</f>
        <v>0</v>
      </c>
      <c r="MR37" s="684"/>
      <c r="MS37" s="3019">
        <f>'P - Ringfenced'!B37</f>
        <v>0</v>
      </c>
      <c r="MT37" s="2661" t="str">
        <f>'P - Ringfenced'!C37</f>
        <v>Variance against current plan</v>
      </c>
      <c r="MU37" s="2656">
        <f>'P - Ringfenced'!D37</f>
        <v>0</v>
      </c>
      <c r="MV37" s="2656">
        <f>'P - Ringfenced'!E37</f>
        <v>0</v>
      </c>
      <c r="MW37" s="2680">
        <f>'P - Ringfenced'!F37</f>
        <v>0</v>
      </c>
      <c r="MX37" s="2680">
        <f>'P - Ringfenced'!G37</f>
        <v>0</v>
      </c>
      <c r="MY37" s="2680">
        <f>'P - Ringfenced'!H37</f>
        <v>0</v>
      </c>
      <c r="MZ37" s="2680">
        <f>'P - Ringfenced'!I37</f>
        <v>0</v>
      </c>
      <c r="NA37" s="2680">
        <f>'P - Ringfenced'!J37</f>
        <v>0</v>
      </c>
      <c r="NB37" s="2680">
        <f>'P - Ringfenced'!K37</f>
        <v>0</v>
      </c>
      <c r="NC37" s="2680">
        <f>'P - Ringfenced'!L37</f>
        <v>0</v>
      </c>
      <c r="ND37" s="2680">
        <f>'P - Ringfenced'!M37</f>
        <v>0</v>
      </c>
      <c r="NE37" s="2680">
        <f>'P - Ringfenced'!N37</f>
        <v>0</v>
      </c>
      <c r="NF37" s="2680">
        <f>'P - Ringfenced'!O37</f>
        <v>0</v>
      </c>
      <c r="NG37" s="2680">
        <f>'P - Ringfenced'!P37</f>
        <v>0</v>
      </c>
      <c r="NH37" s="2680">
        <f>'P - Ringfenced'!Q37</f>
        <v>0</v>
      </c>
      <c r="NI37" s="1110">
        <f>'P - Ringfenced'!R37</f>
        <v>0</v>
      </c>
      <c r="NJ37" s="1220">
        <f>'P - Ringfenced'!S37</f>
        <v>0</v>
      </c>
      <c r="NK37" s="1220">
        <f>'P - Ringfenced'!T37</f>
        <v>0</v>
      </c>
      <c r="NL37" s="684"/>
    </row>
    <row r="38" spans="13:376" ht="20.149999999999999" customHeight="1" thickBot="1">
      <c r="M38" s="950">
        <f>'A - Movement'!A38</f>
        <v>28</v>
      </c>
      <c r="N38" s="1893">
        <f>'A - Movement'!B38</f>
        <v>0</v>
      </c>
      <c r="O38" s="1131">
        <f>'A - Movement'!C38</f>
        <v>0</v>
      </c>
      <c r="P38" s="1131">
        <f>'A - Movement'!D38</f>
        <v>0</v>
      </c>
      <c r="Q38" s="954">
        <f>'A - Movement'!E38</f>
        <v>0</v>
      </c>
      <c r="R38" s="954">
        <f>'A - Movement'!F38</f>
        <v>0</v>
      </c>
      <c r="S38" s="1745"/>
      <c r="U38" s="950">
        <f>'A - Movement'!I38</f>
        <v>28</v>
      </c>
      <c r="V38" s="1893">
        <f t="shared" si="8"/>
        <v>0</v>
      </c>
      <c r="W38" s="954">
        <f>'A - Movement'!J38</f>
        <v>0</v>
      </c>
      <c r="X38" s="954">
        <f>'A - Movement'!K38</f>
        <v>0</v>
      </c>
      <c r="Y38" s="954">
        <f>'A - Movement'!L38</f>
        <v>0</v>
      </c>
      <c r="Z38" s="954">
        <f>'A - Movement'!M38</f>
        <v>0</v>
      </c>
      <c r="AA38" s="954">
        <f>'A - Movement'!N38</f>
        <v>0</v>
      </c>
      <c r="AB38" s="954">
        <f>'A - Movement'!O38</f>
        <v>0</v>
      </c>
      <c r="AC38" s="954">
        <f>'A - Movement'!P38</f>
        <v>0</v>
      </c>
      <c r="AD38" s="954">
        <f>'A - Movement'!Q38</f>
        <v>0</v>
      </c>
      <c r="AE38" s="954">
        <f>'A - Movement'!R38</f>
        <v>0</v>
      </c>
      <c r="AF38" s="954">
        <f>'A - Movement'!S38</f>
        <v>0</v>
      </c>
      <c r="AG38" s="954">
        <f>'A - Movement'!T38</f>
        <v>0</v>
      </c>
      <c r="AH38" s="954">
        <f>'A - Movement'!U38</f>
        <v>0</v>
      </c>
      <c r="AI38" s="1131">
        <f>'A - Movement'!V38</f>
        <v>0</v>
      </c>
      <c r="AJ38" s="1131">
        <f>'A - Movement'!W38</f>
        <v>0</v>
      </c>
      <c r="AK38" s="1131">
        <f t="shared" si="12"/>
        <v>0</v>
      </c>
      <c r="AL38" s="954">
        <f t="shared" si="13"/>
        <v>0</v>
      </c>
      <c r="AM38" s="954">
        <f t="shared" si="14"/>
        <v>0</v>
      </c>
      <c r="AN38" s="1745"/>
      <c r="AO38" s="1928"/>
      <c r="AP38" s="1397"/>
      <c r="AQ38" s="1398"/>
      <c r="AR38" s="1414" t="str">
        <f>'A1 - Underlying Position'!C39</f>
        <v>£'000</v>
      </c>
      <c r="AS38" s="1415" t="str">
        <f>'A1 - Underlying Position'!D39</f>
        <v>£'000</v>
      </c>
      <c r="AT38" s="1415" t="str">
        <f>'A1 - Underlying Position'!E39</f>
        <v>£'000</v>
      </c>
      <c r="AU38" s="1413" t="str">
        <f>'A1 - Underlying Position'!F39</f>
        <v>£'000</v>
      </c>
      <c r="AV38" s="1413" t="str">
        <f>'A1 - Underlying Position'!G39</f>
        <v>£'000</v>
      </c>
      <c r="AW38" s="1413" t="str">
        <f>'A1 - Underlying Position'!H39</f>
        <v>£'000</v>
      </c>
      <c r="AX38" s="2594"/>
      <c r="AZ38" s="357">
        <f>'A2 - Risks'!A38</f>
        <v>29</v>
      </c>
      <c r="BA38" s="1823">
        <f>'A2 - Risks'!B38</f>
        <v>0</v>
      </c>
      <c r="BB38" s="1826">
        <f>'A2 - Risks'!C38</f>
        <v>0</v>
      </c>
      <c r="BC38" s="1827">
        <f>'A2 - Risks'!D38</f>
        <v>0</v>
      </c>
      <c r="BE38" s="1987"/>
      <c r="BF38" s="1742"/>
      <c r="BG38" s="82"/>
      <c r="BH38" s="1742"/>
      <c r="BI38" s="1742"/>
      <c r="BJ38" s="1742"/>
      <c r="BK38" s="1742"/>
      <c r="BL38" s="1742"/>
      <c r="BM38" s="1742"/>
      <c r="BN38" s="1742"/>
      <c r="BO38" s="1742"/>
      <c r="BP38" s="1742"/>
      <c r="BQ38" s="1742"/>
      <c r="BR38" s="1742"/>
      <c r="BS38" s="1742"/>
      <c r="BT38" s="1742"/>
      <c r="BU38" s="1742"/>
      <c r="BV38" s="2234"/>
      <c r="BW38" s="2234"/>
      <c r="BX38" s="84"/>
      <c r="BY38" s="1213"/>
      <c r="BZ38" s="1239" t="str">
        <f>' Table Z Net Exp Profiles'!C38</f>
        <v>£'000</v>
      </c>
      <c r="CA38" s="1240" t="str">
        <f>' Table Z Net Exp Profiles'!D38</f>
        <v>£'000</v>
      </c>
      <c r="CB38" s="1240" t="str">
        <f>' Table Z Net Exp Profiles'!E38</f>
        <v>£'000</v>
      </c>
      <c r="CC38" s="1240" t="str">
        <f>' Table Z Net Exp Profiles'!F38</f>
        <v>£'000</v>
      </c>
      <c r="CD38" s="1240" t="str">
        <f>' Table Z Net Exp Profiles'!G38</f>
        <v>£'000</v>
      </c>
      <c r="CE38" s="1240" t="str">
        <f>' Table Z Net Exp Profiles'!H38</f>
        <v>£'000</v>
      </c>
      <c r="CF38" s="1240" t="str">
        <f>' Table Z Net Exp Profiles'!I38</f>
        <v>£'000</v>
      </c>
      <c r="CG38" s="1240" t="str">
        <f>' Table Z Net Exp Profiles'!J38</f>
        <v>£'000</v>
      </c>
      <c r="CH38" s="1240" t="str">
        <f>' Table Z Net Exp Profiles'!K38</f>
        <v>£'000</v>
      </c>
      <c r="CI38" s="1240" t="str">
        <f>' Table Z Net Exp Profiles'!L38</f>
        <v>£'000</v>
      </c>
      <c r="CJ38" s="1240" t="str">
        <f>' Table Z Net Exp Profiles'!M38</f>
        <v>£'000</v>
      </c>
      <c r="CK38" s="1241" t="str">
        <f>' Table Z Net Exp Profiles'!N38</f>
        <v>£'000</v>
      </c>
      <c r="CL38" s="1231" t="str">
        <f>' Table Z Net Exp Profiles'!O38</f>
        <v>£'000</v>
      </c>
      <c r="CM38" s="1231" t="str">
        <f>' Table Z Net Exp Profiles'!P38</f>
        <v>£'000</v>
      </c>
      <c r="CO38" s="1329">
        <f>'B2 - Pay &amp; Agency'!A38</f>
        <v>6</v>
      </c>
      <c r="CP38" s="1333" t="str">
        <f>'B2 - Pay &amp; Agency'!B38</f>
        <v>Allied Health Professionals</v>
      </c>
      <c r="CQ38" s="1776">
        <f>'B2 - Pay &amp; Agency'!C38</f>
        <v>0</v>
      </c>
      <c r="CR38" s="1777">
        <f>'B2 - Pay &amp; Agency'!D38</f>
        <v>0</v>
      </c>
      <c r="CS38" s="1777">
        <f>'B2 - Pay &amp; Agency'!E38</f>
        <v>0</v>
      </c>
      <c r="CT38" s="1777">
        <f>'B2 - Pay &amp; Agency'!F38</f>
        <v>0</v>
      </c>
      <c r="CU38" s="1777">
        <f>'B2 - Pay &amp; Agency'!G38</f>
        <v>0</v>
      </c>
      <c r="CV38" s="1777">
        <f>'B2 - Pay &amp; Agency'!H38</f>
        <v>0</v>
      </c>
      <c r="CW38" s="1777">
        <f>'B2 - Pay &amp; Agency'!I38</f>
        <v>0</v>
      </c>
      <c r="CX38" s="1777">
        <f>'B2 - Pay &amp; Agency'!J38</f>
        <v>0</v>
      </c>
      <c r="CY38" s="1777">
        <f>'B2 - Pay &amp; Agency'!K38</f>
        <v>0</v>
      </c>
      <c r="CZ38" s="1777">
        <f>'B2 - Pay &amp; Agency'!L38</f>
        <v>0</v>
      </c>
      <c r="DA38" s="1777">
        <f>'B2 - Pay &amp; Agency'!M38</f>
        <v>0</v>
      </c>
      <c r="DB38" s="1778">
        <f>'B2 - Pay &amp; Agency'!N38</f>
        <v>0</v>
      </c>
      <c r="DC38" s="1324">
        <f>'B2 - Pay &amp; Agency'!O38</f>
        <v>0</v>
      </c>
      <c r="DD38" s="1325">
        <f>'B2 - Pay &amp; Agency'!P38</f>
        <v>0</v>
      </c>
      <c r="DF38" s="2486"/>
      <c r="DG38" s="2819"/>
      <c r="DH38" s="1918"/>
      <c r="DI38" s="1918"/>
      <c r="DJ38" s="1918"/>
      <c r="DK38" s="1918"/>
      <c r="DL38" s="1918"/>
      <c r="DM38" s="1918"/>
      <c r="DN38" s="1918"/>
      <c r="DO38" s="1918"/>
      <c r="DP38" s="1918"/>
      <c r="DQ38" s="1918"/>
      <c r="DR38" s="1918"/>
      <c r="DS38" s="1918"/>
      <c r="DT38" s="1918"/>
      <c r="DU38" s="1918"/>
      <c r="DV38" s="608"/>
      <c r="DW38" s="1116"/>
      <c r="DY38" s="1930"/>
      <c r="DZ38" s="1930"/>
      <c r="EA38" s="1930"/>
      <c r="EB38" s="99"/>
      <c r="EC38" s="99"/>
      <c r="ED38" s="99"/>
      <c r="EE38" s="99"/>
      <c r="EF38" s="99"/>
      <c r="EG38" s="100"/>
      <c r="EH38" s="99"/>
      <c r="EI38" s="99"/>
      <c r="EJ38" s="99"/>
      <c r="EK38" s="99"/>
      <c r="EL38" s="1930"/>
      <c r="EM38" s="1930"/>
      <c r="EN38" s="1987"/>
      <c r="EO38" s="1987"/>
      <c r="EP38" s="1987"/>
      <c r="EQ38" s="1930"/>
      <c r="ER38" s="1930"/>
      <c r="ES38" s="1930"/>
      <c r="ET38" s="1930"/>
      <c r="EU38" s="1930"/>
      <c r="EV38" s="1930"/>
      <c r="EW38" s="1930"/>
      <c r="EX38" s="3074"/>
      <c r="EY38" s="1700" t="str">
        <f>'Table C4 Tracker'!B32</f>
        <v>Variance</v>
      </c>
      <c r="EZ38" s="1109">
        <f>'Table C4 Tracker'!C32</f>
        <v>0</v>
      </c>
      <c r="FA38" s="1703">
        <f>'Table C4 Tracker'!D32</f>
        <v>0</v>
      </c>
      <c r="FB38" s="1703">
        <f>'Table C4 Tracker'!E32</f>
        <v>0</v>
      </c>
      <c r="FC38" s="1703">
        <f>'Table C4 Tracker'!F32</f>
        <v>0</v>
      </c>
      <c r="FD38" s="1703">
        <f>'Table C4 Tracker'!G32</f>
        <v>0</v>
      </c>
      <c r="FE38" s="1703">
        <f>'Table C4 Tracker'!H32</f>
        <v>0</v>
      </c>
      <c r="FF38" s="1703">
        <f>'Table C4 Tracker'!I32</f>
        <v>0</v>
      </c>
      <c r="FG38" s="1703">
        <f>'Table C4 Tracker'!J32</f>
        <v>0</v>
      </c>
      <c r="FH38" s="1703">
        <f>'Table C4 Tracker'!K32</f>
        <v>0</v>
      </c>
      <c r="FI38" s="1703">
        <f>'Table C4 Tracker'!L32</f>
        <v>0</v>
      </c>
      <c r="FJ38" s="1703">
        <f>'Table C4 Tracker'!M32</f>
        <v>0</v>
      </c>
      <c r="FK38" s="1703">
        <f>'Table C4 Tracker'!N32</f>
        <v>0</v>
      </c>
      <c r="FL38" s="1710">
        <f>'Table C4 Tracker'!O32</f>
        <v>0</v>
      </c>
      <c r="FM38" s="1703">
        <f>'Table C4 Tracker'!P32</f>
        <v>0</v>
      </c>
      <c r="FN38" s="1702">
        <f>'Table C4 Tracker'!Q32</f>
        <v>0</v>
      </c>
      <c r="FO38" s="1710">
        <f>'Table C4 Tracker'!R32</f>
        <v>0</v>
      </c>
      <c r="FP38" s="1710">
        <f>'Table C4 Tracker'!S32</f>
        <v>0</v>
      </c>
      <c r="FQ38" s="1710">
        <f>'Table C4 Tracker'!T32</f>
        <v>0</v>
      </c>
      <c r="FR38" s="1710">
        <f>'Table C4 Tracker'!U32</f>
        <v>0</v>
      </c>
      <c r="FS38" s="2236"/>
      <c r="GF38" s="2112">
        <f>'E - Resource Limits'!A38</f>
        <v>26</v>
      </c>
      <c r="GG38" s="2113">
        <f>'E - Resource Limits'!B38</f>
        <v>0</v>
      </c>
      <c r="GH38" s="2114">
        <f>'E - Resource Limits'!C38</f>
        <v>0</v>
      </c>
      <c r="GI38" s="2114">
        <f>'E - Resource Limits'!D38</f>
        <v>0</v>
      </c>
      <c r="GJ38" s="2114">
        <f>'E - Resource Limits'!E38</f>
        <v>0</v>
      </c>
      <c r="GK38" s="2114">
        <f>'E - Resource Limits'!F38</f>
        <v>0</v>
      </c>
      <c r="GL38" s="2048">
        <f>'E - Resource Limits'!G38</f>
        <v>0</v>
      </c>
      <c r="GM38" s="2115">
        <f>'E - Resource Limits'!H38</f>
        <v>0</v>
      </c>
      <c r="GN38" s="2114">
        <f>'E - Resource Limits'!I38</f>
        <v>0</v>
      </c>
      <c r="GO38" s="2114">
        <f>'E - Resource Limits'!J38</f>
        <v>0</v>
      </c>
      <c r="GP38" s="2114">
        <f>'E - Resource Limits'!K38</f>
        <v>0</v>
      </c>
      <c r="GQ38" s="2116">
        <f>'E - Resource Limits'!L38</f>
        <v>0</v>
      </c>
      <c r="GR38" s="1935">
        <f t="shared" si="6"/>
        <v>0</v>
      </c>
      <c r="GT38" s="175">
        <f>'E1 - Invoiced Income'!A38</f>
        <v>27</v>
      </c>
      <c r="GU38" s="1797">
        <f>'E1 - Invoiced Income'!B38</f>
        <v>0</v>
      </c>
      <c r="GV38" s="1798">
        <f>'E1 - Invoiced Income'!C38</f>
        <v>0</v>
      </c>
      <c r="GW38" s="1798">
        <f>'E1 - Invoiced Income'!D38</f>
        <v>0</v>
      </c>
      <c r="GX38" s="1798">
        <f>'E1 - Invoiced Income'!E38</f>
        <v>0</v>
      </c>
      <c r="GY38" s="1798">
        <f>'E1 - Invoiced Income'!F38</f>
        <v>0</v>
      </c>
      <c r="GZ38" s="1798">
        <f>'E1 - Invoiced Income'!G38</f>
        <v>0</v>
      </c>
      <c r="HA38" s="1798">
        <f>'E1 - Invoiced Income'!H38</f>
        <v>0</v>
      </c>
      <c r="HB38" s="1798">
        <f>'E1 - Invoiced Income'!I38</f>
        <v>0</v>
      </c>
      <c r="HC38" s="1798">
        <f>'E1 - Invoiced Income'!J38</f>
        <v>0</v>
      </c>
      <c r="HD38" s="1798">
        <f>'E1 - Invoiced Income'!K38</f>
        <v>0</v>
      </c>
      <c r="HE38" s="1798">
        <f>'E1 - Invoiced Income'!L38</f>
        <v>0</v>
      </c>
      <c r="HF38" s="1798">
        <f>'E1 - Invoiced Income'!M38</f>
        <v>0</v>
      </c>
      <c r="HG38" s="1798">
        <f>'E1 - Invoiced Income'!N38</f>
        <v>0</v>
      </c>
      <c r="HH38" s="1798">
        <f>'E1 - Invoiced Income'!O38</f>
        <v>0</v>
      </c>
      <c r="HI38" s="1798">
        <f>'E1 - Invoiced Income'!P38</f>
        <v>0</v>
      </c>
      <c r="HJ38" s="1798">
        <f>'E1 - Invoiced Income'!R38</f>
        <v>0</v>
      </c>
      <c r="HK38" s="1798">
        <f>'E1 - Invoiced Income'!S38</f>
        <v>0</v>
      </c>
      <c r="HL38" s="1665">
        <f>'E1 - Invoiced Income'!T38</f>
        <v>0</v>
      </c>
      <c r="HM38" s="1799">
        <f>'E1 - Invoiced Income'!U38</f>
        <v>0</v>
      </c>
      <c r="HO38" s="2084">
        <f>'F - SoFP'!A38</f>
        <v>23</v>
      </c>
      <c r="HP38" s="2085" t="str">
        <f>'F - SoFP'!B38</f>
        <v xml:space="preserve">Non-Current Liabilities sub total </v>
      </c>
      <c r="HQ38" s="2037">
        <f>'F - SoFP'!C38</f>
        <v>0</v>
      </c>
      <c r="HR38" s="2037">
        <f>'F - SoFP'!D38</f>
        <v>0</v>
      </c>
      <c r="HS38" s="2037">
        <f>'F - SoFP'!E38</f>
        <v>0</v>
      </c>
      <c r="HT38" s="1946"/>
      <c r="HV38" s="2053">
        <f>'G - Cash Flow'!A38</f>
        <v>26</v>
      </c>
      <c r="HW38" s="2070" t="str">
        <f>'G - Cash Flow'!B38</f>
        <v>Balance c/f</v>
      </c>
      <c r="HX38" s="2055">
        <f>'G - Cash Flow'!C38</f>
        <v>0</v>
      </c>
      <c r="HY38" s="2055">
        <f>'G - Cash Flow'!D38</f>
        <v>0</v>
      </c>
      <c r="HZ38" s="2055">
        <f>'G - Cash Flow'!E38</f>
        <v>0</v>
      </c>
      <c r="IA38" s="2055">
        <f>'G - Cash Flow'!F38</f>
        <v>0</v>
      </c>
      <c r="IB38" s="2055">
        <f>'G - Cash Flow'!G38</f>
        <v>0</v>
      </c>
      <c r="IC38" s="2055">
        <f>'G - Cash Flow'!H38</f>
        <v>0</v>
      </c>
      <c r="ID38" s="2055">
        <f>'G - Cash Flow'!I38</f>
        <v>0</v>
      </c>
      <c r="IE38" s="2055">
        <f>'G - Cash Flow'!J38</f>
        <v>0</v>
      </c>
      <c r="IF38" s="2055">
        <f>'G - Cash Flow'!K38</f>
        <v>0</v>
      </c>
      <c r="IG38" s="2055">
        <f>'G - Cash Flow'!L38</f>
        <v>0</v>
      </c>
      <c r="IH38" s="2055">
        <f>'G - Cash Flow'!M38</f>
        <v>0</v>
      </c>
      <c r="II38" s="2055">
        <f>'G - Cash Flow'!N38</f>
        <v>0</v>
      </c>
      <c r="IJ38" s="2228"/>
      <c r="IK38" s="1942"/>
      <c r="JD38" s="2088">
        <f>'I - Capital RLM'!A38</f>
        <v>20</v>
      </c>
      <c r="JE38" s="2126">
        <f>'I - Capital RLM'!B38</f>
        <v>0</v>
      </c>
      <c r="JF38" s="2010">
        <f>'I - Capital RLM'!C38</f>
        <v>0</v>
      </c>
      <c r="JG38" s="2010">
        <f>'I - Capital RLM'!D38</f>
        <v>0</v>
      </c>
      <c r="JH38" s="2118">
        <f>'I - Capital RLM'!E38</f>
        <v>0</v>
      </c>
      <c r="JI38" s="2119">
        <f>'I - Capital RLM'!F38</f>
        <v>0</v>
      </c>
      <c r="JJ38" s="2010">
        <f>'I - Capital RLM'!G38</f>
        <v>0</v>
      </c>
      <c r="JK38" s="2010">
        <f>'I - Capital RLM'!H38</f>
        <v>0</v>
      </c>
      <c r="JL38" s="2118">
        <f>'I - Capital RLM'!I38</f>
        <v>0</v>
      </c>
      <c r="JM38" s="2120"/>
      <c r="JN38" s="1890">
        <f>'I - Capital RLM'!K38</f>
        <v>0</v>
      </c>
      <c r="JO38" s="2120">
        <f t="shared" si="7"/>
        <v>0</v>
      </c>
      <c r="JQ38" s="2088">
        <f>'J - Capital In Year Schemes'!A38</f>
        <v>27</v>
      </c>
      <c r="JR38" s="2089">
        <f>'J - Capital In Year Schemes'!B38</f>
        <v>0</v>
      </c>
      <c r="JS38" s="2089">
        <f>'J - Capital In Year Schemes'!C38</f>
        <v>0</v>
      </c>
      <c r="JT38" s="2010">
        <f>'J - Capital In Year Schemes'!D38</f>
        <v>0</v>
      </c>
      <c r="JU38" s="2010">
        <f>'J - Capital In Year Schemes'!E38</f>
        <v>0</v>
      </c>
      <c r="JV38" s="2010">
        <f>'J - Capital In Year Schemes'!F38</f>
        <v>0</v>
      </c>
      <c r="JW38" s="2010">
        <f>'J - Capital In Year Schemes'!G38</f>
        <v>0</v>
      </c>
      <c r="JX38" s="2010">
        <f>'J - Capital In Year Schemes'!H38</f>
        <v>0</v>
      </c>
      <c r="JY38" s="2010">
        <f>'J - Capital In Year Schemes'!I38</f>
        <v>0</v>
      </c>
      <c r="JZ38" s="2010">
        <f>'J - Capital In Year Schemes'!J38</f>
        <v>0</v>
      </c>
      <c r="KA38" s="2010">
        <f>'J - Capital In Year Schemes'!K38</f>
        <v>0</v>
      </c>
      <c r="KB38" s="2010">
        <f>'J - Capital In Year Schemes'!L38</f>
        <v>0</v>
      </c>
      <c r="KC38" s="2010">
        <f>'J - Capital In Year Schemes'!M38</f>
        <v>0</v>
      </c>
      <c r="KD38" s="2010">
        <f>'J - Capital In Year Schemes'!N38</f>
        <v>0</v>
      </c>
      <c r="KE38" s="2010">
        <f>'J - Capital In Year Schemes'!O38</f>
        <v>0</v>
      </c>
      <c r="KF38" s="2010">
        <f>'J - Capital In Year Schemes'!P38</f>
        <v>0</v>
      </c>
      <c r="KG38" s="2010">
        <f>'J - Capital In Year Schemes'!Q38</f>
        <v>0</v>
      </c>
      <c r="KH38" s="2090">
        <f>'J - Capital In Year Schemes'!R38</f>
        <v>0</v>
      </c>
      <c r="KI38" s="2090">
        <f>'J - Capital In Year Schemes'!S38</f>
        <v>0</v>
      </c>
      <c r="KJ38" s="2091">
        <f>'J - Capital In Year Schemes'!T38</f>
        <v>0</v>
      </c>
      <c r="KK38" s="2060">
        <f t="shared" si="5"/>
        <v>0</v>
      </c>
      <c r="KM38" s="2053">
        <f>'K - Capital Disposals'!A38</f>
        <v>23</v>
      </c>
      <c r="KN38" s="2220">
        <f>'K - Capital Disposals'!B38</f>
        <v>0</v>
      </c>
      <c r="KO38" s="2062">
        <f>'K - Capital Disposals'!C38</f>
        <v>0</v>
      </c>
      <c r="KP38" s="2062">
        <f>'K - Capital Disposals'!D38</f>
        <v>0</v>
      </c>
      <c r="KQ38" s="2078">
        <f>'K - Capital Disposals'!E38</f>
        <v>0</v>
      </c>
      <c r="KR38" s="2064">
        <f>'K - Capital Disposals'!F38</f>
        <v>0</v>
      </c>
      <c r="KS38" s="2064">
        <f>'K - Capital Disposals'!G38</f>
        <v>0</v>
      </c>
      <c r="KT38" s="2054">
        <f>'K - Capital Disposals'!H38</f>
        <v>0</v>
      </c>
      <c r="KU38" s="2055">
        <f>'K - Capital Disposals'!I38</f>
        <v>0</v>
      </c>
      <c r="KV38" s="2121">
        <f>'K - Capital Disposals'!J38</f>
        <v>0</v>
      </c>
      <c r="KW38" s="2093"/>
      <c r="KX38" s="2093"/>
      <c r="KY38" s="2093"/>
      <c r="KZ38" s="2093"/>
      <c r="LA38" s="2093"/>
      <c r="LB38" s="2094"/>
      <c r="LC38" s="1935"/>
      <c r="LL38" s="814"/>
      <c r="LM38" s="2197">
        <f>'M - Aged Debtors'!B38</f>
        <v>0</v>
      </c>
      <c r="LN38" s="2198">
        <f>'M - Aged Debtors'!C38</f>
        <v>0</v>
      </c>
      <c r="LO38" s="2199">
        <f>'M - Aged Debtors'!D38</f>
        <v>0</v>
      </c>
      <c r="LP38" s="2200">
        <f>'M - Aged Debtors'!E38</f>
        <v>0</v>
      </c>
      <c r="LQ38" s="2201">
        <f>'M - Aged Debtors'!F38</f>
        <v>0</v>
      </c>
      <c r="LR38" s="832" t="str">
        <f>'M - Aged Debtors'!G38</f>
        <v/>
      </c>
      <c r="LS38" s="829" t="str">
        <f>'M - Aged Debtors'!H38</f>
        <v/>
      </c>
      <c r="LT38" s="829" t="str">
        <f>'M - Aged Debtors'!I38</f>
        <v/>
      </c>
      <c r="LU38" s="830" t="str">
        <f>'M - Aged Debtors'!J38</f>
        <v/>
      </c>
      <c r="LV38" s="1757">
        <f>'M - Aged Debtors'!K38</f>
        <v>0</v>
      </c>
      <c r="LX38" s="462" t="str">
        <f>'N - GMS'!A38</f>
        <v>Influenza &amp; Pneumococcal Immunisations Scheme</v>
      </c>
      <c r="LY38" s="460"/>
      <c r="LZ38" s="461">
        <f>'N - GMS'!C38</f>
        <v>21</v>
      </c>
      <c r="MA38" s="2230">
        <f>'N - GMS'!D38</f>
        <v>0</v>
      </c>
      <c r="MB38" s="2231">
        <f>'N - GMS'!E38</f>
        <v>0</v>
      </c>
      <c r="MC38" s="2231">
        <f>'N - GMS'!F38</f>
        <v>0</v>
      </c>
      <c r="MD38" s="463">
        <f>'N - GMS'!G38</f>
        <v>0</v>
      </c>
      <c r="ME38" s="1170"/>
      <c r="MF38" s="1028">
        <f>'N - GMS'!I38</f>
        <v>0</v>
      </c>
      <c r="MH38" s="3112" t="str">
        <f>'O - Dental'!A38</f>
        <v>Special care dentistry e.g. WHC/2015/002</v>
      </c>
      <c r="MI38" s="3113"/>
      <c r="MJ38" s="701">
        <f>'O - Dental'!C38</f>
        <v>28</v>
      </c>
      <c r="MK38" s="664">
        <f>'O - Dental'!D38</f>
        <v>0</v>
      </c>
      <c r="ML38" s="2203">
        <f>'O - Dental'!E38</f>
        <v>0</v>
      </c>
      <c r="MM38" s="2204">
        <f>'O - Dental'!F38</f>
        <v>0</v>
      </c>
      <c r="MN38" s="2205">
        <f>'O - Dental'!G38</f>
        <v>0</v>
      </c>
      <c r="MO38" s="308"/>
      <c r="MP38" s="1765">
        <f>'O - Dental'!I38</f>
        <v>0</v>
      </c>
      <c r="MR38" s="684"/>
      <c r="MS38" s="3018" t="str">
        <f>'P - Ringfenced'!B38</f>
        <v>Planned Care</v>
      </c>
      <c r="MT38" s="1101" t="str">
        <f>'P - Ringfenced'!C38</f>
        <v>Plan</v>
      </c>
      <c r="MU38" s="2655">
        <f>'P - Ringfenced'!D38</f>
        <v>0</v>
      </c>
      <c r="MV38" s="2655">
        <f>'P - Ringfenced'!E38</f>
        <v>0</v>
      </c>
      <c r="MW38" s="2693">
        <f>'P - Ringfenced'!F38</f>
        <v>0</v>
      </c>
      <c r="MX38" s="2693">
        <f>'P - Ringfenced'!G38</f>
        <v>0</v>
      </c>
      <c r="MY38" s="2693">
        <f>'P - Ringfenced'!H38</f>
        <v>0</v>
      </c>
      <c r="MZ38" s="2693">
        <f>'P - Ringfenced'!I38</f>
        <v>0</v>
      </c>
      <c r="NA38" s="2693">
        <f>'P - Ringfenced'!J38</f>
        <v>0</v>
      </c>
      <c r="NB38" s="2693">
        <f>'P - Ringfenced'!K38</f>
        <v>0</v>
      </c>
      <c r="NC38" s="2693">
        <f>'P - Ringfenced'!L38</f>
        <v>0</v>
      </c>
      <c r="ND38" s="2693">
        <f>'P - Ringfenced'!M38</f>
        <v>0</v>
      </c>
      <c r="NE38" s="2693">
        <f>'P - Ringfenced'!N38</f>
        <v>0</v>
      </c>
      <c r="NF38" s="2693">
        <f>'P - Ringfenced'!O38</f>
        <v>0</v>
      </c>
      <c r="NG38" s="2693">
        <f>'P - Ringfenced'!P38</f>
        <v>0</v>
      </c>
      <c r="NH38" s="2693">
        <f>'P - Ringfenced'!Q38</f>
        <v>0</v>
      </c>
      <c r="NI38" s="1324">
        <f>'P - Ringfenced'!R38</f>
        <v>0</v>
      </c>
      <c r="NJ38" s="1325">
        <f>'P - Ringfenced'!S38</f>
        <v>0</v>
      </c>
      <c r="NK38" s="2860"/>
      <c r="NL38" s="684"/>
    </row>
    <row r="39" spans="13:376" ht="20.149999999999999" customHeight="1" thickBot="1">
      <c r="M39" s="950">
        <f>'A - Movement'!A39</f>
        <v>29</v>
      </c>
      <c r="N39" s="1893">
        <f>'A - Movement'!B39</f>
        <v>0</v>
      </c>
      <c r="O39" s="1131">
        <f>'A - Movement'!C39</f>
        <v>0</v>
      </c>
      <c r="P39" s="1131">
        <f>'A - Movement'!D39</f>
        <v>0</v>
      </c>
      <c r="Q39" s="954">
        <f>'A - Movement'!E39</f>
        <v>0</v>
      </c>
      <c r="R39" s="954">
        <f>'A - Movement'!F39</f>
        <v>0</v>
      </c>
      <c r="S39" s="1745"/>
      <c r="U39" s="950">
        <f>'A - Movement'!I39</f>
        <v>29</v>
      </c>
      <c r="V39" s="1893">
        <f t="shared" si="8"/>
        <v>0</v>
      </c>
      <c r="W39" s="954">
        <f>'A - Movement'!J39</f>
        <v>0</v>
      </c>
      <c r="X39" s="954">
        <f>'A - Movement'!K39</f>
        <v>0</v>
      </c>
      <c r="Y39" s="954">
        <f>'A - Movement'!L39</f>
        <v>0</v>
      </c>
      <c r="Z39" s="954">
        <f>'A - Movement'!M39</f>
        <v>0</v>
      </c>
      <c r="AA39" s="954">
        <f>'A - Movement'!N39</f>
        <v>0</v>
      </c>
      <c r="AB39" s="954">
        <f>'A - Movement'!O39</f>
        <v>0</v>
      </c>
      <c r="AC39" s="954">
        <f>'A - Movement'!P39</f>
        <v>0</v>
      </c>
      <c r="AD39" s="954">
        <f>'A - Movement'!Q39</f>
        <v>0</v>
      </c>
      <c r="AE39" s="954">
        <f>'A - Movement'!R39</f>
        <v>0</v>
      </c>
      <c r="AF39" s="954">
        <f>'A - Movement'!S39</f>
        <v>0</v>
      </c>
      <c r="AG39" s="954">
        <f>'A - Movement'!T39</f>
        <v>0</v>
      </c>
      <c r="AH39" s="954">
        <f>'A - Movement'!U39</f>
        <v>0</v>
      </c>
      <c r="AI39" s="1131">
        <f>'A - Movement'!V39</f>
        <v>0</v>
      </c>
      <c r="AJ39" s="1131">
        <f>'A - Movement'!W39</f>
        <v>0</v>
      </c>
      <c r="AK39" s="1131">
        <f t="shared" si="12"/>
        <v>0</v>
      </c>
      <c r="AL39" s="954">
        <f t="shared" si="13"/>
        <v>0</v>
      </c>
      <c r="AM39" s="954">
        <f t="shared" si="14"/>
        <v>0</v>
      </c>
      <c r="AN39" s="1745"/>
      <c r="AO39" s="1928"/>
      <c r="AP39" s="1400">
        <f>'A1 - Underlying Position'!A40</f>
        <v>1</v>
      </c>
      <c r="AQ39" s="1377" t="str">
        <f>'A1 - Underlying Position'!B40</f>
        <v>Primary Care</v>
      </c>
      <c r="AR39" s="1773">
        <f>'A1 - Underlying Position'!C40</f>
        <v>0</v>
      </c>
      <c r="AS39" s="1774">
        <f>'A1 - Underlying Position'!D40</f>
        <v>0</v>
      </c>
      <c r="AT39" s="1774">
        <f>'A1 - Underlying Position'!E40</f>
        <v>0</v>
      </c>
      <c r="AU39" s="73">
        <f>'A1 - Underlying Position'!F40</f>
        <v>0</v>
      </c>
      <c r="AV39" s="1775">
        <f>'A1 - Underlying Position'!G40</f>
        <v>0</v>
      </c>
      <c r="AW39" s="73">
        <f>'A1 - Underlying Position'!H40</f>
        <v>0</v>
      </c>
      <c r="AX39" s="2594"/>
      <c r="AZ39" s="357">
        <f>'A2 - Risks'!A39</f>
        <v>30</v>
      </c>
      <c r="BA39" s="1823">
        <f>'A2 - Risks'!B39</f>
        <v>0</v>
      </c>
      <c r="BB39" s="1828">
        <f>'A2 - Risks'!C39</f>
        <v>0</v>
      </c>
      <c r="BC39" s="1829">
        <f>'A2 - Risks'!D39</f>
        <v>0</v>
      </c>
      <c r="BE39" s="1987"/>
      <c r="BF39" s="1742"/>
      <c r="BG39" s="82"/>
      <c r="BH39" s="1742"/>
      <c r="BI39" s="1742"/>
      <c r="BJ39" s="1742"/>
      <c r="BK39" s="1742"/>
      <c r="BL39" s="1742"/>
      <c r="BM39" s="1742"/>
      <c r="BN39" s="1742"/>
      <c r="BO39" s="1742"/>
      <c r="BP39" s="1742"/>
      <c r="BQ39" s="1742"/>
      <c r="BR39" s="1742"/>
      <c r="BS39" s="1742"/>
      <c r="BT39" s="1742"/>
      <c r="BU39" s="1742"/>
      <c r="BV39" s="2234"/>
      <c r="BW39" s="2234"/>
      <c r="BX39" s="86">
        <f>' Table Z Net Exp Profiles'!A39</f>
        <v>23</v>
      </c>
      <c r="BY39" s="2507" t="str">
        <f>' Table Z Net Exp Profiles'!B39</f>
        <v>Gross Non Pay Expenditure - Non Covid-19 - Current Plan</v>
      </c>
      <c r="BZ39" s="1217">
        <f>' Table Z Net Exp Profiles'!C39</f>
        <v>0</v>
      </c>
      <c r="CA39" s="1189">
        <f>' Table Z Net Exp Profiles'!D39</f>
        <v>0</v>
      </c>
      <c r="CB39" s="1189">
        <f>' Table Z Net Exp Profiles'!E39</f>
        <v>0</v>
      </c>
      <c r="CC39" s="1189">
        <f>' Table Z Net Exp Profiles'!F39</f>
        <v>0</v>
      </c>
      <c r="CD39" s="1189">
        <f>' Table Z Net Exp Profiles'!G39</f>
        <v>0</v>
      </c>
      <c r="CE39" s="1189">
        <f>' Table Z Net Exp Profiles'!H39</f>
        <v>0</v>
      </c>
      <c r="CF39" s="1189">
        <f>' Table Z Net Exp Profiles'!I39</f>
        <v>0</v>
      </c>
      <c r="CG39" s="1189">
        <f>' Table Z Net Exp Profiles'!J39</f>
        <v>0</v>
      </c>
      <c r="CH39" s="1189">
        <f>' Table Z Net Exp Profiles'!K39</f>
        <v>0</v>
      </c>
      <c r="CI39" s="1189">
        <f>' Table Z Net Exp Profiles'!L39</f>
        <v>0</v>
      </c>
      <c r="CJ39" s="1189">
        <f>' Table Z Net Exp Profiles'!M39</f>
        <v>0</v>
      </c>
      <c r="CK39" s="1189">
        <f>' Table Z Net Exp Profiles'!N39</f>
        <v>0</v>
      </c>
      <c r="CL39" s="1215">
        <f>' Table Z Net Exp Profiles'!O39</f>
        <v>0</v>
      </c>
      <c r="CM39" s="1215">
        <f>' Table Z Net Exp Profiles'!P39</f>
        <v>0</v>
      </c>
      <c r="CO39" s="1329">
        <f>'B2 - Pay &amp; Agency'!A39</f>
        <v>7</v>
      </c>
      <c r="CP39" s="1333" t="str">
        <f>'B2 - Pay &amp; Agency'!B39</f>
        <v xml:space="preserve">Healthcare Scientists </v>
      </c>
      <c r="CQ39" s="1776">
        <f>'B2 - Pay &amp; Agency'!C39</f>
        <v>90</v>
      </c>
      <c r="CR39" s="1777">
        <f>'B2 - Pay &amp; Agency'!D39</f>
        <v>90</v>
      </c>
      <c r="CS39" s="1777">
        <f>'B2 - Pay &amp; Agency'!E39</f>
        <v>90</v>
      </c>
      <c r="CT39" s="1777">
        <f>'B2 - Pay &amp; Agency'!F39</f>
        <v>90</v>
      </c>
      <c r="CU39" s="1777">
        <f>'B2 - Pay &amp; Agency'!G39</f>
        <v>90</v>
      </c>
      <c r="CV39" s="1777">
        <f>'B2 - Pay &amp; Agency'!H39</f>
        <v>90</v>
      </c>
      <c r="CW39" s="1777">
        <f>'B2 - Pay &amp; Agency'!I39</f>
        <v>90</v>
      </c>
      <c r="CX39" s="1777">
        <f>'B2 - Pay &amp; Agency'!J39</f>
        <v>90</v>
      </c>
      <c r="CY39" s="1777">
        <f>'B2 - Pay &amp; Agency'!K39</f>
        <v>90</v>
      </c>
      <c r="CZ39" s="1777">
        <f>'B2 - Pay &amp; Agency'!L39</f>
        <v>90</v>
      </c>
      <c r="DA39" s="1777">
        <f>'B2 - Pay &amp; Agency'!M39</f>
        <v>90</v>
      </c>
      <c r="DB39" s="1778">
        <f>'B2 - Pay &amp; Agency'!N39</f>
        <v>90</v>
      </c>
      <c r="DC39" s="1324">
        <f>'B2 - Pay &amp; Agency'!O39</f>
        <v>90</v>
      </c>
      <c r="DD39" s="1325">
        <f>'B2 - Pay &amp; Agency'!P39</f>
        <v>1080</v>
      </c>
      <c r="DF39" s="1308" t="str">
        <f>'B3 - COVID-19'!A39</f>
        <v>Health Promotion (including Testing, Tracing and Surveillance)  - Funding  / Income</v>
      </c>
      <c r="DG39" s="2819"/>
      <c r="DH39" s="1918"/>
      <c r="DI39" s="1918"/>
      <c r="DJ39" s="1918"/>
      <c r="DK39" s="1918"/>
      <c r="DL39" s="1918"/>
      <c r="DM39" s="1918"/>
      <c r="DN39" s="1918"/>
      <c r="DO39" s="1918"/>
      <c r="DP39" s="1918"/>
      <c r="DQ39" s="1918"/>
      <c r="DR39" s="1918"/>
      <c r="DS39" s="1918"/>
      <c r="DT39" s="1918"/>
      <c r="DU39" s="1918"/>
      <c r="DV39" s="608"/>
      <c r="DW39" s="1116"/>
      <c r="DY39" s="1930"/>
      <c r="DZ39" s="1930"/>
      <c r="EA39" s="1930"/>
      <c r="EB39" s="99"/>
      <c r="EC39" s="99"/>
      <c r="ED39" s="99"/>
      <c r="EE39" s="99"/>
      <c r="EF39" s="99"/>
      <c r="EG39" s="100"/>
      <c r="EH39" s="126"/>
      <c r="EI39" s="3063"/>
      <c r="EJ39" s="3064"/>
      <c r="EK39" s="3064"/>
      <c r="EL39" s="3064"/>
      <c r="EM39" s="3064"/>
      <c r="EN39" s="1140"/>
      <c r="EO39" s="1176"/>
      <c r="EP39" s="1177"/>
      <c r="EQ39" s="1930"/>
      <c r="ER39" s="1930"/>
      <c r="ES39" s="1930"/>
      <c r="ET39" s="1930"/>
      <c r="EU39" s="1930"/>
      <c r="EV39" s="1930"/>
      <c r="EW39" s="1930"/>
      <c r="EX39" s="3074"/>
      <c r="EY39" s="1063" t="str">
        <f>'Table C4 Tracker'!B33</f>
        <v>In Year - Plan</v>
      </c>
      <c r="EZ39" s="1705">
        <f>'Table C4 Tracker'!C33</f>
        <v>0</v>
      </c>
      <c r="FA39" s="1706">
        <f>'Table C4 Tracker'!D33</f>
        <v>0</v>
      </c>
      <c r="FB39" s="1706">
        <f>'Table C4 Tracker'!E33</f>
        <v>0</v>
      </c>
      <c r="FC39" s="1706">
        <f>'Table C4 Tracker'!F33</f>
        <v>0</v>
      </c>
      <c r="FD39" s="1706">
        <f>'Table C4 Tracker'!G33</f>
        <v>0</v>
      </c>
      <c r="FE39" s="1706">
        <f>'Table C4 Tracker'!H33</f>
        <v>0</v>
      </c>
      <c r="FF39" s="1706">
        <f>'Table C4 Tracker'!I33</f>
        <v>0</v>
      </c>
      <c r="FG39" s="1706">
        <f>'Table C4 Tracker'!J33</f>
        <v>0</v>
      </c>
      <c r="FH39" s="1706">
        <f>'Table C4 Tracker'!K33</f>
        <v>0</v>
      </c>
      <c r="FI39" s="1706">
        <f>'Table C4 Tracker'!L33</f>
        <v>0</v>
      </c>
      <c r="FJ39" s="1706">
        <f>'Table C4 Tracker'!M33</f>
        <v>0</v>
      </c>
      <c r="FK39" s="1706">
        <f>'Table C4 Tracker'!N33</f>
        <v>0</v>
      </c>
      <c r="FL39" s="1709">
        <f>'Table C4 Tracker'!O33</f>
        <v>0</v>
      </c>
      <c r="FM39" s="120">
        <f>'Table C4 Tracker'!P33</f>
        <v>0</v>
      </c>
      <c r="FN39" s="1707">
        <f>'Table C4 Tracker'!Q33</f>
        <v>0</v>
      </c>
      <c r="FO39" s="1709">
        <f>'Table C4 Tracker'!R33</f>
        <v>0</v>
      </c>
      <c r="FP39" s="1709">
        <f>'Table C4 Tracker'!S33</f>
        <v>0</v>
      </c>
      <c r="FQ39" s="1709">
        <f>'Table C4 Tracker'!T33</f>
        <v>0</v>
      </c>
      <c r="FR39" s="1709">
        <f>'Table C4 Tracker'!U33</f>
        <v>0</v>
      </c>
      <c r="FS39" s="2236"/>
      <c r="GF39" s="2112">
        <f>'E - Resource Limits'!A39</f>
        <v>27</v>
      </c>
      <c r="GG39" s="2113">
        <f>'E - Resource Limits'!B39</f>
        <v>0</v>
      </c>
      <c r="GH39" s="2114">
        <f>'E - Resource Limits'!C39</f>
        <v>0</v>
      </c>
      <c r="GI39" s="2114">
        <f>'E - Resource Limits'!D39</f>
        <v>0</v>
      </c>
      <c r="GJ39" s="2114">
        <f>'E - Resource Limits'!E39</f>
        <v>0</v>
      </c>
      <c r="GK39" s="2114">
        <f>'E - Resource Limits'!F39</f>
        <v>0</v>
      </c>
      <c r="GL39" s="2048">
        <f>'E - Resource Limits'!G39</f>
        <v>0</v>
      </c>
      <c r="GM39" s="2115">
        <f>'E - Resource Limits'!H39</f>
        <v>0</v>
      </c>
      <c r="GN39" s="2114">
        <f>'E - Resource Limits'!I39</f>
        <v>0</v>
      </c>
      <c r="GO39" s="2114">
        <f>'E - Resource Limits'!J39</f>
        <v>0</v>
      </c>
      <c r="GP39" s="2114">
        <f>'E - Resource Limits'!K39</f>
        <v>0</v>
      </c>
      <c r="GQ39" s="2116">
        <f>'E - Resource Limits'!L39</f>
        <v>0</v>
      </c>
      <c r="GR39" s="1935">
        <f t="shared" si="6"/>
        <v>0</v>
      </c>
      <c r="GT39" s="175">
        <f>'E1 - Invoiced Income'!A39</f>
        <v>28</v>
      </c>
      <c r="GU39" s="1797">
        <f>'E1 - Invoiced Income'!B39</f>
        <v>0</v>
      </c>
      <c r="GV39" s="1798">
        <f>'E1 - Invoiced Income'!C39</f>
        <v>0</v>
      </c>
      <c r="GW39" s="1798">
        <f>'E1 - Invoiced Income'!D39</f>
        <v>0</v>
      </c>
      <c r="GX39" s="1798">
        <f>'E1 - Invoiced Income'!E39</f>
        <v>0</v>
      </c>
      <c r="GY39" s="1798">
        <f>'E1 - Invoiced Income'!F39</f>
        <v>0</v>
      </c>
      <c r="GZ39" s="1798">
        <f>'E1 - Invoiced Income'!G39</f>
        <v>0</v>
      </c>
      <c r="HA39" s="1798">
        <f>'E1 - Invoiced Income'!H39</f>
        <v>0</v>
      </c>
      <c r="HB39" s="1798">
        <f>'E1 - Invoiced Income'!I39</f>
        <v>0</v>
      </c>
      <c r="HC39" s="1798">
        <f>'E1 - Invoiced Income'!J39</f>
        <v>0</v>
      </c>
      <c r="HD39" s="1798">
        <f>'E1 - Invoiced Income'!K39</f>
        <v>0</v>
      </c>
      <c r="HE39" s="1798">
        <f>'E1 - Invoiced Income'!L39</f>
        <v>0</v>
      </c>
      <c r="HF39" s="1798">
        <f>'E1 - Invoiced Income'!M39</f>
        <v>0</v>
      </c>
      <c r="HG39" s="1798">
        <f>'E1 - Invoiced Income'!N39</f>
        <v>0</v>
      </c>
      <c r="HH39" s="1798">
        <f>'E1 - Invoiced Income'!O39</f>
        <v>0</v>
      </c>
      <c r="HI39" s="1798">
        <f>'E1 - Invoiced Income'!P39</f>
        <v>0</v>
      </c>
      <c r="HJ39" s="1798">
        <f>'E1 - Invoiced Income'!R39</f>
        <v>0</v>
      </c>
      <c r="HK39" s="1798">
        <f>'E1 - Invoiced Income'!S39</f>
        <v>0</v>
      </c>
      <c r="HL39" s="1665">
        <f>'E1 - Invoiced Income'!T39</f>
        <v>0</v>
      </c>
      <c r="HM39" s="1799">
        <f>'E1 - Invoiced Income'!U39</f>
        <v>0</v>
      </c>
      <c r="HO39" s="2049"/>
      <c r="HP39" s="2012"/>
      <c r="HQ39" s="2097"/>
      <c r="HR39" s="2098"/>
      <c r="HS39" s="2098"/>
      <c r="HT39" s="1946"/>
      <c r="HV39" s="1745"/>
      <c r="HW39" s="2239">
        <v>1</v>
      </c>
      <c r="HX39" s="2239">
        <v>1</v>
      </c>
      <c r="HY39" s="2239">
        <v>2</v>
      </c>
      <c r="HZ39" s="2239">
        <v>3</v>
      </c>
      <c r="IA39" s="2239">
        <v>4</v>
      </c>
      <c r="IB39" s="2239">
        <v>5</v>
      </c>
      <c r="IC39" s="2239">
        <v>6</v>
      </c>
      <c r="ID39" s="2239">
        <v>7</v>
      </c>
      <c r="IE39" s="2239">
        <v>8</v>
      </c>
      <c r="IF39" s="2239">
        <v>9</v>
      </c>
      <c r="IG39" s="2239">
        <v>10</v>
      </c>
      <c r="IH39" s="2239">
        <v>11</v>
      </c>
      <c r="II39" s="2239">
        <v>12</v>
      </c>
      <c r="IJ39" s="1942"/>
      <c r="IK39" s="1942"/>
      <c r="JD39" s="2088">
        <f>'I - Capital RLM'!A39</f>
        <v>21</v>
      </c>
      <c r="JE39" s="2126">
        <f>'I - Capital RLM'!B39</f>
        <v>0</v>
      </c>
      <c r="JF39" s="2010">
        <f>'I - Capital RLM'!C39</f>
        <v>0</v>
      </c>
      <c r="JG39" s="2010">
        <f>'I - Capital RLM'!D39</f>
        <v>0</v>
      </c>
      <c r="JH39" s="2118">
        <f>'I - Capital RLM'!E39</f>
        <v>0</v>
      </c>
      <c r="JI39" s="2119">
        <f>'I - Capital RLM'!F39</f>
        <v>0</v>
      </c>
      <c r="JJ39" s="2010">
        <f>'I - Capital RLM'!G39</f>
        <v>0</v>
      </c>
      <c r="JK39" s="2010">
        <f>'I - Capital RLM'!H39</f>
        <v>0</v>
      </c>
      <c r="JL39" s="2118">
        <f>'I - Capital RLM'!I39</f>
        <v>0</v>
      </c>
      <c r="JM39" s="2120"/>
      <c r="JN39" s="1890">
        <f>'I - Capital RLM'!K39</f>
        <v>0</v>
      </c>
      <c r="JO39" s="2120">
        <f t="shared" si="7"/>
        <v>0</v>
      </c>
      <c r="JQ39" s="2073">
        <f>'J - Capital In Year Schemes'!A39</f>
        <v>28</v>
      </c>
      <c r="JR39" s="2089">
        <f>'J - Capital In Year Schemes'!B39</f>
        <v>0</v>
      </c>
      <c r="JS39" s="2089">
        <f>'J - Capital In Year Schemes'!C39</f>
        <v>0</v>
      </c>
      <c r="JT39" s="2010">
        <f>'J - Capital In Year Schemes'!D39</f>
        <v>0</v>
      </c>
      <c r="JU39" s="2010">
        <f>'J - Capital In Year Schemes'!E39</f>
        <v>0</v>
      </c>
      <c r="JV39" s="2010">
        <f>'J - Capital In Year Schemes'!F39</f>
        <v>0</v>
      </c>
      <c r="JW39" s="2010">
        <f>'J - Capital In Year Schemes'!G39</f>
        <v>0</v>
      </c>
      <c r="JX39" s="2010">
        <f>'J - Capital In Year Schemes'!H39</f>
        <v>0</v>
      </c>
      <c r="JY39" s="2010">
        <f>'J - Capital In Year Schemes'!I39</f>
        <v>0</v>
      </c>
      <c r="JZ39" s="2010">
        <f>'J - Capital In Year Schemes'!J39</f>
        <v>0</v>
      </c>
      <c r="KA39" s="2010">
        <f>'J - Capital In Year Schemes'!K39</f>
        <v>0</v>
      </c>
      <c r="KB39" s="2010">
        <f>'J - Capital In Year Schemes'!L39</f>
        <v>0</v>
      </c>
      <c r="KC39" s="2010">
        <f>'J - Capital In Year Schemes'!M39</f>
        <v>0</v>
      </c>
      <c r="KD39" s="2010">
        <f>'J - Capital In Year Schemes'!N39</f>
        <v>0</v>
      </c>
      <c r="KE39" s="2010">
        <f>'J - Capital In Year Schemes'!O39</f>
        <v>0</v>
      </c>
      <c r="KF39" s="2010">
        <f>'J - Capital In Year Schemes'!P39</f>
        <v>0</v>
      </c>
      <c r="KG39" s="2010">
        <f>'J - Capital In Year Schemes'!Q39</f>
        <v>0</v>
      </c>
      <c r="KH39" s="2090">
        <f>'J - Capital In Year Schemes'!R39</f>
        <v>0</v>
      </c>
      <c r="KI39" s="2090">
        <f>'J - Capital In Year Schemes'!S39</f>
        <v>0</v>
      </c>
      <c r="KJ39" s="2091">
        <f>'J - Capital In Year Schemes'!T39</f>
        <v>0</v>
      </c>
      <c r="KK39" s="2060">
        <f t="shared" si="5"/>
        <v>0</v>
      </c>
      <c r="KM39" s="2053">
        <f>'K - Capital Disposals'!A39</f>
        <v>24</v>
      </c>
      <c r="KN39" s="2220">
        <f>'K - Capital Disposals'!B39</f>
        <v>0</v>
      </c>
      <c r="KO39" s="2062">
        <f>'K - Capital Disposals'!C39</f>
        <v>0</v>
      </c>
      <c r="KP39" s="2062">
        <f>'K - Capital Disposals'!D39</f>
        <v>0</v>
      </c>
      <c r="KQ39" s="2078">
        <f>'K - Capital Disposals'!E39</f>
        <v>0</v>
      </c>
      <c r="KR39" s="2064">
        <f>'K - Capital Disposals'!F39</f>
        <v>0</v>
      </c>
      <c r="KS39" s="2064">
        <f>'K - Capital Disposals'!G39</f>
        <v>0</v>
      </c>
      <c r="KT39" s="2054">
        <f>'K - Capital Disposals'!H39</f>
        <v>0</v>
      </c>
      <c r="KU39" s="2055">
        <f>'K - Capital Disposals'!I39</f>
        <v>0</v>
      </c>
      <c r="KV39" s="2121">
        <f>'K - Capital Disposals'!J39</f>
        <v>0</v>
      </c>
      <c r="KW39" s="2093"/>
      <c r="KX39" s="2093"/>
      <c r="KY39" s="2093"/>
      <c r="KZ39" s="2093"/>
      <c r="LA39" s="2093"/>
      <c r="LB39" s="2094"/>
      <c r="LC39" s="1935"/>
      <c r="LL39" s="814"/>
      <c r="LM39" s="2197">
        <f>'M - Aged Debtors'!B39</f>
        <v>0</v>
      </c>
      <c r="LN39" s="2198">
        <f>'M - Aged Debtors'!C39</f>
        <v>0</v>
      </c>
      <c r="LO39" s="2199">
        <f>'M - Aged Debtors'!D39</f>
        <v>0</v>
      </c>
      <c r="LP39" s="2200">
        <f>'M - Aged Debtors'!E39</f>
        <v>0</v>
      </c>
      <c r="LQ39" s="2201">
        <f>'M - Aged Debtors'!F39</f>
        <v>0</v>
      </c>
      <c r="LR39" s="832" t="str">
        <f>'M - Aged Debtors'!G39</f>
        <v/>
      </c>
      <c r="LS39" s="829" t="str">
        <f>'M - Aged Debtors'!H39</f>
        <v/>
      </c>
      <c r="LT39" s="829" t="str">
        <f>'M - Aged Debtors'!I39</f>
        <v/>
      </c>
      <c r="LU39" s="830" t="str">
        <f>'M - Aged Debtors'!J39</f>
        <v/>
      </c>
      <c r="LV39" s="1757">
        <f>'M - Aged Debtors'!K39</f>
        <v>0</v>
      </c>
      <c r="LX39" s="462" t="str">
        <f>'N - GMS'!A39</f>
        <v>Services for Violent Patients</v>
      </c>
      <c r="LY39" s="476"/>
      <c r="LZ39" s="461">
        <f>'N - GMS'!C39</f>
        <v>22</v>
      </c>
      <c r="MA39" s="67">
        <f>'N - GMS'!D39</f>
        <v>0</v>
      </c>
      <c r="MB39" s="1028">
        <f>'N - GMS'!E39</f>
        <v>0</v>
      </c>
      <c r="MC39" s="2231">
        <f>'N - GMS'!F39</f>
        <v>0</v>
      </c>
      <c r="MD39" s="463">
        <f>'N - GMS'!G39</f>
        <v>0</v>
      </c>
      <c r="ME39" s="1170"/>
      <c r="MF39" s="1028">
        <f>'N - GMS'!I39</f>
        <v>0</v>
      </c>
      <c r="MH39" s="3112" t="str">
        <f>'O - Dental'!A39</f>
        <v>Oral Health Promotion/Education</v>
      </c>
      <c r="MI39" s="3113"/>
      <c r="MJ39" s="701">
        <f>'O - Dental'!C39</f>
        <v>29</v>
      </c>
      <c r="MK39" s="664">
        <f>'O - Dental'!D39</f>
        <v>0</v>
      </c>
      <c r="ML39" s="2203">
        <f>'O - Dental'!E39</f>
        <v>0</v>
      </c>
      <c r="MM39" s="2204">
        <f>'O - Dental'!F39</f>
        <v>0</v>
      </c>
      <c r="MN39" s="2205">
        <f>'O - Dental'!G39</f>
        <v>0</v>
      </c>
      <c r="MO39" s="308"/>
      <c r="MP39" s="1765">
        <f>'O - Dental'!I39</f>
        <v>0</v>
      </c>
      <c r="MR39" s="684"/>
      <c r="MS39" s="3019">
        <f>'P - Ringfenced'!B39</f>
        <v>0</v>
      </c>
      <c r="MT39" s="2661" t="str">
        <f>'P - Ringfenced'!C39</f>
        <v>Actual/Forecast - not yet committed</v>
      </c>
      <c r="MU39" s="2656">
        <f>'P - Ringfenced'!D39</f>
        <v>0</v>
      </c>
      <c r="MV39" s="2656">
        <f>'P - Ringfenced'!E39</f>
        <v>0</v>
      </c>
      <c r="MW39" s="2693">
        <f>'P - Ringfenced'!F39</f>
        <v>0</v>
      </c>
      <c r="MX39" s="2693">
        <f>'P - Ringfenced'!G39</f>
        <v>0</v>
      </c>
      <c r="MY39" s="2693">
        <f>'P - Ringfenced'!H39</f>
        <v>0</v>
      </c>
      <c r="MZ39" s="2693">
        <f>'P - Ringfenced'!I39</f>
        <v>0</v>
      </c>
      <c r="NA39" s="2693">
        <f>'P - Ringfenced'!J39</f>
        <v>0</v>
      </c>
      <c r="NB39" s="2693">
        <f>'P - Ringfenced'!K39</f>
        <v>0</v>
      </c>
      <c r="NC39" s="2693">
        <f>'P - Ringfenced'!L39</f>
        <v>0</v>
      </c>
      <c r="ND39" s="2693">
        <f>'P - Ringfenced'!M39</f>
        <v>0</v>
      </c>
      <c r="NE39" s="2693">
        <f>'P - Ringfenced'!N39</f>
        <v>0</v>
      </c>
      <c r="NF39" s="2693">
        <f>'P - Ringfenced'!O39</f>
        <v>0</v>
      </c>
      <c r="NG39" s="2693">
        <f>'P - Ringfenced'!P39</f>
        <v>0</v>
      </c>
      <c r="NH39" s="2693">
        <f>'P - Ringfenced'!Q39</f>
        <v>0</v>
      </c>
      <c r="NI39" s="1324">
        <f>'P - Ringfenced'!R39</f>
        <v>0</v>
      </c>
      <c r="NJ39" s="1325">
        <f>'P - Ringfenced'!S39</f>
        <v>0</v>
      </c>
      <c r="NK39" s="2861"/>
      <c r="NL39" s="684"/>
    </row>
    <row r="40" spans="13:376" ht="20.149999999999999" customHeight="1" thickBot="1">
      <c r="M40" s="950">
        <f>'A - Movement'!A40</f>
        <v>30</v>
      </c>
      <c r="N40" s="1893">
        <f>'A - Movement'!B40</f>
        <v>0</v>
      </c>
      <c r="O40" s="1131">
        <f>'A - Movement'!C40</f>
        <v>0</v>
      </c>
      <c r="P40" s="1131">
        <f>'A - Movement'!D40</f>
        <v>0</v>
      </c>
      <c r="Q40" s="954">
        <f>'A - Movement'!E40</f>
        <v>0</v>
      </c>
      <c r="R40" s="954">
        <f>'A - Movement'!F40</f>
        <v>0</v>
      </c>
      <c r="S40" s="1745"/>
      <c r="U40" s="950">
        <f>'A - Movement'!I40</f>
        <v>30</v>
      </c>
      <c r="V40" s="1893">
        <f t="shared" si="8"/>
        <v>0</v>
      </c>
      <c r="W40" s="954">
        <f>'A - Movement'!J40</f>
        <v>0</v>
      </c>
      <c r="X40" s="954">
        <f>'A - Movement'!K40</f>
        <v>0</v>
      </c>
      <c r="Y40" s="954">
        <f>'A - Movement'!L40</f>
        <v>0</v>
      </c>
      <c r="Z40" s="954">
        <f>'A - Movement'!M40</f>
        <v>0</v>
      </c>
      <c r="AA40" s="954">
        <f>'A - Movement'!N40</f>
        <v>0</v>
      </c>
      <c r="AB40" s="954">
        <f>'A - Movement'!O40</f>
        <v>0</v>
      </c>
      <c r="AC40" s="954">
        <f>'A - Movement'!P40</f>
        <v>0</v>
      </c>
      <c r="AD40" s="954">
        <f>'A - Movement'!Q40</f>
        <v>0</v>
      </c>
      <c r="AE40" s="954">
        <f>'A - Movement'!R40</f>
        <v>0</v>
      </c>
      <c r="AF40" s="954">
        <f>'A - Movement'!S40</f>
        <v>0</v>
      </c>
      <c r="AG40" s="954">
        <f>'A - Movement'!T40</f>
        <v>0</v>
      </c>
      <c r="AH40" s="954">
        <f>'A - Movement'!U40</f>
        <v>0</v>
      </c>
      <c r="AI40" s="1131">
        <f>'A - Movement'!V40</f>
        <v>0</v>
      </c>
      <c r="AJ40" s="1131">
        <f>'A - Movement'!W40</f>
        <v>0</v>
      </c>
      <c r="AK40" s="1131">
        <f t="shared" si="12"/>
        <v>0</v>
      </c>
      <c r="AL40" s="954">
        <f t="shared" si="13"/>
        <v>0</v>
      </c>
      <c r="AM40" s="954">
        <f t="shared" si="14"/>
        <v>0</v>
      </c>
      <c r="AN40" s="1745"/>
      <c r="AO40" s="1928"/>
      <c r="AP40" s="1401">
        <f>'A1 - Underlying Position'!A41</f>
        <v>2</v>
      </c>
      <c r="AQ40" s="1411" t="str">
        <f>'A1 - Underlying Position'!B41</f>
        <v>Mental Health</v>
      </c>
      <c r="AR40" s="1782">
        <f>'A1 - Underlying Position'!C41</f>
        <v>0</v>
      </c>
      <c r="AS40" s="1783">
        <f>'A1 - Underlying Position'!D41</f>
        <v>0</v>
      </c>
      <c r="AT40" s="1783">
        <f>'A1 - Underlying Position'!E41</f>
        <v>0</v>
      </c>
      <c r="AU40" s="75">
        <f>'A1 - Underlying Position'!F41</f>
        <v>0</v>
      </c>
      <c r="AV40" s="1784">
        <f>'A1 - Underlying Position'!G41</f>
        <v>0</v>
      </c>
      <c r="AW40" s="75">
        <f>'A1 - Underlying Position'!H41</f>
        <v>0</v>
      </c>
      <c r="AX40" s="2594"/>
      <c r="AZ40" s="357">
        <f>'A2 - Risks'!A40</f>
        <v>31</v>
      </c>
      <c r="BA40" s="1823">
        <f>'A2 - Risks'!B40</f>
        <v>0</v>
      </c>
      <c r="BB40" s="1828">
        <f>'A2 - Risks'!C40</f>
        <v>0</v>
      </c>
      <c r="BC40" s="1829">
        <f>'A2 - Risks'!D40</f>
        <v>0</v>
      </c>
      <c r="BE40" s="84"/>
      <c r="BF40" s="84"/>
      <c r="BG40" s="1531"/>
      <c r="BH40" s="104"/>
      <c r="BI40" s="2782"/>
      <c r="BJ40" s="2782"/>
      <c r="BK40" s="2782"/>
      <c r="BL40" s="2782"/>
      <c r="BM40" s="2782"/>
      <c r="BN40" s="2782"/>
      <c r="BO40" s="2782"/>
      <c r="BP40" s="2782"/>
      <c r="BQ40" s="2782"/>
      <c r="BR40" s="2782"/>
      <c r="BS40" s="2782"/>
      <c r="BT40" s="2782"/>
      <c r="BU40" s="2783"/>
      <c r="BV40" s="2234"/>
      <c r="BW40" s="2241"/>
      <c r="BX40" s="88">
        <f>' Table Z Net Exp Profiles'!A40</f>
        <v>24</v>
      </c>
      <c r="BY40" s="2500" t="str">
        <f>' Table Z Net Exp Profiles'!B40</f>
        <v>Gross Non Pay Expenditure - Covid-19 - Current Plan</v>
      </c>
      <c r="BZ40" s="1217">
        <f>' Table Z Net Exp Profiles'!C40</f>
        <v>0</v>
      </c>
      <c r="CA40" s="1189">
        <f>' Table Z Net Exp Profiles'!D40</f>
        <v>0</v>
      </c>
      <c r="CB40" s="1189">
        <f>' Table Z Net Exp Profiles'!E40</f>
        <v>0</v>
      </c>
      <c r="CC40" s="1189">
        <f>' Table Z Net Exp Profiles'!F40</f>
        <v>0</v>
      </c>
      <c r="CD40" s="1189">
        <f>' Table Z Net Exp Profiles'!G40</f>
        <v>0</v>
      </c>
      <c r="CE40" s="1189">
        <f>' Table Z Net Exp Profiles'!H40</f>
        <v>0</v>
      </c>
      <c r="CF40" s="1189">
        <f>' Table Z Net Exp Profiles'!I40</f>
        <v>0</v>
      </c>
      <c r="CG40" s="1189">
        <f>' Table Z Net Exp Profiles'!J40</f>
        <v>0</v>
      </c>
      <c r="CH40" s="1189">
        <f>' Table Z Net Exp Profiles'!K40</f>
        <v>0</v>
      </c>
      <c r="CI40" s="1189">
        <f>' Table Z Net Exp Profiles'!L40</f>
        <v>0</v>
      </c>
      <c r="CJ40" s="1189">
        <f>' Table Z Net Exp Profiles'!M40</f>
        <v>0</v>
      </c>
      <c r="CK40" s="1189">
        <f>' Table Z Net Exp Profiles'!N40</f>
        <v>0</v>
      </c>
      <c r="CL40" s="1215">
        <f>' Table Z Net Exp Profiles'!O40</f>
        <v>0</v>
      </c>
      <c r="CM40" s="1215">
        <f>' Table Z Net Exp Profiles'!P40</f>
        <v>0</v>
      </c>
      <c r="CO40" s="1329">
        <f>'B2 - Pay &amp; Agency'!A40</f>
        <v>8</v>
      </c>
      <c r="CP40" s="1333" t="str">
        <f>'B2 - Pay &amp; Agency'!B40</f>
        <v xml:space="preserve">Estates &amp; Ancillary </v>
      </c>
      <c r="CQ40" s="1776">
        <f>'B2 - Pay &amp; Agency'!C40</f>
        <v>3</v>
      </c>
      <c r="CR40" s="1777">
        <f>'B2 - Pay &amp; Agency'!D40</f>
        <v>3</v>
      </c>
      <c r="CS40" s="1777">
        <f>'B2 - Pay &amp; Agency'!E40</f>
        <v>3</v>
      </c>
      <c r="CT40" s="1777">
        <f>'B2 - Pay &amp; Agency'!F40</f>
        <v>3</v>
      </c>
      <c r="CU40" s="1777">
        <f>'B2 - Pay &amp; Agency'!G40</f>
        <v>3</v>
      </c>
      <c r="CV40" s="1777">
        <f>'B2 - Pay &amp; Agency'!H40</f>
        <v>3</v>
      </c>
      <c r="CW40" s="1777">
        <f>'B2 - Pay &amp; Agency'!I40</f>
        <v>3</v>
      </c>
      <c r="CX40" s="1777">
        <f>'B2 - Pay &amp; Agency'!J40</f>
        <v>3</v>
      </c>
      <c r="CY40" s="1777">
        <f>'B2 - Pay &amp; Agency'!K40</f>
        <v>3</v>
      </c>
      <c r="CZ40" s="1777">
        <f>'B2 - Pay &amp; Agency'!L40</f>
        <v>3</v>
      </c>
      <c r="DA40" s="1777">
        <f>'B2 - Pay &amp; Agency'!M40</f>
        <v>3</v>
      </c>
      <c r="DB40" s="1778">
        <f>'B2 - Pay &amp; Agency'!N40</f>
        <v>3</v>
      </c>
      <c r="DC40" s="1324">
        <f>'B2 - Pay &amp; Agency'!O40</f>
        <v>3</v>
      </c>
      <c r="DD40" s="1325">
        <f>'B2 - Pay &amp; Agency'!P40</f>
        <v>36</v>
      </c>
      <c r="DF40" s="1308"/>
      <c r="DG40" s="2819"/>
      <c r="DH40" s="1918"/>
      <c r="DI40" s="1918"/>
      <c r="DJ40" s="1918"/>
      <c r="DK40" s="1918"/>
      <c r="DL40" s="1918"/>
      <c r="DM40" s="1918"/>
      <c r="DN40" s="1918"/>
      <c r="DO40" s="1918"/>
      <c r="DP40" s="1918"/>
      <c r="DQ40" s="1918"/>
      <c r="DR40" s="1918"/>
      <c r="DS40" s="1918"/>
      <c r="DT40" s="1918"/>
      <c r="DU40" s="1918"/>
      <c r="DV40" s="608"/>
      <c r="DW40" s="1116"/>
      <c r="DY40" s="1930"/>
      <c r="DZ40" s="1930"/>
      <c r="EA40" s="1930"/>
      <c r="EB40" s="99"/>
      <c r="EC40" s="99"/>
      <c r="ED40" s="99"/>
      <c r="EE40" s="99"/>
      <c r="EF40" s="99"/>
      <c r="EG40" s="100"/>
      <c r="EH40" s="99"/>
      <c r="EI40" s="3063"/>
      <c r="EJ40" s="3064"/>
      <c r="EK40" s="3064"/>
      <c r="EL40" s="3064"/>
      <c r="EM40" s="3064"/>
      <c r="EN40" s="1140"/>
      <c r="EO40" s="1176"/>
      <c r="EP40" s="1177"/>
      <c r="EQ40" s="1930"/>
      <c r="ER40" s="1930"/>
      <c r="ES40" s="1930"/>
      <c r="ET40" s="1930"/>
      <c r="EU40" s="1930"/>
      <c r="EV40" s="1930"/>
      <c r="EW40" s="1930"/>
      <c r="EX40" s="3074"/>
      <c r="EY40" s="1698" t="str">
        <f>'Table C4 Tracker'!B34</f>
        <v>In Year - Actual/Forecast</v>
      </c>
      <c r="EZ40" s="1371">
        <f>'Table C4 Tracker'!C34</f>
        <v>0</v>
      </c>
      <c r="FA40" s="1708">
        <f>'Table C4 Tracker'!D34</f>
        <v>0</v>
      </c>
      <c r="FB40" s="1708">
        <f>'Table C4 Tracker'!E34</f>
        <v>0</v>
      </c>
      <c r="FC40" s="1708">
        <f>'Table C4 Tracker'!F34</f>
        <v>0</v>
      </c>
      <c r="FD40" s="1708">
        <f>'Table C4 Tracker'!G34</f>
        <v>0</v>
      </c>
      <c r="FE40" s="1708">
        <f>'Table C4 Tracker'!H34</f>
        <v>0</v>
      </c>
      <c r="FF40" s="1708">
        <f>'Table C4 Tracker'!I34</f>
        <v>0</v>
      </c>
      <c r="FG40" s="1708">
        <f>'Table C4 Tracker'!J34</f>
        <v>0</v>
      </c>
      <c r="FH40" s="1708">
        <f>'Table C4 Tracker'!K34</f>
        <v>0</v>
      </c>
      <c r="FI40" s="1708">
        <f>'Table C4 Tracker'!L34</f>
        <v>0</v>
      </c>
      <c r="FJ40" s="1708">
        <f>'Table C4 Tracker'!M34</f>
        <v>0</v>
      </c>
      <c r="FK40" s="1708">
        <f>'Table C4 Tracker'!N34</f>
        <v>0</v>
      </c>
      <c r="FL40" s="1577">
        <f>'Table C4 Tracker'!O34</f>
        <v>0</v>
      </c>
      <c r="FM40" s="942">
        <f>'Table C4 Tracker'!P34</f>
        <v>0</v>
      </c>
      <c r="FN40" s="939">
        <f>'Table C4 Tracker'!Q34</f>
        <v>0</v>
      </c>
      <c r="FO40" s="1577">
        <f>'Table C4 Tracker'!R34</f>
        <v>0</v>
      </c>
      <c r="FP40" s="1577">
        <f>'Table C4 Tracker'!S34</f>
        <v>0</v>
      </c>
      <c r="FQ40" s="1577">
        <f>'Table C4 Tracker'!T34</f>
        <v>0</v>
      </c>
      <c r="FR40" s="1577">
        <f>'Table C4 Tracker'!U34</f>
        <v>0</v>
      </c>
      <c r="FS40" s="2242"/>
      <c r="GF40" s="2112">
        <f>'E - Resource Limits'!A40</f>
        <v>28</v>
      </c>
      <c r="GG40" s="2113">
        <f>'E - Resource Limits'!B40</f>
        <v>0</v>
      </c>
      <c r="GH40" s="2114">
        <f>'E - Resource Limits'!C40</f>
        <v>0</v>
      </c>
      <c r="GI40" s="2114">
        <f>'E - Resource Limits'!D40</f>
        <v>0</v>
      </c>
      <c r="GJ40" s="2114">
        <f>'E - Resource Limits'!E40</f>
        <v>0</v>
      </c>
      <c r="GK40" s="2114">
        <f>'E - Resource Limits'!F40</f>
        <v>0</v>
      </c>
      <c r="GL40" s="2048">
        <f>'E - Resource Limits'!G40</f>
        <v>0</v>
      </c>
      <c r="GM40" s="2115">
        <f>'E - Resource Limits'!H40</f>
        <v>0</v>
      </c>
      <c r="GN40" s="2114">
        <f>'E - Resource Limits'!I40</f>
        <v>0</v>
      </c>
      <c r="GO40" s="2114">
        <f>'E - Resource Limits'!J40</f>
        <v>0</v>
      </c>
      <c r="GP40" s="2114">
        <f>'E - Resource Limits'!K40</f>
        <v>0</v>
      </c>
      <c r="GQ40" s="2116">
        <f>'E - Resource Limits'!L40</f>
        <v>0</v>
      </c>
      <c r="GR40" s="1935">
        <f t="shared" si="6"/>
        <v>0</v>
      </c>
      <c r="GT40" s="175">
        <f>'E1 - Invoiced Income'!A40</f>
        <v>29</v>
      </c>
      <c r="GU40" s="1797">
        <f>'E1 - Invoiced Income'!B40</f>
        <v>0</v>
      </c>
      <c r="GV40" s="1798">
        <f>'E1 - Invoiced Income'!C40</f>
        <v>0</v>
      </c>
      <c r="GW40" s="1798">
        <f>'E1 - Invoiced Income'!D40</f>
        <v>0</v>
      </c>
      <c r="GX40" s="1798">
        <f>'E1 - Invoiced Income'!E40</f>
        <v>0</v>
      </c>
      <c r="GY40" s="1798">
        <f>'E1 - Invoiced Income'!F40</f>
        <v>0</v>
      </c>
      <c r="GZ40" s="1798">
        <f>'E1 - Invoiced Income'!G40</f>
        <v>0</v>
      </c>
      <c r="HA40" s="1798">
        <f>'E1 - Invoiced Income'!H40</f>
        <v>0</v>
      </c>
      <c r="HB40" s="1798">
        <f>'E1 - Invoiced Income'!I40</f>
        <v>0</v>
      </c>
      <c r="HC40" s="1798">
        <f>'E1 - Invoiced Income'!J40</f>
        <v>0</v>
      </c>
      <c r="HD40" s="1798">
        <f>'E1 - Invoiced Income'!K40</f>
        <v>0</v>
      </c>
      <c r="HE40" s="1798">
        <f>'E1 - Invoiced Income'!L40</f>
        <v>0</v>
      </c>
      <c r="HF40" s="1798">
        <f>'E1 - Invoiced Income'!M40</f>
        <v>0</v>
      </c>
      <c r="HG40" s="1798">
        <f>'E1 - Invoiced Income'!N40</f>
        <v>0</v>
      </c>
      <c r="HH40" s="1798">
        <f>'E1 - Invoiced Income'!O40</f>
        <v>0</v>
      </c>
      <c r="HI40" s="1798">
        <f>'E1 - Invoiced Income'!P40</f>
        <v>0</v>
      </c>
      <c r="HJ40" s="1798">
        <f>'E1 - Invoiced Income'!R40</f>
        <v>0</v>
      </c>
      <c r="HK40" s="1798">
        <f>'E1 - Invoiced Income'!S40</f>
        <v>0</v>
      </c>
      <c r="HL40" s="1665">
        <f>'E1 - Invoiced Income'!T40</f>
        <v>0</v>
      </c>
      <c r="HM40" s="1799">
        <f>'E1 - Invoiced Income'!U40</f>
        <v>0</v>
      </c>
      <c r="HO40" s="2084">
        <f>'F - SoFP'!A40</f>
        <v>24</v>
      </c>
      <c r="HP40" s="2131" t="str">
        <f>'F - SoFP'!B40</f>
        <v>TOTAL ASSETS EMPLOYED</v>
      </c>
      <c r="HQ40" s="2037">
        <f>'F - SoFP'!C40</f>
        <v>0</v>
      </c>
      <c r="HR40" s="2037">
        <f>'F - SoFP'!D40</f>
        <v>0</v>
      </c>
      <c r="HS40" s="2037">
        <f>'F - SoFP'!E40</f>
        <v>0</v>
      </c>
      <c r="HT40" s="1946"/>
      <c r="HV40" s="1745"/>
      <c r="HW40" s="2239"/>
      <c r="HX40" s="2239">
        <v>3</v>
      </c>
      <c r="HY40" s="2239">
        <v>3</v>
      </c>
      <c r="HZ40" s="2239">
        <v>3</v>
      </c>
      <c r="IA40" s="2239">
        <v>3</v>
      </c>
      <c r="IB40" s="2239">
        <v>3</v>
      </c>
      <c r="IC40" s="2239">
        <v>3</v>
      </c>
      <c r="ID40" s="2239">
        <v>3</v>
      </c>
      <c r="IE40" s="2239">
        <v>3</v>
      </c>
      <c r="IF40" s="2239">
        <v>3</v>
      </c>
      <c r="IG40" s="2239">
        <v>3</v>
      </c>
      <c r="IH40" s="2239">
        <v>3</v>
      </c>
      <c r="II40" s="2239">
        <v>3</v>
      </c>
      <c r="IJ40" s="1942"/>
      <c r="IK40" s="1942"/>
      <c r="JD40" s="2088">
        <f>'I - Capital RLM'!A40</f>
        <v>22</v>
      </c>
      <c r="JE40" s="2126">
        <f>'I - Capital RLM'!B40</f>
        <v>0</v>
      </c>
      <c r="JF40" s="2010">
        <f>'I - Capital RLM'!C40</f>
        <v>0</v>
      </c>
      <c r="JG40" s="2010">
        <f>'I - Capital RLM'!D40</f>
        <v>0</v>
      </c>
      <c r="JH40" s="2118">
        <f>'I - Capital RLM'!E40</f>
        <v>0</v>
      </c>
      <c r="JI40" s="2119">
        <f>'I - Capital RLM'!F40</f>
        <v>0</v>
      </c>
      <c r="JJ40" s="2010">
        <f>'I - Capital RLM'!G40</f>
        <v>0</v>
      </c>
      <c r="JK40" s="2010">
        <f>'I - Capital RLM'!H40</f>
        <v>0</v>
      </c>
      <c r="JL40" s="2118">
        <f>'I - Capital RLM'!I40</f>
        <v>0</v>
      </c>
      <c r="JM40" s="2120"/>
      <c r="JN40" s="1890">
        <f>'I - Capital RLM'!K40</f>
        <v>0</v>
      </c>
      <c r="JO40" s="2120">
        <f t="shared" si="7"/>
        <v>0</v>
      </c>
      <c r="JQ40" s="2088">
        <f>'J - Capital In Year Schemes'!A40</f>
        <v>29</v>
      </c>
      <c r="JR40" s="2089">
        <f>'J - Capital In Year Schemes'!B40</f>
        <v>0</v>
      </c>
      <c r="JS40" s="2089">
        <f>'J - Capital In Year Schemes'!C40</f>
        <v>0</v>
      </c>
      <c r="JT40" s="2010">
        <f>'J - Capital In Year Schemes'!D40</f>
        <v>0</v>
      </c>
      <c r="JU40" s="2010">
        <f>'J - Capital In Year Schemes'!E40</f>
        <v>0</v>
      </c>
      <c r="JV40" s="2010">
        <f>'J - Capital In Year Schemes'!F40</f>
        <v>0</v>
      </c>
      <c r="JW40" s="2010">
        <f>'J - Capital In Year Schemes'!G40</f>
        <v>0</v>
      </c>
      <c r="JX40" s="2010">
        <f>'J - Capital In Year Schemes'!H40</f>
        <v>0</v>
      </c>
      <c r="JY40" s="2010">
        <f>'J - Capital In Year Schemes'!I40</f>
        <v>0</v>
      </c>
      <c r="JZ40" s="2010">
        <f>'J - Capital In Year Schemes'!J40</f>
        <v>0</v>
      </c>
      <c r="KA40" s="2010">
        <f>'J - Capital In Year Schemes'!K40</f>
        <v>0</v>
      </c>
      <c r="KB40" s="2010">
        <f>'J - Capital In Year Schemes'!L40</f>
        <v>0</v>
      </c>
      <c r="KC40" s="2010">
        <f>'J - Capital In Year Schemes'!M40</f>
        <v>0</v>
      </c>
      <c r="KD40" s="2010">
        <f>'J - Capital In Year Schemes'!N40</f>
        <v>0</v>
      </c>
      <c r="KE40" s="2010">
        <f>'J - Capital In Year Schemes'!O40</f>
        <v>0</v>
      </c>
      <c r="KF40" s="2010">
        <f>'J - Capital In Year Schemes'!P40</f>
        <v>0</v>
      </c>
      <c r="KG40" s="2010">
        <f>'J - Capital In Year Schemes'!Q40</f>
        <v>0</v>
      </c>
      <c r="KH40" s="2090">
        <f>'J - Capital In Year Schemes'!R40</f>
        <v>0</v>
      </c>
      <c r="KI40" s="2090">
        <f>'J - Capital In Year Schemes'!S40</f>
        <v>0</v>
      </c>
      <c r="KJ40" s="2091">
        <f>'J - Capital In Year Schemes'!T40</f>
        <v>0</v>
      </c>
      <c r="KK40" s="2060">
        <f t="shared" si="5"/>
        <v>0</v>
      </c>
      <c r="KM40" s="2053">
        <f>'K - Capital Disposals'!A40</f>
        <v>25</v>
      </c>
      <c r="KN40" s="2220">
        <f>'K - Capital Disposals'!B40</f>
        <v>0</v>
      </c>
      <c r="KO40" s="2062">
        <f>'K - Capital Disposals'!C40</f>
        <v>0</v>
      </c>
      <c r="KP40" s="2062">
        <f>'K - Capital Disposals'!D40</f>
        <v>0</v>
      </c>
      <c r="KQ40" s="2078">
        <f>'K - Capital Disposals'!E40</f>
        <v>0</v>
      </c>
      <c r="KR40" s="2064">
        <f>'K - Capital Disposals'!F40</f>
        <v>0</v>
      </c>
      <c r="KS40" s="2064">
        <f>'K - Capital Disposals'!G40</f>
        <v>0</v>
      </c>
      <c r="KT40" s="2054">
        <f>'K - Capital Disposals'!H40</f>
        <v>0</v>
      </c>
      <c r="KU40" s="2055">
        <f>'K - Capital Disposals'!I40</f>
        <v>0</v>
      </c>
      <c r="KV40" s="2121">
        <f>'K - Capital Disposals'!J40</f>
        <v>0</v>
      </c>
      <c r="KW40" s="2093"/>
      <c r="KX40" s="2093"/>
      <c r="KY40" s="2093"/>
      <c r="KZ40" s="2093"/>
      <c r="LA40" s="2093"/>
      <c r="LB40" s="2094"/>
      <c r="LC40" s="1935"/>
      <c r="LL40" s="814"/>
      <c r="LM40" s="2197">
        <f>'M - Aged Debtors'!B40</f>
        <v>0</v>
      </c>
      <c r="LN40" s="2198">
        <f>'M - Aged Debtors'!C40</f>
        <v>0</v>
      </c>
      <c r="LO40" s="2199">
        <f>'M - Aged Debtors'!D40</f>
        <v>0</v>
      </c>
      <c r="LP40" s="2200">
        <f>'M - Aged Debtors'!E40</f>
        <v>0</v>
      </c>
      <c r="LQ40" s="2201">
        <f>'M - Aged Debtors'!F40</f>
        <v>0</v>
      </c>
      <c r="LR40" s="832" t="str">
        <f>'M - Aged Debtors'!G40</f>
        <v/>
      </c>
      <c r="LS40" s="829" t="str">
        <f>'M - Aged Debtors'!H40</f>
        <v/>
      </c>
      <c r="LT40" s="829" t="str">
        <f>'M - Aged Debtors'!I40</f>
        <v/>
      </c>
      <c r="LU40" s="830" t="str">
        <f>'M - Aged Debtors'!J40</f>
        <v/>
      </c>
      <c r="LV40" s="1757">
        <f>'M - Aged Debtors'!K40</f>
        <v>0</v>
      </c>
      <c r="LX40" s="462" t="str">
        <f>'N - GMS'!A40</f>
        <v xml:space="preserve">Minor Surgery Fees </v>
      </c>
      <c r="LY40" s="460"/>
      <c r="LZ40" s="461">
        <f>'N - GMS'!C40</f>
        <v>23</v>
      </c>
      <c r="MA40" s="67">
        <f>'N - GMS'!D40</f>
        <v>0</v>
      </c>
      <c r="MB40" s="1028">
        <f>'N - GMS'!E40</f>
        <v>0</v>
      </c>
      <c r="MC40" s="2231">
        <f>'N - GMS'!F40</f>
        <v>0</v>
      </c>
      <c r="MD40" s="463">
        <f>'N - GMS'!G40</f>
        <v>0</v>
      </c>
      <c r="ME40" s="1170"/>
      <c r="MF40" s="1028">
        <f>'N - GMS'!I40</f>
        <v>0</v>
      </c>
      <c r="MH40" s="3112" t="str">
        <f>'O - Dental'!A40</f>
        <v>Improved ventilation in dental practices</v>
      </c>
      <c r="MI40" s="3113"/>
      <c r="MJ40" s="701">
        <f>'O - Dental'!C40</f>
        <v>30</v>
      </c>
      <c r="MK40" s="664">
        <f>'O - Dental'!D40</f>
        <v>0</v>
      </c>
      <c r="ML40" s="2203">
        <f>'O - Dental'!E40</f>
        <v>0</v>
      </c>
      <c r="MM40" s="2204">
        <f>'O - Dental'!F40</f>
        <v>0</v>
      </c>
      <c r="MN40" s="2205">
        <f>'O - Dental'!G40</f>
        <v>0</v>
      </c>
      <c r="MO40" s="308"/>
      <c r="MP40" s="1765">
        <f>'O - Dental'!I40</f>
        <v>0</v>
      </c>
      <c r="MR40" s="684"/>
      <c r="MS40" s="3019">
        <f>'P - Ringfenced'!B40</f>
        <v>0</v>
      </c>
      <c r="MT40" s="1101" t="str">
        <f>'P - Ringfenced'!C40</f>
        <v>Actual/Forecast - committed</v>
      </c>
      <c r="MU40" s="2656">
        <f>'P - Ringfenced'!D40</f>
        <v>0</v>
      </c>
      <c r="MV40" s="2656">
        <f>'P - Ringfenced'!E40</f>
        <v>0</v>
      </c>
      <c r="MW40" s="2693">
        <f>'P - Ringfenced'!F40</f>
        <v>0</v>
      </c>
      <c r="MX40" s="2693">
        <f>'P - Ringfenced'!G40</f>
        <v>0</v>
      </c>
      <c r="MY40" s="2693">
        <f>'P - Ringfenced'!H40</f>
        <v>0</v>
      </c>
      <c r="MZ40" s="2693">
        <f>'P - Ringfenced'!I40</f>
        <v>0</v>
      </c>
      <c r="NA40" s="2693">
        <f>'P - Ringfenced'!J40</f>
        <v>0</v>
      </c>
      <c r="NB40" s="2693">
        <f>'P - Ringfenced'!K40</f>
        <v>0</v>
      </c>
      <c r="NC40" s="2693">
        <f>'P - Ringfenced'!L40</f>
        <v>0</v>
      </c>
      <c r="ND40" s="2693">
        <f>'P - Ringfenced'!M40</f>
        <v>0</v>
      </c>
      <c r="NE40" s="2693">
        <f>'P - Ringfenced'!N40</f>
        <v>0</v>
      </c>
      <c r="NF40" s="2693">
        <f>'P - Ringfenced'!O40</f>
        <v>0</v>
      </c>
      <c r="NG40" s="2693">
        <f>'P - Ringfenced'!P40</f>
        <v>0</v>
      </c>
      <c r="NH40" s="2693">
        <f>'P - Ringfenced'!Q40</f>
        <v>0</v>
      </c>
      <c r="NI40" s="1324">
        <f>'P - Ringfenced'!R40</f>
        <v>0</v>
      </c>
      <c r="NJ40" s="1325">
        <f>'P - Ringfenced'!S40</f>
        <v>0</v>
      </c>
      <c r="NK40" s="2861"/>
      <c r="NL40" s="684"/>
    </row>
    <row r="41" spans="13:376" ht="20.149999999999999" customHeight="1" thickBot="1">
      <c r="M41" s="950">
        <f>'A - Movement'!A41</f>
        <v>31</v>
      </c>
      <c r="N41" s="1893">
        <f>'A - Movement'!B41</f>
        <v>0</v>
      </c>
      <c r="O41" s="1131">
        <f>'A - Movement'!C41</f>
        <v>0</v>
      </c>
      <c r="P41" s="1131">
        <f>'A - Movement'!D41</f>
        <v>0</v>
      </c>
      <c r="Q41" s="954">
        <f>'A - Movement'!E41</f>
        <v>0</v>
      </c>
      <c r="R41" s="954">
        <f>'A - Movement'!F41</f>
        <v>0</v>
      </c>
      <c r="S41" s="1745"/>
      <c r="U41" s="950">
        <f>'A - Movement'!I41</f>
        <v>31</v>
      </c>
      <c r="V41" s="1893">
        <f t="shared" ref="V41:V44" si="15">N41</f>
        <v>0</v>
      </c>
      <c r="W41" s="954">
        <f>'A - Movement'!J41</f>
        <v>0</v>
      </c>
      <c r="X41" s="954">
        <f>'A - Movement'!K41</f>
        <v>0</v>
      </c>
      <c r="Y41" s="954">
        <f>'A - Movement'!L41</f>
        <v>0</v>
      </c>
      <c r="Z41" s="954">
        <f>'A - Movement'!M41</f>
        <v>0</v>
      </c>
      <c r="AA41" s="954">
        <f>'A - Movement'!N41</f>
        <v>0</v>
      </c>
      <c r="AB41" s="954">
        <f>'A - Movement'!O41</f>
        <v>0</v>
      </c>
      <c r="AC41" s="954">
        <f>'A - Movement'!P41</f>
        <v>0</v>
      </c>
      <c r="AD41" s="954">
        <f>'A - Movement'!Q41</f>
        <v>0</v>
      </c>
      <c r="AE41" s="954">
        <f>'A - Movement'!R41</f>
        <v>0</v>
      </c>
      <c r="AF41" s="954">
        <f>'A - Movement'!S41</f>
        <v>0</v>
      </c>
      <c r="AG41" s="954">
        <f>'A - Movement'!T41</f>
        <v>0</v>
      </c>
      <c r="AH41" s="954">
        <f>'A - Movement'!U41</f>
        <v>0</v>
      </c>
      <c r="AI41" s="1131">
        <f>'A - Movement'!V41</f>
        <v>0</v>
      </c>
      <c r="AJ41" s="1131">
        <f>'A - Movement'!W41</f>
        <v>0</v>
      </c>
      <c r="AK41" s="1131">
        <f t="shared" ref="AK41:AK44" si="16">P41</f>
        <v>0</v>
      </c>
      <c r="AL41" s="954">
        <f t="shared" ref="AL41:AL44" si="17">Q41</f>
        <v>0</v>
      </c>
      <c r="AM41" s="954">
        <f t="shared" ref="AM41:AM44" si="18">R41</f>
        <v>0</v>
      </c>
      <c r="AN41" s="1745"/>
      <c r="AO41" s="1928"/>
      <c r="AP41" s="1401">
        <f>'A1 - Underlying Position'!A42</f>
        <v>3</v>
      </c>
      <c r="AQ41" s="1412" t="str">
        <f>'A1 - Underlying Position'!B42</f>
        <v>Continuing HealthCare</v>
      </c>
      <c r="AR41" s="1782">
        <f>'A1 - Underlying Position'!C42</f>
        <v>0</v>
      </c>
      <c r="AS41" s="1783">
        <f>'A1 - Underlying Position'!D42</f>
        <v>0</v>
      </c>
      <c r="AT41" s="1783">
        <f>'A1 - Underlying Position'!E42</f>
        <v>0</v>
      </c>
      <c r="AU41" s="75">
        <f>'A1 - Underlying Position'!F42</f>
        <v>0</v>
      </c>
      <c r="AV41" s="1784">
        <f>'A1 - Underlying Position'!G42</f>
        <v>0</v>
      </c>
      <c r="AW41" s="75">
        <f>'A1 - Underlying Position'!H42</f>
        <v>0</v>
      </c>
      <c r="AX41" s="2594"/>
      <c r="AZ41" s="357">
        <f>'A2 - Risks'!A41</f>
        <v>32</v>
      </c>
      <c r="BA41" s="1823">
        <f>'A2 - Risks'!B41</f>
        <v>0</v>
      </c>
      <c r="BB41" s="1828">
        <f>'A2 - Risks'!C41</f>
        <v>0</v>
      </c>
      <c r="BC41" s="1829">
        <f>'A2 - Risks'!D41</f>
        <v>0</v>
      </c>
      <c r="BE41" s="298"/>
      <c r="BF41" s="1742" t="s">
        <v>1243</v>
      </c>
      <c r="BG41" s="843"/>
      <c r="BH41" s="1059" t="str">
        <f>'B - Monthly Positions'!D41</f>
        <v>Forecast year-end position</v>
      </c>
      <c r="BI41" s="3007"/>
      <c r="BJ41" s="3007"/>
      <c r="BK41" s="3007"/>
      <c r="BL41" s="3007"/>
      <c r="BM41" s="3007"/>
      <c r="BN41" s="3007"/>
      <c r="BO41" s="3007"/>
      <c r="BP41" s="3007"/>
      <c r="BQ41" s="3007"/>
      <c r="BR41" s="3007"/>
      <c r="BS41" s="3007"/>
      <c r="BT41" s="3007"/>
      <c r="BU41" s="3007"/>
      <c r="BV41" s="2234"/>
      <c r="BW41" s="2250"/>
      <c r="BX41" s="88">
        <f>' Table Z Net Exp Profiles'!A41</f>
        <v>25</v>
      </c>
      <c r="BY41" s="1264" t="str">
        <f>' Table Z Net Exp Profiles'!B41</f>
        <v>Planning Assumptions still to be finalised at Month 1 Allocated to Non Pay - (ENTER AS NEGATIVE)</v>
      </c>
      <c r="BZ41" s="1217">
        <f>' Table Z Net Exp Profiles'!C41</f>
        <v>0</v>
      </c>
      <c r="CA41" s="1189">
        <f>' Table Z Net Exp Profiles'!D41</f>
        <v>0</v>
      </c>
      <c r="CB41" s="1189">
        <f>' Table Z Net Exp Profiles'!E41</f>
        <v>0</v>
      </c>
      <c r="CC41" s="1189">
        <f>' Table Z Net Exp Profiles'!F41</f>
        <v>0</v>
      </c>
      <c r="CD41" s="1189">
        <f>' Table Z Net Exp Profiles'!G41</f>
        <v>0</v>
      </c>
      <c r="CE41" s="1189">
        <f>' Table Z Net Exp Profiles'!H41</f>
        <v>0</v>
      </c>
      <c r="CF41" s="1189">
        <f>' Table Z Net Exp Profiles'!I41</f>
        <v>0</v>
      </c>
      <c r="CG41" s="1189">
        <f>' Table Z Net Exp Profiles'!J41</f>
        <v>0</v>
      </c>
      <c r="CH41" s="1189">
        <f>' Table Z Net Exp Profiles'!K41</f>
        <v>0</v>
      </c>
      <c r="CI41" s="1189">
        <f>' Table Z Net Exp Profiles'!L41</f>
        <v>0</v>
      </c>
      <c r="CJ41" s="1189">
        <f>' Table Z Net Exp Profiles'!M41</f>
        <v>0</v>
      </c>
      <c r="CK41" s="1189">
        <f>' Table Z Net Exp Profiles'!N41</f>
        <v>0</v>
      </c>
      <c r="CL41" s="1215">
        <f>' Table Z Net Exp Profiles'!O41</f>
        <v>0</v>
      </c>
      <c r="CM41" s="1215">
        <f>' Table Z Net Exp Profiles'!P41</f>
        <v>0</v>
      </c>
      <c r="CO41" s="1359">
        <f>'B2 - Pay &amp; Agency'!A41</f>
        <v>9</v>
      </c>
      <c r="CP41" s="1360" t="str">
        <f>'B2 - Pay &amp; Agency'!B41</f>
        <v xml:space="preserve">Students </v>
      </c>
      <c r="CQ41" s="1803">
        <f>'B2 - Pay &amp; Agency'!C41</f>
        <v>0</v>
      </c>
      <c r="CR41" s="1804">
        <f>'B2 - Pay &amp; Agency'!D41</f>
        <v>0</v>
      </c>
      <c r="CS41" s="1804">
        <f>'B2 - Pay &amp; Agency'!E41</f>
        <v>0</v>
      </c>
      <c r="CT41" s="1804">
        <f>'B2 - Pay &amp; Agency'!F41</f>
        <v>0</v>
      </c>
      <c r="CU41" s="1804">
        <f>'B2 - Pay &amp; Agency'!G41</f>
        <v>0</v>
      </c>
      <c r="CV41" s="1804">
        <f>'B2 - Pay &amp; Agency'!H41</f>
        <v>0</v>
      </c>
      <c r="CW41" s="1804">
        <f>'B2 - Pay &amp; Agency'!I41</f>
        <v>0</v>
      </c>
      <c r="CX41" s="1804">
        <f>'B2 - Pay &amp; Agency'!J41</f>
        <v>0</v>
      </c>
      <c r="CY41" s="1804">
        <f>'B2 - Pay &amp; Agency'!K41</f>
        <v>0</v>
      </c>
      <c r="CZ41" s="1804">
        <f>'B2 - Pay &amp; Agency'!L41</f>
        <v>0</v>
      </c>
      <c r="DA41" s="1804">
        <f>'B2 - Pay &amp; Agency'!M41</f>
        <v>0</v>
      </c>
      <c r="DB41" s="1805">
        <f>'B2 - Pay &amp; Agency'!N41</f>
        <v>0</v>
      </c>
      <c r="DC41" s="1339">
        <f>'B2 - Pay &amp; Agency'!O41</f>
        <v>0</v>
      </c>
      <c r="DD41" s="1340">
        <f>'B2 - Pay &amp; Agency'!P41</f>
        <v>0</v>
      </c>
      <c r="DF41" s="1910">
        <f>'B3 - COVID-19'!A41</f>
        <v>30</v>
      </c>
      <c r="DG41" s="2821" t="str">
        <f>'B3 - COVID-19'!B41</f>
        <v xml:space="preserve">Planned Funding </v>
      </c>
      <c r="DH41" s="2489">
        <f>'B3 - COVID-19'!C41</f>
        <v>924.67499999999995</v>
      </c>
      <c r="DI41" s="2490">
        <f>'B3 - COVID-19'!D41</f>
        <v>961.21992440240967</v>
      </c>
      <c r="DJ41" s="2490">
        <f>'B3 - COVID-19'!E41</f>
        <v>1450.7191580776007</v>
      </c>
      <c r="DK41" s="2490">
        <f>'B3 - COVID-19'!F41</f>
        <v>1025.2170494024097</v>
      </c>
      <c r="DL41" s="2490">
        <f>'B3 - COVID-19'!G41</f>
        <v>1015.7170494024097</v>
      </c>
      <c r="DM41" s="2490">
        <f>'B3 - COVID-19'!H41</f>
        <v>1472.2601664109341</v>
      </c>
      <c r="DN41" s="2490">
        <f>'B3 - COVID-19'!I41</f>
        <v>1271.7207621373325</v>
      </c>
      <c r="DO41" s="2490">
        <f>'B3 - COVID-19'!J41</f>
        <v>1276.9411909931173</v>
      </c>
      <c r="DP41" s="2490">
        <f>'B3 - COVID-19'!K41</f>
        <v>1801.278153803999</v>
      </c>
      <c r="DQ41" s="2490">
        <f>'B3 - COVID-19'!L41</f>
        <v>1309.7207621373325</v>
      </c>
      <c r="DR41" s="2490">
        <f>'B3 - COVID-19'!M41</f>
        <v>1205.8446648489023</v>
      </c>
      <c r="DS41" s="2726">
        <f>'B3 - COVID-19'!N41</f>
        <v>1724.6858860262212</v>
      </c>
      <c r="DT41" s="2807">
        <f>'B3 - COVID-19'!O41</f>
        <v>924.67499999999995</v>
      </c>
      <c r="DU41" s="2808">
        <f>'B3 - COVID-19'!P41</f>
        <v>15439.999767642668</v>
      </c>
      <c r="DV41" s="608"/>
      <c r="DW41" s="1116"/>
      <c r="DY41" s="1930"/>
      <c r="DZ41" s="1930"/>
      <c r="EA41" s="1930"/>
      <c r="EB41" s="99"/>
      <c r="EC41" s="99"/>
      <c r="ED41" s="99"/>
      <c r="EE41" s="99"/>
      <c r="EF41" s="99"/>
      <c r="EG41" s="100"/>
      <c r="EH41" s="99"/>
      <c r="EI41" s="3065"/>
      <c r="EJ41" s="3064"/>
      <c r="EK41" s="3064"/>
      <c r="EL41" s="3064"/>
      <c r="EM41" s="3064"/>
      <c r="EN41" s="1140"/>
      <c r="EO41" s="1176"/>
      <c r="EP41" s="1380"/>
      <c r="EQ41" s="1930"/>
      <c r="ER41" s="1930"/>
      <c r="ES41" s="1930"/>
      <c r="ET41" s="1930"/>
      <c r="EU41" s="1930"/>
      <c r="EV41" s="1930"/>
      <c r="EW41" s="1930"/>
      <c r="EX41" s="3074"/>
      <c r="EY41" s="1700" t="str">
        <f>'Table C4 Tracker'!B35</f>
        <v>Variance</v>
      </c>
      <c r="EZ41" s="1109">
        <f>'Table C4 Tracker'!C35</f>
        <v>0</v>
      </c>
      <c r="FA41" s="1703">
        <f>'Table C4 Tracker'!D35</f>
        <v>0</v>
      </c>
      <c r="FB41" s="1703">
        <f>'Table C4 Tracker'!E35</f>
        <v>0</v>
      </c>
      <c r="FC41" s="1703">
        <f>'Table C4 Tracker'!F35</f>
        <v>0</v>
      </c>
      <c r="FD41" s="1703">
        <f>'Table C4 Tracker'!G35</f>
        <v>0</v>
      </c>
      <c r="FE41" s="1703">
        <f>'Table C4 Tracker'!H35</f>
        <v>0</v>
      </c>
      <c r="FF41" s="1703">
        <f>'Table C4 Tracker'!I35</f>
        <v>0</v>
      </c>
      <c r="FG41" s="1703">
        <f>'Table C4 Tracker'!J35</f>
        <v>0</v>
      </c>
      <c r="FH41" s="1703">
        <f>'Table C4 Tracker'!K35</f>
        <v>0</v>
      </c>
      <c r="FI41" s="1703">
        <f>'Table C4 Tracker'!L35</f>
        <v>0</v>
      </c>
      <c r="FJ41" s="1703">
        <f>'Table C4 Tracker'!M35</f>
        <v>0</v>
      </c>
      <c r="FK41" s="1703">
        <f>'Table C4 Tracker'!N35</f>
        <v>0</v>
      </c>
      <c r="FL41" s="1710">
        <f>'Table C4 Tracker'!O35</f>
        <v>0</v>
      </c>
      <c r="FM41" s="1703">
        <f>'Table C4 Tracker'!P35</f>
        <v>0</v>
      </c>
      <c r="FN41" s="1702">
        <f>'Table C4 Tracker'!Q35</f>
        <v>0</v>
      </c>
      <c r="FO41" s="1710">
        <f>'Table C4 Tracker'!R35</f>
        <v>0</v>
      </c>
      <c r="FP41" s="1710">
        <f>'Table C4 Tracker'!S35</f>
        <v>0</v>
      </c>
      <c r="FQ41" s="1710">
        <f>'Table C4 Tracker'!T35</f>
        <v>0</v>
      </c>
      <c r="FR41" s="1710">
        <f>'Table C4 Tracker'!U35</f>
        <v>0</v>
      </c>
      <c r="FS41" s="2242"/>
      <c r="GF41" s="2112">
        <f>'E - Resource Limits'!A41</f>
        <v>29</v>
      </c>
      <c r="GG41" s="2113">
        <f>'E - Resource Limits'!B41</f>
        <v>0</v>
      </c>
      <c r="GH41" s="2114">
        <f>'E - Resource Limits'!C41</f>
        <v>0</v>
      </c>
      <c r="GI41" s="2114">
        <f>'E - Resource Limits'!D41</f>
        <v>0</v>
      </c>
      <c r="GJ41" s="2114">
        <f>'E - Resource Limits'!E41</f>
        <v>0</v>
      </c>
      <c r="GK41" s="2114">
        <f>'E - Resource Limits'!F41</f>
        <v>0</v>
      </c>
      <c r="GL41" s="2048">
        <f>'E - Resource Limits'!G41</f>
        <v>0</v>
      </c>
      <c r="GM41" s="2115">
        <f>'E - Resource Limits'!H41</f>
        <v>0</v>
      </c>
      <c r="GN41" s="2114">
        <f>'E - Resource Limits'!I41</f>
        <v>0</v>
      </c>
      <c r="GO41" s="2114">
        <f>'E - Resource Limits'!J41</f>
        <v>0</v>
      </c>
      <c r="GP41" s="2114">
        <f>'E - Resource Limits'!K41</f>
        <v>0</v>
      </c>
      <c r="GQ41" s="2116">
        <f>'E - Resource Limits'!L41</f>
        <v>0</v>
      </c>
      <c r="GR41" s="1935">
        <f t="shared" si="6"/>
        <v>0</v>
      </c>
      <c r="GT41" s="175">
        <f>'E1 - Invoiced Income'!A41</f>
        <v>30</v>
      </c>
      <c r="GU41" s="1797">
        <f>'E1 - Invoiced Income'!B41</f>
        <v>0</v>
      </c>
      <c r="GV41" s="1798">
        <f>'E1 - Invoiced Income'!C41</f>
        <v>0</v>
      </c>
      <c r="GW41" s="1798">
        <f>'E1 - Invoiced Income'!D41</f>
        <v>0</v>
      </c>
      <c r="GX41" s="1798">
        <f>'E1 - Invoiced Income'!E41</f>
        <v>0</v>
      </c>
      <c r="GY41" s="1798">
        <f>'E1 - Invoiced Income'!F41</f>
        <v>0</v>
      </c>
      <c r="GZ41" s="1798">
        <f>'E1 - Invoiced Income'!G41</f>
        <v>0</v>
      </c>
      <c r="HA41" s="1798">
        <f>'E1 - Invoiced Income'!H41</f>
        <v>0</v>
      </c>
      <c r="HB41" s="1798">
        <f>'E1 - Invoiced Income'!I41</f>
        <v>0</v>
      </c>
      <c r="HC41" s="1798">
        <f>'E1 - Invoiced Income'!J41</f>
        <v>0</v>
      </c>
      <c r="HD41" s="1798">
        <f>'E1 - Invoiced Income'!K41</f>
        <v>0</v>
      </c>
      <c r="HE41" s="1798">
        <f>'E1 - Invoiced Income'!L41</f>
        <v>0</v>
      </c>
      <c r="HF41" s="1798">
        <f>'E1 - Invoiced Income'!M41</f>
        <v>0</v>
      </c>
      <c r="HG41" s="1798">
        <f>'E1 - Invoiced Income'!N41</f>
        <v>0</v>
      </c>
      <c r="HH41" s="1798">
        <f>'E1 - Invoiced Income'!O41</f>
        <v>0</v>
      </c>
      <c r="HI41" s="1798">
        <f>'E1 - Invoiced Income'!P41</f>
        <v>0</v>
      </c>
      <c r="HJ41" s="1798">
        <f>'E1 - Invoiced Income'!R41</f>
        <v>0</v>
      </c>
      <c r="HK41" s="1798">
        <f>'E1 - Invoiced Income'!S41</f>
        <v>0</v>
      </c>
      <c r="HL41" s="1665">
        <f>'E1 - Invoiced Income'!T41</f>
        <v>0</v>
      </c>
      <c r="HM41" s="1799">
        <f>'E1 - Invoiced Income'!U41</f>
        <v>0</v>
      </c>
      <c r="HO41" s="2049"/>
      <c r="HP41" s="2012"/>
      <c r="HQ41" s="2097"/>
      <c r="HR41" s="2098"/>
      <c r="HS41" s="2098"/>
      <c r="HT41" s="1946"/>
      <c r="HV41" s="1745"/>
      <c r="HW41" s="1745"/>
      <c r="HX41" s="1745"/>
      <c r="HY41" s="1745"/>
      <c r="HZ41" s="1745"/>
      <c r="IA41" s="1745"/>
      <c r="IB41" s="1745"/>
      <c r="IC41" s="1745"/>
      <c r="ID41" s="1745"/>
      <c r="IE41" s="1745"/>
      <c r="IF41" s="1745"/>
      <c r="IG41" s="1745"/>
      <c r="IH41" s="1745"/>
      <c r="II41" s="1745"/>
      <c r="IJ41" s="1942"/>
      <c r="IK41" s="1942"/>
      <c r="JD41" s="2088">
        <f>'I - Capital RLM'!A41</f>
        <v>23</v>
      </c>
      <c r="JE41" s="2126">
        <f>'I - Capital RLM'!B41</f>
        <v>0</v>
      </c>
      <c r="JF41" s="2010">
        <f>'I - Capital RLM'!C41</f>
        <v>0</v>
      </c>
      <c r="JG41" s="2010">
        <f>'I - Capital RLM'!D41</f>
        <v>0</v>
      </c>
      <c r="JH41" s="2118">
        <f>'I - Capital RLM'!E41</f>
        <v>0</v>
      </c>
      <c r="JI41" s="2119">
        <f>'I - Capital RLM'!F41</f>
        <v>0</v>
      </c>
      <c r="JJ41" s="2010">
        <f>'I - Capital RLM'!G41</f>
        <v>0</v>
      </c>
      <c r="JK41" s="2010">
        <f>'I - Capital RLM'!H41</f>
        <v>0</v>
      </c>
      <c r="JL41" s="2118">
        <f>'I - Capital RLM'!I41</f>
        <v>0</v>
      </c>
      <c r="JM41" s="2120"/>
      <c r="JN41" s="1890">
        <f>'I - Capital RLM'!K41</f>
        <v>0</v>
      </c>
      <c r="JO41" s="2120">
        <f t="shared" si="7"/>
        <v>0</v>
      </c>
      <c r="JQ41" s="2088">
        <f>'J - Capital In Year Schemes'!A41</f>
        <v>30</v>
      </c>
      <c r="JR41" s="2089">
        <f>'J - Capital In Year Schemes'!B41</f>
        <v>0</v>
      </c>
      <c r="JS41" s="2089">
        <f>'J - Capital In Year Schemes'!C41</f>
        <v>0</v>
      </c>
      <c r="JT41" s="2010">
        <f>'J - Capital In Year Schemes'!D41</f>
        <v>0</v>
      </c>
      <c r="JU41" s="2010">
        <f>'J - Capital In Year Schemes'!E41</f>
        <v>0</v>
      </c>
      <c r="JV41" s="2010">
        <f>'J - Capital In Year Schemes'!F41</f>
        <v>0</v>
      </c>
      <c r="JW41" s="2010">
        <f>'J - Capital In Year Schemes'!G41</f>
        <v>0</v>
      </c>
      <c r="JX41" s="2010">
        <f>'J - Capital In Year Schemes'!H41</f>
        <v>0</v>
      </c>
      <c r="JY41" s="2010">
        <f>'J - Capital In Year Schemes'!I41</f>
        <v>0</v>
      </c>
      <c r="JZ41" s="2010">
        <f>'J - Capital In Year Schemes'!J41</f>
        <v>0</v>
      </c>
      <c r="KA41" s="2010">
        <f>'J - Capital In Year Schemes'!K41</f>
        <v>0</v>
      </c>
      <c r="KB41" s="2010">
        <f>'J - Capital In Year Schemes'!L41</f>
        <v>0</v>
      </c>
      <c r="KC41" s="2010">
        <f>'J - Capital In Year Schemes'!M41</f>
        <v>0</v>
      </c>
      <c r="KD41" s="2010">
        <f>'J - Capital In Year Schemes'!N41</f>
        <v>0</v>
      </c>
      <c r="KE41" s="2010">
        <f>'J - Capital In Year Schemes'!O41</f>
        <v>0</v>
      </c>
      <c r="KF41" s="2010">
        <f>'J - Capital In Year Schemes'!P41</f>
        <v>0</v>
      </c>
      <c r="KG41" s="2010">
        <f>'J - Capital In Year Schemes'!Q41</f>
        <v>0</v>
      </c>
      <c r="KH41" s="2090">
        <f>'J - Capital In Year Schemes'!R41</f>
        <v>0</v>
      </c>
      <c r="KI41" s="2090">
        <f>'J - Capital In Year Schemes'!S41</f>
        <v>0</v>
      </c>
      <c r="KJ41" s="2091">
        <f>'J - Capital In Year Schemes'!T41</f>
        <v>0</v>
      </c>
      <c r="KK41" s="2060">
        <f t="shared" si="5"/>
        <v>0</v>
      </c>
      <c r="KM41" s="2053">
        <f>'K - Capital Disposals'!A41</f>
        <v>26</v>
      </c>
      <c r="KN41" s="2220">
        <f>'K - Capital Disposals'!B41</f>
        <v>0</v>
      </c>
      <c r="KO41" s="2062">
        <f>'K - Capital Disposals'!C41</f>
        <v>0</v>
      </c>
      <c r="KP41" s="2062">
        <f>'K - Capital Disposals'!D41</f>
        <v>0</v>
      </c>
      <c r="KQ41" s="2078">
        <f>'K - Capital Disposals'!E41</f>
        <v>0</v>
      </c>
      <c r="KR41" s="2064">
        <f>'K - Capital Disposals'!F41</f>
        <v>0</v>
      </c>
      <c r="KS41" s="2064">
        <f>'K - Capital Disposals'!G41</f>
        <v>0</v>
      </c>
      <c r="KT41" s="2054">
        <f>'K - Capital Disposals'!H41</f>
        <v>0</v>
      </c>
      <c r="KU41" s="2055">
        <f>'K - Capital Disposals'!I41</f>
        <v>0</v>
      </c>
      <c r="KV41" s="2121">
        <f>'K - Capital Disposals'!J41</f>
        <v>0</v>
      </c>
      <c r="KW41" s="2093"/>
      <c r="KX41" s="2093"/>
      <c r="KY41" s="2093"/>
      <c r="KZ41" s="2093"/>
      <c r="LA41" s="2093"/>
      <c r="LB41" s="2094"/>
      <c r="LC41" s="1935"/>
      <c r="LL41" s="814"/>
      <c r="LM41" s="2197">
        <f>'M - Aged Debtors'!B41</f>
        <v>0</v>
      </c>
      <c r="LN41" s="2198">
        <f>'M - Aged Debtors'!C41</f>
        <v>0</v>
      </c>
      <c r="LO41" s="2199">
        <f>'M - Aged Debtors'!D41</f>
        <v>0</v>
      </c>
      <c r="LP41" s="2200">
        <f>'M - Aged Debtors'!E41</f>
        <v>0</v>
      </c>
      <c r="LQ41" s="2201">
        <f>'M - Aged Debtors'!F41</f>
        <v>0</v>
      </c>
      <c r="LR41" s="832" t="str">
        <f>'M - Aged Debtors'!G41</f>
        <v/>
      </c>
      <c r="LS41" s="829" t="str">
        <f>'M - Aged Debtors'!H41</f>
        <v/>
      </c>
      <c r="LT41" s="829" t="str">
        <f>'M - Aged Debtors'!I41</f>
        <v/>
      </c>
      <c r="LU41" s="830" t="str">
        <f>'M - Aged Debtors'!J41</f>
        <v/>
      </c>
      <c r="LV41" s="1830">
        <f>'M - Aged Debtors'!K41</f>
        <v>0</v>
      </c>
      <c r="LX41" s="477" t="str">
        <f>'N - GMS'!A41</f>
        <v>MENU of Agreed DES</v>
      </c>
      <c r="LY41" s="478"/>
      <c r="LZ41" s="461"/>
      <c r="MA41" s="67">
        <f>'N - GMS'!D41</f>
        <v>0</v>
      </c>
      <c r="MB41" s="67">
        <f>'N - GMS'!E41</f>
        <v>0</v>
      </c>
      <c r="MC41" s="67">
        <f>'N - GMS'!F41</f>
        <v>0</v>
      </c>
      <c r="MD41" s="2269">
        <f>'N - GMS'!G41</f>
        <v>0</v>
      </c>
      <c r="ME41" s="1170"/>
      <c r="MF41" s="67">
        <f>'N - GMS'!I41</f>
        <v>0</v>
      </c>
      <c r="MH41" s="1876" t="str">
        <f>'O - Dental'!A41</f>
        <v>Attend Anywhere</v>
      </c>
      <c r="MI41" s="1877"/>
      <c r="MJ41" s="701">
        <f>'O - Dental'!C41</f>
        <v>31</v>
      </c>
      <c r="MK41" s="664">
        <f>'O - Dental'!D41</f>
        <v>0</v>
      </c>
      <c r="ML41" s="2203">
        <f>'O - Dental'!E41</f>
        <v>0</v>
      </c>
      <c r="MM41" s="2204">
        <f>'O - Dental'!F41</f>
        <v>0</v>
      </c>
      <c r="MN41" s="2205">
        <f>'O - Dental'!G41</f>
        <v>0</v>
      </c>
      <c r="MO41" s="308"/>
      <c r="MP41" s="1765">
        <f>'O - Dental'!I41</f>
        <v>0</v>
      </c>
      <c r="MR41" s="684"/>
      <c r="MS41" s="3019">
        <f>'P - Ringfenced'!B41</f>
        <v>0</v>
      </c>
      <c r="MT41" s="2661" t="str">
        <f>'P - Ringfenced'!C41</f>
        <v>Variance against current plan</v>
      </c>
      <c r="MU41" s="2656">
        <f>'P - Ringfenced'!D41</f>
        <v>0</v>
      </c>
      <c r="MV41" s="2656">
        <f>'P - Ringfenced'!E41</f>
        <v>0</v>
      </c>
      <c r="MW41" s="2680">
        <f>'P - Ringfenced'!F41</f>
        <v>0</v>
      </c>
      <c r="MX41" s="2680">
        <f>'P - Ringfenced'!G41</f>
        <v>0</v>
      </c>
      <c r="MY41" s="2680">
        <f>'P - Ringfenced'!H41</f>
        <v>0</v>
      </c>
      <c r="MZ41" s="2680">
        <f>'P - Ringfenced'!I41</f>
        <v>0</v>
      </c>
      <c r="NA41" s="2680">
        <f>'P - Ringfenced'!J41</f>
        <v>0</v>
      </c>
      <c r="NB41" s="2680">
        <f>'P - Ringfenced'!K41</f>
        <v>0</v>
      </c>
      <c r="NC41" s="2680">
        <f>'P - Ringfenced'!L41</f>
        <v>0</v>
      </c>
      <c r="ND41" s="2680">
        <f>'P - Ringfenced'!M41</f>
        <v>0</v>
      </c>
      <c r="NE41" s="2680">
        <f>'P - Ringfenced'!N41</f>
        <v>0</v>
      </c>
      <c r="NF41" s="2680">
        <f>'P - Ringfenced'!O41</f>
        <v>0</v>
      </c>
      <c r="NG41" s="2680">
        <f>'P - Ringfenced'!P41</f>
        <v>0</v>
      </c>
      <c r="NH41" s="2680">
        <f>'P - Ringfenced'!Q41</f>
        <v>0</v>
      </c>
      <c r="NI41" s="1110">
        <f>'P - Ringfenced'!R41</f>
        <v>0</v>
      </c>
      <c r="NJ41" s="1220">
        <f>'P - Ringfenced'!S41</f>
        <v>0</v>
      </c>
      <c r="NK41" s="1220">
        <f>'P - Ringfenced'!T41</f>
        <v>0</v>
      </c>
      <c r="NL41" s="684"/>
    </row>
    <row r="42" spans="13:376" ht="20.149999999999999" customHeight="1" thickBot="1">
      <c r="M42" s="950">
        <f>'A - Movement'!A42</f>
        <v>32</v>
      </c>
      <c r="N42" s="1893">
        <f>'A - Movement'!B42</f>
        <v>0</v>
      </c>
      <c r="O42" s="1131">
        <f>'A - Movement'!C42</f>
        <v>0</v>
      </c>
      <c r="P42" s="1131">
        <f>'A - Movement'!D42</f>
        <v>0</v>
      </c>
      <c r="Q42" s="954">
        <f>'A - Movement'!E42</f>
        <v>0</v>
      </c>
      <c r="R42" s="954">
        <f>'A - Movement'!F42</f>
        <v>0</v>
      </c>
      <c r="S42" s="1745"/>
      <c r="U42" s="950">
        <f>'A - Movement'!I42</f>
        <v>32</v>
      </c>
      <c r="V42" s="1893">
        <f t="shared" si="15"/>
        <v>0</v>
      </c>
      <c r="W42" s="954">
        <f>'A - Movement'!J42</f>
        <v>0</v>
      </c>
      <c r="X42" s="954">
        <f>'A - Movement'!K42</f>
        <v>0</v>
      </c>
      <c r="Y42" s="954">
        <f>'A - Movement'!L42</f>
        <v>0</v>
      </c>
      <c r="Z42" s="954">
        <f>'A - Movement'!M42</f>
        <v>0</v>
      </c>
      <c r="AA42" s="954">
        <f>'A - Movement'!N42</f>
        <v>0</v>
      </c>
      <c r="AB42" s="954">
        <f>'A - Movement'!O42</f>
        <v>0</v>
      </c>
      <c r="AC42" s="954">
        <f>'A - Movement'!P42</f>
        <v>0</v>
      </c>
      <c r="AD42" s="954">
        <f>'A - Movement'!Q42</f>
        <v>0</v>
      </c>
      <c r="AE42" s="954">
        <f>'A - Movement'!R42</f>
        <v>0</v>
      </c>
      <c r="AF42" s="954">
        <f>'A - Movement'!S42</f>
        <v>0</v>
      </c>
      <c r="AG42" s="954">
        <f>'A - Movement'!T42</f>
        <v>0</v>
      </c>
      <c r="AH42" s="954">
        <f>'A - Movement'!U42</f>
        <v>0</v>
      </c>
      <c r="AI42" s="1131">
        <f>'A - Movement'!V42</f>
        <v>0</v>
      </c>
      <c r="AJ42" s="1131">
        <f>'A - Movement'!W42</f>
        <v>0</v>
      </c>
      <c r="AK42" s="1131">
        <f t="shared" si="16"/>
        <v>0</v>
      </c>
      <c r="AL42" s="954">
        <f t="shared" si="17"/>
        <v>0</v>
      </c>
      <c r="AM42" s="954">
        <f t="shared" si="18"/>
        <v>0</v>
      </c>
      <c r="AN42" s="1745"/>
      <c r="AO42" s="1928"/>
      <c r="AP42" s="1401">
        <f>'A1 - Underlying Position'!A43</f>
        <v>4</v>
      </c>
      <c r="AQ42" s="1411" t="str">
        <f>'A1 - Underlying Position'!B43</f>
        <v>Commissioned Services</v>
      </c>
      <c r="AR42" s="1800">
        <f>'A1 - Underlying Position'!C43</f>
        <v>0</v>
      </c>
      <c r="AS42" s="2251">
        <f>'A1 - Underlying Position'!D43</f>
        <v>0</v>
      </c>
      <c r="AT42" s="2251">
        <f>'A1 - Underlying Position'!E43</f>
        <v>0</v>
      </c>
      <c r="AU42" s="75">
        <f>'A1 - Underlying Position'!F43</f>
        <v>0</v>
      </c>
      <c r="AV42" s="2252">
        <f>'A1 - Underlying Position'!G43</f>
        <v>0</v>
      </c>
      <c r="AW42" s="75">
        <f>'A1 - Underlying Position'!H43</f>
        <v>0</v>
      </c>
      <c r="AX42" s="2594"/>
      <c r="AZ42" s="357">
        <f>'A2 - Risks'!A42</f>
        <v>33</v>
      </c>
      <c r="BA42" s="2253">
        <f>'A2 - Risks'!B42</f>
        <v>0</v>
      </c>
      <c r="BB42" s="1831">
        <f>'A2 - Risks'!C42</f>
        <v>0</v>
      </c>
      <c r="BC42" s="1832">
        <f>'A2 - Risks'!D42</f>
        <v>0</v>
      </c>
      <c r="BE42" s="298"/>
      <c r="BF42" s="85"/>
      <c r="BG42" s="1062"/>
      <c r="BH42" s="3004" t="str">
        <f>'B - Monthly Positions'!D42</f>
        <v>£'000</v>
      </c>
      <c r="BI42" s="3007"/>
      <c r="BJ42" s="3007"/>
      <c r="BK42" s="3007"/>
      <c r="BL42" s="3007"/>
      <c r="BM42" s="3007"/>
      <c r="BN42" s="3007"/>
      <c r="BO42" s="3007"/>
      <c r="BP42" s="3007"/>
      <c r="BQ42" s="3007"/>
      <c r="BR42" s="3007"/>
      <c r="BS42" s="3007"/>
      <c r="BT42" s="3007"/>
      <c r="BU42" s="3007"/>
      <c r="BV42" s="2234"/>
      <c r="BW42" s="2250"/>
      <c r="BX42" s="144">
        <f>' Table Z Net Exp Profiles'!A42</f>
        <v>26</v>
      </c>
      <c r="BY42" s="1100" t="str">
        <f>' Table Z Net Exp Profiles'!B42</f>
        <v>Total Gross Non Pay Expenditure - Current Plan</v>
      </c>
      <c r="BZ42" s="1110">
        <f>' Table Z Net Exp Profiles'!C42</f>
        <v>0</v>
      </c>
      <c r="CA42" s="1219">
        <f>' Table Z Net Exp Profiles'!D42</f>
        <v>0</v>
      </c>
      <c r="CB42" s="1219">
        <f>' Table Z Net Exp Profiles'!E42</f>
        <v>0</v>
      </c>
      <c r="CC42" s="1219">
        <f>' Table Z Net Exp Profiles'!F42</f>
        <v>0</v>
      </c>
      <c r="CD42" s="1219">
        <f>' Table Z Net Exp Profiles'!G42</f>
        <v>0</v>
      </c>
      <c r="CE42" s="1219">
        <f>' Table Z Net Exp Profiles'!H42</f>
        <v>0</v>
      </c>
      <c r="CF42" s="1219">
        <f>' Table Z Net Exp Profiles'!I42</f>
        <v>0</v>
      </c>
      <c r="CG42" s="1219">
        <f>' Table Z Net Exp Profiles'!J42</f>
        <v>0</v>
      </c>
      <c r="CH42" s="1219">
        <f>' Table Z Net Exp Profiles'!K42</f>
        <v>0</v>
      </c>
      <c r="CI42" s="1219">
        <f>' Table Z Net Exp Profiles'!L42</f>
        <v>0</v>
      </c>
      <c r="CJ42" s="1219">
        <f>' Table Z Net Exp Profiles'!M42</f>
        <v>0</v>
      </c>
      <c r="CK42" s="1220">
        <f>' Table Z Net Exp Profiles'!N42</f>
        <v>0</v>
      </c>
      <c r="CL42" s="1101">
        <f>' Table Z Net Exp Profiles'!O42</f>
        <v>0</v>
      </c>
      <c r="CM42" s="1232">
        <f>' Table Z Net Exp Profiles'!P42</f>
        <v>0</v>
      </c>
      <c r="CO42" s="1353">
        <f>'B2 - Pay &amp; Agency'!A42</f>
        <v>10</v>
      </c>
      <c r="CP42" s="1357" t="str">
        <f>'B2 - Pay &amp; Agency'!B42</f>
        <v>TOTAL AGENCY/LOCUM (PREMIUM) EXPENDITURE</v>
      </c>
      <c r="CQ42" s="1341">
        <f>'B2 - Pay &amp; Agency'!C42</f>
        <v>278</v>
      </c>
      <c r="CR42" s="1342">
        <f>'B2 - Pay &amp; Agency'!D42</f>
        <v>278</v>
      </c>
      <c r="CS42" s="1342">
        <f>'B2 - Pay &amp; Agency'!E42</f>
        <v>278</v>
      </c>
      <c r="CT42" s="1342">
        <f>'B2 - Pay &amp; Agency'!F42</f>
        <v>278</v>
      </c>
      <c r="CU42" s="1342">
        <f>'B2 - Pay &amp; Agency'!G42</f>
        <v>278</v>
      </c>
      <c r="CV42" s="1342">
        <f>'B2 - Pay &amp; Agency'!H42</f>
        <v>278</v>
      </c>
      <c r="CW42" s="1342">
        <f>'B2 - Pay &amp; Agency'!I42</f>
        <v>278</v>
      </c>
      <c r="CX42" s="1342">
        <f>'B2 - Pay &amp; Agency'!J42</f>
        <v>278</v>
      </c>
      <c r="CY42" s="1342">
        <f>'B2 - Pay &amp; Agency'!K42</f>
        <v>278</v>
      </c>
      <c r="CZ42" s="1342">
        <f>'B2 - Pay &amp; Agency'!L42</f>
        <v>278</v>
      </c>
      <c r="DA42" s="1342">
        <f>'B2 - Pay &amp; Agency'!M42</f>
        <v>278</v>
      </c>
      <c r="DB42" s="1343">
        <f>'B2 - Pay &amp; Agency'!N42</f>
        <v>278</v>
      </c>
      <c r="DC42" s="1344">
        <f>'B2 - Pay &amp; Agency'!O42</f>
        <v>278</v>
      </c>
      <c r="DD42" s="1345">
        <f>'B2 - Pay &amp; Agency'!P42</f>
        <v>3336</v>
      </c>
      <c r="DF42" s="2748">
        <f>'B3 - COVID-19'!A42</f>
        <v>31</v>
      </c>
      <c r="DG42" s="2834" t="str">
        <f>'B3 - COVID-19'!B42</f>
        <v>Actual/Forecast Funding for C19 Health Protection (including Testing, Tracing and Surveillance)</v>
      </c>
      <c r="DH42" s="1331">
        <f>'B3 - COVID-19'!C42</f>
        <v>924.67499999999995</v>
      </c>
      <c r="DI42" s="1326">
        <f>'B3 - COVID-19'!D42</f>
        <v>961.21992440240967</v>
      </c>
      <c r="DJ42" s="1326">
        <f>'B3 - COVID-19'!E42</f>
        <v>1450.7191580776007</v>
      </c>
      <c r="DK42" s="1326">
        <f>'B3 - COVID-19'!F42</f>
        <v>1025.2170494024097</v>
      </c>
      <c r="DL42" s="1326">
        <f>'B3 - COVID-19'!G42</f>
        <v>1015.7170494024097</v>
      </c>
      <c r="DM42" s="1326">
        <f>'B3 - COVID-19'!H42</f>
        <v>1472.2601664109341</v>
      </c>
      <c r="DN42" s="1326">
        <f>'B3 - COVID-19'!I42</f>
        <v>1271.7207621373325</v>
      </c>
      <c r="DO42" s="1326">
        <f>'B3 - COVID-19'!J42</f>
        <v>1276.9411909931173</v>
      </c>
      <c r="DP42" s="1326">
        <f>'B3 - COVID-19'!K42</f>
        <v>1801.278153803999</v>
      </c>
      <c r="DQ42" s="1326">
        <f>'B3 - COVID-19'!L42</f>
        <v>1309.7207621373325</v>
      </c>
      <c r="DR42" s="1326">
        <f>'B3 - COVID-19'!M42</f>
        <v>1205.8446648489023</v>
      </c>
      <c r="DS42" s="2728">
        <f>'B3 - COVID-19'!N42</f>
        <v>1724.6858860262212</v>
      </c>
      <c r="DT42" s="2802">
        <f>'B3 - COVID-19'!O42</f>
        <v>924.67499999999995</v>
      </c>
      <c r="DU42" s="2803">
        <f>'B3 - COVID-19'!P42</f>
        <v>15439.999767642668</v>
      </c>
      <c r="DV42" s="608"/>
      <c r="DW42" s="1116"/>
      <c r="DY42" s="1930"/>
      <c r="DZ42" s="1930"/>
      <c r="EA42" s="1930"/>
      <c r="EB42" s="107"/>
      <c r="EC42" s="107"/>
      <c r="ED42" s="107"/>
      <c r="EE42" s="107"/>
      <c r="EF42" s="107"/>
      <c r="EG42" s="107"/>
      <c r="EH42" s="107"/>
      <c r="EI42" s="107"/>
      <c r="EJ42" s="107"/>
      <c r="EK42" s="107"/>
      <c r="EL42" s="107"/>
      <c r="EM42" s="107"/>
      <c r="EN42" s="107"/>
      <c r="EO42" s="1178"/>
      <c r="EP42" s="1930"/>
      <c r="EQ42" s="1930"/>
      <c r="ER42" s="1930"/>
      <c r="ES42" s="1930"/>
      <c r="ET42" s="1930"/>
      <c r="EU42" s="1930"/>
      <c r="EV42" s="1930"/>
      <c r="EW42" s="1930"/>
      <c r="EX42" s="3074"/>
      <c r="EY42" s="1063" t="str">
        <f>'Table C4 Tracker'!B36</f>
        <v>Total Plan</v>
      </c>
      <c r="EZ42" s="1705">
        <f>'Table C4 Tracker'!C36</f>
        <v>0</v>
      </c>
      <c r="FA42" s="1706">
        <f>'Table C4 Tracker'!D36</f>
        <v>1244.4166666666665</v>
      </c>
      <c r="FB42" s="1706">
        <f>'Table C4 Tracker'!E36</f>
        <v>175.41666666666666</v>
      </c>
      <c r="FC42" s="1706">
        <f>'Table C4 Tracker'!F36</f>
        <v>175.41666666666666</v>
      </c>
      <c r="FD42" s="1706">
        <f>'Table C4 Tracker'!G36</f>
        <v>175.41666666666666</v>
      </c>
      <c r="FE42" s="1706">
        <f>'Table C4 Tracker'!H36</f>
        <v>175.41666666666666</v>
      </c>
      <c r="FF42" s="1706">
        <f>'Table C4 Tracker'!I36</f>
        <v>175.41666666666666</v>
      </c>
      <c r="FG42" s="1706">
        <f>'Table C4 Tracker'!J36</f>
        <v>175.41666666666666</v>
      </c>
      <c r="FH42" s="1706">
        <f>'Table C4 Tracker'!K36</f>
        <v>175.41666666666666</v>
      </c>
      <c r="FI42" s="1706">
        <f>'Table C4 Tracker'!L36</f>
        <v>175.41666666666666</v>
      </c>
      <c r="FJ42" s="1706">
        <f>'Table C4 Tracker'!M36</f>
        <v>175.41666666666666</v>
      </c>
      <c r="FK42" s="1706">
        <f>'Table C4 Tracker'!N36</f>
        <v>175.41666666666666</v>
      </c>
      <c r="FL42" s="1709">
        <f>'Table C4 Tracker'!O36</f>
        <v>175.41666666666666</v>
      </c>
      <c r="FM42" s="120">
        <f>'Table C4 Tracker'!P36</f>
        <v>1244.4166666666665</v>
      </c>
      <c r="FN42" s="1707">
        <f>'Table C4 Tracker'!Q36</f>
        <v>3173.9999999999991</v>
      </c>
      <c r="FO42" s="1709">
        <f>'Table C4 Tracker'!R36</f>
        <v>661</v>
      </c>
      <c r="FP42" s="1709">
        <f>'Table C4 Tracker'!S36</f>
        <v>2513</v>
      </c>
      <c r="FQ42" s="1709">
        <f>'Table C4 Tracker'!T36</f>
        <v>0</v>
      </c>
      <c r="FR42" s="1709">
        <f>'Table C4 Tracker'!U36</f>
        <v>2513</v>
      </c>
      <c r="FS42" s="2242"/>
      <c r="GF42" s="2112">
        <f>'E - Resource Limits'!A42</f>
        <v>30</v>
      </c>
      <c r="GG42" s="2113">
        <f>'E - Resource Limits'!B42</f>
        <v>0</v>
      </c>
      <c r="GH42" s="2114">
        <f>'E - Resource Limits'!C42</f>
        <v>0</v>
      </c>
      <c r="GI42" s="2114">
        <f>'E - Resource Limits'!D42</f>
        <v>0</v>
      </c>
      <c r="GJ42" s="2114">
        <f>'E - Resource Limits'!E42</f>
        <v>0</v>
      </c>
      <c r="GK42" s="2114">
        <f>'E - Resource Limits'!F42</f>
        <v>0</v>
      </c>
      <c r="GL42" s="2048">
        <f>'E - Resource Limits'!G42</f>
        <v>0</v>
      </c>
      <c r="GM42" s="2115">
        <f>'E - Resource Limits'!H42</f>
        <v>0</v>
      </c>
      <c r="GN42" s="2114">
        <f>'E - Resource Limits'!I42</f>
        <v>0</v>
      </c>
      <c r="GO42" s="2114">
        <f>'E - Resource Limits'!J42</f>
        <v>0</v>
      </c>
      <c r="GP42" s="2114">
        <f>'E - Resource Limits'!K42</f>
        <v>0</v>
      </c>
      <c r="GQ42" s="2116">
        <f>'E - Resource Limits'!L42</f>
        <v>0</v>
      </c>
      <c r="GR42" s="1935">
        <f t="shared" si="6"/>
        <v>0</v>
      </c>
      <c r="GT42" s="175">
        <f>'E1 - Invoiced Income'!A42</f>
        <v>31</v>
      </c>
      <c r="GU42" s="1797">
        <f>'E1 - Invoiced Income'!B42</f>
        <v>0</v>
      </c>
      <c r="GV42" s="1798">
        <f>'E1 - Invoiced Income'!C42</f>
        <v>0</v>
      </c>
      <c r="GW42" s="1798">
        <f>'E1 - Invoiced Income'!D42</f>
        <v>0</v>
      </c>
      <c r="GX42" s="1798">
        <f>'E1 - Invoiced Income'!E42</f>
        <v>0</v>
      </c>
      <c r="GY42" s="1798">
        <f>'E1 - Invoiced Income'!F42</f>
        <v>0</v>
      </c>
      <c r="GZ42" s="1798">
        <f>'E1 - Invoiced Income'!G42</f>
        <v>0</v>
      </c>
      <c r="HA42" s="1798">
        <f>'E1 - Invoiced Income'!H42</f>
        <v>0</v>
      </c>
      <c r="HB42" s="1798">
        <f>'E1 - Invoiced Income'!I42</f>
        <v>0</v>
      </c>
      <c r="HC42" s="1798">
        <f>'E1 - Invoiced Income'!J42</f>
        <v>0</v>
      </c>
      <c r="HD42" s="1798">
        <f>'E1 - Invoiced Income'!K42</f>
        <v>0</v>
      </c>
      <c r="HE42" s="1798">
        <f>'E1 - Invoiced Income'!L42</f>
        <v>0</v>
      </c>
      <c r="HF42" s="1798">
        <f>'E1 - Invoiced Income'!M42</f>
        <v>0</v>
      </c>
      <c r="HG42" s="1798">
        <f>'E1 - Invoiced Income'!N42</f>
        <v>0</v>
      </c>
      <c r="HH42" s="1798">
        <f>'E1 - Invoiced Income'!O42</f>
        <v>0</v>
      </c>
      <c r="HI42" s="1798">
        <f>'E1 - Invoiced Income'!P42</f>
        <v>0</v>
      </c>
      <c r="HJ42" s="1798">
        <f>'E1 - Invoiced Income'!R42</f>
        <v>0</v>
      </c>
      <c r="HK42" s="1798">
        <f>'E1 - Invoiced Income'!S42</f>
        <v>0</v>
      </c>
      <c r="HL42" s="1665">
        <f>'E1 - Invoiced Income'!T42</f>
        <v>0</v>
      </c>
      <c r="HM42" s="1799">
        <f>'E1 - Invoiced Income'!U42</f>
        <v>0</v>
      </c>
      <c r="HO42" s="2049"/>
      <c r="HP42" s="2032" t="str">
        <f>'F - SoFP'!B42</f>
        <v>FINANCED BY:</v>
      </c>
      <c r="HQ42" s="2097"/>
      <c r="HR42" s="2098"/>
      <c r="HS42" s="2098"/>
      <c r="HT42" s="1946"/>
      <c r="HV42" s="1745"/>
      <c r="HW42" s="1745"/>
      <c r="HX42" s="1745"/>
      <c r="HY42" s="1745"/>
      <c r="HZ42" s="1745"/>
      <c r="IA42" s="1745"/>
      <c r="IB42" s="1745"/>
      <c r="IC42" s="1745"/>
      <c r="ID42" s="1745"/>
      <c r="IE42" s="1745"/>
      <c r="IF42" s="1745"/>
      <c r="IG42" s="1745"/>
      <c r="IH42" s="1745"/>
      <c r="II42" s="1745"/>
      <c r="IJ42" s="1942"/>
      <c r="IK42" s="1942"/>
      <c r="JD42" s="2088">
        <f>'I - Capital RLM'!A42</f>
        <v>24</v>
      </c>
      <c r="JE42" s="2126">
        <f>'I - Capital RLM'!B42</f>
        <v>0</v>
      </c>
      <c r="JF42" s="2010">
        <f>'I - Capital RLM'!C42</f>
        <v>0</v>
      </c>
      <c r="JG42" s="2010">
        <f>'I - Capital RLM'!D42</f>
        <v>0</v>
      </c>
      <c r="JH42" s="2118">
        <f>'I - Capital RLM'!E42</f>
        <v>0</v>
      </c>
      <c r="JI42" s="2119">
        <f>'I - Capital RLM'!F42</f>
        <v>0</v>
      </c>
      <c r="JJ42" s="2010">
        <f>'I - Capital RLM'!G42</f>
        <v>0</v>
      </c>
      <c r="JK42" s="2010">
        <f>'I - Capital RLM'!H42</f>
        <v>0</v>
      </c>
      <c r="JL42" s="2118">
        <f>'I - Capital RLM'!I42</f>
        <v>0</v>
      </c>
      <c r="JM42" s="2120"/>
      <c r="JN42" s="1890">
        <f>'I - Capital RLM'!K42</f>
        <v>0</v>
      </c>
      <c r="JO42" s="2120">
        <f t="shared" si="7"/>
        <v>0</v>
      </c>
      <c r="JQ42" s="2088">
        <f>'J - Capital In Year Schemes'!A42</f>
        <v>31</v>
      </c>
      <c r="JR42" s="2089">
        <f>'J - Capital In Year Schemes'!B42</f>
        <v>0</v>
      </c>
      <c r="JS42" s="2089">
        <f>'J - Capital In Year Schemes'!C42</f>
        <v>0</v>
      </c>
      <c r="JT42" s="2010">
        <f>'J - Capital In Year Schemes'!D42</f>
        <v>0</v>
      </c>
      <c r="JU42" s="2010">
        <f>'J - Capital In Year Schemes'!E42</f>
        <v>0</v>
      </c>
      <c r="JV42" s="2010">
        <f>'J - Capital In Year Schemes'!F42</f>
        <v>0</v>
      </c>
      <c r="JW42" s="2010">
        <f>'J - Capital In Year Schemes'!G42</f>
        <v>0</v>
      </c>
      <c r="JX42" s="2010">
        <f>'J - Capital In Year Schemes'!H42</f>
        <v>0</v>
      </c>
      <c r="JY42" s="2010">
        <f>'J - Capital In Year Schemes'!I42</f>
        <v>0</v>
      </c>
      <c r="JZ42" s="2010">
        <f>'J - Capital In Year Schemes'!J42</f>
        <v>0</v>
      </c>
      <c r="KA42" s="2010">
        <f>'J - Capital In Year Schemes'!K42</f>
        <v>0</v>
      </c>
      <c r="KB42" s="2010">
        <f>'J - Capital In Year Schemes'!L42</f>
        <v>0</v>
      </c>
      <c r="KC42" s="2010">
        <f>'J - Capital In Year Schemes'!M42</f>
        <v>0</v>
      </c>
      <c r="KD42" s="2010">
        <f>'J - Capital In Year Schemes'!N42</f>
        <v>0</v>
      </c>
      <c r="KE42" s="2010">
        <f>'J - Capital In Year Schemes'!O42</f>
        <v>0</v>
      </c>
      <c r="KF42" s="2010">
        <f>'J - Capital In Year Schemes'!P42</f>
        <v>0</v>
      </c>
      <c r="KG42" s="2010">
        <f>'J - Capital In Year Schemes'!Q42</f>
        <v>0</v>
      </c>
      <c r="KH42" s="2090">
        <f>'J - Capital In Year Schemes'!R42</f>
        <v>0</v>
      </c>
      <c r="KI42" s="2090">
        <f>'J - Capital In Year Schemes'!S42</f>
        <v>0</v>
      </c>
      <c r="KJ42" s="2091">
        <f>'J - Capital In Year Schemes'!T42</f>
        <v>0</v>
      </c>
      <c r="KK42" s="2060">
        <f t="shared" si="5"/>
        <v>0</v>
      </c>
      <c r="KM42" s="2053">
        <f>'K - Capital Disposals'!A42</f>
        <v>27</v>
      </c>
      <c r="KN42" s="2220">
        <f>'K - Capital Disposals'!B42</f>
        <v>0</v>
      </c>
      <c r="KO42" s="2062">
        <f>'K - Capital Disposals'!C42</f>
        <v>0</v>
      </c>
      <c r="KP42" s="2062">
        <f>'K - Capital Disposals'!D42</f>
        <v>0</v>
      </c>
      <c r="KQ42" s="2078">
        <f>'K - Capital Disposals'!E42</f>
        <v>0</v>
      </c>
      <c r="KR42" s="2064">
        <f>'K - Capital Disposals'!F42</f>
        <v>0</v>
      </c>
      <c r="KS42" s="2064">
        <f>'K - Capital Disposals'!G42</f>
        <v>0</v>
      </c>
      <c r="KT42" s="2054">
        <f>'K - Capital Disposals'!H42</f>
        <v>0</v>
      </c>
      <c r="KU42" s="2055">
        <f>'K - Capital Disposals'!I42</f>
        <v>0</v>
      </c>
      <c r="KV42" s="2121">
        <f>'K - Capital Disposals'!J42</f>
        <v>0</v>
      </c>
      <c r="KW42" s="2093"/>
      <c r="KX42" s="2093"/>
      <c r="KY42" s="2093"/>
      <c r="KZ42" s="2093"/>
      <c r="LA42" s="2093"/>
      <c r="LB42" s="2094"/>
      <c r="LC42" s="1935"/>
      <c r="LL42" s="814"/>
      <c r="LM42" s="2264">
        <f>'M - Aged Debtors'!B42</f>
        <v>0</v>
      </c>
      <c r="LN42" s="2265">
        <f>'M - Aged Debtors'!C42</f>
        <v>0</v>
      </c>
      <c r="LO42" s="2266">
        <f>'M - Aged Debtors'!D42</f>
        <v>0</v>
      </c>
      <c r="LP42" s="2267">
        <f>'M - Aged Debtors'!E42</f>
        <v>0</v>
      </c>
      <c r="LQ42" s="2268">
        <f>'M - Aged Debtors'!F42</f>
        <v>0</v>
      </c>
      <c r="LR42" s="832" t="str">
        <f>'M - Aged Debtors'!G42</f>
        <v/>
      </c>
      <c r="LS42" s="829" t="str">
        <f>'M - Aged Debtors'!H42</f>
        <v/>
      </c>
      <c r="LT42" s="829" t="str">
        <f>'M - Aged Debtors'!I42</f>
        <v/>
      </c>
      <c r="LU42" s="830" t="str">
        <f>'M - Aged Debtors'!J42</f>
        <v/>
      </c>
      <c r="LV42" s="1830">
        <f>'M - Aged Debtors'!K42</f>
        <v>0</v>
      </c>
      <c r="LX42" s="3114" t="str">
        <f>'N - GMS'!A42</f>
        <v xml:space="preserve">Asylum Seekers &amp; Refugees </v>
      </c>
      <c r="LY42" s="3115"/>
      <c r="LZ42" s="461">
        <f>'N - GMS'!C42</f>
        <v>24</v>
      </c>
      <c r="MA42" s="67">
        <f>'N - GMS'!D42</f>
        <v>0</v>
      </c>
      <c r="MB42" s="1028">
        <f>'N - GMS'!E42</f>
        <v>0</v>
      </c>
      <c r="MC42" s="1028">
        <f>'N - GMS'!F42</f>
        <v>0</v>
      </c>
      <c r="MD42" s="2284">
        <f>'N - GMS'!G42</f>
        <v>0</v>
      </c>
      <c r="ME42" s="1170"/>
      <c r="MF42" s="1028">
        <f>'N - GMS'!I42</f>
        <v>0</v>
      </c>
      <c r="MH42" s="1876">
        <f>'O - Dental'!A42</f>
        <v>0</v>
      </c>
      <c r="MI42" s="1877"/>
      <c r="MJ42" s="701">
        <f>'O - Dental'!C42</f>
        <v>32</v>
      </c>
      <c r="MK42" s="664">
        <f>'O - Dental'!D42</f>
        <v>0</v>
      </c>
      <c r="ML42" s="2270">
        <f>'O - Dental'!E42</f>
        <v>0</v>
      </c>
      <c r="MM42" s="2271">
        <f>'O - Dental'!F42</f>
        <v>0</v>
      </c>
      <c r="MN42" s="2272">
        <f>'O - Dental'!G42</f>
        <v>0</v>
      </c>
      <c r="MO42" s="308"/>
      <c r="MP42" s="1765">
        <f>'O - Dental'!I42</f>
        <v>0</v>
      </c>
      <c r="MR42" s="684"/>
      <c r="MS42" s="3018" t="str">
        <f>'P - Ringfenced'!B42</f>
        <v>Value Based Health Care</v>
      </c>
      <c r="MT42" s="1101" t="str">
        <f>'P - Ringfenced'!C42</f>
        <v>Plan</v>
      </c>
      <c r="MU42" s="2655">
        <f>'P - Ringfenced'!D42</f>
        <v>0</v>
      </c>
      <c r="MV42" s="2655">
        <f>'P - Ringfenced'!E42</f>
        <v>0</v>
      </c>
      <c r="MW42" s="2693">
        <f>'P - Ringfenced'!F42</f>
        <v>0</v>
      </c>
      <c r="MX42" s="2693">
        <f>'P - Ringfenced'!G42</f>
        <v>0</v>
      </c>
      <c r="MY42" s="2693">
        <f>'P - Ringfenced'!H42</f>
        <v>0</v>
      </c>
      <c r="MZ42" s="2693">
        <f>'P - Ringfenced'!I42</f>
        <v>0</v>
      </c>
      <c r="NA42" s="2693">
        <f>'P - Ringfenced'!J42</f>
        <v>0</v>
      </c>
      <c r="NB42" s="2693">
        <f>'P - Ringfenced'!K42</f>
        <v>0</v>
      </c>
      <c r="NC42" s="2693">
        <f>'P - Ringfenced'!L42</f>
        <v>0</v>
      </c>
      <c r="ND42" s="2693">
        <f>'P - Ringfenced'!M42</f>
        <v>0</v>
      </c>
      <c r="NE42" s="2693">
        <f>'P - Ringfenced'!N42</f>
        <v>0</v>
      </c>
      <c r="NF42" s="2693">
        <f>'P - Ringfenced'!O42</f>
        <v>0</v>
      </c>
      <c r="NG42" s="2693">
        <f>'P - Ringfenced'!P42</f>
        <v>0</v>
      </c>
      <c r="NH42" s="2693">
        <f>'P - Ringfenced'!Q42</f>
        <v>0</v>
      </c>
      <c r="NI42" s="1324">
        <f>'P - Ringfenced'!R42</f>
        <v>0</v>
      </c>
      <c r="NJ42" s="1325">
        <f>'P - Ringfenced'!S42</f>
        <v>0</v>
      </c>
      <c r="NK42" s="2860"/>
      <c r="NL42" s="684"/>
    </row>
    <row r="43" spans="13:376" ht="20.149999999999999" customHeight="1" thickBot="1">
      <c r="M43" s="950">
        <f>'A - Movement'!A43</f>
        <v>33</v>
      </c>
      <c r="N43" s="1893">
        <f>'A - Movement'!B43</f>
        <v>0</v>
      </c>
      <c r="O43" s="1131">
        <f>'A - Movement'!C43</f>
        <v>0</v>
      </c>
      <c r="P43" s="1131">
        <f>'A - Movement'!D43</f>
        <v>0</v>
      </c>
      <c r="Q43" s="954">
        <f>'A - Movement'!E43</f>
        <v>0</v>
      </c>
      <c r="R43" s="954">
        <f>'A - Movement'!F43</f>
        <v>0</v>
      </c>
      <c r="S43" s="1745"/>
      <c r="U43" s="950">
        <f>'A - Movement'!I43</f>
        <v>33</v>
      </c>
      <c r="V43" s="1893">
        <f t="shared" si="15"/>
        <v>0</v>
      </c>
      <c r="W43" s="954">
        <f>'A - Movement'!J43</f>
        <v>0</v>
      </c>
      <c r="X43" s="954">
        <f>'A - Movement'!K43</f>
        <v>0</v>
      </c>
      <c r="Y43" s="954">
        <f>'A - Movement'!L43</f>
        <v>0</v>
      </c>
      <c r="Z43" s="954">
        <f>'A - Movement'!M43</f>
        <v>0</v>
      </c>
      <c r="AA43" s="954">
        <f>'A - Movement'!N43</f>
        <v>0</v>
      </c>
      <c r="AB43" s="954">
        <f>'A - Movement'!O43</f>
        <v>0</v>
      </c>
      <c r="AC43" s="954">
        <f>'A - Movement'!P43</f>
        <v>0</v>
      </c>
      <c r="AD43" s="954">
        <f>'A - Movement'!Q43</f>
        <v>0</v>
      </c>
      <c r="AE43" s="954">
        <f>'A - Movement'!R43</f>
        <v>0</v>
      </c>
      <c r="AF43" s="954">
        <f>'A - Movement'!S43</f>
        <v>0</v>
      </c>
      <c r="AG43" s="954">
        <f>'A - Movement'!T43</f>
        <v>0</v>
      </c>
      <c r="AH43" s="954">
        <f>'A - Movement'!U43</f>
        <v>0</v>
      </c>
      <c r="AI43" s="1131">
        <f>'A - Movement'!V43</f>
        <v>0</v>
      </c>
      <c r="AJ43" s="1131">
        <f>'A - Movement'!W43</f>
        <v>0</v>
      </c>
      <c r="AK43" s="1131">
        <f t="shared" si="16"/>
        <v>0</v>
      </c>
      <c r="AL43" s="954">
        <f t="shared" si="17"/>
        <v>0</v>
      </c>
      <c r="AM43" s="954">
        <f t="shared" si="18"/>
        <v>0</v>
      </c>
      <c r="AN43" s="1745"/>
      <c r="AO43" s="1928"/>
      <c r="AP43" s="1401">
        <f>'A1 - Underlying Position'!A44</f>
        <v>5</v>
      </c>
      <c r="AQ43" s="1411" t="str">
        <f>'A1 - Underlying Position'!B44</f>
        <v xml:space="preserve">Scheduled Care </v>
      </c>
      <c r="AR43" s="1800">
        <f>'A1 - Underlying Position'!C44</f>
        <v>0</v>
      </c>
      <c r="AS43" s="2273">
        <f>'A1 - Underlying Position'!D44</f>
        <v>0</v>
      </c>
      <c r="AT43" s="2273">
        <f>'A1 - Underlying Position'!E44</f>
        <v>0</v>
      </c>
      <c r="AU43" s="75">
        <f>'A1 - Underlying Position'!F44</f>
        <v>0</v>
      </c>
      <c r="AV43" s="2274">
        <f>'A1 - Underlying Position'!G44</f>
        <v>0</v>
      </c>
      <c r="AW43" s="75">
        <f>'A1 - Underlying Position'!H44</f>
        <v>0</v>
      </c>
      <c r="AX43" s="2594"/>
      <c r="AZ43" s="357">
        <f>'A2 - Risks'!A43</f>
        <v>34</v>
      </c>
      <c r="BA43" s="949" t="str">
        <f>'A2 - Risks'!B43</f>
        <v>Total Further Opportunities</v>
      </c>
      <c r="BB43" s="1143">
        <f>'A2 - Risks'!C43</f>
        <v>0</v>
      </c>
      <c r="BC43" s="358" t="str">
        <f>'A2 - Risks'!D43</f>
        <v xml:space="preserve"> </v>
      </c>
      <c r="BE43" s="2233">
        <f>'B - Monthly Positions'!A43</f>
        <v>28</v>
      </c>
      <c r="BF43" s="1372" t="str">
        <f>'B - Monthly Positions'!B43</f>
        <v>Primary Care</v>
      </c>
      <c r="BG43" s="1705" t="str">
        <f>'B - Monthly Positions'!C43</f>
        <v>Actual/F'cast</v>
      </c>
      <c r="BH43" s="3005">
        <f>'B - Monthly Positions'!D43</f>
        <v>0</v>
      </c>
      <c r="BI43" s="1140"/>
      <c r="BJ43" s="1140"/>
      <c r="BK43" s="1140"/>
      <c r="BL43" s="1140"/>
      <c r="BM43" s="1140"/>
      <c r="BN43" s="1140"/>
      <c r="BO43" s="1140"/>
      <c r="BP43" s="1140"/>
      <c r="BQ43" s="1140"/>
      <c r="BR43" s="1140"/>
      <c r="BS43" s="1140"/>
      <c r="BT43" s="1140"/>
      <c r="BU43" s="1140"/>
      <c r="BV43" s="2234"/>
      <c r="BW43" s="1930"/>
      <c r="BX43" s="890">
        <f>' Table Z Net Exp Profiles'!A43</f>
        <v>27</v>
      </c>
      <c r="BY43" s="1260" t="str">
        <f>' Table Z Net Exp Profiles'!B43</f>
        <v>Gross Non Pay - Actual/Forecast</v>
      </c>
      <c r="BZ43" s="964">
        <f>' Table Z Net Exp Profiles'!C43</f>
        <v>0</v>
      </c>
      <c r="CA43" s="964">
        <f>' Table Z Net Exp Profiles'!D43</f>
        <v>0</v>
      </c>
      <c r="CB43" s="964">
        <f>' Table Z Net Exp Profiles'!E43</f>
        <v>0</v>
      </c>
      <c r="CC43" s="964">
        <f>' Table Z Net Exp Profiles'!F43</f>
        <v>0</v>
      </c>
      <c r="CD43" s="964">
        <f>' Table Z Net Exp Profiles'!G43</f>
        <v>0</v>
      </c>
      <c r="CE43" s="964">
        <f>' Table Z Net Exp Profiles'!H43</f>
        <v>0</v>
      </c>
      <c r="CF43" s="964">
        <f>' Table Z Net Exp Profiles'!I43</f>
        <v>0</v>
      </c>
      <c r="CG43" s="964">
        <f>' Table Z Net Exp Profiles'!J43</f>
        <v>0</v>
      </c>
      <c r="CH43" s="964">
        <f>' Table Z Net Exp Profiles'!K43</f>
        <v>0</v>
      </c>
      <c r="CI43" s="964">
        <f>' Table Z Net Exp Profiles'!L43</f>
        <v>0</v>
      </c>
      <c r="CJ43" s="964">
        <f>' Table Z Net Exp Profiles'!M43</f>
        <v>0</v>
      </c>
      <c r="CK43" s="1242">
        <f>' Table Z Net Exp Profiles'!N43</f>
        <v>0</v>
      </c>
      <c r="CL43" s="1058">
        <f>' Table Z Net Exp Profiles'!O43</f>
        <v>0</v>
      </c>
      <c r="CM43" s="1215">
        <f>' Table Z Net Exp Profiles'!P43</f>
        <v>0</v>
      </c>
      <c r="CO43" s="1352"/>
      <c r="CP43" s="80"/>
      <c r="CQ43" s="308"/>
      <c r="CR43" s="308"/>
      <c r="CS43" s="308"/>
      <c r="CT43" s="308"/>
      <c r="CU43" s="308"/>
      <c r="CV43" s="308"/>
      <c r="CW43" s="308"/>
      <c r="CX43" s="308"/>
      <c r="CY43" s="308"/>
      <c r="CZ43" s="308"/>
      <c r="DA43" s="308"/>
      <c r="DB43" s="308"/>
      <c r="DC43" s="308"/>
      <c r="DD43" s="608"/>
      <c r="DF43" s="2748">
        <f>'B3 - COVID-19'!A43</f>
        <v>32</v>
      </c>
      <c r="DG43" s="2834" t="str">
        <f>'B3 - COVID-19'!B43</f>
        <v>Internal Budget Virement into Covid-19 Health Protection (including Testing, Tracing and Surveillance) (incl pay awards)</v>
      </c>
      <c r="DH43" s="1331">
        <f>'B3 - COVID-19'!C43</f>
        <v>0</v>
      </c>
      <c r="DI43" s="1326">
        <f>'B3 - COVID-19'!D43</f>
        <v>0</v>
      </c>
      <c r="DJ43" s="1326">
        <f>'B3 - COVID-19'!E43</f>
        <v>0</v>
      </c>
      <c r="DK43" s="1326">
        <f>'B3 - COVID-19'!F43</f>
        <v>0</v>
      </c>
      <c r="DL43" s="1326">
        <f>'B3 - COVID-19'!G43</f>
        <v>0</v>
      </c>
      <c r="DM43" s="1326">
        <f>'B3 - COVID-19'!H43</f>
        <v>0</v>
      </c>
      <c r="DN43" s="1326">
        <f>'B3 - COVID-19'!I43</f>
        <v>0</v>
      </c>
      <c r="DO43" s="1326">
        <f>'B3 - COVID-19'!J43</f>
        <v>0</v>
      </c>
      <c r="DP43" s="1326">
        <f>'B3 - COVID-19'!K43</f>
        <v>0</v>
      </c>
      <c r="DQ43" s="1326">
        <f>'B3 - COVID-19'!L43</f>
        <v>0</v>
      </c>
      <c r="DR43" s="1326">
        <f>'B3 - COVID-19'!M43</f>
        <v>0</v>
      </c>
      <c r="DS43" s="2728">
        <f>'B3 - COVID-19'!N43</f>
        <v>0</v>
      </c>
      <c r="DT43" s="2802">
        <f>'B3 - COVID-19'!O43</f>
        <v>0</v>
      </c>
      <c r="DU43" s="2803">
        <f>'B3 - COVID-19'!P43</f>
        <v>0</v>
      </c>
      <c r="DV43" s="608"/>
      <c r="DW43" s="1116"/>
      <c r="DY43" s="1930"/>
      <c r="DZ43" s="1930"/>
      <c r="EA43" s="1930"/>
      <c r="EB43" s="2283"/>
      <c r="EC43" s="2283"/>
      <c r="ED43" s="2283"/>
      <c r="EE43" s="2283"/>
      <c r="EF43" s="2283"/>
      <c r="EG43" s="2283"/>
      <c r="EH43" s="2283"/>
      <c r="EI43" s="2283"/>
      <c r="EJ43" s="2283"/>
      <c r="EK43" s="2283" t="str">
        <f>'C, C1, C2&amp; C3 - Savings Schemes'!M43</f>
        <v>Ok</v>
      </c>
      <c r="EL43" s="2283" t="str">
        <f>'C, C1, C2&amp; C3 - Savings Schemes'!N43</f>
        <v>Ok</v>
      </c>
      <c r="EM43" s="2283" t="str">
        <f>'C, C1, C2&amp; C3 - Savings Schemes'!O43</f>
        <v>Ok</v>
      </c>
      <c r="EN43" s="1957">
        <f>'C, C1, C2&amp; C3 - Savings Schemes'!P43</f>
        <v>12</v>
      </c>
      <c r="EO43" s="1178"/>
      <c r="EP43" s="1930"/>
      <c r="EQ43" s="1930"/>
      <c r="ER43" s="1930"/>
      <c r="ES43" s="1930"/>
      <c r="ET43" s="1930"/>
      <c r="EU43" s="1930"/>
      <c r="EV43" s="1930"/>
      <c r="EW43" s="1930"/>
      <c r="EX43" s="3074"/>
      <c r="EY43" s="1698" t="str">
        <f>'Table C4 Tracker'!B37</f>
        <v>Total Actual/Forecast</v>
      </c>
      <c r="EZ43" s="1371">
        <f>'Table C4 Tracker'!C37</f>
        <v>0</v>
      </c>
      <c r="FA43" s="1708">
        <f>'Table C4 Tracker'!D37</f>
        <v>1244.4166666666665</v>
      </c>
      <c r="FB43" s="1708">
        <f>'Table C4 Tracker'!E37</f>
        <v>175.41666666666666</v>
      </c>
      <c r="FC43" s="1708">
        <f>'Table C4 Tracker'!F37</f>
        <v>175.41666666666666</v>
      </c>
      <c r="FD43" s="1708">
        <f>'Table C4 Tracker'!G37</f>
        <v>175.41666666666666</v>
      </c>
      <c r="FE43" s="1708">
        <f>'Table C4 Tracker'!H37</f>
        <v>175.41666666666666</v>
      </c>
      <c r="FF43" s="1708">
        <f>'Table C4 Tracker'!I37</f>
        <v>175.41666666666666</v>
      </c>
      <c r="FG43" s="1708">
        <f>'Table C4 Tracker'!J37</f>
        <v>175.41666666666666</v>
      </c>
      <c r="FH43" s="1708">
        <f>'Table C4 Tracker'!K37</f>
        <v>175.41666666666666</v>
      </c>
      <c r="FI43" s="1708">
        <f>'Table C4 Tracker'!L37</f>
        <v>175.41666666666666</v>
      </c>
      <c r="FJ43" s="1708">
        <f>'Table C4 Tracker'!M37</f>
        <v>175.41666666666666</v>
      </c>
      <c r="FK43" s="1708">
        <f>'Table C4 Tracker'!N37</f>
        <v>175.41666666666666</v>
      </c>
      <c r="FL43" s="1577">
        <f>'Table C4 Tracker'!O37</f>
        <v>175.41666666666666</v>
      </c>
      <c r="FM43" s="942">
        <f>'Table C4 Tracker'!P37</f>
        <v>1244.4166666666665</v>
      </c>
      <c r="FN43" s="939">
        <f>'Table C4 Tracker'!Q37</f>
        <v>3173.9999999999991</v>
      </c>
      <c r="FO43" s="1577">
        <f>'Table C4 Tracker'!R37</f>
        <v>661</v>
      </c>
      <c r="FP43" s="1577">
        <f>'Table C4 Tracker'!S37</f>
        <v>2513</v>
      </c>
      <c r="FQ43" s="1577">
        <f>'Table C4 Tracker'!T37</f>
        <v>0</v>
      </c>
      <c r="FR43" s="1577">
        <f>'Table C4 Tracker'!U37</f>
        <v>2513</v>
      </c>
      <c r="FS43" s="2242"/>
      <c r="GF43" s="2112">
        <f>'E - Resource Limits'!A43</f>
        <v>31</v>
      </c>
      <c r="GG43" s="2113">
        <f>'E - Resource Limits'!B43</f>
        <v>0</v>
      </c>
      <c r="GH43" s="2114">
        <f>'E - Resource Limits'!C43</f>
        <v>0</v>
      </c>
      <c r="GI43" s="2114">
        <f>'E - Resource Limits'!D43</f>
        <v>0</v>
      </c>
      <c r="GJ43" s="2114">
        <f>'E - Resource Limits'!E43</f>
        <v>0</v>
      </c>
      <c r="GK43" s="2114">
        <f>'E - Resource Limits'!F43</f>
        <v>0</v>
      </c>
      <c r="GL43" s="2048">
        <f>'E - Resource Limits'!G43</f>
        <v>0</v>
      </c>
      <c r="GM43" s="2115">
        <f>'E - Resource Limits'!H43</f>
        <v>0</v>
      </c>
      <c r="GN43" s="2114">
        <f>'E - Resource Limits'!I43</f>
        <v>0</v>
      </c>
      <c r="GO43" s="2114">
        <f>'E - Resource Limits'!J43</f>
        <v>0</v>
      </c>
      <c r="GP43" s="2114">
        <f>'E - Resource Limits'!K43</f>
        <v>0</v>
      </c>
      <c r="GQ43" s="2116">
        <f>'E - Resource Limits'!L43</f>
        <v>0</v>
      </c>
      <c r="GR43" s="1935">
        <f t="shared" si="6"/>
        <v>0</v>
      </c>
      <c r="GT43" s="175">
        <f>'E1 - Invoiced Income'!A43</f>
        <v>32</v>
      </c>
      <c r="GU43" s="1797">
        <f>'E1 - Invoiced Income'!B43</f>
        <v>0</v>
      </c>
      <c r="GV43" s="1798">
        <f>'E1 - Invoiced Income'!C43</f>
        <v>0</v>
      </c>
      <c r="GW43" s="1798">
        <f>'E1 - Invoiced Income'!D43</f>
        <v>0</v>
      </c>
      <c r="GX43" s="1798">
        <f>'E1 - Invoiced Income'!E43</f>
        <v>0</v>
      </c>
      <c r="GY43" s="1798">
        <f>'E1 - Invoiced Income'!F43</f>
        <v>0</v>
      </c>
      <c r="GZ43" s="1798">
        <f>'E1 - Invoiced Income'!G43</f>
        <v>0</v>
      </c>
      <c r="HA43" s="1798">
        <f>'E1 - Invoiced Income'!H43</f>
        <v>0</v>
      </c>
      <c r="HB43" s="1798">
        <f>'E1 - Invoiced Income'!I43</f>
        <v>0</v>
      </c>
      <c r="HC43" s="1798">
        <f>'E1 - Invoiced Income'!J43</f>
        <v>0</v>
      </c>
      <c r="HD43" s="1798">
        <f>'E1 - Invoiced Income'!K43</f>
        <v>0</v>
      </c>
      <c r="HE43" s="1798">
        <f>'E1 - Invoiced Income'!L43</f>
        <v>0</v>
      </c>
      <c r="HF43" s="1798">
        <f>'E1 - Invoiced Income'!M43</f>
        <v>0</v>
      </c>
      <c r="HG43" s="1798">
        <f>'E1 - Invoiced Income'!N43</f>
        <v>0</v>
      </c>
      <c r="HH43" s="1798">
        <f>'E1 - Invoiced Income'!O43</f>
        <v>0</v>
      </c>
      <c r="HI43" s="1798">
        <f>'E1 - Invoiced Income'!P43</f>
        <v>0</v>
      </c>
      <c r="HJ43" s="1798">
        <f>'E1 - Invoiced Income'!R43</f>
        <v>0</v>
      </c>
      <c r="HK43" s="1798">
        <f>'E1 - Invoiced Income'!S43</f>
        <v>0</v>
      </c>
      <c r="HL43" s="1665">
        <f>'E1 - Invoiced Income'!T43</f>
        <v>0</v>
      </c>
      <c r="HM43" s="1799">
        <f>'E1 - Invoiced Income'!U43</f>
        <v>0</v>
      </c>
      <c r="HO43" s="2049"/>
      <c r="HP43" s="2032" t="str">
        <f>'F - SoFP'!B43</f>
        <v>Taxpayers' Equity</v>
      </c>
      <c r="HQ43" s="2097"/>
      <c r="HR43" s="2098"/>
      <c r="HS43" s="2098"/>
      <c r="HT43" s="1946"/>
      <c r="HV43" s="1745"/>
      <c r="HW43" s="1745"/>
      <c r="HX43" s="1745"/>
      <c r="HY43" s="1745"/>
      <c r="HZ43" s="1745"/>
      <c r="IA43" s="1745"/>
      <c r="IB43" s="1745"/>
      <c r="IC43" s="1745"/>
      <c r="ID43" s="1745"/>
      <c r="IE43" s="1745"/>
      <c r="IF43" s="1745"/>
      <c r="IG43" s="1745"/>
      <c r="IH43" s="1745"/>
      <c r="II43" s="1745"/>
      <c r="IJ43" s="1942"/>
      <c r="IK43" s="1942"/>
      <c r="JD43" s="2088">
        <f>'I - Capital RLM'!A43</f>
        <v>25</v>
      </c>
      <c r="JE43" s="2126">
        <f>'I - Capital RLM'!B43</f>
        <v>0</v>
      </c>
      <c r="JF43" s="2010">
        <f>'I - Capital RLM'!C43</f>
        <v>0</v>
      </c>
      <c r="JG43" s="2010">
        <f>'I - Capital RLM'!D43</f>
        <v>0</v>
      </c>
      <c r="JH43" s="2118">
        <f>'I - Capital RLM'!E43</f>
        <v>0</v>
      </c>
      <c r="JI43" s="2119">
        <f>'I - Capital RLM'!F43</f>
        <v>0</v>
      </c>
      <c r="JJ43" s="2010">
        <f>'I - Capital RLM'!G43</f>
        <v>0</v>
      </c>
      <c r="JK43" s="2010">
        <f>'I - Capital RLM'!H43</f>
        <v>0</v>
      </c>
      <c r="JL43" s="2118">
        <f>'I - Capital RLM'!I43</f>
        <v>0</v>
      </c>
      <c r="JM43" s="2120"/>
      <c r="JN43" s="1890">
        <f>'I - Capital RLM'!K43</f>
        <v>0</v>
      </c>
      <c r="JO43" s="2120">
        <f t="shared" si="7"/>
        <v>0</v>
      </c>
      <c r="JQ43" s="2088">
        <f>'J - Capital In Year Schemes'!A43</f>
        <v>32</v>
      </c>
      <c r="JR43" s="2089">
        <f>'J - Capital In Year Schemes'!B43</f>
        <v>0</v>
      </c>
      <c r="JS43" s="2089">
        <f>'J - Capital In Year Schemes'!C43</f>
        <v>0</v>
      </c>
      <c r="JT43" s="2010">
        <f>'J - Capital In Year Schemes'!D43</f>
        <v>0</v>
      </c>
      <c r="JU43" s="2010">
        <f>'J - Capital In Year Schemes'!E43</f>
        <v>0</v>
      </c>
      <c r="JV43" s="2010">
        <f>'J - Capital In Year Schemes'!F43</f>
        <v>0</v>
      </c>
      <c r="JW43" s="2010">
        <f>'J - Capital In Year Schemes'!G43</f>
        <v>0</v>
      </c>
      <c r="JX43" s="2010">
        <f>'J - Capital In Year Schemes'!H43</f>
        <v>0</v>
      </c>
      <c r="JY43" s="2010">
        <f>'J - Capital In Year Schemes'!I43</f>
        <v>0</v>
      </c>
      <c r="JZ43" s="2010">
        <f>'J - Capital In Year Schemes'!J43</f>
        <v>0</v>
      </c>
      <c r="KA43" s="2010">
        <f>'J - Capital In Year Schemes'!K43</f>
        <v>0</v>
      </c>
      <c r="KB43" s="2010">
        <f>'J - Capital In Year Schemes'!L43</f>
        <v>0</v>
      </c>
      <c r="KC43" s="2010">
        <f>'J - Capital In Year Schemes'!M43</f>
        <v>0</v>
      </c>
      <c r="KD43" s="2010">
        <f>'J - Capital In Year Schemes'!N43</f>
        <v>0</v>
      </c>
      <c r="KE43" s="2010">
        <f>'J - Capital In Year Schemes'!O43</f>
        <v>0</v>
      </c>
      <c r="KF43" s="2010">
        <f>'J - Capital In Year Schemes'!P43</f>
        <v>0</v>
      </c>
      <c r="KG43" s="2010">
        <f>'J - Capital In Year Schemes'!Q43</f>
        <v>0</v>
      </c>
      <c r="KH43" s="2090">
        <f>'J - Capital In Year Schemes'!R43</f>
        <v>0</v>
      </c>
      <c r="KI43" s="2090">
        <f>'J - Capital In Year Schemes'!S43</f>
        <v>0</v>
      </c>
      <c r="KJ43" s="2091">
        <f>'J - Capital In Year Schemes'!T43</f>
        <v>0</v>
      </c>
      <c r="KK43" s="2060">
        <f t="shared" si="5"/>
        <v>0</v>
      </c>
      <c r="KM43" s="2053">
        <f>'K - Capital Disposals'!A43</f>
        <v>28</v>
      </c>
      <c r="KN43" s="2220">
        <f>'K - Capital Disposals'!B43</f>
        <v>0</v>
      </c>
      <c r="KO43" s="2062">
        <f>'K - Capital Disposals'!C43</f>
        <v>0</v>
      </c>
      <c r="KP43" s="2062">
        <f>'K - Capital Disposals'!D43</f>
        <v>0</v>
      </c>
      <c r="KQ43" s="2078">
        <f>'K - Capital Disposals'!E43</f>
        <v>0</v>
      </c>
      <c r="KR43" s="2064">
        <f>'K - Capital Disposals'!F43</f>
        <v>0</v>
      </c>
      <c r="KS43" s="2064">
        <f>'K - Capital Disposals'!G43</f>
        <v>0</v>
      </c>
      <c r="KT43" s="2054">
        <f>'K - Capital Disposals'!H43</f>
        <v>0</v>
      </c>
      <c r="KU43" s="2055">
        <f>'K - Capital Disposals'!I43</f>
        <v>0</v>
      </c>
      <c r="KV43" s="2121">
        <f>'K - Capital Disposals'!J43</f>
        <v>0</v>
      </c>
      <c r="KW43" s="2093"/>
      <c r="KX43" s="2093"/>
      <c r="KY43" s="2093"/>
      <c r="KZ43" s="2093"/>
      <c r="LA43" s="2093"/>
      <c r="LB43" s="2094"/>
      <c r="LC43" s="1935"/>
      <c r="LL43" s="814"/>
      <c r="LM43" s="2264">
        <f>'M - Aged Debtors'!B43</f>
        <v>0</v>
      </c>
      <c r="LN43" s="2265">
        <f>'M - Aged Debtors'!C43</f>
        <v>0</v>
      </c>
      <c r="LO43" s="2266">
        <f>'M - Aged Debtors'!D43</f>
        <v>0</v>
      </c>
      <c r="LP43" s="2267">
        <f>'M - Aged Debtors'!E43</f>
        <v>0</v>
      </c>
      <c r="LQ43" s="2268">
        <f>'M - Aged Debtors'!F43</f>
        <v>0</v>
      </c>
      <c r="LR43" s="832" t="str">
        <f>'M - Aged Debtors'!G43</f>
        <v/>
      </c>
      <c r="LS43" s="829" t="str">
        <f>'M - Aged Debtors'!H43</f>
        <v/>
      </c>
      <c r="LT43" s="829" t="str">
        <f>'M - Aged Debtors'!I43</f>
        <v/>
      </c>
      <c r="LU43" s="830" t="str">
        <f>'M - Aged Debtors'!J43</f>
        <v/>
      </c>
      <c r="LV43" s="1830">
        <f>'M - Aged Debtors'!K43</f>
        <v>0</v>
      </c>
      <c r="LX43" s="3114" t="str">
        <f>'N - GMS'!A43</f>
        <v>Care of Diabetes</v>
      </c>
      <c r="LY43" s="3115"/>
      <c r="LZ43" s="461">
        <f>'N - GMS'!C43</f>
        <v>25</v>
      </c>
      <c r="MA43" s="67">
        <f>'N - GMS'!D43</f>
        <v>0</v>
      </c>
      <c r="MB43" s="1028">
        <f>'N - GMS'!E43</f>
        <v>0</v>
      </c>
      <c r="MC43" s="1028">
        <f>'N - GMS'!F43</f>
        <v>0</v>
      </c>
      <c r="MD43" s="2294">
        <f>'N - GMS'!G43</f>
        <v>0</v>
      </c>
      <c r="ME43" s="1170"/>
      <c r="MF43" s="1028">
        <f>'N - GMS'!I43</f>
        <v>0</v>
      </c>
      <c r="MH43" s="1876">
        <f>'O - Dental'!A43</f>
        <v>0</v>
      </c>
      <c r="MI43" s="1877"/>
      <c r="MJ43" s="701">
        <f>'O - Dental'!C43</f>
        <v>33</v>
      </c>
      <c r="MK43" s="664">
        <f>'O - Dental'!D43</f>
        <v>0</v>
      </c>
      <c r="ML43" s="2270">
        <f>'O - Dental'!E43</f>
        <v>0</v>
      </c>
      <c r="MM43" s="2271">
        <f>'O - Dental'!F43</f>
        <v>0</v>
      </c>
      <c r="MN43" s="2272">
        <f>'O - Dental'!G43</f>
        <v>0</v>
      </c>
      <c r="MO43" s="308"/>
      <c r="MP43" s="1765">
        <f>'O - Dental'!I43</f>
        <v>0</v>
      </c>
      <c r="MR43" s="684"/>
      <c r="MS43" s="3019">
        <f>'P - Ringfenced'!B43</f>
        <v>0</v>
      </c>
      <c r="MT43" s="2661" t="str">
        <f>'P - Ringfenced'!C43</f>
        <v>Actual/Forecast - not yet committed</v>
      </c>
      <c r="MU43" s="2656">
        <f>'P - Ringfenced'!D43</f>
        <v>0</v>
      </c>
      <c r="MV43" s="2656">
        <f>'P - Ringfenced'!E43</f>
        <v>0</v>
      </c>
      <c r="MW43" s="2693">
        <f>'P - Ringfenced'!F43</f>
        <v>0</v>
      </c>
      <c r="MX43" s="2693">
        <f>'P - Ringfenced'!G43</f>
        <v>0</v>
      </c>
      <c r="MY43" s="2693">
        <f>'P - Ringfenced'!H43</f>
        <v>0</v>
      </c>
      <c r="MZ43" s="2693">
        <f>'P - Ringfenced'!I43</f>
        <v>0</v>
      </c>
      <c r="NA43" s="2693">
        <f>'P - Ringfenced'!J43</f>
        <v>0</v>
      </c>
      <c r="NB43" s="2693">
        <f>'P - Ringfenced'!K43</f>
        <v>0</v>
      </c>
      <c r="NC43" s="2693">
        <f>'P - Ringfenced'!L43</f>
        <v>0</v>
      </c>
      <c r="ND43" s="2693">
        <f>'P - Ringfenced'!M43</f>
        <v>0</v>
      </c>
      <c r="NE43" s="2693">
        <f>'P - Ringfenced'!N43</f>
        <v>0</v>
      </c>
      <c r="NF43" s="2693">
        <f>'P - Ringfenced'!O43</f>
        <v>0</v>
      </c>
      <c r="NG43" s="2693">
        <f>'P - Ringfenced'!P43</f>
        <v>0</v>
      </c>
      <c r="NH43" s="2693">
        <f>'P - Ringfenced'!Q43</f>
        <v>0</v>
      </c>
      <c r="NI43" s="1324">
        <f>'P - Ringfenced'!R43</f>
        <v>0</v>
      </c>
      <c r="NJ43" s="1325">
        <f>'P - Ringfenced'!S43</f>
        <v>0</v>
      </c>
      <c r="NK43" s="2861"/>
      <c r="NL43" s="684"/>
    </row>
    <row r="44" spans="13:376" ht="20.149999999999999" customHeight="1" thickBot="1">
      <c r="M44" s="950">
        <f>'A - Movement'!A44</f>
        <v>34</v>
      </c>
      <c r="N44" s="1893">
        <f>'A - Movement'!B44</f>
        <v>0</v>
      </c>
      <c r="O44" s="1131">
        <f>'A - Movement'!C44</f>
        <v>0</v>
      </c>
      <c r="P44" s="1131">
        <f>'A - Movement'!D44</f>
        <v>0</v>
      </c>
      <c r="Q44" s="954">
        <f>'A - Movement'!E44</f>
        <v>0</v>
      </c>
      <c r="R44" s="954">
        <f>'A - Movement'!F44</f>
        <v>0</v>
      </c>
      <c r="S44" s="1745"/>
      <c r="U44" s="950">
        <f>'A - Movement'!I44</f>
        <v>34</v>
      </c>
      <c r="V44" s="1893">
        <f t="shared" si="15"/>
        <v>0</v>
      </c>
      <c r="W44" s="954">
        <f>'A - Movement'!J44</f>
        <v>0</v>
      </c>
      <c r="X44" s="954">
        <f>'A - Movement'!K44</f>
        <v>0</v>
      </c>
      <c r="Y44" s="954">
        <f>'A - Movement'!L44</f>
        <v>0</v>
      </c>
      <c r="Z44" s="954">
        <f>'A - Movement'!M44</f>
        <v>0</v>
      </c>
      <c r="AA44" s="954">
        <f>'A - Movement'!N44</f>
        <v>0</v>
      </c>
      <c r="AB44" s="954">
        <f>'A - Movement'!O44</f>
        <v>0</v>
      </c>
      <c r="AC44" s="954">
        <f>'A - Movement'!P44</f>
        <v>0</v>
      </c>
      <c r="AD44" s="954">
        <f>'A - Movement'!Q44</f>
        <v>0</v>
      </c>
      <c r="AE44" s="954">
        <f>'A - Movement'!R44</f>
        <v>0</v>
      </c>
      <c r="AF44" s="954">
        <f>'A - Movement'!S44</f>
        <v>0</v>
      </c>
      <c r="AG44" s="954">
        <f>'A - Movement'!T44</f>
        <v>0</v>
      </c>
      <c r="AH44" s="954">
        <f>'A - Movement'!U44</f>
        <v>0</v>
      </c>
      <c r="AI44" s="1131">
        <f>'A - Movement'!V44</f>
        <v>0</v>
      </c>
      <c r="AJ44" s="1131">
        <f>'A - Movement'!W44</f>
        <v>0</v>
      </c>
      <c r="AK44" s="1131">
        <f t="shared" si="16"/>
        <v>0</v>
      </c>
      <c r="AL44" s="954">
        <f t="shared" si="17"/>
        <v>0</v>
      </c>
      <c r="AM44" s="954">
        <f t="shared" si="18"/>
        <v>0</v>
      </c>
      <c r="AN44" s="1745"/>
      <c r="AO44" s="1928"/>
      <c r="AP44" s="1402">
        <f>'A1 - Underlying Position'!A45</f>
        <v>6</v>
      </c>
      <c r="AQ44" s="1411" t="str">
        <f>'A1 - Underlying Position'!B45</f>
        <v>Unscheduled Care</v>
      </c>
      <c r="AR44" s="1800">
        <f>'A1 - Underlying Position'!C45</f>
        <v>0</v>
      </c>
      <c r="AS44" s="2273">
        <f>'A1 - Underlying Position'!D45</f>
        <v>0</v>
      </c>
      <c r="AT44" s="2273">
        <f>'A1 - Underlying Position'!E45</f>
        <v>0</v>
      </c>
      <c r="AU44" s="75">
        <f>'A1 - Underlying Position'!F45</f>
        <v>0</v>
      </c>
      <c r="AV44" s="2274">
        <f>'A1 - Underlying Position'!G45</f>
        <v>0</v>
      </c>
      <c r="AW44" s="75">
        <f>'A1 - Underlying Position'!H45</f>
        <v>0</v>
      </c>
      <c r="AX44" s="2594"/>
      <c r="AZ44" s="915"/>
      <c r="BA44" s="1204"/>
      <c r="BB44" s="197"/>
      <c r="BC44" s="197"/>
      <c r="BE44" s="2233">
        <f>'B - Monthly Positions'!A44</f>
        <v>29</v>
      </c>
      <c r="BF44" s="1373" t="str">
        <f>'B - Monthly Positions'!B44</f>
        <v>Mental Health</v>
      </c>
      <c r="BG44" s="93" t="str">
        <f>'B - Monthly Positions'!C44</f>
        <v>Actual/F'cast</v>
      </c>
      <c r="BH44" s="3005">
        <f>'B - Monthly Positions'!D44</f>
        <v>0</v>
      </c>
      <c r="BI44" s="1140"/>
      <c r="BJ44" s="1140"/>
      <c r="BK44" s="1140"/>
      <c r="BL44" s="1140"/>
      <c r="BM44" s="1140"/>
      <c r="BN44" s="1140"/>
      <c r="BO44" s="1140"/>
      <c r="BP44" s="1140"/>
      <c r="BQ44" s="1140"/>
      <c r="BR44" s="1140"/>
      <c r="BS44" s="1140"/>
      <c r="BT44" s="1140"/>
      <c r="BU44" s="1140"/>
      <c r="BV44" s="2234"/>
      <c r="BW44" s="1930"/>
      <c r="BX44" s="890">
        <f>' Table Z Net Exp Profiles'!A44</f>
        <v>28</v>
      </c>
      <c r="BY44" s="1275" t="str">
        <f>' Table Z Net Exp Profiles'!B44</f>
        <v xml:space="preserve">Additional Non Pay Costs due to Covid-19 - Actual/Forecast </v>
      </c>
      <c r="BZ44" s="964">
        <f>' Table Z Net Exp Profiles'!C44</f>
        <v>0</v>
      </c>
      <c r="CA44" s="964">
        <f>' Table Z Net Exp Profiles'!D44</f>
        <v>0</v>
      </c>
      <c r="CB44" s="964">
        <f>' Table Z Net Exp Profiles'!E44</f>
        <v>0</v>
      </c>
      <c r="CC44" s="964">
        <f>' Table Z Net Exp Profiles'!F44</f>
        <v>0</v>
      </c>
      <c r="CD44" s="964">
        <f>' Table Z Net Exp Profiles'!G44</f>
        <v>0</v>
      </c>
      <c r="CE44" s="964">
        <f>' Table Z Net Exp Profiles'!H44</f>
        <v>0</v>
      </c>
      <c r="CF44" s="964">
        <f>' Table Z Net Exp Profiles'!I44</f>
        <v>0</v>
      </c>
      <c r="CG44" s="964">
        <f>' Table Z Net Exp Profiles'!J44</f>
        <v>0</v>
      </c>
      <c r="CH44" s="964">
        <f>' Table Z Net Exp Profiles'!K44</f>
        <v>0</v>
      </c>
      <c r="CI44" s="964">
        <f>' Table Z Net Exp Profiles'!L44</f>
        <v>0</v>
      </c>
      <c r="CJ44" s="964">
        <f>' Table Z Net Exp Profiles'!M44</f>
        <v>0</v>
      </c>
      <c r="CK44" s="1242">
        <f>' Table Z Net Exp Profiles'!N44</f>
        <v>0</v>
      </c>
      <c r="CL44" s="1215">
        <f>' Table Z Net Exp Profiles'!O44</f>
        <v>0</v>
      </c>
      <c r="CM44" s="1215">
        <f>' Table Z Net Exp Profiles'!P44</f>
        <v>0</v>
      </c>
      <c r="CO44" s="1353">
        <f>'B2 - Pay &amp; Agency'!A44</f>
        <v>11</v>
      </c>
      <c r="CP44" s="1357" t="str">
        <f>'B2 - Pay &amp; Agency'!B44</f>
        <v>Agency/Locum (premium) % of pay</v>
      </c>
      <c r="CQ44" s="1356">
        <f>'B2 - Pay &amp; Agency'!C44</f>
        <v>2.7386464387745051E-2</v>
      </c>
      <c r="CR44" s="1354">
        <f>'B2 - Pay &amp; Agency'!D44</f>
        <v>2.8275167488412314E-2</v>
      </c>
      <c r="CS44" s="1354">
        <f>'B2 - Pay &amp; Agency'!E44</f>
        <v>2.8158573100164744E-2</v>
      </c>
      <c r="CT44" s="1354">
        <f>'B2 - Pay &amp; Agency'!F44</f>
        <v>2.8074401563813509E-2</v>
      </c>
      <c r="CU44" s="1354">
        <f>'B2 - Pay &amp; Agency'!G44</f>
        <v>2.8094261661240183E-2</v>
      </c>
      <c r="CV44" s="1354">
        <f>'B2 - Pay &amp; Agency'!H44</f>
        <v>2.8067482098648681E-2</v>
      </c>
      <c r="CW44" s="1354">
        <f>'B2 - Pay &amp; Agency'!I44</f>
        <v>2.8082010463617038E-2</v>
      </c>
      <c r="CX44" s="1354">
        <f>'B2 - Pay &amp; Agency'!J44</f>
        <v>2.8082010463617038E-2</v>
      </c>
      <c r="CY44" s="1354">
        <f>'B2 - Pay &amp; Agency'!K44</f>
        <v>2.8113144216845909E-2</v>
      </c>
      <c r="CZ44" s="1354">
        <f>'B2 - Pay &amp; Agency'!L44</f>
        <v>2.8118935899869402E-2</v>
      </c>
      <c r="DA44" s="1354">
        <f>'B2 - Pay &amp; Agency'!M44</f>
        <v>2.8173983832705637E-2</v>
      </c>
      <c r="DB44" s="1354">
        <f>'B2 - Pay &amp; Agency'!N44</f>
        <v>2.8142601780160165E-2</v>
      </c>
      <c r="DC44" s="1354">
        <f>'B2 - Pay &amp; Agency'!O44</f>
        <v>2.7386464387745051E-2</v>
      </c>
      <c r="DD44" s="1355">
        <f>'B2 - Pay &amp; Agency'!P44</f>
        <v>2.8062456590340099E-2</v>
      </c>
      <c r="DF44" s="2748">
        <f>'B3 - COVID-19'!A44</f>
        <v>33</v>
      </c>
      <c r="DG44" s="2834" t="str">
        <f>'B3 - COVID-19'!B44</f>
        <v>Total Actual/Forecast Funding</v>
      </c>
      <c r="DH44" s="2799">
        <f>'B3 - COVID-19'!C44</f>
        <v>924.67499999999995</v>
      </c>
      <c r="DI44" s="2798">
        <f>'B3 - COVID-19'!D44</f>
        <v>961.21992440240967</v>
      </c>
      <c r="DJ44" s="2798">
        <f>'B3 - COVID-19'!E44</f>
        <v>1450.7191580776007</v>
      </c>
      <c r="DK44" s="2798">
        <f>'B3 - COVID-19'!F44</f>
        <v>1025.2170494024097</v>
      </c>
      <c r="DL44" s="2798">
        <f>'B3 - COVID-19'!G44</f>
        <v>1015.7170494024097</v>
      </c>
      <c r="DM44" s="2798">
        <f>'B3 - COVID-19'!H44</f>
        <v>1472.2601664109341</v>
      </c>
      <c r="DN44" s="2798">
        <f>'B3 - COVID-19'!I44</f>
        <v>1271.7207621373325</v>
      </c>
      <c r="DO44" s="2798">
        <f>'B3 - COVID-19'!J44</f>
        <v>1276.9411909931173</v>
      </c>
      <c r="DP44" s="2798">
        <f>'B3 - COVID-19'!K44</f>
        <v>1801.278153803999</v>
      </c>
      <c r="DQ44" s="2798">
        <f>'B3 - COVID-19'!L44</f>
        <v>1309.7207621373325</v>
      </c>
      <c r="DR44" s="2798">
        <f>'B3 - COVID-19'!M44</f>
        <v>1205.8446648489023</v>
      </c>
      <c r="DS44" s="2803">
        <f>'B3 - COVID-19'!N44</f>
        <v>1724.6858860262212</v>
      </c>
      <c r="DT44" s="2802">
        <f>'B3 - COVID-19'!O44</f>
        <v>924.67499999999995</v>
      </c>
      <c r="DU44" s="2803">
        <f>'B3 - COVID-19'!P44</f>
        <v>15439.999767642668</v>
      </c>
      <c r="DV44" s="608"/>
      <c r="DW44" s="1116"/>
      <c r="DY44" s="2290"/>
      <c r="DZ44" s="1940" t="str">
        <f>'C, C1, C2&amp; C3 - Savings Schemes'!B44</f>
        <v>Public Health Wales Trust</v>
      </c>
      <c r="EA44" s="1932"/>
      <c r="EB44" s="612"/>
      <c r="EC44" s="612"/>
      <c r="ED44" s="612"/>
      <c r="EE44" s="612"/>
      <c r="EF44" s="612"/>
      <c r="EG44" s="916"/>
      <c r="EH44" s="612"/>
      <c r="EI44" s="612"/>
      <c r="EJ44" s="612"/>
      <c r="EK44" s="612"/>
      <c r="EL44" s="612"/>
      <c r="EM44" s="2291" t="str">
        <f>'C, C1, C2&amp; C3 - Savings Schemes'!O44</f>
        <v>Period :</v>
      </c>
      <c r="EN44" s="1179" t="str">
        <f>'C, C1, C2&amp; C3 - Savings Schemes'!P44</f>
        <v>Apr 23</v>
      </c>
      <c r="EO44" s="1930"/>
      <c r="EP44" s="1930"/>
      <c r="EQ44" s="1930"/>
      <c r="ER44" s="1930"/>
      <c r="ES44" s="1930"/>
      <c r="ET44" s="1930"/>
      <c r="EU44" s="1930"/>
      <c r="EV44" s="1930"/>
      <c r="EW44" s="1930"/>
      <c r="EX44" s="3075"/>
      <c r="EY44" s="1700" t="str">
        <f>'Table C4 Tracker'!B38</f>
        <v>Total Variance</v>
      </c>
      <c r="EZ44" s="1109">
        <f>'Table C4 Tracker'!C38</f>
        <v>0</v>
      </c>
      <c r="FA44" s="1703">
        <f>'Table C4 Tracker'!D38</f>
        <v>0</v>
      </c>
      <c r="FB44" s="1703">
        <f>'Table C4 Tracker'!E38</f>
        <v>0</v>
      </c>
      <c r="FC44" s="1703">
        <f>'Table C4 Tracker'!F38</f>
        <v>0</v>
      </c>
      <c r="FD44" s="1703">
        <f>'Table C4 Tracker'!G38</f>
        <v>0</v>
      </c>
      <c r="FE44" s="1703">
        <f>'Table C4 Tracker'!H38</f>
        <v>0</v>
      </c>
      <c r="FF44" s="1703">
        <f>'Table C4 Tracker'!I38</f>
        <v>0</v>
      </c>
      <c r="FG44" s="1703">
        <f>'Table C4 Tracker'!J38</f>
        <v>0</v>
      </c>
      <c r="FH44" s="1703">
        <f>'Table C4 Tracker'!K38</f>
        <v>0</v>
      </c>
      <c r="FI44" s="1703">
        <f>'Table C4 Tracker'!L38</f>
        <v>0</v>
      </c>
      <c r="FJ44" s="1703">
        <f>'Table C4 Tracker'!M38</f>
        <v>0</v>
      </c>
      <c r="FK44" s="1703">
        <f>'Table C4 Tracker'!N38</f>
        <v>0</v>
      </c>
      <c r="FL44" s="1710">
        <f>'Table C4 Tracker'!O38</f>
        <v>0</v>
      </c>
      <c r="FM44" s="1703">
        <f>'Table C4 Tracker'!P38</f>
        <v>0</v>
      </c>
      <c r="FN44" s="1702">
        <f>'Table C4 Tracker'!Q38</f>
        <v>0</v>
      </c>
      <c r="FO44" s="1710">
        <f>'Table C4 Tracker'!R38</f>
        <v>0</v>
      </c>
      <c r="FP44" s="1710">
        <f>'Table C4 Tracker'!S38</f>
        <v>0</v>
      </c>
      <c r="FQ44" s="1710">
        <f>'Table C4 Tracker'!T38</f>
        <v>0</v>
      </c>
      <c r="FR44" s="1710">
        <f>'Table C4 Tracker'!U38</f>
        <v>0</v>
      </c>
      <c r="FS44" s="2242"/>
      <c r="GF44" s="2112">
        <f>'E - Resource Limits'!A44</f>
        <v>32</v>
      </c>
      <c r="GG44" s="2113">
        <f>'E - Resource Limits'!B44</f>
        <v>0</v>
      </c>
      <c r="GH44" s="2114">
        <f>'E - Resource Limits'!C44</f>
        <v>0</v>
      </c>
      <c r="GI44" s="2114">
        <f>'E - Resource Limits'!D44</f>
        <v>0</v>
      </c>
      <c r="GJ44" s="2114">
        <f>'E - Resource Limits'!E44</f>
        <v>0</v>
      </c>
      <c r="GK44" s="2114">
        <f>'E - Resource Limits'!F44</f>
        <v>0</v>
      </c>
      <c r="GL44" s="2048">
        <f>'E - Resource Limits'!G44</f>
        <v>0</v>
      </c>
      <c r="GM44" s="2115">
        <f>'E - Resource Limits'!H44</f>
        <v>0</v>
      </c>
      <c r="GN44" s="2114">
        <f>'E - Resource Limits'!I44</f>
        <v>0</v>
      </c>
      <c r="GO44" s="2114">
        <f>'E - Resource Limits'!J44</f>
        <v>0</v>
      </c>
      <c r="GP44" s="2114">
        <f>'E - Resource Limits'!K44</f>
        <v>0</v>
      </c>
      <c r="GQ44" s="2116">
        <f>'E - Resource Limits'!L44</f>
        <v>0</v>
      </c>
      <c r="GR44" s="1935">
        <f t="shared" si="6"/>
        <v>0</v>
      </c>
      <c r="GT44" s="175">
        <f>'E1 - Invoiced Income'!A44</f>
        <v>33</v>
      </c>
      <c r="GU44" s="1797">
        <f>'E1 - Invoiced Income'!B44</f>
        <v>0</v>
      </c>
      <c r="GV44" s="1798">
        <f>'E1 - Invoiced Income'!C44</f>
        <v>0</v>
      </c>
      <c r="GW44" s="1798">
        <f>'E1 - Invoiced Income'!D44</f>
        <v>0</v>
      </c>
      <c r="GX44" s="1798">
        <f>'E1 - Invoiced Income'!E44</f>
        <v>0</v>
      </c>
      <c r="GY44" s="1798">
        <f>'E1 - Invoiced Income'!F44</f>
        <v>0</v>
      </c>
      <c r="GZ44" s="1798">
        <f>'E1 - Invoiced Income'!G44</f>
        <v>0</v>
      </c>
      <c r="HA44" s="1798">
        <f>'E1 - Invoiced Income'!H44</f>
        <v>0</v>
      </c>
      <c r="HB44" s="1798">
        <f>'E1 - Invoiced Income'!I44</f>
        <v>0</v>
      </c>
      <c r="HC44" s="1798">
        <f>'E1 - Invoiced Income'!J44</f>
        <v>0</v>
      </c>
      <c r="HD44" s="1798">
        <f>'E1 - Invoiced Income'!K44</f>
        <v>0</v>
      </c>
      <c r="HE44" s="1798">
        <f>'E1 - Invoiced Income'!L44</f>
        <v>0</v>
      </c>
      <c r="HF44" s="1798">
        <f>'E1 - Invoiced Income'!M44</f>
        <v>0</v>
      </c>
      <c r="HG44" s="1798">
        <f>'E1 - Invoiced Income'!N44</f>
        <v>0</v>
      </c>
      <c r="HH44" s="1798">
        <f>'E1 - Invoiced Income'!O44</f>
        <v>0</v>
      </c>
      <c r="HI44" s="1798">
        <f>'E1 - Invoiced Income'!P44</f>
        <v>0</v>
      </c>
      <c r="HJ44" s="1798">
        <f>'E1 - Invoiced Income'!R44</f>
        <v>0</v>
      </c>
      <c r="HK44" s="1798">
        <f>'E1 - Invoiced Income'!S44</f>
        <v>0</v>
      </c>
      <c r="HL44" s="1665">
        <f>'E1 - Invoiced Income'!T44</f>
        <v>0</v>
      </c>
      <c r="HM44" s="1799">
        <f>'E1 - Invoiced Income'!U44</f>
        <v>0</v>
      </c>
      <c r="HO44" s="2007">
        <f>'F - SoFP'!A44</f>
        <v>25</v>
      </c>
      <c r="HP44" s="2008" t="str">
        <f>'F - SoFP'!B44</f>
        <v>General Fund</v>
      </c>
      <c r="HQ44" s="2009">
        <f>'F - SoFP'!C44</f>
        <v>0</v>
      </c>
      <c r="HR44" s="2010">
        <f>'F - SoFP'!D44</f>
        <v>0</v>
      </c>
      <c r="HS44" s="2010">
        <f>'F - SoFP'!E44</f>
        <v>0</v>
      </c>
      <c r="HT44" s="1946"/>
      <c r="HV44" s="1745"/>
      <c r="HW44" s="1745"/>
      <c r="HX44" s="1745"/>
      <c r="HY44" s="1745"/>
      <c r="HZ44" s="1745"/>
      <c r="IA44" s="1745"/>
      <c r="IB44" s="1745"/>
      <c r="IC44" s="1745"/>
      <c r="ID44" s="1745"/>
      <c r="IE44" s="1745"/>
      <c r="IF44" s="1745"/>
      <c r="IG44" s="1745"/>
      <c r="IH44" s="1745"/>
      <c r="II44" s="1745"/>
      <c r="IJ44" s="1942"/>
      <c r="IK44" s="1942"/>
      <c r="JD44" s="2088">
        <f>'I - Capital RLM'!A44</f>
        <v>26</v>
      </c>
      <c r="JE44" s="2126">
        <f>'I - Capital RLM'!B44</f>
        <v>0</v>
      </c>
      <c r="JF44" s="2010">
        <f>'I - Capital RLM'!C44</f>
        <v>0</v>
      </c>
      <c r="JG44" s="2010">
        <f>'I - Capital RLM'!D44</f>
        <v>0</v>
      </c>
      <c r="JH44" s="2118">
        <f>'I - Capital RLM'!E44</f>
        <v>0</v>
      </c>
      <c r="JI44" s="2119">
        <f>'I - Capital RLM'!F44</f>
        <v>0</v>
      </c>
      <c r="JJ44" s="2010">
        <f>'I - Capital RLM'!G44</f>
        <v>0</v>
      </c>
      <c r="JK44" s="2010">
        <f>'I - Capital RLM'!H44</f>
        <v>0</v>
      </c>
      <c r="JL44" s="2118">
        <f>'I - Capital RLM'!I44</f>
        <v>0</v>
      </c>
      <c r="JM44" s="2120"/>
      <c r="JN44" s="1890">
        <f>'I - Capital RLM'!K44</f>
        <v>0</v>
      </c>
      <c r="JO44" s="2120">
        <f t="shared" si="7"/>
        <v>0</v>
      </c>
      <c r="JQ44" s="2293">
        <f>'J - Capital In Year Schemes'!A44</f>
        <v>33</v>
      </c>
      <c r="JR44" s="2074">
        <f>'J - Capital In Year Schemes'!B44</f>
        <v>0</v>
      </c>
      <c r="JS44" s="2074">
        <f>'J - Capital In Year Schemes'!C44</f>
        <v>0</v>
      </c>
      <c r="JT44" s="2052">
        <f>'J - Capital In Year Schemes'!D44</f>
        <v>0</v>
      </c>
      <c r="JU44" s="2052">
        <f>'J - Capital In Year Schemes'!E44</f>
        <v>0</v>
      </c>
      <c r="JV44" s="2052">
        <f>'J - Capital In Year Schemes'!F44</f>
        <v>0</v>
      </c>
      <c r="JW44" s="2052">
        <f>'J - Capital In Year Schemes'!G44</f>
        <v>0</v>
      </c>
      <c r="JX44" s="2052">
        <f>'J - Capital In Year Schemes'!H44</f>
        <v>0</v>
      </c>
      <c r="JY44" s="2052">
        <f>'J - Capital In Year Schemes'!I44</f>
        <v>0</v>
      </c>
      <c r="JZ44" s="2052">
        <f>'J - Capital In Year Schemes'!J44</f>
        <v>0</v>
      </c>
      <c r="KA44" s="2052">
        <f>'J - Capital In Year Schemes'!K44</f>
        <v>0</v>
      </c>
      <c r="KB44" s="2052">
        <f>'J - Capital In Year Schemes'!L44</f>
        <v>0</v>
      </c>
      <c r="KC44" s="2052">
        <f>'J - Capital In Year Schemes'!M44</f>
        <v>0</v>
      </c>
      <c r="KD44" s="2052">
        <f>'J - Capital In Year Schemes'!N44</f>
        <v>0</v>
      </c>
      <c r="KE44" s="2052">
        <f>'J - Capital In Year Schemes'!O44</f>
        <v>0</v>
      </c>
      <c r="KF44" s="2052">
        <f>'J - Capital In Year Schemes'!P44</f>
        <v>0</v>
      </c>
      <c r="KG44" s="2052">
        <f>'J - Capital In Year Schemes'!Q44</f>
        <v>0</v>
      </c>
      <c r="KH44" s="2075">
        <f>'J - Capital In Year Schemes'!R44</f>
        <v>0</v>
      </c>
      <c r="KI44" s="2075">
        <f>'J - Capital In Year Schemes'!S44</f>
        <v>0</v>
      </c>
      <c r="KJ44" s="2076">
        <f>'J - Capital In Year Schemes'!T44</f>
        <v>0</v>
      </c>
      <c r="KK44" s="2060">
        <f t="shared" si="5"/>
        <v>0</v>
      </c>
      <c r="KM44" s="2053">
        <f>'K - Capital Disposals'!A44</f>
        <v>29</v>
      </c>
      <c r="KN44" s="2220">
        <f>'K - Capital Disposals'!B44</f>
        <v>0</v>
      </c>
      <c r="KO44" s="2062">
        <f>'K - Capital Disposals'!C44</f>
        <v>0</v>
      </c>
      <c r="KP44" s="2062">
        <f>'K - Capital Disposals'!D44</f>
        <v>0</v>
      </c>
      <c r="KQ44" s="2078">
        <f>'K - Capital Disposals'!E44</f>
        <v>0</v>
      </c>
      <c r="KR44" s="2064">
        <f>'K - Capital Disposals'!F44</f>
        <v>0</v>
      </c>
      <c r="KS44" s="2064">
        <f>'K - Capital Disposals'!G44</f>
        <v>0</v>
      </c>
      <c r="KT44" s="2054">
        <f>'K - Capital Disposals'!H44</f>
        <v>0</v>
      </c>
      <c r="KU44" s="2055">
        <f>'K - Capital Disposals'!I44</f>
        <v>0</v>
      </c>
      <c r="KV44" s="3100">
        <f>'K - Capital Disposals'!J44</f>
        <v>0</v>
      </c>
      <c r="KW44" s="3095"/>
      <c r="KX44" s="3095"/>
      <c r="KY44" s="3095"/>
      <c r="KZ44" s="3095"/>
      <c r="LA44" s="3095"/>
      <c r="LB44" s="3096"/>
      <c r="LC44" s="1935"/>
      <c r="LL44" s="814"/>
      <c r="LM44" s="2197">
        <f>'M - Aged Debtors'!B44</f>
        <v>0</v>
      </c>
      <c r="LN44" s="2198">
        <f>'M - Aged Debtors'!C44</f>
        <v>0</v>
      </c>
      <c r="LO44" s="2199">
        <f>'M - Aged Debtors'!D44</f>
        <v>0</v>
      </c>
      <c r="LP44" s="2200">
        <f>'M - Aged Debtors'!E44</f>
        <v>0</v>
      </c>
      <c r="LQ44" s="2201">
        <f>'M - Aged Debtors'!F44</f>
        <v>0</v>
      </c>
      <c r="LR44" s="832" t="str">
        <f>'M - Aged Debtors'!G44</f>
        <v/>
      </c>
      <c r="LS44" s="829" t="str">
        <f>'M - Aged Debtors'!H44</f>
        <v/>
      </c>
      <c r="LT44" s="829" t="str">
        <f>'M - Aged Debtors'!I44</f>
        <v/>
      </c>
      <c r="LU44" s="830" t="str">
        <f>'M - Aged Debtors'!J44</f>
        <v/>
      </c>
      <c r="LV44" s="1830">
        <f>'M - Aged Debtors'!K44</f>
        <v>0</v>
      </c>
      <c r="LX44" s="480" t="str">
        <f>'N - GMS'!A44</f>
        <v>Care Homes</v>
      </c>
      <c r="LY44" s="481"/>
      <c r="LZ44" s="461">
        <f>'N - GMS'!C44</f>
        <v>26</v>
      </c>
      <c r="MA44" s="67">
        <f>'N - GMS'!D44</f>
        <v>0</v>
      </c>
      <c r="MB44" s="1028">
        <f>'N - GMS'!E44</f>
        <v>0</v>
      </c>
      <c r="MC44" s="1028">
        <f>'N - GMS'!F44</f>
        <v>0</v>
      </c>
      <c r="MD44" s="2294">
        <f>'N - GMS'!G44</f>
        <v>0</v>
      </c>
      <c r="ME44" s="1170"/>
      <c r="MF44" s="1028">
        <f>'N - GMS'!I44</f>
        <v>0</v>
      </c>
      <c r="MH44" s="1876">
        <f>'O - Dental'!A44</f>
        <v>0</v>
      </c>
      <c r="MI44" s="1877"/>
      <c r="MJ44" s="701">
        <f>'O - Dental'!C44</f>
        <v>34</v>
      </c>
      <c r="MK44" s="664">
        <f>'O - Dental'!D44</f>
        <v>0</v>
      </c>
      <c r="ML44" s="2203">
        <f>'O - Dental'!E44</f>
        <v>0</v>
      </c>
      <c r="MM44" s="2204">
        <f>'O - Dental'!F44</f>
        <v>0</v>
      </c>
      <c r="MN44" s="2205">
        <f>'O - Dental'!G44</f>
        <v>0</v>
      </c>
      <c r="MO44" s="308"/>
      <c r="MP44" s="1765">
        <f>'O - Dental'!I44</f>
        <v>0</v>
      </c>
      <c r="MR44" s="684"/>
      <c r="MS44" s="3019">
        <f>'P - Ringfenced'!B44</f>
        <v>0</v>
      </c>
      <c r="MT44" s="1101" t="str">
        <f>'P - Ringfenced'!C44</f>
        <v>Actual/Forecast - committed</v>
      </c>
      <c r="MU44" s="2656">
        <f>'P - Ringfenced'!D44</f>
        <v>0</v>
      </c>
      <c r="MV44" s="2656">
        <f>'P - Ringfenced'!E44</f>
        <v>0</v>
      </c>
      <c r="MW44" s="2693">
        <f>'P - Ringfenced'!F44</f>
        <v>0</v>
      </c>
      <c r="MX44" s="2693">
        <f>'P - Ringfenced'!G44</f>
        <v>0</v>
      </c>
      <c r="MY44" s="2693">
        <f>'P - Ringfenced'!H44</f>
        <v>0</v>
      </c>
      <c r="MZ44" s="2693">
        <f>'P - Ringfenced'!I44</f>
        <v>0</v>
      </c>
      <c r="NA44" s="2693">
        <f>'P - Ringfenced'!J44</f>
        <v>0</v>
      </c>
      <c r="NB44" s="2693">
        <f>'P - Ringfenced'!K44</f>
        <v>0</v>
      </c>
      <c r="NC44" s="2693">
        <f>'P - Ringfenced'!L44</f>
        <v>0</v>
      </c>
      <c r="ND44" s="2693">
        <f>'P - Ringfenced'!M44</f>
        <v>0</v>
      </c>
      <c r="NE44" s="2693">
        <f>'P - Ringfenced'!N44</f>
        <v>0</v>
      </c>
      <c r="NF44" s="2693">
        <f>'P - Ringfenced'!O44</f>
        <v>0</v>
      </c>
      <c r="NG44" s="2693">
        <f>'P - Ringfenced'!P44</f>
        <v>0</v>
      </c>
      <c r="NH44" s="2693">
        <f>'P - Ringfenced'!Q44</f>
        <v>0</v>
      </c>
      <c r="NI44" s="1324">
        <f>'P - Ringfenced'!R44</f>
        <v>0</v>
      </c>
      <c r="NJ44" s="1325">
        <f>'P - Ringfenced'!S44</f>
        <v>0</v>
      </c>
      <c r="NK44" s="2861"/>
      <c r="NL44" s="684"/>
    </row>
    <row r="45" spans="13:376" ht="20.149999999999999" customHeight="1" thickBot="1">
      <c r="M45" s="950">
        <f>'A - Movement'!A45</f>
        <v>35</v>
      </c>
      <c r="N45" s="1893">
        <f>'A - Movement'!B45</f>
        <v>0</v>
      </c>
      <c r="O45" s="1131">
        <f>'A - Movement'!C45</f>
        <v>0</v>
      </c>
      <c r="P45" s="1131">
        <f>'A - Movement'!D45</f>
        <v>0</v>
      </c>
      <c r="Q45" s="954">
        <f>'A - Movement'!E45</f>
        <v>0</v>
      </c>
      <c r="R45" s="954">
        <f>'A - Movement'!F45</f>
        <v>0</v>
      </c>
      <c r="S45" s="1745"/>
      <c r="U45" s="950">
        <f>'A - Movement'!I45</f>
        <v>35</v>
      </c>
      <c r="V45" s="1893">
        <f t="shared" si="8"/>
        <v>0</v>
      </c>
      <c r="W45" s="954">
        <f>'A - Movement'!J45</f>
        <v>0</v>
      </c>
      <c r="X45" s="954">
        <f>'A - Movement'!K45</f>
        <v>0</v>
      </c>
      <c r="Y45" s="954">
        <f>'A - Movement'!L45</f>
        <v>0</v>
      </c>
      <c r="Z45" s="954">
        <f>'A - Movement'!M45</f>
        <v>0</v>
      </c>
      <c r="AA45" s="954">
        <f>'A - Movement'!N45</f>
        <v>0</v>
      </c>
      <c r="AB45" s="954">
        <f>'A - Movement'!O45</f>
        <v>0</v>
      </c>
      <c r="AC45" s="954">
        <f>'A - Movement'!P45</f>
        <v>0</v>
      </c>
      <c r="AD45" s="954">
        <f>'A - Movement'!Q45</f>
        <v>0</v>
      </c>
      <c r="AE45" s="954">
        <f>'A - Movement'!R45</f>
        <v>0</v>
      </c>
      <c r="AF45" s="954">
        <f>'A - Movement'!S45</f>
        <v>0</v>
      </c>
      <c r="AG45" s="954">
        <f>'A - Movement'!T45</f>
        <v>0</v>
      </c>
      <c r="AH45" s="954">
        <f>'A - Movement'!U45</f>
        <v>0</v>
      </c>
      <c r="AI45" s="1131">
        <f>'A - Movement'!V45</f>
        <v>0</v>
      </c>
      <c r="AJ45" s="1131">
        <f>'A - Movement'!W45</f>
        <v>0</v>
      </c>
      <c r="AK45" s="1131">
        <f t="shared" si="12"/>
        <v>0</v>
      </c>
      <c r="AL45" s="954">
        <f t="shared" si="13"/>
        <v>0</v>
      </c>
      <c r="AM45" s="954">
        <f t="shared" si="14"/>
        <v>0</v>
      </c>
      <c r="AN45" s="1745"/>
      <c r="AO45" s="1928"/>
      <c r="AP45" s="1403">
        <f>'A1 - Underlying Position'!A46</f>
        <v>7</v>
      </c>
      <c r="AQ45" s="1411" t="str">
        <f>'A1 - Underlying Position'!B46</f>
        <v>Children &amp; Women's</v>
      </c>
      <c r="AR45" s="1800">
        <f>'A1 - Underlying Position'!C46</f>
        <v>0</v>
      </c>
      <c r="AS45" s="2251">
        <f>'A1 - Underlying Position'!D46</f>
        <v>0</v>
      </c>
      <c r="AT45" s="2251">
        <f>'A1 - Underlying Position'!E46</f>
        <v>0</v>
      </c>
      <c r="AU45" s="75">
        <f>'A1 - Underlying Position'!F46</f>
        <v>0</v>
      </c>
      <c r="AV45" s="2252">
        <f>'A1 - Underlying Position'!G46</f>
        <v>0</v>
      </c>
      <c r="AW45" s="75">
        <f>'A1 - Underlying Position'!H46</f>
        <v>0</v>
      </c>
      <c r="AX45" s="2594"/>
      <c r="AZ45" s="114">
        <f>'A2 - Risks'!A45</f>
        <v>35</v>
      </c>
      <c r="BA45" s="949" t="str">
        <f>'A2 - Risks'!B45</f>
        <v xml:space="preserve">Current Reported Forecast Outturn </v>
      </c>
      <c r="BB45" s="117">
        <f>'A2 - Risks'!C45</f>
        <v>-1.8999998428625986E-4</v>
      </c>
      <c r="BC45" s="1155">
        <f>'A2 - Risks'!D45</f>
        <v>0</v>
      </c>
      <c r="BE45" s="2233">
        <f>'B - Monthly Positions'!A45</f>
        <v>30</v>
      </c>
      <c r="BF45" s="1373" t="str">
        <f>'B - Monthly Positions'!B45</f>
        <v>Continuing HealthCare</v>
      </c>
      <c r="BG45" s="93" t="str">
        <f>'B - Monthly Positions'!C45</f>
        <v>Actual/F'cast</v>
      </c>
      <c r="BH45" s="3005">
        <f>'B - Monthly Positions'!D45</f>
        <v>0</v>
      </c>
      <c r="BI45" s="1140"/>
      <c r="BJ45" s="1140"/>
      <c r="BK45" s="1140"/>
      <c r="BL45" s="1140"/>
      <c r="BM45" s="1140"/>
      <c r="BN45" s="1140"/>
      <c r="BO45" s="1140"/>
      <c r="BP45" s="1140"/>
      <c r="BQ45" s="1140"/>
      <c r="BR45" s="1140"/>
      <c r="BS45" s="1140"/>
      <c r="BT45" s="1140"/>
      <c r="BU45" s="1140"/>
      <c r="BV45" s="2234"/>
      <c r="BW45" s="1930"/>
      <c r="BX45" s="88">
        <f>' Table Z Net Exp Profiles'!A45</f>
        <v>29</v>
      </c>
      <c r="BY45" s="2500" t="str">
        <f>' Table Z Net Exp Profiles'!B45</f>
        <v>Committed Reserves - Non Pay - Forecast</v>
      </c>
      <c r="BZ45" s="892">
        <f>' Table Z Net Exp Profiles'!C45</f>
        <v>0</v>
      </c>
      <c r="CA45" s="892">
        <f>' Table Z Net Exp Profiles'!D45</f>
        <v>0</v>
      </c>
      <c r="CB45" s="892">
        <f>' Table Z Net Exp Profiles'!E45</f>
        <v>0</v>
      </c>
      <c r="CC45" s="892">
        <f>' Table Z Net Exp Profiles'!F45</f>
        <v>0</v>
      </c>
      <c r="CD45" s="892">
        <f>' Table Z Net Exp Profiles'!G45</f>
        <v>0</v>
      </c>
      <c r="CE45" s="892">
        <f>' Table Z Net Exp Profiles'!H45</f>
        <v>0</v>
      </c>
      <c r="CF45" s="892">
        <f>' Table Z Net Exp Profiles'!I45</f>
        <v>0</v>
      </c>
      <c r="CG45" s="892">
        <f>' Table Z Net Exp Profiles'!J45</f>
        <v>0</v>
      </c>
      <c r="CH45" s="892">
        <f>' Table Z Net Exp Profiles'!K45</f>
        <v>0</v>
      </c>
      <c r="CI45" s="892">
        <f>' Table Z Net Exp Profiles'!L45</f>
        <v>0</v>
      </c>
      <c r="CJ45" s="892">
        <f>' Table Z Net Exp Profiles'!M45</f>
        <v>0</v>
      </c>
      <c r="CK45" s="1247">
        <f>' Table Z Net Exp Profiles'!N45</f>
        <v>0</v>
      </c>
      <c r="CL45" s="1215">
        <f>' Table Z Net Exp Profiles'!O45</f>
        <v>0</v>
      </c>
      <c r="CM45" s="1215">
        <f>' Table Z Net Exp Profiles'!P45</f>
        <v>0</v>
      </c>
      <c r="CO45" s="80"/>
      <c r="CP45" s="80"/>
      <c r="CQ45" s="1257"/>
      <c r="CR45" s="1257"/>
      <c r="CS45" s="1257"/>
      <c r="CT45" s="1257"/>
      <c r="CU45" s="1257"/>
      <c r="CV45" s="1257"/>
      <c r="CW45" s="1257"/>
      <c r="CX45" s="1257"/>
      <c r="CY45" s="1257"/>
      <c r="CZ45" s="1257"/>
      <c r="DA45" s="1257"/>
      <c r="DB45" s="1257"/>
      <c r="DC45" s="80"/>
      <c r="DD45" s="608"/>
      <c r="DF45" s="2757">
        <f>'B3 - COVID-19'!A45</f>
        <v>34</v>
      </c>
      <c r="DG45" s="2835" t="str">
        <f>'B3 - COVID-19'!B45</f>
        <v>Movement from Plan</v>
      </c>
      <c r="DH45" s="2849">
        <f>'B3 - COVID-19'!C45</f>
        <v>0</v>
      </c>
      <c r="DI45" s="2805">
        <f>'B3 - COVID-19'!D45</f>
        <v>0</v>
      </c>
      <c r="DJ45" s="2805">
        <f>'B3 - COVID-19'!E45</f>
        <v>0</v>
      </c>
      <c r="DK45" s="2805">
        <f>'B3 - COVID-19'!F45</f>
        <v>0</v>
      </c>
      <c r="DL45" s="2805">
        <f>'B3 - COVID-19'!G45</f>
        <v>0</v>
      </c>
      <c r="DM45" s="2805">
        <f>'B3 - COVID-19'!H45</f>
        <v>0</v>
      </c>
      <c r="DN45" s="2805">
        <f>'B3 - COVID-19'!I45</f>
        <v>0</v>
      </c>
      <c r="DO45" s="2805">
        <f>'B3 - COVID-19'!J45</f>
        <v>0</v>
      </c>
      <c r="DP45" s="2805">
        <f>'B3 - COVID-19'!K45</f>
        <v>0</v>
      </c>
      <c r="DQ45" s="2805">
        <f>'B3 - COVID-19'!L45</f>
        <v>0</v>
      </c>
      <c r="DR45" s="2805">
        <f>'B3 - COVID-19'!M45</f>
        <v>0</v>
      </c>
      <c r="DS45" s="2806">
        <f>'B3 - COVID-19'!N45</f>
        <v>0</v>
      </c>
      <c r="DT45" s="2804">
        <f>'B3 - COVID-19'!O45</f>
        <v>0</v>
      </c>
      <c r="DU45" s="2806">
        <f>'B3 - COVID-19'!P45</f>
        <v>0</v>
      </c>
      <c r="DV45" s="608"/>
      <c r="DW45" s="1116"/>
      <c r="DY45" s="2290"/>
      <c r="DZ45" s="2290"/>
      <c r="EA45" s="1932"/>
      <c r="EB45" s="612"/>
      <c r="EC45" s="612"/>
      <c r="ED45" s="612"/>
      <c r="EE45" s="612"/>
      <c r="EF45" s="612"/>
      <c r="EG45" s="916"/>
      <c r="EH45" s="612"/>
      <c r="EI45" s="612"/>
      <c r="EJ45" s="612"/>
      <c r="EK45" s="612"/>
      <c r="EL45" s="612"/>
      <c r="EM45" s="612"/>
      <c r="EN45" s="612"/>
      <c r="EO45" s="1932"/>
      <c r="EP45" s="1930"/>
      <c r="EQ45" s="1930"/>
      <c r="ER45" s="1930"/>
      <c r="ES45" s="1930"/>
      <c r="ET45" s="1930"/>
      <c r="EU45" s="1930"/>
      <c r="EV45" s="1930"/>
      <c r="EW45" s="1930"/>
      <c r="EX45" s="2242"/>
      <c r="EY45" s="2242"/>
      <c r="EZ45" s="2242"/>
      <c r="FA45" s="2242"/>
      <c r="FB45" s="2242"/>
      <c r="FC45" s="2242"/>
      <c r="FD45" s="2242"/>
      <c r="FE45" s="2242"/>
      <c r="FF45" s="2242"/>
      <c r="FG45" s="2242"/>
      <c r="FH45" s="2242"/>
      <c r="FI45" s="2242"/>
      <c r="FJ45" s="2242"/>
      <c r="FK45" s="2242"/>
      <c r="FL45" s="2242"/>
      <c r="FM45" s="2242"/>
      <c r="FN45" s="2242"/>
      <c r="FO45" s="2242"/>
      <c r="FP45" s="2242"/>
      <c r="FQ45" s="2242"/>
      <c r="FR45" s="2242"/>
      <c r="FS45" s="2242"/>
      <c r="GF45" s="2112">
        <f>'E - Resource Limits'!A45</f>
        <v>33</v>
      </c>
      <c r="GG45" s="2113">
        <f>'E - Resource Limits'!B45</f>
        <v>0</v>
      </c>
      <c r="GH45" s="2114">
        <f>'E - Resource Limits'!C45</f>
        <v>0</v>
      </c>
      <c r="GI45" s="2114">
        <f>'E - Resource Limits'!D45</f>
        <v>0</v>
      </c>
      <c r="GJ45" s="2114">
        <f>'E - Resource Limits'!E45</f>
        <v>0</v>
      </c>
      <c r="GK45" s="2114">
        <f>'E - Resource Limits'!F45</f>
        <v>0</v>
      </c>
      <c r="GL45" s="2048">
        <f>'E - Resource Limits'!G45</f>
        <v>0</v>
      </c>
      <c r="GM45" s="2115">
        <f>'E - Resource Limits'!H45</f>
        <v>0</v>
      </c>
      <c r="GN45" s="2114">
        <f>'E - Resource Limits'!I45</f>
        <v>0</v>
      </c>
      <c r="GO45" s="2114">
        <f>'E - Resource Limits'!J45</f>
        <v>0</v>
      </c>
      <c r="GP45" s="2114">
        <f>'E - Resource Limits'!K45</f>
        <v>0</v>
      </c>
      <c r="GQ45" s="2116">
        <f>'E - Resource Limits'!L45</f>
        <v>0</v>
      </c>
      <c r="GR45" s="1935">
        <f t="shared" si="6"/>
        <v>0</v>
      </c>
      <c r="GT45" s="175">
        <f>'E1 - Invoiced Income'!A45</f>
        <v>34</v>
      </c>
      <c r="GU45" s="1797">
        <f>'E1 - Invoiced Income'!B45</f>
        <v>0</v>
      </c>
      <c r="GV45" s="1798">
        <f>'E1 - Invoiced Income'!C45</f>
        <v>0</v>
      </c>
      <c r="GW45" s="1798">
        <f>'E1 - Invoiced Income'!D45</f>
        <v>0</v>
      </c>
      <c r="GX45" s="1798">
        <f>'E1 - Invoiced Income'!E45</f>
        <v>0</v>
      </c>
      <c r="GY45" s="1798">
        <f>'E1 - Invoiced Income'!F45</f>
        <v>0</v>
      </c>
      <c r="GZ45" s="1798">
        <f>'E1 - Invoiced Income'!G45</f>
        <v>0</v>
      </c>
      <c r="HA45" s="1798">
        <f>'E1 - Invoiced Income'!H45</f>
        <v>0</v>
      </c>
      <c r="HB45" s="1798">
        <f>'E1 - Invoiced Income'!I45</f>
        <v>0</v>
      </c>
      <c r="HC45" s="1798">
        <f>'E1 - Invoiced Income'!J45</f>
        <v>0</v>
      </c>
      <c r="HD45" s="1798">
        <f>'E1 - Invoiced Income'!K45</f>
        <v>0</v>
      </c>
      <c r="HE45" s="1798">
        <f>'E1 - Invoiced Income'!L45</f>
        <v>0</v>
      </c>
      <c r="HF45" s="1798">
        <f>'E1 - Invoiced Income'!M45</f>
        <v>0</v>
      </c>
      <c r="HG45" s="1798">
        <f>'E1 - Invoiced Income'!N45</f>
        <v>0</v>
      </c>
      <c r="HH45" s="1798">
        <f>'E1 - Invoiced Income'!O45</f>
        <v>0</v>
      </c>
      <c r="HI45" s="1798">
        <f>'E1 - Invoiced Income'!P45</f>
        <v>0</v>
      </c>
      <c r="HJ45" s="1798">
        <f>'E1 - Invoiced Income'!R45</f>
        <v>0</v>
      </c>
      <c r="HK45" s="1798">
        <f>'E1 - Invoiced Income'!S45</f>
        <v>0</v>
      </c>
      <c r="HL45" s="1665">
        <f>'E1 - Invoiced Income'!T45</f>
        <v>0</v>
      </c>
      <c r="HM45" s="1799">
        <f>'E1 - Invoiced Income'!U45</f>
        <v>0</v>
      </c>
      <c r="HO45" s="2007">
        <f>'F - SoFP'!A45</f>
        <v>26</v>
      </c>
      <c r="HP45" s="2008" t="str">
        <f>'F - SoFP'!B45</f>
        <v>Revaluation Reserve</v>
      </c>
      <c r="HQ45" s="2009">
        <f>'F - SoFP'!C45</f>
        <v>0</v>
      </c>
      <c r="HR45" s="2010">
        <f>'F - SoFP'!D45</f>
        <v>0</v>
      </c>
      <c r="HS45" s="2010">
        <f>'F - SoFP'!E45</f>
        <v>0</v>
      </c>
      <c r="HT45" s="1946"/>
      <c r="HV45" s="1745"/>
      <c r="HW45" s="1745"/>
      <c r="HX45" s="1745"/>
      <c r="HY45" s="1745"/>
      <c r="HZ45" s="1745"/>
      <c r="IA45" s="1745"/>
      <c r="IB45" s="1745"/>
      <c r="IC45" s="1745"/>
      <c r="ID45" s="1745"/>
      <c r="IE45" s="1745"/>
      <c r="IF45" s="1745"/>
      <c r="IG45" s="1745"/>
      <c r="IH45" s="1745"/>
      <c r="II45" s="1745"/>
      <c r="IJ45" s="1942"/>
      <c r="IK45" s="1942"/>
      <c r="JD45" s="2088">
        <f>'I - Capital RLM'!A45</f>
        <v>27</v>
      </c>
      <c r="JE45" s="2126">
        <f>'I - Capital RLM'!B45</f>
        <v>0</v>
      </c>
      <c r="JF45" s="2010">
        <f>'I - Capital RLM'!C45</f>
        <v>0</v>
      </c>
      <c r="JG45" s="2010">
        <f>'I - Capital RLM'!D45</f>
        <v>0</v>
      </c>
      <c r="JH45" s="2118">
        <f>'I - Capital RLM'!E45</f>
        <v>0</v>
      </c>
      <c r="JI45" s="2119">
        <f>'I - Capital RLM'!F45</f>
        <v>0</v>
      </c>
      <c r="JJ45" s="2010">
        <f>'I - Capital RLM'!G45</f>
        <v>0</v>
      </c>
      <c r="JK45" s="2010">
        <f>'I - Capital RLM'!H45</f>
        <v>0</v>
      </c>
      <c r="JL45" s="2118">
        <f>'I - Capital RLM'!I45</f>
        <v>0</v>
      </c>
      <c r="JM45" s="2120"/>
      <c r="JN45" s="1890">
        <f>'I - Capital RLM'!K45</f>
        <v>0</v>
      </c>
      <c r="JO45" s="2120">
        <f t="shared" si="7"/>
        <v>0</v>
      </c>
      <c r="JQ45" s="2301">
        <f>'J - Capital In Year Schemes'!A45</f>
        <v>34</v>
      </c>
      <c r="JR45" s="2302" t="str">
        <f>'J - Capital In Year Schemes'!B45</f>
        <v>Sub Total</v>
      </c>
      <c r="JS45" s="2302">
        <f>'J - Capital In Year Schemes'!C45</f>
        <v>0</v>
      </c>
      <c r="JT45" s="2037">
        <f>'J - Capital In Year Schemes'!D45</f>
        <v>0</v>
      </c>
      <c r="JU45" s="2037">
        <f>'J - Capital In Year Schemes'!E45</f>
        <v>0</v>
      </c>
      <c r="JV45" s="2037">
        <f>'J - Capital In Year Schemes'!F45</f>
        <v>0</v>
      </c>
      <c r="JW45" s="2037">
        <f>'J - Capital In Year Schemes'!G45</f>
        <v>0</v>
      </c>
      <c r="JX45" s="2037">
        <f>'J - Capital In Year Schemes'!H45</f>
        <v>0</v>
      </c>
      <c r="JY45" s="2037">
        <f>'J - Capital In Year Schemes'!I45</f>
        <v>0</v>
      </c>
      <c r="JZ45" s="2037">
        <f>'J - Capital In Year Schemes'!J45</f>
        <v>0</v>
      </c>
      <c r="KA45" s="2037">
        <f>'J - Capital In Year Schemes'!K45</f>
        <v>0</v>
      </c>
      <c r="KB45" s="2037">
        <f>'J - Capital In Year Schemes'!L45</f>
        <v>0</v>
      </c>
      <c r="KC45" s="2037">
        <f>'J - Capital In Year Schemes'!M45</f>
        <v>0</v>
      </c>
      <c r="KD45" s="2037">
        <f>'J - Capital In Year Schemes'!N45</f>
        <v>0</v>
      </c>
      <c r="KE45" s="2037">
        <f>'J - Capital In Year Schemes'!O45</f>
        <v>0</v>
      </c>
      <c r="KF45" s="2037">
        <f>'J - Capital In Year Schemes'!P45</f>
        <v>0</v>
      </c>
      <c r="KG45" s="2037">
        <f>'J - Capital In Year Schemes'!Q45</f>
        <v>0</v>
      </c>
      <c r="KH45" s="2037">
        <f>'J - Capital In Year Schemes'!R45</f>
        <v>0</v>
      </c>
      <c r="KI45" s="2037">
        <f>'J - Capital In Year Schemes'!S45</f>
        <v>0</v>
      </c>
      <c r="KJ45" s="2303"/>
      <c r="KK45" s="2060">
        <f>SUM(KK12:KK44)</f>
        <v>0</v>
      </c>
      <c r="KM45" s="2053">
        <f>'K - Capital Disposals'!A45</f>
        <v>30</v>
      </c>
      <c r="KN45" s="2220">
        <f>'K - Capital Disposals'!B45</f>
        <v>0</v>
      </c>
      <c r="KO45" s="2062">
        <f>'K - Capital Disposals'!C45</f>
        <v>0</v>
      </c>
      <c r="KP45" s="2062">
        <f>'K - Capital Disposals'!D45</f>
        <v>0</v>
      </c>
      <c r="KQ45" s="2078">
        <f>'K - Capital Disposals'!E45</f>
        <v>0</v>
      </c>
      <c r="KR45" s="2064">
        <f>'K - Capital Disposals'!F45</f>
        <v>0</v>
      </c>
      <c r="KS45" s="2064">
        <f>'K - Capital Disposals'!G45</f>
        <v>0</v>
      </c>
      <c r="KT45" s="2054">
        <f>'K - Capital Disposals'!H45</f>
        <v>0</v>
      </c>
      <c r="KU45" s="2055">
        <f>'K - Capital Disposals'!I45</f>
        <v>0</v>
      </c>
      <c r="KV45" s="3100">
        <f>'K - Capital Disposals'!J45</f>
        <v>0</v>
      </c>
      <c r="KW45" s="3095"/>
      <c r="KX45" s="3095"/>
      <c r="KY45" s="3095"/>
      <c r="KZ45" s="3095"/>
      <c r="LA45" s="3095"/>
      <c r="LB45" s="3096"/>
      <c r="LC45" s="1935"/>
      <c r="LL45" s="814"/>
      <c r="LM45" s="2197">
        <f>'M - Aged Debtors'!B45</f>
        <v>0</v>
      </c>
      <c r="LN45" s="2198">
        <f>'M - Aged Debtors'!C45</f>
        <v>0</v>
      </c>
      <c r="LO45" s="2199">
        <f>'M - Aged Debtors'!D45</f>
        <v>0</v>
      </c>
      <c r="LP45" s="2200">
        <f>'M - Aged Debtors'!E45</f>
        <v>0</v>
      </c>
      <c r="LQ45" s="2201">
        <f>'M - Aged Debtors'!F45</f>
        <v>0</v>
      </c>
      <c r="LR45" s="832" t="str">
        <f>'M - Aged Debtors'!G45</f>
        <v/>
      </c>
      <c r="LS45" s="829" t="str">
        <f>'M - Aged Debtors'!H45</f>
        <v/>
      </c>
      <c r="LT45" s="829" t="str">
        <f>'M - Aged Debtors'!I45</f>
        <v/>
      </c>
      <c r="LU45" s="830" t="str">
        <f>'M - Aged Debtors'!J45</f>
        <v/>
      </c>
      <c r="LV45" s="1830">
        <f>'M - Aged Debtors'!K45</f>
        <v>0</v>
      </c>
      <c r="LX45" s="480" t="str">
        <f>'N - GMS'!A45</f>
        <v>Extended Surgery Opening</v>
      </c>
      <c r="LY45" s="481"/>
      <c r="LZ45" s="461">
        <f>'N - GMS'!C45</f>
        <v>27</v>
      </c>
      <c r="MA45" s="67">
        <f>'N - GMS'!D45</f>
        <v>0</v>
      </c>
      <c r="MB45" s="1028">
        <f>'N - GMS'!E45</f>
        <v>0</v>
      </c>
      <c r="MC45" s="1028">
        <f>'N - GMS'!F45</f>
        <v>0</v>
      </c>
      <c r="MD45" s="2284">
        <f>'N - GMS'!G45</f>
        <v>0</v>
      </c>
      <c r="ME45" s="1170"/>
      <c r="MF45" s="1028">
        <f>'N - GMS'!I45</f>
        <v>0</v>
      </c>
      <c r="MH45" s="1876">
        <f>'O - Dental'!A45</f>
        <v>0</v>
      </c>
      <c r="MI45" s="1877"/>
      <c r="MJ45" s="701">
        <f>'O - Dental'!C45</f>
        <v>35</v>
      </c>
      <c r="MK45" s="664">
        <f>'O - Dental'!D45</f>
        <v>0</v>
      </c>
      <c r="ML45" s="2203">
        <f>'O - Dental'!E45</f>
        <v>0</v>
      </c>
      <c r="MM45" s="2204">
        <f>'O - Dental'!F45</f>
        <v>0</v>
      </c>
      <c r="MN45" s="2205">
        <f>'O - Dental'!G45</f>
        <v>0</v>
      </c>
      <c r="MO45" s="308"/>
      <c r="MP45" s="1765">
        <f>'O - Dental'!I45</f>
        <v>0</v>
      </c>
      <c r="MR45" s="684"/>
      <c r="MS45" s="3019">
        <f>'P - Ringfenced'!B45</f>
        <v>0</v>
      </c>
      <c r="MT45" s="2661" t="str">
        <f>'P - Ringfenced'!C45</f>
        <v>Variance against current plan</v>
      </c>
      <c r="MU45" s="2656">
        <f>'P - Ringfenced'!D45</f>
        <v>0</v>
      </c>
      <c r="MV45" s="2656">
        <f>'P - Ringfenced'!E45</f>
        <v>0</v>
      </c>
      <c r="MW45" s="2680">
        <f>'P - Ringfenced'!F45</f>
        <v>0</v>
      </c>
      <c r="MX45" s="2680">
        <f>'P - Ringfenced'!G45</f>
        <v>0</v>
      </c>
      <c r="MY45" s="2680">
        <f>'P - Ringfenced'!H45</f>
        <v>0</v>
      </c>
      <c r="MZ45" s="2680">
        <f>'P - Ringfenced'!I45</f>
        <v>0</v>
      </c>
      <c r="NA45" s="2680">
        <f>'P - Ringfenced'!J45</f>
        <v>0</v>
      </c>
      <c r="NB45" s="2680">
        <f>'P - Ringfenced'!K45</f>
        <v>0</v>
      </c>
      <c r="NC45" s="2680">
        <f>'P - Ringfenced'!L45</f>
        <v>0</v>
      </c>
      <c r="ND45" s="2680">
        <f>'P - Ringfenced'!M45</f>
        <v>0</v>
      </c>
      <c r="NE45" s="2680">
        <f>'P - Ringfenced'!N45</f>
        <v>0</v>
      </c>
      <c r="NF45" s="2680">
        <f>'P - Ringfenced'!O45</f>
        <v>0</v>
      </c>
      <c r="NG45" s="2680">
        <f>'P - Ringfenced'!P45</f>
        <v>0</v>
      </c>
      <c r="NH45" s="2680">
        <f>'P - Ringfenced'!Q45</f>
        <v>0</v>
      </c>
      <c r="NI45" s="1110">
        <f>'P - Ringfenced'!R45</f>
        <v>0</v>
      </c>
      <c r="NJ45" s="1220">
        <f>'P - Ringfenced'!S45</f>
        <v>0</v>
      </c>
      <c r="NK45" s="1220">
        <f>'P - Ringfenced'!T45</f>
        <v>0</v>
      </c>
      <c r="NL45" s="684"/>
    </row>
    <row r="46" spans="13:376" ht="20.149999999999999" customHeight="1" thickBot="1">
      <c r="M46" s="950">
        <f>'A - Movement'!A46</f>
        <v>36</v>
      </c>
      <c r="N46" s="1893">
        <f>'A - Movement'!B46</f>
        <v>0</v>
      </c>
      <c r="O46" s="1131">
        <f>'A - Movement'!C46</f>
        <v>0</v>
      </c>
      <c r="P46" s="1131">
        <f>'A - Movement'!D46</f>
        <v>0</v>
      </c>
      <c r="Q46" s="954">
        <f>'A - Movement'!E46</f>
        <v>0</v>
      </c>
      <c r="R46" s="954">
        <f>'A - Movement'!F46</f>
        <v>0</v>
      </c>
      <c r="S46" s="1745"/>
      <c r="U46" s="950">
        <f>'A - Movement'!I46</f>
        <v>36</v>
      </c>
      <c r="V46" s="1893">
        <f t="shared" si="8"/>
        <v>0</v>
      </c>
      <c r="W46" s="954">
        <f>'A - Movement'!J46</f>
        <v>0</v>
      </c>
      <c r="X46" s="954">
        <f>'A - Movement'!K46</f>
        <v>0</v>
      </c>
      <c r="Y46" s="954">
        <f>'A - Movement'!L46</f>
        <v>0</v>
      </c>
      <c r="Z46" s="954">
        <f>'A - Movement'!M46</f>
        <v>0</v>
      </c>
      <c r="AA46" s="954">
        <f>'A - Movement'!N46</f>
        <v>0</v>
      </c>
      <c r="AB46" s="954">
        <f>'A - Movement'!O46</f>
        <v>0</v>
      </c>
      <c r="AC46" s="954">
        <f>'A - Movement'!P46</f>
        <v>0</v>
      </c>
      <c r="AD46" s="954">
        <f>'A - Movement'!Q46</f>
        <v>0</v>
      </c>
      <c r="AE46" s="954">
        <f>'A - Movement'!R46</f>
        <v>0</v>
      </c>
      <c r="AF46" s="954">
        <f>'A - Movement'!S46</f>
        <v>0</v>
      </c>
      <c r="AG46" s="954">
        <f>'A - Movement'!T46</f>
        <v>0</v>
      </c>
      <c r="AH46" s="954">
        <f>'A - Movement'!U46</f>
        <v>0</v>
      </c>
      <c r="AI46" s="1131">
        <f>'A - Movement'!V46</f>
        <v>0</v>
      </c>
      <c r="AJ46" s="1131">
        <f>'A - Movement'!W46</f>
        <v>0</v>
      </c>
      <c r="AK46" s="1131">
        <f t="shared" si="12"/>
        <v>0</v>
      </c>
      <c r="AL46" s="954">
        <f t="shared" si="13"/>
        <v>0</v>
      </c>
      <c r="AM46" s="954">
        <f t="shared" si="14"/>
        <v>0</v>
      </c>
      <c r="AN46" s="1745"/>
      <c r="AO46" s="1928"/>
      <c r="AP46" s="1403">
        <f>'A1 - Underlying Position'!A47</f>
        <v>8</v>
      </c>
      <c r="AQ46" s="1411" t="str">
        <f>'A1 - Underlying Position'!B47</f>
        <v>Community Services</v>
      </c>
      <c r="AR46" s="1800">
        <f>'A1 - Underlying Position'!C47</f>
        <v>0</v>
      </c>
      <c r="AS46" s="2251">
        <f>'A1 - Underlying Position'!D47</f>
        <v>0</v>
      </c>
      <c r="AT46" s="2251">
        <f>'A1 - Underlying Position'!E47</f>
        <v>0</v>
      </c>
      <c r="AU46" s="75">
        <f>'A1 - Underlying Position'!F47</f>
        <v>0</v>
      </c>
      <c r="AV46" s="2252">
        <f>'A1 - Underlying Position'!G47</f>
        <v>0</v>
      </c>
      <c r="AW46" s="75">
        <f>'A1 - Underlying Position'!H47</f>
        <v>0</v>
      </c>
      <c r="AX46" s="2594"/>
      <c r="AZ46" s="71"/>
      <c r="BA46" s="71"/>
      <c r="BB46" s="71"/>
      <c r="BC46" s="71"/>
      <c r="BE46" s="2233">
        <f>'B - Monthly Positions'!A46</f>
        <v>31</v>
      </c>
      <c r="BF46" s="1373" t="str">
        <f>'B - Monthly Positions'!B46</f>
        <v>Commissioned Services</v>
      </c>
      <c r="BG46" s="93" t="str">
        <f>'B - Monthly Positions'!C46</f>
        <v>Actual/F'cast</v>
      </c>
      <c r="BH46" s="3005">
        <f>'B - Monthly Positions'!D46</f>
        <v>0</v>
      </c>
      <c r="BI46" s="1140"/>
      <c r="BJ46" s="1140"/>
      <c r="BK46" s="1140"/>
      <c r="BL46" s="1140"/>
      <c r="BM46" s="1140"/>
      <c r="BN46" s="1140"/>
      <c r="BO46" s="1140"/>
      <c r="BP46" s="1140"/>
      <c r="BQ46" s="1140"/>
      <c r="BR46" s="1140"/>
      <c r="BS46" s="1140"/>
      <c r="BT46" s="1140"/>
      <c r="BU46" s="1140"/>
      <c r="BV46" s="2234"/>
      <c r="BW46" s="1930"/>
      <c r="BX46" s="91">
        <f>' Table Z Net Exp Profiles'!A46</f>
        <v>30</v>
      </c>
      <c r="BY46" s="2508" t="str">
        <f>' Table Z Net Exp Profiles'!B46</f>
        <v>Other Non Pay - Actual/Forecast Gross</v>
      </c>
      <c r="BZ46" s="1189">
        <f>' Table Z Net Exp Profiles'!C46</f>
        <v>0</v>
      </c>
      <c r="CA46" s="1189">
        <f>' Table Z Net Exp Profiles'!D46</f>
        <v>0</v>
      </c>
      <c r="CB46" s="1189">
        <f>' Table Z Net Exp Profiles'!E46</f>
        <v>0</v>
      </c>
      <c r="CC46" s="1189">
        <f>' Table Z Net Exp Profiles'!F46</f>
        <v>0</v>
      </c>
      <c r="CD46" s="1189">
        <f>' Table Z Net Exp Profiles'!G46</f>
        <v>0</v>
      </c>
      <c r="CE46" s="1189">
        <f>' Table Z Net Exp Profiles'!H46</f>
        <v>0</v>
      </c>
      <c r="CF46" s="1189">
        <f>' Table Z Net Exp Profiles'!I46</f>
        <v>0</v>
      </c>
      <c r="CG46" s="1189">
        <f>' Table Z Net Exp Profiles'!J46</f>
        <v>0</v>
      </c>
      <c r="CH46" s="1189">
        <f>' Table Z Net Exp Profiles'!K46</f>
        <v>0</v>
      </c>
      <c r="CI46" s="1189">
        <f>' Table Z Net Exp Profiles'!L46</f>
        <v>0</v>
      </c>
      <c r="CJ46" s="1189">
        <f>' Table Z Net Exp Profiles'!M46</f>
        <v>0</v>
      </c>
      <c r="CK46" s="1364">
        <f>' Table Z Net Exp Profiles'!N46</f>
        <v>0</v>
      </c>
      <c r="CL46" s="1057">
        <f>' Table Z Net Exp Profiles'!O46</f>
        <v>0</v>
      </c>
      <c r="CM46" s="1215">
        <f>' Table Z Net Exp Profiles'!P46</f>
        <v>0</v>
      </c>
      <c r="CO46" s="80"/>
      <c r="CP46" s="80"/>
      <c r="CQ46" s="1257"/>
      <c r="CR46" s="1257"/>
      <c r="CS46" s="1257"/>
      <c r="CT46" s="1257"/>
      <c r="CU46" s="1257"/>
      <c r="CV46" s="1257"/>
      <c r="CW46" s="1257"/>
      <c r="CX46" s="1257"/>
      <c r="CY46" s="1257"/>
      <c r="CZ46" s="1257"/>
      <c r="DA46" s="1257"/>
      <c r="DB46" s="1257"/>
      <c r="DC46" s="80"/>
      <c r="DD46" s="608"/>
      <c r="DF46" s="2486"/>
      <c r="DG46" s="2819"/>
      <c r="DH46" s="1918"/>
      <c r="DI46" s="1918"/>
      <c r="DJ46" s="1918"/>
      <c r="DK46" s="1918"/>
      <c r="DL46" s="1918"/>
      <c r="DM46" s="1918"/>
      <c r="DN46" s="1918"/>
      <c r="DO46" s="1918"/>
      <c r="DP46" s="1918"/>
      <c r="DQ46" s="1918"/>
      <c r="DR46" s="1918"/>
      <c r="DS46" s="1918"/>
      <c r="DT46" s="1918"/>
      <c r="DU46" s="1918"/>
      <c r="DV46" s="608"/>
      <c r="DW46" s="1116"/>
      <c r="DY46" s="1930"/>
      <c r="DZ46" s="1940" t="str">
        <f>'C, C1, C2&amp; C3 - Savings Schemes'!B46</f>
        <v>Table C1- Savings Schemes Pay Analysis</v>
      </c>
      <c r="EA46" s="1932"/>
      <c r="EB46" s="918"/>
      <c r="EC46" s="918"/>
      <c r="ED46" s="918"/>
      <c r="EE46" s="918"/>
      <c r="EF46" s="918"/>
      <c r="EG46" s="919"/>
      <c r="EH46" s="918"/>
      <c r="EI46" s="918"/>
      <c r="EJ46" s="918"/>
      <c r="EK46" s="918"/>
      <c r="EL46" s="918"/>
      <c r="EM46" s="918"/>
      <c r="EN46" s="918"/>
      <c r="EO46" s="2308"/>
      <c r="EP46" s="1930"/>
      <c r="EQ46" s="1930"/>
      <c r="ER46" s="1930"/>
      <c r="ES46" s="1930"/>
      <c r="ET46" s="1930"/>
      <c r="EU46" s="1930"/>
      <c r="EV46" s="1930"/>
      <c r="EW46" s="1930"/>
      <c r="EX46" s="2242"/>
      <c r="EY46" s="2242"/>
      <c r="EZ46" s="2242"/>
      <c r="FA46" s="2242"/>
      <c r="FB46" s="2242"/>
      <c r="FC46" s="2242"/>
      <c r="FD46" s="2242"/>
      <c r="FE46" s="2242"/>
      <c r="FF46" s="2242"/>
      <c r="FG46" s="2242"/>
      <c r="FH46" s="2242"/>
      <c r="FI46" s="2242"/>
      <c r="FJ46" s="2242"/>
      <c r="FK46" s="2242"/>
      <c r="FL46" s="2242"/>
      <c r="FM46" s="2242"/>
      <c r="FN46" s="2242"/>
      <c r="FO46" s="2242"/>
      <c r="FP46" s="2242"/>
      <c r="FQ46" s="2242"/>
      <c r="FR46" s="2242"/>
      <c r="FS46" s="2242"/>
      <c r="GF46" s="2112">
        <f>'E - Resource Limits'!A46</f>
        <v>34</v>
      </c>
      <c r="GG46" s="2113">
        <f>'E - Resource Limits'!B46</f>
        <v>0</v>
      </c>
      <c r="GH46" s="2114">
        <f>'E - Resource Limits'!C46</f>
        <v>0</v>
      </c>
      <c r="GI46" s="2114">
        <f>'E - Resource Limits'!D46</f>
        <v>0</v>
      </c>
      <c r="GJ46" s="2114">
        <f>'E - Resource Limits'!E46</f>
        <v>0</v>
      </c>
      <c r="GK46" s="2114">
        <f>'E - Resource Limits'!F46</f>
        <v>0</v>
      </c>
      <c r="GL46" s="2048">
        <f>'E - Resource Limits'!G46</f>
        <v>0</v>
      </c>
      <c r="GM46" s="2115">
        <f>'E - Resource Limits'!H46</f>
        <v>0</v>
      </c>
      <c r="GN46" s="2114">
        <f>'E - Resource Limits'!I46</f>
        <v>0</v>
      </c>
      <c r="GO46" s="2114">
        <f>'E - Resource Limits'!J46</f>
        <v>0</v>
      </c>
      <c r="GP46" s="2114">
        <f>'E - Resource Limits'!K46</f>
        <v>0</v>
      </c>
      <c r="GQ46" s="2116">
        <f>'E - Resource Limits'!L46</f>
        <v>0</v>
      </c>
      <c r="GR46" s="1935">
        <f t="shared" si="6"/>
        <v>0</v>
      </c>
      <c r="GT46" s="175">
        <f>'E1 - Invoiced Income'!A46</f>
        <v>35</v>
      </c>
      <c r="GU46" s="1797">
        <f>'E1 - Invoiced Income'!B46</f>
        <v>0</v>
      </c>
      <c r="GV46" s="1798">
        <f>'E1 - Invoiced Income'!C46</f>
        <v>0</v>
      </c>
      <c r="GW46" s="1798">
        <f>'E1 - Invoiced Income'!D46</f>
        <v>0</v>
      </c>
      <c r="GX46" s="1798">
        <f>'E1 - Invoiced Income'!E46</f>
        <v>0</v>
      </c>
      <c r="GY46" s="1798">
        <f>'E1 - Invoiced Income'!F46</f>
        <v>0</v>
      </c>
      <c r="GZ46" s="1798">
        <f>'E1 - Invoiced Income'!G46</f>
        <v>0</v>
      </c>
      <c r="HA46" s="1798">
        <f>'E1 - Invoiced Income'!H46</f>
        <v>0</v>
      </c>
      <c r="HB46" s="1798">
        <f>'E1 - Invoiced Income'!I46</f>
        <v>0</v>
      </c>
      <c r="HC46" s="1798">
        <f>'E1 - Invoiced Income'!J46</f>
        <v>0</v>
      </c>
      <c r="HD46" s="1798">
        <f>'E1 - Invoiced Income'!K46</f>
        <v>0</v>
      </c>
      <c r="HE46" s="1798">
        <f>'E1 - Invoiced Income'!L46</f>
        <v>0</v>
      </c>
      <c r="HF46" s="1798">
        <f>'E1 - Invoiced Income'!M46</f>
        <v>0</v>
      </c>
      <c r="HG46" s="1798">
        <f>'E1 - Invoiced Income'!N46</f>
        <v>0</v>
      </c>
      <c r="HH46" s="1798">
        <f>'E1 - Invoiced Income'!O46</f>
        <v>0</v>
      </c>
      <c r="HI46" s="1798">
        <f>'E1 - Invoiced Income'!P46</f>
        <v>0</v>
      </c>
      <c r="HJ46" s="1798">
        <f>'E1 - Invoiced Income'!R46</f>
        <v>0</v>
      </c>
      <c r="HK46" s="1798">
        <f>'E1 - Invoiced Income'!S46</f>
        <v>0</v>
      </c>
      <c r="HL46" s="1665">
        <f>'E1 - Invoiced Income'!T46</f>
        <v>0</v>
      </c>
      <c r="HM46" s="1799">
        <f>'E1 - Invoiced Income'!U46</f>
        <v>0</v>
      </c>
      <c r="HO46" s="2007">
        <f>'F - SoFP'!A46</f>
        <v>27</v>
      </c>
      <c r="HP46" s="2008" t="str">
        <f>'F - SoFP'!B46</f>
        <v>PDC (Trust only)</v>
      </c>
      <c r="HQ46" s="2009">
        <f>'F - SoFP'!C46</f>
        <v>0</v>
      </c>
      <c r="HR46" s="2010">
        <f>'F - SoFP'!D46</f>
        <v>0</v>
      </c>
      <c r="HS46" s="2010">
        <f>'F - SoFP'!E46</f>
        <v>0</v>
      </c>
      <c r="HT46" s="1946"/>
      <c r="HV46" s="1745"/>
      <c r="HW46" s="1745"/>
      <c r="HX46" s="1745"/>
      <c r="HY46" s="1745"/>
      <c r="HZ46" s="1745"/>
      <c r="IA46" s="1745"/>
      <c r="IB46" s="1745"/>
      <c r="IC46" s="1745"/>
      <c r="ID46" s="1745"/>
      <c r="IE46" s="1745"/>
      <c r="IF46" s="1745"/>
      <c r="IG46" s="1745"/>
      <c r="IH46" s="1745"/>
      <c r="II46" s="1745"/>
      <c r="IJ46" s="1942"/>
      <c r="IK46" s="1942"/>
      <c r="JD46" s="2088">
        <f>'I - Capital RLM'!A46</f>
        <v>28</v>
      </c>
      <c r="JE46" s="2126">
        <f>'I - Capital RLM'!B46</f>
        <v>0</v>
      </c>
      <c r="JF46" s="2010">
        <f>'I - Capital RLM'!C46</f>
        <v>0</v>
      </c>
      <c r="JG46" s="2010">
        <f>'I - Capital RLM'!D46</f>
        <v>0</v>
      </c>
      <c r="JH46" s="2118">
        <f>'I - Capital RLM'!E46</f>
        <v>0</v>
      </c>
      <c r="JI46" s="2119">
        <f>'I - Capital RLM'!F46</f>
        <v>0</v>
      </c>
      <c r="JJ46" s="2010">
        <f>'I - Capital RLM'!G46</f>
        <v>0</v>
      </c>
      <c r="JK46" s="2010">
        <f>'I - Capital RLM'!H46</f>
        <v>0</v>
      </c>
      <c r="JL46" s="2118">
        <f>'I - Capital RLM'!I46</f>
        <v>0</v>
      </c>
      <c r="JM46" s="2120"/>
      <c r="JN46" s="1890">
        <f>'I - Capital RLM'!K46</f>
        <v>0</v>
      </c>
      <c r="JO46" s="2120">
        <f t="shared" si="7"/>
        <v>0</v>
      </c>
      <c r="JQ46" s="2309"/>
      <c r="JR46" s="2310"/>
      <c r="JS46" s="2310"/>
      <c r="JT46" s="2097"/>
      <c r="JU46" s="2097"/>
      <c r="JV46" s="1943"/>
      <c r="JW46" s="1943"/>
      <c r="JX46" s="1943"/>
      <c r="JY46" s="1943"/>
      <c r="JZ46" s="1943"/>
      <c r="KA46" s="1943"/>
      <c r="KB46" s="1943"/>
      <c r="KC46" s="1943"/>
      <c r="KD46" s="1943"/>
      <c r="KE46" s="1943"/>
      <c r="KF46" s="1943"/>
      <c r="KG46" s="1943"/>
      <c r="KH46" s="1943"/>
      <c r="KI46" s="1943"/>
      <c r="KJ46" s="1943"/>
      <c r="KK46" s="2311"/>
      <c r="KM46" s="2053">
        <f>'K - Capital Disposals'!A46</f>
        <v>31</v>
      </c>
      <c r="KN46" s="2220">
        <f>'K - Capital Disposals'!B46</f>
        <v>0</v>
      </c>
      <c r="KO46" s="2062">
        <f>'K - Capital Disposals'!C46</f>
        <v>0</v>
      </c>
      <c r="KP46" s="2062">
        <f>'K - Capital Disposals'!D46</f>
        <v>0</v>
      </c>
      <c r="KQ46" s="2078">
        <f>'K - Capital Disposals'!E46</f>
        <v>0</v>
      </c>
      <c r="KR46" s="2064">
        <f>'K - Capital Disposals'!F46</f>
        <v>0</v>
      </c>
      <c r="KS46" s="2064">
        <f>'K - Capital Disposals'!G46</f>
        <v>0</v>
      </c>
      <c r="KT46" s="2054">
        <f>'K - Capital Disposals'!H46</f>
        <v>0</v>
      </c>
      <c r="KU46" s="2055">
        <f>'K - Capital Disposals'!I46</f>
        <v>0</v>
      </c>
      <c r="KV46" s="3100">
        <f>'K - Capital Disposals'!J46</f>
        <v>0</v>
      </c>
      <c r="KW46" s="3095"/>
      <c r="KX46" s="3095"/>
      <c r="KY46" s="3095"/>
      <c r="KZ46" s="3095"/>
      <c r="LA46" s="3095"/>
      <c r="LB46" s="3096"/>
      <c r="LC46" s="1935"/>
      <c r="LL46" s="814"/>
      <c r="LM46" s="2264">
        <f>'M - Aged Debtors'!B46</f>
        <v>0</v>
      </c>
      <c r="LN46" s="2265">
        <f>'M - Aged Debtors'!C46</f>
        <v>0</v>
      </c>
      <c r="LO46" s="2266">
        <f>'M - Aged Debtors'!D46</f>
        <v>0</v>
      </c>
      <c r="LP46" s="2267">
        <f>'M - Aged Debtors'!E46</f>
        <v>0</v>
      </c>
      <c r="LQ46" s="2268">
        <f>'M - Aged Debtors'!F46</f>
        <v>0</v>
      </c>
      <c r="LR46" s="832" t="str">
        <f>'M - Aged Debtors'!G46</f>
        <v/>
      </c>
      <c r="LS46" s="829" t="str">
        <f>'M - Aged Debtors'!H46</f>
        <v/>
      </c>
      <c r="LT46" s="829" t="str">
        <f>'M - Aged Debtors'!I46</f>
        <v/>
      </c>
      <c r="LU46" s="830" t="str">
        <f>'M - Aged Debtors'!J46</f>
        <v/>
      </c>
      <c r="LV46" s="1830">
        <f>'M - Aged Debtors'!K46</f>
        <v>0</v>
      </c>
      <c r="LX46" s="480" t="str">
        <f>'N - GMS'!A46</f>
        <v>Gender Identity</v>
      </c>
      <c r="LY46" s="481"/>
      <c r="LZ46" s="461">
        <f>'N - GMS'!C46</f>
        <v>28</v>
      </c>
      <c r="MA46" s="67">
        <f>'N - GMS'!D46</f>
        <v>0</v>
      </c>
      <c r="MB46" s="1028">
        <f>'N - GMS'!E46</f>
        <v>0</v>
      </c>
      <c r="MC46" s="1028">
        <f>'N - GMS'!F46</f>
        <v>0</v>
      </c>
      <c r="MD46" s="2284">
        <f>'N - GMS'!G46</f>
        <v>0</v>
      </c>
      <c r="ME46" s="1170"/>
      <c r="MF46" s="1028">
        <f>'N - GMS'!I46</f>
        <v>0</v>
      </c>
      <c r="MH46" s="1876">
        <f>'O - Dental'!A46</f>
        <v>0</v>
      </c>
      <c r="MI46" s="1877"/>
      <c r="MJ46" s="701">
        <f>'O - Dental'!C46</f>
        <v>36</v>
      </c>
      <c r="MK46" s="664">
        <f>'O - Dental'!D46</f>
        <v>0</v>
      </c>
      <c r="ML46" s="2270">
        <f>'O - Dental'!E46</f>
        <v>0</v>
      </c>
      <c r="MM46" s="2271">
        <f>'O - Dental'!F46</f>
        <v>0</v>
      </c>
      <c r="MN46" s="2272">
        <f>'O - Dental'!G46</f>
        <v>0</v>
      </c>
      <c r="MO46" s="308"/>
      <c r="MP46" s="1765">
        <f>'O - Dental'!I46</f>
        <v>0</v>
      </c>
      <c r="MR46" s="684"/>
      <c r="MS46" s="3018" t="str">
        <f>'P - Ringfenced'!B46</f>
        <v>Recovery</v>
      </c>
      <c r="MT46" s="1101" t="str">
        <f>'P - Ringfenced'!C46</f>
        <v>Plan</v>
      </c>
      <c r="MU46" s="2655">
        <f>'P - Ringfenced'!D46</f>
        <v>0</v>
      </c>
      <c r="MV46" s="2655">
        <f>'P - Ringfenced'!E46</f>
        <v>0</v>
      </c>
      <c r="MW46" s="2693">
        <f>'P - Ringfenced'!F46</f>
        <v>0</v>
      </c>
      <c r="MX46" s="2693">
        <f>'P - Ringfenced'!G46</f>
        <v>0</v>
      </c>
      <c r="MY46" s="2693">
        <f>'P - Ringfenced'!H46</f>
        <v>0</v>
      </c>
      <c r="MZ46" s="2693">
        <f>'P - Ringfenced'!I46</f>
        <v>0</v>
      </c>
      <c r="NA46" s="2693">
        <f>'P - Ringfenced'!J46</f>
        <v>0</v>
      </c>
      <c r="NB46" s="2693">
        <f>'P - Ringfenced'!K46</f>
        <v>0</v>
      </c>
      <c r="NC46" s="2693">
        <f>'P - Ringfenced'!L46</f>
        <v>0</v>
      </c>
      <c r="ND46" s="2693">
        <f>'P - Ringfenced'!M46</f>
        <v>0</v>
      </c>
      <c r="NE46" s="2693">
        <f>'P - Ringfenced'!N46</f>
        <v>0</v>
      </c>
      <c r="NF46" s="2693">
        <f>'P - Ringfenced'!O46</f>
        <v>0</v>
      </c>
      <c r="NG46" s="2693">
        <f>'P - Ringfenced'!P46</f>
        <v>0</v>
      </c>
      <c r="NH46" s="2693">
        <f>'P - Ringfenced'!Q46</f>
        <v>0</v>
      </c>
      <c r="NI46" s="1324">
        <f>'P - Ringfenced'!R46</f>
        <v>0</v>
      </c>
      <c r="NJ46" s="1325">
        <f>'P - Ringfenced'!S46</f>
        <v>0</v>
      </c>
      <c r="NK46" s="2860"/>
      <c r="NL46" s="684"/>
    </row>
    <row r="47" spans="13:376" ht="20.149999999999999" customHeight="1" thickBot="1">
      <c r="M47" s="950">
        <f>'A - Movement'!A47</f>
        <v>37</v>
      </c>
      <c r="N47" s="1893">
        <f>'A - Movement'!B47</f>
        <v>0</v>
      </c>
      <c r="O47" s="1131">
        <f>'A - Movement'!C47</f>
        <v>0</v>
      </c>
      <c r="P47" s="1131">
        <f>'A - Movement'!D47</f>
        <v>0</v>
      </c>
      <c r="Q47" s="954">
        <f>'A - Movement'!E47</f>
        <v>0</v>
      </c>
      <c r="R47" s="954">
        <f>'A - Movement'!F47</f>
        <v>0</v>
      </c>
      <c r="S47" s="1745"/>
      <c r="U47" s="950">
        <f>'A - Movement'!I47</f>
        <v>37</v>
      </c>
      <c r="V47" s="1893">
        <f t="shared" si="8"/>
        <v>0</v>
      </c>
      <c r="W47" s="954">
        <f>'A - Movement'!J47</f>
        <v>0</v>
      </c>
      <c r="X47" s="954">
        <f>'A - Movement'!K47</f>
        <v>0</v>
      </c>
      <c r="Y47" s="954">
        <f>'A - Movement'!L47</f>
        <v>0</v>
      </c>
      <c r="Z47" s="954">
        <f>'A - Movement'!M47</f>
        <v>0</v>
      </c>
      <c r="AA47" s="954">
        <f>'A - Movement'!N47</f>
        <v>0</v>
      </c>
      <c r="AB47" s="954">
        <f>'A - Movement'!O47</f>
        <v>0</v>
      </c>
      <c r="AC47" s="954">
        <f>'A - Movement'!P47</f>
        <v>0</v>
      </c>
      <c r="AD47" s="954">
        <f>'A - Movement'!Q47</f>
        <v>0</v>
      </c>
      <c r="AE47" s="954">
        <f>'A - Movement'!R47</f>
        <v>0</v>
      </c>
      <c r="AF47" s="954">
        <f>'A - Movement'!S47</f>
        <v>0</v>
      </c>
      <c r="AG47" s="954">
        <f>'A - Movement'!T47</f>
        <v>0</v>
      </c>
      <c r="AH47" s="954">
        <f>'A - Movement'!U47</f>
        <v>0</v>
      </c>
      <c r="AI47" s="1131">
        <f>'A - Movement'!V47</f>
        <v>0</v>
      </c>
      <c r="AJ47" s="1131">
        <f>'A - Movement'!W47</f>
        <v>0</v>
      </c>
      <c r="AK47" s="1131">
        <f t="shared" si="12"/>
        <v>0</v>
      </c>
      <c r="AL47" s="954">
        <f t="shared" si="13"/>
        <v>0</v>
      </c>
      <c r="AM47" s="954">
        <f t="shared" si="14"/>
        <v>0</v>
      </c>
      <c r="AN47" s="1745"/>
      <c r="AO47" s="1928"/>
      <c r="AP47" s="1403">
        <f>'A1 - Underlying Position'!A48</f>
        <v>9</v>
      </c>
      <c r="AQ47" s="1411" t="str">
        <f>'A1 - Underlying Position'!B48</f>
        <v>Specialised Services</v>
      </c>
      <c r="AR47" s="1800">
        <f>'A1 - Underlying Position'!C48</f>
        <v>0</v>
      </c>
      <c r="AS47" s="2273">
        <f>'A1 - Underlying Position'!D48</f>
        <v>0</v>
      </c>
      <c r="AT47" s="2273">
        <f>'A1 - Underlying Position'!E48</f>
        <v>0</v>
      </c>
      <c r="AU47" s="75">
        <f>'A1 - Underlying Position'!F48</f>
        <v>0</v>
      </c>
      <c r="AV47" s="2274">
        <f>'A1 - Underlying Position'!G48</f>
        <v>0</v>
      </c>
      <c r="AW47" s="75">
        <f>'A1 - Underlying Position'!H48</f>
        <v>0</v>
      </c>
      <c r="AX47" s="2594"/>
      <c r="AZ47" s="114">
        <f>'A2 - Risks'!A47</f>
        <v>36</v>
      </c>
      <c r="BA47" s="949" t="str">
        <f>'A2 - Risks'!B47</f>
        <v>IMTP / AOP Outturn Scenario</v>
      </c>
      <c r="BB47" s="117">
        <f>'A2 - Risks'!C47</f>
        <v>-1.8999998428625986E-4</v>
      </c>
      <c r="BC47" s="1155">
        <f>'A2 - Risks'!D47</f>
        <v>0</v>
      </c>
      <c r="BE47" s="2233">
        <f>'B - Monthly Positions'!A47</f>
        <v>32</v>
      </c>
      <c r="BF47" s="1373" t="str">
        <f>'B - Monthly Positions'!B47</f>
        <v xml:space="preserve">Scheduled Care </v>
      </c>
      <c r="BG47" s="93" t="str">
        <f>'B - Monthly Positions'!C47</f>
        <v>Actual/F'cast</v>
      </c>
      <c r="BH47" s="3005">
        <f>'B - Monthly Positions'!D47</f>
        <v>0</v>
      </c>
      <c r="BI47" s="1140"/>
      <c r="BJ47" s="1140"/>
      <c r="BK47" s="1140"/>
      <c r="BL47" s="1140"/>
      <c r="BM47" s="1140"/>
      <c r="BN47" s="1140"/>
      <c r="BO47" s="1140"/>
      <c r="BP47" s="1140"/>
      <c r="BQ47" s="1140"/>
      <c r="BR47" s="1140"/>
      <c r="BS47" s="1140"/>
      <c r="BT47" s="1140"/>
      <c r="BU47" s="1140"/>
      <c r="BV47" s="2234"/>
      <c r="BW47" s="1930"/>
      <c r="BX47" s="144">
        <f>' Table Z Net Exp Profiles'!A47</f>
        <v>31</v>
      </c>
      <c r="BY47" s="1272" t="str">
        <f>' Table Z Net Exp Profiles'!B47</f>
        <v>Total Gross Non Pay Expenditure - Actual/Forecast</v>
      </c>
      <c r="BZ47" s="1110">
        <f>' Table Z Net Exp Profiles'!C47</f>
        <v>0</v>
      </c>
      <c r="CA47" s="1218">
        <f>' Table Z Net Exp Profiles'!D47</f>
        <v>0</v>
      </c>
      <c r="CB47" s="1218">
        <f>' Table Z Net Exp Profiles'!E47</f>
        <v>0</v>
      </c>
      <c r="CC47" s="1218">
        <f>' Table Z Net Exp Profiles'!F47</f>
        <v>0</v>
      </c>
      <c r="CD47" s="1218">
        <f>' Table Z Net Exp Profiles'!G47</f>
        <v>0</v>
      </c>
      <c r="CE47" s="1218">
        <f>' Table Z Net Exp Profiles'!H47</f>
        <v>0</v>
      </c>
      <c r="CF47" s="1218">
        <f>' Table Z Net Exp Profiles'!I47</f>
        <v>0</v>
      </c>
      <c r="CG47" s="1218">
        <f>' Table Z Net Exp Profiles'!J47</f>
        <v>0</v>
      </c>
      <c r="CH47" s="1218">
        <f>' Table Z Net Exp Profiles'!K47</f>
        <v>0</v>
      </c>
      <c r="CI47" s="1218">
        <f>' Table Z Net Exp Profiles'!L47</f>
        <v>0</v>
      </c>
      <c r="CJ47" s="1218">
        <f>' Table Z Net Exp Profiles'!M47</f>
        <v>0</v>
      </c>
      <c r="CK47" s="1232">
        <f>' Table Z Net Exp Profiles'!N47</f>
        <v>0</v>
      </c>
      <c r="CL47" s="1299">
        <f>' Table Z Net Exp Profiles'!O47</f>
        <v>0</v>
      </c>
      <c r="CM47" s="1101">
        <f>' Table Z Net Exp Profiles'!P47</f>
        <v>0</v>
      </c>
      <c r="CO47" s="80"/>
      <c r="CP47" s="80"/>
      <c r="CQ47" s="80"/>
      <c r="CR47" s="80"/>
      <c r="CS47" s="80"/>
      <c r="CT47" s="80"/>
      <c r="CU47" s="80"/>
      <c r="CV47" s="80"/>
      <c r="CW47" s="80"/>
      <c r="CX47" s="80"/>
      <c r="CY47" s="80"/>
      <c r="CZ47" s="80"/>
      <c r="DA47" s="80"/>
      <c r="DB47" s="80"/>
      <c r="DC47" s="80"/>
      <c r="DD47" s="608"/>
      <c r="DF47" s="1353">
        <f>'B3 - COVID-19'!A47</f>
        <v>35</v>
      </c>
      <c r="DG47" s="2820" t="str">
        <f>'B3 - COVID-19'!B47</f>
        <v>Actual/ Forecast Net Outturn - Health Protection (including Testing, Tracing and Surveillance)</v>
      </c>
      <c r="DH47" s="1341">
        <f>'B3 - COVID-19'!C47</f>
        <v>-2.3000000010142685E-4</v>
      </c>
      <c r="DI47" s="1341">
        <f>'B3 - COVID-19'!D47</f>
        <v>0</v>
      </c>
      <c r="DJ47" s="1341">
        <f>'B3 - COVID-19'!E47</f>
        <v>0</v>
      </c>
      <c r="DK47" s="1341">
        <f>'B3 - COVID-19'!F47</f>
        <v>0</v>
      </c>
      <c r="DL47" s="1341">
        <f>'B3 - COVID-19'!G47</f>
        <v>0</v>
      </c>
      <c r="DM47" s="1341">
        <f>'B3 - COVID-19'!H47</f>
        <v>0</v>
      </c>
      <c r="DN47" s="1341">
        <f>'B3 - COVID-19'!I47</f>
        <v>0</v>
      </c>
      <c r="DO47" s="1341">
        <f>'B3 - COVID-19'!J47</f>
        <v>0</v>
      </c>
      <c r="DP47" s="1341">
        <f>'B3 - COVID-19'!K47</f>
        <v>0</v>
      </c>
      <c r="DQ47" s="1341">
        <f>'B3 - COVID-19'!L47</f>
        <v>0</v>
      </c>
      <c r="DR47" s="1341">
        <f>'B3 - COVID-19'!M47</f>
        <v>0</v>
      </c>
      <c r="DS47" s="1341">
        <f>'B3 - COVID-19'!N47</f>
        <v>0</v>
      </c>
      <c r="DT47" s="1341">
        <f>'B3 - COVID-19'!O47</f>
        <v>-2.3000000010142685E-4</v>
      </c>
      <c r="DU47" s="1341">
        <f>'B3 - COVID-19'!P47</f>
        <v>-2.3000000328465831E-4</v>
      </c>
      <c r="DV47" s="608"/>
      <c r="DW47" s="1116"/>
      <c r="DY47" s="1930"/>
      <c r="DZ47" s="110"/>
      <c r="EA47" s="324"/>
      <c r="EB47" s="919"/>
      <c r="EC47" s="918"/>
      <c r="ED47" s="918"/>
      <c r="EE47" s="918"/>
      <c r="EF47" s="918"/>
      <c r="EG47" s="919"/>
      <c r="EH47" s="918"/>
      <c r="EI47" s="918"/>
      <c r="EJ47" s="918"/>
      <c r="EK47" s="918"/>
      <c r="EL47" s="918"/>
      <c r="EM47" s="918"/>
      <c r="EN47" s="918"/>
      <c r="EO47" s="2308"/>
      <c r="EP47" s="1930"/>
      <c r="EQ47" s="1930"/>
      <c r="ER47" s="1930"/>
      <c r="ES47" s="1930"/>
      <c r="ET47" s="1930"/>
      <c r="EU47" s="1930"/>
      <c r="EV47" s="1930"/>
      <c r="EW47" s="1930"/>
      <c r="EX47" s="2242"/>
      <c r="EY47" s="2242"/>
      <c r="EZ47" s="2242"/>
      <c r="FA47" s="2242"/>
      <c r="FB47" s="2242"/>
      <c r="FC47" s="2242"/>
      <c r="FD47" s="2242"/>
      <c r="FE47" s="2242"/>
      <c r="FF47" s="2242"/>
      <c r="FG47" s="2242"/>
      <c r="FH47" s="2242"/>
      <c r="FI47" s="2242"/>
      <c r="FJ47" s="2242"/>
      <c r="FK47" s="2242"/>
      <c r="FL47" s="2242"/>
      <c r="FM47" s="2242"/>
      <c r="FN47" s="2242"/>
      <c r="FO47" s="2242"/>
      <c r="FP47" s="2242"/>
      <c r="FQ47" s="2242"/>
      <c r="FR47" s="2242"/>
      <c r="FS47" s="2242"/>
      <c r="GF47" s="2112">
        <f>'E - Resource Limits'!A47</f>
        <v>35</v>
      </c>
      <c r="GG47" s="2113">
        <f>'E - Resource Limits'!B47</f>
        <v>0</v>
      </c>
      <c r="GH47" s="2114">
        <f>'E - Resource Limits'!C47</f>
        <v>0</v>
      </c>
      <c r="GI47" s="2114">
        <f>'E - Resource Limits'!D47</f>
        <v>0</v>
      </c>
      <c r="GJ47" s="2114">
        <f>'E - Resource Limits'!E47</f>
        <v>0</v>
      </c>
      <c r="GK47" s="2114">
        <f>'E - Resource Limits'!F47</f>
        <v>0</v>
      </c>
      <c r="GL47" s="2048">
        <f>'E - Resource Limits'!G47</f>
        <v>0</v>
      </c>
      <c r="GM47" s="2115">
        <f>'E - Resource Limits'!H47</f>
        <v>0</v>
      </c>
      <c r="GN47" s="2114">
        <f>'E - Resource Limits'!I47</f>
        <v>0</v>
      </c>
      <c r="GO47" s="2114">
        <f>'E - Resource Limits'!J47</f>
        <v>0</v>
      </c>
      <c r="GP47" s="2114">
        <f>'E - Resource Limits'!K47</f>
        <v>0</v>
      </c>
      <c r="GQ47" s="2116">
        <f>'E - Resource Limits'!L47</f>
        <v>0</v>
      </c>
      <c r="GR47" s="1935">
        <f t="shared" si="6"/>
        <v>0</v>
      </c>
      <c r="GT47" s="175">
        <f>'E1 - Invoiced Income'!A47</f>
        <v>36</v>
      </c>
      <c r="GU47" s="1833">
        <f>'E1 - Invoiced Income'!B47</f>
        <v>0</v>
      </c>
      <c r="GV47" s="1834">
        <f>'E1 - Invoiced Income'!C47</f>
        <v>0</v>
      </c>
      <c r="GW47" s="1834">
        <f>'E1 - Invoiced Income'!D47</f>
        <v>0</v>
      </c>
      <c r="GX47" s="1834">
        <f>'E1 - Invoiced Income'!E47</f>
        <v>0</v>
      </c>
      <c r="GY47" s="1834">
        <f>'E1 - Invoiced Income'!F47</f>
        <v>0</v>
      </c>
      <c r="GZ47" s="1834">
        <f>'E1 - Invoiced Income'!G47</f>
        <v>0</v>
      </c>
      <c r="HA47" s="1834">
        <f>'E1 - Invoiced Income'!H47</f>
        <v>0</v>
      </c>
      <c r="HB47" s="1834">
        <f>'E1 - Invoiced Income'!I47</f>
        <v>0</v>
      </c>
      <c r="HC47" s="1834">
        <f>'E1 - Invoiced Income'!J47</f>
        <v>0</v>
      </c>
      <c r="HD47" s="1834">
        <f>'E1 - Invoiced Income'!K47</f>
        <v>0</v>
      </c>
      <c r="HE47" s="1834">
        <f>'E1 - Invoiced Income'!L47</f>
        <v>0</v>
      </c>
      <c r="HF47" s="1834">
        <f>'E1 - Invoiced Income'!M47</f>
        <v>0</v>
      </c>
      <c r="HG47" s="1834">
        <f>'E1 - Invoiced Income'!N47</f>
        <v>0</v>
      </c>
      <c r="HH47" s="1834">
        <f>'E1 - Invoiced Income'!O47</f>
        <v>0</v>
      </c>
      <c r="HI47" s="1834">
        <f>'E1 - Invoiced Income'!P47</f>
        <v>0</v>
      </c>
      <c r="HJ47" s="1834">
        <f>'E1 - Invoiced Income'!R47</f>
        <v>0</v>
      </c>
      <c r="HK47" s="1834">
        <f>'E1 - Invoiced Income'!S47</f>
        <v>0</v>
      </c>
      <c r="HL47" s="1665">
        <f>'E1 - Invoiced Income'!T47</f>
        <v>0</v>
      </c>
      <c r="HM47" s="1835">
        <f>'E1 - Invoiced Income'!U47</f>
        <v>0</v>
      </c>
      <c r="HO47" s="2007">
        <f>'F - SoFP'!A47</f>
        <v>28</v>
      </c>
      <c r="HP47" s="2008" t="str">
        <f>'F - SoFP'!B47</f>
        <v>Retained earnings (Trust Only)</v>
      </c>
      <c r="HQ47" s="2009">
        <f>'F - SoFP'!C47</f>
        <v>0</v>
      </c>
      <c r="HR47" s="2010">
        <f>'F - SoFP'!D47</f>
        <v>0</v>
      </c>
      <c r="HS47" s="2010">
        <f>'F - SoFP'!E47</f>
        <v>0</v>
      </c>
      <c r="HT47" s="1946"/>
      <c r="HV47" s="1745"/>
      <c r="HW47" s="1745"/>
      <c r="HX47" s="1745"/>
      <c r="HY47" s="1745"/>
      <c r="HZ47" s="1745"/>
      <c r="IA47" s="1745"/>
      <c r="IB47" s="1745"/>
      <c r="IC47" s="1745"/>
      <c r="ID47" s="1745"/>
      <c r="IE47" s="1745"/>
      <c r="IF47" s="1745"/>
      <c r="IG47" s="1745"/>
      <c r="IH47" s="1745"/>
      <c r="II47" s="1745"/>
      <c r="IJ47" s="1942"/>
      <c r="IK47" s="1942"/>
      <c r="JD47" s="2088">
        <f>'I - Capital RLM'!A47</f>
        <v>29</v>
      </c>
      <c r="JE47" s="2126">
        <f>'I - Capital RLM'!B47</f>
        <v>0</v>
      </c>
      <c r="JF47" s="2010">
        <f>'I - Capital RLM'!C47</f>
        <v>0</v>
      </c>
      <c r="JG47" s="2010">
        <f>'I - Capital RLM'!D47</f>
        <v>0</v>
      </c>
      <c r="JH47" s="2118">
        <f>'I - Capital RLM'!E47</f>
        <v>0</v>
      </c>
      <c r="JI47" s="2119">
        <f>'I - Capital RLM'!F47</f>
        <v>0</v>
      </c>
      <c r="JJ47" s="2010">
        <f>'I - Capital RLM'!G47</f>
        <v>0</v>
      </c>
      <c r="JK47" s="2010">
        <f>'I - Capital RLM'!H47</f>
        <v>0</v>
      </c>
      <c r="JL47" s="2118">
        <f>'I - Capital RLM'!I47</f>
        <v>0</v>
      </c>
      <c r="JM47" s="2120"/>
      <c r="JN47" s="1890">
        <f>'I - Capital RLM'!K47</f>
        <v>0</v>
      </c>
      <c r="JO47" s="2120">
        <f t="shared" si="7"/>
        <v>0</v>
      </c>
      <c r="JQ47" s="2073"/>
      <c r="JR47" s="2319" t="str">
        <f>'J - Capital In Year Schemes'!B47</f>
        <v>Discretionary:</v>
      </c>
      <c r="JS47" s="2319"/>
      <c r="JT47" s="2320"/>
      <c r="JU47" s="2321"/>
      <c r="JV47" s="2321"/>
      <c r="JW47" s="2321"/>
      <c r="JX47" s="2321"/>
      <c r="JY47" s="2321"/>
      <c r="JZ47" s="2321"/>
      <c r="KA47" s="2321"/>
      <c r="KB47" s="2321"/>
      <c r="KC47" s="2321"/>
      <c r="KD47" s="2321"/>
      <c r="KE47" s="2321"/>
      <c r="KF47" s="2321"/>
      <c r="KG47" s="2321"/>
      <c r="KH47" s="2320"/>
      <c r="KI47" s="2320"/>
      <c r="KJ47" s="1983"/>
      <c r="KK47" s="2060"/>
      <c r="KM47" s="2053">
        <f>'K - Capital Disposals'!A47</f>
        <v>32</v>
      </c>
      <c r="KN47" s="2220">
        <f>'K - Capital Disposals'!B47</f>
        <v>0</v>
      </c>
      <c r="KO47" s="2062">
        <f>'K - Capital Disposals'!C47</f>
        <v>0</v>
      </c>
      <c r="KP47" s="2062">
        <f>'K - Capital Disposals'!D47</f>
        <v>0</v>
      </c>
      <c r="KQ47" s="2078">
        <f>'K - Capital Disposals'!E47</f>
        <v>0</v>
      </c>
      <c r="KR47" s="2064">
        <f>'K - Capital Disposals'!F47</f>
        <v>0</v>
      </c>
      <c r="KS47" s="2064">
        <f>'K - Capital Disposals'!G47</f>
        <v>0</v>
      </c>
      <c r="KT47" s="2054">
        <f>'K - Capital Disposals'!H47</f>
        <v>0</v>
      </c>
      <c r="KU47" s="2055">
        <f>'K - Capital Disposals'!I47</f>
        <v>0</v>
      </c>
      <c r="KV47" s="3100">
        <f>'K - Capital Disposals'!J47</f>
        <v>0</v>
      </c>
      <c r="KW47" s="3095"/>
      <c r="KX47" s="3095"/>
      <c r="KY47" s="3095"/>
      <c r="KZ47" s="3095"/>
      <c r="LA47" s="3095"/>
      <c r="LB47" s="3096"/>
      <c r="LC47" s="1935"/>
      <c r="LL47" s="814"/>
      <c r="LM47" s="2264">
        <f>'M - Aged Debtors'!B47</f>
        <v>0</v>
      </c>
      <c r="LN47" s="2265">
        <f>'M - Aged Debtors'!C47</f>
        <v>0</v>
      </c>
      <c r="LO47" s="2266">
        <f>'M - Aged Debtors'!D47</f>
        <v>0</v>
      </c>
      <c r="LP47" s="2267">
        <f>'M - Aged Debtors'!E47</f>
        <v>0</v>
      </c>
      <c r="LQ47" s="2268">
        <f>'M - Aged Debtors'!F47</f>
        <v>0</v>
      </c>
      <c r="LR47" s="832" t="str">
        <f>'M - Aged Debtors'!G47</f>
        <v/>
      </c>
      <c r="LS47" s="829" t="str">
        <f>'M - Aged Debtors'!H47</f>
        <v/>
      </c>
      <c r="LT47" s="829" t="str">
        <f>'M - Aged Debtors'!I47</f>
        <v/>
      </c>
      <c r="LU47" s="830" t="str">
        <f>'M - Aged Debtors'!J47</f>
        <v/>
      </c>
      <c r="LV47" s="1830">
        <f>'M - Aged Debtors'!K47</f>
        <v>0</v>
      </c>
      <c r="LX47" s="480" t="str">
        <f>'N - GMS'!A47</f>
        <v>Homeless</v>
      </c>
      <c r="LY47" s="481"/>
      <c r="LZ47" s="461">
        <f>'N - GMS'!C47</f>
        <v>29</v>
      </c>
      <c r="MA47" s="67">
        <f>'N - GMS'!D47</f>
        <v>0</v>
      </c>
      <c r="MB47" s="1028">
        <f>'N - GMS'!E47</f>
        <v>0</v>
      </c>
      <c r="MC47" s="1028">
        <f>'N - GMS'!F47</f>
        <v>0</v>
      </c>
      <c r="MD47" s="2284">
        <f>'N - GMS'!G47</f>
        <v>0</v>
      </c>
      <c r="ME47" s="1170"/>
      <c r="MF47" s="1028">
        <f>'N - GMS'!I47</f>
        <v>0</v>
      </c>
      <c r="MH47" s="2322">
        <f>'O - Dental'!A47</f>
        <v>0</v>
      </c>
      <c r="MI47" s="2323"/>
      <c r="MJ47" s="701">
        <f>'O - Dental'!C47</f>
        <v>37</v>
      </c>
      <c r="MK47" s="664">
        <f>'O - Dental'!D47</f>
        <v>0</v>
      </c>
      <c r="ML47" s="2270">
        <f>'O - Dental'!E47</f>
        <v>0</v>
      </c>
      <c r="MM47" s="2271">
        <f>'O - Dental'!F47</f>
        <v>0</v>
      </c>
      <c r="MN47" s="2272">
        <f>'O - Dental'!G47</f>
        <v>0</v>
      </c>
      <c r="MO47" s="308"/>
      <c r="MP47" s="1765">
        <f>'O - Dental'!I47</f>
        <v>0</v>
      </c>
      <c r="MR47" s="684"/>
      <c r="MS47" s="3019">
        <f>'P - Ringfenced'!B47</f>
        <v>0</v>
      </c>
      <c r="MT47" s="2661" t="str">
        <f>'P - Ringfenced'!C47</f>
        <v>Actual/Forecast - not yet committed</v>
      </c>
      <c r="MU47" s="2656">
        <f>'P - Ringfenced'!D47</f>
        <v>0</v>
      </c>
      <c r="MV47" s="2656">
        <f>'P - Ringfenced'!E47</f>
        <v>0</v>
      </c>
      <c r="MW47" s="2693">
        <f>'P - Ringfenced'!F47</f>
        <v>0</v>
      </c>
      <c r="MX47" s="2693">
        <f>'P - Ringfenced'!G47</f>
        <v>0</v>
      </c>
      <c r="MY47" s="2693">
        <f>'P - Ringfenced'!H47</f>
        <v>0</v>
      </c>
      <c r="MZ47" s="2693">
        <f>'P - Ringfenced'!I47</f>
        <v>0</v>
      </c>
      <c r="NA47" s="2693">
        <f>'P - Ringfenced'!J47</f>
        <v>0</v>
      </c>
      <c r="NB47" s="2693">
        <f>'P - Ringfenced'!K47</f>
        <v>0</v>
      </c>
      <c r="NC47" s="2693">
        <f>'P - Ringfenced'!L47</f>
        <v>0</v>
      </c>
      <c r="ND47" s="2693">
        <f>'P - Ringfenced'!M47</f>
        <v>0</v>
      </c>
      <c r="NE47" s="2693">
        <f>'P - Ringfenced'!N47</f>
        <v>0</v>
      </c>
      <c r="NF47" s="2693">
        <f>'P - Ringfenced'!O47</f>
        <v>0</v>
      </c>
      <c r="NG47" s="2693">
        <f>'P - Ringfenced'!P47</f>
        <v>0</v>
      </c>
      <c r="NH47" s="2693">
        <f>'P - Ringfenced'!Q47</f>
        <v>0</v>
      </c>
      <c r="NI47" s="1324">
        <f>'P - Ringfenced'!R47</f>
        <v>0</v>
      </c>
      <c r="NJ47" s="1325">
        <f>'P - Ringfenced'!S47</f>
        <v>0</v>
      </c>
      <c r="NK47" s="2861"/>
      <c r="NL47" s="684"/>
    </row>
    <row r="48" spans="13:376" ht="20.149999999999999" customHeight="1" thickBot="1">
      <c r="M48" s="950">
        <f>'A - Movement'!A48</f>
        <v>38</v>
      </c>
      <c r="N48" s="980">
        <f>'A - Movement'!B48</f>
        <v>0</v>
      </c>
      <c r="O48" s="1131">
        <f>'A - Movement'!C48</f>
        <v>0</v>
      </c>
      <c r="P48" s="1131">
        <f>'A - Movement'!D48</f>
        <v>0</v>
      </c>
      <c r="Q48" s="954">
        <f>'A - Movement'!E48</f>
        <v>0</v>
      </c>
      <c r="R48" s="954">
        <f>'A - Movement'!F48</f>
        <v>0</v>
      </c>
      <c r="S48" s="1745"/>
      <c r="U48" s="950">
        <f>'A - Movement'!I48</f>
        <v>38</v>
      </c>
      <c r="V48" s="980">
        <f t="shared" si="8"/>
        <v>0</v>
      </c>
      <c r="W48" s="954">
        <f>'A - Movement'!J48</f>
        <v>0</v>
      </c>
      <c r="X48" s="954">
        <f>'A - Movement'!K48</f>
        <v>0</v>
      </c>
      <c r="Y48" s="954">
        <f>'A - Movement'!L48</f>
        <v>0</v>
      </c>
      <c r="Z48" s="954">
        <f>'A - Movement'!M48</f>
        <v>0</v>
      </c>
      <c r="AA48" s="954">
        <f>'A - Movement'!N48</f>
        <v>0</v>
      </c>
      <c r="AB48" s="954">
        <f>'A - Movement'!O48</f>
        <v>0</v>
      </c>
      <c r="AC48" s="954">
        <f>'A - Movement'!P48</f>
        <v>0</v>
      </c>
      <c r="AD48" s="954">
        <f>'A - Movement'!Q48</f>
        <v>0</v>
      </c>
      <c r="AE48" s="954">
        <f>'A - Movement'!R48</f>
        <v>0</v>
      </c>
      <c r="AF48" s="954">
        <f>'A - Movement'!S48</f>
        <v>0</v>
      </c>
      <c r="AG48" s="954">
        <f>'A - Movement'!T48</f>
        <v>0</v>
      </c>
      <c r="AH48" s="954">
        <f>'A - Movement'!U48</f>
        <v>0</v>
      </c>
      <c r="AI48" s="1131">
        <f>'A - Movement'!V48</f>
        <v>0</v>
      </c>
      <c r="AJ48" s="1131">
        <f>'A - Movement'!W48</f>
        <v>0</v>
      </c>
      <c r="AK48" s="1131">
        <f t="shared" si="12"/>
        <v>0</v>
      </c>
      <c r="AL48" s="954">
        <f t="shared" si="13"/>
        <v>0</v>
      </c>
      <c r="AM48" s="954">
        <f t="shared" si="14"/>
        <v>0</v>
      </c>
      <c r="AN48" s="1745"/>
      <c r="AO48" s="1928"/>
      <c r="AP48" s="1403">
        <f>'A1 - Underlying Position'!A49</f>
        <v>10</v>
      </c>
      <c r="AQ48" s="1411" t="str">
        <f>'A1 - Underlying Position'!B49</f>
        <v>Executive / Corporate Areas</v>
      </c>
      <c r="AR48" s="1800">
        <f>'A1 - Underlying Position'!C49</f>
        <v>0</v>
      </c>
      <c r="AS48" s="2251">
        <f>'A1 - Underlying Position'!D49</f>
        <v>0</v>
      </c>
      <c r="AT48" s="2251">
        <f>'A1 - Underlying Position'!E49</f>
        <v>0</v>
      </c>
      <c r="AU48" s="75">
        <f>'A1 - Underlying Position'!F49</f>
        <v>0</v>
      </c>
      <c r="AV48" s="2252">
        <f>'A1 - Underlying Position'!G49</f>
        <v>0</v>
      </c>
      <c r="AW48" s="75">
        <f>'A1 - Underlying Position'!H49</f>
        <v>0</v>
      </c>
      <c r="AX48" s="2594"/>
      <c r="AZ48" s="71"/>
      <c r="BA48" s="71"/>
      <c r="BB48" s="71"/>
      <c r="BC48" s="71"/>
      <c r="BE48" s="2233">
        <f>'B - Monthly Positions'!A48</f>
        <v>33</v>
      </c>
      <c r="BF48" s="1373" t="str">
        <f>'B - Monthly Positions'!B48</f>
        <v>Unscheduled Care</v>
      </c>
      <c r="BG48" s="93" t="str">
        <f>'B - Monthly Positions'!C48</f>
        <v>Actual/F'cast</v>
      </c>
      <c r="BH48" s="3005">
        <f>'B - Monthly Positions'!D48</f>
        <v>0</v>
      </c>
      <c r="BI48" s="1140"/>
      <c r="BJ48" s="1140"/>
      <c r="BK48" s="1140"/>
      <c r="BL48" s="1140"/>
      <c r="BM48" s="1140"/>
      <c r="BN48" s="1140"/>
      <c r="BO48" s="1140"/>
      <c r="BP48" s="1140"/>
      <c r="BQ48" s="1140"/>
      <c r="BR48" s="1140"/>
      <c r="BS48" s="1140"/>
      <c r="BT48" s="1140"/>
      <c r="BU48" s="1140"/>
      <c r="BV48" s="2234"/>
      <c r="BW48" s="1930"/>
      <c r="BX48" s="144">
        <f>' Table Z Net Exp Profiles'!A48</f>
        <v>32</v>
      </c>
      <c r="BY48" s="1277" t="str">
        <f>' Table Z Net Exp Profiles'!B48</f>
        <v>Gross Non Pay Expenditure Movement</v>
      </c>
      <c r="BZ48" s="1245">
        <f>' Table Z Net Exp Profiles'!C48</f>
        <v>0</v>
      </c>
      <c r="CA48" s="1245">
        <f>' Table Z Net Exp Profiles'!D48</f>
        <v>0</v>
      </c>
      <c r="CB48" s="1245">
        <f>' Table Z Net Exp Profiles'!E48</f>
        <v>0</v>
      </c>
      <c r="CC48" s="1245">
        <f>' Table Z Net Exp Profiles'!F48</f>
        <v>0</v>
      </c>
      <c r="CD48" s="1245">
        <f>' Table Z Net Exp Profiles'!G48</f>
        <v>0</v>
      </c>
      <c r="CE48" s="1245">
        <f>' Table Z Net Exp Profiles'!H48</f>
        <v>0</v>
      </c>
      <c r="CF48" s="1245">
        <f>' Table Z Net Exp Profiles'!I48</f>
        <v>0</v>
      </c>
      <c r="CG48" s="1245">
        <f>' Table Z Net Exp Profiles'!J48</f>
        <v>0</v>
      </c>
      <c r="CH48" s="1245">
        <f>' Table Z Net Exp Profiles'!K48</f>
        <v>0</v>
      </c>
      <c r="CI48" s="1245">
        <f>' Table Z Net Exp Profiles'!L48</f>
        <v>0</v>
      </c>
      <c r="CJ48" s="1245">
        <f>' Table Z Net Exp Profiles'!M48</f>
        <v>0</v>
      </c>
      <c r="CK48" s="1365">
        <f>' Table Z Net Exp Profiles'!N48</f>
        <v>0</v>
      </c>
      <c r="CL48" s="1687">
        <f>' Table Z Net Exp Profiles'!O48</f>
        <v>0</v>
      </c>
      <c r="CM48" s="1560">
        <f>' Table Z Net Exp Profiles'!P48</f>
        <v>0</v>
      </c>
      <c r="CO48" s="1308"/>
      <c r="CP48" s="1313"/>
      <c r="CQ48" s="1315"/>
      <c r="CR48" s="1315"/>
      <c r="CS48" s="1315"/>
      <c r="CT48" s="1315"/>
      <c r="CU48" s="1315"/>
      <c r="CV48" s="1315"/>
      <c r="CW48" s="1315"/>
      <c r="CX48" s="1315"/>
      <c r="CY48" s="1315"/>
      <c r="CZ48" s="1315"/>
      <c r="DA48" s="1315"/>
      <c r="DB48" s="1315"/>
      <c r="DC48" s="1315"/>
      <c r="DD48" s="608"/>
      <c r="DF48" s="2486"/>
      <c r="DG48" s="2819"/>
      <c r="DH48" s="1918"/>
      <c r="DI48" s="1918"/>
      <c r="DJ48" s="1918"/>
      <c r="DK48" s="1918"/>
      <c r="DL48" s="1918"/>
      <c r="DM48" s="1918"/>
      <c r="DN48" s="1918"/>
      <c r="DO48" s="1918"/>
      <c r="DP48" s="1918"/>
      <c r="DQ48" s="1918"/>
      <c r="DR48" s="1918"/>
      <c r="DS48" s="1918"/>
      <c r="DT48" s="1918"/>
      <c r="DU48" s="1918"/>
      <c r="DV48" s="608"/>
      <c r="DW48" s="1116"/>
      <c r="DY48" s="82"/>
      <c r="DZ48" s="82"/>
      <c r="EA48" s="107"/>
      <c r="EB48" s="921"/>
      <c r="EC48" s="921"/>
      <c r="ED48" s="921"/>
      <c r="EE48" s="921"/>
      <c r="EF48" s="921"/>
      <c r="EG48" s="922"/>
      <c r="EH48" s="922"/>
      <c r="EI48" s="921"/>
      <c r="EJ48" s="921"/>
      <c r="EK48" s="921"/>
      <c r="EL48" s="921"/>
      <c r="EM48" s="921"/>
      <c r="EN48" s="921"/>
      <c r="EO48" s="921">
        <f>'C, C1, C2&amp; C3 - Savings Schemes'!Q48</f>
        <v>0</v>
      </c>
      <c r="EP48" s="1930"/>
      <c r="EQ48" s="1930"/>
      <c r="ER48" s="1930"/>
      <c r="ES48" s="1930"/>
      <c r="ET48" s="1930"/>
      <c r="EU48" s="1930"/>
      <c r="EV48" s="1930"/>
      <c r="EW48" s="1930"/>
      <c r="EX48" s="1932"/>
      <c r="EY48" s="1932"/>
      <c r="EZ48" s="1932"/>
      <c r="FA48" s="1932"/>
      <c r="FB48" s="1932"/>
      <c r="FC48" s="1932"/>
      <c r="FD48" s="1932"/>
      <c r="FE48" s="1932"/>
      <c r="FF48" s="1932"/>
      <c r="FG48" s="1932"/>
      <c r="FH48" s="1932"/>
      <c r="FI48" s="1932"/>
      <c r="FJ48" s="1932"/>
      <c r="FK48" s="1932"/>
      <c r="FL48" s="1932"/>
      <c r="FM48" s="1932"/>
      <c r="FN48" s="1932"/>
      <c r="FO48" s="1932"/>
      <c r="FP48" s="1932"/>
      <c r="FQ48" s="1932"/>
      <c r="FR48" s="1932"/>
      <c r="FS48" s="1932"/>
      <c r="GF48" s="2112">
        <f>'E - Resource Limits'!A48</f>
        <v>36</v>
      </c>
      <c r="GG48" s="2113">
        <f>'E - Resource Limits'!B48</f>
        <v>0</v>
      </c>
      <c r="GH48" s="2114">
        <f>'E - Resource Limits'!C48</f>
        <v>0</v>
      </c>
      <c r="GI48" s="2114">
        <f>'E - Resource Limits'!D48</f>
        <v>0</v>
      </c>
      <c r="GJ48" s="2114">
        <f>'E - Resource Limits'!E48</f>
        <v>0</v>
      </c>
      <c r="GK48" s="2114">
        <f>'E - Resource Limits'!F48</f>
        <v>0</v>
      </c>
      <c r="GL48" s="2048">
        <f>'E - Resource Limits'!G48</f>
        <v>0</v>
      </c>
      <c r="GM48" s="2115">
        <f>'E - Resource Limits'!H48</f>
        <v>0</v>
      </c>
      <c r="GN48" s="2114">
        <f>'E - Resource Limits'!I48</f>
        <v>0</v>
      </c>
      <c r="GO48" s="2114">
        <f>'E - Resource Limits'!J48</f>
        <v>0</v>
      </c>
      <c r="GP48" s="2114">
        <f>'E - Resource Limits'!K48</f>
        <v>0</v>
      </c>
      <c r="GQ48" s="2116">
        <f>'E - Resource Limits'!L48</f>
        <v>0</v>
      </c>
      <c r="GR48" s="1935">
        <f t="shared" si="6"/>
        <v>0</v>
      </c>
      <c r="GT48" s="172">
        <f>'E1 - Invoiced Income'!A48</f>
        <v>37</v>
      </c>
      <c r="GU48" s="173" t="str">
        <f>'E1 - Invoiced Income'!B48</f>
        <v>Total Income</v>
      </c>
      <c r="GV48" s="199">
        <f>'E1 - Invoiced Income'!C48</f>
        <v>0</v>
      </c>
      <c r="GW48" s="199">
        <f>'E1 - Invoiced Income'!D48</f>
        <v>0</v>
      </c>
      <c r="GX48" s="199">
        <f>'E1 - Invoiced Income'!E48</f>
        <v>0</v>
      </c>
      <c r="GY48" s="199">
        <f>'E1 - Invoiced Income'!F48</f>
        <v>0</v>
      </c>
      <c r="GZ48" s="199">
        <f>'E1 - Invoiced Income'!G48</f>
        <v>0</v>
      </c>
      <c r="HA48" s="199">
        <f>'E1 - Invoiced Income'!H48</f>
        <v>0</v>
      </c>
      <c r="HB48" s="199">
        <f>'E1 - Invoiced Income'!I48</f>
        <v>0</v>
      </c>
      <c r="HC48" s="199">
        <f>'E1 - Invoiced Income'!J48</f>
        <v>0</v>
      </c>
      <c r="HD48" s="199">
        <f>'E1 - Invoiced Income'!K48</f>
        <v>0</v>
      </c>
      <c r="HE48" s="199">
        <f>'E1 - Invoiced Income'!L48</f>
        <v>0</v>
      </c>
      <c r="HF48" s="199">
        <f>'E1 - Invoiced Income'!M48</f>
        <v>0</v>
      </c>
      <c r="HG48" s="199">
        <f>'E1 - Invoiced Income'!N48</f>
        <v>0</v>
      </c>
      <c r="HH48" s="199">
        <f>'E1 - Invoiced Income'!O48</f>
        <v>0</v>
      </c>
      <c r="HI48" s="199">
        <f>'E1 - Invoiced Income'!P48</f>
        <v>16930</v>
      </c>
      <c r="HJ48" s="199">
        <f>'E1 - Invoiced Income'!R48</f>
        <v>0</v>
      </c>
      <c r="HK48" s="199">
        <f>'E1 - Invoiced Income'!S48</f>
        <v>0</v>
      </c>
      <c r="HL48" s="199">
        <f>'E1 - Invoiced Income'!T48</f>
        <v>16930</v>
      </c>
      <c r="HM48" s="197"/>
      <c r="HO48" s="2007">
        <f>'F - SoFP'!A48</f>
        <v>29</v>
      </c>
      <c r="HP48" s="2008" t="str">
        <f>'F - SoFP'!B48</f>
        <v>Other reserve</v>
      </c>
      <c r="HQ48" s="2009">
        <f>'F - SoFP'!C48</f>
        <v>0</v>
      </c>
      <c r="HR48" s="2010">
        <f>'F - SoFP'!D48</f>
        <v>0</v>
      </c>
      <c r="HS48" s="2010">
        <f>'F - SoFP'!E48</f>
        <v>0</v>
      </c>
      <c r="HT48" s="1946"/>
      <c r="HV48" s="1745"/>
      <c r="HW48" s="1745"/>
      <c r="HX48" s="1745"/>
      <c r="HY48" s="1745"/>
      <c r="HZ48" s="1745"/>
      <c r="IA48" s="1745"/>
      <c r="IB48" s="1745"/>
      <c r="IC48" s="1745"/>
      <c r="ID48" s="1745"/>
      <c r="IE48" s="1745"/>
      <c r="IF48" s="1745"/>
      <c r="IG48" s="1745"/>
      <c r="IH48" s="1745"/>
      <c r="II48" s="1745"/>
      <c r="IJ48" s="1942"/>
      <c r="IK48" s="1942"/>
      <c r="JD48" s="2088">
        <f>'I - Capital RLM'!A48</f>
        <v>30</v>
      </c>
      <c r="JE48" s="2126">
        <f>'I - Capital RLM'!B48</f>
        <v>0</v>
      </c>
      <c r="JF48" s="2010">
        <f>'I - Capital RLM'!C48</f>
        <v>0</v>
      </c>
      <c r="JG48" s="2010">
        <f>'I - Capital RLM'!D48</f>
        <v>0</v>
      </c>
      <c r="JH48" s="2118">
        <f>'I - Capital RLM'!E48</f>
        <v>0</v>
      </c>
      <c r="JI48" s="2119">
        <f>'I - Capital RLM'!F48</f>
        <v>0</v>
      </c>
      <c r="JJ48" s="2010">
        <f>'I - Capital RLM'!G48</f>
        <v>0</v>
      </c>
      <c r="JK48" s="2010">
        <f>'I - Capital RLM'!H48</f>
        <v>0</v>
      </c>
      <c r="JL48" s="2118">
        <f>'I - Capital RLM'!I48</f>
        <v>0</v>
      </c>
      <c r="JM48" s="2120"/>
      <c r="JN48" s="1890">
        <f>'I - Capital RLM'!K48</f>
        <v>0</v>
      </c>
      <c r="JO48" s="2120">
        <f t="shared" si="7"/>
        <v>0</v>
      </c>
      <c r="JQ48" s="2088">
        <f>'J - Capital In Year Schemes'!A48</f>
        <v>35</v>
      </c>
      <c r="JR48" s="2126" t="str">
        <f>'J - Capital In Year Schemes'!B48</f>
        <v>I.T.</v>
      </c>
      <c r="JS48" s="2126">
        <f>'J - Capital In Year Schemes'!C48</f>
        <v>0</v>
      </c>
      <c r="JT48" s="2325">
        <f>'J - Capital In Year Schemes'!D48</f>
        <v>0</v>
      </c>
      <c r="JU48" s="2010">
        <f>'J - Capital In Year Schemes'!E48</f>
        <v>0</v>
      </c>
      <c r="JV48" s="2010">
        <f>'J - Capital In Year Schemes'!F48</f>
        <v>0</v>
      </c>
      <c r="JW48" s="2010">
        <f>'J - Capital In Year Schemes'!G48</f>
        <v>0</v>
      </c>
      <c r="JX48" s="2010">
        <f>'J - Capital In Year Schemes'!H48</f>
        <v>0</v>
      </c>
      <c r="JY48" s="2010">
        <f>'J - Capital In Year Schemes'!I48</f>
        <v>0</v>
      </c>
      <c r="JZ48" s="2010">
        <f>'J - Capital In Year Schemes'!J48</f>
        <v>0</v>
      </c>
      <c r="KA48" s="2010">
        <f>'J - Capital In Year Schemes'!K48</f>
        <v>0</v>
      </c>
      <c r="KB48" s="2010">
        <f>'J - Capital In Year Schemes'!L48</f>
        <v>0</v>
      </c>
      <c r="KC48" s="2010">
        <f>'J - Capital In Year Schemes'!M48</f>
        <v>0</v>
      </c>
      <c r="KD48" s="2010">
        <f>'J - Capital In Year Schemes'!N48</f>
        <v>0</v>
      </c>
      <c r="KE48" s="2010">
        <f>'J - Capital In Year Schemes'!O48</f>
        <v>0</v>
      </c>
      <c r="KF48" s="2010">
        <f>'J - Capital In Year Schemes'!P48</f>
        <v>0</v>
      </c>
      <c r="KG48" s="2010">
        <f>'J - Capital In Year Schemes'!Q48</f>
        <v>0</v>
      </c>
      <c r="KH48" s="2090">
        <f>'J - Capital In Year Schemes'!R48</f>
        <v>0</v>
      </c>
      <c r="KI48" s="2090">
        <f>'J - Capital In Year Schemes'!S48</f>
        <v>0</v>
      </c>
      <c r="KJ48" s="2091">
        <f>'J - Capital In Year Schemes'!T48</f>
        <v>0</v>
      </c>
      <c r="KK48" s="2060"/>
      <c r="KM48" s="2053">
        <f>'K - Capital Disposals'!A48</f>
        <v>33</v>
      </c>
      <c r="KN48" s="2220">
        <f>'K - Capital Disposals'!B48</f>
        <v>0</v>
      </c>
      <c r="KO48" s="2062">
        <f>'K - Capital Disposals'!C48</f>
        <v>0</v>
      </c>
      <c r="KP48" s="2062">
        <f>'K - Capital Disposals'!D48</f>
        <v>0</v>
      </c>
      <c r="KQ48" s="2078">
        <f>'K - Capital Disposals'!E48</f>
        <v>0</v>
      </c>
      <c r="KR48" s="2064">
        <f>'K - Capital Disposals'!F48</f>
        <v>0</v>
      </c>
      <c r="KS48" s="2064">
        <f>'K - Capital Disposals'!G48</f>
        <v>0</v>
      </c>
      <c r="KT48" s="2054">
        <f>'K - Capital Disposals'!H48</f>
        <v>0</v>
      </c>
      <c r="KU48" s="2055">
        <f>'K - Capital Disposals'!I48</f>
        <v>0</v>
      </c>
      <c r="KV48" s="3100">
        <f>'K - Capital Disposals'!J48</f>
        <v>0</v>
      </c>
      <c r="KW48" s="3095"/>
      <c r="KX48" s="3095"/>
      <c r="KY48" s="3095"/>
      <c r="KZ48" s="3095"/>
      <c r="LA48" s="3095"/>
      <c r="LB48" s="3096"/>
      <c r="LC48" s="1935"/>
      <c r="LL48" s="814"/>
      <c r="LM48" s="2264">
        <f>'M - Aged Debtors'!B48</f>
        <v>0</v>
      </c>
      <c r="LN48" s="2265">
        <f>'M - Aged Debtors'!C48</f>
        <v>0</v>
      </c>
      <c r="LO48" s="2266">
        <f>'M - Aged Debtors'!D48</f>
        <v>0</v>
      </c>
      <c r="LP48" s="2267">
        <f>'M - Aged Debtors'!E48</f>
        <v>0</v>
      </c>
      <c r="LQ48" s="2268">
        <f>'M - Aged Debtors'!F48</f>
        <v>0</v>
      </c>
      <c r="LR48" s="832" t="str">
        <f>'M - Aged Debtors'!G48</f>
        <v/>
      </c>
      <c r="LS48" s="829" t="str">
        <f>'M - Aged Debtors'!H48</f>
        <v/>
      </c>
      <c r="LT48" s="829" t="str">
        <f>'M - Aged Debtors'!I48</f>
        <v/>
      </c>
      <c r="LU48" s="830" t="str">
        <f>'M - Aged Debtors'!J48</f>
        <v/>
      </c>
      <c r="LV48" s="1830">
        <f>'M - Aged Debtors'!K48</f>
        <v>0</v>
      </c>
      <c r="LX48" s="480" t="str">
        <f>'N - GMS'!A48</f>
        <v>Oral Anticoagulation with Warfarin</v>
      </c>
      <c r="LY48" s="481"/>
      <c r="LZ48" s="461">
        <f>'N - GMS'!C48</f>
        <v>30</v>
      </c>
      <c r="MA48" s="67">
        <f>'N - GMS'!D48</f>
        <v>0</v>
      </c>
      <c r="MB48" s="1028">
        <f>'N - GMS'!E48</f>
        <v>0</v>
      </c>
      <c r="MC48" s="1028">
        <f>'N - GMS'!F48</f>
        <v>0</v>
      </c>
      <c r="MD48" s="2284">
        <f>'N - GMS'!G48</f>
        <v>0</v>
      </c>
      <c r="ME48" s="1170"/>
      <c r="MF48" s="1028">
        <f>'N - GMS'!I48</f>
        <v>0</v>
      </c>
      <c r="MH48" s="2322">
        <f>'O - Dental'!A48</f>
        <v>0</v>
      </c>
      <c r="MI48" s="2323"/>
      <c r="MJ48" s="701">
        <f>'O - Dental'!C48</f>
        <v>38</v>
      </c>
      <c r="MK48" s="664">
        <f>'O - Dental'!D48</f>
        <v>0</v>
      </c>
      <c r="ML48" s="2270">
        <f>'O - Dental'!E48</f>
        <v>0</v>
      </c>
      <c r="MM48" s="2271">
        <f>'O - Dental'!F48</f>
        <v>0</v>
      </c>
      <c r="MN48" s="2272">
        <f>'O - Dental'!G48</f>
        <v>0</v>
      </c>
      <c r="MO48" s="308"/>
      <c r="MP48" s="1765">
        <f>'O - Dental'!I48</f>
        <v>0</v>
      </c>
      <c r="MR48" s="684"/>
      <c r="MS48" s="3019">
        <f>'P - Ringfenced'!B48</f>
        <v>0</v>
      </c>
      <c r="MT48" s="1101" t="str">
        <f>'P - Ringfenced'!C48</f>
        <v>Actual/Forecast - committed</v>
      </c>
      <c r="MU48" s="2656">
        <f>'P - Ringfenced'!D48</f>
        <v>0</v>
      </c>
      <c r="MV48" s="2656">
        <f>'P - Ringfenced'!E48</f>
        <v>0</v>
      </c>
      <c r="MW48" s="2693">
        <f>'P - Ringfenced'!F48</f>
        <v>0</v>
      </c>
      <c r="MX48" s="2693">
        <f>'P - Ringfenced'!G48</f>
        <v>0</v>
      </c>
      <c r="MY48" s="2693">
        <f>'P - Ringfenced'!H48</f>
        <v>0</v>
      </c>
      <c r="MZ48" s="2693">
        <f>'P - Ringfenced'!I48</f>
        <v>0</v>
      </c>
      <c r="NA48" s="2693">
        <f>'P - Ringfenced'!J48</f>
        <v>0</v>
      </c>
      <c r="NB48" s="2693">
        <f>'P - Ringfenced'!K48</f>
        <v>0</v>
      </c>
      <c r="NC48" s="2693">
        <f>'P - Ringfenced'!L48</f>
        <v>0</v>
      </c>
      <c r="ND48" s="2693">
        <f>'P - Ringfenced'!M48</f>
        <v>0</v>
      </c>
      <c r="NE48" s="2693">
        <f>'P - Ringfenced'!N48</f>
        <v>0</v>
      </c>
      <c r="NF48" s="2693">
        <f>'P - Ringfenced'!O48</f>
        <v>0</v>
      </c>
      <c r="NG48" s="2693">
        <f>'P - Ringfenced'!P48</f>
        <v>0</v>
      </c>
      <c r="NH48" s="2693">
        <f>'P - Ringfenced'!Q48</f>
        <v>0</v>
      </c>
      <c r="NI48" s="1324">
        <f>'P - Ringfenced'!R48</f>
        <v>0</v>
      </c>
      <c r="NJ48" s="1325">
        <f>'P - Ringfenced'!S48</f>
        <v>0</v>
      </c>
      <c r="NK48" s="2861"/>
      <c r="NL48" s="684"/>
    </row>
    <row r="49" spans="13:376" ht="20.149999999999999" customHeight="1" thickTop="1" thickBot="1">
      <c r="M49" s="950">
        <f>'A - Movement'!A49</f>
        <v>39</v>
      </c>
      <c r="N49" s="980">
        <f>'A - Movement'!B49</f>
        <v>0</v>
      </c>
      <c r="O49" s="1131">
        <f>'A - Movement'!C49</f>
        <v>0</v>
      </c>
      <c r="P49" s="1131">
        <f>'A - Movement'!D49</f>
        <v>0</v>
      </c>
      <c r="Q49" s="954">
        <f>'A - Movement'!E49</f>
        <v>0</v>
      </c>
      <c r="R49" s="954">
        <f>'A - Movement'!F49</f>
        <v>0</v>
      </c>
      <c r="S49" s="1745"/>
      <c r="U49" s="950">
        <f>'A - Movement'!I49</f>
        <v>39</v>
      </c>
      <c r="V49" s="980">
        <f t="shared" si="8"/>
        <v>0</v>
      </c>
      <c r="W49" s="954">
        <f>'A - Movement'!J49</f>
        <v>0</v>
      </c>
      <c r="X49" s="954">
        <f>'A - Movement'!K49</f>
        <v>0</v>
      </c>
      <c r="Y49" s="954">
        <f>'A - Movement'!L49</f>
        <v>0</v>
      </c>
      <c r="Z49" s="954">
        <f>'A - Movement'!M49</f>
        <v>0</v>
      </c>
      <c r="AA49" s="954">
        <f>'A - Movement'!N49</f>
        <v>0</v>
      </c>
      <c r="AB49" s="954">
        <f>'A - Movement'!O49</f>
        <v>0</v>
      </c>
      <c r="AC49" s="954">
        <f>'A - Movement'!P49</f>
        <v>0</v>
      </c>
      <c r="AD49" s="954">
        <f>'A - Movement'!Q49</f>
        <v>0</v>
      </c>
      <c r="AE49" s="954">
        <f>'A - Movement'!R49</f>
        <v>0</v>
      </c>
      <c r="AF49" s="954">
        <f>'A - Movement'!S49</f>
        <v>0</v>
      </c>
      <c r="AG49" s="954">
        <f>'A - Movement'!T49</f>
        <v>0</v>
      </c>
      <c r="AH49" s="954">
        <f>'A - Movement'!U49</f>
        <v>0</v>
      </c>
      <c r="AI49" s="1131">
        <f>'A - Movement'!V49</f>
        <v>0</v>
      </c>
      <c r="AJ49" s="1131">
        <f>'A - Movement'!W49</f>
        <v>0</v>
      </c>
      <c r="AK49" s="1131">
        <f t="shared" si="12"/>
        <v>0</v>
      </c>
      <c r="AL49" s="954">
        <f t="shared" si="13"/>
        <v>0</v>
      </c>
      <c r="AM49" s="954">
        <f t="shared" si="14"/>
        <v>0</v>
      </c>
      <c r="AN49" s="1745"/>
      <c r="AO49" s="1928"/>
      <c r="AP49" s="1403">
        <f>'A1 - Underlying Position'!A50</f>
        <v>11</v>
      </c>
      <c r="AQ49" s="1411" t="str">
        <f>'A1 - Underlying Position'!B50</f>
        <v>Support Services (inc. Estates &amp; Facilities)</v>
      </c>
      <c r="AR49" s="1800">
        <f>'A1 - Underlying Position'!C50</f>
        <v>0</v>
      </c>
      <c r="AS49" s="2251">
        <f>'A1 - Underlying Position'!D50</f>
        <v>0</v>
      </c>
      <c r="AT49" s="2251">
        <f>'A1 - Underlying Position'!E50</f>
        <v>0</v>
      </c>
      <c r="AU49" s="75">
        <f>'A1 - Underlying Position'!F50</f>
        <v>0</v>
      </c>
      <c r="AV49" s="2252">
        <f>'A1 - Underlying Position'!G50</f>
        <v>0</v>
      </c>
      <c r="AW49" s="75">
        <f>'A1 - Underlying Position'!H50</f>
        <v>0</v>
      </c>
      <c r="AX49" s="2594"/>
      <c r="AZ49" s="114">
        <f>'A2 - Risks'!A49</f>
        <v>37</v>
      </c>
      <c r="BA49" s="949" t="str">
        <f>'A2 - Risks'!B49</f>
        <v>Worst Case Outturn Scenario</v>
      </c>
      <c r="BB49" s="117">
        <f>'A2 - Risks'!C49</f>
        <v>-1379.0001899999843</v>
      </c>
      <c r="BC49" s="1155">
        <f>'A2 - Risks'!D49</f>
        <v>0</v>
      </c>
      <c r="BE49" s="2233">
        <f>'B - Monthly Positions'!A49</f>
        <v>34</v>
      </c>
      <c r="BF49" s="1373" t="str">
        <f>'B - Monthly Positions'!B49</f>
        <v>Children &amp; Women's</v>
      </c>
      <c r="BG49" s="93" t="str">
        <f>'B - Monthly Positions'!C49</f>
        <v>Actual/F'cast</v>
      </c>
      <c r="BH49" s="3005">
        <f>'B - Monthly Positions'!D49</f>
        <v>0</v>
      </c>
      <c r="BI49" s="1140"/>
      <c r="BJ49" s="1140"/>
      <c r="BK49" s="1140"/>
      <c r="BL49" s="1140"/>
      <c r="BM49" s="1140"/>
      <c r="BN49" s="1140"/>
      <c r="BO49" s="1140"/>
      <c r="BP49" s="1140"/>
      <c r="BQ49" s="1140"/>
      <c r="BR49" s="1140"/>
      <c r="BS49" s="1140"/>
      <c r="BT49" s="1140"/>
      <c r="BU49" s="1140"/>
      <c r="BV49" s="2234"/>
      <c r="BW49" s="1930"/>
      <c r="BX49" s="1107">
        <f>' Table Z Net Exp Profiles'!A49</f>
        <v>33</v>
      </c>
      <c r="BY49" s="1267" t="str">
        <f>' Table Z Net Exp Profiles'!B49</f>
        <v>Total Non Pay Savings - Current Plan</v>
      </c>
      <c r="BZ49" s="1293">
        <f>' Table Z Net Exp Profiles'!C49</f>
        <v>454.5</v>
      </c>
      <c r="CA49" s="1294">
        <f>' Table Z Net Exp Profiles'!D49</f>
        <v>118.5</v>
      </c>
      <c r="CB49" s="1294">
        <f>' Table Z Net Exp Profiles'!E49</f>
        <v>118.5</v>
      </c>
      <c r="CC49" s="1294">
        <f>' Table Z Net Exp Profiles'!F49</f>
        <v>118.5</v>
      </c>
      <c r="CD49" s="1294">
        <f>' Table Z Net Exp Profiles'!G49</f>
        <v>118.5</v>
      </c>
      <c r="CE49" s="1294">
        <f>' Table Z Net Exp Profiles'!H49</f>
        <v>118.5</v>
      </c>
      <c r="CF49" s="1294">
        <f>' Table Z Net Exp Profiles'!I49</f>
        <v>118.5</v>
      </c>
      <c r="CG49" s="1294">
        <f>' Table Z Net Exp Profiles'!J49</f>
        <v>118.5</v>
      </c>
      <c r="CH49" s="1294">
        <f>' Table Z Net Exp Profiles'!K49</f>
        <v>118.5</v>
      </c>
      <c r="CI49" s="1294">
        <f>' Table Z Net Exp Profiles'!L49</f>
        <v>118.5</v>
      </c>
      <c r="CJ49" s="1294">
        <f>' Table Z Net Exp Profiles'!M49</f>
        <v>118.5</v>
      </c>
      <c r="CK49" s="1295">
        <f>' Table Z Net Exp Profiles'!N49</f>
        <v>118.5</v>
      </c>
      <c r="CL49" s="1232">
        <f>' Table Z Net Exp Profiles'!O49</f>
        <v>454.5</v>
      </c>
      <c r="CM49" s="1101">
        <f>' Table Z Net Exp Profiles'!P49</f>
        <v>1758</v>
      </c>
      <c r="CO49" s="1308" t="str">
        <f>'B2 - Pay &amp; Agency'!A49</f>
        <v xml:space="preserve">C - Agency / Locum (premium) Expenditure </v>
      </c>
      <c r="CP49" s="80"/>
      <c r="CQ49" s="1236">
        <f>'B2 - Pay &amp; Agency'!C49</f>
        <v>1</v>
      </c>
      <c r="CR49" s="1222">
        <f>'B2 - Pay &amp; Agency'!D49</f>
        <v>2</v>
      </c>
      <c r="CS49" s="1222">
        <f>'B2 - Pay &amp; Agency'!E49</f>
        <v>3</v>
      </c>
      <c r="CT49" s="1222">
        <f>'B2 - Pay &amp; Agency'!F49</f>
        <v>4</v>
      </c>
      <c r="CU49" s="1222">
        <f>'B2 - Pay &amp; Agency'!G49</f>
        <v>5</v>
      </c>
      <c r="CV49" s="1222">
        <f>'B2 - Pay &amp; Agency'!H49</f>
        <v>6</v>
      </c>
      <c r="CW49" s="1222">
        <f>'B2 - Pay &amp; Agency'!I49</f>
        <v>7</v>
      </c>
      <c r="CX49" s="1222">
        <f>'B2 - Pay &amp; Agency'!J49</f>
        <v>8</v>
      </c>
      <c r="CY49" s="1222">
        <f>'B2 - Pay &amp; Agency'!K49</f>
        <v>9</v>
      </c>
      <c r="CZ49" s="1222">
        <f>'B2 - Pay &amp; Agency'!L49</f>
        <v>10</v>
      </c>
      <c r="DA49" s="1222">
        <f>'B2 - Pay &amp; Agency'!M49</f>
        <v>11</v>
      </c>
      <c r="DB49" s="1223">
        <f>'B2 - Pay &amp; Agency'!N49</f>
        <v>12</v>
      </c>
      <c r="DC49" s="1210"/>
      <c r="DD49" s="1211"/>
      <c r="DF49" s="2730" t="str">
        <f>'B3 - COVID-19'!A49</f>
        <v>COVID-19 Vaccination Programme (immunisation)- Additional costs due to C19</v>
      </c>
      <c r="DG49" s="2819"/>
      <c r="DH49" s="1918"/>
      <c r="DI49" s="1918"/>
      <c r="DJ49" s="1918"/>
      <c r="DK49" s="1918"/>
      <c r="DL49" s="1918"/>
      <c r="DM49" s="1918"/>
      <c r="DN49" s="1918"/>
      <c r="DO49" s="1918"/>
      <c r="DP49" s="1918"/>
      <c r="DQ49" s="1918"/>
      <c r="DR49" s="1918"/>
      <c r="DS49" s="1918"/>
      <c r="DT49" s="1918"/>
      <c r="DU49" s="1918"/>
      <c r="DV49" s="608"/>
      <c r="DW49" s="1116"/>
      <c r="DY49" s="82"/>
      <c r="DZ49" s="83"/>
      <c r="EA49" s="107"/>
      <c r="EB49" s="108"/>
      <c r="EC49" s="108"/>
      <c r="ED49" s="108"/>
      <c r="EE49" s="108"/>
      <c r="EF49" s="108"/>
      <c r="EG49" s="108"/>
      <c r="EH49" s="108"/>
      <c r="EI49" s="108"/>
      <c r="EJ49" s="108"/>
      <c r="EK49" s="108"/>
      <c r="EL49" s="108"/>
      <c r="EM49" s="108"/>
      <c r="EN49" s="923"/>
      <c r="EO49" s="924">
        <f>'C, C1, C2&amp; C3 - Savings Schemes'!Q49</f>
        <v>0</v>
      </c>
      <c r="EP49" s="1930"/>
      <c r="EQ49" s="1930"/>
      <c r="ER49" s="1930"/>
      <c r="ES49" s="1930"/>
      <c r="ET49" s="1930"/>
      <c r="EU49" s="1930"/>
      <c r="EV49" s="1930"/>
      <c r="EW49" s="1930"/>
      <c r="EX49" s="1932"/>
      <c r="EY49" s="1932"/>
      <c r="EZ49" s="1932"/>
      <c r="FA49" s="1932"/>
      <c r="FB49" s="1932"/>
      <c r="FC49" s="1932"/>
      <c r="FD49" s="1932"/>
      <c r="FE49" s="1932"/>
      <c r="FF49" s="1932"/>
      <c r="FG49" s="1932"/>
      <c r="FH49" s="1932"/>
      <c r="FI49" s="1932"/>
      <c r="FJ49" s="1932"/>
      <c r="FK49" s="1932"/>
      <c r="FL49" s="1932"/>
      <c r="FM49" s="1932"/>
      <c r="FN49" s="1932"/>
      <c r="FO49" s="1932"/>
      <c r="FP49" s="1932"/>
      <c r="FQ49" s="1932"/>
      <c r="FR49" s="1932"/>
      <c r="FS49" s="1932"/>
      <c r="GF49" s="2112">
        <f>'E - Resource Limits'!A49</f>
        <v>37</v>
      </c>
      <c r="GG49" s="2113">
        <f>'E - Resource Limits'!B49</f>
        <v>0</v>
      </c>
      <c r="GH49" s="2114">
        <f>'E - Resource Limits'!C49</f>
        <v>0</v>
      </c>
      <c r="GI49" s="2114">
        <f>'E - Resource Limits'!D49</f>
        <v>0</v>
      </c>
      <c r="GJ49" s="2114">
        <f>'E - Resource Limits'!E49</f>
        <v>0</v>
      </c>
      <c r="GK49" s="2114">
        <f>'E - Resource Limits'!F49</f>
        <v>0</v>
      </c>
      <c r="GL49" s="2048">
        <f>'E - Resource Limits'!G49</f>
        <v>0</v>
      </c>
      <c r="GM49" s="2115">
        <f>'E - Resource Limits'!H49</f>
        <v>0</v>
      </c>
      <c r="GN49" s="2114">
        <f>'E - Resource Limits'!I49</f>
        <v>0</v>
      </c>
      <c r="GO49" s="2114">
        <f>'E - Resource Limits'!J49</f>
        <v>0</v>
      </c>
      <c r="GP49" s="2114">
        <f>'E - Resource Limits'!K49</f>
        <v>0</v>
      </c>
      <c r="GQ49" s="2116">
        <f>'E - Resource Limits'!L49</f>
        <v>0</v>
      </c>
      <c r="GR49" s="1935">
        <f t="shared" si="6"/>
        <v>0</v>
      </c>
      <c r="GT49" s="71"/>
      <c r="GU49" s="71"/>
      <c r="GV49" s="71"/>
      <c r="GW49" s="71"/>
      <c r="GX49" s="71"/>
      <c r="GY49" s="71"/>
      <c r="GZ49" s="71"/>
      <c r="HA49" s="71"/>
      <c r="HB49" s="71"/>
      <c r="HC49" s="71"/>
      <c r="HD49" s="71"/>
      <c r="HE49" s="71"/>
      <c r="HF49" s="71"/>
      <c r="HG49" s="71"/>
      <c r="HH49" s="71"/>
      <c r="HI49" s="71"/>
      <c r="HJ49" s="71"/>
      <c r="HK49" s="71"/>
      <c r="HL49" s="71"/>
      <c r="HM49" s="71"/>
      <c r="HO49" s="2084">
        <f>'F - SoFP'!A49</f>
        <v>30</v>
      </c>
      <c r="HP49" s="2327" t="str">
        <f>'F - SoFP'!B49</f>
        <v>Total Taxpayers' Equity</v>
      </c>
      <c r="HQ49" s="2037">
        <f>'F - SoFP'!C49</f>
        <v>0</v>
      </c>
      <c r="HR49" s="2037">
        <f>'F - SoFP'!D49</f>
        <v>0</v>
      </c>
      <c r="HS49" s="2037">
        <f>'F - SoFP'!E49</f>
        <v>0</v>
      </c>
      <c r="HT49" s="1946"/>
      <c r="HV49" s="1745"/>
      <c r="HW49" s="1745"/>
      <c r="HX49" s="1745"/>
      <c r="HY49" s="1745"/>
      <c r="HZ49" s="1745"/>
      <c r="IA49" s="1745"/>
      <c r="IB49" s="1745"/>
      <c r="IC49" s="1745"/>
      <c r="ID49" s="1745"/>
      <c r="IE49" s="1745"/>
      <c r="IF49" s="1745"/>
      <c r="IG49" s="1745"/>
      <c r="IH49" s="1745"/>
      <c r="II49" s="1745"/>
      <c r="IJ49" s="1942"/>
      <c r="IK49" s="1942"/>
      <c r="JD49" s="2088">
        <f>'I - Capital RLM'!A49</f>
        <v>31</v>
      </c>
      <c r="JE49" s="2126">
        <f>'I - Capital RLM'!B49</f>
        <v>0</v>
      </c>
      <c r="JF49" s="2010">
        <f>'I - Capital RLM'!C49</f>
        <v>0</v>
      </c>
      <c r="JG49" s="2010">
        <f>'I - Capital RLM'!D49</f>
        <v>0</v>
      </c>
      <c r="JH49" s="2118">
        <f>'I - Capital RLM'!E49</f>
        <v>0</v>
      </c>
      <c r="JI49" s="2119">
        <f>'I - Capital RLM'!F49</f>
        <v>0</v>
      </c>
      <c r="JJ49" s="2010">
        <f>'I - Capital RLM'!G49</f>
        <v>0</v>
      </c>
      <c r="JK49" s="2010">
        <f>'I - Capital RLM'!H49</f>
        <v>0</v>
      </c>
      <c r="JL49" s="2118">
        <f>'I - Capital RLM'!I49</f>
        <v>0</v>
      </c>
      <c r="JM49" s="2120"/>
      <c r="JN49" s="1890">
        <f>'I - Capital RLM'!K49</f>
        <v>0</v>
      </c>
      <c r="JO49" s="2120">
        <f t="shared" si="7"/>
        <v>0</v>
      </c>
      <c r="JQ49" s="2073">
        <f>'J - Capital In Year Schemes'!A49</f>
        <v>36</v>
      </c>
      <c r="JR49" s="2126" t="str">
        <f>'J - Capital In Year Schemes'!B49</f>
        <v>Equipment</v>
      </c>
      <c r="JS49" s="2126">
        <f>'J - Capital In Year Schemes'!C49</f>
        <v>0</v>
      </c>
      <c r="JT49" s="2325">
        <f>'J - Capital In Year Schemes'!D49</f>
        <v>0</v>
      </c>
      <c r="JU49" s="2010">
        <f>'J - Capital In Year Schemes'!E49</f>
        <v>0</v>
      </c>
      <c r="JV49" s="2010">
        <f>'J - Capital In Year Schemes'!F49</f>
        <v>0</v>
      </c>
      <c r="JW49" s="2010">
        <f>'J - Capital In Year Schemes'!G49</f>
        <v>0</v>
      </c>
      <c r="JX49" s="2010">
        <f>'J - Capital In Year Schemes'!H49</f>
        <v>0</v>
      </c>
      <c r="JY49" s="2010">
        <f>'J - Capital In Year Schemes'!I49</f>
        <v>0</v>
      </c>
      <c r="JZ49" s="2010">
        <f>'J - Capital In Year Schemes'!J49</f>
        <v>0</v>
      </c>
      <c r="KA49" s="2010">
        <f>'J - Capital In Year Schemes'!K49</f>
        <v>0</v>
      </c>
      <c r="KB49" s="2010">
        <f>'J - Capital In Year Schemes'!L49</f>
        <v>0</v>
      </c>
      <c r="KC49" s="2010">
        <f>'J - Capital In Year Schemes'!M49</f>
        <v>0</v>
      </c>
      <c r="KD49" s="2010">
        <f>'J - Capital In Year Schemes'!N49</f>
        <v>0</v>
      </c>
      <c r="KE49" s="2010">
        <f>'J - Capital In Year Schemes'!O49</f>
        <v>0</v>
      </c>
      <c r="KF49" s="2010">
        <f>'J - Capital In Year Schemes'!P49</f>
        <v>0</v>
      </c>
      <c r="KG49" s="2010">
        <f>'J - Capital In Year Schemes'!Q49</f>
        <v>0</v>
      </c>
      <c r="KH49" s="2090">
        <f>'J - Capital In Year Schemes'!R49</f>
        <v>0</v>
      </c>
      <c r="KI49" s="2090">
        <f>'J - Capital In Year Schemes'!S49</f>
        <v>0</v>
      </c>
      <c r="KJ49" s="2091">
        <f>'J - Capital In Year Schemes'!T49</f>
        <v>0</v>
      </c>
      <c r="KK49" s="2060"/>
      <c r="KM49" s="2053">
        <f>'K - Capital Disposals'!A49</f>
        <v>34</v>
      </c>
      <c r="KN49" s="2220">
        <f>'K - Capital Disposals'!B49</f>
        <v>0</v>
      </c>
      <c r="KO49" s="2062">
        <f>'K - Capital Disposals'!C49</f>
        <v>0</v>
      </c>
      <c r="KP49" s="2062">
        <f>'K - Capital Disposals'!D49</f>
        <v>0</v>
      </c>
      <c r="KQ49" s="2078">
        <f>'K - Capital Disposals'!E49</f>
        <v>0</v>
      </c>
      <c r="KR49" s="2064">
        <f>'K - Capital Disposals'!F49</f>
        <v>0</v>
      </c>
      <c r="KS49" s="2064">
        <f>'K - Capital Disposals'!G49</f>
        <v>0</v>
      </c>
      <c r="KT49" s="2054">
        <f>'K - Capital Disposals'!H49</f>
        <v>0</v>
      </c>
      <c r="KU49" s="2055">
        <f>'K - Capital Disposals'!I49</f>
        <v>0</v>
      </c>
      <c r="KV49" s="3100">
        <f>'K - Capital Disposals'!J49</f>
        <v>0</v>
      </c>
      <c r="KW49" s="3095"/>
      <c r="KX49" s="3095"/>
      <c r="KY49" s="3095"/>
      <c r="KZ49" s="3095"/>
      <c r="LA49" s="3095"/>
      <c r="LB49" s="3096"/>
      <c r="LC49" s="1935"/>
      <c r="LL49" s="814"/>
      <c r="LM49" s="2264">
        <f>'M - Aged Debtors'!B49</f>
        <v>0</v>
      </c>
      <c r="LN49" s="2265">
        <f>'M - Aged Debtors'!C49</f>
        <v>0</v>
      </c>
      <c r="LO49" s="2266">
        <f>'M - Aged Debtors'!D49</f>
        <v>0</v>
      </c>
      <c r="LP49" s="2267">
        <f>'M - Aged Debtors'!E49</f>
        <v>0</v>
      </c>
      <c r="LQ49" s="2268">
        <f>'M - Aged Debtors'!F49</f>
        <v>0</v>
      </c>
      <c r="LR49" s="832" t="str">
        <f>'M - Aged Debtors'!G49</f>
        <v/>
      </c>
      <c r="LS49" s="829" t="str">
        <f>'M - Aged Debtors'!H49</f>
        <v/>
      </c>
      <c r="LT49" s="829" t="str">
        <f>'M - Aged Debtors'!I49</f>
        <v/>
      </c>
      <c r="LU49" s="830" t="str">
        <f>'M - Aged Debtors'!J49</f>
        <v/>
      </c>
      <c r="LV49" s="1830">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2">
        <f>'O - Dental'!A49</f>
        <v>0</v>
      </c>
      <c r="MI49" s="2323"/>
      <c r="MJ49" s="701">
        <f>'O - Dental'!C49</f>
        <v>39</v>
      </c>
      <c r="MK49" s="664">
        <f>'O - Dental'!D49</f>
        <v>0</v>
      </c>
      <c r="ML49" s="2270">
        <f>'O - Dental'!E49</f>
        <v>0</v>
      </c>
      <c r="MM49" s="2271">
        <f>'O - Dental'!F49</f>
        <v>0</v>
      </c>
      <c r="MN49" s="2272">
        <f>'O - Dental'!G49</f>
        <v>0</v>
      </c>
      <c r="MO49" s="308"/>
      <c r="MP49" s="1765">
        <f>'O - Dental'!I49</f>
        <v>0</v>
      </c>
      <c r="MR49" s="684"/>
      <c r="MS49" s="3019">
        <f>'P - Ringfenced'!B49</f>
        <v>0</v>
      </c>
      <c r="MT49" s="2661" t="str">
        <f>'P - Ringfenced'!C49</f>
        <v>Variance against current plan</v>
      </c>
      <c r="MU49" s="2656">
        <f>'P - Ringfenced'!D49</f>
        <v>0</v>
      </c>
      <c r="MV49" s="2656">
        <f>'P - Ringfenced'!E49</f>
        <v>0</v>
      </c>
      <c r="MW49" s="2680">
        <f>'P - Ringfenced'!F49</f>
        <v>0</v>
      </c>
      <c r="MX49" s="2680">
        <f>'P - Ringfenced'!G49</f>
        <v>0</v>
      </c>
      <c r="MY49" s="2680">
        <f>'P - Ringfenced'!H49</f>
        <v>0</v>
      </c>
      <c r="MZ49" s="2680">
        <f>'P - Ringfenced'!I49</f>
        <v>0</v>
      </c>
      <c r="NA49" s="2680">
        <f>'P - Ringfenced'!J49</f>
        <v>0</v>
      </c>
      <c r="NB49" s="2680">
        <f>'P - Ringfenced'!K49</f>
        <v>0</v>
      </c>
      <c r="NC49" s="2680">
        <f>'P - Ringfenced'!L49</f>
        <v>0</v>
      </c>
      <c r="ND49" s="2680">
        <f>'P - Ringfenced'!M49</f>
        <v>0</v>
      </c>
      <c r="NE49" s="2680">
        <f>'P - Ringfenced'!N49</f>
        <v>0</v>
      </c>
      <c r="NF49" s="2680">
        <f>'P - Ringfenced'!O49</f>
        <v>0</v>
      </c>
      <c r="NG49" s="2680">
        <f>'P - Ringfenced'!P49</f>
        <v>0</v>
      </c>
      <c r="NH49" s="2680">
        <f>'P - Ringfenced'!Q49</f>
        <v>0</v>
      </c>
      <c r="NI49" s="1110">
        <f>'P - Ringfenced'!R49</f>
        <v>0</v>
      </c>
      <c r="NJ49" s="1220">
        <f>'P - Ringfenced'!S49</f>
        <v>0</v>
      </c>
      <c r="NK49" s="1220">
        <f>'P - Ringfenced'!T49</f>
        <v>0</v>
      </c>
      <c r="NL49" s="684"/>
    </row>
    <row r="50" spans="13:376" ht="20.149999999999999" customHeight="1" thickBot="1">
      <c r="M50" s="950">
        <f>'A - Movement'!A50</f>
        <v>40</v>
      </c>
      <c r="N50" s="953" t="str">
        <f>'A - Movement'!B50</f>
        <v>Forecast Outturn (- Deficit / + Surplus)</v>
      </c>
      <c r="O50" s="951">
        <f>'A - Movement'!C50</f>
        <v>-1.8999998428625986E-4</v>
      </c>
      <c r="P50" s="951">
        <f>'A - Movement'!D50</f>
        <v>-1.8999998428625986E-4</v>
      </c>
      <c r="Q50" s="951">
        <f>'A - Movement'!E50</f>
        <v>0</v>
      </c>
      <c r="R50" s="951">
        <f>'A - Movement'!F50</f>
        <v>0</v>
      </c>
      <c r="S50" s="1745"/>
      <c r="U50" s="952">
        <f>'A - Movement'!I50</f>
        <v>40</v>
      </c>
      <c r="V50" s="953" t="str">
        <f t="shared" si="8"/>
        <v>Forecast Outturn (- Deficit / + Surplus)</v>
      </c>
      <c r="W50" s="951">
        <f>'A - Movement'!J50</f>
        <v>49.999809999999798</v>
      </c>
      <c r="X50" s="951">
        <f>'A - Movement'!K50</f>
        <v>1.4210854715202004E-13</v>
      </c>
      <c r="Y50" s="951">
        <f>'A - Movement'!L50</f>
        <v>1.4210854715202004E-13</v>
      </c>
      <c r="Z50" s="951">
        <f>'A - Movement'!M50</f>
        <v>3.694822225952521E-13</v>
      </c>
      <c r="AA50" s="951">
        <f>'A - Movement'!N50</f>
        <v>3.694822225952521E-13</v>
      </c>
      <c r="AB50" s="951">
        <f>'A - Movement'!O50</f>
        <v>-8.5265128291212022E-14</v>
      </c>
      <c r="AC50" s="951">
        <f>'A - Movement'!P50</f>
        <v>-8.5265128291212022E-14</v>
      </c>
      <c r="AD50" s="951">
        <f>'A - Movement'!Q50</f>
        <v>5.9685589803848416E-13</v>
      </c>
      <c r="AE50" s="951">
        <f>'A - Movement'!R50</f>
        <v>1.4210854715202004E-13</v>
      </c>
      <c r="AF50" s="951">
        <f>'A - Movement'!S50</f>
        <v>-8.5265128291212022E-14</v>
      </c>
      <c r="AG50" s="951">
        <f>'A - Movement'!T50</f>
        <v>1.4210854715202004E-13</v>
      </c>
      <c r="AH50" s="951">
        <f>'A - Movement'!U50</f>
        <v>-50.000000000000313</v>
      </c>
      <c r="AI50" s="951">
        <f>'A - Movement'!V50</f>
        <v>49.999809999999798</v>
      </c>
      <c r="AJ50" s="951">
        <f>'A - Movement'!W50</f>
        <v>-1.899999988665968E-4</v>
      </c>
      <c r="AK50" s="951">
        <f t="shared" si="12"/>
        <v>-1.8999998428625986E-4</v>
      </c>
      <c r="AL50" s="951">
        <f t="shared" si="13"/>
        <v>0</v>
      </c>
      <c r="AM50" s="951">
        <f t="shared" si="14"/>
        <v>0</v>
      </c>
      <c r="AN50" s="1745"/>
      <c r="AP50" s="1404">
        <f>'A1 - Underlying Position'!A51</f>
        <v>12</v>
      </c>
      <c r="AQ50" s="1405" t="str">
        <f>'A1 - Underlying Position'!B51</f>
        <v>Total</v>
      </c>
      <c r="AR50" s="1110">
        <f>'A1 - Underlying Position'!C51</f>
        <v>0</v>
      </c>
      <c r="AS50" s="1110">
        <f>'A1 - Underlying Position'!D51</f>
        <v>0</v>
      </c>
      <c r="AT50" s="1110">
        <f>'A1 - Underlying Position'!E51</f>
        <v>0</v>
      </c>
      <c r="AU50" s="1101">
        <f>'A1 - Underlying Position'!F51</f>
        <v>0</v>
      </c>
      <c r="AV50" s="1110">
        <f>'A1 - Underlying Position'!G51</f>
        <v>0</v>
      </c>
      <c r="AW50" s="1101">
        <f>'A1 - Underlying Position'!H51</f>
        <v>0</v>
      </c>
      <c r="AX50" s="2594"/>
      <c r="AZ50" s="71"/>
      <c r="BA50" s="71"/>
      <c r="BB50" s="71"/>
      <c r="BC50" s="71"/>
      <c r="BE50" s="2233">
        <f>'B - Monthly Positions'!A50</f>
        <v>35</v>
      </c>
      <c r="BF50" s="1373" t="str">
        <f>'B - Monthly Positions'!B50</f>
        <v>Community Services</v>
      </c>
      <c r="BG50" s="93" t="str">
        <f>'B - Monthly Positions'!C50</f>
        <v>Actual/F'cast</v>
      </c>
      <c r="BH50" s="3005">
        <f>'B - Monthly Positions'!D50</f>
        <v>0</v>
      </c>
      <c r="BI50" s="1140"/>
      <c r="BJ50" s="1140"/>
      <c r="BK50" s="1140"/>
      <c r="BL50" s="1140"/>
      <c r="BM50" s="1140"/>
      <c r="BN50" s="1140"/>
      <c r="BO50" s="1140"/>
      <c r="BP50" s="1140"/>
      <c r="BQ50" s="1140"/>
      <c r="BR50" s="1140"/>
      <c r="BS50" s="1140"/>
      <c r="BT50" s="1140"/>
      <c r="BU50" s="1140"/>
      <c r="BV50" s="2234"/>
      <c r="BW50" s="1930"/>
      <c r="BX50" s="890">
        <f>' Table Z Net Exp Profiles'!A50</f>
        <v>34</v>
      </c>
      <c r="BY50" s="1268" t="str">
        <f>' Table Z Net Exp Profiles'!B50</f>
        <v>Non Pay Savings - Actual/Forecast</v>
      </c>
      <c r="BZ50" s="1693">
        <f>' Table Z Net Exp Profiles'!C50</f>
        <v>454.5</v>
      </c>
      <c r="CA50" s="1694">
        <f>' Table Z Net Exp Profiles'!D50</f>
        <v>118.5</v>
      </c>
      <c r="CB50" s="1694">
        <f>' Table Z Net Exp Profiles'!E50</f>
        <v>118.5</v>
      </c>
      <c r="CC50" s="1694">
        <f>' Table Z Net Exp Profiles'!F50</f>
        <v>118.5</v>
      </c>
      <c r="CD50" s="1694">
        <f>' Table Z Net Exp Profiles'!G50</f>
        <v>118.5</v>
      </c>
      <c r="CE50" s="1694">
        <f>' Table Z Net Exp Profiles'!H50</f>
        <v>118.5</v>
      </c>
      <c r="CF50" s="1694">
        <f>' Table Z Net Exp Profiles'!I50</f>
        <v>118.5</v>
      </c>
      <c r="CG50" s="1694">
        <f>' Table Z Net Exp Profiles'!J50</f>
        <v>118.5</v>
      </c>
      <c r="CH50" s="1694">
        <f>' Table Z Net Exp Profiles'!K50</f>
        <v>118.5</v>
      </c>
      <c r="CI50" s="1694">
        <f>' Table Z Net Exp Profiles'!L50</f>
        <v>118.5</v>
      </c>
      <c r="CJ50" s="1694">
        <f>' Table Z Net Exp Profiles'!M50</f>
        <v>118.5</v>
      </c>
      <c r="CK50" s="1695">
        <f>' Table Z Net Exp Profiles'!N50</f>
        <v>118.5</v>
      </c>
      <c r="CL50" s="1233">
        <f>' Table Z Net Exp Profiles'!O50</f>
        <v>454.5</v>
      </c>
      <c r="CM50" s="1215">
        <f>' Table Z Net Exp Profiles'!P50</f>
        <v>1758</v>
      </c>
      <c r="CO50" s="80"/>
      <c r="CP50" s="373"/>
      <c r="CQ50" s="1238" t="str">
        <f>'B2 - Pay &amp; Agency'!C50</f>
        <v>Apr</v>
      </c>
      <c r="CR50" s="2328" t="str">
        <f>'B2 - Pay &amp; Agency'!D50</f>
        <v>May</v>
      </c>
      <c r="CS50" s="2328" t="str">
        <f>'B2 - Pay &amp; Agency'!E50</f>
        <v>Jun</v>
      </c>
      <c r="CT50" s="2328" t="str">
        <f>'B2 - Pay &amp; Agency'!F50</f>
        <v>Jul</v>
      </c>
      <c r="CU50" s="2328" t="str">
        <f>'B2 - Pay &amp; Agency'!G50</f>
        <v>Aug</v>
      </c>
      <c r="CV50" s="2328" t="str">
        <f>'B2 - Pay &amp; Agency'!H50</f>
        <v>Sep</v>
      </c>
      <c r="CW50" s="2328" t="str">
        <f>'B2 - Pay &amp; Agency'!I50</f>
        <v>Oct</v>
      </c>
      <c r="CX50" s="2328" t="str">
        <f>'B2 - Pay &amp; Agency'!J50</f>
        <v>Nov</v>
      </c>
      <c r="CY50" s="2328" t="str">
        <f>'B2 - Pay &amp; Agency'!K50</f>
        <v>Dec</v>
      </c>
      <c r="CZ50" s="2328" t="str">
        <f>'B2 - Pay &amp; Agency'!L50</f>
        <v>Jan</v>
      </c>
      <c r="DA50" s="2328" t="str">
        <f>'B2 - Pay &amp; Agency'!M50</f>
        <v>Feb</v>
      </c>
      <c r="DB50" s="1251" t="str">
        <f>'B2 - Pay &amp; Agency'!N50</f>
        <v>Mar</v>
      </c>
      <c r="DC50" s="1227" t="str">
        <f>'B2 - Pay &amp; Agency'!O50</f>
        <v>Total YTD</v>
      </c>
      <c r="DD50" s="1227" t="str">
        <f>'B2 - Pay &amp; Agency'!P50</f>
        <v>Forecast year-end position</v>
      </c>
      <c r="DF50" s="2486"/>
      <c r="DG50" s="1116"/>
      <c r="DH50" s="1918"/>
      <c r="DI50" s="1918"/>
      <c r="DJ50" s="1918"/>
      <c r="DK50" s="1918"/>
      <c r="DL50" s="1918"/>
      <c r="DM50" s="1918"/>
      <c r="DN50" s="1918"/>
      <c r="DO50" s="1918"/>
      <c r="DP50" s="1918"/>
      <c r="DQ50" s="1918"/>
      <c r="DR50" s="1918"/>
      <c r="DS50" s="1918"/>
      <c r="DT50" s="1918"/>
      <c r="DU50" s="1918"/>
      <c r="DV50" s="608"/>
      <c r="DW50" s="1116"/>
      <c r="DY50" s="1987"/>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30"/>
      <c r="EQ50" s="1930"/>
      <c r="ER50" s="1930"/>
      <c r="ES50" s="1930"/>
      <c r="ET50" s="1930"/>
      <c r="EU50" s="1930"/>
      <c r="EV50" s="1930"/>
      <c r="EW50" s="1930"/>
      <c r="EX50" s="1932"/>
      <c r="EY50" s="1932"/>
      <c r="EZ50" s="1932"/>
      <c r="FA50" s="1932"/>
      <c r="FB50" s="1932"/>
      <c r="FC50" s="1932"/>
      <c r="FD50" s="1932"/>
      <c r="FE50" s="1932"/>
      <c r="FF50" s="1932"/>
      <c r="FG50" s="1932"/>
      <c r="FH50" s="1932"/>
      <c r="FI50" s="1932"/>
      <c r="FJ50" s="1932"/>
      <c r="FK50" s="1932"/>
      <c r="FL50" s="1932"/>
      <c r="FM50" s="1932"/>
      <c r="FN50" s="1932"/>
      <c r="FO50" s="1932"/>
      <c r="FP50" s="1932"/>
      <c r="FQ50" s="1932"/>
      <c r="FR50" s="1932"/>
      <c r="FS50" s="1932"/>
      <c r="GF50" s="2112">
        <f>'E - Resource Limits'!A50</f>
        <v>38</v>
      </c>
      <c r="GG50" s="2113">
        <f>'E - Resource Limits'!B50</f>
        <v>0</v>
      </c>
      <c r="GH50" s="2114">
        <f>'E - Resource Limits'!C50</f>
        <v>0</v>
      </c>
      <c r="GI50" s="2114">
        <f>'E - Resource Limits'!D50</f>
        <v>0</v>
      </c>
      <c r="GJ50" s="2114">
        <f>'E - Resource Limits'!E50</f>
        <v>0</v>
      </c>
      <c r="GK50" s="2114">
        <f>'E - Resource Limits'!F50</f>
        <v>0</v>
      </c>
      <c r="GL50" s="2048">
        <f>'E - Resource Limits'!G50</f>
        <v>0</v>
      </c>
      <c r="GM50" s="2115">
        <f>'E - Resource Limits'!H50</f>
        <v>0</v>
      </c>
      <c r="GN50" s="2114">
        <f>'E - Resource Limits'!I50</f>
        <v>0</v>
      </c>
      <c r="GO50" s="2114">
        <f>'E - Resource Limits'!J50</f>
        <v>0</v>
      </c>
      <c r="GP50" s="2114">
        <f>'E - Resource Limits'!K50</f>
        <v>0</v>
      </c>
      <c r="GQ50" s="2116">
        <f>'E - Resource Limits'!L50</f>
        <v>0</v>
      </c>
      <c r="GR50" s="1935">
        <f t="shared" si="6"/>
        <v>0</v>
      </c>
      <c r="GT50" s="71"/>
      <c r="GU50" s="71"/>
      <c r="GV50" s="71"/>
      <c r="GW50" s="71"/>
      <c r="GX50" s="71"/>
      <c r="GY50" s="71"/>
      <c r="GZ50" s="71"/>
      <c r="HA50" s="71"/>
      <c r="HB50" s="71"/>
      <c r="HC50" s="71"/>
      <c r="HD50" s="71"/>
      <c r="HE50" s="71"/>
      <c r="HF50" s="71"/>
      <c r="HG50" s="71"/>
      <c r="HH50" s="71"/>
      <c r="HI50" s="71"/>
      <c r="HJ50" s="71"/>
      <c r="HK50" s="71"/>
      <c r="HL50" s="71"/>
      <c r="HM50" s="71"/>
      <c r="HO50" s="2290"/>
      <c r="HP50" s="1745"/>
      <c r="HQ50" s="2097"/>
      <c r="HR50" s="2097"/>
      <c r="HS50" s="1946"/>
      <c r="HT50" s="1946"/>
      <c r="JD50" s="2088">
        <f>'I - Capital RLM'!A50</f>
        <v>32</v>
      </c>
      <c r="JE50" s="2126">
        <f>'I - Capital RLM'!B50</f>
        <v>0</v>
      </c>
      <c r="JF50" s="2010">
        <f>'I - Capital RLM'!C50</f>
        <v>0</v>
      </c>
      <c r="JG50" s="2010">
        <f>'I - Capital RLM'!D50</f>
        <v>0</v>
      </c>
      <c r="JH50" s="2118">
        <f>'I - Capital RLM'!E50</f>
        <v>0</v>
      </c>
      <c r="JI50" s="2119">
        <f>'I - Capital RLM'!F50</f>
        <v>0</v>
      </c>
      <c r="JJ50" s="2010">
        <f>'I - Capital RLM'!G50</f>
        <v>0</v>
      </c>
      <c r="JK50" s="2010">
        <f>'I - Capital RLM'!H50</f>
        <v>0</v>
      </c>
      <c r="JL50" s="2118">
        <f>'I - Capital RLM'!I50</f>
        <v>0</v>
      </c>
      <c r="JM50" s="2120"/>
      <c r="JN50" s="1890">
        <f>'I - Capital RLM'!K50</f>
        <v>0</v>
      </c>
      <c r="JO50" s="2120">
        <f t="shared" si="7"/>
        <v>0</v>
      </c>
      <c r="JQ50" s="2088">
        <f>'J - Capital In Year Schemes'!A50</f>
        <v>37</v>
      </c>
      <c r="JR50" s="2126" t="str">
        <f>'J - Capital In Year Schemes'!B50</f>
        <v>Statutory Compliance</v>
      </c>
      <c r="JS50" s="2126">
        <f>'J - Capital In Year Schemes'!C50</f>
        <v>0</v>
      </c>
      <c r="JT50" s="2325">
        <f>'J - Capital In Year Schemes'!D50</f>
        <v>0</v>
      </c>
      <c r="JU50" s="2010">
        <f>'J - Capital In Year Schemes'!E50</f>
        <v>0</v>
      </c>
      <c r="JV50" s="2010">
        <f>'J - Capital In Year Schemes'!F50</f>
        <v>0</v>
      </c>
      <c r="JW50" s="2010">
        <f>'J - Capital In Year Schemes'!G50</f>
        <v>0</v>
      </c>
      <c r="JX50" s="2010">
        <f>'J - Capital In Year Schemes'!H50</f>
        <v>0</v>
      </c>
      <c r="JY50" s="2010">
        <f>'J - Capital In Year Schemes'!I50</f>
        <v>0</v>
      </c>
      <c r="JZ50" s="2010">
        <f>'J - Capital In Year Schemes'!J50</f>
        <v>0</v>
      </c>
      <c r="KA50" s="2010">
        <f>'J - Capital In Year Schemes'!K50</f>
        <v>0</v>
      </c>
      <c r="KB50" s="2010">
        <f>'J - Capital In Year Schemes'!L50</f>
        <v>0</v>
      </c>
      <c r="KC50" s="2010">
        <f>'J - Capital In Year Schemes'!M50</f>
        <v>0</v>
      </c>
      <c r="KD50" s="2010">
        <f>'J - Capital In Year Schemes'!N50</f>
        <v>0</v>
      </c>
      <c r="KE50" s="2010">
        <f>'J - Capital In Year Schemes'!O50</f>
        <v>0</v>
      </c>
      <c r="KF50" s="2010">
        <f>'J - Capital In Year Schemes'!P50</f>
        <v>0</v>
      </c>
      <c r="KG50" s="2010">
        <f>'J - Capital In Year Schemes'!Q50</f>
        <v>0</v>
      </c>
      <c r="KH50" s="2090">
        <f>'J - Capital In Year Schemes'!R50</f>
        <v>0</v>
      </c>
      <c r="KI50" s="2090">
        <f>'J - Capital In Year Schemes'!S50</f>
        <v>0</v>
      </c>
      <c r="KJ50" s="2091">
        <f>'J - Capital In Year Schemes'!T50</f>
        <v>0</v>
      </c>
      <c r="KK50" s="2060"/>
      <c r="KM50" s="2053">
        <f>'K - Capital Disposals'!A50</f>
        <v>35</v>
      </c>
      <c r="KN50" s="2220">
        <f>'K - Capital Disposals'!B50</f>
        <v>0</v>
      </c>
      <c r="KO50" s="2062">
        <f>'K - Capital Disposals'!C50</f>
        <v>0</v>
      </c>
      <c r="KP50" s="2062">
        <f>'K - Capital Disposals'!D50</f>
        <v>0</v>
      </c>
      <c r="KQ50" s="2078">
        <f>'K - Capital Disposals'!E50</f>
        <v>0</v>
      </c>
      <c r="KR50" s="2064">
        <f>'K - Capital Disposals'!F50</f>
        <v>0</v>
      </c>
      <c r="KS50" s="2064">
        <f>'K - Capital Disposals'!G50</f>
        <v>0</v>
      </c>
      <c r="KT50" s="2054">
        <f>'K - Capital Disposals'!H50</f>
        <v>0</v>
      </c>
      <c r="KU50" s="2055">
        <f>'K - Capital Disposals'!I50</f>
        <v>0</v>
      </c>
      <c r="KV50" s="3100">
        <f>'K - Capital Disposals'!J50</f>
        <v>0</v>
      </c>
      <c r="KW50" s="3095"/>
      <c r="KX50" s="3095"/>
      <c r="KY50" s="3095"/>
      <c r="KZ50" s="3095"/>
      <c r="LA50" s="3095"/>
      <c r="LB50" s="3096"/>
      <c r="LC50" s="1935"/>
      <c r="LL50" s="814"/>
      <c r="LM50" s="2197">
        <f>'M - Aged Debtors'!B50</f>
        <v>0</v>
      </c>
      <c r="LN50" s="2198">
        <f>'M - Aged Debtors'!C50</f>
        <v>0</v>
      </c>
      <c r="LO50" s="2199">
        <f>'M - Aged Debtors'!D50</f>
        <v>0</v>
      </c>
      <c r="LP50" s="2200">
        <f>'M - Aged Debtors'!E50</f>
        <v>0</v>
      </c>
      <c r="LQ50" s="2201">
        <f>'M - Aged Debtors'!F50</f>
        <v>0</v>
      </c>
      <c r="LR50" s="832" t="str">
        <f>'M - Aged Debtors'!G50</f>
        <v/>
      </c>
      <c r="LS50" s="829" t="str">
        <f>'M - Aged Debtors'!H50</f>
        <v/>
      </c>
      <c r="LT50" s="829" t="str">
        <f>'M - Aged Debtors'!I50</f>
        <v/>
      </c>
      <c r="LU50" s="830" t="str">
        <f>'M - Aged Debtors'!J50</f>
        <v/>
      </c>
      <c r="LV50" s="1830">
        <f>'M - Aged Debtors'!K50</f>
        <v>0</v>
      </c>
      <c r="LX50" s="3126" t="str">
        <f>'N - GMS'!A50</f>
        <v/>
      </c>
      <c r="LY50" s="3127"/>
      <c r="LZ50" s="3127"/>
      <c r="MA50" s="3109" t="str">
        <f>'N - GMS'!D50</f>
        <v/>
      </c>
      <c r="MB50" s="3109"/>
      <c r="MC50" s="3109"/>
      <c r="MD50" s="3109"/>
      <c r="ME50" s="3109"/>
      <c r="MF50" s="3109"/>
      <c r="MH50" s="1836">
        <f>'O - Dental'!A50</f>
        <v>0</v>
      </c>
      <c r="MI50" s="1157"/>
      <c r="MJ50" s="701">
        <f>'O - Dental'!C50</f>
        <v>40</v>
      </c>
      <c r="MK50" s="664">
        <f>'O - Dental'!D50</f>
        <v>0</v>
      </c>
      <c r="ML50" s="2203">
        <f>'O - Dental'!E50</f>
        <v>0</v>
      </c>
      <c r="MM50" s="2204">
        <f>'O - Dental'!F50</f>
        <v>0</v>
      </c>
      <c r="MN50" s="2205">
        <f>'O - Dental'!G50</f>
        <v>0</v>
      </c>
      <c r="MO50" s="308"/>
      <c r="MP50" s="1765">
        <f>'O - Dental'!I50</f>
        <v>0</v>
      </c>
      <c r="MR50" s="684"/>
      <c r="MS50" s="3018" t="str">
        <f>'P - Ringfenced'!B50</f>
        <v>Spare</v>
      </c>
      <c r="MT50" s="1101" t="str">
        <f>'P - Ringfenced'!C50</f>
        <v>Plan</v>
      </c>
      <c r="MU50" s="2655">
        <f>'P - Ringfenced'!D50</f>
        <v>0</v>
      </c>
      <c r="MV50" s="2655">
        <f>'P - Ringfenced'!E50</f>
        <v>0</v>
      </c>
      <c r="MW50" s="2693">
        <f>'P - Ringfenced'!F50</f>
        <v>0</v>
      </c>
      <c r="MX50" s="2693">
        <f>'P - Ringfenced'!G50</f>
        <v>0</v>
      </c>
      <c r="MY50" s="2693">
        <f>'P - Ringfenced'!H50</f>
        <v>0</v>
      </c>
      <c r="MZ50" s="2693">
        <f>'P - Ringfenced'!I50</f>
        <v>0</v>
      </c>
      <c r="NA50" s="2693">
        <f>'P - Ringfenced'!J50</f>
        <v>0</v>
      </c>
      <c r="NB50" s="2693">
        <f>'P - Ringfenced'!K50</f>
        <v>0</v>
      </c>
      <c r="NC50" s="2693">
        <f>'P - Ringfenced'!L50</f>
        <v>0</v>
      </c>
      <c r="ND50" s="2693">
        <f>'P - Ringfenced'!M50</f>
        <v>0</v>
      </c>
      <c r="NE50" s="2693">
        <f>'P - Ringfenced'!N50</f>
        <v>0</v>
      </c>
      <c r="NF50" s="2693">
        <f>'P - Ringfenced'!O50</f>
        <v>0</v>
      </c>
      <c r="NG50" s="2693">
        <f>'P - Ringfenced'!P50</f>
        <v>0</v>
      </c>
      <c r="NH50" s="2693">
        <f>'P - Ringfenced'!Q50</f>
        <v>0</v>
      </c>
      <c r="NI50" s="1132">
        <f>'P - Ringfenced'!R50</f>
        <v>0</v>
      </c>
      <c r="NJ50" s="1323">
        <f>'P - Ringfenced'!S50</f>
        <v>0</v>
      </c>
      <c r="NK50" s="2860"/>
      <c r="NL50" s="684"/>
    </row>
    <row r="51" spans="13:376" ht="20.149999999999999" customHeight="1" thickBot="1">
      <c r="M51" s="950"/>
      <c r="N51" s="71"/>
      <c r="O51" s="71"/>
      <c r="P51" s="71"/>
      <c r="Q51" s="71"/>
      <c r="R51" s="71"/>
      <c r="S51" s="1745"/>
      <c r="U51" s="1745"/>
      <c r="V51" s="71"/>
      <c r="W51" s="111"/>
      <c r="X51" s="111"/>
      <c r="Y51" s="111"/>
      <c r="Z51" s="111"/>
      <c r="AA51" s="111"/>
      <c r="AB51" s="111"/>
      <c r="AC51" s="111"/>
      <c r="AD51" s="111"/>
      <c r="AE51" s="111"/>
      <c r="AF51" s="111"/>
      <c r="AG51" s="111"/>
      <c r="AH51" s="111"/>
      <c r="AI51" s="71"/>
      <c r="AJ51" s="71"/>
      <c r="AK51" s="71"/>
      <c r="AN51" s="1745"/>
      <c r="AZ51" s="114">
        <f>'A2 - Risks'!A51</f>
        <v>38</v>
      </c>
      <c r="BA51" s="949" t="str">
        <f>'A2 - Risks'!B51</f>
        <v>Best Case Outturn Scenario</v>
      </c>
      <c r="BB51" s="117">
        <f>'A2 - Risks'!C51</f>
        <v>-1.8999998428625986E-4</v>
      </c>
      <c r="BC51" s="1155">
        <f>'A2 - Risks'!D51</f>
        <v>0</v>
      </c>
      <c r="BE51" s="2233">
        <f>'B - Monthly Positions'!A51</f>
        <v>36</v>
      </c>
      <c r="BF51" s="1373" t="str">
        <f>'B - Monthly Positions'!B51</f>
        <v>Specialised Services</v>
      </c>
      <c r="BG51" s="93" t="str">
        <f>'B - Monthly Positions'!C51</f>
        <v>Actual/F'cast</v>
      </c>
      <c r="BH51" s="3005">
        <f>'B - Monthly Positions'!D51</f>
        <v>201591.160810976</v>
      </c>
      <c r="BI51" s="1140"/>
      <c r="BJ51" s="1140"/>
      <c r="BK51" s="1140"/>
      <c r="BL51" s="1140"/>
      <c r="BM51" s="1140"/>
      <c r="BN51" s="1140"/>
      <c r="BO51" s="1140"/>
      <c r="BP51" s="1140"/>
      <c r="BQ51" s="1140"/>
      <c r="BR51" s="1140"/>
      <c r="BS51" s="1140"/>
      <c r="BT51" s="1140"/>
      <c r="BU51" s="1140"/>
      <c r="BV51" s="2234"/>
      <c r="BW51" s="1930"/>
      <c r="BX51" s="91">
        <f>' Table Z Net Exp Profiles'!A51</f>
        <v>35</v>
      </c>
      <c r="BY51" s="2500" t="str">
        <f>' Table Z Net Exp Profiles'!B51</f>
        <v>Non Delivery of Finalised (M1) Non Pay Savings due to Covid-19 - Actual/Forecast (Negative Values)</v>
      </c>
      <c r="BZ51" s="2501">
        <f>' Table Z Net Exp Profiles'!C51</f>
        <v>0</v>
      </c>
      <c r="CA51" s="1189">
        <f>' Table Z Net Exp Profiles'!D51</f>
        <v>0</v>
      </c>
      <c r="CB51" s="1189">
        <f>' Table Z Net Exp Profiles'!E51</f>
        <v>0</v>
      </c>
      <c r="CC51" s="1189">
        <f>' Table Z Net Exp Profiles'!F51</f>
        <v>0</v>
      </c>
      <c r="CD51" s="1189">
        <f>' Table Z Net Exp Profiles'!G51</f>
        <v>0</v>
      </c>
      <c r="CE51" s="1189">
        <f>' Table Z Net Exp Profiles'!H51</f>
        <v>0</v>
      </c>
      <c r="CF51" s="1189">
        <f>' Table Z Net Exp Profiles'!I51</f>
        <v>0</v>
      </c>
      <c r="CG51" s="1189">
        <f>' Table Z Net Exp Profiles'!J51</f>
        <v>0</v>
      </c>
      <c r="CH51" s="1189">
        <f>' Table Z Net Exp Profiles'!K51</f>
        <v>0</v>
      </c>
      <c r="CI51" s="1189">
        <f>' Table Z Net Exp Profiles'!L51</f>
        <v>0</v>
      </c>
      <c r="CJ51" s="1189">
        <f>' Table Z Net Exp Profiles'!M51</f>
        <v>0</v>
      </c>
      <c r="CK51" s="1189">
        <f>' Table Z Net Exp Profiles'!N51</f>
        <v>0</v>
      </c>
      <c r="CL51" s="1692">
        <f>' Table Z Net Exp Profiles'!O51</f>
        <v>0</v>
      </c>
      <c r="CM51" s="1692">
        <f>' Table Z Net Exp Profiles'!P51</f>
        <v>0</v>
      </c>
      <c r="CO51" s="1316" t="str">
        <f>'B2 - Pay &amp; Agency'!A51</f>
        <v>REF</v>
      </c>
      <c r="CP51" s="1317" t="str">
        <f>'B2 - Pay &amp; Agency'!B51</f>
        <v>REASON</v>
      </c>
      <c r="CQ51" s="1303" t="str">
        <f>'B2 - Pay &amp; Agency'!C51</f>
        <v>£'000</v>
      </c>
      <c r="CR51" s="1240" t="str">
        <f>'B2 - Pay &amp; Agency'!D51</f>
        <v>£'000</v>
      </c>
      <c r="CS51" s="1240" t="str">
        <f>'B2 - Pay &amp; Agency'!E51</f>
        <v>£'000</v>
      </c>
      <c r="CT51" s="1240" t="str">
        <f>'B2 - Pay &amp; Agency'!F51</f>
        <v>£'000</v>
      </c>
      <c r="CU51" s="1240" t="str">
        <f>'B2 - Pay &amp; Agency'!G51</f>
        <v>£'000</v>
      </c>
      <c r="CV51" s="1240" t="str">
        <f>'B2 - Pay &amp; Agency'!H51</f>
        <v>£'000</v>
      </c>
      <c r="CW51" s="1240" t="str">
        <f>'B2 - Pay &amp; Agency'!I51</f>
        <v>£'000</v>
      </c>
      <c r="CX51" s="1240" t="str">
        <f>'B2 - Pay &amp; Agency'!J51</f>
        <v>£'000</v>
      </c>
      <c r="CY51" s="1240" t="str">
        <f>'B2 - Pay &amp; Agency'!K51</f>
        <v>£'000</v>
      </c>
      <c r="CZ51" s="1240" t="str">
        <f>'B2 - Pay &amp; Agency'!L51</f>
        <v>£'000</v>
      </c>
      <c r="DA51" s="1240" t="str">
        <f>'B2 - Pay &amp; Agency'!M51</f>
        <v>£'000</v>
      </c>
      <c r="DB51" s="1253" t="str">
        <f>'B2 - Pay &amp; Agency'!N51</f>
        <v>£'000</v>
      </c>
      <c r="DC51" s="1301" t="str">
        <f>'B2 - Pay &amp; Agency'!O51</f>
        <v>£'000</v>
      </c>
      <c r="DD51" s="1301" t="str">
        <f>'B2 - Pay &amp; Agency'!P51</f>
        <v>£'000</v>
      </c>
      <c r="DF51" s="2828" t="str">
        <f>'B3 - COVID-19'!A51</f>
        <v>A2</v>
      </c>
      <c r="DG51" s="2829" t="str">
        <f>'B3 - COVID-19'!B51</f>
        <v>COVID-19 Vaccination Programme ((immunisation) (Additional costs due to C19) enter as positive values - actual/forecast</v>
      </c>
      <c r="DH51" s="1896" t="s">
        <v>289</v>
      </c>
      <c r="DI51" s="1896"/>
      <c r="DJ51" s="1896"/>
      <c r="DK51" s="1896"/>
      <c r="DL51" s="1896"/>
      <c r="DM51" s="1896"/>
      <c r="DN51" s="1896"/>
      <c r="DO51" s="1896"/>
      <c r="DP51" s="1896"/>
      <c r="DQ51" s="1896"/>
      <c r="DR51" s="1896"/>
      <c r="DS51" s="1252"/>
      <c r="DT51" s="1895"/>
      <c r="DU51" s="1252"/>
      <c r="DV51" s="608"/>
      <c r="DW51" s="1116"/>
      <c r="DY51" s="2040"/>
      <c r="DZ51" s="3043"/>
      <c r="EA51" s="3044"/>
      <c r="EB51" s="2329" t="str">
        <f>'C, C1, C2&amp; C3 - Savings Schemes'!D51</f>
        <v>Apr</v>
      </c>
      <c r="EC51" s="2330" t="str">
        <f>'C, C1, C2&amp; C3 - Savings Schemes'!E51</f>
        <v>May</v>
      </c>
      <c r="ED51" s="2330" t="str">
        <f>'C, C1, C2&amp; C3 - Savings Schemes'!F51</f>
        <v>Jun</v>
      </c>
      <c r="EE51" s="2329" t="str">
        <f>'C, C1, C2&amp; C3 - Savings Schemes'!G51</f>
        <v>Jul</v>
      </c>
      <c r="EF51" s="2330" t="str">
        <f>'C, C1, C2&amp; C3 - Savings Schemes'!H51</f>
        <v>Aug</v>
      </c>
      <c r="EG51" s="2330" t="str">
        <f>'C, C1, C2&amp; C3 - Savings Schemes'!I51</f>
        <v>Sep</v>
      </c>
      <c r="EH51" s="2329" t="str">
        <f>'C, C1, C2&amp; C3 - Savings Schemes'!J51</f>
        <v>Oct</v>
      </c>
      <c r="EI51" s="2330" t="str">
        <f>'C, C1, C2&amp; C3 - Savings Schemes'!K51</f>
        <v>Nov</v>
      </c>
      <c r="EJ51" s="2330" t="str">
        <f>'C, C1, C2&amp; C3 - Savings Schemes'!L51</f>
        <v>Dec</v>
      </c>
      <c r="EK51" s="2329" t="str">
        <f>'C, C1, C2&amp; C3 - Savings Schemes'!M51</f>
        <v>Jan</v>
      </c>
      <c r="EL51" s="2330" t="str">
        <f>'C, C1, C2&amp; C3 - Savings Schemes'!N51</f>
        <v>Feb</v>
      </c>
      <c r="EM51" s="926" t="str">
        <f>'C, C1, C2&amp; C3 - Savings Schemes'!O51</f>
        <v>Mar</v>
      </c>
      <c r="EN51" s="3046"/>
      <c r="EO51" s="3048"/>
      <c r="EP51" s="1930"/>
      <c r="EQ51" s="1930"/>
      <c r="ER51" s="1930"/>
      <c r="ES51" s="1930"/>
      <c r="ET51" s="1930"/>
      <c r="EU51" s="1930"/>
      <c r="EV51" s="1930"/>
      <c r="EW51" s="1930"/>
      <c r="EX51" s="1932"/>
      <c r="EY51" s="1932"/>
      <c r="EZ51" s="1932"/>
      <c r="FA51" s="1932"/>
      <c r="FB51" s="1932"/>
      <c r="FC51" s="1932"/>
      <c r="FD51" s="1932"/>
      <c r="FE51" s="1932"/>
      <c r="FF51" s="1932"/>
      <c r="FG51" s="1932"/>
      <c r="FH51" s="1932"/>
      <c r="FI51" s="1932"/>
      <c r="FJ51" s="1932"/>
      <c r="FK51" s="1932"/>
      <c r="FL51" s="1932"/>
      <c r="FM51" s="1932"/>
      <c r="FN51" s="1932"/>
      <c r="FO51" s="1932"/>
      <c r="FP51" s="1932"/>
      <c r="FQ51" s="1932"/>
      <c r="FR51" s="1932"/>
      <c r="FS51" s="1932"/>
      <c r="GF51" s="2112">
        <f>'E - Resource Limits'!A51</f>
        <v>39</v>
      </c>
      <c r="GG51" s="2113">
        <f>'E - Resource Limits'!B51</f>
        <v>0</v>
      </c>
      <c r="GH51" s="2114">
        <f>'E - Resource Limits'!C51</f>
        <v>0</v>
      </c>
      <c r="GI51" s="2114">
        <f>'E - Resource Limits'!D51</f>
        <v>0</v>
      </c>
      <c r="GJ51" s="2114">
        <f>'E - Resource Limits'!E51</f>
        <v>0</v>
      </c>
      <c r="GK51" s="2114">
        <f>'E - Resource Limits'!F51</f>
        <v>0</v>
      </c>
      <c r="GL51" s="2048">
        <f>'E - Resource Limits'!G51</f>
        <v>0</v>
      </c>
      <c r="GM51" s="2115">
        <f>'E - Resource Limits'!H51</f>
        <v>0</v>
      </c>
      <c r="GN51" s="2114">
        <f>'E - Resource Limits'!I51</f>
        <v>0</v>
      </c>
      <c r="GO51" s="2114">
        <f>'E - Resource Limits'!J51</f>
        <v>0</v>
      </c>
      <c r="GP51" s="2114">
        <f>'E - Resource Limits'!K51</f>
        <v>0</v>
      </c>
      <c r="GQ51" s="2116">
        <f>'E - Resource Limits'!L51</f>
        <v>0</v>
      </c>
      <c r="GR51" s="1935">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90"/>
      <c r="HP51" s="1745"/>
      <c r="HQ51" s="2097"/>
      <c r="HR51" s="2097"/>
      <c r="HS51" s="1946"/>
      <c r="HT51" s="1946"/>
      <c r="JD51" s="2088">
        <f>'I - Capital RLM'!A51</f>
        <v>33</v>
      </c>
      <c r="JE51" s="2126">
        <f>'I - Capital RLM'!B51</f>
        <v>0</v>
      </c>
      <c r="JF51" s="2010">
        <f>'I - Capital RLM'!C51</f>
        <v>0</v>
      </c>
      <c r="JG51" s="2010">
        <f>'I - Capital RLM'!D51</f>
        <v>0</v>
      </c>
      <c r="JH51" s="2118">
        <f>'I - Capital RLM'!E51</f>
        <v>0</v>
      </c>
      <c r="JI51" s="2119">
        <f>'I - Capital RLM'!F51</f>
        <v>0</v>
      </c>
      <c r="JJ51" s="2010">
        <f>'I - Capital RLM'!G51</f>
        <v>0</v>
      </c>
      <c r="JK51" s="2010">
        <f>'I - Capital RLM'!H51</f>
        <v>0</v>
      </c>
      <c r="JL51" s="2118">
        <f>'I - Capital RLM'!I51</f>
        <v>0</v>
      </c>
      <c r="JM51" s="2120"/>
      <c r="JN51" s="1890">
        <f>'I - Capital RLM'!K51</f>
        <v>0</v>
      </c>
      <c r="JO51" s="2120">
        <f t="shared" si="7"/>
        <v>0</v>
      </c>
      <c r="JQ51" s="2073">
        <f>'J - Capital In Year Schemes'!A51</f>
        <v>38</v>
      </c>
      <c r="JR51" s="2126" t="str">
        <f>'J - Capital In Year Schemes'!B51</f>
        <v>Estates</v>
      </c>
      <c r="JS51" s="2126">
        <f>'J - Capital In Year Schemes'!C51</f>
        <v>0</v>
      </c>
      <c r="JT51" s="2325">
        <f>'J - Capital In Year Schemes'!D51</f>
        <v>0</v>
      </c>
      <c r="JU51" s="2010">
        <f>'J - Capital In Year Schemes'!E51</f>
        <v>0</v>
      </c>
      <c r="JV51" s="2010">
        <f>'J - Capital In Year Schemes'!F51</f>
        <v>0</v>
      </c>
      <c r="JW51" s="2010">
        <f>'J - Capital In Year Schemes'!G51</f>
        <v>0</v>
      </c>
      <c r="JX51" s="2010">
        <f>'J - Capital In Year Schemes'!H51</f>
        <v>0</v>
      </c>
      <c r="JY51" s="2010">
        <f>'J - Capital In Year Schemes'!I51</f>
        <v>0</v>
      </c>
      <c r="JZ51" s="2010">
        <f>'J - Capital In Year Schemes'!J51</f>
        <v>0</v>
      </c>
      <c r="KA51" s="2010">
        <f>'J - Capital In Year Schemes'!K51</f>
        <v>0</v>
      </c>
      <c r="KB51" s="2010">
        <f>'J - Capital In Year Schemes'!L51</f>
        <v>0</v>
      </c>
      <c r="KC51" s="2010">
        <f>'J - Capital In Year Schemes'!M51</f>
        <v>0</v>
      </c>
      <c r="KD51" s="2010">
        <f>'J - Capital In Year Schemes'!N51</f>
        <v>0</v>
      </c>
      <c r="KE51" s="2010">
        <f>'J - Capital In Year Schemes'!O51</f>
        <v>0</v>
      </c>
      <c r="KF51" s="2010">
        <f>'J - Capital In Year Schemes'!P51</f>
        <v>0</v>
      </c>
      <c r="KG51" s="2010">
        <f>'J - Capital In Year Schemes'!Q51</f>
        <v>0</v>
      </c>
      <c r="KH51" s="2090">
        <f>'J - Capital In Year Schemes'!R51</f>
        <v>0</v>
      </c>
      <c r="KI51" s="2090">
        <f>'J - Capital In Year Schemes'!S51</f>
        <v>0</v>
      </c>
      <c r="KJ51" s="2091">
        <f>'J - Capital In Year Schemes'!T51</f>
        <v>0</v>
      </c>
      <c r="KK51" s="2060"/>
      <c r="KM51" s="2053">
        <f>'K - Capital Disposals'!A51</f>
        <v>36</v>
      </c>
      <c r="KN51" s="2220">
        <f>'K - Capital Disposals'!B51</f>
        <v>0</v>
      </c>
      <c r="KO51" s="2062">
        <f>'K - Capital Disposals'!C51</f>
        <v>0</v>
      </c>
      <c r="KP51" s="2062">
        <f>'K - Capital Disposals'!D51</f>
        <v>0</v>
      </c>
      <c r="KQ51" s="2078">
        <f>'K - Capital Disposals'!E51</f>
        <v>0</v>
      </c>
      <c r="KR51" s="2064">
        <f>'K - Capital Disposals'!F51</f>
        <v>0</v>
      </c>
      <c r="KS51" s="2064">
        <f>'K - Capital Disposals'!G51</f>
        <v>0</v>
      </c>
      <c r="KT51" s="2054">
        <f>'K - Capital Disposals'!H51</f>
        <v>0</v>
      </c>
      <c r="KU51" s="2055">
        <f>'K - Capital Disposals'!I51</f>
        <v>0</v>
      </c>
      <c r="KV51" s="3100">
        <f>'K - Capital Disposals'!J51</f>
        <v>0</v>
      </c>
      <c r="KW51" s="3095"/>
      <c r="KX51" s="3095"/>
      <c r="KY51" s="3095"/>
      <c r="KZ51" s="3095"/>
      <c r="LA51" s="3095"/>
      <c r="LB51" s="3096"/>
      <c r="LC51" s="1935"/>
      <c r="LL51" s="814"/>
      <c r="LM51" s="2197">
        <f>'M - Aged Debtors'!B51</f>
        <v>0</v>
      </c>
      <c r="LN51" s="2198">
        <f>'M - Aged Debtors'!C51</f>
        <v>0</v>
      </c>
      <c r="LO51" s="2199">
        <f>'M - Aged Debtors'!D51</f>
        <v>0</v>
      </c>
      <c r="LP51" s="2200">
        <f>'M - Aged Debtors'!E51</f>
        <v>0</v>
      </c>
      <c r="LQ51" s="2201">
        <f>'M - Aged Debtors'!F51</f>
        <v>0</v>
      </c>
      <c r="LR51" s="832" t="str">
        <f>'M - Aged Debtors'!G51</f>
        <v/>
      </c>
      <c r="LS51" s="829" t="str">
        <f>'M - Aged Debtors'!H51</f>
        <v/>
      </c>
      <c r="LT51" s="829" t="str">
        <f>'M - Aged Debtors'!I51</f>
        <v/>
      </c>
      <c r="LU51" s="830" t="str">
        <f>'M - Aged Debtors'!J51</f>
        <v/>
      </c>
      <c r="LV51" s="1830">
        <f>'M - Aged Debtors'!K51</f>
        <v>0</v>
      </c>
      <c r="LX51" s="3126" t="str">
        <f>'N - GMS'!A51</f>
        <v/>
      </c>
      <c r="LY51" s="3127"/>
      <c r="LZ51" s="3127"/>
      <c r="MA51" s="3109"/>
      <c r="MB51" s="3109"/>
      <c r="MC51" s="3109"/>
      <c r="MD51" s="3109"/>
      <c r="ME51" s="3109"/>
      <c r="MF51" s="3109"/>
      <c r="MH51" s="1836">
        <f>'O - Dental'!A51</f>
        <v>0</v>
      </c>
      <c r="MI51" s="1157"/>
      <c r="MJ51" s="701">
        <f>'O - Dental'!C51</f>
        <v>41</v>
      </c>
      <c r="MK51" s="664">
        <f>'O - Dental'!D51</f>
        <v>0</v>
      </c>
      <c r="ML51" s="2203">
        <f>'O - Dental'!E51</f>
        <v>0</v>
      </c>
      <c r="MM51" s="2204">
        <f>'O - Dental'!F51</f>
        <v>0</v>
      </c>
      <c r="MN51" s="2205">
        <f>'O - Dental'!G51</f>
        <v>0</v>
      </c>
      <c r="MO51" s="308"/>
      <c r="MP51" s="1765">
        <f>'O - Dental'!I51</f>
        <v>0</v>
      </c>
      <c r="MR51" s="684"/>
      <c r="MS51" s="3019">
        <f>'P - Ringfenced'!B51</f>
        <v>0</v>
      </c>
      <c r="MT51" s="2661" t="str">
        <f>'P - Ringfenced'!C51</f>
        <v>Actual/Forecast - not yet committed</v>
      </c>
      <c r="MU51" s="2656">
        <f>'P - Ringfenced'!D51</f>
        <v>0</v>
      </c>
      <c r="MV51" s="2656">
        <f>'P - Ringfenced'!E51</f>
        <v>0</v>
      </c>
      <c r="MW51" s="2693">
        <f>'P - Ringfenced'!F51</f>
        <v>0</v>
      </c>
      <c r="MX51" s="2693">
        <f>'P - Ringfenced'!G51</f>
        <v>0</v>
      </c>
      <c r="MY51" s="2693">
        <f>'P - Ringfenced'!H51</f>
        <v>0</v>
      </c>
      <c r="MZ51" s="2693">
        <f>'P - Ringfenced'!I51</f>
        <v>0</v>
      </c>
      <c r="NA51" s="2693">
        <f>'P - Ringfenced'!J51</f>
        <v>0</v>
      </c>
      <c r="NB51" s="2693">
        <f>'P - Ringfenced'!K51</f>
        <v>0</v>
      </c>
      <c r="NC51" s="2693">
        <f>'P - Ringfenced'!L51</f>
        <v>0</v>
      </c>
      <c r="ND51" s="2693">
        <f>'P - Ringfenced'!M51</f>
        <v>0</v>
      </c>
      <c r="NE51" s="2693">
        <f>'P - Ringfenced'!N51</f>
        <v>0</v>
      </c>
      <c r="NF51" s="2693">
        <f>'P - Ringfenced'!O51</f>
        <v>0</v>
      </c>
      <c r="NG51" s="2693">
        <f>'P - Ringfenced'!P51</f>
        <v>0</v>
      </c>
      <c r="NH51" s="2693">
        <f>'P - Ringfenced'!Q51</f>
        <v>0</v>
      </c>
      <c r="NI51" s="1324">
        <f>'P - Ringfenced'!R51</f>
        <v>0</v>
      </c>
      <c r="NJ51" s="1325">
        <f>'P - Ringfenced'!S51</f>
        <v>0</v>
      </c>
      <c r="NK51" s="2861"/>
      <c r="NL51" s="684"/>
    </row>
    <row r="52" spans="13:376" ht="20.149999999999999" customHeight="1" thickBot="1">
      <c r="M52" s="950">
        <f>'A - Movement'!A52</f>
        <v>41</v>
      </c>
      <c r="N52" s="2482" t="str">
        <f>'A - Movement'!B52</f>
        <v>Covid-19 - Forecast Outturn (- Deficit / + Surplus)</v>
      </c>
      <c r="O52" s="951">
        <f>'A - Movement'!C52</f>
        <v>-1.900000000887303E-4</v>
      </c>
      <c r="P52" s="71"/>
      <c r="Q52" s="71"/>
      <c r="R52" s="71"/>
      <c r="S52" s="1745"/>
      <c r="U52" s="952">
        <f>'A - Movement'!I52</f>
        <v>41</v>
      </c>
      <c r="V52" s="2482" t="str">
        <f>N52</f>
        <v>Covid-19 - Forecast Outturn (- Deficit / + Surplus)</v>
      </c>
      <c r="W52" s="951">
        <f>'A - Movement'!J52</f>
        <v>-1.900000000887303E-4</v>
      </c>
      <c r="X52" s="951">
        <f>'A - Movement'!K52</f>
        <v>0</v>
      </c>
      <c r="Y52" s="951">
        <f>'A - Movement'!L52</f>
        <v>0</v>
      </c>
      <c r="Z52" s="951">
        <f>'A - Movement'!M52</f>
        <v>0</v>
      </c>
      <c r="AA52" s="951">
        <f>'A - Movement'!N52</f>
        <v>0</v>
      </c>
      <c r="AB52" s="951">
        <f>'A - Movement'!O52</f>
        <v>0</v>
      </c>
      <c r="AC52" s="951">
        <f>'A - Movement'!P52</f>
        <v>0</v>
      </c>
      <c r="AD52" s="951">
        <f>'A - Movement'!Q52</f>
        <v>0</v>
      </c>
      <c r="AE52" s="951">
        <f>'A - Movement'!R52</f>
        <v>0</v>
      </c>
      <c r="AF52" s="951">
        <f>'A - Movement'!S52</f>
        <v>0</v>
      </c>
      <c r="AG52" s="951">
        <f>'A - Movement'!T52</f>
        <v>0</v>
      </c>
      <c r="AH52" s="951">
        <f>'A - Movement'!U52</f>
        <v>0</v>
      </c>
      <c r="AI52" s="951">
        <f>'A - Movement'!V52</f>
        <v>-1.900000000887303E-4</v>
      </c>
      <c r="AJ52" s="951">
        <f>O52</f>
        <v>-1.900000000887303E-4</v>
      </c>
      <c r="AK52" s="951">
        <f>P52</f>
        <v>0</v>
      </c>
      <c r="AL52" s="951">
        <f>Q52</f>
        <v>0</v>
      </c>
      <c r="AM52" s="951">
        <f>R52</f>
        <v>0</v>
      </c>
      <c r="AN52" s="1745"/>
      <c r="BE52" s="2233">
        <f>'B - Monthly Positions'!A52</f>
        <v>37</v>
      </c>
      <c r="BF52" s="1373" t="str">
        <f>'B - Monthly Positions'!B52</f>
        <v>Executive / Corporate Areas</v>
      </c>
      <c r="BG52" s="93" t="str">
        <f>'B - Monthly Positions'!C52</f>
        <v>Actual/F'cast</v>
      </c>
      <c r="BH52" s="3005">
        <f>'B - Monthly Positions'!D52</f>
        <v>2256</v>
      </c>
      <c r="BI52" s="1140"/>
      <c r="BJ52" s="1140"/>
      <c r="BK52" s="1140"/>
      <c r="BL52" s="1140"/>
      <c r="BM52" s="1140"/>
      <c r="BN52" s="1140"/>
      <c r="BO52" s="1140"/>
      <c r="BP52" s="1140"/>
      <c r="BQ52" s="1140"/>
      <c r="BR52" s="1140"/>
      <c r="BS52" s="1140"/>
      <c r="BT52" s="1140"/>
      <c r="BU52" s="1140"/>
      <c r="BV52" s="2241"/>
      <c r="BW52" s="1930"/>
      <c r="BX52" s="144">
        <f>' Table Z Net Exp Profiles'!A52</f>
        <v>36</v>
      </c>
      <c r="BY52" s="1688" t="str">
        <f>' Table Z Net Exp Profiles'!B52</f>
        <v>Non Pay Savings Movement Not due to Covid-19</v>
      </c>
      <c r="BZ52" s="1218">
        <f>' Table Z Net Exp Profiles'!C52</f>
        <v>0</v>
      </c>
      <c r="CA52" s="1219">
        <f>' Table Z Net Exp Profiles'!D52</f>
        <v>0</v>
      </c>
      <c r="CB52" s="1219">
        <f>' Table Z Net Exp Profiles'!E52</f>
        <v>0</v>
      </c>
      <c r="CC52" s="1219">
        <f>' Table Z Net Exp Profiles'!F52</f>
        <v>0</v>
      </c>
      <c r="CD52" s="1219">
        <f>' Table Z Net Exp Profiles'!G52</f>
        <v>0</v>
      </c>
      <c r="CE52" s="1219">
        <f>' Table Z Net Exp Profiles'!H52</f>
        <v>0</v>
      </c>
      <c r="CF52" s="1219">
        <f>' Table Z Net Exp Profiles'!I52</f>
        <v>0</v>
      </c>
      <c r="CG52" s="1219">
        <f>' Table Z Net Exp Profiles'!J52</f>
        <v>0</v>
      </c>
      <c r="CH52" s="1219">
        <f>' Table Z Net Exp Profiles'!K52</f>
        <v>0</v>
      </c>
      <c r="CI52" s="1219">
        <f>' Table Z Net Exp Profiles'!L52</f>
        <v>0</v>
      </c>
      <c r="CJ52" s="1219">
        <f>' Table Z Net Exp Profiles'!M52</f>
        <v>0</v>
      </c>
      <c r="CK52" s="1362">
        <f>' Table Z Net Exp Profiles'!N52</f>
        <v>0</v>
      </c>
      <c r="CL52" s="1101">
        <f>' Table Z Net Exp Profiles'!O52</f>
        <v>0</v>
      </c>
      <c r="CM52" s="1101">
        <f>' Table Z Net Exp Profiles'!P52</f>
        <v>0</v>
      </c>
      <c r="CO52" s="1328">
        <f>'B2 - Pay &amp; Agency'!A52</f>
        <v>1</v>
      </c>
      <c r="CP52" s="1844" t="str">
        <f>'B2 - Pay &amp; Agency'!B52</f>
        <v>Vacancy</v>
      </c>
      <c r="CQ52" s="1768">
        <f>'B2 - Pay &amp; Agency'!C52</f>
        <v>271</v>
      </c>
      <c r="CR52" s="1769">
        <f>'B2 - Pay &amp; Agency'!D52</f>
        <v>271</v>
      </c>
      <c r="CS52" s="1769">
        <f>'B2 - Pay &amp; Agency'!E52</f>
        <v>271</v>
      </c>
      <c r="CT52" s="1769">
        <f>'B2 - Pay &amp; Agency'!F52</f>
        <v>271</v>
      </c>
      <c r="CU52" s="1769">
        <f>'B2 - Pay &amp; Agency'!G52</f>
        <v>271</v>
      </c>
      <c r="CV52" s="1769">
        <f>'B2 - Pay &amp; Agency'!H52</f>
        <v>271</v>
      </c>
      <c r="CW52" s="1769">
        <f>'B2 - Pay &amp; Agency'!I52</f>
        <v>271</v>
      </c>
      <c r="CX52" s="1769">
        <f>'B2 - Pay &amp; Agency'!J52</f>
        <v>271</v>
      </c>
      <c r="CY52" s="1769">
        <f>'B2 - Pay &amp; Agency'!K52</f>
        <v>271</v>
      </c>
      <c r="CZ52" s="1769">
        <f>'B2 - Pay &amp; Agency'!L52</f>
        <v>271</v>
      </c>
      <c r="DA52" s="1769">
        <f>'B2 - Pay &amp; Agency'!M52</f>
        <v>271</v>
      </c>
      <c r="DB52" s="1770">
        <f>'B2 - Pay &amp; Agency'!N52</f>
        <v>271</v>
      </c>
      <c r="DC52" s="1132">
        <f>'B2 - Pay &amp; Agency'!O52</f>
        <v>271</v>
      </c>
      <c r="DD52" s="1323">
        <f>'B2 - Pay &amp; Agency'!P52</f>
        <v>3252</v>
      </c>
      <c r="DF52" s="2838">
        <f>'B3 - COVID-19'!A52</f>
        <v>30</v>
      </c>
      <c r="DG52" s="2844" t="str">
        <f>'B3 - COVID-19'!B52</f>
        <v>Provider Pay (Establishment, Temp &amp; Agency)</v>
      </c>
      <c r="DH52" s="1899"/>
      <c r="DI52" s="1899"/>
      <c r="DJ52" s="1899"/>
      <c r="DK52" s="1899"/>
      <c r="DL52" s="1899"/>
      <c r="DM52" s="1899"/>
      <c r="DN52" s="1899"/>
      <c r="DO52" s="1899"/>
      <c r="DP52" s="1899"/>
      <c r="DQ52" s="1899"/>
      <c r="DR52" s="1899"/>
      <c r="DS52" s="1900"/>
      <c r="DT52" s="1901"/>
      <c r="DU52" s="1902"/>
      <c r="DV52" s="608"/>
      <c r="DW52" s="1116"/>
      <c r="DY52" s="2040"/>
      <c r="DZ52" s="2331"/>
      <c r="EA52" s="2067"/>
      <c r="EB52" s="928" t="str">
        <f>'C, C1, C2&amp; C3 - Savings Schemes'!D52</f>
        <v>£'000</v>
      </c>
      <c r="EC52" s="928" t="str">
        <f>'C, C1, C2&amp; C3 - Savings Schemes'!E52</f>
        <v>£'000</v>
      </c>
      <c r="ED52" s="928" t="str">
        <f>'C, C1, C2&amp; C3 - Savings Schemes'!F52</f>
        <v>£'000</v>
      </c>
      <c r="EE52" s="928" t="str">
        <f>'C, C1, C2&amp; C3 - Savings Schemes'!G52</f>
        <v>£'000</v>
      </c>
      <c r="EF52" s="928" t="str">
        <f>'C, C1, C2&amp; C3 - Savings Schemes'!H52</f>
        <v>£'000</v>
      </c>
      <c r="EG52" s="928" t="str">
        <f>'C, C1, C2&amp; C3 - Savings Schemes'!I52</f>
        <v>£'000</v>
      </c>
      <c r="EH52" s="928" t="str">
        <f>'C, C1, C2&amp; C3 - Savings Schemes'!J52</f>
        <v>£'000</v>
      </c>
      <c r="EI52" s="928" t="str">
        <f>'C, C1, C2&amp; C3 - Savings Schemes'!K52</f>
        <v>£'000</v>
      </c>
      <c r="EJ52" s="928" t="str">
        <f>'C, C1, C2&amp; C3 - Savings Schemes'!L52</f>
        <v>£'000</v>
      </c>
      <c r="EK52" s="928" t="str">
        <f>'C, C1, C2&amp; C3 - Savings Schemes'!M52</f>
        <v>£'000</v>
      </c>
      <c r="EL52" s="928" t="str">
        <f>'C, C1, C2&amp; C3 - Savings Schemes'!N52</f>
        <v>£'000</v>
      </c>
      <c r="EM52" s="147" t="str">
        <f>'C, C1, C2&amp; C3 - Savings Schemes'!O52</f>
        <v>£'000</v>
      </c>
      <c r="EN52" s="145"/>
      <c r="EO52" s="96"/>
      <c r="EP52" s="1930"/>
      <c r="EQ52" s="1930"/>
      <c r="ER52" s="1930"/>
      <c r="ES52" s="1930"/>
      <c r="ET52" s="1930"/>
      <c r="EU52" s="1930"/>
      <c r="EV52" s="1930"/>
      <c r="EW52" s="1930"/>
      <c r="EX52" s="1932"/>
      <c r="EY52" s="1932"/>
      <c r="EZ52" s="1932"/>
      <c r="FA52" s="1932"/>
      <c r="FB52" s="1932"/>
      <c r="FC52" s="1932"/>
      <c r="FD52" s="1932"/>
      <c r="FE52" s="1932"/>
      <c r="FF52" s="1932"/>
      <c r="FG52" s="1932"/>
      <c r="FH52" s="1932"/>
      <c r="FI52" s="1932"/>
      <c r="FJ52" s="1932"/>
      <c r="FK52" s="1932"/>
      <c r="FL52" s="1932"/>
      <c r="FM52" s="1932"/>
      <c r="FN52" s="1932"/>
      <c r="FO52" s="1932"/>
      <c r="FP52" s="1932"/>
      <c r="FQ52" s="1932"/>
      <c r="FR52" s="1932"/>
      <c r="FS52" s="1932"/>
      <c r="GF52" s="2112">
        <f>'E - Resource Limits'!A52</f>
        <v>40</v>
      </c>
      <c r="GG52" s="2113">
        <f>'E - Resource Limits'!B52</f>
        <v>0</v>
      </c>
      <c r="GH52" s="2114">
        <f>'E - Resource Limits'!C52</f>
        <v>0</v>
      </c>
      <c r="GI52" s="2114">
        <f>'E - Resource Limits'!D52</f>
        <v>0</v>
      </c>
      <c r="GJ52" s="2114">
        <f>'E - Resource Limits'!E52</f>
        <v>0</v>
      </c>
      <c r="GK52" s="2114">
        <f>'E - Resource Limits'!F52</f>
        <v>0</v>
      </c>
      <c r="GL52" s="2048">
        <f>'E - Resource Limits'!G52</f>
        <v>0</v>
      </c>
      <c r="GM52" s="2115">
        <f>'E - Resource Limits'!H52</f>
        <v>0</v>
      </c>
      <c r="GN52" s="2114">
        <f>'E - Resource Limits'!I52</f>
        <v>0</v>
      </c>
      <c r="GO52" s="2114">
        <f>'E - Resource Limits'!J52</f>
        <v>0</v>
      </c>
      <c r="GP52" s="2114">
        <f>'E - Resource Limits'!K52</f>
        <v>0</v>
      </c>
      <c r="GQ52" s="2116">
        <f>'E - Resource Limits'!L52</f>
        <v>0</v>
      </c>
      <c r="GR52" s="1935">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90"/>
      <c r="HP52" s="1745"/>
      <c r="HQ52" s="2332" t="str">
        <f>'F - SoFP'!C52</f>
        <v>Opening Balance</v>
      </c>
      <c r="HR52" s="2333" t="str">
        <f>'F - SoFP'!D52</f>
        <v>Closing Balance</v>
      </c>
      <c r="HS52" s="2333" t="str">
        <f>'F - SoFP'!E52</f>
        <v>Closing Balance</v>
      </c>
      <c r="HT52" s="1946"/>
      <c r="JD52" s="2088">
        <f>'I - Capital RLM'!A52</f>
        <v>34</v>
      </c>
      <c r="JE52" s="2126">
        <f>'I - Capital RLM'!B52</f>
        <v>0</v>
      </c>
      <c r="JF52" s="2010">
        <f>'I - Capital RLM'!C52</f>
        <v>0</v>
      </c>
      <c r="JG52" s="2010">
        <f>'I - Capital RLM'!D52</f>
        <v>0</v>
      </c>
      <c r="JH52" s="2118">
        <f>'I - Capital RLM'!E52</f>
        <v>0</v>
      </c>
      <c r="JI52" s="2119">
        <f>'I - Capital RLM'!F52</f>
        <v>0</v>
      </c>
      <c r="JJ52" s="2010">
        <f>'I - Capital RLM'!G52</f>
        <v>0</v>
      </c>
      <c r="JK52" s="2010">
        <f>'I - Capital RLM'!H52</f>
        <v>0</v>
      </c>
      <c r="JL52" s="2118">
        <f>'I - Capital RLM'!I52</f>
        <v>0</v>
      </c>
      <c r="JM52" s="2120"/>
      <c r="JN52" s="1890">
        <f>'I - Capital RLM'!K52</f>
        <v>0</v>
      </c>
      <c r="JO52" s="2120">
        <f t="shared" si="7"/>
        <v>0</v>
      </c>
      <c r="JQ52" s="2088">
        <f>'J - Capital In Year Schemes'!A52</f>
        <v>39</v>
      </c>
      <c r="JR52" s="2334" t="str">
        <f>'J - Capital In Year Schemes'!B52</f>
        <v>Other</v>
      </c>
      <c r="JS52" s="2334">
        <f>'J - Capital In Year Schemes'!C52</f>
        <v>0</v>
      </c>
      <c r="JT52" s="2335">
        <f>'J - Capital In Year Schemes'!D52</f>
        <v>0</v>
      </c>
      <c r="JU52" s="2052">
        <f>'J - Capital In Year Schemes'!E52</f>
        <v>0</v>
      </c>
      <c r="JV52" s="2052">
        <f>'J - Capital In Year Schemes'!F52</f>
        <v>0</v>
      </c>
      <c r="JW52" s="2052">
        <f>'J - Capital In Year Schemes'!G52</f>
        <v>0</v>
      </c>
      <c r="JX52" s="2052">
        <f>'J - Capital In Year Schemes'!H52</f>
        <v>0</v>
      </c>
      <c r="JY52" s="2052">
        <f>'J - Capital In Year Schemes'!I52</f>
        <v>0</v>
      </c>
      <c r="JZ52" s="2052">
        <f>'J - Capital In Year Schemes'!J52</f>
        <v>0</v>
      </c>
      <c r="KA52" s="2052">
        <f>'J - Capital In Year Schemes'!K52</f>
        <v>0</v>
      </c>
      <c r="KB52" s="2052">
        <f>'J - Capital In Year Schemes'!L52</f>
        <v>0</v>
      </c>
      <c r="KC52" s="2052">
        <f>'J - Capital In Year Schemes'!M52</f>
        <v>0</v>
      </c>
      <c r="KD52" s="2052">
        <f>'J - Capital In Year Schemes'!N52</f>
        <v>0</v>
      </c>
      <c r="KE52" s="2052">
        <f>'J - Capital In Year Schemes'!O52</f>
        <v>0</v>
      </c>
      <c r="KF52" s="2052">
        <f>'J - Capital In Year Schemes'!P52</f>
        <v>0</v>
      </c>
      <c r="KG52" s="2052">
        <f>'J - Capital In Year Schemes'!Q52</f>
        <v>0</v>
      </c>
      <c r="KH52" s="2075">
        <f>'J - Capital In Year Schemes'!R52</f>
        <v>0</v>
      </c>
      <c r="KI52" s="2075">
        <f>'J - Capital In Year Schemes'!S52</f>
        <v>0</v>
      </c>
      <c r="KJ52" s="2076">
        <f>'J - Capital In Year Schemes'!T52</f>
        <v>0</v>
      </c>
      <c r="KK52" s="2060"/>
      <c r="KM52" s="2053">
        <f>'K - Capital Disposals'!A52</f>
        <v>37</v>
      </c>
      <c r="KN52" s="2220">
        <f>'K - Capital Disposals'!B52</f>
        <v>0</v>
      </c>
      <c r="KO52" s="2062">
        <f>'K - Capital Disposals'!C52</f>
        <v>0</v>
      </c>
      <c r="KP52" s="2062">
        <f>'K - Capital Disposals'!D52</f>
        <v>0</v>
      </c>
      <c r="KQ52" s="2078">
        <f>'K - Capital Disposals'!E52</f>
        <v>0</v>
      </c>
      <c r="KR52" s="2064">
        <f>'K - Capital Disposals'!F52</f>
        <v>0</v>
      </c>
      <c r="KS52" s="2064">
        <f>'K - Capital Disposals'!G52</f>
        <v>0</v>
      </c>
      <c r="KT52" s="2054">
        <f>'K - Capital Disposals'!H52</f>
        <v>0</v>
      </c>
      <c r="KU52" s="2055">
        <f>'K - Capital Disposals'!I52</f>
        <v>0</v>
      </c>
      <c r="KV52" s="3100">
        <f>'K - Capital Disposals'!J52</f>
        <v>0</v>
      </c>
      <c r="KW52" s="3095"/>
      <c r="KX52" s="3095"/>
      <c r="KY52" s="3095"/>
      <c r="KZ52" s="3095"/>
      <c r="LA52" s="3095"/>
      <c r="LB52" s="3096"/>
      <c r="LC52" s="1935"/>
      <c r="LL52" s="814"/>
      <c r="LM52" s="2197">
        <f>'M - Aged Debtors'!B52</f>
        <v>0</v>
      </c>
      <c r="LN52" s="2198">
        <f>'M - Aged Debtors'!C52</f>
        <v>0</v>
      </c>
      <c r="LO52" s="2199">
        <f>'M - Aged Debtors'!D52</f>
        <v>0</v>
      </c>
      <c r="LP52" s="2200">
        <f>'M - Aged Debtors'!E52</f>
        <v>0</v>
      </c>
      <c r="LQ52" s="2201">
        <f>'M - Aged Debtors'!F52</f>
        <v>0</v>
      </c>
      <c r="LR52" s="832" t="str">
        <f>'M - Aged Debtors'!G52</f>
        <v/>
      </c>
      <c r="LS52" s="829" t="str">
        <f>'M - Aged Debtors'!H52</f>
        <v/>
      </c>
      <c r="LT52" s="829" t="str">
        <f>'M - Aged Debtors'!I52</f>
        <v/>
      </c>
      <c r="LU52" s="830" t="str">
        <f>'M - Aged Debtors'!J52</f>
        <v/>
      </c>
      <c r="LV52" s="1830">
        <f>'M - Aged Debtors'!K52</f>
        <v>0</v>
      </c>
      <c r="LX52" s="485"/>
      <c r="LY52" s="485"/>
      <c r="LZ52" s="485"/>
      <c r="MA52" s="486"/>
      <c r="MB52" s="3128"/>
      <c r="MC52" s="3128"/>
      <c r="MD52" s="3128"/>
      <c r="ME52" s="3128"/>
      <c r="MF52" s="3128"/>
      <c r="MH52" s="1837">
        <f>'O - Dental'!A52</f>
        <v>0</v>
      </c>
      <c r="MI52" s="1838"/>
      <c r="MJ52" s="713">
        <f>'O - Dental'!C52</f>
        <v>42</v>
      </c>
      <c r="MK52" s="664">
        <f>'O - Dental'!D52</f>
        <v>0</v>
      </c>
      <c r="ML52" s="2203">
        <f>'O - Dental'!E52</f>
        <v>0</v>
      </c>
      <c r="MM52" s="2204">
        <f>'O - Dental'!F52</f>
        <v>0</v>
      </c>
      <c r="MN52" s="2205">
        <f>'O - Dental'!G52</f>
        <v>0</v>
      </c>
      <c r="MO52" s="308"/>
      <c r="MP52" s="1765">
        <f>'O - Dental'!I52</f>
        <v>0</v>
      </c>
      <c r="MR52" s="684"/>
      <c r="MS52" s="3019">
        <f>'P - Ringfenced'!B52</f>
        <v>0</v>
      </c>
      <c r="MT52" s="1101" t="str">
        <f>'P - Ringfenced'!C52</f>
        <v>Actual/Forecast - committed</v>
      </c>
      <c r="MU52" s="2656">
        <f>'P - Ringfenced'!D52</f>
        <v>0</v>
      </c>
      <c r="MV52" s="2656">
        <f>'P - Ringfenced'!E52</f>
        <v>0</v>
      </c>
      <c r="MW52" s="2693">
        <f>'P - Ringfenced'!F52</f>
        <v>0</v>
      </c>
      <c r="MX52" s="2693">
        <f>'P - Ringfenced'!G52</f>
        <v>0</v>
      </c>
      <c r="MY52" s="2693">
        <f>'P - Ringfenced'!H52</f>
        <v>0</v>
      </c>
      <c r="MZ52" s="2693">
        <f>'P - Ringfenced'!I52</f>
        <v>0</v>
      </c>
      <c r="NA52" s="2693">
        <f>'P - Ringfenced'!J52</f>
        <v>0</v>
      </c>
      <c r="NB52" s="2693">
        <f>'P - Ringfenced'!K52</f>
        <v>0</v>
      </c>
      <c r="NC52" s="2693">
        <f>'P - Ringfenced'!L52</f>
        <v>0</v>
      </c>
      <c r="ND52" s="2693">
        <f>'P - Ringfenced'!M52</f>
        <v>0</v>
      </c>
      <c r="NE52" s="2693">
        <f>'P - Ringfenced'!N52</f>
        <v>0</v>
      </c>
      <c r="NF52" s="2693">
        <f>'P - Ringfenced'!O52</f>
        <v>0</v>
      </c>
      <c r="NG52" s="2693">
        <f>'P - Ringfenced'!P52</f>
        <v>0</v>
      </c>
      <c r="NH52" s="2693">
        <f>'P - Ringfenced'!Q52</f>
        <v>0</v>
      </c>
      <c r="NI52" s="1339">
        <f>'P - Ringfenced'!R52</f>
        <v>0</v>
      </c>
      <c r="NJ52" s="1340">
        <f>'P - Ringfenced'!S52</f>
        <v>0</v>
      </c>
      <c r="NK52" s="2861"/>
      <c r="NL52" s="684"/>
    </row>
    <row r="53" spans="13:376" ht="20.149999999999999" customHeight="1" thickTop="1" thickBot="1">
      <c r="M53" s="950"/>
      <c r="N53" s="71"/>
      <c r="O53" s="71"/>
      <c r="P53" s="71"/>
      <c r="Q53" s="71"/>
      <c r="R53" s="71"/>
      <c r="S53" s="1745"/>
      <c r="U53" s="1745"/>
      <c r="V53" s="71"/>
      <c r="W53" s="111"/>
      <c r="X53" s="111"/>
      <c r="Y53" s="111"/>
      <c r="Z53" s="111"/>
      <c r="AA53" s="111"/>
      <c r="AB53" s="111"/>
      <c r="AC53" s="111"/>
      <c r="AD53" s="111"/>
      <c r="AE53" s="111"/>
      <c r="AF53" s="111"/>
      <c r="AG53" s="111"/>
      <c r="AH53" s="111"/>
      <c r="AI53" s="71"/>
      <c r="AJ53" s="71"/>
      <c r="AK53" s="71"/>
      <c r="AN53" s="1745"/>
      <c r="BE53" s="2233">
        <f>'B - Monthly Positions'!A53</f>
        <v>38</v>
      </c>
      <c r="BF53" s="1373" t="str">
        <f>'B - Monthly Positions'!B53</f>
        <v>Support Services (inc. Estates &amp; Facilities)</v>
      </c>
      <c r="BG53" s="93" t="str">
        <f>'B - Monthly Positions'!C53</f>
        <v>Actual/F'cast</v>
      </c>
      <c r="BH53" s="3005">
        <f>'B - Monthly Positions'!D53</f>
        <v>13044</v>
      </c>
      <c r="BI53" s="1140"/>
      <c r="BJ53" s="1140"/>
      <c r="BK53" s="1140"/>
      <c r="BL53" s="1140"/>
      <c r="BM53" s="1140"/>
      <c r="BN53" s="1140"/>
      <c r="BO53" s="1140"/>
      <c r="BP53" s="1140"/>
      <c r="BQ53" s="1140"/>
      <c r="BR53" s="1140"/>
      <c r="BS53" s="1140"/>
      <c r="BT53" s="1140"/>
      <c r="BU53" s="1140"/>
      <c r="BV53" s="2250"/>
      <c r="BW53" s="1930"/>
      <c r="BX53" s="91">
        <f>' Table Z Net Exp Profiles'!A53</f>
        <v>37</v>
      </c>
      <c r="BY53" s="1371" t="str">
        <f>' Table Z Net Exp Profiles'!B53</f>
        <v>Non Pay Accountancy Gains - Actual/Forecast</v>
      </c>
      <c r="BZ53" s="1290">
        <f>' Table Z Net Exp Profiles'!C53</f>
        <v>0</v>
      </c>
      <c r="CA53" s="1291">
        <f>' Table Z Net Exp Profiles'!D53</f>
        <v>0</v>
      </c>
      <c r="CB53" s="1291">
        <f>' Table Z Net Exp Profiles'!E53</f>
        <v>0</v>
      </c>
      <c r="CC53" s="1291">
        <f>' Table Z Net Exp Profiles'!F53</f>
        <v>0</v>
      </c>
      <c r="CD53" s="1291">
        <f>' Table Z Net Exp Profiles'!G53</f>
        <v>0</v>
      </c>
      <c r="CE53" s="1291">
        <f>' Table Z Net Exp Profiles'!H53</f>
        <v>0</v>
      </c>
      <c r="CF53" s="1291">
        <f>' Table Z Net Exp Profiles'!I53</f>
        <v>0</v>
      </c>
      <c r="CG53" s="1291">
        <f>' Table Z Net Exp Profiles'!J53</f>
        <v>0</v>
      </c>
      <c r="CH53" s="1291">
        <f>' Table Z Net Exp Profiles'!K53</f>
        <v>0</v>
      </c>
      <c r="CI53" s="1291">
        <f>' Table Z Net Exp Profiles'!L53</f>
        <v>0</v>
      </c>
      <c r="CJ53" s="1291">
        <f>' Table Z Net Exp Profiles'!M53</f>
        <v>0</v>
      </c>
      <c r="CK53" s="1292">
        <f>' Table Z Net Exp Profiles'!N53</f>
        <v>0</v>
      </c>
      <c r="CL53" s="1233">
        <f>' Table Z Net Exp Profiles'!O53</f>
        <v>0</v>
      </c>
      <c r="CM53" s="1215">
        <f>' Table Z Net Exp Profiles'!P53</f>
        <v>0</v>
      </c>
      <c r="CO53" s="1329">
        <f>'B2 - Pay &amp; Agency'!A53</f>
        <v>2</v>
      </c>
      <c r="CP53" s="1845" t="str">
        <f>'B2 - Pay &amp; Agency'!B53</f>
        <v>Maternity/Paternity/Adoption Leave</v>
      </c>
      <c r="CQ53" s="1776">
        <f>'B2 - Pay &amp; Agency'!C53</f>
        <v>7</v>
      </c>
      <c r="CR53" s="1777">
        <f>'B2 - Pay &amp; Agency'!D53</f>
        <v>7</v>
      </c>
      <c r="CS53" s="1777">
        <f>'B2 - Pay &amp; Agency'!E53</f>
        <v>7</v>
      </c>
      <c r="CT53" s="1777">
        <f>'B2 - Pay &amp; Agency'!F53</f>
        <v>7</v>
      </c>
      <c r="CU53" s="1777">
        <f>'B2 - Pay &amp; Agency'!G53</f>
        <v>7</v>
      </c>
      <c r="CV53" s="1777">
        <f>'B2 - Pay &amp; Agency'!H53</f>
        <v>7</v>
      </c>
      <c r="CW53" s="1777">
        <f>'B2 - Pay &amp; Agency'!I53</f>
        <v>7</v>
      </c>
      <c r="CX53" s="1777">
        <f>'B2 - Pay &amp; Agency'!J53</f>
        <v>7</v>
      </c>
      <c r="CY53" s="1777">
        <f>'B2 - Pay &amp; Agency'!K53</f>
        <v>7</v>
      </c>
      <c r="CZ53" s="1777">
        <f>'B2 - Pay &amp; Agency'!L53</f>
        <v>7</v>
      </c>
      <c r="DA53" s="1777">
        <f>'B2 - Pay &amp; Agency'!M53</f>
        <v>7</v>
      </c>
      <c r="DB53" s="1778">
        <f>'B2 - Pay &amp; Agency'!N53</f>
        <v>7</v>
      </c>
      <c r="DC53" s="1324">
        <f>'B2 - Pay &amp; Agency'!O53</f>
        <v>7</v>
      </c>
      <c r="DD53" s="1325">
        <f>'B2 - Pay &amp; Agency'!P53</f>
        <v>84</v>
      </c>
      <c r="DF53" s="2838">
        <f>'B3 - COVID-19'!A53</f>
        <v>31</v>
      </c>
      <c r="DG53" s="2844" t="str">
        <f>'B3 - COVID-19'!B53</f>
        <v xml:space="preserve">Administrative, Clerical &amp; Board Members </v>
      </c>
      <c r="DH53" s="1903">
        <f>'B3 - COVID-19'!C53</f>
        <v>36.324280000000002</v>
      </c>
      <c r="DI53" s="1903">
        <f>'B3 - COVID-19'!D53</f>
        <v>50.565666666666665</v>
      </c>
      <c r="DJ53" s="1903">
        <f>'B3 - COVID-19'!E53</f>
        <v>59.37886666666666</v>
      </c>
      <c r="DK53" s="1903">
        <f>'B3 - COVID-19'!F53</f>
        <v>59.37886666666666</v>
      </c>
      <c r="DL53" s="1903">
        <f>'B3 - COVID-19'!G53</f>
        <v>59.37886666666666</v>
      </c>
      <c r="DM53" s="1903">
        <f>'B3 - COVID-19'!H53</f>
        <v>59.37886666666666</v>
      </c>
      <c r="DN53" s="1903">
        <f>'B3 - COVID-19'!I53</f>
        <v>59.37886666666666</v>
      </c>
      <c r="DO53" s="1903">
        <f>'B3 - COVID-19'!J53</f>
        <v>59.37886666666666</v>
      </c>
      <c r="DP53" s="1903">
        <f>'B3 - COVID-19'!K53</f>
        <v>59.37886666666666</v>
      </c>
      <c r="DQ53" s="1903">
        <f>'B3 - COVID-19'!L53</f>
        <v>59.37886666666666</v>
      </c>
      <c r="DR53" s="1903">
        <f>'B3 - COVID-19'!M53</f>
        <v>59.37886666666666</v>
      </c>
      <c r="DS53" s="1903">
        <f>'B3 - COVID-19'!N53</f>
        <v>59.37886666666666</v>
      </c>
      <c r="DT53" s="1863">
        <f>'B3 - COVID-19'!O53</f>
        <v>36.324280000000002</v>
      </c>
      <c r="DU53" s="1863">
        <f>'B3 - COVID-19'!P53</f>
        <v>680.67861333333337</v>
      </c>
      <c r="DV53" s="608"/>
      <c r="DW53" s="1116"/>
      <c r="DY53" s="2111">
        <f>'C, C1, C2&amp; C3 - Savings Schemes'!A53</f>
        <v>1</v>
      </c>
      <c r="DZ53" s="3038" t="str">
        <f>'C, C1, C2&amp; C3 - Savings Schemes'!B53</f>
        <v>Changes in Staffing Establishment</v>
      </c>
      <c r="EA53" s="87" t="str">
        <f>'C, C1, C2&amp; C3 - Savings Schemes'!C53</f>
        <v>Budget/Plan</v>
      </c>
      <c r="EB53" s="1773">
        <f>'C, C1, C2&amp; C3 - Savings Schemes'!D53</f>
        <v>0</v>
      </c>
      <c r="EC53" s="1774">
        <f>'C, C1, C2&amp; C3 - Savings Schemes'!E53</f>
        <v>0</v>
      </c>
      <c r="ED53" s="1774">
        <f>'C, C1, C2&amp; C3 - Savings Schemes'!F53</f>
        <v>0</v>
      </c>
      <c r="EE53" s="1774">
        <f>'C, C1, C2&amp; C3 - Savings Schemes'!G53</f>
        <v>0</v>
      </c>
      <c r="EF53" s="1774">
        <f>'C, C1, C2&amp; C3 - Savings Schemes'!H53</f>
        <v>0</v>
      </c>
      <c r="EG53" s="1774">
        <f>'C, C1, C2&amp; C3 - Savings Schemes'!I53</f>
        <v>0</v>
      </c>
      <c r="EH53" s="1774">
        <f>'C, C1, C2&amp; C3 - Savings Schemes'!J53</f>
        <v>0</v>
      </c>
      <c r="EI53" s="1774">
        <f>'C, C1, C2&amp; C3 - Savings Schemes'!K53</f>
        <v>0</v>
      </c>
      <c r="EJ53" s="1774">
        <f>'C, C1, C2&amp; C3 - Savings Schemes'!L53</f>
        <v>0</v>
      </c>
      <c r="EK53" s="1774">
        <f>'C, C1, C2&amp; C3 - Savings Schemes'!M53</f>
        <v>0</v>
      </c>
      <c r="EL53" s="1774">
        <f>'C, C1, C2&amp; C3 - Savings Schemes'!N53</f>
        <v>0</v>
      </c>
      <c r="EM53" s="1775">
        <f>'C, C1, C2&amp; C3 - Savings Schemes'!O53</f>
        <v>0</v>
      </c>
      <c r="EN53" s="120">
        <f>'C, C1, C2&amp; C3 - Savings Schemes'!P53</f>
        <v>0</v>
      </c>
      <c r="EO53" s="938">
        <f>'C, C1, C2&amp; C3 - Savings Schemes'!Q53</f>
        <v>0</v>
      </c>
      <c r="EP53" s="1930"/>
      <c r="EQ53" s="1930"/>
      <c r="ER53" s="1930"/>
      <c r="ES53" s="1930"/>
      <c r="ET53" s="1930"/>
      <c r="EU53" s="1930"/>
      <c r="EV53" s="1930"/>
      <c r="EW53" s="1930"/>
      <c r="EX53" s="1932"/>
      <c r="EY53" s="1932"/>
      <c r="EZ53" s="1932"/>
      <c r="FA53" s="1932"/>
      <c r="FB53" s="1932"/>
      <c r="FC53" s="1932"/>
      <c r="FD53" s="1932"/>
      <c r="FE53" s="1932"/>
      <c r="FF53" s="1932"/>
      <c r="FG53" s="1932"/>
      <c r="FH53" s="1932"/>
      <c r="FI53" s="1932"/>
      <c r="FJ53" s="1932"/>
      <c r="FK53" s="1932"/>
      <c r="FL53" s="1932"/>
      <c r="FM53" s="1932"/>
      <c r="FN53" s="1932"/>
      <c r="FO53" s="1932"/>
      <c r="FP53" s="1932"/>
      <c r="FQ53" s="1932"/>
      <c r="FR53" s="1932"/>
      <c r="FS53" s="1932"/>
      <c r="GF53" s="2112">
        <f>'E - Resource Limits'!A53</f>
        <v>41</v>
      </c>
      <c r="GG53" s="2113">
        <f>'E - Resource Limits'!B53</f>
        <v>0</v>
      </c>
      <c r="GH53" s="2114">
        <f>'E - Resource Limits'!C53</f>
        <v>0</v>
      </c>
      <c r="GI53" s="2114">
        <f>'E - Resource Limits'!D53</f>
        <v>0</v>
      </c>
      <c r="GJ53" s="2114">
        <f>'E - Resource Limits'!E53</f>
        <v>0</v>
      </c>
      <c r="GK53" s="2114">
        <f>'E - Resource Limits'!F53</f>
        <v>0</v>
      </c>
      <c r="GL53" s="2048">
        <f>'E - Resource Limits'!G53</f>
        <v>0</v>
      </c>
      <c r="GM53" s="2115">
        <f>'E - Resource Limits'!H53</f>
        <v>0</v>
      </c>
      <c r="GN53" s="2114">
        <f>'E - Resource Limits'!I53</f>
        <v>0</v>
      </c>
      <c r="GO53" s="2114">
        <f>'E - Resource Limits'!J53</f>
        <v>0</v>
      </c>
      <c r="GP53" s="2114">
        <f>'E - Resource Limits'!K53</f>
        <v>0</v>
      </c>
      <c r="GQ53" s="2116">
        <f>'E - Resource Limits'!L53</f>
        <v>0</v>
      </c>
      <c r="GR53" s="1935">
        <f t="shared" si="6"/>
        <v>0</v>
      </c>
      <c r="GT53" s="344">
        <f>'E1 - Invoiced Income'!A53</f>
        <v>38</v>
      </c>
      <c r="GU53" s="1731" t="str">
        <f>'E1 - Invoiced Income'!B53</f>
        <v xml:space="preserve">Health Protection (including Testing, Tracing and Surveillance) </v>
      </c>
      <c r="GV53" s="24">
        <f>'E1 - Invoiced Income'!C53</f>
        <v>0</v>
      </c>
      <c r="GW53" s="2526">
        <f>'E1 - Invoiced Income'!D53</f>
        <v>15440</v>
      </c>
      <c r="GX53" s="2529">
        <f>'E1 - Invoiced Income'!E53</f>
        <v>15440</v>
      </c>
      <c r="GY53" s="2526">
        <f>'E1 - Invoiced Income'!F53</f>
        <v>0</v>
      </c>
      <c r="GZ53" s="2526">
        <f>'E1 - Invoiced Income'!G53</f>
        <v>0</v>
      </c>
      <c r="HA53" s="2526">
        <f>'E1 - Invoiced Income'!H53</f>
        <v>0</v>
      </c>
      <c r="HB53" s="2526">
        <f>'E1 - Invoiced Income'!I53</f>
        <v>0</v>
      </c>
      <c r="HC53" s="71"/>
      <c r="HD53" s="71"/>
      <c r="HE53" s="71"/>
      <c r="HF53" s="71"/>
      <c r="HG53" s="71"/>
      <c r="HH53" s="71"/>
      <c r="HI53" s="71"/>
      <c r="HJ53" s="71"/>
      <c r="HK53" s="71"/>
      <c r="HL53" s="71"/>
      <c r="HM53" s="71"/>
      <c r="HO53" s="2290"/>
      <c r="HP53" s="1745"/>
      <c r="HQ53" s="2337" t="str">
        <f>'F - SoFP'!C53</f>
        <v>Beginning of</v>
      </c>
      <c r="HR53" s="2338" t="str">
        <f>'F - SoFP'!D53</f>
        <v xml:space="preserve">End of </v>
      </c>
      <c r="HS53" s="2338" t="str">
        <f>'F - SoFP'!E53</f>
        <v xml:space="preserve">End of </v>
      </c>
      <c r="HT53" s="1946"/>
      <c r="JD53" s="2088">
        <f>'I - Capital RLM'!A53</f>
        <v>35</v>
      </c>
      <c r="JE53" s="2126">
        <f>'I - Capital RLM'!B53</f>
        <v>0</v>
      </c>
      <c r="JF53" s="2010">
        <f>'I - Capital RLM'!C53</f>
        <v>0</v>
      </c>
      <c r="JG53" s="2010">
        <f>'I - Capital RLM'!D53</f>
        <v>0</v>
      </c>
      <c r="JH53" s="2118">
        <f>'I - Capital RLM'!E53</f>
        <v>0</v>
      </c>
      <c r="JI53" s="2119">
        <f>'I - Capital RLM'!F53</f>
        <v>0</v>
      </c>
      <c r="JJ53" s="2010">
        <f>'I - Capital RLM'!G53</f>
        <v>0</v>
      </c>
      <c r="JK53" s="2010">
        <f>'I - Capital RLM'!H53</f>
        <v>0</v>
      </c>
      <c r="JL53" s="2118">
        <f>'I - Capital RLM'!I53</f>
        <v>0</v>
      </c>
      <c r="JM53" s="2120"/>
      <c r="JN53" s="1890">
        <f>'I - Capital RLM'!K53</f>
        <v>0</v>
      </c>
      <c r="JO53" s="2120">
        <f t="shared" si="7"/>
        <v>0</v>
      </c>
      <c r="JQ53" s="2301">
        <f>'J - Capital In Year Schemes'!A53</f>
        <v>40</v>
      </c>
      <c r="JR53" s="2302" t="str">
        <f>'J - Capital In Year Schemes'!B53</f>
        <v>Sub Total</v>
      </c>
      <c r="JS53" s="2302">
        <f>'J - Capital In Year Schemes'!C53</f>
        <v>0</v>
      </c>
      <c r="JT53" s="2037">
        <f>'J - Capital In Year Schemes'!D53</f>
        <v>0</v>
      </c>
      <c r="JU53" s="2037">
        <f>'J - Capital In Year Schemes'!E53</f>
        <v>0</v>
      </c>
      <c r="JV53" s="2037">
        <f>'J - Capital In Year Schemes'!F53</f>
        <v>0</v>
      </c>
      <c r="JW53" s="2037">
        <f>'J - Capital In Year Schemes'!G53</f>
        <v>0</v>
      </c>
      <c r="JX53" s="2037">
        <f>'J - Capital In Year Schemes'!H53</f>
        <v>0</v>
      </c>
      <c r="JY53" s="2037">
        <f>'J - Capital In Year Schemes'!I53</f>
        <v>0</v>
      </c>
      <c r="JZ53" s="2037">
        <f>'J - Capital In Year Schemes'!J53</f>
        <v>0</v>
      </c>
      <c r="KA53" s="2037">
        <f>'J - Capital In Year Schemes'!K53</f>
        <v>0</v>
      </c>
      <c r="KB53" s="2037">
        <f>'J - Capital In Year Schemes'!L53</f>
        <v>0</v>
      </c>
      <c r="KC53" s="2037">
        <f>'J - Capital In Year Schemes'!M53</f>
        <v>0</v>
      </c>
      <c r="KD53" s="2037">
        <f>'J - Capital In Year Schemes'!N53</f>
        <v>0</v>
      </c>
      <c r="KE53" s="2037">
        <f>'J - Capital In Year Schemes'!O53</f>
        <v>0</v>
      </c>
      <c r="KF53" s="2037">
        <f>'J - Capital In Year Schemes'!P53</f>
        <v>0</v>
      </c>
      <c r="KG53" s="2037">
        <f>'J - Capital In Year Schemes'!Q53</f>
        <v>0</v>
      </c>
      <c r="KH53" s="2037">
        <f>'J - Capital In Year Schemes'!R53</f>
        <v>0</v>
      </c>
      <c r="KI53" s="2037">
        <f>'J - Capital In Year Schemes'!S53</f>
        <v>0</v>
      </c>
      <c r="KJ53" s="2339"/>
      <c r="KK53" s="2060"/>
      <c r="KM53" s="2053">
        <f>'K - Capital Disposals'!A53</f>
        <v>38</v>
      </c>
      <c r="KN53" s="2220">
        <f>'K - Capital Disposals'!B53</f>
        <v>0</v>
      </c>
      <c r="KO53" s="2062">
        <f>'K - Capital Disposals'!C53</f>
        <v>0</v>
      </c>
      <c r="KP53" s="2062">
        <f>'K - Capital Disposals'!D53</f>
        <v>0</v>
      </c>
      <c r="KQ53" s="2078">
        <f>'K - Capital Disposals'!E53</f>
        <v>0</v>
      </c>
      <c r="KR53" s="2064">
        <f>'K - Capital Disposals'!F53</f>
        <v>0</v>
      </c>
      <c r="KS53" s="2064">
        <f>'K - Capital Disposals'!G53</f>
        <v>0</v>
      </c>
      <c r="KT53" s="2054">
        <f>'K - Capital Disposals'!H53</f>
        <v>0</v>
      </c>
      <c r="KU53" s="2055">
        <f>'K - Capital Disposals'!I53</f>
        <v>0</v>
      </c>
      <c r="KV53" s="3100">
        <f>'K - Capital Disposals'!J53</f>
        <v>0</v>
      </c>
      <c r="KW53" s="3095"/>
      <c r="KX53" s="3095"/>
      <c r="KY53" s="3095"/>
      <c r="KZ53" s="3095"/>
      <c r="LA53" s="3095"/>
      <c r="LB53" s="3096"/>
      <c r="LC53" s="1935"/>
      <c r="LL53" s="814"/>
      <c r="LM53" s="2197">
        <f>'M - Aged Debtors'!B53</f>
        <v>0</v>
      </c>
      <c r="LN53" s="2198">
        <f>'M - Aged Debtors'!C53</f>
        <v>0</v>
      </c>
      <c r="LO53" s="2199">
        <f>'M - Aged Debtors'!D53</f>
        <v>0</v>
      </c>
      <c r="LP53" s="2200">
        <f>'M - Aged Debtors'!E53</f>
        <v>0</v>
      </c>
      <c r="LQ53" s="2201">
        <f>'M - Aged Debtors'!F53</f>
        <v>0</v>
      </c>
      <c r="LR53" s="832" t="str">
        <f>'M - Aged Debtors'!G53</f>
        <v/>
      </c>
      <c r="LS53" s="829" t="str">
        <f>'M - Aged Debtors'!H53</f>
        <v/>
      </c>
      <c r="LT53" s="829" t="str">
        <f>'M - Aged Debtors'!I53</f>
        <v/>
      </c>
      <c r="LU53" s="830" t="str">
        <f>'M - Aged Debtors'!J53</f>
        <v/>
      </c>
      <c r="LV53" s="1830">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4" t="str">
        <f>'O - Dental'!A53</f>
        <v>TOTAL OTHER (must equal line 12)</v>
      </c>
      <c r="MI53" s="715"/>
      <c r="MJ53" s="716">
        <f>'O - Dental'!C53</f>
        <v>43</v>
      </c>
      <c r="MK53" s="676">
        <f>'O - Dental'!D53</f>
        <v>0</v>
      </c>
      <c r="ML53" s="677">
        <f>'O - Dental'!E53</f>
        <v>0</v>
      </c>
      <c r="MM53" s="678">
        <f>'O - Dental'!F53</f>
        <v>0</v>
      </c>
      <c r="MN53" s="677">
        <f>'O - Dental'!G53</f>
        <v>0</v>
      </c>
      <c r="MO53" s="679"/>
      <c r="MP53" s="678">
        <f>'O - Dental'!I53</f>
        <v>0</v>
      </c>
      <c r="MR53" s="684"/>
      <c r="MS53" s="3020">
        <f>'P - Ringfenced'!B53</f>
        <v>0</v>
      </c>
      <c r="MT53" s="2661" t="str">
        <f>'P - Ringfenced'!C53</f>
        <v>Variance against current plan</v>
      </c>
      <c r="MU53" s="2656">
        <f>'P - Ringfenced'!D53</f>
        <v>0</v>
      </c>
      <c r="MV53" s="2656">
        <f>'P - Ringfenced'!E53</f>
        <v>0</v>
      </c>
      <c r="MW53" s="2680">
        <f>'P - Ringfenced'!F53</f>
        <v>0</v>
      </c>
      <c r="MX53" s="2680">
        <f>'P - Ringfenced'!G53</f>
        <v>0</v>
      </c>
      <c r="MY53" s="2680">
        <f>'P - Ringfenced'!H53</f>
        <v>0</v>
      </c>
      <c r="MZ53" s="2680">
        <f>'P - Ringfenced'!I53</f>
        <v>0</v>
      </c>
      <c r="NA53" s="2680">
        <f>'P - Ringfenced'!J53</f>
        <v>0</v>
      </c>
      <c r="NB53" s="2680">
        <f>'P - Ringfenced'!K53</f>
        <v>0</v>
      </c>
      <c r="NC53" s="2680">
        <f>'P - Ringfenced'!L53</f>
        <v>0</v>
      </c>
      <c r="ND53" s="2680">
        <f>'P - Ringfenced'!M53</f>
        <v>0</v>
      </c>
      <c r="NE53" s="2680">
        <f>'P - Ringfenced'!N53</f>
        <v>0</v>
      </c>
      <c r="NF53" s="2680">
        <f>'P - Ringfenced'!O53</f>
        <v>0</v>
      </c>
      <c r="NG53" s="2680">
        <f>'P - Ringfenced'!P53</f>
        <v>0</v>
      </c>
      <c r="NH53" s="2680">
        <f>'P - Ringfenced'!Q53</f>
        <v>0</v>
      </c>
      <c r="NI53" s="1110">
        <f>'P - Ringfenced'!R53</f>
        <v>0</v>
      </c>
      <c r="NJ53" s="1220">
        <f>'P - Ringfenced'!S53</f>
        <v>0</v>
      </c>
      <c r="NK53" s="1220">
        <f>'P - Ringfenced'!T53</f>
        <v>0</v>
      </c>
      <c r="NL53" s="684"/>
    </row>
    <row r="54" spans="13:376" ht="20.149999999999999" customHeight="1" thickBot="1">
      <c r="M54" s="950">
        <f>'A - Movement'!A54</f>
        <v>42</v>
      </c>
      <c r="N54" s="2482" t="str">
        <f>'A - Movement'!B54</f>
        <v>Operational - Forecast Outturn (- Deficit / + Surplus)</v>
      </c>
      <c r="O54" s="951">
        <f>'A - Movement'!C54</f>
        <v>1.5802470443304628E-11</v>
      </c>
      <c r="P54" s="71"/>
      <c r="Q54" s="71"/>
      <c r="R54" s="71"/>
      <c r="S54" s="1745"/>
      <c r="U54" s="952">
        <f>'A - Movement'!I54</f>
        <v>42</v>
      </c>
      <c r="V54" s="2482" t="str">
        <f>N54</f>
        <v>Operational - Forecast Outturn (- Deficit / + Surplus)</v>
      </c>
      <c r="W54" s="951">
        <f>'A - Movement'!J54</f>
        <v>49.999999999999886</v>
      </c>
      <c r="X54" s="951">
        <f>'A - Movement'!K54</f>
        <v>1.4210854715202004E-13</v>
      </c>
      <c r="Y54" s="951">
        <f>'A - Movement'!L54</f>
        <v>1.4210854715202004E-13</v>
      </c>
      <c r="Z54" s="951">
        <f>'A - Movement'!M54</f>
        <v>3.694822225952521E-13</v>
      </c>
      <c r="AA54" s="951">
        <f>'A - Movement'!N54</f>
        <v>3.694822225952521E-13</v>
      </c>
      <c r="AB54" s="951">
        <f>'A - Movement'!O54</f>
        <v>-8.5265128291212022E-14</v>
      </c>
      <c r="AC54" s="951">
        <f>'A - Movement'!P54</f>
        <v>-8.5265128291212022E-14</v>
      </c>
      <c r="AD54" s="951">
        <f>'A - Movement'!Q54</f>
        <v>5.9685589803848416E-13</v>
      </c>
      <c r="AE54" s="951">
        <f>'A - Movement'!R54</f>
        <v>1.4210854715202004E-13</v>
      </c>
      <c r="AF54" s="951">
        <f>'A - Movement'!S54</f>
        <v>-8.5265128291212022E-14</v>
      </c>
      <c r="AG54" s="951">
        <f>'A - Movement'!T54</f>
        <v>1.4210854715202004E-13</v>
      </c>
      <c r="AH54" s="951">
        <f>'A - Movement'!U54</f>
        <v>-50.000000000000313</v>
      </c>
      <c r="AI54" s="951">
        <f>'A - Movement'!V54</f>
        <v>49.999999999999886</v>
      </c>
      <c r="AJ54" s="951">
        <f>O54</f>
        <v>1.5802470443304628E-11</v>
      </c>
      <c r="AK54" s="951">
        <f>P54</f>
        <v>0</v>
      </c>
      <c r="AL54" s="951">
        <f>Q54</f>
        <v>0</v>
      </c>
      <c r="AM54" s="951">
        <f>R54</f>
        <v>0</v>
      </c>
      <c r="AN54" s="1745"/>
      <c r="BE54" s="2233">
        <f>'B - Monthly Positions'!A54</f>
        <v>39</v>
      </c>
      <c r="BF54" s="2617" t="str">
        <f>'B - Monthly Positions'!B54</f>
        <v>Reserves</v>
      </c>
      <c r="BG54" s="2615" t="str">
        <f>'B - Monthly Positions'!C54</f>
        <v>Actual/F'cast</v>
      </c>
      <c r="BH54" s="3005">
        <f>'B - Monthly Positions'!D54</f>
        <v>0</v>
      </c>
      <c r="BI54" s="1140"/>
      <c r="BJ54" s="1140"/>
      <c r="BK54" s="1140"/>
      <c r="BL54" s="1140"/>
      <c r="BM54" s="1140"/>
      <c r="BN54" s="1140"/>
      <c r="BO54" s="1140"/>
      <c r="BP54" s="1140"/>
      <c r="BQ54" s="1140"/>
      <c r="BR54" s="1140"/>
      <c r="BS54" s="1140"/>
      <c r="BT54" s="1140"/>
      <c r="BU54" s="1140"/>
      <c r="BV54" s="2250"/>
      <c r="BW54" s="2290"/>
      <c r="BX54" s="144">
        <f>' Table Z Net Exp Profiles'!A54</f>
        <v>38</v>
      </c>
      <c r="BY54" s="2519" t="str">
        <f>' Table Z Net Exp Profiles'!B54</f>
        <v>In Year Operational Non Pay Expenditure Cost Reduction Due To C19 (Positive Values)</v>
      </c>
      <c r="BZ54" s="2503">
        <f>' Table Z Net Exp Profiles'!C54</f>
        <v>0</v>
      </c>
      <c r="CA54" s="2504">
        <f>' Table Z Net Exp Profiles'!D54</f>
        <v>0</v>
      </c>
      <c r="CB54" s="2504">
        <f>' Table Z Net Exp Profiles'!E54</f>
        <v>0</v>
      </c>
      <c r="CC54" s="2504">
        <f>' Table Z Net Exp Profiles'!F54</f>
        <v>0</v>
      </c>
      <c r="CD54" s="2504">
        <f>' Table Z Net Exp Profiles'!G54</f>
        <v>0</v>
      </c>
      <c r="CE54" s="2504">
        <f>' Table Z Net Exp Profiles'!H54</f>
        <v>0</v>
      </c>
      <c r="CF54" s="2504">
        <f>' Table Z Net Exp Profiles'!I54</f>
        <v>0</v>
      </c>
      <c r="CG54" s="2504">
        <f>' Table Z Net Exp Profiles'!J54</f>
        <v>0</v>
      </c>
      <c r="CH54" s="2504">
        <f>' Table Z Net Exp Profiles'!K54</f>
        <v>0</v>
      </c>
      <c r="CI54" s="2504">
        <f>' Table Z Net Exp Profiles'!L54</f>
        <v>0</v>
      </c>
      <c r="CJ54" s="2504">
        <f>' Table Z Net Exp Profiles'!M54</f>
        <v>0</v>
      </c>
      <c r="CK54" s="2505">
        <f>' Table Z Net Exp Profiles'!N54</f>
        <v>0</v>
      </c>
      <c r="CL54" s="1692">
        <f>' Table Z Net Exp Profiles'!O54</f>
        <v>0</v>
      </c>
      <c r="CM54" s="1692">
        <f>' Table Z Net Exp Profiles'!P54</f>
        <v>0</v>
      </c>
      <c r="CO54" s="1329">
        <f>'B2 - Pay &amp; Agency'!A54</f>
        <v>3</v>
      </c>
      <c r="CP54" s="1845" t="str">
        <f>'B2 - Pay &amp; Agency'!B54</f>
        <v>Special Leave (Paid) – inc. compassionate leave, interview</v>
      </c>
      <c r="CQ54" s="1776">
        <f>'B2 - Pay &amp; Agency'!C54</f>
        <v>0</v>
      </c>
      <c r="CR54" s="1777">
        <f>'B2 - Pay &amp; Agency'!D54</f>
        <v>0</v>
      </c>
      <c r="CS54" s="1777">
        <f>'B2 - Pay &amp; Agency'!E54</f>
        <v>0</v>
      </c>
      <c r="CT54" s="1777">
        <f>'B2 - Pay &amp; Agency'!F54</f>
        <v>0</v>
      </c>
      <c r="CU54" s="1777">
        <f>'B2 - Pay &amp; Agency'!G54</f>
        <v>0</v>
      </c>
      <c r="CV54" s="1777">
        <f>'B2 - Pay &amp; Agency'!H54</f>
        <v>0</v>
      </c>
      <c r="CW54" s="1777">
        <f>'B2 - Pay &amp; Agency'!I54</f>
        <v>0</v>
      </c>
      <c r="CX54" s="1777">
        <f>'B2 - Pay &amp; Agency'!J54</f>
        <v>0</v>
      </c>
      <c r="CY54" s="1777">
        <f>'B2 - Pay &amp; Agency'!K54</f>
        <v>0</v>
      </c>
      <c r="CZ54" s="1777">
        <f>'B2 - Pay &amp; Agency'!L54</f>
        <v>0</v>
      </c>
      <c r="DA54" s="1777">
        <f>'B2 - Pay &amp; Agency'!M54</f>
        <v>0</v>
      </c>
      <c r="DB54" s="1778">
        <f>'B2 - Pay &amp; Agency'!N54</f>
        <v>0</v>
      </c>
      <c r="DC54" s="1324">
        <f>'B2 - Pay &amp; Agency'!O54</f>
        <v>0</v>
      </c>
      <c r="DD54" s="1325">
        <f>'B2 - Pay &amp; Agency'!P54</f>
        <v>0</v>
      </c>
      <c r="DF54" s="2838">
        <f>'B3 - COVID-19'!A54</f>
        <v>32</v>
      </c>
      <c r="DG54" s="2844" t="str">
        <f>'B3 - COVID-19'!B54</f>
        <v xml:space="preserve">Medical &amp; Dental </v>
      </c>
      <c r="DH54" s="1903">
        <f>'B3 - COVID-19'!C54</f>
        <v>0</v>
      </c>
      <c r="DI54" s="1903">
        <f>'B3 - COVID-19'!D54</f>
        <v>0</v>
      </c>
      <c r="DJ54" s="1903">
        <f>'B3 - COVID-19'!E54</f>
        <v>0</v>
      </c>
      <c r="DK54" s="1903">
        <f>'B3 - COVID-19'!F54</f>
        <v>0</v>
      </c>
      <c r="DL54" s="1903">
        <f>'B3 - COVID-19'!G54</f>
        <v>0</v>
      </c>
      <c r="DM54" s="1903">
        <f>'B3 - COVID-19'!H54</f>
        <v>0</v>
      </c>
      <c r="DN54" s="1903">
        <f>'B3 - COVID-19'!I54</f>
        <v>0</v>
      </c>
      <c r="DO54" s="1903">
        <f>'B3 - COVID-19'!J54</f>
        <v>0</v>
      </c>
      <c r="DP54" s="1903">
        <f>'B3 - COVID-19'!K54</f>
        <v>0</v>
      </c>
      <c r="DQ54" s="1903">
        <f>'B3 - COVID-19'!L54</f>
        <v>0</v>
      </c>
      <c r="DR54" s="1903">
        <f>'B3 - COVID-19'!M54</f>
        <v>0</v>
      </c>
      <c r="DS54" s="1903">
        <f>'B3 - COVID-19'!N54</f>
        <v>0</v>
      </c>
      <c r="DT54" s="1863">
        <f>'B3 - COVID-19'!O54</f>
        <v>0</v>
      </c>
      <c r="DU54" s="1863">
        <f>'B3 - COVID-19'!P54</f>
        <v>0</v>
      </c>
      <c r="DV54" s="608"/>
      <c r="DW54" s="1116"/>
      <c r="DY54" s="2095">
        <f>'C, C1, C2&amp; C3 - Savings Schemes'!A54</f>
        <v>2</v>
      </c>
      <c r="DZ54" s="3039"/>
      <c r="EA54" s="90" t="str">
        <f>'C, C1, C2&amp; C3 - Savings Schemes'!C54</f>
        <v>Actual/F'cast</v>
      </c>
      <c r="EB54" s="1782">
        <f>'C, C1, C2&amp; C3 - Savings Schemes'!D54</f>
        <v>0</v>
      </c>
      <c r="EC54" s="1783">
        <f>'C, C1, C2&amp; C3 - Savings Schemes'!E54</f>
        <v>0</v>
      </c>
      <c r="ED54" s="1783">
        <f>'C, C1, C2&amp; C3 - Savings Schemes'!F54</f>
        <v>0</v>
      </c>
      <c r="EE54" s="1783">
        <f>'C, C1, C2&amp; C3 - Savings Schemes'!G54</f>
        <v>0</v>
      </c>
      <c r="EF54" s="1783">
        <f>'C, C1, C2&amp; C3 - Savings Schemes'!H54</f>
        <v>0</v>
      </c>
      <c r="EG54" s="1783">
        <f>'C, C1, C2&amp; C3 - Savings Schemes'!I54</f>
        <v>0</v>
      </c>
      <c r="EH54" s="1783">
        <f>'C, C1, C2&amp; C3 - Savings Schemes'!J54</f>
        <v>0</v>
      </c>
      <c r="EI54" s="1783">
        <f>'C, C1, C2&amp; C3 - Savings Schemes'!K54</f>
        <v>0</v>
      </c>
      <c r="EJ54" s="1783">
        <f>'C, C1, C2&amp; C3 - Savings Schemes'!L54</f>
        <v>0</v>
      </c>
      <c r="EK54" s="1783">
        <f>'C, C1, C2&amp; C3 - Savings Schemes'!M54</f>
        <v>0</v>
      </c>
      <c r="EL54" s="1783">
        <f>'C, C1, C2&amp; C3 - Savings Schemes'!N54</f>
        <v>0</v>
      </c>
      <c r="EM54" s="1784">
        <f>'C, C1, C2&amp; C3 - Savings Schemes'!O54</f>
        <v>0</v>
      </c>
      <c r="EN54" s="121">
        <f>'C, C1, C2&amp; C3 - Savings Schemes'!P54</f>
        <v>0</v>
      </c>
      <c r="EO54" s="940">
        <f>'C, C1, C2&amp; C3 - Savings Schemes'!Q54</f>
        <v>0</v>
      </c>
      <c r="EP54" s="1930"/>
      <c r="EQ54" s="1930"/>
      <c r="ER54" s="1930"/>
      <c r="ES54" s="1930"/>
      <c r="ET54" s="1930"/>
      <c r="EU54" s="1930"/>
      <c r="EV54" s="1930"/>
      <c r="EW54" s="1930"/>
      <c r="EX54" s="1932"/>
      <c r="EY54" s="1932"/>
      <c r="EZ54" s="1932"/>
      <c r="FA54" s="1932"/>
      <c r="FB54" s="1932"/>
      <c r="FC54" s="1932"/>
      <c r="FD54" s="1932"/>
      <c r="FE54" s="1932"/>
      <c r="FF54" s="1932"/>
      <c r="FG54" s="1932"/>
      <c r="FH54" s="1932"/>
      <c r="FI54" s="1932"/>
      <c r="FJ54" s="1932"/>
      <c r="FK54" s="1932"/>
      <c r="FL54" s="1932"/>
      <c r="FM54" s="1932"/>
      <c r="FN54" s="1932"/>
      <c r="FO54" s="1932"/>
      <c r="FP54" s="1932"/>
      <c r="FQ54" s="1932"/>
      <c r="FR54" s="1932"/>
      <c r="FS54" s="1932"/>
      <c r="GF54" s="2112">
        <f>'E - Resource Limits'!A54</f>
        <v>42</v>
      </c>
      <c r="GG54" s="2113">
        <f>'E - Resource Limits'!B54</f>
        <v>0</v>
      </c>
      <c r="GH54" s="2114">
        <f>'E - Resource Limits'!C54</f>
        <v>0</v>
      </c>
      <c r="GI54" s="2114">
        <f>'E - Resource Limits'!D54</f>
        <v>0</v>
      </c>
      <c r="GJ54" s="2114">
        <f>'E - Resource Limits'!E54</f>
        <v>0</v>
      </c>
      <c r="GK54" s="2114">
        <f>'E - Resource Limits'!F54</f>
        <v>0</v>
      </c>
      <c r="GL54" s="2048">
        <f>'E - Resource Limits'!G54</f>
        <v>0</v>
      </c>
      <c r="GM54" s="2115">
        <f>'E - Resource Limits'!H54</f>
        <v>0</v>
      </c>
      <c r="GN54" s="2114">
        <f>'E - Resource Limits'!I54</f>
        <v>0</v>
      </c>
      <c r="GO54" s="2114">
        <f>'E - Resource Limits'!J54</f>
        <v>0</v>
      </c>
      <c r="GP54" s="2114">
        <f>'E - Resource Limits'!K54</f>
        <v>0</v>
      </c>
      <c r="GQ54" s="2116">
        <f>'E - Resource Limits'!L54</f>
        <v>0</v>
      </c>
      <c r="GR54" s="1935">
        <f t="shared" si="6"/>
        <v>0</v>
      </c>
      <c r="GT54" s="346">
        <f>'E1 - Invoiced Income'!A54</f>
        <v>39</v>
      </c>
      <c r="GU54" s="2525" t="str">
        <f>'E1 - Invoiced Income'!B54</f>
        <v>COVID-19 Vaccination (Immunisation) Programme</v>
      </c>
      <c r="GV54" s="25">
        <f>'E1 - Invoiced Income'!C54</f>
        <v>0</v>
      </c>
      <c r="GW54" s="2527">
        <f>'E1 - Invoiced Income'!D54</f>
        <v>1490</v>
      </c>
      <c r="GX54" s="196">
        <f>'E1 - Invoiced Income'!E54</f>
        <v>1490</v>
      </c>
      <c r="GY54" s="2527">
        <f>'E1 - Invoiced Income'!F54</f>
        <v>0</v>
      </c>
      <c r="GZ54" s="2527">
        <f>'E1 - Invoiced Income'!G54</f>
        <v>0</v>
      </c>
      <c r="HA54" s="2527">
        <f>'E1 - Invoiced Income'!H54</f>
        <v>0</v>
      </c>
      <c r="HB54" s="2527">
        <f>'E1 - Invoiced Income'!I54</f>
        <v>0</v>
      </c>
      <c r="HC54" s="71"/>
      <c r="HD54" s="71"/>
      <c r="HE54" s="71"/>
      <c r="HF54" s="71"/>
      <c r="HG54" s="71"/>
      <c r="HH54" s="71"/>
      <c r="HI54" s="71"/>
      <c r="HJ54" s="71"/>
      <c r="HK54" s="71"/>
      <c r="HL54" s="71"/>
      <c r="HM54" s="71"/>
      <c r="HO54" s="2290"/>
      <c r="HP54" s="1940" t="str">
        <f>'F - SoFP'!B54</f>
        <v>EXPLANATION OF ALL PROVISIONS</v>
      </c>
      <c r="HQ54" s="2341" t="str">
        <f>'F - SoFP'!C54</f>
        <v>Apr 23</v>
      </c>
      <c r="HR54" s="2342" t="str">
        <f>'F - SoFP'!D54</f>
        <v>Apr 23</v>
      </c>
      <c r="HS54" s="2343" t="str">
        <f>'F - SoFP'!E54</f>
        <v>Mar 24</v>
      </c>
      <c r="HT54" s="1946"/>
      <c r="JD54" s="2088">
        <f>'I - Capital RLM'!A54</f>
        <v>36</v>
      </c>
      <c r="JE54" s="2126">
        <f>'I - Capital RLM'!B54</f>
        <v>0</v>
      </c>
      <c r="JF54" s="2010">
        <f>'I - Capital RLM'!C54</f>
        <v>0</v>
      </c>
      <c r="JG54" s="2010">
        <f>'I - Capital RLM'!D54</f>
        <v>0</v>
      </c>
      <c r="JH54" s="2118">
        <f>'I - Capital RLM'!E54</f>
        <v>0</v>
      </c>
      <c r="JI54" s="2119">
        <f>'I - Capital RLM'!F54</f>
        <v>0</v>
      </c>
      <c r="JJ54" s="2010">
        <f>'I - Capital RLM'!G54</f>
        <v>0</v>
      </c>
      <c r="JK54" s="2010">
        <f>'I - Capital RLM'!H54</f>
        <v>0</v>
      </c>
      <c r="JL54" s="2118">
        <f>'I - Capital RLM'!I54</f>
        <v>0</v>
      </c>
      <c r="JM54" s="2120"/>
      <c r="JN54" s="1890">
        <f>'I - Capital RLM'!K54</f>
        <v>0</v>
      </c>
      <c r="JO54" s="2120">
        <f t="shared" si="7"/>
        <v>0</v>
      </c>
      <c r="JQ54" s="2309"/>
      <c r="JR54" s="2310"/>
      <c r="JS54" s="2310"/>
      <c r="JT54" s="2097"/>
      <c r="JU54" s="2097"/>
      <c r="JV54" s="1943"/>
      <c r="JW54" s="1943"/>
      <c r="JX54" s="1943"/>
      <c r="JY54" s="1943"/>
      <c r="JZ54" s="1943"/>
      <c r="KA54" s="1943"/>
      <c r="KB54" s="1943"/>
      <c r="KC54" s="1943"/>
      <c r="KD54" s="1943"/>
      <c r="KE54" s="1943"/>
      <c r="KF54" s="1943"/>
      <c r="KG54" s="1943"/>
      <c r="KH54" s="1943"/>
      <c r="KI54" s="1943"/>
      <c r="KJ54" s="1943"/>
      <c r="KK54" s="2311"/>
      <c r="KM54" s="2053"/>
      <c r="KN54" s="2184" t="str">
        <f>'K - Capital Disposals'!B54</f>
        <v>Total for future years</v>
      </c>
      <c r="KO54" s="2185">
        <f>'K - Capital Disposals'!C54</f>
        <v>0</v>
      </c>
      <c r="KP54" s="2185">
        <f>'K - Capital Disposals'!D54</f>
        <v>0</v>
      </c>
      <c r="KQ54" s="2186">
        <f>'K - Capital Disposals'!E54</f>
        <v>0</v>
      </c>
      <c r="KR54" s="2150">
        <f>'K - Capital Disposals'!F54</f>
        <v>0</v>
      </c>
      <c r="KS54" s="2150">
        <f>'K - Capital Disposals'!G54</f>
        <v>0</v>
      </c>
      <c r="KT54" s="2150">
        <f>'K - Capital Disposals'!H54</f>
        <v>0</v>
      </c>
      <c r="KU54" s="2055">
        <f>'K - Capital Disposals'!I54</f>
        <v>0</v>
      </c>
      <c r="KV54" s="3100">
        <f>'K - Capital Disposals'!J54</f>
        <v>0</v>
      </c>
      <c r="KW54" s="3095"/>
      <c r="KX54" s="3095"/>
      <c r="KY54" s="3095"/>
      <c r="KZ54" s="3095"/>
      <c r="LA54" s="3095"/>
      <c r="LB54" s="3096"/>
      <c r="LC54" s="1935"/>
      <c r="LL54" s="814"/>
      <c r="LM54" s="2197">
        <f>'M - Aged Debtors'!B54</f>
        <v>0</v>
      </c>
      <c r="LN54" s="2198">
        <f>'M - Aged Debtors'!C54</f>
        <v>0</v>
      </c>
      <c r="LO54" s="2199">
        <f>'M - Aged Debtors'!D54</f>
        <v>0</v>
      </c>
      <c r="LP54" s="2200">
        <f>'M - Aged Debtors'!E54</f>
        <v>0</v>
      </c>
      <c r="LQ54" s="2201">
        <f>'M - Aged Debtors'!F54</f>
        <v>0</v>
      </c>
      <c r="LR54" s="832" t="str">
        <f>'M - Aged Debtors'!G54</f>
        <v/>
      </c>
      <c r="LS54" s="829" t="str">
        <f>'M - Aged Debtors'!H54</f>
        <v/>
      </c>
      <c r="LT54" s="829" t="str">
        <f>'M - Aged Debtors'!I54</f>
        <v/>
      </c>
      <c r="LU54" s="830" t="str">
        <f>'M - Aged Debtors'!J54</f>
        <v/>
      </c>
      <c r="LV54" s="1830">
        <f>'M - Aged Debtors'!K54</f>
        <v>0</v>
      </c>
      <c r="LX54" s="462" t="str">
        <f>'N - GMS'!A54</f>
        <v>INR Monitoring</v>
      </c>
      <c r="LY54" s="489"/>
      <c r="LZ54" s="461">
        <f>'N - GMS'!C54</f>
        <v>32</v>
      </c>
      <c r="MA54" s="2230">
        <f>'N - GMS'!D54</f>
        <v>0</v>
      </c>
      <c r="MB54" s="2231">
        <f>'N - GMS'!E54</f>
        <v>0</v>
      </c>
      <c r="MC54" s="2231">
        <f>'N - GMS'!F54</f>
        <v>0</v>
      </c>
      <c r="MD54" s="2294">
        <f>'N - GMS'!G54</f>
        <v>0</v>
      </c>
      <c r="ME54" s="1170"/>
      <c r="MF54" s="1028">
        <f>'N - GMS'!I54</f>
        <v>0</v>
      </c>
      <c r="MH54" s="1886" t="str">
        <f>'O - Dental'!A54</f>
        <v/>
      </c>
      <c r="MI54" s="1887"/>
      <c r="MJ54" s="1887"/>
      <c r="MK54" s="1888" t="str">
        <f>'O - Dental'!D54</f>
        <v/>
      </c>
      <c r="ML54" s="1888"/>
      <c r="MM54" s="1888"/>
      <c r="MN54" s="1888"/>
      <c r="MO54" s="1888"/>
      <c r="MP54" s="1888"/>
      <c r="MR54" s="684"/>
      <c r="MS54" s="1468"/>
      <c r="MT54" s="1468"/>
      <c r="MU54" s="1468"/>
      <c r="MV54" s="1468"/>
      <c r="MW54" s="1468"/>
      <c r="MX54" s="1468"/>
      <c r="MY54" s="1468"/>
      <c r="MZ54" s="1468"/>
      <c r="NA54" s="1468"/>
      <c r="NB54" s="1468"/>
      <c r="NC54" s="1468"/>
      <c r="ND54" s="1468"/>
      <c r="NE54" s="1468"/>
      <c r="NF54" s="1468"/>
      <c r="NG54" s="1468"/>
      <c r="NH54" s="1468"/>
      <c r="NI54" s="1468"/>
      <c r="NJ54" s="1468"/>
      <c r="NK54" s="684"/>
      <c r="NL54" s="684"/>
    </row>
    <row r="55" spans="13:376" ht="20.149999999999999" customHeight="1" thickBot="1">
      <c r="AN55" s="1745"/>
      <c r="BE55" s="2233">
        <f>'B - Monthly Positions'!A55</f>
        <v>40</v>
      </c>
      <c r="BF55" s="2618" t="str">
        <f>'B - Monthly Positions'!B55</f>
        <v>Cost - Total (Excluding DEL &amp; AME Non-Cash Charges)</v>
      </c>
      <c r="BG55" s="1076" t="s">
        <v>288</v>
      </c>
      <c r="BH55" s="1101">
        <f>'B - Monthly Positions'!D55</f>
        <v>216891.160810976</v>
      </c>
      <c r="BI55" s="1917"/>
      <c r="BJ55" s="1917"/>
      <c r="BK55" s="1917"/>
      <c r="BL55" s="1917"/>
      <c r="BM55" s="1917"/>
      <c r="BN55" s="1917"/>
      <c r="BO55" s="1917"/>
      <c r="BP55" s="1917"/>
      <c r="BQ55" s="1917"/>
      <c r="BR55" s="1917"/>
      <c r="BS55" s="1917"/>
      <c r="BT55" s="1917"/>
      <c r="BU55" s="1917"/>
      <c r="BV55" s="1930"/>
      <c r="BW55" s="1930"/>
      <c r="BX55" s="144">
        <f>' Table Z Net Exp Profiles'!A55</f>
        <v>39</v>
      </c>
      <c r="BY55" s="1075" t="str">
        <f>' Table Z Net Exp Profiles'!B55</f>
        <v>In Year Slippage on Current Planned Non Pay Investments/Repurposing of Developmental Initiatives due to C19 (Positive Values)</v>
      </c>
      <c r="BZ55" s="2506">
        <f>' Table Z Net Exp Profiles'!C55</f>
        <v>0</v>
      </c>
      <c r="CA55" s="2502">
        <f>' Table Z Net Exp Profiles'!D55</f>
        <v>0</v>
      </c>
      <c r="CB55" s="2502">
        <f>' Table Z Net Exp Profiles'!E55</f>
        <v>0</v>
      </c>
      <c r="CC55" s="2502">
        <f>' Table Z Net Exp Profiles'!F55</f>
        <v>0</v>
      </c>
      <c r="CD55" s="2502">
        <f>' Table Z Net Exp Profiles'!G55</f>
        <v>0</v>
      </c>
      <c r="CE55" s="2502">
        <f>' Table Z Net Exp Profiles'!H55</f>
        <v>0</v>
      </c>
      <c r="CF55" s="2502">
        <f>' Table Z Net Exp Profiles'!I55</f>
        <v>0</v>
      </c>
      <c r="CG55" s="2502">
        <f>' Table Z Net Exp Profiles'!J55</f>
        <v>0</v>
      </c>
      <c r="CH55" s="2502">
        <f>' Table Z Net Exp Profiles'!K55</f>
        <v>0</v>
      </c>
      <c r="CI55" s="2502">
        <f>' Table Z Net Exp Profiles'!L55</f>
        <v>0</v>
      </c>
      <c r="CJ55" s="2502">
        <f>' Table Z Net Exp Profiles'!M55</f>
        <v>0</v>
      </c>
      <c r="CK55" s="2502">
        <f>' Table Z Net Exp Profiles'!N55</f>
        <v>0</v>
      </c>
      <c r="CL55" s="1101">
        <f>' Table Z Net Exp Profiles'!O55</f>
        <v>0</v>
      </c>
      <c r="CM55" s="1101">
        <f>' Table Z Net Exp Profiles'!P55</f>
        <v>0</v>
      </c>
      <c r="CO55" s="1329">
        <f>'B2 - Pay &amp; Agency'!A55</f>
        <v>4</v>
      </c>
      <c r="CP55" s="1845" t="str">
        <f>'B2 - Pay &amp; Agency'!B55</f>
        <v>Special Leave (Unpaid)</v>
      </c>
      <c r="CQ55" s="1776">
        <f>'B2 - Pay &amp; Agency'!C55</f>
        <v>0</v>
      </c>
      <c r="CR55" s="1777">
        <f>'B2 - Pay &amp; Agency'!D55</f>
        <v>0</v>
      </c>
      <c r="CS55" s="1777">
        <f>'B2 - Pay &amp; Agency'!E55</f>
        <v>0</v>
      </c>
      <c r="CT55" s="1777">
        <f>'B2 - Pay &amp; Agency'!F55</f>
        <v>0</v>
      </c>
      <c r="CU55" s="1777">
        <f>'B2 - Pay &amp; Agency'!G55</f>
        <v>0</v>
      </c>
      <c r="CV55" s="1777">
        <f>'B2 - Pay &amp; Agency'!H55</f>
        <v>0</v>
      </c>
      <c r="CW55" s="1777">
        <f>'B2 - Pay &amp; Agency'!I55</f>
        <v>0</v>
      </c>
      <c r="CX55" s="1777">
        <f>'B2 - Pay &amp; Agency'!J55</f>
        <v>0</v>
      </c>
      <c r="CY55" s="1777">
        <f>'B2 - Pay &amp; Agency'!K55</f>
        <v>0</v>
      </c>
      <c r="CZ55" s="1777">
        <f>'B2 - Pay &amp; Agency'!L55</f>
        <v>0</v>
      </c>
      <c r="DA55" s="1777">
        <f>'B2 - Pay &amp; Agency'!M55</f>
        <v>0</v>
      </c>
      <c r="DB55" s="1778">
        <f>'B2 - Pay &amp; Agency'!N55</f>
        <v>0</v>
      </c>
      <c r="DC55" s="1324">
        <f>'B2 - Pay &amp; Agency'!O55</f>
        <v>0</v>
      </c>
      <c r="DD55" s="1325">
        <f>'B2 - Pay &amp; Agency'!P55</f>
        <v>0</v>
      </c>
      <c r="DF55" s="2838">
        <f>'B3 - COVID-19'!A55</f>
        <v>33</v>
      </c>
      <c r="DG55" s="2844" t="str">
        <f>'B3 - COVID-19'!B55</f>
        <v xml:space="preserve">Nursing &amp; Midwifery Registered </v>
      </c>
      <c r="DH55" s="1903">
        <f>'B3 - COVID-19'!C55</f>
        <v>0</v>
      </c>
      <c r="DI55" s="1903">
        <f>'B3 - COVID-19'!D55</f>
        <v>0</v>
      </c>
      <c r="DJ55" s="1903">
        <f>'B3 - COVID-19'!E55</f>
        <v>0</v>
      </c>
      <c r="DK55" s="1903">
        <f>'B3 - COVID-19'!F55</f>
        <v>0</v>
      </c>
      <c r="DL55" s="1903">
        <f>'B3 - COVID-19'!G55</f>
        <v>0</v>
      </c>
      <c r="DM55" s="1903">
        <f>'B3 - COVID-19'!H55</f>
        <v>0</v>
      </c>
      <c r="DN55" s="1903">
        <f>'B3 - COVID-19'!I55</f>
        <v>0</v>
      </c>
      <c r="DO55" s="1903">
        <f>'B3 - COVID-19'!J55</f>
        <v>0</v>
      </c>
      <c r="DP55" s="1903">
        <f>'B3 - COVID-19'!K55</f>
        <v>0</v>
      </c>
      <c r="DQ55" s="1903">
        <f>'B3 - COVID-19'!L55</f>
        <v>0</v>
      </c>
      <c r="DR55" s="1903">
        <f>'B3 - COVID-19'!M55</f>
        <v>0</v>
      </c>
      <c r="DS55" s="1903">
        <f>'B3 - COVID-19'!N55</f>
        <v>0</v>
      </c>
      <c r="DT55" s="1863">
        <f>'B3 - COVID-19'!O55</f>
        <v>0</v>
      </c>
      <c r="DU55" s="1863">
        <f>'B3 - COVID-19'!P55</f>
        <v>0</v>
      </c>
      <c r="DV55" s="608"/>
      <c r="DW55" s="1116"/>
      <c r="DY55" s="2095">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9">
        <f>'C, C1, C2&amp; C3 - Savings Schemes'!O55</f>
        <v>0</v>
      </c>
      <c r="EN55" s="123">
        <f>'C, C1, C2&amp; C3 - Savings Schemes'!P55</f>
        <v>0</v>
      </c>
      <c r="EO55" s="939">
        <f>'C, C1, C2&amp; C3 - Savings Schemes'!Q55</f>
        <v>0</v>
      </c>
      <c r="EP55" s="1930"/>
      <c r="EQ55" s="1930"/>
      <c r="ER55" s="1930"/>
      <c r="ES55" s="1930"/>
      <c r="ET55" s="1930"/>
      <c r="EU55" s="1930"/>
      <c r="EV55" s="1930"/>
      <c r="EW55" s="1930"/>
      <c r="EX55" s="1932"/>
      <c r="EY55" s="1932"/>
      <c r="EZ55" s="1932"/>
      <c r="FA55" s="1932"/>
      <c r="FB55" s="1932"/>
      <c r="FC55" s="1932"/>
      <c r="FD55" s="1932"/>
      <c r="FE55" s="1932"/>
      <c r="FF55" s="1932"/>
      <c r="FG55" s="1932"/>
      <c r="FH55" s="1932"/>
      <c r="FI55" s="1932"/>
      <c r="FJ55" s="1932"/>
      <c r="FK55" s="1932"/>
      <c r="FL55" s="1932"/>
      <c r="FM55" s="1932"/>
      <c r="FN55" s="1932"/>
      <c r="FO55" s="1932"/>
      <c r="FP55" s="1932"/>
      <c r="FQ55" s="1932"/>
      <c r="FR55" s="1932"/>
      <c r="FS55" s="1932"/>
      <c r="GF55" s="2112">
        <f>'E - Resource Limits'!A55</f>
        <v>43</v>
      </c>
      <c r="GG55" s="2113">
        <f>'E - Resource Limits'!B55</f>
        <v>0</v>
      </c>
      <c r="GH55" s="2114">
        <f>'E - Resource Limits'!C55</f>
        <v>0</v>
      </c>
      <c r="GI55" s="2114">
        <f>'E - Resource Limits'!D55</f>
        <v>0</v>
      </c>
      <c r="GJ55" s="2114">
        <f>'E - Resource Limits'!E55</f>
        <v>0</v>
      </c>
      <c r="GK55" s="2114">
        <f>'E - Resource Limits'!F55</f>
        <v>0</v>
      </c>
      <c r="GL55" s="2048">
        <f>'E - Resource Limits'!G55</f>
        <v>0</v>
      </c>
      <c r="GM55" s="2115">
        <f>'E - Resource Limits'!H55</f>
        <v>0</v>
      </c>
      <c r="GN55" s="2114">
        <f>'E - Resource Limits'!I55</f>
        <v>0</v>
      </c>
      <c r="GO55" s="2114">
        <f>'E - Resource Limits'!J55</f>
        <v>0</v>
      </c>
      <c r="GP55" s="2114">
        <f>'E - Resource Limits'!K55</f>
        <v>0</v>
      </c>
      <c r="GQ55" s="2116">
        <f>'E - Resource Limits'!L55</f>
        <v>0</v>
      </c>
      <c r="GR55" s="1935">
        <f t="shared" si="6"/>
        <v>0</v>
      </c>
      <c r="GT55" s="346">
        <f>'E1 - Invoiced Income'!A55</f>
        <v>40</v>
      </c>
      <c r="GU55" s="2525" t="str">
        <f>'E1 - Invoiced Income'!B55</f>
        <v xml:space="preserve">PPE </v>
      </c>
      <c r="GV55" s="25">
        <f>'E1 - Invoiced Income'!C55</f>
        <v>0</v>
      </c>
      <c r="GW55" s="2527">
        <f>'E1 - Invoiced Income'!D55</f>
        <v>0</v>
      </c>
      <c r="GX55" s="196">
        <f>'E1 - Invoiced Income'!E55</f>
        <v>0</v>
      </c>
      <c r="GY55" s="2527">
        <f>'E1 - Invoiced Income'!F55</f>
        <v>0</v>
      </c>
      <c r="GZ55" s="2527">
        <f>'E1 - Invoiced Income'!G55</f>
        <v>0</v>
      </c>
      <c r="HA55" s="2527">
        <f>'E1 - Invoiced Income'!H55</f>
        <v>0</v>
      </c>
      <c r="HB55" s="2527">
        <f>'E1 - Invoiced Income'!I55</f>
        <v>0</v>
      </c>
      <c r="HC55" s="71"/>
      <c r="HD55" s="71"/>
      <c r="HE55" s="71"/>
      <c r="HF55" s="71"/>
      <c r="HG55" s="71"/>
      <c r="HH55" s="71"/>
      <c r="HI55" s="71"/>
      <c r="HJ55" s="71"/>
      <c r="HK55" s="71"/>
      <c r="HL55" s="71"/>
      <c r="HM55" s="71"/>
      <c r="HO55" s="2345">
        <f>'F - SoFP'!A55</f>
        <v>31</v>
      </c>
      <c r="HP55" s="2346">
        <f>'F - SoFP'!B55</f>
        <v>0</v>
      </c>
      <c r="HQ55" s="2347">
        <f>'F - SoFP'!C55</f>
        <v>0</v>
      </c>
      <c r="HR55" s="2347">
        <f>'F - SoFP'!D55</f>
        <v>0</v>
      </c>
      <c r="HS55" s="2347">
        <f>'F - SoFP'!E55</f>
        <v>0</v>
      </c>
      <c r="HT55" s="1946"/>
      <c r="JD55" s="2088">
        <f>'I - Capital RLM'!A55</f>
        <v>37</v>
      </c>
      <c r="JE55" s="2126">
        <f>'I - Capital RLM'!B55</f>
        <v>0</v>
      </c>
      <c r="JF55" s="2010">
        <f>'I - Capital RLM'!C55</f>
        <v>0</v>
      </c>
      <c r="JG55" s="2010">
        <f>'I - Capital RLM'!D55</f>
        <v>0</v>
      </c>
      <c r="JH55" s="2118">
        <f>'I - Capital RLM'!E55</f>
        <v>0</v>
      </c>
      <c r="JI55" s="2119">
        <f>'I - Capital RLM'!F55</f>
        <v>0</v>
      </c>
      <c r="JJ55" s="2010">
        <f>'I - Capital RLM'!G55</f>
        <v>0</v>
      </c>
      <c r="JK55" s="2010">
        <f>'I - Capital RLM'!H55</f>
        <v>0</v>
      </c>
      <c r="JL55" s="2118">
        <f>'I - Capital RLM'!I55</f>
        <v>0</v>
      </c>
      <c r="JM55" s="2120"/>
      <c r="JN55" s="1890">
        <f>'I - Capital RLM'!K55</f>
        <v>0</v>
      </c>
      <c r="JO55" s="2120">
        <f t="shared" si="7"/>
        <v>0</v>
      </c>
      <c r="JQ55" s="2073"/>
      <c r="JR55" s="2319" t="str">
        <f>'J - Capital In Year Schemes'!B55</f>
        <v>Other Schemes (Including IFRS 16 Leases):</v>
      </c>
      <c r="JS55" s="2319"/>
      <c r="JT55" s="2321"/>
      <c r="JU55" s="2321"/>
      <c r="JV55" s="2321"/>
      <c r="JW55" s="2321"/>
      <c r="JX55" s="2321"/>
      <c r="JY55" s="2321"/>
      <c r="JZ55" s="2321"/>
      <c r="KA55" s="2321"/>
      <c r="KB55" s="2321"/>
      <c r="KC55" s="2321"/>
      <c r="KD55" s="2321"/>
      <c r="KE55" s="2321"/>
      <c r="KF55" s="2321"/>
      <c r="KG55" s="2321"/>
      <c r="KH55" s="2320"/>
      <c r="KI55" s="2320"/>
      <c r="KJ55" s="1983"/>
      <c r="KK55" s="2060"/>
      <c r="KM55" s="2196"/>
      <c r="KN55" s="1745"/>
      <c r="KO55" s="1745"/>
      <c r="KP55" s="1745"/>
      <c r="KQ55" s="1745"/>
      <c r="KR55" s="1745"/>
      <c r="KS55" s="1745"/>
      <c r="KT55" s="1745"/>
      <c r="KU55" s="1745"/>
      <c r="KV55" s="1745"/>
      <c r="KW55" s="1745"/>
      <c r="KX55" s="1745"/>
      <c r="KY55" s="1745"/>
      <c r="KZ55" s="1745"/>
      <c r="LA55" s="1745"/>
      <c r="LB55" s="1745"/>
      <c r="LC55" s="2348"/>
      <c r="LL55" s="814"/>
      <c r="LM55" s="2197">
        <f>'M - Aged Debtors'!B55</f>
        <v>0</v>
      </c>
      <c r="LN55" s="2198">
        <f>'M - Aged Debtors'!C55</f>
        <v>0</v>
      </c>
      <c r="LO55" s="2199">
        <f>'M - Aged Debtors'!D55</f>
        <v>0</v>
      </c>
      <c r="LP55" s="2200">
        <f>'M - Aged Debtors'!E55</f>
        <v>0</v>
      </c>
      <c r="LQ55" s="2201">
        <f>'M - Aged Debtors'!F55</f>
        <v>0</v>
      </c>
      <c r="LR55" s="832" t="str">
        <f>'M - Aged Debtors'!G55</f>
        <v/>
      </c>
      <c r="LS55" s="829" t="str">
        <f>'M - Aged Debtors'!H55</f>
        <v/>
      </c>
      <c r="LT55" s="829" t="str">
        <f>'M - Aged Debtors'!I55</f>
        <v/>
      </c>
      <c r="LU55" s="830" t="str">
        <f>'M - Aged Debtors'!J55</f>
        <v/>
      </c>
      <c r="LV55" s="1830">
        <f>'M - Aged Debtors'!K55</f>
        <v>0</v>
      </c>
      <c r="LX55" s="462" t="str">
        <f>'N - GMS'!A55</f>
        <v>Shared care drug monitoring (Near Patient Testing)</v>
      </c>
      <c r="LY55" s="489"/>
      <c r="LZ55" s="461">
        <f>'N - GMS'!C55</f>
        <v>33</v>
      </c>
      <c r="MA55" s="2230">
        <f>'N - GMS'!D55</f>
        <v>0</v>
      </c>
      <c r="MB55" s="2231">
        <f>'N - GMS'!E55</f>
        <v>0</v>
      </c>
      <c r="MC55" s="2231">
        <f>'N - GMS'!F55</f>
        <v>0</v>
      </c>
      <c r="MD55" s="2294">
        <f>'N - GMS'!G55</f>
        <v>0</v>
      </c>
      <c r="ME55" s="1170"/>
      <c r="MF55" s="1028">
        <f>'N - GMS'!I55</f>
        <v>0</v>
      </c>
      <c r="MH55" s="717" t="str">
        <f>'O - Dental'!A55</f>
        <v>RECEIPTS</v>
      </c>
      <c r="MI55" s="718"/>
      <c r="MJ55" s="718"/>
      <c r="MK55" s="680"/>
      <c r="ML55" s="681"/>
      <c r="MM55" s="681"/>
      <c r="MN55" s="681"/>
      <c r="MO55" s="681"/>
      <c r="MP55" s="681"/>
      <c r="MR55" s="684"/>
      <c r="MS55" s="2660"/>
      <c r="MT55" s="1468"/>
      <c r="MU55" s="1468"/>
      <c r="MV55" s="1468"/>
      <c r="MW55" s="1468"/>
      <c r="MX55" s="1468"/>
      <c r="MY55" s="1468"/>
      <c r="MZ55" s="1468"/>
      <c r="NA55" s="1468"/>
      <c r="NB55" s="1468"/>
      <c r="NC55" s="1468"/>
      <c r="ND55" s="1468"/>
      <c r="NE55" s="1468"/>
      <c r="NF55" s="1468"/>
      <c r="NG55" s="1468"/>
      <c r="NH55" s="1468"/>
      <c r="NI55" s="1468"/>
      <c r="NJ55" s="1468"/>
      <c r="NK55" s="684"/>
      <c r="NL55" s="684"/>
    </row>
    <row r="56" spans="13:376" ht="20.149999999999999" customHeight="1" thickBot="1">
      <c r="AN56" s="1745"/>
      <c r="BE56" s="1987"/>
      <c r="BF56" s="1742"/>
      <c r="BG56" s="82"/>
      <c r="BH56" s="1742"/>
      <c r="BI56" s="1742"/>
      <c r="BJ56" s="1742"/>
      <c r="BK56" s="1742"/>
      <c r="BL56" s="1742"/>
      <c r="BM56" s="1742"/>
      <c r="BN56" s="1742"/>
      <c r="BO56" s="1742"/>
      <c r="BP56" s="1742"/>
      <c r="BQ56" s="1742"/>
      <c r="BR56" s="1742"/>
      <c r="BS56" s="1742"/>
      <c r="BT56" s="1742"/>
      <c r="BU56" s="1742"/>
      <c r="BV56" s="1930"/>
      <c r="BW56" s="1930"/>
      <c r="BX56" s="84"/>
      <c r="BY56" s="3049"/>
      <c r="BZ56" s="3050"/>
      <c r="CA56" s="3050"/>
      <c r="CB56" s="3050"/>
      <c r="CC56" s="3050"/>
      <c r="CD56" s="3050"/>
      <c r="CE56" s="3050"/>
      <c r="CF56" s="3050"/>
      <c r="CG56" s="3050"/>
      <c r="CH56" s="3050"/>
      <c r="CI56" s="3050"/>
      <c r="CJ56" s="3050"/>
      <c r="CK56" s="3050"/>
      <c r="CL56" s="3050"/>
      <c r="CM56" s="3050"/>
      <c r="CO56" s="1329">
        <f>'B2 - Pay &amp; Agency'!A56</f>
        <v>5</v>
      </c>
      <c r="CP56" s="1845" t="str">
        <f>'B2 - Pay &amp; Agency'!B56</f>
        <v>Study Leave/Examinations</v>
      </c>
      <c r="CQ56" s="1776">
        <f>'B2 - Pay &amp; Agency'!C56</f>
        <v>0</v>
      </c>
      <c r="CR56" s="1777">
        <f>'B2 - Pay &amp; Agency'!D56</f>
        <v>0</v>
      </c>
      <c r="CS56" s="1777">
        <f>'B2 - Pay &amp; Agency'!E56</f>
        <v>0</v>
      </c>
      <c r="CT56" s="1777">
        <f>'B2 - Pay &amp; Agency'!F56</f>
        <v>0</v>
      </c>
      <c r="CU56" s="1777">
        <f>'B2 - Pay &amp; Agency'!G56</f>
        <v>0</v>
      </c>
      <c r="CV56" s="1777">
        <f>'B2 - Pay &amp; Agency'!H56</f>
        <v>0</v>
      </c>
      <c r="CW56" s="1777">
        <f>'B2 - Pay &amp; Agency'!I56</f>
        <v>0</v>
      </c>
      <c r="CX56" s="1777">
        <f>'B2 - Pay &amp; Agency'!J56</f>
        <v>0</v>
      </c>
      <c r="CY56" s="1777">
        <f>'B2 - Pay &amp; Agency'!K56</f>
        <v>0</v>
      </c>
      <c r="CZ56" s="1777">
        <f>'B2 - Pay &amp; Agency'!L56</f>
        <v>0</v>
      </c>
      <c r="DA56" s="1777">
        <f>'B2 - Pay &amp; Agency'!M56</f>
        <v>0</v>
      </c>
      <c r="DB56" s="1778">
        <f>'B2 - Pay &amp; Agency'!N56</f>
        <v>0</v>
      </c>
      <c r="DC56" s="1324">
        <f>'B2 - Pay &amp; Agency'!O56</f>
        <v>0</v>
      </c>
      <c r="DD56" s="1325">
        <f>'B2 - Pay &amp; Agency'!P56</f>
        <v>0</v>
      </c>
      <c r="DF56" s="2838">
        <f>'B3 - COVID-19'!A56</f>
        <v>34</v>
      </c>
      <c r="DG56" s="2844" t="str">
        <f>'B3 - COVID-19'!B56</f>
        <v>Prof Scientific &amp; Technical</v>
      </c>
      <c r="DH56" s="1903">
        <f>'B3 - COVID-19'!C56</f>
        <v>0</v>
      </c>
      <c r="DI56" s="1903">
        <f>'B3 - COVID-19'!D56</f>
        <v>0</v>
      </c>
      <c r="DJ56" s="1903">
        <f>'B3 - COVID-19'!E56</f>
        <v>0</v>
      </c>
      <c r="DK56" s="1903">
        <f>'B3 - COVID-19'!F56</f>
        <v>0</v>
      </c>
      <c r="DL56" s="1903">
        <f>'B3 - COVID-19'!G56</f>
        <v>0</v>
      </c>
      <c r="DM56" s="1903">
        <f>'B3 - COVID-19'!H56</f>
        <v>0</v>
      </c>
      <c r="DN56" s="1903">
        <f>'B3 - COVID-19'!I56</f>
        <v>0</v>
      </c>
      <c r="DO56" s="1903">
        <f>'B3 - COVID-19'!J56</f>
        <v>0</v>
      </c>
      <c r="DP56" s="1903">
        <f>'B3 - COVID-19'!K56</f>
        <v>0</v>
      </c>
      <c r="DQ56" s="1903">
        <f>'B3 - COVID-19'!L56</f>
        <v>0</v>
      </c>
      <c r="DR56" s="1903">
        <f>'B3 - COVID-19'!M56</f>
        <v>0</v>
      </c>
      <c r="DS56" s="1903">
        <f>'B3 - COVID-19'!N56</f>
        <v>0</v>
      </c>
      <c r="DT56" s="1863">
        <f>'B3 - COVID-19'!O56</f>
        <v>0</v>
      </c>
      <c r="DU56" s="1863">
        <f>'B3 - COVID-19'!P56</f>
        <v>0</v>
      </c>
      <c r="DV56" s="608"/>
      <c r="DW56" s="1116"/>
      <c r="DY56" s="2079">
        <f>'C, C1, C2&amp; C3 - Savings Schemes'!A56</f>
        <v>4</v>
      </c>
      <c r="DZ56" s="3038" t="str">
        <f>'C, C1, C2&amp; C3 - Savings Schemes'!B56</f>
        <v>Variable Pay</v>
      </c>
      <c r="EA56" s="87" t="str">
        <f>'C, C1, C2&amp; C3 - Savings Schemes'!C56</f>
        <v>Budget/Plan</v>
      </c>
      <c r="EB56" s="1773">
        <f>'C, C1, C2&amp; C3 - Savings Schemes'!D56</f>
        <v>56.916666666666664</v>
      </c>
      <c r="EC56" s="1774">
        <f>'C, C1, C2&amp; C3 - Savings Schemes'!E56</f>
        <v>56.916666666666664</v>
      </c>
      <c r="ED56" s="1774">
        <f>'C, C1, C2&amp; C3 - Savings Schemes'!F56</f>
        <v>56.916666666666664</v>
      </c>
      <c r="EE56" s="1774">
        <f>'C, C1, C2&amp; C3 - Savings Schemes'!G56</f>
        <v>56.916666666666664</v>
      </c>
      <c r="EF56" s="1774">
        <f>'C, C1, C2&amp; C3 - Savings Schemes'!H56</f>
        <v>56.916666666666664</v>
      </c>
      <c r="EG56" s="1774">
        <f>'C, C1, C2&amp; C3 - Savings Schemes'!I56</f>
        <v>56.916666666666664</v>
      </c>
      <c r="EH56" s="1774">
        <f>'C, C1, C2&amp; C3 - Savings Schemes'!J56</f>
        <v>56.916666666666664</v>
      </c>
      <c r="EI56" s="1774">
        <f>'C, C1, C2&amp; C3 - Savings Schemes'!K56</f>
        <v>56.916666666666664</v>
      </c>
      <c r="EJ56" s="1774">
        <f>'C, C1, C2&amp; C3 - Savings Schemes'!L56</f>
        <v>56.916666666666664</v>
      </c>
      <c r="EK56" s="1774">
        <f>'C, C1, C2&amp; C3 - Savings Schemes'!M56</f>
        <v>56.916666666666664</v>
      </c>
      <c r="EL56" s="1774">
        <f>'C, C1, C2&amp; C3 - Savings Schemes'!N56</f>
        <v>56.916666666666664</v>
      </c>
      <c r="EM56" s="1775">
        <f>'C, C1, C2&amp; C3 - Savings Schemes'!O56</f>
        <v>56.916666666666664</v>
      </c>
      <c r="EN56" s="73">
        <f>'C, C1, C2&amp; C3 - Savings Schemes'!P56</f>
        <v>56.916666666666664</v>
      </c>
      <c r="EO56" s="938">
        <f>'C, C1, C2&amp; C3 - Savings Schemes'!Q56</f>
        <v>682.99999999999989</v>
      </c>
      <c r="EP56" s="1930"/>
      <c r="EQ56" s="1930"/>
      <c r="ER56" s="1930"/>
      <c r="ES56" s="1930"/>
      <c r="ET56" s="1930"/>
      <c r="EU56" s="1930"/>
      <c r="EV56" s="1930"/>
      <c r="EW56" s="1930"/>
      <c r="EX56" s="1932"/>
      <c r="EY56" s="1932"/>
      <c r="EZ56" s="1932"/>
      <c r="FA56" s="1932"/>
      <c r="FB56" s="1932"/>
      <c r="FC56" s="1932"/>
      <c r="FD56" s="1932"/>
      <c r="FE56" s="1932"/>
      <c r="FF56" s="1932"/>
      <c r="FG56" s="1932"/>
      <c r="FH56" s="1932"/>
      <c r="FI56" s="1932"/>
      <c r="FJ56" s="1932"/>
      <c r="FK56" s="1932"/>
      <c r="FL56" s="1932"/>
      <c r="FM56" s="1932"/>
      <c r="FN56" s="1932"/>
      <c r="FO56" s="1932"/>
      <c r="FP56" s="1932"/>
      <c r="FQ56" s="1932"/>
      <c r="FR56" s="1932"/>
      <c r="FS56" s="1932"/>
      <c r="GF56" s="2112">
        <f>'E - Resource Limits'!A56</f>
        <v>44</v>
      </c>
      <c r="GG56" s="2113">
        <f>'E - Resource Limits'!B56</f>
        <v>0</v>
      </c>
      <c r="GH56" s="2114">
        <f>'E - Resource Limits'!C56</f>
        <v>0</v>
      </c>
      <c r="GI56" s="2114">
        <f>'E - Resource Limits'!D56</f>
        <v>0</v>
      </c>
      <c r="GJ56" s="2114">
        <f>'E - Resource Limits'!E56</f>
        <v>0</v>
      </c>
      <c r="GK56" s="2114">
        <f>'E - Resource Limits'!F56</f>
        <v>0</v>
      </c>
      <c r="GL56" s="2048">
        <f>'E - Resource Limits'!G56</f>
        <v>0</v>
      </c>
      <c r="GM56" s="2115">
        <f>'E - Resource Limits'!H56</f>
        <v>0</v>
      </c>
      <c r="GN56" s="2114">
        <f>'E - Resource Limits'!I56</f>
        <v>0</v>
      </c>
      <c r="GO56" s="2114">
        <f>'E - Resource Limits'!J56</f>
        <v>0</v>
      </c>
      <c r="GP56" s="2114">
        <f>'E - Resource Limits'!K56</f>
        <v>0</v>
      </c>
      <c r="GQ56" s="2116">
        <f>'E - Resource Limits'!L56</f>
        <v>0</v>
      </c>
      <c r="GR56" s="1935">
        <f t="shared" si="6"/>
        <v>0</v>
      </c>
      <c r="GT56" s="346">
        <f>'E1 - Invoiced Income'!A56</f>
        <v>41</v>
      </c>
      <c r="GU56" s="2525" t="str">
        <f>'E1 - Invoiced Income'!B56</f>
        <v>Long Covid</v>
      </c>
      <c r="GV56" s="25">
        <f>'E1 - Invoiced Income'!C56</f>
        <v>0</v>
      </c>
      <c r="GW56" s="2527">
        <f>'E1 - Invoiced Income'!D56</f>
        <v>0</v>
      </c>
      <c r="GX56" s="196">
        <f>'E1 - Invoiced Income'!E56</f>
        <v>0</v>
      </c>
      <c r="GY56" s="2527">
        <f>'E1 - Invoiced Income'!F56</f>
        <v>0</v>
      </c>
      <c r="GZ56" s="2527">
        <f>'E1 - Invoiced Income'!G56</f>
        <v>0</v>
      </c>
      <c r="HA56" s="2527">
        <f>'E1 - Invoiced Income'!H56</f>
        <v>0</v>
      </c>
      <c r="HB56" s="2527">
        <f>'E1 - Invoiced Income'!I56</f>
        <v>0</v>
      </c>
      <c r="HC56" s="71"/>
      <c r="HD56" s="71"/>
      <c r="HE56" s="71"/>
      <c r="HF56" s="71"/>
      <c r="HG56" s="71"/>
      <c r="HH56" s="71"/>
      <c r="HI56" s="71"/>
      <c r="HJ56" s="71"/>
      <c r="HK56" s="71"/>
      <c r="HL56" s="71"/>
      <c r="HM56" s="71"/>
      <c r="HO56" s="2350">
        <f>'F - SoFP'!A56</f>
        <v>32</v>
      </c>
      <c r="HP56" s="2351">
        <f>'F - SoFP'!B56</f>
        <v>0</v>
      </c>
      <c r="HQ56" s="2010">
        <f>'F - SoFP'!C56</f>
        <v>0</v>
      </c>
      <c r="HR56" s="2010">
        <f>'F - SoFP'!D56</f>
        <v>0</v>
      </c>
      <c r="HS56" s="2010">
        <f>'F - SoFP'!E56</f>
        <v>0</v>
      </c>
      <c r="HT56" s="1946"/>
      <c r="JD56" s="2088">
        <f>'I - Capital RLM'!A56</f>
        <v>38</v>
      </c>
      <c r="JE56" s="2126">
        <f>'I - Capital RLM'!B56</f>
        <v>0</v>
      </c>
      <c r="JF56" s="2010">
        <f>'I - Capital RLM'!C56</f>
        <v>0</v>
      </c>
      <c r="JG56" s="2010">
        <f>'I - Capital RLM'!D56</f>
        <v>0</v>
      </c>
      <c r="JH56" s="2118">
        <f>'I - Capital RLM'!E56</f>
        <v>0</v>
      </c>
      <c r="JI56" s="2119">
        <f>'I - Capital RLM'!F56</f>
        <v>0</v>
      </c>
      <c r="JJ56" s="2010">
        <f>'I - Capital RLM'!G56</f>
        <v>0</v>
      </c>
      <c r="JK56" s="2010">
        <f>'I - Capital RLM'!H56</f>
        <v>0</v>
      </c>
      <c r="JL56" s="2118">
        <f>'I - Capital RLM'!I56</f>
        <v>0</v>
      </c>
      <c r="JM56" s="2120"/>
      <c r="JN56" s="1890">
        <f>'I - Capital RLM'!K56</f>
        <v>0</v>
      </c>
      <c r="JO56" s="2120">
        <f t="shared" si="7"/>
        <v>0</v>
      </c>
      <c r="JQ56" s="2088">
        <f>'J - Capital In Year Schemes'!A56</f>
        <v>41</v>
      </c>
      <c r="JR56" s="2126">
        <f>'J - Capital In Year Schemes'!B56</f>
        <v>0</v>
      </c>
      <c r="JS56" s="2126">
        <f>'J - Capital In Year Schemes'!C56</f>
        <v>0</v>
      </c>
      <c r="JT56" s="2325">
        <f>'J - Capital In Year Schemes'!D56</f>
        <v>0</v>
      </c>
      <c r="JU56" s="2010">
        <f>'J - Capital In Year Schemes'!E56</f>
        <v>0</v>
      </c>
      <c r="JV56" s="2010">
        <f>'J - Capital In Year Schemes'!F56</f>
        <v>0</v>
      </c>
      <c r="JW56" s="2010">
        <f>'J - Capital In Year Schemes'!G56</f>
        <v>0</v>
      </c>
      <c r="JX56" s="2010">
        <f>'J - Capital In Year Schemes'!H56</f>
        <v>0</v>
      </c>
      <c r="JY56" s="2010">
        <f>'J - Capital In Year Schemes'!I56</f>
        <v>0</v>
      </c>
      <c r="JZ56" s="2010">
        <f>'J - Capital In Year Schemes'!J56</f>
        <v>0</v>
      </c>
      <c r="KA56" s="2010">
        <f>'J - Capital In Year Schemes'!K56</f>
        <v>0</v>
      </c>
      <c r="KB56" s="2010">
        <f>'J - Capital In Year Schemes'!L56</f>
        <v>0</v>
      </c>
      <c r="KC56" s="2010">
        <f>'J - Capital In Year Schemes'!M56</f>
        <v>0</v>
      </c>
      <c r="KD56" s="2010">
        <f>'J - Capital In Year Schemes'!N56</f>
        <v>0</v>
      </c>
      <c r="KE56" s="2010">
        <f>'J - Capital In Year Schemes'!O56</f>
        <v>0</v>
      </c>
      <c r="KF56" s="2010">
        <f>'J - Capital In Year Schemes'!P56</f>
        <v>0</v>
      </c>
      <c r="KG56" s="2010">
        <f>'J - Capital In Year Schemes'!Q56</f>
        <v>0</v>
      </c>
      <c r="KH56" s="2090">
        <f>'J - Capital In Year Schemes'!R56</f>
        <v>0</v>
      </c>
      <c r="KI56" s="2090">
        <f>'J - Capital In Year Schemes'!S56</f>
        <v>0</v>
      </c>
      <c r="KJ56" s="2091">
        <f>'J - Capital In Year Schemes'!T56</f>
        <v>0</v>
      </c>
      <c r="KK56" s="2060"/>
      <c r="KM56" s="2196"/>
      <c r="KN56" s="1745"/>
      <c r="KO56" s="1745"/>
      <c r="KP56" s="1745"/>
      <c r="KQ56" s="1745"/>
      <c r="KR56" s="1745"/>
      <c r="KS56" s="1745"/>
      <c r="KT56" s="1745"/>
      <c r="KU56" s="1745"/>
      <c r="KV56" s="1745"/>
      <c r="KW56" s="1745"/>
      <c r="KX56" s="1745"/>
      <c r="KY56" s="1745"/>
      <c r="KZ56" s="1745"/>
      <c r="LA56" s="1745"/>
      <c r="LB56" s="1745"/>
      <c r="LC56" s="2348"/>
      <c r="LL56" s="814"/>
      <c r="LM56" s="2197">
        <f>'M - Aged Debtors'!B56</f>
        <v>0</v>
      </c>
      <c r="LN56" s="2198">
        <f>'M - Aged Debtors'!C56</f>
        <v>0</v>
      </c>
      <c r="LO56" s="2199">
        <f>'M - Aged Debtors'!D56</f>
        <v>0</v>
      </c>
      <c r="LP56" s="2200">
        <f>'M - Aged Debtors'!E56</f>
        <v>0</v>
      </c>
      <c r="LQ56" s="2201">
        <f>'M - Aged Debtors'!F56</f>
        <v>0</v>
      </c>
      <c r="LR56" s="832" t="str">
        <f>'M - Aged Debtors'!G56</f>
        <v/>
      </c>
      <c r="LS56" s="829" t="str">
        <f>'M - Aged Debtors'!H56</f>
        <v/>
      </c>
      <c r="LT56" s="829" t="str">
        <f>'M - Aged Debtors'!I56</f>
        <v/>
      </c>
      <c r="LU56" s="830" t="str">
        <f>'M - Aged Debtors'!J56</f>
        <v/>
      </c>
      <c r="LV56" s="1830">
        <f>'M - Aged Debtors'!K56</f>
        <v>0</v>
      </c>
      <c r="LX56" s="462" t="str">
        <f>'N - GMS'!A56</f>
        <v>Drug Misuse</v>
      </c>
      <c r="LY56" s="489"/>
      <c r="LZ56" s="461">
        <f>'N - GMS'!C56</f>
        <v>34</v>
      </c>
      <c r="MA56" s="2230">
        <f>'N - GMS'!D56</f>
        <v>0</v>
      </c>
      <c r="MB56" s="2231">
        <f>'N - GMS'!E56</f>
        <v>0</v>
      </c>
      <c r="MC56" s="2231">
        <f>'N - GMS'!F56</f>
        <v>0</v>
      </c>
      <c r="MD56" s="2294">
        <f>'N - GMS'!G56</f>
        <v>0</v>
      </c>
      <c r="ME56" s="1170"/>
      <c r="MF56" s="1028">
        <f>'N - GMS'!I56</f>
        <v>0</v>
      </c>
      <c r="MH56" s="717"/>
      <c r="MI56" s="718"/>
      <c r="MJ56" s="718"/>
      <c r="MK56" s="680"/>
      <c r="ML56" s="681"/>
      <c r="MM56" s="681"/>
      <c r="MN56" s="681"/>
      <c r="MO56" s="681"/>
      <c r="MP56" s="681"/>
      <c r="MR56" s="684"/>
      <c r="MS56" s="2660"/>
      <c r="MT56" s="1468"/>
      <c r="MU56" s="1468"/>
      <c r="MV56" s="1468"/>
      <c r="MW56" s="1468"/>
      <c r="MX56" s="1468"/>
      <c r="MY56" s="1468"/>
      <c r="MZ56" s="1468"/>
      <c r="NA56" s="1468"/>
      <c r="NB56" s="1468"/>
      <c r="NC56" s="1468"/>
      <c r="ND56" s="1468"/>
      <c r="NE56" s="1468"/>
      <c r="NF56" s="1468"/>
      <c r="NG56" s="1468"/>
      <c r="NH56" s="1468"/>
      <c r="NI56" s="1468"/>
      <c r="NJ56" s="1468"/>
      <c r="NK56" s="684"/>
      <c r="NL56" s="684"/>
    </row>
    <row r="57" spans="13:376" ht="20.149999999999999" customHeight="1" thickTop="1" thickBot="1">
      <c r="AN57" s="1745"/>
      <c r="BE57" s="1987"/>
      <c r="BF57" s="1930"/>
      <c r="BG57" s="1930"/>
      <c r="BH57" s="99"/>
      <c r="BI57" s="99"/>
      <c r="BJ57" s="99"/>
      <c r="BK57" s="99"/>
      <c r="BL57" s="99"/>
      <c r="BM57" s="99"/>
      <c r="BN57" s="99"/>
      <c r="BO57" s="99"/>
      <c r="BP57" s="99"/>
      <c r="BQ57" s="99"/>
      <c r="BR57" s="99"/>
      <c r="BS57" s="99"/>
      <c r="BT57" s="99"/>
      <c r="BU57" s="1930"/>
      <c r="BV57" s="1930"/>
      <c r="BW57" s="1930"/>
      <c r="BX57" s="1696">
        <f>' Table Z Net Exp Profiles'!A57</f>
        <v>40</v>
      </c>
      <c r="BY57" s="1270" t="str">
        <f>' Table Z Net Exp Profiles'!B57</f>
        <v>Net Non Pay Expenditure - Current Plan</v>
      </c>
      <c r="BZ57" s="1110">
        <f>' Table Z Net Exp Profiles'!C57</f>
        <v>-454.5</v>
      </c>
      <c r="CA57" s="1110">
        <f>' Table Z Net Exp Profiles'!D57</f>
        <v>-118.5</v>
      </c>
      <c r="CB57" s="1110">
        <f>' Table Z Net Exp Profiles'!E57</f>
        <v>-118.5</v>
      </c>
      <c r="CC57" s="1110">
        <f>' Table Z Net Exp Profiles'!F57</f>
        <v>-118.5</v>
      </c>
      <c r="CD57" s="1110">
        <f>' Table Z Net Exp Profiles'!G57</f>
        <v>-118.5</v>
      </c>
      <c r="CE57" s="1110">
        <f>' Table Z Net Exp Profiles'!H57</f>
        <v>-118.5</v>
      </c>
      <c r="CF57" s="1110">
        <f>' Table Z Net Exp Profiles'!I57</f>
        <v>-118.5</v>
      </c>
      <c r="CG57" s="1110">
        <f>' Table Z Net Exp Profiles'!J57</f>
        <v>-118.5</v>
      </c>
      <c r="CH57" s="1110">
        <f>' Table Z Net Exp Profiles'!K57</f>
        <v>-118.5</v>
      </c>
      <c r="CI57" s="1110">
        <f>' Table Z Net Exp Profiles'!L57</f>
        <v>-118.5</v>
      </c>
      <c r="CJ57" s="1110">
        <f>' Table Z Net Exp Profiles'!M57</f>
        <v>-118.5</v>
      </c>
      <c r="CK57" s="1110">
        <f>' Table Z Net Exp Profiles'!N57</f>
        <v>-118.5</v>
      </c>
      <c r="CL57" s="1110">
        <f>' Table Z Net Exp Profiles'!O57</f>
        <v>-454.5</v>
      </c>
      <c r="CM57" s="1110">
        <f>' Table Z Net Exp Profiles'!P57</f>
        <v>-1758</v>
      </c>
      <c r="CO57" s="1329">
        <f>'B2 - Pay &amp; Agency'!A57</f>
        <v>6</v>
      </c>
      <c r="CP57" s="1845" t="str">
        <f>'B2 - Pay &amp; Agency'!B57</f>
        <v>Additional Activity (Winter Pressures/Site Pressures)</v>
      </c>
      <c r="CQ57" s="1776">
        <f>'B2 - Pay &amp; Agency'!C57</f>
        <v>0</v>
      </c>
      <c r="CR57" s="1777">
        <f>'B2 - Pay &amp; Agency'!D57</f>
        <v>0</v>
      </c>
      <c r="CS57" s="1777">
        <f>'B2 - Pay &amp; Agency'!E57</f>
        <v>0</v>
      </c>
      <c r="CT57" s="1777">
        <f>'B2 - Pay &amp; Agency'!F57</f>
        <v>0</v>
      </c>
      <c r="CU57" s="1777">
        <f>'B2 - Pay &amp; Agency'!G57</f>
        <v>0</v>
      </c>
      <c r="CV57" s="1777">
        <f>'B2 - Pay &amp; Agency'!H57</f>
        <v>0</v>
      </c>
      <c r="CW57" s="1777">
        <f>'B2 - Pay &amp; Agency'!I57</f>
        <v>0</v>
      </c>
      <c r="CX57" s="1777">
        <f>'B2 - Pay &amp; Agency'!J57</f>
        <v>0</v>
      </c>
      <c r="CY57" s="1777">
        <f>'B2 - Pay &amp; Agency'!K57</f>
        <v>0</v>
      </c>
      <c r="CZ57" s="1777">
        <f>'B2 - Pay &amp; Agency'!L57</f>
        <v>0</v>
      </c>
      <c r="DA57" s="1777">
        <f>'B2 - Pay &amp; Agency'!M57</f>
        <v>0</v>
      </c>
      <c r="DB57" s="1778">
        <f>'B2 - Pay &amp; Agency'!N57</f>
        <v>0</v>
      </c>
      <c r="DC57" s="1324">
        <f>'B2 - Pay &amp; Agency'!O57</f>
        <v>0</v>
      </c>
      <c r="DD57" s="1325">
        <f>'B2 - Pay &amp; Agency'!P57</f>
        <v>0</v>
      </c>
      <c r="DF57" s="2838">
        <f>'B3 - COVID-19'!A57</f>
        <v>35</v>
      </c>
      <c r="DG57" s="2844" t="str">
        <f>'B3 - COVID-19'!B57</f>
        <v xml:space="preserve">Additional Clinical Services </v>
      </c>
      <c r="DH57" s="1903">
        <f>'B3 - COVID-19'!C57</f>
        <v>0</v>
      </c>
      <c r="DI57" s="1903">
        <f>'B3 - COVID-19'!D57</f>
        <v>0</v>
      </c>
      <c r="DJ57" s="1903">
        <f>'B3 - COVID-19'!E57</f>
        <v>0</v>
      </c>
      <c r="DK57" s="1903">
        <f>'B3 - COVID-19'!F57</f>
        <v>0</v>
      </c>
      <c r="DL57" s="1903">
        <f>'B3 - COVID-19'!G57</f>
        <v>0</v>
      </c>
      <c r="DM57" s="1903">
        <f>'B3 - COVID-19'!H57</f>
        <v>0</v>
      </c>
      <c r="DN57" s="1903">
        <f>'B3 - COVID-19'!I57</f>
        <v>0</v>
      </c>
      <c r="DO57" s="1903">
        <f>'B3 - COVID-19'!J57</f>
        <v>0</v>
      </c>
      <c r="DP57" s="1903">
        <f>'B3 - COVID-19'!K57</f>
        <v>0</v>
      </c>
      <c r="DQ57" s="1903">
        <f>'B3 - COVID-19'!L57</f>
        <v>0</v>
      </c>
      <c r="DR57" s="1903">
        <f>'B3 - COVID-19'!M57</f>
        <v>0</v>
      </c>
      <c r="DS57" s="1903">
        <f>'B3 - COVID-19'!N57</f>
        <v>0</v>
      </c>
      <c r="DT57" s="1863">
        <f>'B3 - COVID-19'!O57</f>
        <v>0</v>
      </c>
      <c r="DU57" s="1863">
        <f>'B3 - COVID-19'!P57</f>
        <v>0</v>
      </c>
      <c r="DV57" s="608"/>
      <c r="DW57" s="1116"/>
      <c r="DY57" s="2095">
        <f>'C, C1, C2&amp; C3 - Savings Schemes'!A57</f>
        <v>5</v>
      </c>
      <c r="DZ57" s="3039"/>
      <c r="EA57" s="90" t="str">
        <f>'C, C1, C2&amp; C3 - Savings Schemes'!C57</f>
        <v>Actual/F'cast</v>
      </c>
      <c r="EB57" s="1782">
        <f>'C, C1, C2&amp; C3 - Savings Schemes'!D57</f>
        <v>56.916666666666664</v>
      </c>
      <c r="EC57" s="1783">
        <f>'C, C1, C2&amp; C3 - Savings Schemes'!E57</f>
        <v>56.916666666666664</v>
      </c>
      <c r="ED57" s="1783">
        <f>'C, C1, C2&amp; C3 - Savings Schemes'!F57</f>
        <v>56.916666666666664</v>
      </c>
      <c r="EE57" s="1783">
        <f>'C, C1, C2&amp; C3 - Savings Schemes'!G57</f>
        <v>56.916666666666664</v>
      </c>
      <c r="EF57" s="1783">
        <f>'C, C1, C2&amp; C3 - Savings Schemes'!H57</f>
        <v>56.916666666666664</v>
      </c>
      <c r="EG57" s="1783">
        <f>'C, C1, C2&amp; C3 - Savings Schemes'!I57</f>
        <v>56.916666666666664</v>
      </c>
      <c r="EH57" s="1783">
        <f>'C, C1, C2&amp; C3 - Savings Schemes'!J57</f>
        <v>56.916666666666664</v>
      </c>
      <c r="EI57" s="1783">
        <f>'C, C1, C2&amp; C3 - Savings Schemes'!K57</f>
        <v>56.916666666666664</v>
      </c>
      <c r="EJ57" s="1783">
        <f>'C, C1, C2&amp; C3 - Savings Schemes'!L57</f>
        <v>56.916666666666664</v>
      </c>
      <c r="EK57" s="1783">
        <f>'C, C1, C2&amp; C3 - Savings Schemes'!M57</f>
        <v>56.916666666666664</v>
      </c>
      <c r="EL57" s="1783">
        <f>'C, C1, C2&amp; C3 - Savings Schemes'!N57</f>
        <v>56.916666666666664</v>
      </c>
      <c r="EM57" s="1784">
        <f>'C, C1, C2&amp; C3 - Savings Schemes'!O57</f>
        <v>56.916666666666664</v>
      </c>
      <c r="EN57" s="930">
        <f>'C, C1, C2&amp; C3 - Savings Schemes'!P57</f>
        <v>56.916666666666664</v>
      </c>
      <c r="EO57" s="940">
        <f>'C, C1, C2&amp; C3 - Savings Schemes'!Q57</f>
        <v>682.99999999999989</v>
      </c>
      <c r="EP57" s="1930"/>
      <c r="EQ57" s="1930"/>
      <c r="ER57" s="1930"/>
      <c r="ES57" s="1930"/>
      <c r="ET57" s="1930"/>
      <c r="EU57" s="1930"/>
      <c r="EV57" s="1930"/>
      <c r="EW57" s="1930"/>
      <c r="EX57" s="1932"/>
      <c r="EY57" s="1932"/>
      <c r="EZ57" s="1932"/>
      <c r="FA57" s="1932"/>
      <c r="FB57" s="1932"/>
      <c r="FC57" s="1932"/>
      <c r="FD57" s="1932"/>
      <c r="FE57" s="1932"/>
      <c r="FF57" s="1932"/>
      <c r="FG57" s="1932"/>
      <c r="FH57" s="1932"/>
      <c r="FI57" s="1932"/>
      <c r="FJ57" s="1932"/>
      <c r="FK57" s="1932"/>
      <c r="FL57" s="1932"/>
      <c r="FM57" s="1932"/>
      <c r="FN57" s="1932"/>
      <c r="FO57" s="1932"/>
      <c r="FP57" s="1932"/>
      <c r="FQ57" s="1932"/>
      <c r="FR57" s="1932"/>
      <c r="FS57" s="1932"/>
      <c r="GF57" s="2112">
        <f>'E - Resource Limits'!A57</f>
        <v>45</v>
      </c>
      <c r="GG57" s="2113">
        <f>'E - Resource Limits'!B57</f>
        <v>0</v>
      </c>
      <c r="GH57" s="2114">
        <f>'E - Resource Limits'!C57</f>
        <v>0</v>
      </c>
      <c r="GI57" s="2114">
        <f>'E - Resource Limits'!D57</f>
        <v>0</v>
      </c>
      <c r="GJ57" s="2114">
        <f>'E - Resource Limits'!E57</f>
        <v>0</v>
      </c>
      <c r="GK57" s="2114">
        <f>'E - Resource Limits'!F57</f>
        <v>0</v>
      </c>
      <c r="GL57" s="2048">
        <f>'E - Resource Limits'!G57</f>
        <v>0</v>
      </c>
      <c r="GM57" s="2115">
        <f>'E - Resource Limits'!H57</f>
        <v>0</v>
      </c>
      <c r="GN57" s="2114">
        <f>'E - Resource Limits'!I57</f>
        <v>0</v>
      </c>
      <c r="GO57" s="2114">
        <f>'E - Resource Limits'!J57</f>
        <v>0</v>
      </c>
      <c r="GP57" s="2114">
        <f>'E - Resource Limits'!K57</f>
        <v>0</v>
      </c>
      <c r="GQ57" s="2116">
        <f>'E - Resource Limits'!L57</f>
        <v>0</v>
      </c>
      <c r="GR57" s="1935">
        <f t="shared" si="6"/>
        <v>0</v>
      </c>
      <c r="GT57" s="346">
        <f>'E1 - Invoiced Income'!A57</f>
        <v>42</v>
      </c>
      <c r="GU57" s="2609">
        <f>'E1 - Invoiced Income'!B57</f>
        <v>0</v>
      </c>
      <c r="GV57" s="25">
        <f>'E1 - Invoiced Income'!C57</f>
        <v>0</v>
      </c>
      <c r="GW57" s="2527">
        <f>'E1 - Invoiced Income'!D57</f>
        <v>0</v>
      </c>
      <c r="GX57" s="196">
        <f>'E1 - Invoiced Income'!E57</f>
        <v>0</v>
      </c>
      <c r="GY57" s="2527">
        <f>'E1 - Invoiced Income'!F57</f>
        <v>0</v>
      </c>
      <c r="GZ57" s="2527">
        <f>'E1 - Invoiced Income'!G57</f>
        <v>0</v>
      </c>
      <c r="HA57" s="2527">
        <f>'E1 - Invoiced Income'!H57</f>
        <v>0</v>
      </c>
      <c r="HB57" s="2527">
        <f>'E1 - Invoiced Income'!I57</f>
        <v>0</v>
      </c>
      <c r="HC57" s="71"/>
      <c r="HD57" s="71"/>
      <c r="HE57" s="71"/>
      <c r="HF57" s="71"/>
      <c r="HG57" s="71"/>
      <c r="HH57" s="71"/>
      <c r="HI57" s="71"/>
      <c r="HJ57" s="71"/>
      <c r="HK57" s="71"/>
      <c r="HL57" s="71"/>
      <c r="HM57" s="71"/>
      <c r="HO57" s="2350">
        <f>'F - SoFP'!A57</f>
        <v>33</v>
      </c>
      <c r="HP57" s="2351">
        <f>'F - SoFP'!B57</f>
        <v>0</v>
      </c>
      <c r="HQ57" s="2010">
        <f>'F - SoFP'!C57</f>
        <v>0</v>
      </c>
      <c r="HR57" s="2010">
        <f>'F - SoFP'!D57</f>
        <v>0</v>
      </c>
      <c r="HS57" s="2010">
        <f>'F - SoFP'!E57</f>
        <v>0</v>
      </c>
      <c r="HT57" s="2352"/>
      <c r="JD57" s="2088">
        <f>'I - Capital RLM'!A57</f>
        <v>39</v>
      </c>
      <c r="JE57" s="2126">
        <f>'I - Capital RLM'!B57</f>
        <v>0</v>
      </c>
      <c r="JF57" s="2010">
        <f>'I - Capital RLM'!C57</f>
        <v>0</v>
      </c>
      <c r="JG57" s="2010">
        <f>'I - Capital RLM'!D57</f>
        <v>0</v>
      </c>
      <c r="JH57" s="2118">
        <f>'I - Capital RLM'!E57</f>
        <v>0</v>
      </c>
      <c r="JI57" s="2119">
        <f>'I - Capital RLM'!F57</f>
        <v>0</v>
      </c>
      <c r="JJ57" s="2010">
        <f>'I - Capital RLM'!G57</f>
        <v>0</v>
      </c>
      <c r="JK57" s="2010">
        <f>'I - Capital RLM'!H57</f>
        <v>0</v>
      </c>
      <c r="JL57" s="2118">
        <f>'I - Capital RLM'!I57</f>
        <v>0</v>
      </c>
      <c r="JM57" s="2120"/>
      <c r="JN57" s="1890">
        <f>'I - Capital RLM'!K57</f>
        <v>0</v>
      </c>
      <c r="JO57" s="2120">
        <f t="shared" si="7"/>
        <v>0</v>
      </c>
      <c r="JQ57" s="2073">
        <f>'J - Capital In Year Schemes'!A57</f>
        <v>42</v>
      </c>
      <c r="JR57" s="2126">
        <f>'J - Capital In Year Schemes'!B57</f>
        <v>0</v>
      </c>
      <c r="JS57" s="2126">
        <f>'J - Capital In Year Schemes'!C57</f>
        <v>0</v>
      </c>
      <c r="JT57" s="2325">
        <f>'J - Capital In Year Schemes'!D57</f>
        <v>0</v>
      </c>
      <c r="JU57" s="2010">
        <f>'J - Capital In Year Schemes'!E57</f>
        <v>0</v>
      </c>
      <c r="JV57" s="2010">
        <f>'J - Capital In Year Schemes'!F57</f>
        <v>0</v>
      </c>
      <c r="JW57" s="2010">
        <f>'J - Capital In Year Schemes'!G57</f>
        <v>0</v>
      </c>
      <c r="JX57" s="2010">
        <f>'J - Capital In Year Schemes'!H57</f>
        <v>0</v>
      </c>
      <c r="JY57" s="2010">
        <f>'J - Capital In Year Schemes'!I57</f>
        <v>0</v>
      </c>
      <c r="JZ57" s="2010">
        <f>'J - Capital In Year Schemes'!J57</f>
        <v>0</v>
      </c>
      <c r="KA57" s="2010">
        <f>'J - Capital In Year Schemes'!K57</f>
        <v>0</v>
      </c>
      <c r="KB57" s="2010">
        <f>'J - Capital In Year Schemes'!L57</f>
        <v>0</v>
      </c>
      <c r="KC57" s="2010">
        <f>'J - Capital In Year Schemes'!M57</f>
        <v>0</v>
      </c>
      <c r="KD57" s="2010">
        <f>'J - Capital In Year Schemes'!N57</f>
        <v>0</v>
      </c>
      <c r="KE57" s="2010">
        <f>'J - Capital In Year Schemes'!O57</f>
        <v>0</v>
      </c>
      <c r="KF57" s="2010">
        <f>'J - Capital In Year Schemes'!P57</f>
        <v>0</v>
      </c>
      <c r="KG57" s="2010">
        <f>'J - Capital In Year Schemes'!Q57</f>
        <v>0</v>
      </c>
      <c r="KH57" s="2090">
        <f>'J - Capital In Year Schemes'!R57</f>
        <v>0</v>
      </c>
      <c r="KI57" s="2090">
        <f>'J - Capital In Year Schemes'!S57</f>
        <v>0</v>
      </c>
      <c r="KJ57" s="2091">
        <f>'J - Capital In Year Schemes'!T57</f>
        <v>0</v>
      </c>
      <c r="KK57" s="2060"/>
      <c r="KM57" s="2353"/>
      <c r="LL57" s="814"/>
      <c r="LM57" s="2197">
        <f>'M - Aged Debtors'!B57</f>
        <v>0</v>
      </c>
      <c r="LN57" s="2198">
        <f>'M - Aged Debtors'!C57</f>
        <v>0</v>
      </c>
      <c r="LO57" s="2199">
        <f>'M - Aged Debtors'!D57</f>
        <v>0</v>
      </c>
      <c r="LP57" s="2200">
        <f>'M - Aged Debtors'!E57</f>
        <v>0</v>
      </c>
      <c r="LQ57" s="2201">
        <f>'M - Aged Debtors'!F57</f>
        <v>0</v>
      </c>
      <c r="LR57" s="832" t="str">
        <f>'M - Aged Debtors'!G57</f>
        <v/>
      </c>
      <c r="LS57" s="829" t="str">
        <f>'M - Aged Debtors'!H57</f>
        <v/>
      </c>
      <c r="LT57" s="829" t="str">
        <f>'M - Aged Debtors'!I57</f>
        <v/>
      </c>
      <c r="LU57" s="830" t="str">
        <f>'M - Aged Debtors'!J57</f>
        <v/>
      </c>
      <c r="LV57" s="1830">
        <f>'M - Aged Debtors'!K57</f>
        <v>0</v>
      </c>
      <c r="LX57" s="462" t="str">
        <f>'N - GMS'!A57</f>
        <v>IUCD</v>
      </c>
      <c r="LY57" s="489"/>
      <c r="LZ57" s="461">
        <f>'N - GMS'!C57</f>
        <v>35</v>
      </c>
      <c r="MA57" s="2230">
        <f>'N - GMS'!D57</f>
        <v>0</v>
      </c>
      <c r="MB57" s="2231">
        <f>'N - GMS'!E57</f>
        <v>0</v>
      </c>
      <c r="MC57" s="2231">
        <f>'N - GMS'!F57</f>
        <v>0</v>
      </c>
      <c r="MD57" s="2294">
        <f>'N - GMS'!G57</f>
        <v>0</v>
      </c>
      <c r="ME57" s="1170"/>
      <c r="MF57" s="1028">
        <f>'N - GMS'!I57</f>
        <v>0</v>
      </c>
      <c r="MH57" s="714" t="str">
        <f>'O - Dental'!A57</f>
        <v>TOTAL DENTAL SERVICES INCOME (Enter as a negative value)</v>
      </c>
      <c r="MI57" s="715"/>
      <c r="MJ57" s="706">
        <f>'O - Dental'!C57</f>
        <v>44</v>
      </c>
      <c r="MK57" s="682">
        <f>'O - Dental'!D57</f>
        <v>0</v>
      </c>
      <c r="ML57" s="1840">
        <f>'O - Dental'!E57</f>
        <v>0</v>
      </c>
      <c r="MM57" s="1840">
        <f>'O - Dental'!F57</f>
        <v>0</v>
      </c>
      <c r="MN57" s="668">
        <f>'O - Dental'!G57</f>
        <v>0</v>
      </c>
      <c r="MO57" s="308"/>
      <c r="MP57" s="1840">
        <f>'O - Dental'!I57</f>
        <v>0</v>
      </c>
      <c r="MR57" s="684"/>
      <c r="MS57" s="1468"/>
      <c r="MT57" s="2660"/>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7" t="str">
        <f>'P - Ringfenced'!R57</f>
        <v>Total</v>
      </c>
      <c r="NJ57" s="2668" t="str">
        <f>'P - Ringfenced'!S57</f>
        <v>Total</v>
      </c>
      <c r="NK57" s="684"/>
      <c r="NL57" s="684"/>
    </row>
    <row r="58" spans="13:376" ht="20.149999999999999" customHeight="1" thickBot="1">
      <c r="AN58" s="1745"/>
      <c r="BE58" s="1987"/>
      <c r="BF58" s="83" t="str">
        <f>'B - Monthly Positions'!B57</f>
        <v>C. Assessment of Financial Forecast Positions</v>
      </c>
      <c r="BG58" s="1930"/>
      <c r="BH58" s="1957"/>
      <c r="BI58" s="1957"/>
      <c r="BJ58" s="1957"/>
      <c r="BK58" s="1957"/>
      <c r="BL58" s="1957"/>
      <c r="BM58" s="1957"/>
      <c r="BN58" s="1957"/>
      <c r="BO58" s="1957"/>
      <c r="BP58" s="1957"/>
      <c r="BQ58" s="1957"/>
      <c r="BR58" s="1957"/>
      <c r="BS58" s="1957"/>
      <c r="BT58" s="1930"/>
      <c r="BU58" s="1930"/>
      <c r="BV58" s="1930"/>
      <c r="BW58" s="1930"/>
      <c r="BX58" s="144">
        <f>' Table Z Net Exp Profiles'!A58</f>
        <v>41</v>
      </c>
      <c r="BY58" s="1270" t="str">
        <f>' Table Z Net Exp Profiles'!B58</f>
        <v>Net Non Pay Expenditure - Actual/Forecast (as per Table B)</v>
      </c>
      <c r="BZ58" s="1110">
        <f>' Table Z Net Exp Profiles'!C58</f>
        <v>-454.5</v>
      </c>
      <c r="CA58" s="1110">
        <f>' Table Z Net Exp Profiles'!D58</f>
        <v>-118.5</v>
      </c>
      <c r="CB58" s="1110">
        <f>' Table Z Net Exp Profiles'!E58</f>
        <v>-118.5</v>
      </c>
      <c r="CC58" s="1110">
        <f>' Table Z Net Exp Profiles'!F58</f>
        <v>-118.5</v>
      </c>
      <c r="CD58" s="1110">
        <f>' Table Z Net Exp Profiles'!G58</f>
        <v>-118.5</v>
      </c>
      <c r="CE58" s="1110">
        <f>' Table Z Net Exp Profiles'!H58</f>
        <v>-118.5</v>
      </c>
      <c r="CF58" s="1110">
        <f>' Table Z Net Exp Profiles'!I58</f>
        <v>-118.5</v>
      </c>
      <c r="CG58" s="1110">
        <f>' Table Z Net Exp Profiles'!J58</f>
        <v>-118.5</v>
      </c>
      <c r="CH58" s="1110">
        <f>' Table Z Net Exp Profiles'!K58</f>
        <v>-118.5</v>
      </c>
      <c r="CI58" s="1110">
        <f>' Table Z Net Exp Profiles'!L58</f>
        <v>-118.5</v>
      </c>
      <c r="CJ58" s="1110">
        <f>' Table Z Net Exp Profiles'!M58</f>
        <v>-118.5</v>
      </c>
      <c r="CK58" s="1110">
        <f>' Table Z Net Exp Profiles'!N58</f>
        <v>-118.5</v>
      </c>
      <c r="CL58" s="1110">
        <f>' Table Z Net Exp Profiles'!O58</f>
        <v>-454.5</v>
      </c>
      <c r="CM58" s="1110">
        <f>' Table Z Net Exp Profiles'!P58</f>
        <v>-1758</v>
      </c>
      <c r="CO58" s="1329">
        <f>'B2 - Pay &amp; Agency'!A58</f>
        <v>7</v>
      </c>
      <c r="CP58" s="1845" t="str">
        <f>'B2 - Pay &amp; Agency'!B58</f>
        <v>Annual Leave</v>
      </c>
      <c r="CQ58" s="1776">
        <f>'B2 - Pay &amp; Agency'!C58</f>
        <v>0</v>
      </c>
      <c r="CR58" s="1777">
        <f>'B2 - Pay &amp; Agency'!D58</f>
        <v>0</v>
      </c>
      <c r="CS58" s="1777">
        <f>'B2 - Pay &amp; Agency'!E58</f>
        <v>0</v>
      </c>
      <c r="CT58" s="1777">
        <f>'B2 - Pay &amp; Agency'!F58</f>
        <v>0</v>
      </c>
      <c r="CU58" s="1777">
        <f>'B2 - Pay &amp; Agency'!G58</f>
        <v>0</v>
      </c>
      <c r="CV58" s="1777">
        <f>'B2 - Pay &amp; Agency'!H58</f>
        <v>0</v>
      </c>
      <c r="CW58" s="1777">
        <f>'B2 - Pay &amp; Agency'!I58</f>
        <v>0</v>
      </c>
      <c r="CX58" s="1777">
        <f>'B2 - Pay &amp; Agency'!J58</f>
        <v>0</v>
      </c>
      <c r="CY58" s="1777">
        <f>'B2 - Pay &amp; Agency'!K58</f>
        <v>0</v>
      </c>
      <c r="CZ58" s="1777">
        <f>'B2 - Pay &amp; Agency'!L58</f>
        <v>0</v>
      </c>
      <c r="DA58" s="1777">
        <f>'B2 - Pay &amp; Agency'!M58</f>
        <v>0</v>
      </c>
      <c r="DB58" s="1778">
        <f>'B2 - Pay &amp; Agency'!N58</f>
        <v>0</v>
      </c>
      <c r="DC58" s="1324">
        <f>'B2 - Pay &amp; Agency'!O58</f>
        <v>0</v>
      </c>
      <c r="DD58" s="1325">
        <f>'B2 - Pay &amp; Agency'!P58</f>
        <v>0</v>
      </c>
      <c r="DF58" s="2838">
        <f>'B3 - COVID-19'!A58</f>
        <v>36</v>
      </c>
      <c r="DG58" s="2844" t="str">
        <f>'B3 - COVID-19'!B58</f>
        <v>Allied Health Professionals</v>
      </c>
      <c r="DH58" s="1903">
        <f>'B3 - COVID-19'!C58</f>
        <v>0</v>
      </c>
      <c r="DI58" s="1903">
        <f>'B3 - COVID-19'!D58</f>
        <v>0</v>
      </c>
      <c r="DJ58" s="1903">
        <f>'B3 - COVID-19'!E58</f>
        <v>0</v>
      </c>
      <c r="DK58" s="1903">
        <f>'B3 - COVID-19'!F58</f>
        <v>0</v>
      </c>
      <c r="DL58" s="1903">
        <f>'B3 - COVID-19'!G58</f>
        <v>0</v>
      </c>
      <c r="DM58" s="1903">
        <f>'B3 - COVID-19'!H58</f>
        <v>0</v>
      </c>
      <c r="DN58" s="1903">
        <f>'B3 - COVID-19'!I58</f>
        <v>0</v>
      </c>
      <c r="DO58" s="1903">
        <f>'B3 - COVID-19'!J58</f>
        <v>0</v>
      </c>
      <c r="DP58" s="1903">
        <f>'B3 - COVID-19'!K58</f>
        <v>0</v>
      </c>
      <c r="DQ58" s="1903">
        <f>'B3 - COVID-19'!L58</f>
        <v>0</v>
      </c>
      <c r="DR58" s="1903">
        <f>'B3 - COVID-19'!M58</f>
        <v>0</v>
      </c>
      <c r="DS58" s="1903">
        <f>'B3 - COVID-19'!N58</f>
        <v>0</v>
      </c>
      <c r="DT58" s="1863">
        <f>'B3 - COVID-19'!O58</f>
        <v>0</v>
      </c>
      <c r="DU58" s="1863">
        <f>'B3 - COVID-19'!P58</f>
        <v>0</v>
      </c>
      <c r="DV58" s="608"/>
      <c r="DW58" s="1116"/>
      <c r="DY58" s="2095">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9">
        <f>'C, C1, C2&amp; C3 - Savings Schemes'!O58</f>
        <v>0</v>
      </c>
      <c r="EN58" s="123">
        <f>'C, C1, C2&amp; C3 - Savings Schemes'!P58</f>
        <v>0</v>
      </c>
      <c r="EO58" s="939">
        <f>'C, C1, C2&amp; C3 - Savings Schemes'!Q58</f>
        <v>0</v>
      </c>
      <c r="EP58" s="1930"/>
      <c r="EQ58" s="1930"/>
      <c r="ER58" s="1930"/>
      <c r="ES58" s="1930"/>
      <c r="ET58" s="1930"/>
      <c r="EU58" s="1930"/>
      <c r="EV58" s="1930"/>
      <c r="EW58" s="1930"/>
      <c r="EX58" s="1932"/>
      <c r="EY58" s="1932"/>
      <c r="EZ58" s="1932"/>
      <c r="FA58" s="1932"/>
      <c r="FB58" s="1932"/>
      <c r="FC58" s="1932"/>
      <c r="FD58" s="1932"/>
      <c r="FE58" s="1932"/>
      <c r="FF58" s="1932"/>
      <c r="FG58" s="1932"/>
      <c r="FH58" s="1932"/>
      <c r="FI58" s="1932"/>
      <c r="FJ58" s="1932"/>
      <c r="FK58" s="1932"/>
      <c r="FL58" s="1932"/>
      <c r="FM58" s="1932"/>
      <c r="FN58" s="1932"/>
      <c r="FO58" s="1932"/>
      <c r="FP58" s="1932"/>
      <c r="FQ58" s="1932"/>
      <c r="FR58" s="1932"/>
      <c r="FS58" s="1932"/>
      <c r="GF58" s="2112">
        <f>'E - Resource Limits'!A58</f>
        <v>46</v>
      </c>
      <c r="GG58" s="2113">
        <f>'E - Resource Limits'!B58</f>
        <v>0</v>
      </c>
      <c r="GH58" s="2114">
        <f>'E - Resource Limits'!C58</f>
        <v>0</v>
      </c>
      <c r="GI58" s="2114">
        <f>'E - Resource Limits'!D58</f>
        <v>0</v>
      </c>
      <c r="GJ58" s="2114">
        <f>'E - Resource Limits'!E58</f>
        <v>0</v>
      </c>
      <c r="GK58" s="2114">
        <f>'E - Resource Limits'!F58</f>
        <v>0</v>
      </c>
      <c r="GL58" s="2048">
        <f>'E - Resource Limits'!G58</f>
        <v>0</v>
      </c>
      <c r="GM58" s="2115">
        <f>'E - Resource Limits'!H58</f>
        <v>0</v>
      </c>
      <c r="GN58" s="2114">
        <f>'E - Resource Limits'!I58</f>
        <v>0</v>
      </c>
      <c r="GO58" s="2114">
        <f>'E - Resource Limits'!J58</f>
        <v>0</v>
      </c>
      <c r="GP58" s="2114">
        <f>'E - Resource Limits'!K58</f>
        <v>0</v>
      </c>
      <c r="GQ58" s="2116">
        <f>'E - Resource Limits'!L58</f>
        <v>0</v>
      </c>
      <c r="GR58" s="1935">
        <f t="shared" si="6"/>
        <v>0</v>
      </c>
      <c r="GT58" s="346">
        <f>'E1 - Invoiced Income'!A58</f>
        <v>43</v>
      </c>
      <c r="GU58" s="2609">
        <f>'E1 - Invoiced Income'!B58</f>
        <v>0</v>
      </c>
      <c r="GV58" s="25">
        <f>'E1 - Invoiced Income'!C58</f>
        <v>0</v>
      </c>
      <c r="GW58" s="2527">
        <f>'E1 - Invoiced Income'!D58</f>
        <v>0</v>
      </c>
      <c r="GX58" s="196">
        <f>'E1 - Invoiced Income'!E58</f>
        <v>0</v>
      </c>
      <c r="GY58" s="2527">
        <f>'E1 - Invoiced Income'!F58</f>
        <v>0</v>
      </c>
      <c r="GZ58" s="2527">
        <f>'E1 - Invoiced Income'!G58</f>
        <v>0</v>
      </c>
      <c r="HA58" s="2527">
        <f>'E1 - Invoiced Income'!H58</f>
        <v>0</v>
      </c>
      <c r="HB58" s="2527">
        <f>'E1 - Invoiced Income'!I58</f>
        <v>0</v>
      </c>
      <c r="HC58" s="71"/>
      <c r="HD58" s="71"/>
      <c r="HE58" s="71"/>
      <c r="HF58" s="71"/>
      <c r="HG58" s="71"/>
      <c r="HH58" s="71"/>
      <c r="HI58" s="71"/>
      <c r="HJ58" s="71"/>
      <c r="HK58" s="71"/>
      <c r="HL58" s="71"/>
      <c r="HM58" s="71"/>
      <c r="HO58" s="2350">
        <f>'F - SoFP'!A58</f>
        <v>34</v>
      </c>
      <c r="HP58" s="2351">
        <f>'F - SoFP'!B58</f>
        <v>0</v>
      </c>
      <c r="HQ58" s="2010">
        <f>'F - SoFP'!C58</f>
        <v>0</v>
      </c>
      <c r="HR58" s="2010">
        <f>'F - SoFP'!D58</f>
        <v>0</v>
      </c>
      <c r="HS58" s="2010">
        <f>'F - SoFP'!E58</f>
        <v>0</v>
      </c>
      <c r="HT58" s="2352"/>
      <c r="JD58" s="2088">
        <f>'I - Capital RLM'!A58</f>
        <v>40</v>
      </c>
      <c r="JE58" s="2126">
        <f>'I - Capital RLM'!B58</f>
        <v>0</v>
      </c>
      <c r="JF58" s="2010">
        <f>'I - Capital RLM'!C58</f>
        <v>0</v>
      </c>
      <c r="JG58" s="2010">
        <f>'I - Capital RLM'!D58</f>
        <v>0</v>
      </c>
      <c r="JH58" s="2118">
        <f>'I - Capital RLM'!E58</f>
        <v>0</v>
      </c>
      <c r="JI58" s="2119">
        <f>'I - Capital RLM'!F58</f>
        <v>0</v>
      </c>
      <c r="JJ58" s="2010">
        <f>'I - Capital RLM'!G58</f>
        <v>0</v>
      </c>
      <c r="JK58" s="2010">
        <f>'I - Capital RLM'!H58</f>
        <v>0</v>
      </c>
      <c r="JL58" s="2118">
        <f>'I - Capital RLM'!I58</f>
        <v>0</v>
      </c>
      <c r="JM58" s="2120"/>
      <c r="JN58" s="1890">
        <f>'I - Capital RLM'!K58</f>
        <v>0</v>
      </c>
      <c r="JO58" s="2120">
        <f t="shared" si="7"/>
        <v>0</v>
      </c>
      <c r="JQ58" s="2088">
        <f>'J - Capital In Year Schemes'!A58</f>
        <v>43</v>
      </c>
      <c r="JR58" s="2126">
        <f>'J - Capital In Year Schemes'!B58</f>
        <v>0</v>
      </c>
      <c r="JS58" s="2126">
        <f>'J - Capital In Year Schemes'!C58</f>
        <v>0</v>
      </c>
      <c r="JT58" s="2325">
        <f>'J - Capital In Year Schemes'!D58</f>
        <v>0</v>
      </c>
      <c r="JU58" s="2010">
        <f>'J - Capital In Year Schemes'!E58</f>
        <v>0</v>
      </c>
      <c r="JV58" s="2010">
        <f>'J - Capital In Year Schemes'!F58</f>
        <v>0</v>
      </c>
      <c r="JW58" s="2010">
        <f>'J - Capital In Year Schemes'!G58</f>
        <v>0</v>
      </c>
      <c r="JX58" s="2010">
        <f>'J - Capital In Year Schemes'!H58</f>
        <v>0</v>
      </c>
      <c r="JY58" s="2010">
        <f>'J - Capital In Year Schemes'!I58</f>
        <v>0</v>
      </c>
      <c r="JZ58" s="2010">
        <f>'J - Capital In Year Schemes'!J58</f>
        <v>0</v>
      </c>
      <c r="KA58" s="2010">
        <f>'J - Capital In Year Schemes'!K58</f>
        <v>0</v>
      </c>
      <c r="KB58" s="2010">
        <f>'J - Capital In Year Schemes'!L58</f>
        <v>0</v>
      </c>
      <c r="KC58" s="2010">
        <f>'J - Capital In Year Schemes'!M58</f>
        <v>0</v>
      </c>
      <c r="KD58" s="2010">
        <f>'J - Capital In Year Schemes'!N58</f>
        <v>0</v>
      </c>
      <c r="KE58" s="2010">
        <f>'J - Capital In Year Schemes'!O58</f>
        <v>0</v>
      </c>
      <c r="KF58" s="2010">
        <f>'J - Capital In Year Schemes'!P58</f>
        <v>0</v>
      </c>
      <c r="KG58" s="2010">
        <f>'J - Capital In Year Schemes'!Q58</f>
        <v>0</v>
      </c>
      <c r="KH58" s="2090">
        <f>'J - Capital In Year Schemes'!R58</f>
        <v>0</v>
      </c>
      <c r="KI58" s="2090">
        <f>'J - Capital In Year Schemes'!S58</f>
        <v>0</v>
      </c>
      <c r="KJ58" s="2091">
        <f>'J - Capital In Year Schemes'!T58</f>
        <v>0</v>
      </c>
      <c r="KK58" s="2060"/>
      <c r="LL58" s="814"/>
      <c r="LM58" s="2197">
        <f>'M - Aged Debtors'!B58</f>
        <v>0</v>
      </c>
      <c r="LN58" s="2198">
        <f>'M - Aged Debtors'!C58</f>
        <v>0</v>
      </c>
      <c r="LO58" s="2199">
        <f>'M - Aged Debtors'!D58</f>
        <v>0</v>
      </c>
      <c r="LP58" s="2200">
        <f>'M - Aged Debtors'!E58</f>
        <v>0</v>
      </c>
      <c r="LQ58" s="2201">
        <f>'M - Aged Debtors'!F58</f>
        <v>0</v>
      </c>
      <c r="LR58" s="832" t="str">
        <f>'M - Aged Debtors'!G58</f>
        <v/>
      </c>
      <c r="LS58" s="829" t="str">
        <f>'M - Aged Debtors'!H58</f>
        <v/>
      </c>
      <c r="LT58" s="829" t="str">
        <f>'M - Aged Debtors'!I58</f>
        <v/>
      </c>
      <c r="LU58" s="830" t="str">
        <f>'M - Aged Debtors'!J58</f>
        <v/>
      </c>
      <c r="LV58" s="1830">
        <f>'M - Aged Debtors'!K58</f>
        <v>0</v>
      </c>
      <c r="LX58" s="462" t="str">
        <f>'N - GMS'!A58</f>
        <v>Alcohol misuse</v>
      </c>
      <c r="LY58" s="489"/>
      <c r="LZ58" s="461">
        <f>'N - GMS'!C58</f>
        <v>36</v>
      </c>
      <c r="MA58" s="2230">
        <f>'N - GMS'!D58</f>
        <v>0</v>
      </c>
      <c r="MB58" s="2231">
        <f>'N - GMS'!E58</f>
        <v>0</v>
      </c>
      <c r="MC58" s="2231">
        <f>'N - GMS'!F58</f>
        <v>0</v>
      </c>
      <c r="MD58" s="2294">
        <f>'N - GMS'!G58</f>
        <v>0</v>
      </c>
      <c r="ME58" s="1170"/>
      <c r="MF58" s="1028">
        <f>'N - GMS'!I58</f>
        <v>0</v>
      </c>
      <c r="MH58" s="1879" t="str">
        <f>'O - Dental'!A58</f>
        <v/>
      </c>
      <c r="MI58" s="1879"/>
      <c r="MJ58" s="1879"/>
      <c r="MK58" s="1878" t="str">
        <f>'O - Dental'!D58</f>
        <v/>
      </c>
      <c r="ML58" s="1878"/>
      <c r="MM58" s="1878"/>
      <c r="MN58" s="1878"/>
      <c r="MO58" s="1878"/>
      <c r="MP58" s="1878"/>
      <c r="MR58" s="684"/>
      <c r="MS58" s="2677" t="str">
        <f>'P - Ringfenced'!B58</f>
        <v>Urgent Emergency Care Allocations (Confirm in below text 'Allocated' or 'Anticipated')</v>
      </c>
      <c r="MT58" s="2678" t="str">
        <f>'P - Ringfenced'!C58</f>
        <v>£000s</v>
      </c>
      <c r="MU58" s="3022">
        <f>'P - Ringfenced'!D58</f>
        <v>0</v>
      </c>
      <c r="MV58" s="3022">
        <f>'P - Ringfenced'!E58</f>
        <v>0</v>
      </c>
      <c r="MW58" s="2669" t="str">
        <f>'P - Ringfenced'!F58</f>
        <v>April</v>
      </c>
      <c r="MX58" s="2669" t="str">
        <f>'P - Ringfenced'!G58</f>
        <v xml:space="preserve">May </v>
      </c>
      <c r="MY58" s="2669" t="str">
        <f>'P - Ringfenced'!H58</f>
        <v>June</v>
      </c>
      <c r="MZ58" s="2669" t="str">
        <f>'P - Ringfenced'!I58</f>
        <v>July</v>
      </c>
      <c r="NA58" s="2669" t="str">
        <f>'P - Ringfenced'!J58</f>
        <v xml:space="preserve">August </v>
      </c>
      <c r="NB58" s="2669" t="str">
        <f>'P - Ringfenced'!K58</f>
        <v>September</v>
      </c>
      <c r="NC58" s="2669" t="str">
        <f>'P - Ringfenced'!L58</f>
        <v>October</v>
      </c>
      <c r="ND58" s="2669" t="str">
        <f>'P - Ringfenced'!M58</f>
        <v>November</v>
      </c>
      <c r="NE58" s="2669" t="str">
        <f>'P - Ringfenced'!N58</f>
        <v>December</v>
      </c>
      <c r="NF58" s="2669" t="str">
        <f>'P - Ringfenced'!O58</f>
        <v>January</v>
      </c>
      <c r="NG58" s="2669" t="str">
        <f>'P - Ringfenced'!P58</f>
        <v>February</v>
      </c>
      <c r="NH58" s="2669" t="str">
        <f>'P - Ringfenced'!Q58</f>
        <v>March</v>
      </c>
      <c r="NI58" s="2670" t="str">
        <f>'P - Ringfenced'!R58</f>
        <v>YTD</v>
      </c>
      <c r="NJ58" s="2671" t="str">
        <f>'P - Ringfenced'!S58</f>
        <v>Annual</v>
      </c>
      <c r="NK58" s="684"/>
      <c r="NL58" s="684"/>
    </row>
    <row r="59" spans="13:376" ht="20.149999999999999" customHeight="1" thickBot="1">
      <c r="AN59" s="1745"/>
      <c r="BE59" s="1987"/>
      <c r="BF59" s="83"/>
      <c r="BG59" s="1930"/>
      <c r="BH59" s="2240"/>
      <c r="BI59" s="1930"/>
      <c r="BJ59" s="1930"/>
      <c r="BK59" s="1930"/>
      <c r="BL59" s="1930"/>
      <c r="BM59" s="1930"/>
      <c r="BN59" s="1930"/>
      <c r="BO59" s="1930"/>
      <c r="BP59" s="1930"/>
      <c r="BQ59" s="1930"/>
      <c r="BR59" s="1930"/>
      <c r="BS59" s="1930"/>
      <c r="BT59" s="1930"/>
      <c r="BU59" s="1930"/>
      <c r="BV59" s="1930"/>
      <c r="BW59" s="1930"/>
      <c r="BX59" s="1107">
        <f>' Table Z Net Exp Profiles'!A59</f>
        <v>42</v>
      </c>
      <c r="BY59" s="1270" t="str">
        <f>' Table Z Net Exp Profiles'!B59</f>
        <v>Net Non Pay Expenditure - Movement</v>
      </c>
      <c r="BZ59" s="1110">
        <f>' Table Z Net Exp Profiles'!C59</f>
        <v>0</v>
      </c>
      <c r="CA59" s="1110">
        <f>' Table Z Net Exp Profiles'!D59</f>
        <v>0</v>
      </c>
      <c r="CB59" s="1110">
        <f>' Table Z Net Exp Profiles'!E59</f>
        <v>0</v>
      </c>
      <c r="CC59" s="1110">
        <f>' Table Z Net Exp Profiles'!F59</f>
        <v>0</v>
      </c>
      <c r="CD59" s="1110">
        <f>' Table Z Net Exp Profiles'!G59</f>
        <v>0</v>
      </c>
      <c r="CE59" s="1110">
        <f>' Table Z Net Exp Profiles'!H59</f>
        <v>0</v>
      </c>
      <c r="CF59" s="1110">
        <f>' Table Z Net Exp Profiles'!I59</f>
        <v>0</v>
      </c>
      <c r="CG59" s="1110">
        <f>' Table Z Net Exp Profiles'!J59</f>
        <v>0</v>
      </c>
      <c r="CH59" s="1110">
        <f>' Table Z Net Exp Profiles'!K59</f>
        <v>0</v>
      </c>
      <c r="CI59" s="1110">
        <f>' Table Z Net Exp Profiles'!L59</f>
        <v>0</v>
      </c>
      <c r="CJ59" s="1110">
        <f>' Table Z Net Exp Profiles'!M59</f>
        <v>0</v>
      </c>
      <c r="CK59" s="1110">
        <f>' Table Z Net Exp Profiles'!N59</f>
        <v>0</v>
      </c>
      <c r="CL59" s="1110">
        <f>' Table Z Net Exp Profiles'!O59</f>
        <v>0</v>
      </c>
      <c r="CM59" s="1110">
        <f>' Table Z Net Exp Profiles'!P59</f>
        <v>0</v>
      </c>
      <c r="CO59" s="1329">
        <f>'B2 - Pay &amp; Agency'!A59</f>
        <v>8</v>
      </c>
      <c r="CP59" s="1845" t="str">
        <f>'B2 - Pay &amp; Agency'!B59</f>
        <v>Sickness</v>
      </c>
      <c r="CQ59" s="1776">
        <f>'B2 - Pay &amp; Agency'!C59</f>
        <v>0</v>
      </c>
      <c r="CR59" s="1777">
        <f>'B2 - Pay &amp; Agency'!D59</f>
        <v>0</v>
      </c>
      <c r="CS59" s="1777">
        <f>'B2 - Pay &amp; Agency'!E59</f>
        <v>0</v>
      </c>
      <c r="CT59" s="1777">
        <f>'B2 - Pay &amp; Agency'!F59</f>
        <v>0</v>
      </c>
      <c r="CU59" s="1777">
        <f>'B2 - Pay &amp; Agency'!G59</f>
        <v>0</v>
      </c>
      <c r="CV59" s="1777">
        <f>'B2 - Pay &amp; Agency'!H59</f>
        <v>0</v>
      </c>
      <c r="CW59" s="1777">
        <f>'B2 - Pay &amp; Agency'!I59</f>
        <v>0</v>
      </c>
      <c r="CX59" s="1777">
        <f>'B2 - Pay &amp; Agency'!J59</f>
        <v>0</v>
      </c>
      <c r="CY59" s="1777">
        <f>'B2 - Pay &amp; Agency'!K59</f>
        <v>0</v>
      </c>
      <c r="CZ59" s="1777">
        <f>'B2 - Pay &amp; Agency'!L59</f>
        <v>0</v>
      </c>
      <c r="DA59" s="1777">
        <f>'B2 - Pay &amp; Agency'!M59</f>
        <v>0</v>
      </c>
      <c r="DB59" s="1778">
        <f>'B2 - Pay &amp; Agency'!N59</f>
        <v>0</v>
      </c>
      <c r="DC59" s="1324">
        <f>'B2 - Pay &amp; Agency'!O59</f>
        <v>0</v>
      </c>
      <c r="DD59" s="1325">
        <f>'B2 - Pay &amp; Agency'!P59</f>
        <v>0</v>
      </c>
      <c r="DF59" s="2838">
        <f>'B3 - COVID-19'!A59</f>
        <v>37</v>
      </c>
      <c r="DG59" s="2844" t="str">
        <f>'B3 - COVID-19'!B59</f>
        <v xml:space="preserve">Healthcare Scientists </v>
      </c>
      <c r="DH59" s="1903">
        <f>'B3 - COVID-19'!C59</f>
        <v>16.712319999999998</v>
      </c>
      <c r="DI59" s="1903">
        <f>'B3 - COVID-19'!D59</f>
        <v>16.9665</v>
      </c>
      <c r="DJ59" s="1903">
        <f>'B3 - COVID-19'!E59</f>
        <v>16.9665</v>
      </c>
      <c r="DK59" s="1903">
        <f>'B3 - COVID-19'!F59</f>
        <v>16.9665</v>
      </c>
      <c r="DL59" s="1903">
        <f>'B3 - COVID-19'!G59</f>
        <v>16.9665</v>
      </c>
      <c r="DM59" s="1903">
        <f>'B3 - COVID-19'!H59</f>
        <v>16.9665</v>
      </c>
      <c r="DN59" s="1903">
        <f>'B3 - COVID-19'!I59</f>
        <v>16.9665</v>
      </c>
      <c r="DO59" s="1903">
        <f>'B3 - COVID-19'!J59</f>
        <v>16.9665</v>
      </c>
      <c r="DP59" s="1903">
        <f>'B3 - COVID-19'!K59</f>
        <v>16.9665</v>
      </c>
      <c r="DQ59" s="1903">
        <f>'B3 - COVID-19'!L59</f>
        <v>16.9665</v>
      </c>
      <c r="DR59" s="1903">
        <f>'B3 - COVID-19'!M59</f>
        <v>16.9665</v>
      </c>
      <c r="DS59" s="1903">
        <f>'B3 - COVID-19'!N59</f>
        <v>16.9665</v>
      </c>
      <c r="DT59" s="1863">
        <f>'B3 - COVID-19'!O59</f>
        <v>16.712319999999998</v>
      </c>
      <c r="DU59" s="1863">
        <f>'B3 - COVID-19'!P59</f>
        <v>203.34381999999997</v>
      </c>
      <c r="DV59" s="608"/>
      <c r="DW59" s="1116"/>
      <c r="DY59" s="2079">
        <f>'C, C1, C2&amp; C3 - Savings Schemes'!A59</f>
        <v>7</v>
      </c>
      <c r="DZ59" s="3039" t="str">
        <f>'C, C1, C2&amp; C3 - Savings Schemes'!B59</f>
        <v>Locum</v>
      </c>
      <c r="EA59" s="87" t="str">
        <f>'C, C1, C2&amp; C3 - Savings Schemes'!C59</f>
        <v>Budget/Plan</v>
      </c>
      <c r="EB59" s="1773">
        <f>'C, C1, C2&amp; C3 - Savings Schemes'!D59</f>
        <v>0</v>
      </c>
      <c r="EC59" s="1774">
        <f>'C, C1, C2&amp; C3 - Savings Schemes'!E59</f>
        <v>0</v>
      </c>
      <c r="ED59" s="1774">
        <f>'C, C1, C2&amp; C3 - Savings Schemes'!F59</f>
        <v>0</v>
      </c>
      <c r="EE59" s="1774">
        <f>'C, C1, C2&amp; C3 - Savings Schemes'!G59</f>
        <v>0</v>
      </c>
      <c r="EF59" s="1774">
        <f>'C, C1, C2&amp; C3 - Savings Schemes'!H59</f>
        <v>0</v>
      </c>
      <c r="EG59" s="1774">
        <f>'C, C1, C2&amp; C3 - Savings Schemes'!I59</f>
        <v>0</v>
      </c>
      <c r="EH59" s="1774">
        <f>'C, C1, C2&amp; C3 - Savings Schemes'!J59</f>
        <v>0</v>
      </c>
      <c r="EI59" s="1774">
        <f>'C, C1, C2&amp; C3 - Savings Schemes'!K59</f>
        <v>0</v>
      </c>
      <c r="EJ59" s="1774">
        <f>'C, C1, C2&amp; C3 - Savings Schemes'!L59</f>
        <v>0</v>
      </c>
      <c r="EK59" s="1774">
        <f>'C, C1, C2&amp; C3 - Savings Schemes'!M59</f>
        <v>0</v>
      </c>
      <c r="EL59" s="1774">
        <f>'C, C1, C2&amp; C3 - Savings Schemes'!N59</f>
        <v>0</v>
      </c>
      <c r="EM59" s="1775">
        <f>'C, C1, C2&amp; C3 - Savings Schemes'!O59</f>
        <v>0</v>
      </c>
      <c r="EN59" s="930">
        <f>'C, C1, C2&amp; C3 - Savings Schemes'!P59</f>
        <v>0</v>
      </c>
      <c r="EO59" s="938">
        <f>'C, C1, C2&amp; C3 - Savings Schemes'!Q59</f>
        <v>0</v>
      </c>
      <c r="EP59" s="1930"/>
      <c r="EQ59" s="1930"/>
      <c r="ER59" s="1930"/>
      <c r="ES59" s="1930"/>
      <c r="ET59" s="1930"/>
      <c r="EU59" s="1930"/>
      <c r="EV59" s="1930"/>
      <c r="EW59" s="1930"/>
      <c r="EX59" s="1932"/>
      <c r="EY59" s="1932"/>
      <c r="EZ59" s="1932"/>
      <c r="FA59" s="1932"/>
      <c r="FB59" s="1932"/>
      <c r="FC59" s="1932"/>
      <c r="FD59" s="1932"/>
      <c r="FE59" s="1932"/>
      <c r="FF59" s="1932"/>
      <c r="FG59" s="1932"/>
      <c r="FH59" s="1932"/>
      <c r="FI59" s="1932"/>
      <c r="FJ59" s="1932"/>
      <c r="FK59" s="1932"/>
      <c r="FL59" s="1932"/>
      <c r="FM59" s="1932"/>
      <c r="FN59" s="1932"/>
      <c r="FO59" s="1932"/>
      <c r="FP59" s="1932"/>
      <c r="FQ59" s="1932"/>
      <c r="FR59" s="1932"/>
      <c r="FS59" s="1932"/>
      <c r="GF59" s="2112">
        <f>'E - Resource Limits'!A59</f>
        <v>47</v>
      </c>
      <c r="GG59" s="2113">
        <f>'E - Resource Limits'!B59</f>
        <v>0</v>
      </c>
      <c r="GH59" s="2114">
        <f>'E - Resource Limits'!C59</f>
        <v>0</v>
      </c>
      <c r="GI59" s="2114">
        <f>'E - Resource Limits'!D59</f>
        <v>0</v>
      </c>
      <c r="GJ59" s="2114">
        <f>'E - Resource Limits'!E59</f>
        <v>0</v>
      </c>
      <c r="GK59" s="2114">
        <f>'E - Resource Limits'!F59</f>
        <v>0</v>
      </c>
      <c r="GL59" s="2048">
        <f>'E - Resource Limits'!G59</f>
        <v>0</v>
      </c>
      <c r="GM59" s="2115">
        <f>'E - Resource Limits'!H59</f>
        <v>0</v>
      </c>
      <c r="GN59" s="2114">
        <f>'E - Resource Limits'!I59</f>
        <v>0</v>
      </c>
      <c r="GO59" s="2114">
        <f>'E - Resource Limits'!J59</f>
        <v>0</v>
      </c>
      <c r="GP59" s="2114">
        <f>'E - Resource Limits'!K59</f>
        <v>0</v>
      </c>
      <c r="GQ59" s="2116">
        <f>'E - Resource Limits'!L59</f>
        <v>0</v>
      </c>
      <c r="GR59" s="1935">
        <f t="shared" si="6"/>
        <v>0</v>
      </c>
      <c r="GT59" s="346">
        <f>'E1 - Invoiced Income'!A59</f>
        <v>44</v>
      </c>
      <c r="GU59" s="2609">
        <f>'E1 - Invoiced Income'!B59</f>
        <v>0</v>
      </c>
      <c r="GV59" s="25">
        <f>'E1 - Invoiced Income'!C59</f>
        <v>0</v>
      </c>
      <c r="GW59" s="2527">
        <f>'E1 - Invoiced Income'!D59</f>
        <v>0</v>
      </c>
      <c r="GX59" s="196">
        <f>'E1 - Invoiced Income'!E59</f>
        <v>0</v>
      </c>
      <c r="GY59" s="2527">
        <f>'E1 - Invoiced Income'!F59</f>
        <v>0</v>
      </c>
      <c r="GZ59" s="2527">
        <f>'E1 - Invoiced Income'!G59</f>
        <v>0</v>
      </c>
      <c r="HA59" s="2527">
        <f>'E1 - Invoiced Income'!H59</f>
        <v>0</v>
      </c>
      <c r="HB59" s="2527">
        <f>'E1 - Invoiced Income'!I59</f>
        <v>0</v>
      </c>
      <c r="HC59" s="71"/>
      <c r="HD59" s="71"/>
      <c r="HE59" s="71"/>
      <c r="HF59" s="71"/>
      <c r="HG59" s="71"/>
      <c r="HH59" s="71"/>
      <c r="HI59" s="71"/>
      <c r="HJ59" s="71"/>
      <c r="HK59" s="71"/>
      <c r="HL59" s="71"/>
      <c r="HM59" s="71"/>
      <c r="HO59" s="2350">
        <f>'F - SoFP'!A59</f>
        <v>35</v>
      </c>
      <c r="HP59" s="2356">
        <f>'F - SoFP'!B59</f>
        <v>0</v>
      </c>
      <c r="HQ59" s="2010">
        <f>'F - SoFP'!C59</f>
        <v>0</v>
      </c>
      <c r="HR59" s="2010">
        <f>'F - SoFP'!D59</f>
        <v>0</v>
      </c>
      <c r="HS59" s="2010">
        <f>'F - SoFP'!E59</f>
        <v>0</v>
      </c>
      <c r="HT59" s="2352">
        <f t="shared" ref="HT59:HT67" si="19">IF(AND(SUM(HQ55:HS55)&gt;0,HP55=""),1,0)</f>
        <v>0</v>
      </c>
      <c r="JD59" s="2293">
        <f>'I - Capital RLM'!A59</f>
        <v>41</v>
      </c>
      <c r="JE59" s="2357">
        <f>'I - Capital RLM'!B59</f>
        <v>0</v>
      </c>
      <c r="JF59" s="2358">
        <f>'I - Capital RLM'!C59</f>
        <v>0</v>
      </c>
      <c r="JG59" s="2358">
        <f>'I - Capital RLM'!D59</f>
        <v>0</v>
      </c>
      <c r="JH59" s="2359">
        <f>'I - Capital RLM'!E59</f>
        <v>0</v>
      </c>
      <c r="JI59" s="2119">
        <f>'I - Capital RLM'!F59</f>
        <v>0</v>
      </c>
      <c r="JJ59" s="2358">
        <f>'I - Capital RLM'!G59</f>
        <v>0</v>
      </c>
      <c r="JK59" s="2358">
        <f>'I - Capital RLM'!H59</f>
        <v>0</v>
      </c>
      <c r="JL59" s="2359">
        <f>'I - Capital RLM'!I59</f>
        <v>0</v>
      </c>
      <c r="JM59" s="2120"/>
      <c r="JN59" s="1891">
        <f>'I - Capital RLM'!K59</f>
        <v>0</v>
      </c>
      <c r="JO59" s="2120">
        <f t="shared" si="7"/>
        <v>0</v>
      </c>
      <c r="JQ59" s="2073">
        <f>'J - Capital In Year Schemes'!A59</f>
        <v>44</v>
      </c>
      <c r="JR59" s="2126">
        <f>'J - Capital In Year Schemes'!B59</f>
        <v>0</v>
      </c>
      <c r="JS59" s="2126">
        <f>'J - Capital In Year Schemes'!C59</f>
        <v>0</v>
      </c>
      <c r="JT59" s="2325">
        <f>'J - Capital In Year Schemes'!D59</f>
        <v>0</v>
      </c>
      <c r="JU59" s="2010">
        <f>'J - Capital In Year Schemes'!E59</f>
        <v>0</v>
      </c>
      <c r="JV59" s="2010">
        <f>'J - Capital In Year Schemes'!F59</f>
        <v>0</v>
      </c>
      <c r="JW59" s="2010">
        <f>'J - Capital In Year Schemes'!G59</f>
        <v>0</v>
      </c>
      <c r="JX59" s="2010">
        <f>'J - Capital In Year Schemes'!H59</f>
        <v>0</v>
      </c>
      <c r="JY59" s="2010">
        <f>'J - Capital In Year Schemes'!I59</f>
        <v>0</v>
      </c>
      <c r="JZ59" s="2010">
        <f>'J - Capital In Year Schemes'!J59</f>
        <v>0</v>
      </c>
      <c r="KA59" s="2010">
        <f>'J - Capital In Year Schemes'!K59</f>
        <v>0</v>
      </c>
      <c r="KB59" s="2010">
        <f>'J - Capital In Year Schemes'!L59</f>
        <v>0</v>
      </c>
      <c r="KC59" s="2010">
        <f>'J - Capital In Year Schemes'!M59</f>
        <v>0</v>
      </c>
      <c r="KD59" s="2010">
        <f>'J - Capital In Year Schemes'!N59</f>
        <v>0</v>
      </c>
      <c r="KE59" s="2010">
        <f>'J - Capital In Year Schemes'!O59</f>
        <v>0</v>
      </c>
      <c r="KF59" s="2010">
        <f>'J - Capital In Year Schemes'!P59</f>
        <v>0</v>
      </c>
      <c r="KG59" s="2010">
        <f>'J - Capital In Year Schemes'!Q59</f>
        <v>0</v>
      </c>
      <c r="KH59" s="2090">
        <f>'J - Capital In Year Schemes'!R59</f>
        <v>0</v>
      </c>
      <c r="KI59" s="2090">
        <f>'J - Capital In Year Schemes'!S59</f>
        <v>0</v>
      </c>
      <c r="KJ59" s="2091">
        <f>'J - Capital In Year Schemes'!T59</f>
        <v>0</v>
      </c>
      <c r="KK59" s="2060"/>
      <c r="LL59" s="814"/>
      <c r="LM59" s="2197">
        <f>'M - Aged Debtors'!B59</f>
        <v>0</v>
      </c>
      <c r="LN59" s="2198">
        <f>'M - Aged Debtors'!C59</f>
        <v>0</v>
      </c>
      <c r="LO59" s="2199">
        <f>'M - Aged Debtors'!D59</f>
        <v>0</v>
      </c>
      <c r="LP59" s="2200">
        <f>'M - Aged Debtors'!E59</f>
        <v>0</v>
      </c>
      <c r="LQ59" s="2201">
        <f>'M - Aged Debtors'!F59</f>
        <v>0</v>
      </c>
      <c r="LR59" s="832" t="str">
        <f>'M - Aged Debtors'!G59</f>
        <v/>
      </c>
      <c r="LS59" s="829" t="str">
        <f>'M - Aged Debtors'!H59</f>
        <v/>
      </c>
      <c r="LT59" s="829" t="str">
        <f>'M - Aged Debtors'!I59</f>
        <v/>
      </c>
      <c r="LU59" s="830" t="str">
        <f>'M - Aged Debtors'!J59</f>
        <v/>
      </c>
      <c r="LV59" s="1830">
        <f>'M - Aged Debtors'!K59</f>
        <v>0</v>
      </c>
      <c r="LX59" s="462" t="str">
        <f>'N - GMS'!A59</f>
        <v>Depression</v>
      </c>
      <c r="LY59" s="489"/>
      <c r="LZ59" s="461">
        <f>'N - GMS'!C59</f>
        <v>37</v>
      </c>
      <c r="MA59" s="2230">
        <f>'N - GMS'!D59</f>
        <v>0</v>
      </c>
      <c r="MB59" s="2231">
        <f>'N - GMS'!E59</f>
        <v>0</v>
      </c>
      <c r="MC59" s="2231">
        <f>'N - GMS'!F59</f>
        <v>0</v>
      </c>
      <c r="MD59" s="2294">
        <f>'N - GMS'!G59</f>
        <v>0</v>
      </c>
      <c r="ME59" s="1170"/>
      <c r="MF59" s="1028">
        <f>'N - GMS'!I59</f>
        <v>0</v>
      </c>
      <c r="MH59" s="1879"/>
      <c r="MI59" s="1879"/>
      <c r="MJ59" s="1879"/>
      <c r="MK59" s="1878"/>
      <c r="ML59" s="1878"/>
      <c r="MM59" s="1878"/>
      <c r="MN59" s="1878"/>
      <c r="MO59" s="1878"/>
      <c r="MP59" s="1878"/>
      <c r="MR59" s="684"/>
      <c r="MS59" s="2687">
        <f>'P - Ringfenced'!B59</f>
        <v>0</v>
      </c>
      <c r="MT59" s="2690">
        <f>'P - Ringfenced'!C59</f>
        <v>0</v>
      </c>
      <c r="MU59" s="2698">
        <f>'P - Ringfenced'!D59</f>
        <v>0</v>
      </c>
      <c r="MV59" s="2698">
        <f>'P - Ringfenced'!E59</f>
        <v>0</v>
      </c>
      <c r="MW59" s="2694">
        <f>'P - Ringfenced'!F59</f>
        <v>0</v>
      </c>
      <c r="MX59" s="2694">
        <f>'P - Ringfenced'!G59</f>
        <v>0</v>
      </c>
      <c r="MY59" s="2694">
        <f>'P - Ringfenced'!H59</f>
        <v>0</v>
      </c>
      <c r="MZ59" s="2694">
        <f>'P - Ringfenced'!I59</f>
        <v>0</v>
      </c>
      <c r="NA59" s="2694">
        <f>'P - Ringfenced'!J59</f>
        <v>0</v>
      </c>
      <c r="NB59" s="2694">
        <f>'P - Ringfenced'!K59</f>
        <v>0</v>
      </c>
      <c r="NC59" s="2694">
        <f>'P - Ringfenced'!L59</f>
        <v>0</v>
      </c>
      <c r="ND59" s="2694">
        <f>'P - Ringfenced'!M59</f>
        <v>0</v>
      </c>
      <c r="NE59" s="2694">
        <f>'P - Ringfenced'!N59</f>
        <v>0</v>
      </c>
      <c r="NF59" s="2694">
        <f>'P - Ringfenced'!O59</f>
        <v>0</v>
      </c>
      <c r="NG59" s="2694">
        <f>'P - Ringfenced'!P59</f>
        <v>0</v>
      </c>
      <c r="NH59" s="2694">
        <f>'P - Ringfenced'!Q59</f>
        <v>0</v>
      </c>
      <c r="NI59" s="2516">
        <f>'P - Ringfenced'!R59</f>
        <v>0</v>
      </c>
      <c r="NJ59" s="1692">
        <f>'P - Ringfenced'!S59</f>
        <v>0</v>
      </c>
      <c r="NK59" s="684"/>
      <c r="NL59" s="684"/>
    </row>
    <row r="60" spans="13:376" ht="20.149999999999999" customHeight="1" thickBot="1">
      <c r="AN60" s="1745"/>
      <c r="BE60" s="1987"/>
      <c r="BF60" s="2243"/>
      <c r="BG60" s="2244" t="str">
        <f>'B - Monthly Positions'!C59</f>
        <v>Year-to-date (YTD)</v>
      </c>
      <c r="BH60" s="2244"/>
      <c r="BI60" s="2245" t="str">
        <f>'B - Monthly Positions'!E59</f>
        <v>£'000</v>
      </c>
      <c r="BJ60" s="2246"/>
      <c r="BK60" s="2247"/>
      <c r="BL60" s="2244" t="str">
        <f>'B - Monthly Positions'!H59</f>
        <v>Full-year surplus/ (deficit) scenarios</v>
      </c>
      <c r="BM60" s="2244"/>
      <c r="BN60" s="2244"/>
      <c r="BO60" s="2245" t="str">
        <f>'B - Monthly Positions'!K59</f>
        <v>£'000</v>
      </c>
      <c r="BP60" s="2246"/>
      <c r="BQ60" s="2248"/>
      <c r="BR60" s="2249"/>
      <c r="BS60" s="2249"/>
      <c r="BT60" s="2249"/>
      <c r="BU60" s="2226"/>
      <c r="BV60" s="1930"/>
      <c r="BW60" s="1930"/>
      <c r="BX60" s="1107">
        <f>' Table Z Net Exp Profiles'!A60</f>
        <v>43</v>
      </c>
      <c r="BY60" s="1270" t="str">
        <f>' Table Z Net Exp Profiles'!B60</f>
        <v>Net Non Pay Expenditure - Movement due to Covid-19</v>
      </c>
      <c r="BZ60" s="1110">
        <f>' Table Z Net Exp Profiles'!C60</f>
        <v>0</v>
      </c>
      <c r="CA60" s="1110">
        <f>' Table Z Net Exp Profiles'!D60</f>
        <v>0</v>
      </c>
      <c r="CB60" s="1110">
        <f>' Table Z Net Exp Profiles'!E60</f>
        <v>0</v>
      </c>
      <c r="CC60" s="1110">
        <f>' Table Z Net Exp Profiles'!F60</f>
        <v>0</v>
      </c>
      <c r="CD60" s="1110">
        <f>' Table Z Net Exp Profiles'!G60</f>
        <v>0</v>
      </c>
      <c r="CE60" s="1110">
        <f>' Table Z Net Exp Profiles'!H60</f>
        <v>0</v>
      </c>
      <c r="CF60" s="1110">
        <f>' Table Z Net Exp Profiles'!I60</f>
        <v>0</v>
      </c>
      <c r="CG60" s="1110">
        <f>' Table Z Net Exp Profiles'!J60</f>
        <v>0</v>
      </c>
      <c r="CH60" s="1110">
        <f>' Table Z Net Exp Profiles'!K60</f>
        <v>0</v>
      </c>
      <c r="CI60" s="1110">
        <f>' Table Z Net Exp Profiles'!L60</f>
        <v>0</v>
      </c>
      <c r="CJ60" s="1110">
        <f>' Table Z Net Exp Profiles'!M60</f>
        <v>0</v>
      </c>
      <c r="CK60" s="1110">
        <f>' Table Z Net Exp Profiles'!N60</f>
        <v>0</v>
      </c>
      <c r="CL60" s="1110">
        <f>' Table Z Net Exp Profiles'!O60</f>
        <v>0</v>
      </c>
      <c r="CM60" s="1110">
        <f>' Table Z Net Exp Profiles'!P60</f>
        <v>0</v>
      </c>
      <c r="CO60" s="1329">
        <f>'B2 - Pay &amp; Agency'!A60</f>
        <v>9</v>
      </c>
      <c r="CP60" s="1845" t="str">
        <f>'B2 - Pay &amp; Agency'!B60</f>
        <v>Restricted Duties</v>
      </c>
      <c r="CQ60" s="1776">
        <f>'B2 - Pay &amp; Agency'!C60</f>
        <v>0</v>
      </c>
      <c r="CR60" s="1777">
        <f>'B2 - Pay &amp; Agency'!D60</f>
        <v>0</v>
      </c>
      <c r="CS60" s="1777">
        <f>'B2 - Pay &amp; Agency'!E60</f>
        <v>0</v>
      </c>
      <c r="CT60" s="1777">
        <f>'B2 - Pay &amp; Agency'!F60</f>
        <v>0</v>
      </c>
      <c r="CU60" s="1777">
        <f>'B2 - Pay &amp; Agency'!G60</f>
        <v>0</v>
      </c>
      <c r="CV60" s="1777">
        <f>'B2 - Pay &amp; Agency'!H60</f>
        <v>0</v>
      </c>
      <c r="CW60" s="1777">
        <f>'B2 - Pay &amp; Agency'!I60</f>
        <v>0</v>
      </c>
      <c r="CX60" s="1777">
        <f>'B2 - Pay &amp; Agency'!J60</f>
        <v>0</v>
      </c>
      <c r="CY60" s="1777">
        <f>'B2 - Pay &amp; Agency'!K60</f>
        <v>0</v>
      </c>
      <c r="CZ60" s="1777">
        <f>'B2 - Pay &amp; Agency'!L60</f>
        <v>0</v>
      </c>
      <c r="DA60" s="1777">
        <f>'B2 - Pay &amp; Agency'!M60</f>
        <v>0</v>
      </c>
      <c r="DB60" s="1778">
        <f>'B2 - Pay &amp; Agency'!N60</f>
        <v>0</v>
      </c>
      <c r="DC60" s="1324">
        <f>'B2 - Pay &amp; Agency'!O60</f>
        <v>0</v>
      </c>
      <c r="DD60" s="1325">
        <f>'B2 - Pay &amp; Agency'!P60</f>
        <v>0</v>
      </c>
      <c r="DF60" s="2838">
        <f>'B3 - COVID-19'!A60</f>
        <v>38</v>
      </c>
      <c r="DG60" s="2844" t="str">
        <f>'B3 - COVID-19'!B60</f>
        <v xml:space="preserve">Estates &amp; Ancillary </v>
      </c>
      <c r="DH60" s="1903">
        <f>'B3 - COVID-19'!C60</f>
        <v>0</v>
      </c>
      <c r="DI60" s="1903">
        <f>'B3 - COVID-19'!D60</f>
        <v>0</v>
      </c>
      <c r="DJ60" s="1903">
        <f>'B3 - COVID-19'!E60</f>
        <v>0</v>
      </c>
      <c r="DK60" s="1903">
        <f>'B3 - COVID-19'!F60</f>
        <v>0</v>
      </c>
      <c r="DL60" s="1903">
        <f>'B3 - COVID-19'!G60</f>
        <v>0</v>
      </c>
      <c r="DM60" s="1903">
        <f>'B3 - COVID-19'!H60</f>
        <v>0</v>
      </c>
      <c r="DN60" s="1903">
        <f>'B3 - COVID-19'!I60</f>
        <v>0</v>
      </c>
      <c r="DO60" s="1903">
        <f>'B3 - COVID-19'!J60</f>
        <v>0</v>
      </c>
      <c r="DP60" s="1903">
        <f>'B3 - COVID-19'!K60</f>
        <v>0</v>
      </c>
      <c r="DQ60" s="1903">
        <f>'B3 - COVID-19'!L60</f>
        <v>0</v>
      </c>
      <c r="DR60" s="1903">
        <f>'B3 - COVID-19'!M60</f>
        <v>0</v>
      </c>
      <c r="DS60" s="1903">
        <f>'B3 - COVID-19'!N60</f>
        <v>0</v>
      </c>
      <c r="DT60" s="1863">
        <f>'B3 - COVID-19'!O60</f>
        <v>0</v>
      </c>
      <c r="DU60" s="1863">
        <f>'B3 - COVID-19'!P60</f>
        <v>0</v>
      </c>
      <c r="DV60" s="608"/>
      <c r="DW60" s="1116"/>
      <c r="DY60" s="2095">
        <f>'C, C1, C2&amp; C3 - Savings Schemes'!A60</f>
        <v>8</v>
      </c>
      <c r="DZ60" s="3039"/>
      <c r="EA60" s="90" t="str">
        <f>'C, C1, C2&amp; C3 - Savings Schemes'!C60</f>
        <v>Actual/F'cast</v>
      </c>
      <c r="EB60" s="1782">
        <f>'C, C1, C2&amp; C3 - Savings Schemes'!D60</f>
        <v>0</v>
      </c>
      <c r="EC60" s="1783">
        <f>'C, C1, C2&amp; C3 - Savings Schemes'!E60</f>
        <v>0</v>
      </c>
      <c r="ED60" s="1783">
        <f>'C, C1, C2&amp; C3 - Savings Schemes'!F60</f>
        <v>0</v>
      </c>
      <c r="EE60" s="1783">
        <f>'C, C1, C2&amp; C3 - Savings Schemes'!G60</f>
        <v>0</v>
      </c>
      <c r="EF60" s="1783">
        <f>'C, C1, C2&amp; C3 - Savings Schemes'!H60</f>
        <v>0</v>
      </c>
      <c r="EG60" s="1783">
        <f>'C, C1, C2&amp; C3 - Savings Schemes'!I60</f>
        <v>0</v>
      </c>
      <c r="EH60" s="1783">
        <f>'C, C1, C2&amp; C3 - Savings Schemes'!J60</f>
        <v>0</v>
      </c>
      <c r="EI60" s="1783">
        <f>'C, C1, C2&amp; C3 - Savings Schemes'!K60</f>
        <v>0</v>
      </c>
      <c r="EJ60" s="1783">
        <f>'C, C1, C2&amp; C3 - Savings Schemes'!L60</f>
        <v>0</v>
      </c>
      <c r="EK60" s="1783">
        <f>'C, C1, C2&amp; C3 - Savings Schemes'!M60</f>
        <v>0</v>
      </c>
      <c r="EL60" s="1783">
        <f>'C, C1, C2&amp; C3 - Savings Schemes'!N60</f>
        <v>0</v>
      </c>
      <c r="EM60" s="1784">
        <f>'C, C1, C2&amp; C3 - Savings Schemes'!O60</f>
        <v>0</v>
      </c>
      <c r="EN60" s="121">
        <f>'C, C1, C2&amp; C3 - Savings Schemes'!P60</f>
        <v>0</v>
      </c>
      <c r="EO60" s="940">
        <f>'C, C1, C2&amp; C3 - Savings Schemes'!Q60</f>
        <v>0</v>
      </c>
      <c r="EP60" s="1930"/>
      <c r="EQ60" s="1930"/>
      <c r="ER60" s="1930"/>
      <c r="ES60" s="1930"/>
      <c r="ET60" s="1930"/>
      <c r="EU60" s="1930"/>
      <c r="EV60" s="1930"/>
      <c r="EW60" s="1930"/>
      <c r="EX60" s="1932"/>
      <c r="EY60" s="1932"/>
      <c r="EZ60" s="1932"/>
      <c r="FA60" s="1932"/>
      <c r="FB60" s="1932"/>
      <c r="FC60" s="1932"/>
      <c r="FD60" s="1932"/>
      <c r="FE60" s="1932"/>
      <c r="FF60" s="1932"/>
      <c r="FG60" s="1932"/>
      <c r="FH60" s="1932"/>
      <c r="FI60" s="1932"/>
      <c r="FJ60" s="1932"/>
      <c r="FK60" s="1932"/>
      <c r="FL60" s="1932"/>
      <c r="FM60" s="1932"/>
      <c r="FN60" s="1932"/>
      <c r="FO60" s="1932"/>
      <c r="FP60" s="1932"/>
      <c r="FQ60" s="1932"/>
      <c r="FR60" s="1932"/>
      <c r="FS60" s="1932"/>
      <c r="GF60" s="2112">
        <f>'E - Resource Limits'!A60</f>
        <v>48</v>
      </c>
      <c r="GG60" s="2113">
        <f>'E - Resource Limits'!B60</f>
        <v>0</v>
      </c>
      <c r="GH60" s="2114">
        <f>'E - Resource Limits'!C60</f>
        <v>0</v>
      </c>
      <c r="GI60" s="2114">
        <f>'E - Resource Limits'!D60</f>
        <v>0</v>
      </c>
      <c r="GJ60" s="2114">
        <f>'E - Resource Limits'!E60</f>
        <v>0</v>
      </c>
      <c r="GK60" s="2114">
        <f>'E - Resource Limits'!F60</f>
        <v>0</v>
      </c>
      <c r="GL60" s="2048">
        <f>'E - Resource Limits'!G60</f>
        <v>0</v>
      </c>
      <c r="GM60" s="2115">
        <f>'E - Resource Limits'!H60</f>
        <v>0</v>
      </c>
      <c r="GN60" s="2114">
        <f>'E - Resource Limits'!I60</f>
        <v>0</v>
      </c>
      <c r="GO60" s="2114">
        <f>'E - Resource Limits'!J60</f>
        <v>0</v>
      </c>
      <c r="GP60" s="2114">
        <f>'E - Resource Limits'!K60</f>
        <v>0</v>
      </c>
      <c r="GQ60" s="2116">
        <f>'E - Resource Limits'!L60</f>
        <v>0</v>
      </c>
      <c r="GR60" s="1935">
        <f t="shared" si="6"/>
        <v>0</v>
      </c>
      <c r="GT60" s="346">
        <f>'E1 - Invoiced Income'!A60</f>
        <v>45</v>
      </c>
      <c r="GU60" s="2609">
        <f>'E1 - Invoiced Income'!B60</f>
        <v>0</v>
      </c>
      <c r="GV60" s="25">
        <f>'E1 - Invoiced Income'!C60</f>
        <v>0</v>
      </c>
      <c r="GW60" s="2527">
        <f>'E1 - Invoiced Income'!D60</f>
        <v>0</v>
      </c>
      <c r="GX60" s="196">
        <f>'E1 - Invoiced Income'!E60</f>
        <v>0</v>
      </c>
      <c r="GY60" s="2527">
        <f>'E1 - Invoiced Income'!F60</f>
        <v>0</v>
      </c>
      <c r="GZ60" s="2527">
        <f>'E1 - Invoiced Income'!G60</f>
        <v>0</v>
      </c>
      <c r="HA60" s="2527">
        <f>'E1 - Invoiced Income'!H60</f>
        <v>0</v>
      </c>
      <c r="HB60" s="2527">
        <f>'E1 - Invoiced Income'!I60</f>
        <v>0</v>
      </c>
      <c r="HC60" s="71"/>
      <c r="HD60" s="71"/>
      <c r="HE60" s="71"/>
      <c r="HF60" s="71"/>
      <c r="HG60" s="71"/>
      <c r="HH60" s="71"/>
      <c r="HI60" s="71"/>
      <c r="HJ60" s="71"/>
      <c r="HK60" s="71"/>
      <c r="HL60" s="71"/>
      <c r="HM60" s="71"/>
      <c r="HO60" s="2350">
        <f>'F - SoFP'!A60</f>
        <v>36</v>
      </c>
      <c r="HP60" s="2351">
        <f>'F - SoFP'!B60</f>
        <v>0</v>
      </c>
      <c r="HQ60" s="2010">
        <f>'F - SoFP'!C60</f>
        <v>0</v>
      </c>
      <c r="HR60" s="2010">
        <f>'F - SoFP'!D60</f>
        <v>0</v>
      </c>
      <c r="HS60" s="2010">
        <f>'F - SoFP'!E60</f>
        <v>0</v>
      </c>
      <c r="HT60" s="2352">
        <f t="shared" si="19"/>
        <v>0</v>
      </c>
      <c r="JD60" s="2301">
        <f>'I - Capital RLM'!A60</f>
        <v>42</v>
      </c>
      <c r="JE60" s="2361" t="str">
        <f>'I - Capital RLM'!B60</f>
        <v>Sub Total</v>
      </c>
      <c r="JF60" s="2037">
        <f>'I - Capital RLM'!C60</f>
        <v>0</v>
      </c>
      <c r="JG60" s="2037">
        <f>'I - Capital RLM'!D60</f>
        <v>0</v>
      </c>
      <c r="JH60" s="2037">
        <f>'I - Capital RLM'!E60</f>
        <v>0</v>
      </c>
      <c r="JI60" s="2119">
        <f>'I - Capital RLM'!F60</f>
        <v>0</v>
      </c>
      <c r="JJ60" s="2037">
        <f>'I - Capital RLM'!G60</f>
        <v>0</v>
      </c>
      <c r="JK60" s="2037">
        <f>'I - Capital RLM'!H60</f>
        <v>0</v>
      </c>
      <c r="JL60" s="2037">
        <f>'I - Capital RLM'!I60</f>
        <v>0</v>
      </c>
      <c r="JM60" s="2120"/>
      <c r="JN60" s="759"/>
      <c r="JO60" s="2060">
        <f>SUM(JO19:JO59)</f>
        <v>0</v>
      </c>
      <c r="JQ60" s="2088">
        <f>'J - Capital In Year Schemes'!A60</f>
        <v>45</v>
      </c>
      <c r="JR60" s="2126">
        <f>'J - Capital In Year Schemes'!B60</f>
        <v>0</v>
      </c>
      <c r="JS60" s="2126">
        <f>'J - Capital In Year Schemes'!C60</f>
        <v>0</v>
      </c>
      <c r="JT60" s="2325">
        <f>'J - Capital In Year Schemes'!D60</f>
        <v>0</v>
      </c>
      <c r="JU60" s="2010">
        <f>'J - Capital In Year Schemes'!E60</f>
        <v>0</v>
      </c>
      <c r="JV60" s="2010">
        <f>'J - Capital In Year Schemes'!F60</f>
        <v>0</v>
      </c>
      <c r="JW60" s="2010">
        <f>'J - Capital In Year Schemes'!G60</f>
        <v>0</v>
      </c>
      <c r="JX60" s="2010">
        <f>'J - Capital In Year Schemes'!H60</f>
        <v>0</v>
      </c>
      <c r="JY60" s="2010">
        <f>'J - Capital In Year Schemes'!I60</f>
        <v>0</v>
      </c>
      <c r="JZ60" s="2010">
        <f>'J - Capital In Year Schemes'!J60</f>
        <v>0</v>
      </c>
      <c r="KA60" s="2010">
        <f>'J - Capital In Year Schemes'!K60</f>
        <v>0</v>
      </c>
      <c r="KB60" s="2010">
        <f>'J - Capital In Year Schemes'!L60</f>
        <v>0</v>
      </c>
      <c r="KC60" s="2010">
        <f>'J - Capital In Year Schemes'!M60</f>
        <v>0</v>
      </c>
      <c r="KD60" s="2010">
        <f>'J - Capital In Year Schemes'!N60</f>
        <v>0</v>
      </c>
      <c r="KE60" s="2010">
        <f>'J - Capital In Year Schemes'!O60</f>
        <v>0</v>
      </c>
      <c r="KF60" s="2010">
        <f>'J - Capital In Year Schemes'!P60</f>
        <v>0</v>
      </c>
      <c r="KG60" s="2010">
        <f>'J - Capital In Year Schemes'!Q60</f>
        <v>0</v>
      </c>
      <c r="KH60" s="2090">
        <f>'J - Capital In Year Schemes'!R60</f>
        <v>0</v>
      </c>
      <c r="KI60" s="2090">
        <f>'J - Capital In Year Schemes'!S60</f>
        <v>0</v>
      </c>
      <c r="KJ60" s="2091">
        <f>'J - Capital In Year Schemes'!T60</f>
        <v>0</v>
      </c>
      <c r="KK60" s="2060"/>
      <c r="LL60" s="814"/>
      <c r="LM60" s="2197">
        <f>'M - Aged Debtors'!B60</f>
        <v>0</v>
      </c>
      <c r="LN60" s="2198">
        <f>'M - Aged Debtors'!C60</f>
        <v>0</v>
      </c>
      <c r="LO60" s="2199">
        <f>'M - Aged Debtors'!D60</f>
        <v>0</v>
      </c>
      <c r="LP60" s="2200">
        <f>'M - Aged Debtors'!E60</f>
        <v>0</v>
      </c>
      <c r="LQ60" s="2201">
        <f>'M - Aged Debtors'!F60</f>
        <v>0</v>
      </c>
      <c r="LR60" s="832" t="str">
        <f>'M - Aged Debtors'!G60</f>
        <v/>
      </c>
      <c r="LS60" s="829" t="str">
        <f>'M - Aged Debtors'!H60</f>
        <v/>
      </c>
      <c r="LT60" s="829" t="str">
        <f>'M - Aged Debtors'!I60</f>
        <v/>
      </c>
      <c r="LU60" s="830" t="str">
        <f>'M - Aged Debtors'!J60</f>
        <v/>
      </c>
      <c r="LV60" s="1830">
        <f>'M - Aged Debtors'!K60</f>
        <v>0</v>
      </c>
      <c r="LX60" s="462" t="str">
        <f>'N - GMS'!A60</f>
        <v>Minor injury services</v>
      </c>
      <c r="LY60" s="489"/>
      <c r="LZ60" s="461">
        <f>'N - GMS'!C60</f>
        <v>38</v>
      </c>
      <c r="MA60" s="2230">
        <f>'N - GMS'!D60</f>
        <v>0</v>
      </c>
      <c r="MB60" s="2231">
        <f>'N - GMS'!E60</f>
        <v>0</v>
      </c>
      <c r="MC60" s="2231">
        <f>'N - GMS'!F60</f>
        <v>0</v>
      </c>
      <c r="MD60" s="2294">
        <f>'N - GMS'!G60</f>
        <v>0</v>
      </c>
      <c r="ME60" s="1170"/>
      <c r="MF60" s="1028">
        <f>'N - GMS'!I60</f>
        <v>0</v>
      </c>
      <c r="MH60" s="71"/>
      <c r="MI60" s="71"/>
      <c r="MJ60" s="71"/>
      <c r="MK60" s="71"/>
      <c r="ML60" s="71"/>
      <c r="MM60" s="71"/>
      <c r="MN60" s="71"/>
      <c r="MO60" s="71"/>
      <c r="MP60" s="71"/>
      <c r="MR60" s="684"/>
      <c r="MS60" s="2688">
        <f>'P - Ringfenced'!B60</f>
        <v>0</v>
      </c>
      <c r="MT60" s="2691">
        <f>'P - Ringfenced'!C60</f>
        <v>0</v>
      </c>
      <c r="MU60" s="2699">
        <f>'P - Ringfenced'!D60</f>
        <v>0</v>
      </c>
      <c r="MV60" s="2699">
        <f>'P - Ringfenced'!E60</f>
        <v>0</v>
      </c>
      <c r="MW60" s="2693">
        <f>'P - Ringfenced'!F60</f>
        <v>0</v>
      </c>
      <c r="MX60" s="2693">
        <f>'P - Ringfenced'!G60</f>
        <v>0</v>
      </c>
      <c r="MY60" s="2693">
        <f>'P - Ringfenced'!H60</f>
        <v>0</v>
      </c>
      <c r="MZ60" s="2693">
        <f>'P - Ringfenced'!I60</f>
        <v>0</v>
      </c>
      <c r="NA60" s="2693">
        <f>'P - Ringfenced'!J60</f>
        <v>0</v>
      </c>
      <c r="NB60" s="2693">
        <f>'P - Ringfenced'!K60</f>
        <v>0</v>
      </c>
      <c r="NC60" s="2693">
        <f>'P - Ringfenced'!L60</f>
        <v>0</v>
      </c>
      <c r="ND60" s="2693">
        <f>'P - Ringfenced'!M60</f>
        <v>0</v>
      </c>
      <c r="NE60" s="2693">
        <f>'P - Ringfenced'!N60</f>
        <v>0</v>
      </c>
      <c r="NF60" s="2693">
        <f>'P - Ringfenced'!O60</f>
        <v>0</v>
      </c>
      <c r="NG60" s="2693">
        <f>'P - Ringfenced'!P60</f>
        <v>0</v>
      </c>
      <c r="NH60" s="2693">
        <f>'P - Ringfenced'!Q60</f>
        <v>0</v>
      </c>
      <c r="NI60" s="1339">
        <f>'P - Ringfenced'!R60</f>
        <v>0</v>
      </c>
      <c r="NJ60" s="2672">
        <f>'P - Ringfenced'!S60</f>
        <v>0</v>
      </c>
      <c r="NK60" s="684"/>
      <c r="NL60" s="684"/>
    </row>
    <row r="61" spans="13:376" ht="20.149999999999999" customHeight="1" thickBot="1">
      <c r="BE61" s="1987"/>
      <c r="BF61" s="2254"/>
      <c r="BG61" s="1999" t="str">
        <f>'B - Monthly Positions'!C60</f>
        <v>28 . Actual YTD surplus/ (deficit)</v>
      </c>
      <c r="BH61" s="2250"/>
      <c r="BI61" s="2255">
        <f>'B - Monthly Positions'!E60</f>
        <v>50</v>
      </c>
      <c r="BJ61" s="2050"/>
      <c r="BK61" s="2256"/>
      <c r="BL61" s="2257" t="str">
        <f>'B - Monthly Positions'!H60</f>
        <v>33. Extrapolated Scenario</v>
      </c>
      <c r="BM61" s="2258"/>
      <c r="BN61" s="2258"/>
      <c r="BO61" s="2255">
        <f>'B - Monthly Positions'!K60</f>
        <v>600</v>
      </c>
      <c r="BP61" s="2259"/>
      <c r="BQ61" s="2260"/>
      <c r="BR61" s="2261"/>
      <c r="BS61" s="2262"/>
      <c r="BT61" s="2262"/>
      <c r="BU61" s="2263"/>
      <c r="BV61" s="1930"/>
      <c r="BW61" s="1930"/>
      <c r="BX61" s="1107">
        <f>' Table Z Net Exp Profiles'!A61</f>
        <v>44</v>
      </c>
      <c r="BY61" s="1270" t="str">
        <f>' Table Z Net Exp Profiles'!B61</f>
        <v>Net Non Pay Expenditure - Movement Other</v>
      </c>
      <c r="BZ61" s="1110">
        <f>' Table Z Net Exp Profiles'!C61</f>
        <v>0</v>
      </c>
      <c r="CA61" s="1110">
        <f>' Table Z Net Exp Profiles'!D61</f>
        <v>0</v>
      </c>
      <c r="CB61" s="1110">
        <f>' Table Z Net Exp Profiles'!E61</f>
        <v>0</v>
      </c>
      <c r="CC61" s="1110">
        <f>' Table Z Net Exp Profiles'!F61</f>
        <v>0</v>
      </c>
      <c r="CD61" s="1110">
        <f>' Table Z Net Exp Profiles'!G61</f>
        <v>0</v>
      </c>
      <c r="CE61" s="1110">
        <f>' Table Z Net Exp Profiles'!H61</f>
        <v>0</v>
      </c>
      <c r="CF61" s="1110">
        <f>' Table Z Net Exp Profiles'!I61</f>
        <v>0</v>
      </c>
      <c r="CG61" s="1110">
        <f>' Table Z Net Exp Profiles'!J61</f>
        <v>0</v>
      </c>
      <c r="CH61" s="1110">
        <f>' Table Z Net Exp Profiles'!K61</f>
        <v>0</v>
      </c>
      <c r="CI61" s="1110">
        <f>' Table Z Net Exp Profiles'!L61</f>
        <v>0</v>
      </c>
      <c r="CJ61" s="1110">
        <f>' Table Z Net Exp Profiles'!M61</f>
        <v>0</v>
      </c>
      <c r="CK61" s="1110">
        <f>' Table Z Net Exp Profiles'!N61</f>
        <v>0</v>
      </c>
      <c r="CL61" s="1110">
        <f>' Table Z Net Exp Profiles'!O61</f>
        <v>0</v>
      </c>
      <c r="CM61" s="1110">
        <f>' Table Z Net Exp Profiles'!P61</f>
        <v>0</v>
      </c>
      <c r="CO61" s="1329">
        <f>'B2 - Pay &amp; Agency'!A61</f>
        <v>10</v>
      </c>
      <c r="CP61" s="1845" t="str">
        <f>'B2 - Pay &amp; Agency'!B61</f>
        <v>Jury Service</v>
      </c>
      <c r="CQ61" s="1776">
        <f>'B2 - Pay &amp; Agency'!C61</f>
        <v>0</v>
      </c>
      <c r="CR61" s="1777">
        <f>'B2 - Pay &amp; Agency'!D61</f>
        <v>0</v>
      </c>
      <c r="CS61" s="1777">
        <f>'B2 - Pay &amp; Agency'!E61</f>
        <v>0</v>
      </c>
      <c r="CT61" s="1777">
        <f>'B2 - Pay &amp; Agency'!F61</f>
        <v>0</v>
      </c>
      <c r="CU61" s="1777">
        <f>'B2 - Pay &amp; Agency'!G61</f>
        <v>0</v>
      </c>
      <c r="CV61" s="1777">
        <f>'B2 - Pay &amp; Agency'!H61</f>
        <v>0</v>
      </c>
      <c r="CW61" s="1777">
        <f>'B2 - Pay &amp; Agency'!I61</f>
        <v>0</v>
      </c>
      <c r="CX61" s="1777">
        <f>'B2 - Pay &amp; Agency'!J61</f>
        <v>0</v>
      </c>
      <c r="CY61" s="1777">
        <f>'B2 - Pay &amp; Agency'!K61</f>
        <v>0</v>
      </c>
      <c r="CZ61" s="1777">
        <f>'B2 - Pay &amp; Agency'!L61</f>
        <v>0</v>
      </c>
      <c r="DA61" s="1777">
        <f>'B2 - Pay &amp; Agency'!M61</f>
        <v>0</v>
      </c>
      <c r="DB61" s="1778">
        <f>'B2 - Pay &amp; Agency'!N61</f>
        <v>0</v>
      </c>
      <c r="DC61" s="1324">
        <f>'B2 - Pay &amp; Agency'!O61</f>
        <v>0</v>
      </c>
      <c r="DD61" s="1325">
        <f>'B2 - Pay &amp; Agency'!P61</f>
        <v>0</v>
      </c>
      <c r="DF61" s="2838">
        <f>'B3 - COVID-19'!A61</f>
        <v>39</v>
      </c>
      <c r="DG61" s="2844" t="str">
        <f>'B3 - COVID-19'!B61</f>
        <v>Students</v>
      </c>
      <c r="DH61" s="1903">
        <f>'B3 - COVID-19'!C61</f>
        <v>0</v>
      </c>
      <c r="DI61" s="1903">
        <f>'B3 - COVID-19'!D61</f>
        <v>0</v>
      </c>
      <c r="DJ61" s="1903">
        <f>'B3 - COVID-19'!E61</f>
        <v>0</v>
      </c>
      <c r="DK61" s="1903">
        <f>'B3 - COVID-19'!F61</f>
        <v>0</v>
      </c>
      <c r="DL61" s="1903">
        <f>'B3 - COVID-19'!G61</f>
        <v>0</v>
      </c>
      <c r="DM61" s="1903">
        <f>'B3 - COVID-19'!H61</f>
        <v>0</v>
      </c>
      <c r="DN61" s="1903">
        <f>'B3 - COVID-19'!I61</f>
        <v>0</v>
      </c>
      <c r="DO61" s="1903">
        <f>'B3 - COVID-19'!J61</f>
        <v>0</v>
      </c>
      <c r="DP61" s="1903">
        <f>'B3 - COVID-19'!K61</f>
        <v>0</v>
      </c>
      <c r="DQ61" s="1903">
        <f>'B3 - COVID-19'!L61</f>
        <v>0</v>
      </c>
      <c r="DR61" s="1903">
        <f>'B3 - COVID-19'!M61</f>
        <v>0</v>
      </c>
      <c r="DS61" s="1903">
        <f>'B3 - COVID-19'!N61</f>
        <v>0</v>
      </c>
      <c r="DT61" s="1863">
        <f>'B3 - COVID-19'!O61</f>
        <v>0</v>
      </c>
      <c r="DU61" s="1863">
        <f>'B3 - COVID-19'!P61</f>
        <v>0</v>
      </c>
      <c r="DV61" s="608"/>
      <c r="DW61" s="1116"/>
      <c r="DY61" s="2095">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9">
        <f>'C, C1, C2&amp; C3 - Savings Schemes'!O61</f>
        <v>0</v>
      </c>
      <c r="EN61" s="124">
        <f>'C, C1, C2&amp; C3 - Savings Schemes'!P61</f>
        <v>0</v>
      </c>
      <c r="EO61" s="939">
        <f>'C, C1, C2&amp; C3 - Savings Schemes'!Q61</f>
        <v>0</v>
      </c>
      <c r="EP61" s="1930"/>
      <c r="EQ61" s="1930"/>
      <c r="ER61" s="1930"/>
      <c r="ES61" s="1930"/>
      <c r="ET61" s="1930"/>
      <c r="EU61" s="1930"/>
      <c r="EV61" s="1930"/>
      <c r="EW61" s="1930"/>
      <c r="EX61" s="1932"/>
      <c r="EY61" s="1932"/>
      <c r="EZ61" s="1932"/>
      <c r="FA61" s="1932"/>
      <c r="FB61" s="1932"/>
      <c r="FC61" s="1932"/>
      <c r="FD61" s="1932"/>
      <c r="FE61" s="1932"/>
      <c r="FF61" s="1932"/>
      <c r="FG61" s="1932"/>
      <c r="FH61" s="1932"/>
      <c r="FI61" s="1932"/>
      <c r="FJ61" s="1932"/>
      <c r="FK61" s="1932"/>
      <c r="FL61" s="1932"/>
      <c r="FM61" s="1932"/>
      <c r="FN61" s="1932"/>
      <c r="FO61" s="1932"/>
      <c r="FP61" s="1932"/>
      <c r="FQ61" s="1932"/>
      <c r="FR61" s="1932"/>
      <c r="FS61" s="1932"/>
      <c r="GF61" s="2112">
        <f>'E - Resource Limits'!A61</f>
        <v>49</v>
      </c>
      <c r="GG61" s="2113">
        <f>'E - Resource Limits'!B61</f>
        <v>0</v>
      </c>
      <c r="GH61" s="2114">
        <f>'E - Resource Limits'!C61</f>
        <v>0</v>
      </c>
      <c r="GI61" s="2114">
        <f>'E - Resource Limits'!D61</f>
        <v>0</v>
      </c>
      <c r="GJ61" s="2114">
        <f>'E - Resource Limits'!E61</f>
        <v>0</v>
      </c>
      <c r="GK61" s="2114">
        <f>'E - Resource Limits'!F61</f>
        <v>0</v>
      </c>
      <c r="GL61" s="2048">
        <f>'E - Resource Limits'!G61</f>
        <v>0</v>
      </c>
      <c r="GM61" s="2115">
        <f>'E - Resource Limits'!H61</f>
        <v>0</v>
      </c>
      <c r="GN61" s="2114">
        <f>'E - Resource Limits'!I61</f>
        <v>0</v>
      </c>
      <c r="GO61" s="2114">
        <f>'E - Resource Limits'!J61</f>
        <v>0</v>
      </c>
      <c r="GP61" s="2114">
        <f>'E - Resource Limits'!K61</f>
        <v>0</v>
      </c>
      <c r="GQ61" s="2116">
        <f>'E - Resource Limits'!L61</f>
        <v>0</v>
      </c>
      <c r="GR61" s="1935">
        <f t="shared" si="6"/>
        <v>0</v>
      </c>
      <c r="GT61" s="346">
        <f>'E1 - Invoiced Income'!A61</f>
        <v>46</v>
      </c>
      <c r="GU61" s="2609">
        <f>'E1 - Invoiced Income'!B61</f>
        <v>0</v>
      </c>
      <c r="GV61" s="25">
        <f>'E1 - Invoiced Income'!C61</f>
        <v>0</v>
      </c>
      <c r="GW61" s="2527">
        <f>'E1 - Invoiced Income'!D61</f>
        <v>0</v>
      </c>
      <c r="GX61" s="196">
        <f>'E1 - Invoiced Income'!E61</f>
        <v>0</v>
      </c>
      <c r="GY61" s="2527">
        <f>'E1 - Invoiced Income'!F61</f>
        <v>0</v>
      </c>
      <c r="GZ61" s="2527">
        <f>'E1 - Invoiced Income'!G61</f>
        <v>0</v>
      </c>
      <c r="HA61" s="2527">
        <f>'E1 - Invoiced Income'!H61</f>
        <v>0</v>
      </c>
      <c r="HB61" s="2527">
        <f>'E1 - Invoiced Income'!I61</f>
        <v>0</v>
      </c>
      <c r="HC61" s="71"/>
      <c r="HD61" s="71"/>
      <c r="HE61" s="71"/>
      <c r="HF61" s="71"/>
      <c r="HG61" s="71"/>
      <c r="HH61" s="71"/>
      <c r="HI61" s="71"/>
      <c r="HJ61" s="71"/>
      <c r="HK61" s="71"/>
      <c r="HL61" s="71"/>
      <c r="HM61" s="71"/>
      <c r="HO61" s="2350">
        <f>'F - SoFP'!A61</f>
        <v>37</v>
      </c>
      <c r="HP61" s="2351">
        <f>'F - SoFP'!B61</f>
        <v>0</v>
      </c>
      <c r="HQ61" s="2010">
        <f>'F - SoFP'!C61</f>
        <v>0</v>
      </c>
      <c r="HR61" s="2010">
        <f>'F - SoFP'!D61</f>
        <v>0</v>
      </c>
      <c r="HS61" s="2010">
        <f>'F - SoFP'!E61</f>
        <v>0</v>
      </c>
      <c r="HT61" s="2352">
        <f t="shared" si="19"/>
        <v>0</v>
      </c>
      <c r="JD61" s="2363"/>
      <c r="JE61" s="2364"/>
      <c r="JF61" s="2097"/>
      <c r="JG61" s="2097"/>
      <c r="JH61" s="2097"/>
      <c r="JI61" s="1943"/>
      <c r="JJ61" s="2097"/>
      <c r="JK61" s="2097"/>
      <c r="JL61" s="2097"/>
      <c r="JM61" s="2060"/>
      <c r="JN61" s="759"/>
      <c r="JO61" s="2060"/>
      <c r="JQ61" s="2088">
        <f>'J - Capital In Year Schemes'!A61</f>
        <v>46</v>
      </c>
      <c r="JR61" s="2126">
        <f>'J - Capital In Year Schemes'!B61</f>
        <v>0</v>
      </c>
      <c r="JS61" s="2126">
        <f>'J - Capital In Year Schemes'!C61</f>
        <v>0</v>
      </c>
      <c r="JT61" s="2325">
        <f>'J - Capital In Year Schemes'!D61</f>
        <v>0</v>
      </c>
      <c r="JU61" s="2010">
        <f>'J - Capital In Year Schemes'!E61</f>
        <v>0</v>
      </c>
      <c r="JV61" s="2010">
        <f>'J - Capital In Year Schemes'!F61</f>
        <v>0</v>
      </c>
      <c r="JW61" s="2010">
        <f>'J - Capital In Year Schemes'!G61</f>
        <v>0</v>
      </c>
      <c r="JX61" s="2010">
        <f>'J - Capital In Year Schemes'!H61</f>
        <v>0</v>
      </c>
      <c r="JY61" s="2010">
        <f>'J - Capital In Year Schemes'!I61</f>
        <v>0</v>
      </c>
      <c r="JZ61" s="2010">
        <f>'J - Capital In Year Schemes'!J61</f>
        <v>0</v>
      </c>
      <c r="KA61" s="2010">
        <f>'J - Capital In Year Schemes'!K61</f>
        <v>0</v>
      </c>
      <c r="KB61" s="2010">
        <f>'J - Capital In Year Schemes'!L61</f>
        <v>0</v>
      </c>
      <c r="KC61" s="2010">
        <f>'J - Capital In Year Schemes'!M61</f>
        <v>0</v>
      </c>
      <c r="KD61" s="2010">
        <f>'J - Capital In Year Schemes'!N61</f>
        <v>0</v>
      </c>
      <c r="KE61" s="2010">
        <f>'J - Capital In Year Schemes'!O61</f>
        <v>0</v>
      </c>
      <c r="KF61" s="2010">
        <f>'J - Capital In Year Schemes'!P61</f>
        <v>0</v>
      </c>
      <c r="KG61" s="2010">
        <f>'J - Capital In Year Schemes'!Q61</f>
        <v>0</v>
      </c>
      <c r="KH61" s="2090">
        <f>'J - Capital In Year Schemes'!R61</f>
        <v>0</v>
      </c>
      <c r="KI61" s="2090">
        <f>'J - Capital In Year Schemes'!S61</f>
        <v>0</v>
      </c>
      <c r="KJ61" s="2091">
        <f>'J - Capital In Year Schemes'!T61</f>
        <v>0</v>
      </c>
      <c r="KK61" s="2060"/>
      <c r="LL61" s="814"/>
      <c r="LM61" s="2197">
        <f>'M - Aged Debtors'!B61</f>
        <v>0</v>
      </c>
      <c r="LN61" s="2198">
        <f>'M - Aged Debtors'!C61</f>
        <v>0</v>
      </c>
      <c r="LO61" s="2199">
        <f>'M - Aged Debtors'!D61</f>
        <v>0</v>
      </c>
      <c r="LP61" s="2200">
        <f>'M - Aged Debtors'!E61</f>
        <v>0</v>
      </c>
      <c r="LQ61" s="2201">
        <f>'M - Aged Debtors'!F61</f>
        <v>0</v>
      </c>
      <c r="LR61" s="832" t="str">
        <f>'M - Aged Debtors'!G61</f>
        <v/>
      </c>
      <c r="LS61" s="829" t="str">
        <f>'M - Aged Debtors'!H61</f>
        <v/>
      </c>
      <c r="LT61" s="829" t="str">
        <f>'M - Aged Debtors'!I61</f>
        <v/>
      </c>
      <c r="LU61" s="830" t="str">
        <f>'M - Aged Debtors'!J61</f>
        <v/>
      </c>
      <c r="LV61" s="1830">
        <f>'M - Aged Debtors'!K61</f>
        <v>0</v>
      </c>
      <c r="LX61" s="462" t="str">
        <f>'N - GMS'!A61</f>
        <v>Diabetes</v>
      </c>
      <c r="LY61" s="489"/>
      <c r="LZ61" s="461">
        <f>'N - GMS'!C61</f>
        <v>39</v>
      </c>
      <c r="MA61" s="2230">
        <f>'N - GMS'!D61</f>
        <v>0</v>
      </c>
      <c r="MB61" s="2231">
        <f>'N - GMS'!E61</f>
        <v>0</v>
      </c>
      <c r="MC61" s="2231">
        <f>'N - GMS'!F61</f>
        <v>0</v>
      </c>
      <c r="MD61" s="2294">
        <f>'N - GMS'!G61</f>
        <v>0</v>
      </c>
      <c r="ME61" s="1170"/>
      <c r="MF61" s="1028">
        <f>'N - GMS'!I61</f>
        <v>0</v>
      </c>
      <c r="MR61" s="684"/>
      <c r="MS61" s="2688">
        <f>'P - Ringfenced'!B61</f>
        <v>0</v>
      </c>
      <c r="MT61" s="2691">
        <f>'P - Ringfenced'!C61</f>
        <v>0</v>
      </c>
      <c r="MU61" s="2699">
        <f>'P - Ringfenced'!D61</f>
        <v>0</v>
      </c>
      <c r="MV61" s="2699">
        <f>'P - Ringfenced'!E61</f>
        <v>0</v>
      </c>
      <c r="MW61" s="2693">
        <f>'P - Ringfenced'!F61</f>
        <v>0</v>
      </c>
      <c r="MX61" s="2693">
        <f>'P - Ringfenced'!G61</f>
        <v>0</v>
      </c>
      <c r="MY61" s="2693">
        <f>'P - Ringfenced'!H61</f>
        <v>0</v>
      </c>
      <c r="MZ61" s="2693">
        <f>'P - Ringfenced'!I61</f>
        <v>0</v>
      </c>
      <c r="NA61" s="2693">
        <f>'P - Ringfenced'!J61</f>
        <v>0</v>
      </c>
      <c r="NB61" s="2693">
        <f>'P - Ringfenced'!K61</f>
        <v>0</v>
      </c>
      <c r="NC61" s="2693">
        <f>'P - Ringfenced'!L61</f>
        <v>0</v>
      </c>
      <c r="ND61" s="2693">
        <f>'P - Ringfenced'!M61</f>
        <v>0</v>
      </c>
      <c r="NE61" s="2693">
        <f>'P - Ringfenced'!N61</f>
        <v>0</v>
      </c>
      <c r="NF61" s="2693">
        <f>'P - Ringfenced'!O61</f>
        <v>0</v>
      </c>
      <c r="NG61" s="2693">
        <f>'P - Ringfenced'!P61</f>
        <v>0</v>
      </c>
      <c r="NH61" s="2693">
        <f>'P - Ringfenced'!Q61</f>
        <v>0</v>
      </c>
      <c r="NI61" s="1339">
        <f>'P - Ringfenced'!R61</f>
        <v>0</v>
      </c>
      <c r="NJ61" s="2672">
        <f>'P - Ringfenced'!S61</f>
        <v>0</v>
      </c>
      <c r="NK61" s="684"/>
      <c r="NL61" s="684"/>
    </row>
    <row r="62" spans="13:376" ht="20.149999999999999" customHeight="1" thickBot="1">
      <c r="BE62" s="1987"/>
      <c r="BF62" s="2275"/>
      <c r="BG62" s="1999" t="str">
        <f>'B - Monthly Positions'!C61</f>
        <v>29. Actual YTD surplus/ (deficit) last month</v>
      </c>
      <c r="BH62" s="2250"/>
      <c r="BI62" s="2276">
        <f>'B - Monthly Positions'!E61</f>
        <v>0</v>
      </c>
      <c r="BJ62" s="2277"/>
      <c r="BK62" s="2250"/>
      <c r="BL62" s="2278" t="str">
        <f>'B - Monthly Positions'!H61</f>
        <v>34. Year to Date Trend Scenario</v>
      </c>
      <c r="BM62" s="2279"/>
      <c r="BN62" s="2279"/>
      <c r="BO62" s="2280">
        <f>'B - Monthly Positions'!K61</f>
        <v>600</v>
      </c>
      <c r="BP62" s="2281"/>
      <c r="BQ62" s="2282"/>
      <c r="BR62" s="2261"/>
      <c r="BS62" s="2262"/>
      <c r="BT62" s="2262"/>
      <c r="BU62" s="2263"/>
      <c r="BV62" s="1930"/>
      <c r="BW62" s="1930"/>
      <c r="BX62" s="84"/>
      <c r="BY62" s="80"/>
      <c r="BZ62" s="111"/>
      <c r="CA62" s="111"/>
      <c r="CB62" s="111"/>
      <c r="CC62" s="111"/>
      <c r="CD62" s="111"/>
      <c r="CE62" s="111"/>
      <c r="CF62" s="111"/>
      <c r="CG62" s="111"/>
      <c r="CH62" s="111"/>
      <c r="CI62" s="111"/>
      <c r="CJ62" s="111"/>
      <c r="CK62" s="111"/>
      <c r="CL62" s="111"/>
      <c r="CM62" s="111"/>
      <c r="CO62" s="1329">
        <f>'B2 - Pay &amp; Agency'!A62</f>
        <v>11</v>
      </c>
      <c r="CP62" s="1845" t="str">
        <f>'B2 - Pay &amp; Agency'!B62</f>
        <v>WLI</v>
      </c>
      <c r="CQ62" s="1776">
        <f>'B2 - Pay &amp; Agency'!C62</f>
        <v>0</v>
      </c>
      <c r="CR62" s="1777">
        <f>'B2 - Pay &amp; Agency'!D62</f>
        <v>0</v>
      </c>
      <c r="CS62" s="1777">
        <f>'B2 - Pay &amp; Agency'!E62</f>
        <v>0</v>
      </c>
      <c r="CT62" s="1777">
        <f>'B2 - Pay &amp; Agency'!F62</f>
        <v>0</v>
      </c>
      <c r="CU62" s="1777">
        <f>'B2 - Pay &amp; Agency'!G62</f>
        <v>0</v>
      </c>
      <c r="CV62" s="1777">
        <f>'B2 - Pay &amp; Agency'!H62</f>
        <v>0</v>
      </c>
      <c r="CW62" s="1777">
        <f>'B2 - Pay &amp; Agency'!I62</f>
        <v>0</v>
      </c>
      <c r="CX62" s="1777">
        <f>'B2 - Pay &amp; Agency'!J62</f>
        <v>0</v>
      </c>
      <c r="CY62" s="1777">
        <f>'B2 - Pay &amp; Agency'!K62</f>
        <v>0</v>
      </c>
      <c r="CZ62" s="1777">
        <f>'B2 - Pay &amp; Agency'!L62</f>
        <v>0</v>
      </c>
      <c r="DA62" s="1777">
        <f>'B2 - Pay &amp; Agency'!M62</f>
        <v>0</v>
      </c>
      <c r="DB62" s="1778">
        <f>'B2 - Pay &amp; Agency'!N62</f>
        <v>0</v>
      </c>
      <c r="DC62" s="1324">
        <f>'B2 - Pay &amp; Agency'!O62</f>
        <v>0</v>
      </c>
      <c r="DD62" s="1325">
        <f>'B2 - Pay &amp; Agency'!P62</f>
        <v>0</v>
      </c>
      <c r="DF62" s="2748">
        <f>'B3 - COVID-19'!A62</f>
        <v>40</v>
      </c>
      <c r="DG62" s="2833" t="str">
        <f>'B3 - COVID-19'!B62</f>
        <v>Sub total COVID-19 Vaccination (Immunisation) Programme Provider Pay</v>
      </c>
      <c r="DH62" s="2778">
        <f>'B3 - COVID-19'!C62</f>
        <v>53.0366</v>
      </c>
      <c r="DI62" s="1908">
        <f>'B3 - COVID-19'!D62</f>
        <v>67.532166666666669</v>
      </c>
      <c r="DJ62" s="1908">
        <f>'B3 - COVID-19'!E62</f>
        <v>76.345366666666663</v>
      </c>
      <c r="DK62" s="1908">
        <f>'B3 - COVID-19'!F62</f>
        <v>76.345366666666663</v>
      </c>
      <c r="DL62" s="1908">
        <f>'B3 - COVID-19'!G62</f>
        <v>76.345366666666663</v>
      </c>
      <c r="DM62" s="1908">
        <f>'B3 - COVID-19'!H62</f>
        <v>76.345366666666663</v>
      </c>
      <c r="DN62" s="1908">
        <f>'B3 - COVID-19'!I62</f>
        <v>76.345366666666663</v>
      </c>
      <c r="DO62" s="1908">
        <f>'B3 - COVID-19'!J62</f>
        <v>76.345366666666663</v>
      </c>
      <c r="DP62" s="1908">
        <f>'B3 - COVID-19'!K62</f>
        <v>76.345366666666663</v>
      </c>
      <c r="DQ62" s="1908">
        <f>'B3 - COVID-19'!L62</f>
        <v>76.345366666666663</v>
      </c>
      <c r="DR62" s="1908">
        <f>'B3 - COVID-19'!M62</f>
        <v>76.345366666666663</v>
      </c>
      <c r="DS62" s="1908">
        <f>'B3 - COVID-19'!N62</f>
        <v>76.345366666666663</v>
      </c>
      <c r="DT62" s="1908">
        <f>'B3 - COVID-19'!O62</f>
        <v>53.0366</v>
      </c>
      <c r="DU62" s="1908">
        <f>'B3 - COVID-19'!P62</f>
        <v>884.02243333333331</v>
      </c>
      <c r="DV62" s="1144"/>
      <c r="DW62" s="1116"/>
      <c r="DY62" s="2111">
        <f>'C, C1, C2&amp; C3 - Savings Schemes'!A62</f>
        <v>10</v>
      </c>
      <c r="DZ62" s="3038" t="str">
        <f>'C, C1, C2&amp; C3 - Savings Schemes'!B62</f>
        <v>Agency / Locum paid at a premium</v>
      </c>
      <c r="EA62" s="87" t="str">
        <f>'C, C1, C2&amp; C3 - Savings Schemes'!C62</f>
        <v>Budget/Plan</v>
      </c>
      <c r="EB62" s="1773">
        <f>'C, C1, C2&amp; C3 - Savings Schemes'!D62</f>
        <v>0</v>
      </c>
      <c r="EC62" s="1774">
        <f>'C, C1, C2&amp; C3 - Savings Schemes'!E62</f>
        <v>0</v>
      </c>
      <c r="ED62" s="1774">
        <f>'C, C1, C2&amp; C3 - Savings Schemes'!F62</f>
        <v>0</v>
      </c>
      <c r="EE62" s="1774">
        <f>'C, C1, C2&amp; C3 - Savings Schemes'!G62</f>
        <v>0</v>
      </c>
      <c r="EF62" s="1774">
        <f>'C, C1, C2&amp; C3 - Savings Schemes'!H62</f>
        <v>0</v>
      </c>
      <c r="EG62" s="1774">
        <f>'C, C1, C2&amp; C3 - Savings Schemes'!I62</f>
        <v>0</v>
      </c>
      <c r="EH62" s="1774">
        <f>'C, C1, C2&amp; C3 - Savings Schemes'!J62</f>
        <v>0</v>
      </c>
      <c r="EI62" s="1774">
        <f>'C, C1, C2&amp; C3 - Savings Schemes'!K62</f>
        <v>0</v>
      </c>
      <c r="EJ62" s="1774">
        <f>'C, C1, C2&amp; C3 - Savings Schemes'!L62</f>
        <v>0</v>
      </c>
      <c r="EK62" s="1774">
        <f>'C, C1, C2&amp; C3 - Savings Schemes'!M62</f>
        <v>0</v>
      </c>
      <c r="EL62" s="1774">
        <f>'C, C1, C2&amp; C3 - Savings Schemes'!N62</f>
        <v>0</v>
      </c>
      <c r="EM62" s="1775">
        <f>'C, C1, C2&amp; C3 - Savings Schemes'!O62</f>
        <v>0</v>
      </c>
      <c r="EN62" s="73">
        <f>'C, C1, C2&amp; C3 - Savings Schemes'!P62</f>
        <v>0</v>
      </c>
      <c r="EO62" s="938">
        <f>'C, C1, C2&amp; C3 - Savings Schemes'!Q62</f>
        <v>0</v>
      </c>
      <c r="EP62" s="1930"/>
      <c r="EQ62" s="1930"/>
      <c r="ER62" s="1930"/>
      <c r="ES62" s="1930"/>
      <c r="ET62" s="1930"/>
      <c r="EU62" s="1930"/>
      <c r="EV62" s="1930"/>
      <c r="EW62" s="1930"/>
      <c r="EX62" s="1932"/>
      <c r="EY62" s="1932"/>
      <c r="EZ62" s="1932"/>
      <c r="FA62" s="1932"/>
      <c r="FB62" s="1932"/>
      <c r="FC62" s="1932"/>
      <c r="FD62" s="1932"/>
      <c r="FE62" s="1932"/>
      <c r="FF62" s="1932"/>
      <c r="FG62" s="1932"/>
      <c r="FH62" s="1932"/>
      <c r="FI62" s="1932"/>
      <c r="FJ62" s="1932"/>
      <c r="FK62" s="1932"/>
      <c r="FL62" s="1932"/>
      <c r="FM62" s="1932"/>
      <c r="FN62" s="1932"/>
      <c r="FO62" s="1932"/>
      <c r="FP62" s="1932"/>
      <c r="FQ62" s="1932"/>
      <c r="FR62" s="1932"/>
      <c r="FS62" s="1932"/>
      <c r="GF62" s="2112">
        <f>'E - Resource Limits'!A62</f>
        <v>50</v>
      </c>
      <c r="GG62" s="2113">
        <f>'E - Resource Limits'!B62</f>
        <v>0</v>
      </c>
      <c r="GH62" s="2114">
        <f>'E - Resource Limits'!C62</f>
        <v>0</v>
      </c>
      <c r="GI62" s="2114">
        <f>'E - Resource Limits'!D62</f>
        <v>0</v>
      </c>
      <c r="GJ62" s="2114">
        <f>'E - Resource Limits'!E62</f>
        <v>0</v>
      </c>
      <c r="GK62" s="2114">
        <f>'E - Resource Limits'!F62</f>
        <v>0</v>
      </c>
      <c r="GL62" s="2048">
        <f>'E - Resource Limits'!G62</f>
        <v>0</v>
      </c>
      <c r="GM62" s="2115">
        <f>'E - Resource Limits'!H62</f>
        <v>0</v>
      </c>
      <c r="GN62" s="2114">
        <f>'E - Resource Limits'!I62</f>
        <v>0</v>
      </c>
      <c r="GO62" s="2114">
        <f>'E - Resource Limits'!J62</f>
        <v>0</v>
      </c>
      <c r="GP62" s="2114">
        <f>'E - Resource Limits'!K62</f>
        <v>0</v>
      </c>
      <c r="GQ62" s="2116">
        <f>'E - Resource Limits'!L62</f>
        <v>0</v>
      </c>
      <c r="GR62" s="1935">
        <f t="shared" si="6"/>
        <v>0</v>
      </c>
      <c r="GT62" s="346">
        <f>'E1 - Invoiced Income'!A62</f>
        <v>47</v>
      </c>
      <c r="GU62" s="593">
        <f>'E1 - Invoiced Income'!B62</f>
        <v>0</v>
      </c>
      <c r="GV62" s="25">
        <f>'E1 - Invoiced Income'!C62</f>
        <v>0</v>
      </c>
      <c r="GW62" s="2527">
        <f>'E1 - Invoiced Income'!D62</f>
        <v>0</v>
      </c>
      <c r="GX62" s="196">
        <f>'E1 - Invoiced Income'!E62</f>
        <v>0</v>
      </c>
      <c r="GY62" s="2527">
        <f>'E1 - Invoiced Income'!F62</f>
        <v>0</v>
      </c>
      <c r="GZ62" s="2527">
        <f>'E1 - Invoiced Income'!G62</f>
        <v>0</v>
      </c>
      <c r="HA62" s="2527">
        <f>'E1 - Invoiced Income'!H62</f>
        <v>0</v>
      </c>
      <c r="HB62" s="2527">
        <f>'E1 - Invoiced Income'!I62</f>
        <v>0</v>
      </c>
      <c r="HC62" s="71"/>
      <c r="HD62" s="71"/>
      <c r="HE62" s="71"/>
      <c r="HF62" s="71"/>
      <c r="HG62" s="71"/>
      <c r="HH62" s="71"/>
      <c r="HI62" s="71"/>
      <c r="HJ62" s="71"/>
      <c r="HK62" s="71"/>
      <c r="HL62" s="71"/>
      <c r="HM62" s="71"/>
      <c r="HO62" s="2350">
        <f>'F - SoFP'!A62</f>
        <v>38</v>
      </c>
      <c r="HP62" s="2351">
        <f>'F - SoFP'!B62</f>
        <v>0</v>
      </c>
      <c r="HQ62" s="2010">
        <f>'F - SoFP'!C62</f>
        <v>0</v>
      </c>
      <c r="HR62" s="2010">
        <f>'F - SoFP'!D62</f>
        <v>0</v>
      </c>
      <c r="HS62" s="2010">
        <f>'F - SoFP'!E62</f>
        <v>0</v>
      </c>
      <c r="HT62" s="2352">
        <f t="shared" si="19"/>
        <v>0</v>
      </c>
      <c r="JD62" s="2073"/>
      <c r="JE62" s="2319" t="str">
        <f>'I - Capital RLM'!B62</f>
        <v>Discretionary:</v>
      </c>
      <c r="JF62" s="2321"/>
      <c r="JG62" s="2321"/>
      <c r="JH62" s="2321"/>
      <c r="JI62" s="1943"/>
      <c r="JJ62" s="2321"/>
      <c r="JK62" s="2321"/>
      <c r="JL62" s="2321"/>
      <c r="JM62" s="2060"/>
      <c r="JN62" s="759"/>
      <c r="JO62" s="2060"/>
      <c r="JQ62" s="2073">
        <f>'J - Capital In Year Schemes'!A62</f>
        <v>47</v>
      </c>
      <c r="JR62" s="2126">
        <f>'J - Capital In Year Schemes'!B62</f>
        <v>0</v>
      </c>
      <c r="JS62" s="2126">
        <f>'J - Capital In Year Schemes'!C62</f>
        <v>0</v>
      </c>
      <c r="JT62" s="2325">
        <f>'J - Capital In Year Schemes'!D62</f>
        <v>0</v>
      </c>
      <c r="JU62" s="2010">
        <f>'J - Capital In Year Schemes'!E62</f>
        <v>0</v>
      </c>
      <c r="JV62" s="2010">
        <f>'J - Capital In Year Schemes'!F62</f>
        <v>0</v>
      </c>
      <c r="JW62" s="2010">
        <f>'J - Capital In Year Schemes'!G62</f>
        <v>0</v>
      </c>
      <c r="JX62" s="2010">
        <f>'J - Capital In Year Schemes'!H62</f>
        <v>0</v>
      </c>
      <c r="JY62" s="2010">
        <f>'J - Capital In Year Schemes'!I62</f>
        <v>0</v>
      </c>
      <c r="JZ62" s="2010">
        <f>'J - Capital In Year Schemes'!J62</f>
        <v>0</v>
      </c>
      <c r="KA62" s="2010">
        <f>'J - Capital In Year Schemes'!K62</f>
        <v>0</v>
      </c>
      <c r="KB62" s="2010">
        <f>'J - Capital In Year Schemes'!L62</f>
        <v>0</v>
      </c>
      <c r="KC62" s="2010">
        <f>'J - Capital In Year Schemes'!M62</f>
        <v>0</v>
      </c>
      <c r="KD62" s="2010">
        <f>'J - Capital In Year Schemes'!N62</f>
        <v>0</v>
      </c>
      <c r="KE62" s="2010">
        <f>'J - Capital In Year Schemes'!O62</f>
        <v>0</v>
      </c>
      <c r="KF62" s="2010">
        <f>'J - Capital In Year Schemes'!P62</f>
        <v>0</v>
      </c>
      <c r="KG62" s="2010">
        <f>'J - Capital In Year Schemes'!Q62</f>
        <v>0</v>
      </c>
      <c r="KH62" s="2090">
        <f>'J - Capital In Year Schemes'!R62</f>
        <v>0</v>
      </c>
      <c r="KI62" s="2090">
        <f>'J - Capital In Year Schemes'!S62</f>
        <v>0</v>
      </c>
      <c r="KJ62" s="2091">
        <f>'J - Capital In Year Schemes'!T62</f>
        <v>0</v>
      </c>
      <c r="KK62" s="2060"/>
      <c r="LL62" s="814"/>
      <c r="LM62" s="2197">
        <f>'M - Aged Debtors'!B62</f>
        <v>0</v>
      </c>
      <c r="LN62" s="2198">
        <f>'M - Aged Debtors'!C62</f>
        <v>0</v>
      </c>
      <c r="LO62" s="2199">
        <f>'M - Aged Debtors'!D62</f>
        <v>0</v>
      </c>
      <c r="LP62" s="2200">
        <f>'M - Aged Debtors'!E62</f>
        <v>0</v>
      </c>
      <c r="LQ62" s="2201">
        <f>'M - Aged Debtors'!F62</f>
        <v>0</v>
      </c>
      <c r="LR62" s="832" t="str">
        <f>'M - Aged Debtors'!G62</f>
        <v/>
      </c>
      <c r="LS62" s="829" t="str">
        <f>'M - Aged Debtors'!H62</f>
        <v/>
      </c>
      <c r="LT62" s="829" t="str">
        <f>'M - Aged Debtors'!I62</f>
        <v/>
      </c>
      <c r="LU62" s="830" t="str">
        <f>'M - Aged Debtors'!J62</f>
        <v/>
      </c>
      <c r="LV62" s="1830">
        <f>'M - Aged Debtors'!K62</f>
        <v>0</v>
      </c>
      <c r="LX62" s="2383" t="str">
        <f>'N - GMS'!A62</f>
        <v>Services to the homeless</v>
      </c>
      <c r="LY62" s="2384"/>
      <c r="LZ62" s="2385">
        <f>'N - GMS'!C62</f>
        <v>40</v>
      </c>
      <c r="MA62" s="2386">
        <f>'N - GMS'!D62</f>
        <v>0</v>
      </c>
      <c r="MB62" s="2387">
        <f>'N - GMS'!E62</f>
        <v>0</v>
      </c>
      <c r="MC62" s="2387">
        <f>'N - GMS'!F62</f>
        <v>0</v>
      </c>
      <c r="MD62" s="2388">
        <f>'N - GMS'!G62</f>
        <v>0</v>
      </c>
      <c r="ME62" s="1170"/>
      <c r="MF62" s="1028">
        <f>'N - GMS'!I62</f>
        <v>0</v>
      </c>
      <c r="MR62" s="684"/>
      <c r="MS62" s="2688">
        <f>'P - Ringfenced'!B62</f>
        <v>0</v>
      </c>
      <c r="MT62" s="2691">
        <f>'P - Ringfenced'!C62</f>
        <v>0</v>
      </c>
      <c r="MU62" s="2699">
        <f>'P - Ringfenced'!D62</f>
        <v>0</v>
      </c>
      <c r="MV62" s="2699">
        <f>'P - Ringfenced'!E62</f>
        <v>0</v>
      </c>
      <c r="MW62" s="2693">
        <f>'P - Ringfenced'!F62</f>
        <v>0</v>
      </c>
      <c r="MX62" s="2693">
        <f>'P - Ringfenced'!G62</f>
        <v>0</v>
      </c>
      <c r="MY62" s="2693">
        <f>'P - Ringfenced'!H62</f>
        <v>0</v>
      </c>
      <c r="MZ62" s="2693">
        <f>'P - Ringfenced'!I62</f>
        <v>0</v>
      </c>
      <c r="NA62" s="2693">
        <f>'P - Ringfenced'!J62</f>
        <v>0</v>
      </c>
      <c r="NB62" s="2693">
        <f>'P - Ringfenced'!K62</f>
        <v>0</v>
      </c>
      <c r="NC62" s="2693">
        <f>'P - Ringfenced'!L62</f>
        <v>0</v>
      </c>
      <c r="ND62" s="2693">
        <f>'P - Ringfenced'!M62</f>
        <v>0</v>
      </c>
      <c r="NE62" s="2693">
        <f>'P - Ringfenced'!N62</f>
        <v>0</v>
      </c>
      <c r="NF62" s="2693">
        <f>'P - Ringfenced'!O62</f>
        <v>0</v>
      </c>
      <c r="NG62" s="2693">
        <f>'P - Ringfenced'!P62</f>
        <v>0</v>
      </c>
      <c r="NH62" s="2693">
        <f>'P - Ringfenced'!Q62</f>
        <v>0</v>
      </c>
      <c r="NI62" s="1339">
        <f>'P - Ringfenced'!R62</f>
        <v>0</v>
      </c>
      <c r="NJ62" s="2672">
        <f>'P - Ringfenced'!S62</f>
        <v>0</v>
      </c>
      <c r="NK62" s="684"/>
      <c r="NL62" s="684"/>
    </row>
    <row r="63" spans="13:376" ht="20.149999999999999" customHeight="1" thickTop="1" thickBot="1">
      <c r="BE63" s="1930"/>
      <c r="BF63" s="2275"/>
      <c r="BG63" s="1999" t="str">
        <f>'B - Monthly Positions'!C62</f>
        <v>30. Current month actual surplus/ (deficit)</v>
      </c>
      <c r="BH63" s="2285"/>
      <c r="BI63" s="2255">
        <f>'B - Monthly Positions'!E62</f>
        <v>50</v>
      </c>
      <c r="BJ63" s="2277"/>
      <c r="BK63" s="2250"/>
      <c r="BL63" s="1999"/>
      <c r="BM63" s="1999"/>
      <c r="BN63" s="2250"/>
      <c r="BO63" s="2286"/>
      <c r="BP63" s="2287"/>
      <c r="BQ63" s="2250"/>
      <c r="BR63" s="2288"/>
      <c r="BS63" s="2262"/>
      <c r="BT63" s="2262"/>
      <c r="BU63" s="2289"/>
      <c r="BV63" s="1930"/>
      <c r="BW63" s="1930"/>
      <c r="BX63" s="84"/>
      <c r="BY63" s="70" t="str">
        <f>' Table Z Net Exp Profiles'!B63</f>
        <v>C. DRUGS EXPENDITURE ANALYSIS</v>
      </c>
      <c r="BZ63" s="80"/>
      <c r="CA63" s="80"/>
      <c r="CB63" s="80"/>
      <c r="CC63" s="80"/>
      <c r="CD63" s="80"/>
      <c r="CE63" s="80"/>
      <c r="CF63" s="80"/>
      <c r="CG63" s="80"/>
      <c r="CH63" s="80"/>
      <c r="CI63" s="80"/>
      <c r="CJ63" s="80"/>
      <c r="CK63" s="80"/>
      <c r="CL63" s="80"/>
      <c r="CM63" s="80"/>
      <c r="CO63" s="1329">
        <f>'B2 - Pay &amp; Agency'!A63</f>
        <v>12</v>
      </c>
      <c r="CP63" s="1845" t="str">
        <f>'B2 - Pay &amp; Agency'!B63</f>
        <v>Exclusion (Suspension)</v>
      </c>
      <c r="CQ63" s="1776">
        <f>'B2 - Pay &amp; Agency'!C63</f>
        <v>0</v>
      </c>
      <c r="CR63" s="1777">
        <f>'B2 - Pay &amp; Agency'!D63</f>
        <v>0</v>
      </c>
      <c r="CS63" s="1777">
        <f>'B2 - Pay &amp; Agency'!E63</f>
        <v>0</v>
      </c>
      <c r="CT63" s="1777">
        <f>'B2 - Pay &amp; Agency'!F63</f>
        <v>0</v>
      </c>
      <c r="CU63" s="1777">
        <f>'B2 - Pay &amp; Agency'!G63</f>
        <v>0</v>
      </c>
      <c r="CV63" s="1777">
        <f>'B2 - Pay &amp; Agency'!H63</f>
        <v>0</v>
      </c>
      <c r="CW63" s="1777">
        <f>'B2 - Pay &amp; Agency'!I63</f>
        <v>0</v>
      </c>
      <c r="CX63" s="1777">
        <f>'B2 - Pay &amp; Agency'!J63</f>
        <v>0</v>
      </c>
      <c r="CY63" s="1777">
        <f>'B2 - Pay &amp; Agency'!K63</f>
        <v>0</v>
      </c>
      <c r="CZ63" s="1777">
        <f>'B2 - Pay &amp; Agency'!L63</f>
        <v>0</v>
      </c>
      <c r="DA63" s="1777">
        <f>'B2 - Pay &amp; Agency'!M63</f>
        <v>0</v>
      </c>
      <c r="DB63" s="1778">
        <f>'B2 - Pay &amp; Agency'!N63</f>
        <v>0</v>
      </c>
      <c r="DC63" s="1324">
        <f>'B2 - Pay &amp; Agency'!O63</f>
        <v>0</v>
      </c>
      <c r="DD63" s="1325">
        <f>'B2 - Pay &amp; Agency'!P63</f>
        <v>0</v>
      </c>
      <c r="DF63" s="2748">
        <f>'B3 - COVID-19'!A63</f>
        <v>41</v>
      </c>
      <c r="DG63" s="2845" t="str">
        <f>'B3 - COVID-19'!B63</f>
        <v>Primary Care Contractor (excluding drugs)</v>
      </c>
      <c r="DH63" s="1330">
        <f>'B3 - COVID-19'!C63</f>
        <v>0</v>
      </c>
      <c r="DI63" s="1330">
        <f>'B3 - COVID-19'!D63</f>
        <v>0</v>
      </c>
      <c r="DJ63" s="1330">
        <f>'B3 - COVID-19'!E63</f>
        <v>0</v>
      </c>
      <c r="DK63" s="1330">
        <f>'B3 - COVID-19'!F63</f>
        <v>0</v>
      </c>
      <c r="DL63" s="1330">
        <f>'B3 - COVID-19'!G63</f>
        <v>0</v>
      </c>
      <c r="DM63" s="1330">
        <f>'B3 - COVID-19'!H63</f>
        <v>0</v>
      </c>
      <c r="DN63" s="1330">
        <f>'B3 - COVID-19'!I63</f>
        <v>0</v>
      </c>
      <c r="DO63" s="1330">
        <f>'B3 - COVID-19'!J63</f>
        <v>0</v>
      </c>
      <c r="DP63" s="1330">
        <f>'B3 - COVID-19'!K63</f>
        <v>0</v>
      </c>
      <c r="DQ63" s="1330">
        <f>'B3 - COVID-19'!L63</f>
        <v>0</v>
      </c>
      <c r="DR63" s="1330">
        <f>'B3 - COVID-19'!M63</f>
        <v>0</v>
      </c>
      <c r="DS63" s="1330">
        <f>'B3 - COVID-19'!N63</f>
        <v>0</v>
      </c>
      <c r="DT63" s="1863">
        <f>'B3 - COVID-19'!O63</f>
        <v>0</v>
      </c>
      <c r="DU63" s="1863">
        <f>'B3 - COVID-19'!P63</f>
        <v>0</v>
      </c>
      <c r="DV63" s="608"/>
      <c r="DW63" s="1116"/>
      <c r="DY63" s="2095">
        <f>'C, C1, C2&amp; C3 - Savings Schemes'!A63</f>
        <v>11</v>
      </c>
      <c r="DZ63" s="3066"/>
      <c r="EA63" s="90" t="str">
        <f>'C, C1, C2&amp; C3 - Savings Schemes'!C63</f>
        <v>Actual/F'cast</v>
      </c>
      <c r="EB63" s="1782">
        <f>'C, C1, C2&amp; C3 - Savings Schemes'!D63</f>
        <v>0</v>
      </c>
      <c r="EC63" s="1783">
        <f>'C, C1, C2&amp; C3 - Savings Schemes'!E63</f>
        <v>0</v>
      </c>
      <c r="ED63" s="1783">
        <f>'C, C1, C2&amp; C3 - Savings Schemes'!F63</f>
        <v>0</v>
      </c>
      <c r="EE63" s="1783">
        <f>'C, C1, C2&amp; C3 - Savings Schemes'!G63</f>
        <v>0</v>
      </c>
      <c r="EF63" s="1783">
        <f>'C, C1, C2&amp; C3 - Savings Schemes'!H63</f>
        <v>0</v>
      </c>
      <c r="EG63" s="1783">
        <f>'C, C1, C2&amp; C3 - Savings Schemes'!I63</f>
        <v>0</v>
      </c>
      <c r="EH63" s="1783">
        <f>'C, C1, C2&amp; C3 - Savings Schemes'!J63</f>
        <v>0</v>
      </c>
      <c r="EI63" s="1783">
        <f>'C, C1, C2&amp; C3 - Savings Schemes'!K63</f>
        <v>0</v>
      </c>
      <c r="EJ63" s="1783">
        <f>'C, C1, C2&amp; C3 - Savings Schemes'!L63</f>
        <v>0</v>
      </c>
      <c r="EK63" s="1783">
        <f>'C, C1, C2&amp; C3 - Savings Schemes'!M63</f>
        <v>0</v>
      </c>
      <c r="EL63" s="1783">
        <f>'C, C1, C2&amp; C3 - Savings Schemes'!N63</f>
        <v>0</v>
      </c>
      <c r="EM63" s="1784">
        <f>'C, C1, C2&amp; C3 - Savings Schemes'!O63</f>
        <v>0</v>
      </c>
      <c r="EN63" s="121">
        <f>'C, C1, C2&amp; C3 - Savings Schemes'!P63</f>
        <v>0</v>
      </c>
      <c r="EO63" s="940">
        <f>'C, C1, C2&amp; C3 - Savings Schemes'!Q63</f>
        <v>0</v>
      </c>
      <c r="EP63" s="1930"/>
      <c r="EQ63" s="1930"/>
      <c r="ER63" s="1930"/>
      <c r="ES63" s="1930"/>
      <c r="ET63" s="1930"/>
      <c r="EU63" s="1930"/>
      <c r="EV63" s="1930"/>
      <c r="EW63" s="1930"/>
      <c r="EX63" s="1932"/>
      <c r="EY63" s="1932"/>
      <c r="EZ63" s="1932"/>
      <c r="FA63" s="1932"/>
      <c r="FB63" s="1932"/>
      <c r="FC63" s="1932"/>
      <c r="FD63" s="1932"/>
      <c r="FE63" s="1932"/>
      <c r="FF63" s="1932"/>
      <c r="FG63" s="1932"/>
      <c r="FH63" s="1932"/>
      <c r="FI63" s="1932"/>
      <c r="FJ63" s="1932"/>
      <c r="FK63" s="1932"/>
      <c r="FL63" s="1932"/>
      <c r="FM63" s="1932"/>
      <c r="FN63" s="1932"/>
      <c r="FO63" s="1932"/>
      <c r="FP63" s="1932"/>
      <c r="FQ63" s="1932"/>
      <c r="FR63" s="1932"/>
      <c r="FS63" s="1932"/>
      <c r="GF63" s="2112">
        <f>'E - Resource Limits'!A63</f>
        <v>51</v>
      </c>
      <c r="GG63" s="2113">
        <f>'E - Resource Limits'!B63</f>
        <v>0</v>
      </c>
      <c r="GH63" s="2114">
        <f>'E - Resource Limits'!C63</f>
        <v>0</v>
      </c>
      <c r="GI63" s="2114">
        <f>'E - Resource Limits'!D63</f>
        <v>0</v>
      </c>
      <c r="GJ63" s="2114">
        <f>'E - Resource Limits'!E63</f>
        <v>0</v>
      </c>
      <c r="GK63" s="2114">
        <f>'E - Resource Limits'!F63</f>
        <v>0</v>
      </c>
      <c r="GL63" s="2048">
        <f>'E - Resource Limits'!G63</f>
        <v>0</v>
      </c>
      <c r="GM63" s="2115">
        <f>'E - Resource Limits'!H63</f>
        <v>0</v>
      </c>
      <c r="GN63" s="2114">
        <f>'E - Resource Limits'!I63</f>
        <v>0</v>
      </c>
      <c r="GO63" s="2114">
        <f>'E - Resource Limits'!J63</f>
        <v>0</v>
      </c>
      <c r="GP63" s="2114">
        <f>'E - Resource Limits'!K63</f>
        <v>0</v>
      </c>
      <c r="GQ63" s="2116">
        <f>'E - Resource Limits'!L63</f>
        <v>0</v>
      </c>
      <c r="GR63" s="1935">
        <f t="shared" si="6"/>
        <v>0</v>
      </c>
      <c r="GT63" s="346">
        <f>'E1 - Invoiced Income'!A63</f>
        <v>48</v>
      </c>
      <c r="GU63" s="593">
        <f>'E1 - Invoiced Income'!B63</f>
        <v>0</v>
      </c>
      <c r="GV63" s="25">
        <f>'E1 - Invoiced Income'!C63</f>
        <v>0</v>
      </c>
      <c r="GW63" s="2527">
        <f>'E1 - Invoiced Income'!D63</f>
        <v>0</v>
      </c>
      <c r="GX63" s="196">
        <f>'E1 - Invoiced Income'!E63</f>
        <v>0</v>
      </c>
      <c r="GY63" s="2527">
        <f>'E1 - Invoiced Income'!F63</f>
        <v>0</v>
      </c>
      <c r="GZ63" s="2527">
        <f>'E1 - Invoiced Income'!G63</f>
        <v>0</v>
      </c>
      <c r="HA63" s="2527">
        <f>'E1 - Invoiced Income'!H63</f>
        <v>0</v>
      </c>
      <c r="HB63" s="2527">
        <f>'E1 - Invoiced Income'!I63</f>
        <v>0</v>
      </c>
      <c r="HC63" s="71"/>
      <c r="HD63" s="71"/>
      <c r="HE63" s="71"/>
      <c r="HF63" s="71"/>
      <c r="HG63" s="71"/>
      <c r="HH63" s="71"/>
      <c r="HI63" s="71"/>
      <c r="HJ63" s="71"/>
      <c r="HK63" s="71"/>
      <c r="HL63" s="71"/>
      <c r="HM63" s="71"/>
      <c r="HO63" s="2375">
        <f>'F - SoFP'!A63</f>
        <v>39</v>
      </c>
      <c r="HP63" s="2376">
        <f>'F - SoFP'!B63</f>
        <v>0</v>
      </c>
      <c r="HQ63" s="2358">
        <f>'F - SoFP'!C63</f>
        <v>0</v>
      </c>
      <c r="HR63" s="2358">
        <f>'F - SoFP'!D63</f>
        <v>0</v>
      </c>
      <c r="HS63" s="2358">
        <f>'F - SoFP'!E63</f>
        <v>0</v>
      </c>
      <c r="HT63" s="2352">
        <f t="shared" si="19"/>
        <v>0</v>
      </c>
      <c r="JD63" s="2099"/>
      <c r="JE63" s="2377"/>
      <c r="JF63" s="2098"/>
      <c r="JG63" s="2098"/>
      <c r="JH63" s="2098"/>
      <c r="JI63" s="1943"/>
      <c r="JJ63" s="2098"/>
      <c r="JK63" s="2098"/>
      <c r="JL63" s="2098"/>
      <c r="JM63" s="2060"/>
      <c r="JN63" s="759"/>
      <c r="JO63" s="2060"/>
      <c r="JQ63" s="2088">
        <f>'J - Capital In Year Schemes'!A63</f>
        <v>48</v>
      </c>
      <c r="JR63" s="2126">
        <f>'J - Capital In Year Schemes'!B63</f>
        <v>0</v>
      </c>
      <c r="JS63" s="2126">
        <f>'J - Capital In Year Schemes'!C63</f>
        <v>0</v>
      </c>
      <c r="JT63" s="2325">
        <f>'J - Capital In Year Schemes'!D63</f>
        <v>0</v>
      </c>
      <c r="JU63" s="2010">
        <f>'J - Capital In Year Schemes'!E63</f>
        <v>0</v>
      </c>
      <c r="JV63" s="2010">
        <f>'J - Capital In Year Schemes'!F63</f>
        <v>0</v>
      </c>
      <c r="JW63" s="2010">
        <f>'J - Capital In Year Schemes'!G63</f>
        <v>0</v>
      </c>
      <c r="JX63" s="2010">
        <f>'J - Capital In Year Schemes'!H63</f>
        <v>0</v>
      </c>
      <c r="JY63" s="2010">
        <f>'J - Capital In Year Schemes'!I63</f>
        <v>0</v>
      </c>
      <c r="JZ63" s="2010">
        <f>'J - Capital In Year Schemes'!J63</f>
        <v>0</v>
      </c>
      <c r="KA63" s="2010">
        <f>'J - Capital In Year Schemes'!K63</f>
        <v>0</v>
      </c>
      <c r="KB63" s="2010">
        <f>'J - Capital In Year Schemes'!L63</f>
        <v>0</v>
      </c>
      <c r="KC63" s="2010">
        <f>'J - Capital In Year Schemes'!M63</f>
        <v>0</v>
      </c>
      <c r="KD63" s="2010">
        <f>'J - Capital In Year Schemes'!N63</f>
        <v>0</v>
      </c>
      <c r="KE63" s="2010">
        <f>'J - Capital In Year Schemes'!O63</f>
        <v>0</v>
      </c>
      <c r="KF63" s="2010">
        <f>'J - Capital In Year Schemes'!P63</f>
        <v>0</v>
      </c>
      <c r="KG63" s="2010">
        <f>'J - Capital In Year Schemes'!Q63</f>
        <v>0</v>
      </c>
      <c r="KH63" s="2090">
        <f>'J - Capital In Year Schemes'!R63</f>
        <v>0</v>
      </c>
      <c r="KI63" s="2090">
        <f>'J - Capital In Year Schemes'!S63</f>
        <v>0</v>
      </c>
      <c r="KJ63" s="2091">
        <f>'J - Capital In Year Schemes'!T63</f>
        <v>0</v>
      </c>
      <c r="KK63" s="2060"/>
      <c r="LL63" s="814"/>
      <c r="LM63" s="2378">
        <f>'M - Aged Debtors'!B63</f>
        <v>0</v>
      </c>
      <c r="LN63" s="2379">
        <f>'M - Aged Debtors'!C63</f>
        <v>0</v>
      </c>
      <c r="LO63" s="2380">
        <f>'M - Aged Debtors'!D63</f>
        <v>0</v>
      </c>
      <c r="LP63" s="2381">
        <f>'M - Aged Debtors'!E63</f>
        <v>0</v>
      </c>
      <c r="LQ63" s="2382">
        <f>'M - Aged Debtors'!F63</f>
        <v>0</v>
      </c>
      <c r="LR63" s="832" t="str">
        <f>'M - Aged Debtors'!G63</f>
        <v/>
      </c>
      <c r="LS63" s="829" t="str">
        <f>'M - Aged Debtors'!H63</f>
        <v/>
      </c>
      <c r="LT63" s="829" t="str">
        <f>'M - Aged Debtors'!I63</f>
        <v/>
      </c>
      <c r="LU63" s="830" t="str">
        <f>'M - Aged Debtors'!J63</f>
        <v/>
      </c>
      <c r="LV63" s="1830">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70"/>
      <c r="MF63" s="458">
        <f>'N - GMS'!I63</f>
        <v>0</v>
      </c>
      <c r="MR63" s="684"/>
      <c r="MS63" s="2688">
        <f>'P - Ringfenced'!B63</f>
        <v>0</v>
      </c>
      <c r="MT63" s="2691">
        <f>'P - Ringfenced'!C63</f>
        <v>0</v>
      </c>
      <c r="MU63" s="2699">
        <f>'P - Ringfenced'!D63</f>
        <v>0</v>
      </c>
      <c r="MV63" s="2699">
        <f>'P - Ringfenced'!E63</f>
        <v>0</v>
      </c>
      <c r="MW63" s="2693">
        <f>'P - Ringfenced'!F63</f>
        <v>0</v>
      </c>
      <c r="MX63" s="2693">
        <f>'P - Ringfenced'!G63</f>
        <v>0</v>
      </c>
      <c r="MY63" s="2693">
        <f>'P - Ringfenced'!H63</f>
        <v>0</v>
      </c>
      <c r="MZ63" s="2693">
        <f>'P - Ringfenced'!I63</f>
        <v>0</v>
      </c>
      <c r="NA63" s="2693">
        <f>'P - Ringfenced'!J63</f>
        <v>0</v>
      </c>
      <c r="NB63" s="2693">
        <f>'P - Ringfenced'!K63</f>
        <v>0</v>
      </c>
      <c r="NC63" s="2693">
        <f>'P - Ringfenced'!L63</f>
        <v>0</v>
      </c>
      <c r="ND63" s="2693">
        <f>'P - Ringfenced'!M63</f>
        <v>0</v>
      </c>
      <c r="NE63" s="2693">
        <f>'P - Ringfenced'!N63</f>
        <v>0</v>
      </c>
      <c r="NF63" s="2693">
        <f>'P - Ringfenced'!O63</f>
        <v>0</v>
      </c>
      <c r="NG63" s="2693">
        <f>'P - Ringfenced'!P63</f>
        <v>0</v>
      </c>
      <c r="NH63" s="2693">
        <f>'P - Ringfenced'!Q63</f>
        <v>0</v>
      </c>
      <c r="NI63" s="1339">
        <f>'P - Ringfenced'!R63</f>
        <v>0</v>
      </c>
      <c r="NJ63" s="2672">
        <f>'P - Ringfenced'!S63</f>
        <v>0</v>
      </c>
      <c r="NK63" s="684"/>
      <c r="NL63" s="684"/>
    </row>
    <row r="64" spans="13:376" ht="20.149999999999999" customHeight="1" thickTop="1" thickBot="1">
      <c r="BE64" s="1930"/>
      <c r="BF64" s="2275"/>
      <c r="BG64" s="1999"/>
      <c r="BH64" s="2285"/>
      <c r="BI64" s="2286"/>
      <c r="BJ64" s="2295" t="str">
        <f>'B - Monthly Positions'!F63</f>
        <v>Trend</v>
      </c>
      <c r="BK64" s="2296"/>
      <c r="BL64" s="2297"/>
      <c r="BM64" s="1999"/>
      <c r="BN64" s="2250"/>
      <c r="BO64" s="2286"/>
      <c r="BP64" s="2287"/>
      <c r="BQ64" s="2250"/>
      <c r="BR64" s="2298"/>
      <c r="BS64" s="2299"/>
      <c r="BT64" s="2299"/>
      <c r="BU64" s="2300"/>
      <c r="BV64" s="1930"/>
      <c r="BW64" s="1930"/>
      <c r="BX64" s="84"/>
      <c r="BY64" s="80"/>
      <c r="BZ64" s="80"/>
      <c r="CA64" s="80"/>
      <c r="CB64" s="80"/>
      <c r="CC64" s="80"/>
      <c r="CD64" s="80"/>
      <c r="CE64" s="80"/>
      <c r="CF64" s="80"/>
      <c r="CG64" s="80"/>
      <c r="CH64" s="80"/>
      <c r="CI64" s="80"/>
      <c r="CJ64" s="80"/>
      <c r="CK64" s="80"/>
      <c r="CL64" s="80"/>
      <c r="CM64" s="80"/>
      <c r="CO64" s="2368">
        <f>'B2 - Pay &amp; Agency'!A64</f>
        <v>0</v>
      </c>
      <c r="CP64" s="2369">
        <f>'B2 - Pay &amp; Agency'!B64</f>
        <v>0</v>
      </c>
      <c r="CQ64" s="2370">
        <f>'B2 - Pay &amp; Agency'!C64</f>
        <v>0</v>
      </c>
      <c r="CR64" s="2371">
        <f>'B2 - Pay &amp; Agency'!D64</f>
        <v>0</v>
      </c>
      <c r="CS64" s="2371">
        <f>'B2 - Pay &amp; Agency'!E64</f>
        <v>0</v>
      </c>
      <c r="CT64" s="2371">
        <f>'B2 - Pay &amp; Agency'!F64</f>
        <v>0</v>
      </c>
      <c r="CU64" s="2371">
        <f>'B2 - Pay &amp; Agency'!G64</f>
        <v>0</v>
      </c>
      <c r="CV64" s="2371">
        <f>'B2 - Pay &amp; Agency'!H64</f>
        <v>0</v>
      </c>
      <c r="CW64" s="2371">
        <f>'B2 - Pay &amp; Agency'!I64</f>
        <v>0</v>
      </c>
      <c r="CX64" s="2371">
        <f>'B2 - Pay &amp; Agency'!J64</f>
        <v>0</v>
      </c>
      <c r="CY64" s="2371">
        <f>'B2 - Pay &amp; Agency'!K64</f>
        <v>0</v>
      </c>
      <c r="CZ64" s="2371">
        <f>'B2 - Pay &amp; Agency'!L64</f>
        <v>0</v>
      </c>
      <c r="DA64" s="2371">
        <f>'B2 - Pay &amp; Agency'!M64</f>
        <v>0</v>
      </c>
      <c r="DB64" s="2372">
        <f>'B2 - Pay &amp; Agency'!N64</f>
        <v>0</v>
      </c>
      <c r="DC64" s="2373">
        <f>'B2 - Pay &amp; Agency'!O64</f>
        <v>0</v>
      </c>
      <c r="DD64" s="2374">
        <f>'B2 - Pay &amp; Agency'!P64</f>
        <v>0</v>
      </c>
      <c r="DF64" s="2748">
        <f>'B3 - COVID-19'!A64</f>
        <v>42</v>
      </c>
      <c r="DG64" s="2845" t="str">
        <f>'B3 - COVID-19'!B64</f>
        <v>Primary Care - Drugs</v>
      </c>
      <c r="DH64" s="1330">
        <f>'B3 - COVID-19'!C64</f>
        <v>0</v>
      </c>
      <c r="DI64" s="1330">
        <f>'B3 - COVID-19'!D64</f>
        <v>0</v>
      </c>
      <c r="DJ64" s="1330">
        <f>'B3 - COVID-19'!E64</f>
        <v>0</v>
      </c>
      <c r="DK64" s="1330">
        <f>'B3 - COVID-19'!F64</f>
        <v>0</v>
      </c>
      <c r="DL64" s="1330">
        <f>'B3 - COVID-19'!G64</f>
        <v>0</v>
      </c>
      <c r="DM64" s="1330">
        <f>'B3 - COVID-19'!H64</f>
        <v>0</v>
      </c>
      <c r="DN64" s="1330">
        <f>'B3 - COVID-19'!I64</f>
        <v>0</v>
      </c>
      <c r="DO64" s="1330">
        <f>'B3 - COVID-19'!J64</f>
        <v>0</v>
      </c>
      <c r="DP64" s="1330">
        <f>'B3 - COVID-19'!K64</f>
        <v>0</v>
      </c>
      <c r="DQ64" s="1330">
        <f>'B3 - COVID-19'!L64</f>
        <v>0</v>
      </c>
      <c r="DR64" s="1330">
        <f>'B3 - COVID-19'!M64</f>
        <v>0</v>
      </c>
      <c r="DS64" s="1330">
        <f>'B3 - COVID-19'!N64</f>
        <v>0</v>
      </c>
      <c r="DT64" s="1863">
        <f>'B3 - COVID-19'!O64</f>
        <v>0</v>
      </c>
      <c r="DU64" s="1863">
        <f>'B3 - COVID-19'!P64</f>
        <v>0</v>
      </c>
      <c r="DV64" s="608"/>
      <c r="DW64" s="1116"/>
      <c r="DY64" s="2095">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9">
        <f>'C, C1, C2&amp; C3 - Savings Schemes'!O64</f>
        <v>0</v>
      </c>
      <c r="EN64" s="2390">
        <f>'C, C1, C2&amp; C3 - Savings Schemes'!P64</f>
        <v>0</v>
      </c>
      <c r="EO64" s="939">
        <f>'C, C1, C2&amp; C3 - Savings Schemes'!Q64</f>
        <v>0</v>
      </c>
      <c r="EP64" s="1930"/>
      <c r="EQ64" s="1930"/>
      <c r="ER64" s="1930"/>
      <c r="ES64" s="1930"/>
      <c r="ET64" s="1930"/>
      <c r="EU64" s="1930"/>
      <c r="EV64" s="1930"/>
      <c r="EW64" s="1930"/>
      <c r="EX64" s="1932"/>
      <c r="EY64" s="1932"/>
      <c r="EZ64" s="1932"/>
      <c r="FA64" s="1932"/>
      <c r="FB64" s="1932"/>
      <c r="FC64" s="1932"/>
      <c r="FD64" s="1932"/>
      <c r="FE64" s="1932"/>
      <c r="FF64" s="1932"/>
      <c r="FG64" s="1932"/>
      <c r="FH64" s="1932"/>
      <c r="FI64" s="1932"/>
      <c r="FJ64" s="1932"/>
      <c r="FK64" s="1932"/>
      <c r="FL64" s="1932"/>
      <c r="FM64" s="1932"/>
      <c r="FN64" s="1932"/>
      <c r="FO64" s="1932"/>
      <c r="FP64" s="1932"/>
      <c r="FQ64" s="1932"/>
      <c r="FR64" s="1932"/>
      <c r="FS64" s="1932"/>
      <c r="GF64" s="2112">
        <f>'E - Resource Limits'!A64</f>
        <v>52</v>
      </c>
      <c r="GG64" s="2113">
        <f>'E - Resource Limits'!B64</f>
        <v>0</v>
      </c>
      <c r="GH64" s="2114">
        <f>'E - Resource Limits'!C64</f>
        <v>0</v>
      </c>
      <c r="GI64" s="2114">
        <f>'E - Resource Limits'!D64</f>
        <v>0</v>
      </c>
      <c r="GJ64" s="2114">
        <f>'E - Resource Limits'!E64</f>
        <v>0</v>
      </c>
      <c r="GK64" s="2114">
        <f>'E - Resource Limits'!F64</f>
        <v>0</v>
      </c>
      <c r="GL64" s="2048">
        <f>'E - Resource Limits'!G64</f>
        <v>0</v>
      </c>
      <c r="GM64" s="2115">
        <f>'E - Resource Limits'!H64</f>
        <v>0</v>
      </c>
      <c r="GN64" s="2114">
        <f>'E - Resource Limits'!I64</f>
        <v>0</v>
      </c>
      <c r="GO64" s="2114">
        <f>'E - Resource Limits'!J64</f>
        <v>0</v>
      </c>
      <c r="GP64" s="2114">
        <f>'E - Resource Limits'!K64</f>
        <v>0</v>
      </c>
      <c r="GQ64" s="2116">
        <f>'E - Resource Limits'!L64</f>
        <v>0</v>
      </c>
      <c r="GR64" s="1935">
        <f t="shared" si="6"/>
        <v>0</v>
      </c>
      <c r="GT64" s="346">
        <f>'E1 - Invoiced Income'!A64</f>
        <v>49</v>
      </c>
      <c r="GU64" s="593">
        <f>'E1 - Invoiced Income'!B64</f>
        <v>0</v>
      </c>
      <c r="GV64" s="25">
        <f>'E1 - Invoiced Income'!C64</f>
        <v>0</v>
      </c>
      <c r="GW64" s="2527">
        <f>'E1 - Invoiced Income'!D64</f>
        <v>0</v>
      </c>
      <c r="GX64" s="196">
        <f>'E1 - Invoiced Income'!E64</f>
        <v>0</v>
      </c>
      <c r="GY64" s="2527">
        <f>'E1 - Invoiced Income'!F64</f>
        <v>0</v>
      </c>
      <c r="GZ64" s="2527">
        <f>'E1 - Invoiced Income'!G64</f>
        <v>0</v>
      </c>
      <c r="HA64" s="2527">
        <f>'E1 - Invoiced Income'!H64</f>
        <v>0</v>
      </c>
      <c r="HB64" s="2527">
        <f>'E1 - Invoiced Income'!I64</f>
        <v>0</v>
      </c>
      <c r="HC64" s="71"/>
      <c r="HD64" s="71"/>
      <c r="HE64" s="71"/>
      <c r="HF64" s="71"/>
      <c r="HG64" s="71"/>
      <c r="HH64" s="71"/>
      <c r="HI64" s="71"/>
      <c r="HJ64" s="71"/>
      <c r="HK64" s="71"/>
      <c r="HL64" s="71"/>
      <c r="HM64" s="71"/>
      <c r="HO64" s="2391">
        <f>'F - SoFP'!A64</f>
        <v>40</v>
      </c>
      <c r="HP64" s="2392" t="str">
        <f>'F - SoFP'!B64</f>
        <v>Total Provisions</v>
      </c>
      <c r="HQ64" s="2037">
        <f>'F - SoFP'!C64</f>
        <v>0</v>
      </c>
      <c r="HR64" s="2037">
        <f>'F - SoFP'!D64</f>
        <v>0</v>
      </c>
      <c r="HS64" s="2037">
        <f>'F - SoFP'!E64</f>
        <v>0</v>
      </c>
      <c r="HT64" s="2352">
        <f t="shared" si="19"/>
        <v>0</v>
      </c>
      <c r="JD64" s="2088">
        <f>'I - Capital RLM'!A64</f>
        <v>43</v>
      </c>
      <c r="JE64" s="2393" t="str">
        <f>'I - Capital RLM'!B64</f>
        <v>I.T.</v>
      </c>
      <c r="JF64" s="2010">
        <f>'I - Capital RLM'!C64</f>
        <v>0</v>
      </c>
      <c r="JG64" s="2010">
        <f>'I - Capital RLM'!D64</f>
        <v>0</v>
      </c>
      <c r="JH64" s="2118">
        <f>'I - Capital RLM'!E64</f>
        <v>0</v>
      </c>
      <c r="JI64" s="1943">
        <f>'I - Capital RLM'!F64</f>
        <v>0</v>
      </c>
      <c r="JJ64" s="2010">
        <f>'I - Capital RLM'!G64</f>
        <v>0</v>
      </c>
      <c r="JK64" s="2010">
        <f>'I - Capital RLM'!H64</f>
        <v>0</v>
      </c>
      <c r="JL64" s="2118">
        <f>'I - Capital RLM'!I64</f>
        <v>0</v>
      </c>
      <c r="JM64" s="2060"/>
      <c r="JN64" s="1889">
        <f>'I - Capital RLM'!K64</f>
        <v>0</v>
      </c>
      <c r="JO64" s="2060"/>
      <c r="JQ64" s="2073">
        <f>'J - Capital In Year Schemes'!A64</f>
        <v>49</v>
      </c>
      <c r="JR64" s="2126">
        <f>'J - Capital In Year Schemes'!B64</f>
        <v>0</v>
      </c>
      <c r="JS64" s="2126">
        <f>'J - Capital In Year Schemes'!C64</f>
        <v>0</v>
      </c>
      <c r="JT64" s="2325">
        <f>'J - Capital In Year Schemes'!D64</f>
        <v>0</v>
      </c>
      <c r="JU64" s="2010">
        <f>'J - Capital In Year Schemes'!E64</f>
        <v>0</v>
      </c>
      <c r="JV64" s="2010">
        <f>'J - Capital In Year Schemes'!F64</f>
        <v>0</v>
      </c>
      <c r="JW64" s="2010">
        <f>'J - Capital In Year Schemes'!G64</f>
        <v>0</v>
      </c>
      <c r="JX64" s="2010">
        <f>'J - Capital In Year Schemes'!H64</f>
        <v>0</v>
      </c>
      <c r="JY64" s="2010">
        <f>'J - Capital In Year Schemes'!I64</f>
        <v>0</v>
      </c>
      <c r="JZ64" s="2010">
        <f>'J - Capital In Year Schemes'!J64</f>
        <v>0</v>
      </c>
      <c r="KA64" s="2010">
        <f>'J - Capital In Year Schemes'!K64</f>
        <v>0</v>
      </c>
      <c r="KB64" s="2010">
        <f>'J - Capital In Year Schemes'!L64</f>
        <v>0</v>
      </c>
      <c r="KC64" s="2010">
        <f>'J - Capital In Year Schemes'!M64</f>
        <v>0</v>
      </c>
      <c r="KD64" s="2010">
        <f>'J - Capital In Year Schemes'!N64</f>
        <v>0</v>
      </c>
      <c r="KE64" s="2010">
        <f>'J - Capital In Year Schemes'!O64</f>
        <v>0</v>
      </c>
      <c r="KF64" s="2010">
        <f>'J - Capital In Year Schemes'!P64</f>
        <v>0</v>
      </c>
      <c r="KG64" s="2010">
        <f>'J - Capital In Year Schemes'!Q64</f>
        <v>0</v>
      </c>
      <c r="KH64" s="2090">
        <f>'J - Capital In Year Schemes'!R64</f>
        <v>0</v>
      </c>
      <c r="KI64" s="2090">
        <f>'J - Capital In Year Schemes'!S64</f>
        <v>0</v>
      </c>
      <c r="KJ64" s="2091">
        <f>'J - Capital In Year Schemes'!T64</f>
        <v>0</v>
      </c>
      <c r="KK64" s="2060"/>
      <c r="LL64" s="814"/>
      <c r="LM64" s="2394">
        <f>'M - Aged Debtors'!B64</f>
        <v>0</v>
      </c>
      <c r="LN64" s="2395">
        <f>'M - Aged Debtors'!C64</f>
        <v>0</v>
      </c>
      <c r="LO64" s="2396">
        <f>'M - Aged Debtors'!D64</f>
        <v>0</v>
      </c>
      <c r="LP64" s="2397">
        <f>'M - Aged Debtors'!E64</f>
        <v>0</v>
      </c>
      <c r="LQ64" s="2398">
        <f>'M - Aged Debtors'!F64</f>
        <v>0</v>
      </c>
      <c r="LR64" s="832" t="str">
        <f>'M - Aged Debtors'!G64</f>
        <v/>
      </c>
      <c r="LS64" s="829" t="str">
        <f>'M - Aged Debtors'!H64</f>
        <v/>
      </c>
      <c r="LT64" s="829" t="str">
        <f>'M - Aged Debtors'!I64</f>
        <v/>
      </c>
      <c r="LU64" s="830" t="str">
        <f>'M - Aged Debtors'!J64</f>
        <v/>
      </c>
      <c r="LV64" s="1830">
        <f>'M - Aged Debtors'!K64</f>
        <v>0</v>
      </c>
      <c r="LX64" s="3129" t="str">
        <f>'N - GMS'!A64</f>
        <v/>
      </c>
      <c r="LY64" s="3129"/>
      <c r="LZ64" s="3129"/>
      <c r="MA64" s="3109" t="str">
        <f>'N - GMS'!D64</f>
        <v/>
      </c>
      <c r="MB64" s="3109"/>
      <c r="MC64" s="3109"/>
      <c r="MD64" s="3109"/>
      <c r="ME64" s="3109"/>
      <c r="MF64" s="3109"/>
      <c r="MR64" s="684"/>
      <c r="MS64" s="2688">
        <f>'P - Ringfenced'!B64</f>
        <v>0</v>
      </c>
      <c r="MT64" s="2691">
        <f>'P - Ringfenced'!C64</f>
        <v>0</v>
      </c>
      <c r="MU64" s="2699">
        <f>'P - Ringfenced'!D64</f>
        <v>0</v>
      </c>
      <c r="MV64" s="2699">
        <f>'P - Ringfenced'!E64</f>
        <v>0</v>
      </c>
      <c r="MW64" s="2693">
        <f>'P - Ringfenced'!F64</f>
        <v>0</v>
      </c>
      <c r="MX64" s="2693">
        <f>'P - Ringfenced'!G64</f>
        <v>0</v>
      </c>
      <c r="MY64" s="2693">
        <f>'P - Ringfenced'!H64</f>
        <v>0</v>
      </c>
      <c r="MZ64" s="2693">
        <f>'P - Ringfenced'!I64</f>
        <v>0</v>
      </c>
      <c r="NA64" s="2693">
        <f>'P - Ringfenced'!J64</f>
        <v>0</v>
      </c>
      <c r="NB64" s="2693">
        <f>'P - Ringfenced'!K64</f>
        <v>0</v>
      </c>
      <c r="NC64" s="2693">
        <f>'P - Ringfenced'!L64</f>
        <v>0</v>
      </c>
      <c r="ND64" s="2693">
        <f>'P - Ringfenced'!M64</f>
        <v>0</v>
      </c>
      <c r="NE64" s="2693">
        <f>'P - Ringfenced'!N64</f>
        <v>0</v>
      </c>
      <c r="NF64" s="2693">
        <f>'P - Ringfenced'!O64</f>
        <v>0</v>
      </c>
      <c r="NG64" s="2693">
        <f>'P - Ringfenced'!P64</f>
        <v>0</v>
      </c>
      <c r="NH64" s="2693">
        <f>'P - Ringfenced'!Q64</f>
        <v>0</v>
      </c>
      <c r="NI64" s="1339">
        <f>'P - Ringfenced'!R64</f>
        <v>0</v>
      </c>
      <c r="NJ64" s="2672">
        <f>'P - Ringfenced'!S64</f>
        <v>0</v>
      </c>
      <c r="NK64" s="684"/>
      <c r="NL64" s="684"/>
    </row>
    <row r="65" spans="57:376" ht="20.149999999999999" customHeight="1" thickBot="1">
      <c r="BE65" s="1930"/>
      <c r="BF65" s="2275"/>
      <c r="BG65" s="1999" t="str">
        <f>'B - Monthly Positions'!C64</f>
        <v>31. Average monthly surplus/ (deficit) YTD</v>
      </c>
      <c r="BH65" s="1930"/>
      <c r="BI65" s="2255">
        <f>'B - Monthly Positions'!E64</f>
        <v>50</v>
      </c>
      <c r="BJ65" s="2304" t="str">
        <f>'B - Monthly Positions'!F64</f>
        <v>►</v>
      </c>
      <c r="BK65" s="2250"/>
      <c r="BL65" s="2305"/>
      <c r="BM65" s="2305"/>
      <c r="BN65" s="2305"/>
      <c r="BO65" s="2306"/>
      <c r="BP65" s="2306"/>
      <c r="BQ65" s="2250"/>
      <c r="BR65" s="2307"/>
      <c r="BS65" s="1930"/>
      <c r="BT65" s="1930"/>
      <c r="BU65" s="1999"/>
      <c r="BV65" s="1930"/>
      <c r="BW65" s="1930"/>
      <c r="BX65" s="84"/>
      <c r="BY65" s="1246"/>
      <c r="BZ65" s="1236">
        <f>' Table Z Net Exp Profiles'!C65</f>
        <v>1</v>
      </c>
      <c r="CA65" s="1222">
        <f>' Table Z Net Exp Profiles'!D65</f>
        <v>2</v>
      </c>
      <c r="CB65" s="1222">
        <f>' Table Z Net Exp Profiles'!E65</f>
        <v>3</v>
      </c>
      <c r="CC65" s="1222">
        <f>' Table Z Net Exp Profiles'!F65</f>
        <v>4</v>
      </c>
      <c r="CD65" s="1222">
        <f>' Table Z Net Exp Profiles'!G65</f>
        <v>5</v>
      </c>
      <c r="CE65" s="1222">
        <f>' Table Z Net Exp Profiles'!H65</f>
        <v>6</v>
      </c>
      <c r="CF65" s="1222">
        <f>' Table Z Net Exp Profiles'!I65</f>
        <v>7</v>
      </c>
      <c r="CG65" s="1222">
        <f>' Table Z Net Exp Profiles'!J65</f>
        <v>8</v>
      </c>
      <c r="CH65" s="1222">
        <f>' Table Z Net Exp Profiles'!K65</f>
        <v>9</v>
      </c>
      <c r="CI65" s="1222">
        <f>' Table Z Net Exp Profiles'!L65</f>
        <v>10</v>
      </c>
      <c r="CJ65" s="1222">
        <f>' Table Z Net Exp Profiles'!M65</f>
        <v>11</v>
      </c>
      <c r="CK65" s="1223">
        <f>' Table Z Net Exp Profiles'!N65</f>
        <v>12</v>
      </c>
      <c r="CL65" s="1249">
        <f>' Table Z Net Exp Profiles'!O65</f>
        <v>0</v>
      </c>
      <c r="CM65" s="1250">
        <f>' Table Z Net Exp Profiles'!P65</f>
        <v>0</v>
      </c>
      <c r="CO65" s="1353">
        <f>'B2 - Pay &amp; Agency'!A65</f>
        <v>13</v>
      </c>
      <c r="CP65" s="1357" t="str">
        <f>'B2 - Pay &amp; Agency'!B65</f>
        <v>TOTAL AGENCY/LOCUM (PREMIUM) EXPENDITURE</v>
      </c>
      <c r="CQ65" s="1341">
        <f>'B2 - Pay &amp; Agency'!C65</f>
        <v>278</v>
      </c>
      <c r="CR65" s="1342">
        <f>'B2 - Pay &amp; Agency'!D65</f>
        <v>278</v>
      </c>
      <c r="CS65" s="1342">
        <f>'B2 - Pay &amp; Agency'!E65</f>
        <v>278</v>
      </c>
      <c r="CT65" s="1342">
        <f>'B2 - Pay &amp; Agency'!F65</f>
        <v>278</v>
      </c>
      <c r="CU65" s="1342">
        <f>'B2 - Pay &amp; Agency'!G65</f>
        <v>278</v>
      </c>
      <c r="CV65" s="1342">
        <f>'B2 - Pay &amp; Agency'!H65</f>
        <v>278</v>
      </c>
      <c r="CW65" s="1342">
        <f>'B2 - Pay &amp; Agency'!I65</f>
        <v>278</v>
      </c>
      <c r="CX65" s="1342">
        <f>'B2 - Pay &amp; Agency'!J65</f>
        <v>278</v>
      </c>
      <c r="CY65" s="1342">
        <f>'B2 - Pay &amp; Agency'!K65</f>
        <v>278</v>
      </c>
      <c r="CZ65" s="1342">
        <f>'B2 - Pay &amp; Agency'!L65</f>
        <v>278</v>
      </c>
      <c r="DA65" s="1342">
        <f>'B2 - Pay &amp; Agency'!M65</f>
        <v>278</v>
      </c>
      <c r="DB65" s="1343">
        <f>'B2 - Pay &amp; Agency'!N65</f>
        <v>278</v>
      </c>
      <c r="DC65" s="1344">
        <f>'B2 - Pay &amp; Agency'!O65</f>
        <v>278</v>
      </c>
      <c r="DD65" s="1345">
        <f>'B2 - Pay &amp; Agency'!P65</f>
        <v>3336</v>
      </c>
      <c r="DF65" s="2748">
        <f>'B3 - COVID-19'!A65</f>
        <v>43</v>
      </c>
      <c r="DG65" s="2845" t="str">
        <f>'B3 - COVID-19'!B65</f>
        <v>Secondary Care - Drugs</v>
      </c>
      <c r="DH65" s="1330">
        <f>'B3 - COVID-19'!C65</f>
        <v>0</v>
      </c>
      <c r="DI65" s="1330">
        <f>'B3 - COVID-19'!D65</f>
        <v>0</v>
      </c>
      <c r="DJ65" s="1330">
        <f>'B3 - COVID-19'!E65</f>
        <v>0</v>
      </c>
      <c r="DK65" s="1330">
        <f>'B3 - COVID-19'!F65</f>
        <v>0</v>
      </c>
      <c r="DL65" s="1330">
        <f>'B3 - COVID-19'!G65</f>
        <v>0</v>
      </c>
      <c r="DM65" s="1330">
        <f>'B3 - COVID-19'!H65</f>
        <v>0</v>
      </c>
      <c r="DN65" s="1330">
        <f>'B3 - COVID-19'!I65</f>
        <v>0</v>
      </c>
      <c r="DO65" s="1330">
        <f>'B3 - COVID-19'!J65</f>
        <v>0</v>
      </c>
      <c r="DP65" s="1330">
        <f>'B3 - COVID-19'!K65</f>
        <v>0</v>
      </c>
      <c r="DQ65" s="1330">
        <f>'B3 - COVID-19'!L65</f>
        <v>0</v>
      </c>
      <c r="DR65" s="1330">
        <f>'B3 - COVID-19'!M65</f>
        <v>0</v>
      </c>
      <c r="DS65" s="1330">
        <f>'B3 - COVID-19'!N65</f>
        <v>0</v>
      </c>
      <c r="DT65" s="1863">
        <f>'B3 - COVID-19'!O65</f>
        <v>0</v>
      </c>
      <c r="DU65" s="1863">
        <f>'B3 - COVID-19'!P65</f>
        <v>0</v>
      </c>
      <c r="DV65" s="608"/>
      <c r="DW65" s="1116"/>
      <c r="DY65" s="2079">
        <f>'C, C1, C2&amp; C3 - Savings Schemes'!A65</f>
        <v>13</v>
      </c>
      <c r="DZ65" s="3038" t="str">
        <f>'C, C1, C2&amp; C3 - Savings Schemes'!B65</f>
        <v>Changes in Bank Staff</v>
      </c>
      <c r="EA65" s="87" t="str">
        <f>'C, C1, C2&amp; C3 - Savings Schemes'!C65</f>
        <v>Budget/Plan</v>
      </c>
      <c r="EB65" s="1773">
        <f>'C, C1, C2&amp; C3 - Savings Schemes'!D65</f>
        <v>0</v>
      </c>
      <c r="EC65" s="1774">
        <f>'C, C1, C2&amp; C3 - Savings Schemes'!E65</f>
        <v>0</v>
      </c>
      <c r="ED65" s="1774">
        <f>'C, C1, C2&amp; C3 - Savings Schemes'!F65</f>
        <v>0</v>
      </c>
      <c r="EE65" s="1774">
        <f>'C, C1, C2&amp; C3 - Savings Schemes'!G65</f>
        <v>0</v>
      </c>
      <c r="EF65" s="1774">
        <f>'C, C1, C2&amp; C3 - Savings Schemes'!H65</f>
        <v>0</v>
      </c>
      <c r="EG65" s="1774">
        <f>'C, C1, C2&amp; C3 - Savings Schemes'!I65</f>
        <v>0</v>
      </c>
      <c r="EH65" s="1774">
        <f>'C, C1, C2&amp; C3 - Savings Schemes'!J65</f>
        <v>0</v>
      </c>
      <c r="EI65" s="1774">
        <f>'C, C1, C2&amp; C3 - Savings Schemes'!K65</f>
        <v>0</v>
      </c>
      <c r="EJ65" s="1774">
        <f>'C, C1, C2&amp; C3 - Savings Schemes'!L65</f>
        <v>0</v>
      </c>
      <c r="EK65" s="1774">
        <f>'C, C1, C2&amp; C3 - Savings Schemes'!M65</f>
        <v>0</v>
      </c>
      <c r="EL65" s="1774">
        <f>'C, C1, C2&amp; C3 - Savings Schemes'!N65</f>
        <v>0</v>
      </c>
      <c r="EM65" s="1775">
        <f>'C, C1, C2&amp; C3 - Savings Schemes'!O65</f>
        <v>0</v>
      </c>
      <c r="EN65" s="120">
        <f>'C, C1, C2&amp; C3 - Savings Schemes'!P65</f>
        <v>0</v>
      </c>
      <c r="EO65" s="938">
        <f>'C, C1, C2&amp; C3 - Savings Schemes'!Q65</f>
        <v>0</v>
      </c>
      <c r="EP65" s="1930"/>
      <c r="EQ65" s="1930"/>
      <c r="ER65" s="1930"/>
      <c r="ES65" s="1930"/>
      <c r="ET65" s="1930"/>
      <c r="EU65" s="1930"/>
      <c r="EV65" s="1930"/>
      <c r="EW65" s="1930"/>
      <c r="EX65" s="1932"/>
      <c r="EY65" s="1932"/>
      <c r="EZ65" s="1932"/>
      <c r="FA65" s="1932"/>
      <c r="FB65" s="1932"/>
      <c r="FC65" s="1932"/>
      <c r="FD65" s="1932"/>
      <c r="FE65" s="1932"/>
      <c r="FF65" s="1932"/>
      <c r="FG65" s="1932"/>
      <c r="FH65" s="1932"/>
      <c r="FI65" s="1932"/>
      <c r="FJ65" s="1932"/>
      <c r="FK65" s="1932"/>
      <c r="FL65" s="1932"/>
      <c r="FM65" s="1932"/>
      <c r="FN65" s="1932"/>
      <c r="FO65" s="1932"/>
      <c r="FP65" s="1932"/>
      <c r="FQ65" s="1932"/>
      <c r="FR65" s="1932"/>
      <c r="FS65" s="1932"/>
      <c r="GF65" s="2112">
        <f>'E - Resource Limits'!A65</f>
        <v>53</v>
      </c>
      <c r="GG65" s="2113">
        <f>'E - Resource Limits'!B65</f>
        <v>0</v>
      </c>
      <c r="GH65" s="2114">
        <f>'E - Resource Limits'!C65</f>
        <v>0</v>
      </c>
      <c r="GI65" s="2114">
        <f>'E - Resource Limits'!D65</f>
        <v>0</v>
      </c>
      <c r="GJ65" s="2114">
        <f>'E - Resource Limits'!E65</f>
        <v>0</v>
      </c>
      <c r="GK65" s="2114">
        <f>'E - Resource Limits'!F65</f>
        <v>0</v>
      </c>
      <c r="GL65" s="2048">
        <f>'E - Resource Limits'!G65</f>
        <v>0</v>
      </c>
      <c r="GM65" s="2115">
        <f>'E - Resource Limits'!H65</f>
        <v>0</v>
      </c>
      <c r="GN65" s="2114">
        <f>'E - Resource Limits'!I65</f>
        <v>0</v>
      </c>
      <c r="GO65" s="2114">
        <f>'E - Resource Limits'!J65</f>
        <v>0</v>
      </c>
      <c r="GP65" s="2114">
        <f>'E - Resource Limits'!K65</f>
        <v>0</v>
      </c>
      <c r="GQ65" s="2116">
        <f>'E - Resource Limits'!L65</f>
        <v>0</v>
      </c>
      <c r="GR65" s="1935">
        <f t="shared" si="6"/>
        <v>0</v>
      </c>
      <c r="GT65" s="346">
        <f>'E1 - Invoiced Income'!A65</f>
        <v>50</v>
      </c>
      <c r="GU65" s="593">
        <f>'E1 - Invoiced Income'!B65</f>
        <v>0</v>
      </c>
      <c r="GV65" s="25">
        <f>'E1 - Invoiced Income'!C65</f>
        <v>0</v>
      </c>
      <c r="GW65" s="2527">
        <f>'E1 - Invoiced Income'!D65</f>
        <v>0</v>
      </c>
      <c r="GX65" s="196">
        <f>'E1 - Invoiced Income'!E65</f>
        <v>0</v>
      </c>
      <c r="GY65" s="2527">
        <f>'E1 - Invoiced Income'!F65</f>
        <v>0</v>
      </c>
      <c r="GZ65" s="2527">
        <f>'E1 - Invoiced Income'!G65</f>
        <v>0</v>
      </c>
      <c r="HA65" s="2527">
        <f>'E1 - Invoiced Income'!H65</f>
        <v>0</v>
      </c>
      <c r="HB65" s="2527">
        <f>'E1 - Invoiced Income'!I65</f>
        <v>0</v>
      </c>
      <c r="HC65" s="71"/>
      <c r="HD65" s="71"/>
      <c r="HE65" s="71"/>
      <c r="HF65" s="71"/>
      <c r="HG65" s="71"/>
      <c r="HH65" s="71"/>
      <c r="HI65" s="71"/>
      <c r="HJ65" s="71"/>
      <c r="HK65" s="71"/>
      <c r="HL65" s="71"/>
      <c r="HM65" s="71"/>
      <c r="HO65" s="1940"/>
      <c r="HP65" s="1745"/>
      <c r="HQ65" s="1745"/>
      <c r="HR65" s="1745"/>
      <c r="HS65" s="2352"/>
      <c r="HT65" s="2352">
        <f t="shared" si="19"/>
        <v>0</v>
      </c>
      <c r="JD65" s="2088">
        <f>'I - Capital RLM'!A65</f>
        <v>44</v>
      </c>
      <c r="JE65" s="2393" t="str">
        <f>'I - Capital RLM'!B65</f>
        <v>Equipment</v>
      </c>
      <c r="JF65" s="2010">
        <f>'I - Capital RLM'!C65</f>
        <v>0</v>
      </c>
      <c r="JG65" s="2010">
        <f>'I - Capital RLM'!D65</f>
        <v>0</v>
      </c>
      <c r="JH65" s="2118">
        <f>'I - Capital RLM'!E65</f>
        <v>0</v>
      </c>
      <c r="JI65" s="1943">
        <f>'I - Capital RLM'!F65</f>
        <v>0</v>
      </c>
      <c r="JJ65" s="2010">
        <f>'I - Capital RLM'!G65</f>
        <v>0</v>
      </c>
      <c r="JK65" s="2010">
        <f>'I - Capital RLM'!H65</f>
        <v>0</v>
      </c>
      <c r="JL65" s="2118">
        <f>'I - Capital RLM'!I65</f>
        <v>0</v>
      </c>
      <c r="JM65" s="2060"/>
      <c r="JN65" s="1890">
        <f>'I - Capital RLM'!K65</f>
        <v>0</v>
      </c>
      <c r="JO65" s="2060"/>
      <c r="JQ65" s="2088">
        <f>'J - Capital In Year Schemes'!A65</f>
        <v>50</v>
      </c>
      <c r="JR65" s="2126">
        <f>'J - Capital In Year Schemes'!B65</f>
        <v>0</v>
      </c>
      <c r="JS65" s="2126">
        <f>'J - Capital In Year Schemes'!C65</f>
        <v>0</v>
      </c>
      <c r="JT65" s="2325">
        <f>'J - Capital In Year Schemes'!D65</f>
        <v>0</v>
      </c>
      <c r="JU65" s="2010">
        <f>'J - Capital In Year Schemes'!E65</f>
        <v>0</v>
      </c>
      <c r="JV65" s="2010">
        <f>'J - Capital In Year Schemes'!F65</f>
        <v>0</v>
      </c>
      <c r="JW65" s="2010">
        <f>'J - Capital In Year Schemes'!G65</f>
        <v>0</v>
      </c>
      <c r="JX65" s="2010">
        <f>'J - Capital In Year Schemes'!H65</f>
        <v>0</v>
      </c>
      <c r="JY65" s="2010">
        <f>'J - Capital In Year Schemes'!I65</f>
        <v>0</v>
      </c>
      <c r="JZ65" s="2010">
        <f>'J - Capital In Year Schemes'!J65</f>
        <v>0</v>
      </c>
      <c r="KA65" s="2010">
        <f>'J - Capital In Year Schemes'!K65</f>
        <v>0</v>
      </c>
      <c r="KB65" s="2010">
        <f>'J - Capital In Year Schemes'!L65</f>
        <v>0</v>
      </c>
      <c r="KC65" s="2010">
        <f>'J - Capital In Year Schemes'!M65</f>
        <v>0</v>
      </c>
      <c r="KD65" s="2010">
        <f>'J - Capital In Year Schemes'!N65</f>
        <v>0</v>
      </c>
      <c r="KE65" s="2010">
        <f>'J - Capital In Year Schemes'!O65</f>
        <v>0</v>
      </c>
      <c r="KF65" s="2010">
        <f>'J - Capital In Year Schemes'!P65</f>
        <v>0</v>
      </c>
      <c r="KG65" s="2010">
        <f>'J - Capital In Year Schemes'!Q65</f>
        <v>0</v>
      </c>
      <c r="KH65" s="2090">
        <f>'J - Capital In Year Schemes'!R65</f>
        <v>0</v>
      </c>
      <c r="KI65" s="2090">
        <f>'J - Capital In Year Schemes'!S65</f>
        <v>0</v>
      </c>
      <c r="KJ65" s="2091">
        <f>'J - Capital In Year Schemes'!T65</f>
        <v>0</v>
      </c>
      <c r="KK65" s="2060"/>
      <c r="LL65" s="814"/>
      <c r="LM65" s="2394">
        <f>'M - Aged Debtors'!B65</f>
        <v>0</v>
      </c>
      <c r="LN65" s="2395">
        <f>'M - Aged Debtors'!C65</f>
        <v>0</v>
      </c>
      <c r="LO65" s="2396">
        <f>'M - Aged Debtors'!D65</f>
        <v>0</v>
      </c>
      <c r="LP65" s="2397">
        <f>'M - Aged Debtors'!E65</f>
        <v>0</v>
      </c>
      <c r="LQ65" s="2398">
        <f>'M - Aged Debtors'!F65</f>
        <v>0</v>
      </c>
      <c r="LR65" s="832" t="str">
        <f>'M - Aged Debtors'!G65</f>
        <v/>
      </c>
      <c r="LS65" s="829" t="str">
        <f>'M - Aged Debtors'!H65</f>
        <v/>
      </c>
      <c r="LT65" s="829" t="str">
        <f>'M - Aged Debtors'!I65</f>
        <v/>
      </c>
      <c r="LU65" s="830" t="str">
        <f>'M - Aged Debtors'!J65</f>
        <v/>
      </c>
      <c r="LV65" s="1830">
        <f>'M - Aged Debtors'!K65</f>
        <v>0</v>
      </c>
      <c r="LX65" s="3130" t="str">
        <f>'N - GMS'!A65</f>
        <v/>
      </c>
      <c r="LY65" s="3130"/>
      <c r="LZ65" s="3130"/>
      <c r="MA65" s="3109" t="str">
        <f>'N - GMS'!D65</f>
        <v/>
      </c>
      <c r="MB65" s="3109"/>
      <c r="MC65" s="3109"/>
      <c r="MD65" s="3109"/>
      <c r="ME65" s="3109"/>
      <c r="MF65" s="3109"/>
      <c r="MR65" s="684"/>
      <c r="MS65" s="2689">
        <f>'P - Ringfenced'!B65</f>
        <v>0</v>
      </c>
      <c r="MT65" s="2692">
        <f>'P - Ringfenced'!C65</f>
        <v>0</v>
      </c>
      <c r="MU65" s="2700">
        <f>'P - Ringfenced'!D65</f>
        <v>0</v>
      </c>
      <c r="MV65" s="2700">
        <f>'P - Ringfenced'!E65</f>
        <v>0</v>
      </c>
      <c r="MW65" s="2701">
        <f>'P - Ringfenced'!F65</f>
        <v>0</v>
      </c>
      <c r="MX65" s="2701">
        <f>'P - Ringfenced'!G65</f>
        <v>0</v>
      </c>
      <c r="MY65" s="2701">
        <f>'P - Ringfenced'!H65</f>
        <v>0</v>
      </c>
      <c r="MZ65" s="2701">
        <f>'P - Ringfenced'!I65</f>
        <v>0</v>
      </c>
      <c r="NA65" s="2701">
        <f>'P - Ringfenced'!J65</f>
        <v>0</v>
      </c>
      <c r="NB65" s="2701">
        <f>'P - Ringfenced'!K65</f>
        <v>0</v>
      </c>
      <c r="NC65" s="2701">
        <f>'P - Ringfenced'!L65</f>
        <v>0</v>
      </c>
      <c r="ND65" s="2701">
        <f>'P - Ringfenced'!M65</f>
        <v>0</v>
      </c>
      <c r="NE65" s="2701">
        <f>'P - Ringfenced'!N65</f>
        <v>0</v>
      </c>
      <c r="NF65" s="2701">
        <f>'P - Ringfenced'!O65</f>
        <v>0</v>
      </c>
      <c r="NG65" s="2701">
        <f>'P - Ringfenced'!P65</f>
        <v>0</v>
      </c>
      <c r="NH65" s="2701">
        <f>'P - Ringfenced'!Q65</f>
        <v>0</v>
      </c>
      <c r="NI65" s="1339">
        <f>'P - Ringfenced'!R65</f>
        <v>0</v>
      </c>
      <c r="NJ65" s="2672">
        <f>'P - Ringfenced'!S65</f>
        <v>0</v>
      </c>
      <c r="NK65" s="684"/>
      <c r="NL65" s="684"/>
    </row>
    <row r="66" spans="57:376" ht="20.149999999999999" customHeight="1" thickBot="1">
      <c r="BE66" s="1930"/>
      <c r="BF66" s="2275"/>
      <c r="BG66" s="2312" t="str">
        <f>'B - Monthly Positions'!C65</f>
        <v>32. YTD /remaining months</v>
      </c>
      <c r="BH66" s="2313"/>
      <c r="BI66" s="2280">
        <f>'B - Monthly Positions'!E65</f>
        <v>4.5454545454545459</v>
      </c>
      <c r="BJ66" s="2314"/>
      <c r="BK66" s="2250"/>
      <c r="BL66" s="2315"/>
      <c r="BM66" s="2316"/>
      <c r="BN66" s="2250"/>
      <c r="BO66" s="2317"/>
      <c r="BP66" s="2300"/>
      <c r="BQ66" s="1930"/>
      <c r="BR66" s="2250"/>
      <c r="BS66" s="2318"/>
      <c r="BT66" s="2318"/>
      <c r="BU66" s="2250"/>
      <c r="BV66" s="2290"/>
      <c r="BW66" s="1930"/>
      <c r="BX66" s="84"/>
      <c r="BY66" s="1212" t="str">
        <f>' Table Z Net Exp Profiles'!B66</f>
        <v>Drugs/Medicines Management - Expenditure Profiles</v>
      </c>
      <c r="BZ66" s="1238" t="str">
        <f>' Table Z Net Exp Profiles'!C66</f>
        <v>Apr</v>
      </c>
      <c r="CA66" s="1225" t="str">
        <f>' Table Z Net Exp Profiles'!D66</f>
        <v>May</v>
      </c>
      <c r="CB66" s="1225" t="str">
        <f>' Table Z Net Exp Profiles'!E66</f>
        <v>Jun</v>
      </c>
      <c r="CC66" s="1225" t="str">
        <f>' Table Z Net Exp Profiles'!F66</f>
        <v>Jul</v>
      </c>
      <c r="CD66" s="1225" t="str">
        <f>' Table Z Net Exp Profiles'!G66</f>
        <v>Aug</v>
      </c>
      <c r="CE66" s="1225" t="str">
        <f>' Table Z Net Exp Profiles'!H66</f>
        <v>Sep</v>
      </c>
      <c r="CF66" s="1225" t="str">
        <f>' Table Z Net Exp Profiles'!I66</f>
        <v>Oct</v>
      </c>
      <c r="CG66" s="1225" t="str">
        <f>' Table Z Net Exp Profiles'!J66</f>
        <v>Nov</v>
      </c>
      <c r="CH66" s="1225" t="str">
        <f>' Table Z Net Exp Profiles'!K66</f>
        <v>Dec</v>
      </c>
      <c r="CI66" s="1225" t="str">
        <f>' Table Z Net Exp Profiles'!L66</f>
        <v>Jan</v>
      </c>
      <c r="CJ66" s="1225" t="str">
        <f>' Table Z Net Exp Profiles'!M66</f>
        <v>Feb</v>
      </c>
      <c r="CK66" s="1251" t="str">
        <f>' Table Z Net Exp Profiles'!N66</f>
        <v>Mar</v>
      </c>
      <c r="CL66" s="1227" t="str">
        <f>' Table Z Net Exp Profiles'!O66</f>
        <v>Total YTD</v>
      </c>
      <c r="CM66" s="1252" t="str">
        <f>' Table Z Net Exp Profiles'!P66</f>
        <v>Forecast year-end position</v>
      </c>
      <c r="DF66" s="2748">
        <f>'B3 - COVID-19'!A66</f>
        <v>44</v>
      </c>
      <c r="DG66" s="2845" t="str">
        <f>'B3 - COVID-19'!B66</f>
        <v>Provider - Non Pay (Clinical &amp; General Supplies, Rent, Rates, Equipment etc) Exclude PPE - see A3</v>
      </c>
      <c r="DH66" s="1330">
        <f>'B3 - COVID-19'!C66</f>
        <v>7.27536</v>
      </c>
      <c r="DI66" s="1330">
        <f>'B3 - COVID-19'!D66</f>
        <v>18.18181818181818</v>
      </c>
      <c r="DJ66" s="1330">
        <f>'B3 - COVID-19'!E66</f>
        <v>43.18181818181818</v>
      </c>
      <c r="DK66" s="1330">
        <f>'B3 - COVID-19'!F66</f>
        <v>43.18181818181818</v>
      </c>
      <c r="DL66" s="1330">
        <f>'B3 - COVID-19'!G66</f>
        <v>43.18181818181818</v>
      </c>
      <c r="DM66" s="1330">
        <f>'B3 - COVID-19'!H66</f>
        <v>103.18181818181817</v>
      </c>
      <c r="DN66" s="1330">
        <f>'B3 - COVID-19'!I66</f>
        <v>90.681818181818173</v>
      </c>
      <c r="DO66" s="1330">
        <f>'B3 - COVID-19'!J66</f>
        <v>30.68181818181818</v>
      </c>
      <c r="DP66" s="1330">
        <f>'B3 - COVID-19'!K66</f>
        <v>30.68181818181818</v>
      </c>
      <c r="DQ66" s="1330">
        <f>'B3 - COVID-19'!L66</f>
        <v>30.68181818181818</v>
      </c>
      <c r="DR66" s="1330">
        <f>'B3 - COVID-19'!M66</f>
        <v>82.532923181818191</v>
      </c>
      <c r="DS66" s="1330">
        <f>'B3 - COVID-19'!N66</f>
        <v>82.532923181818191</v>
      </c>
      <c r="DT66" s="1863">
        <f>'B3 - COVID-19'!O66</f>
        <v>7.27536</v>
      </c>
      <c r="DU66" s="1863">
        <f>'B3 - COVID-19'!P66</f>
        <v>605.97757000000001</v>
      </c>
      <c r="DV66" s="608"/>
      <c r="DW66" s="1116"/>
      <c r="DY66" s="2095">
        <f>'C, C1, C2&amp; C3 - Savings Schemes'!A66</f>
        <v>14</v>
      </c>
      <c r="DZ66" s="3039"/>
      <c r="EA66" s="90" t="str">
        <f>'C, C1, C2&amp; C3 - Savings Schemes'!C66</f>
        <v>Actual/F'cast</v>
      </c>
      <c r="EB66" s="1782">
        <f>'C, C1, C2&amp; C3 - Savings Schemes'!D66</f>
        <v>0</v>
      </c>
      <c r="EC66" s="1783">
        <f>'C, C1, C2&amp; C3 - Savings Schemes'!E66</f>
        <v>0</v>
      </c>
      <c r="ED66" s="1783">
        <f>'C, C1, C2&amp; C3 - Savings Schemes'!F66</f>
        <v>0</v>
      </c>
      <c r="EE66" s="1783">
        <f>'C, C1, C2&amp; C3 - Savings Schemes'!G66</f>
        <v>0</v>
      </c>
      <c r="EF66" s="1783">
        <f>'C, C1, C2&amp; C3 - Savings Schemes'!H66</f>
        <v>0</v>
      </c>
      <c r="EG66" s="1783">
        <f>'C, C1, C2&amp; C3 - Savings Schemes'!I66</f>
        <v>0</v>
      </c>
      <c r="EH66" s="1783">
        <f>'C, C1, C2&amp; C3 - Savings Schemes'!J66</f>
        <v>0</v>
      </c>
      <c r="EI66" s="1783">
        <f>'C, C1, C2&amp; C3 - Savings Schemes'!K66</f>
        <v>0</v>
      </c>
      <c r="EJ66" s="1783">
        <f>'C, C1, C2&amp; C3 - Savings Schemes'!L66</f>
        <v>0</v>
      </c>
      <c r="EK66" s="1783">
        <f>'C, C1, C2&amp; C3 - Savings Schemes'!M66</f>
        <v>0</v>
      </c>
      <c r="EL66" s="1783">
        <f>'C, C1, C2&amp; C3 - Savings Schemes'!N66</f>
        <v>0</v>
      </c>
      <c r="EM66" s="1784">
        <f>'C, C1, C2&amp; C3 - Savings Schemes'!O66</f>
        <v>0</v>
      </c>
      <c r="EN66" s="121">
        <f>'C, C1, C2&amp; C3 - Savings Schemes'!P66</f>
        <v>0</v>
      </c>
      <c r="EO66" s="940">
        <f>'C, C1, C2&amp; C3 - Savings Schemes'!Q66</f>
        <v>0</v>
      </c>
      <c r="EP66" s="1930"/>
      <c r="EQ66" s="1930"/>
      <c r="ER66" s="1930"/>
      <c r="ES66" s="1930"/>
      <c r="ET66" s="1930"/>
      <c r="EU66" s="1930"/>
      <c r="EV66" s="1930"/>
      <c r="EW66" s="1930"/>
      <c r="EX66" s="1932"/>
      <c r="EY66" s="1932"/>
      <c r="EZ66" s="1932"/>
      <c r="FA66" s="1932"/>
      <c r="FB66" s="1932"/>
      <c r="FC66" s="1932"/>
      <c r="FD66" s="1932"/>
      <c r="FE66" s="1932"/>
      <c r="FF66" s="1932"/>
      <c r="FG66" s="1932"/>
      <c r="FH66" s="1932"/>
      <c r="FI66" s="1932"/>
      <c r="FJ66" s="1932"/>
      <c r="FK66" s="1932"/>
      <c r="FL66" s="1932"/>
      <c r="FM66" s="1932"/>
      <c r="FN66" s="1932"/>
      <c r="FO66" s="1932"/>
      <c r="FP66" s="1932"/>
      <c r="FQ66" s="1932"/>
      <c r="FR66" s="1932"/>
      <c r="FS66" s="1932"/>
      <c r="GF66" s="2112">
        <f>'E - Resource Limits'!A66</f>
        <v>54</v>
      </c>
      <c r="GG66" s="2113">
        <f>'E - Resource Limits'!B66</f>
        <v>0</v>
      </c>
      <c r="GH66" s="2114">
        <f>'E - Resource Limits'!C66</f>
        <v>0</v>
      </c>
      <c r="GI66" s="2114">
        <f>'E - Resource Limits'!D66</f>
        <v>0</v>
      </c>
      <c r="GJ66" s="2114">
        <f>'E - Resource Limits'!E66</f>
        <v>0</v>
      </c>
      <c r="GK66" s="2114">
        <f>'E - Resource Limits'!F66</f>
        <v>0</v>
      </c>
      <c r="GL66" s="2048">
        <f>'E - Resource Limits'!G66</f>
        <v>0</v>
      </c>
      <c r="GM66" s="2115">
        <f>'E - Resource Limits'!H66</f>
        <v>0</v>
      </c>
      <c r="GN66" s="2114">
        <f>'E - Resource Limits'!I66</f>
        <v>0</v>
      </c>
      <c r="GO66" s="2114">
        <f>'E - Resource Limits'!J66</f>
        <v>0</v>
      </c>
      <c r="GP66" s="2114">
        <f>'E - Resource Limits'!K66</f>
        <v>0</v>
      </c>
      <c r="GQ66" s="2116">
        <f>'E - Resource Limits'!L66</f>
        <v>0</v>
      </c>
      <c r="GR66" s="1935">
        <f t="shared" si="6"/>
        <v>0</v>
      </c>
      <c r="GT66" s="346">
        <f>'E1 - Invoiced Income'!A66</f>
        <v>51</v>
      </c>
      <c r="GU66" s="593">
        <f>'E1 - Invoiced Income'!B66</f>
        <v>0</v>
      </c>
      <c r="GV66" s="25">
        <f>'E1 - Invoiced Income'!C66</f>
        <v>0</v>
      </c>
      <c r="GW66" s="2527">
        <f>'E1 - Invoiced Income'!D66</f>
        <v>0</v>
      </c>
      <c r="GX66" s="196">
        <f>'E1 - Invoiced Income'!E66</f>
        <v>0</v>
      </c>
      <c r="GY66" s="2527">
        <f>'E1 - Invoiced Income'!F66</f>
        <v>0</v>
      </c>
      <c r="GZ66" s="2527">
        <f>'E1 - Invoiced Income'!G66</f>
        <v>0</v>
      </c>
      <c r="HA66" s="2527">
        <f>'E1 - Invoiced Income'!H66</f>
        <v>0</v>
      </c>
      <c r="HB66" s="2527">
        <f>'E1 - Invoiced Income'!I66</f>
        <v>0</v>
      </c>
      <c r="HC66" s="71"/>
      <c r="HD66" s="71"/>
      <c r="HE66" s="71"/>
      <c r="HF66" s="71"/>
      <c r="HG66" s="71"/>
      <c r="HH66" s="71"/>
      <c r="HI66" s="71"/>
      <c r="HJ66" s="71"/>
      <c r="HK66" s="71"/>
      <c r="HL66" s="71"/>
      <c r="HM66" s="71"/>
      <c r="HO66" s="2290"/>
      <c r="HP66" s="1940" t="str">
        <f>'F - SoFP'!B66</f>
        <v>ANALYSIS OF WELSH NHS RECEIVABLES (current month)</v>
      </c>
      <c r="HQ66" s="1745"/>
      <c r="HR66" s="2399" t="str">
        <f>'F - SoFP'!D66</f>
        <v>£'000</v>
      </c>
      <c r="HS66" s="2400"/>
      <c r="HT66" s="2352">
        <f t="shared" si="19"/>
        <v>0</v>
      </c>
      <c r="JD66" s="2088">
        <f>'I - Capital RLM'!A66</f>
        <v>45</v>
      </c>
      <c r="JE66" s="2393" t="str">
        <f>'I - Capital RLM'!B66</f>
        <v>Statutory Compliance</v>
      </c>
      <c r="JF66" s="2010">
        <f>'I - Capital RLM'!C66</f>
        <v>0</v>
      </c>
      <c r="JG66" s="2010">
        <f>'I - Capital RLM'!D66</f>
        <v>0</v>
      </c>
      <c r="JH66" s="2118">
        <f>'I - Capital RLM'!E66</f>
        <v>0</v>
      </c>
      <c r="JI66" s="1943">
        <f>'I - Capital RLM'!F66</f>
        <v>0</v>
      </c>
      <c r="JJ66" s="2010">
        <f>'I - Capital RLM'!G66</f>
        <v>0</v>
      </c>
      <c r="JK66" s="2010">
        <f>'I - Capital RLM'!H66</f>
        <v>0</v>
      </c>
      <c r="JL66" s="2118">
        <f>'I - Capital RLM'!I66</f>
        <v>0</v>
      </c>
      <c r="JM66" s="2060"/>
      <c r="JN66" s="1890">
        <f>'I - Capital RLM'!K66</f>
        <v>0</v>
      </c>
      <c r="JO66" s="2060"/>
      <c r="JQ66" s="2088">
        <f>'J - Capital In Year Schemes'!A66</f>
        <v>51</v>
      </c>
      <c r="JR66" s="2126">
        <f>'J - Capital In Year Schemes'!B66</f>
        <v>0</v>
      </c>
      <c r="JS66" s="2126">
        <f>'J - Capital In Year Schemes'!C66</f>
        <v>0</v>
      </c>
      <c r="JT66" s="2325">
        <f>'J - Capital In Year Schemes'!D66</f>
        <v>0</v>
      </c>
      <c r="JU66" s="2010">
        <f>'J - Capital In Year Schemes'!E66</f>
        <v>0</v>
      </c>
      <c r="JV66" s="2010">
        <f>'J - Capital In Year Schemes'!F66</f>
        <v>0</v>
      </c>
      <c r="JW66" s="2010">
        <f>'J - Capital In Year Schemes'!G66</f>
        <v>0</v>
      </c>
      <c r="JX66" s="2010">
        <f>'J - Capital In Year Schemes'!H66</f>
        <v>0</v>
      </c>
      <c r="JY66" s="2010">
        <f>'J - Capital In Year Schemes'!I66</f>
        <v>0</v>
      </c>
      <c r="JZ66" s="2010">
        <f>'J - Capital In Year Schemes'!J66</f>
        <v>0</v>
      </c>
      <c r="KA66" s="2010">
        <f>'J - Capital In Year Schemes'!K66</f>
        <v>0</v>
      </c>
      <c r="KB66" s="2010">
        <f>'J - Capital In Year Schemes'!L66</f>
        <v>0</v>
      </c>
      <c r="KC66" s="2010">
        <f>'J - Capital In Year Schemes'!M66</f>
        <v>0</v>
      </c>
      <c r="KD66" s="2010">
        <f>'J - Capital In Year Schemes'!N66</f>
        <v>0</v>
      </c>
      <c r="KE66" s="2010">
        <f>'J - Capital In Year Schemes'!O66</f>
        <v>0</v>
      </c>
      <c r="KF66" s="2010">
        <f>'J - Capital In Year Schemes'!P66</f>
        <v>0</v>
      </c>
      <c r="KG66" s="2010">
        <f>'J - Capital In Year Schemes'!Q66</f>
        <v>0</v>
      </c>
      <c r="KH66" s="2090">
        <f>'J - Capital In Year Schemes'!R66</f>
        <v>0</v>
      </c>
      <c r="KI66" s="2090">
        <f>'J - Capital In Year Schemes'!S66</f>
        <v>0</v>
      </c>
      <c r="KJ66" s="2091">
        <f>'J - Capital In Year Schemes'!T66</f>
        <v>0</v>
      </c>
      <c r="KK66" s="2060"/>
      <c r="LL66" s="814"/>
      <c r="LM66" s="2394">
        <f>'M - Aged Debtors'!B66</f>
        <v>0</v>
      </c>
      <c r="LN66" s="2395">
        <f>'M - Aged Debtors'!C66</f>
        <v>0</v>
      </c>
      <c r="LO66" s="2396">
        <f>'M - Aged Debtors'!D66</f>
        <v>0</v>
      </c>
      <c r="LP66" s="2397">
        <f>'M - Aged Debtors'!E66</f>
        <v>0</v>
      </c>
      <c r="LQ66" s="2398">
        <f>'M - Aged Debtors'!F66</f>
        <v>0</v>
      </c>
      <c r="LR66" s="832" t="str">
        <f>'M - Aged Debtors'!G66</f>
        <v/>
      </c>
      <c r="LS66" s="829" t="str">
        <f>'M - Aged Debtors'!H66</f>
        <v/>
      </c>
      <c r="LT66" s="829" t="str">
        <f>'M - Aged Debtors'!I66</f>
        <v/>
      </c>
      <c r="LU66" s="830" t="str">
        <f>'M - Aged Debtors'!J66</f>
        <v/>
      </c>
      <c r="LV66" s="1830">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4"/>
      <c r="MS66" s="2675" t="str">
        <f>'P - Ringfenced'!B66</f>
        <v>Total</v>
      </c>
      <c r="MT66" s="1110">
        <f>'P - Ringfenced'!C66</f>
        <v>0</v>
      </c>
      <c r="MU66" s="1110">
        <f>'P - Ringfenced'!D66</f>
        <v>0</v>
      </c>
      <c r="MV66" s="1110">
        <f>'P - Ringfenced'!E66</f>
        <v>0</v>
      </c>
      <c r="MW66" s="1110">
        <f>'P - Ringfenced'!F66</f>
        <v>0</v>
      </c>
      <c r="MX66" s="1110">
        <f>'P - Ringfenced'!G66</f>
        <v>0</v>
      </c>
      <c r="MY66" s="1110">
        <f>'P - Ringfenced'!H66</f>
        <v>0</v>
      </c>
      <c r="MZ66" s="1110">
        <f>'P - Ringfenced'!I66</f>
        <v>0</v>
      </c>
      <c r="NA66" s="1110">
        <f>'P - Ringfenced'!J66</f>
        <v>0</v>
      </c>
      <c r="NB66" s="1110">
        <f>'P - Ringfenced'!K66</f>
        <v>0</v>
      </c>
      <c r="NC66" s="1110">
        <f>'P - Ringfenced'!L66</f>
        <v>0</v>
      </c>
      <c r="ND66" s="1110">
        <f>'P - Ringfenced'!M66</f>
        <v>0</v>
      </c>
      <c r="NE66" s="1110">
        <f>'P - Ringfenced'!N66</f>
        <v>0</v>
      </c>
      <c r="NF66" s="1110">
        <f>'P - Ringfenced'!O66</f>
        <v>0</v>
      </c>
      <c r="NG66" s="1110">
        <f>'P - Ringfenced'!P66</f>
        <v>0</v>
      </c>
      <c r="NH66" s="1110">
        <f>'P - Ringfenced'!Q66</f>
        <v>0</v>
      </c>
      <c r="NI66" s="1110">
        <f>'P - Ringfenced'!R66</f>
        <v>0</v>
      </c>
      <c r="NJ66" s="1101">
        <f>'P - Ringfenced'!S66</f>
        <v>0</v>
      </c>
      <c r="NK66" s="684"/>
      <c r="NL66" s="684"/>
    </row>
    <row r="67" spans="57:376" ht="20.149999999999999" customHeight="1" thickBot="1">
      <c r="BE67" s="1930"/>
      <c r="BF67" s="2250"/>
      <c r="BG67" s="2250"/>
      <c r="BH67" s="2250"/>
      <c r="BI67" s="2250"/>
      <c r="BJ67" s="2250"/>
      <c r="BK67" s="2250"/>
      <c r="BL67" s="2324"/>
      <c r="BM67" s="2316"/>
      <c r="BN67" s="2250"/>
      <c r="BO67" s="2317"/>
      <c r="BP67" s="2317"/>
      <c r="BQ67" s="1930"/>
      <c r="BR67" s="1930"/>
      <c r="BS67" s="1930"/>
      <c r="BT67" s="1930"/>
      <c r="BU67" s="1930"/>
      <c r="BV67" s="1930"/>
      <c r="BW67" s="1930"/>
      <c r="BX67" s="84"/>
      <c r="BY67" s="1213"/>
      <c r="BZ67" s="1239" t="str">
        <f>' Table Z Net Exp Profiles'!C67</f>
        <v>£'000</v>
      </c>
      <c r="CA67" s="1240" t="str">
        <f>' Table Z Net Exp Profiles'!D67</f>
        <v>£'000</v>
      </c>
      <c r="CB67" s="1240" t="str">
        <f>' Table Z Net Exp Profiles'!E67</f>
        <v>£'000</v>
      </c>
      <c r="CC67" s="1240" t="str">
        <f>' Table Z Net Exp Profiles'!F67</f>
        <v>£'000</v>
      </c>
      <c r="CD67" s="1240" t="str">
        <f>' Table Z Net Exp Profiles'!G67</f>
        <v>£'000</v>
      </c>
      <c r="CE67" s="1240" t="str">
        <f>' Table Z Net Exp Profiles'!H67</f>
        <v>£'000</v>
      </c>
      <c r="CF67" s="1240" t="str">
        <f>' Table Z Net Exp Profiles'!I67</f>
        <v>£'000</v>
      </c>
      <c r="CG67" s="1240" t="str">
        <f>' Table Z Net Exp Profiles'!J67</f>
        <v>£'000</v>
      </c>
      <c r="CH67" s="1240" t="str">
        <f>' Table Z Net Exp Profiles'!K67</f>
        <v>£'000</v>
      </c>
      <c r="CI67" s="1240" t="str">
        <f>' Table Z Net Exp Profiles'!L67</f>
        <v>£'000</v>
      </c>
      <c r="CJ67" s="1240" t="str">
        <f>' Table Z Net Exp Profiles'!M67</f>
        <v>£'000</v>
      </c>
      <c r="CK67" s="1253" t="str">
        <f>' Table Z Net Exp Profiles'!N67</f>
        <v>£'000</v>
      </c>
      <c r="CL67" s="1231" t="str">
        <f>' Table Z Net Exp Profiles'!O67</f>
        <v>£'000</v>
      </c>
      <c r="CM67" s="1254" t="str">
        <f>' Table Z Net Exp Profiles'!P67</f>
        <v>£'000</v>
      </c>
      <c r="DF67" s="2748">
        <f>'B3 - COVID-19'!A67</f>
        <v>45</v>
      </c>
      <c r="DG67" s="2845" t="str">
        <f>'B3 - COVID-19'!B67</f>
        <v>Healthcare Services Provided by Other NHS Bodies</v>
      </c>
      <c r="DH67" s="1330">
        <f>'B3 - COVID-19'!C67</f>
        <v>0</v>
      </c>
      <c r="DI67" s="1330">
        <f>'B3 - COVID-19'!D67</f>
        <v>0</v>
      </c>
      <c r="DJ67" s="1330">
        <f>'B3 - COVID-19'!E67</f>
        <v>0</v>
      </c>
      <c r="DK67" s="1330">
        <f>'B3 - COVID-19'!F67</f>
        <v>0</v>
      </c>
      <c r="DL67" s="1330">
        <f>'B3 - COVID-19'!G67</f>
        <v>0</v>
      </c>
      <c r="DM67" s="1330">
        <f>'B3 - COVID-19'!H67</f>
        <v>0</v>
      </c>
      <c r="DN67" s="1330">
        <f>'B3 - COVID-19'!I67</f>
        <v>0</v>
      </c>
      <c r="DO67" s="1330">
        <f>'B3 - COVID-19'!J67</f>
        <v>0</v>
      </c>
      <c r="DP67" s="1330">
        <f>'B3 - COVID-19'!K67</f>
        <v>0</v>
      </c>
      <c r="DQ67" s="1330">
        <f>'B3 - COVID-19'!L67</f>
        <v>0</v>
      </c>
      <c r="DR67" s="1330">
        <f>'B3 - COVID-19'!M67</f>
        <v>0</v>
      </c>
      <c r="DS67" s="1330">
        <f>'B3 - COVID-19'!N67</f>
        <v>0</v>
      </c>
      <c r="DT67" s="1863">
        <f>'B3 - COVID-19'!O67</f>
        <v>0</v>
      </c>
      <c r="DU67" s="1863">
        <f>'B3 - COVID-19'!P67</f>
        <v>0</v>
      </c>
      <c r="DV67" s="608"/>
      <c r="DW67" s="1116"/>
      <c r="DY67" s="2095">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9">
        <f>'C, C1, C2&amp; C3 - Savings Schemes'!O67</f>
        <v>0</v>
      </c>
      <c r="EN67" s="123">
        <f>'C, C1, C2&amp; C3 - Savings Schemes'!P67</f>
        <v>0</v>
      </c>
      <c r="EO67" s="939">
        <f>'C, C1, C2&amp; C3 - Savings Schemes'!Q67</f>
        <v>0</v>
      </c>
      <c r="EP67" s="1930"/>
      <c r="EQ67" s="1930"/>
      <c r="ER67" s="1930"/>
      <c r="ES67" s="1930"/>
      <c r="ET67" s="1930"/>
      <c r="EU67" s="1930"/>
      <c r="EV67" s="1930"/>
      <c r="EW67" s="1930"/>
      <c r="EX67" s="1932"/>
      <c r="EY67" s="1932"/>
      <c r="EZ67" s="1932"/>
      <c r="FA67" s="1932"/>
      <c r="FB67" s="1932"/>
      <c r="FC67" s="1932"/>
      <c r="FD67" s="1932"/>
      <c r="FE67" s="1932"/>
      <c r="FF67" s="1932"/>
      <c r="FG67" s="1932"/>
      <c r="FH67" s="1932"/>
      <c r="FI67" s="1932"/>
      <c r="FJ67" s="1932"/>
      <c r="FK67" s="1932"/>
      <c r="FL67" s="1932"/>
      <c r="FM67" s="1932"/>
      <c r="FN67" s="1932"/>
      <c r="FO67" s="1932"/>
      <c r="FP67" s="1932"/>
      <c r="FQ67" s="1932"/>
      <c r="FR67" s="1932"/>
      <c r="FS67" s="1932"/>
      <c r="GF67" s="2112">
        <f>'E - Resource Limits'!A67</f>
        <v>55</v>
      </c>
      <c r="GG67" s="2113">
        <f>'E - Resource Limits'!B67</f>
        <v>0</v>
      </c>
      <c r="GH67" s="2114">
        <f>'E - Resource Limits'!C67</f>
        <v>0</v>
      </c>
      <c r="GI67" s="2114">
        <f>'E - Resource Limits'!D67</f>
        <v>0</v>
      </c>
      <c r="GJ67" s="2114">
        <f>'E - Resource Limits'!E67</f>
        <v>0</v>
      </c>
      <c r="GK67" s="2114">
        <f>'E - Resource Limits'!F67</f>
        <v>0</v>
      </c>
      <c r="GL67" s="2048">
        <f>'E - Resource Limits'!G67</f>
        <v>0</v>
      </c>
      <c r="GM67" s="2115">
        <f>'E - Resource Limits'!H67</f>
        <v>0</v>
      </c>
      <c r="GN67" s="2114">
        <f>'E - Resource Limits'!I67</f>
        <v>0</v>
      </c>
      <c r="GO67" s="2114">
        <f>'E - Resource Limits'!J67</f>
        <v>0</v>
      </c>
      <c r="GP67" s="2114">
        <f>'E - Resource Limits'!K67</f>
        <v>0</v>
      </c>
      <c r="GQ67" s="2116">
        <f>'E - Resource Limits'!L67</f>
        <v>0</v>
      </c>
      <c r="GR67" s="1935">
        <f t="shared" si="6"/>
        <v>0</v>
      </c>
      <c r="GT67" s="346">
        <f>'E1 - Invoiced Income'!A67</f>
        <v>52</v>
      </c>
      <c r="GU67" s="593">
        <f>'E1 - Invoiced Income'!B67</f>
        <v>0</v>
      </c>
      <c r="GV67" s="25">
        <f>'E1 - Invoiced Income'!C67</f>
        <v>0</v>
      </c>
      <c r="GW67" s="2527">
        <f>'E1 - Invoiced Income'!D67</f>
        <v>0</v>
      </c>
      <c r="GX67" s="196">
        <f>'E1 - Invoiced Income'!E67</f>
        <v>0</v>
      </c>
      <c r="GY67" s="2527">
        <f>'E1 - Invoiced Income'!F67</f>
        <v>0</v>
      </c>
      <c r="GZ67" s="2527">
        <f>'E1 - Invoiced Income'!G67</f>
        <v>0</v>
      </c>
      <c r="HA67" s="2527">
        <f>'E1 - Invoiced Income'!H67</f>
        <v>0</v>
      </c>
      <c r="HB67" s="2527">
        <f>'E1 - Invoiced Income'!I67</f>
        <v>0</v>
      </c>
      <c r="HC67" s="71"/>
      <c r="HD67" s="71"/>
      <c r="HE67" s="71"/>
      <c r="HF67" s="71"/>
      <c r="HG67" s="71"/>
      <c r="HH67" s="71"/>
      <c r="HI67" s="71"/>
      <c r="HJ67" s="71"/>
      <c r="HK67" s="71"/>
      <c r="HL67" s="71"/>
      <c r="HM67" s="71"/>
      <c r="HO67" s="2345">
        <f>'F - SoFP'!A67</f>
        <v>41</v>
      </c>
      <c r="HP67" s="2401" t="str">
        <f>'F - SoFP'!B67</f>
        <v>Welsh NHS Receivables Aged 0 - 10 weeks</v>
      </c>
      <c r="HQ67" s="2098"/>
      <c r="HR67" s="2402">
        <f>'F - SoFP'!D67</f>
        <v>0</v>
      </c>
      <c r="HS67" s="2403"/>
      <c r="HT67" s="2352">
        <f t="shared" si="19"/>
        <v>0</v>
      </c>
      <c r="JD67" s="2088">
        <f>'I - Capital RLM'!A67</f>
        <v>46</v>
      </c>
      <c r="JE67" s="2393" t="str">
        <f>'I - Capital RLM'!B67</f>
        <v>Estates</v>
      </c>
      <c r="JF67" s="2010">
        <f>'I - Capital RLM'!C67</f>
        <v>0</v>
      </c>
      <c r="JG67" s="2010">
        <f>'I - Capital RLM'!D67</f>
        <v>0</v>
      </c>
      <c r="JH67" s="2118">
        <f>'I - Capital RLM'!E67</f>
        <v>0</v>
      </c>
      <c r="JI67" s="1943">
        <f>'I - Capital RLM'!F67</f>
        <v>0</v>
      </c>
      <c r="JJ67" s="2010">
        <f>'I - Capital RLM'!G67</f>
        <v>0</v>
      </c>
      <c r="JK67" s="2010">
        <f>'I - Capital RLM'!H67</f>
        <v>0</v>
      </c>
      <c r="JL67" s="2118">
        <f>'I - Capital RLM'!I67</f>
        <v>0</v>
      </c>
      <c r="JM67" s="2060"/>
      <c r="JN67" s="1890">
        <f>'I - Capital RLM'!K67</f>
        <v>0</v>
      </c>
      <c r="JO67" s="2060"/>
      <c r="JQ67" s="2073">
        <f>'J - Capital In Year Schemes'!A67</f>
        <v>52</v>
      </c>
      <c r="JR67" s="2126">
        <f>'J - Capital In Year Schemes'!B67</f>
        <v>0</v>
      </c>
      <c r="JS67" s="2126">
        <f>'J - Capital In Year Schemes'!C67</f>
        <v>0</v>
      </c>
      <c r="JT67" s="2325">
        <f>'J - Capital In Year Schemes'!D67</f>
        <v>0</v>
      </c>
      <c r="JU67" s="2010">
        <f>'J - Capital In Year Schemes'!E67</f>
        <v>0</v>
      </c>
      <c r="JV67" s="2010">
        <f>'J - Capital In Year Schemes'!F67</f>
        <v>0</v>
      </c>
      <c r="JW67" s="2010">
        <f>'J - Capital In Year Schemes'!G67</f>
        <v>0</v>
      </c>
      <c r="JX67" s="2010">
        <f>'J - Capital In Year Schemes'!H67</f>
        <v>0</v>
      </c>
      <c r="JY67" s="2010">
        <f>'J - Capital In Year Schemes'!I67</f>
        <v>0</v>
      </c>
      <c r="JZ67" s="2010">
        <f>'J - Capital In Year Schemes'!J67</f>
        <v>0</v>
      </c>
      <c r="KA67" s="2010">
        <f>'J - Capital In Year Schemes'!K67</f>
        <v>0</v>
      </c>
      <c r="KB67" s="2010">
        <f>'J - Capital In Year Schemes'!L67</f>
        <v>0</v>
      </c>
      <c r="KC67" s="2010">
        <f>'J - Capital In Year Schemes'!M67</f>
        <v>0</v>
      </c>
      <c r="KD67" s="2010">
        <f>'J - Capital In Year Schemes'!N67</f>
        <v>0</v>
      </c>
      <c r="KE67" s="2010">
        <f>'J - Capital In Year Schemes'!O67</f>
        <v>0</v>
      </c>
      <c r="KF67" s="2010">
        <f>'J - Capital In Year Schemes'!P67</f>
        <v>0</v>
      </c>
      <c r="KG67" s="2010">
        <f>'J - Capital In Year Schemes'!Q67</f>
        <v>0</v>
      </c>
      <c r="KH67" s="2090">
        <f>'J - Capital In Year Schemes'!R67</f>
        <v>0</v>
      </c>
      <c r="KI67" s="2090">
        <f>'J - Capital In Year Schemes'!S67</f>
        <v>0</v>
      </c>
      <c r="KJ67" s="2091">
        <f>'J - Capital In Year Schemes'!T67</f>
        <v>0</v>
      </c>
      <c r="KK67" s="2060"/>
      <c r="LL67" s="814"/>
      <c r="LM67" s="2394">
        <f>'M - Aged Debtors'!B67</f>
        <v>0</v>
      </c>
      <c r="LN67" s="2395">
        <f>'M - Aged Debtors'!C67</f>
        <v>0</v>
      </c>
      <c r="LO67" s="2396">
        <f>'M - Aged Debtors'!D67</f>
        <v>0</v>
      </c>
      <c r="LP67" s="2397">
        <f>'M - Aged Debtors'!E67</f>
        <v>0</v>
      </c>
      <c r="LQ67" s="2398">
        <f>'M - Aged Debtors'!F67</f>
        <v>0</v>
      </c>
      <c r="LR67" s="832" t="str">
        <f>'M - Aged Debtors'!G67</f>
        <v/>
      </c>
      <c r="LS67" s="829" t="str">
        <f>'M - Aged Debtors'!H67</f>
        <v/>
      </c>
      <c r="LT67" s="829" t="str">
        <f>'M - Aged Debtors'!I67</f>
        <v/>
      </c>
      <c r="LU67" s="830" t="str">
        <f>'M - Aged Debtors'!J67</f>
        <v/>
      </c>
      <c r="LV67" s="1830">
        <f>'M - Aged Debtors'!K67</f>
        <v>0</v>
      </c>
      <c r="LX67" s="3114" t="str">
        <f>'N - GMS'!A67</f>
        <v>ADHD</v>
      </c>
      <c r="LY67" s="3131"/>
      <c r="LZ67" s="461">
        <f>'N - GMS'!C67</f>
        <v>42</v>
      </c>
      <c r="MA67" s="219">
        <f>'N - GMS'!D67</f>
        <v>0</v>
      </c>
      <c r="MB67" s="2387">
        <f>'N - GMS'!E67</f>
        <v>0</v>
      </c>
      <c r="MC67" s="2387">
        <f>'N - GMS'!F67</f>
        <v>0</v>
      </c>
      <c r="MD67" s="463">
        <f>'N - GMS'!G67</f>
        <v>0</v>
      </c>
      <c r="ME67" s="213"/>
      <c r="MF67" s="1028">
        <f>'N - GMS'!I67</f>
        <v>0</v>
      </c>
      <c r="MR67" s="684"/>
      <c r="MS67" s="1468"/>
      <c r="MT67" s="1468"/>
      <c r="MU67" s="1468"/>
      <c r="MV67" s="1468"/>
      <c r="MW67" s="1468"/>
      <c r="MX67" s="1468"/>
      <c r="MY67" s="1468"/>
      <c r="MZ67" s="1468"/>
      <c r="NA67" s="1468"/>
      <c r="NB67" s="1468"/>
      <c r="NC67" s="1468"/>
      <c r="ND67" s="1468"/>
      <c r="NE67" s="1468"/>
      <c r="NF67" s="1468"/>
      <c r="NG67" s="1468"/>
      <c r="NH67" s="1468"/>
      <c r="NI67" s="1468"/>
      <c r="NJ67" s="684"/>
      <c r="NK67" s="684"/>
    </row>
    <row r="68" spans="57:376" ht="20.149999999999999" customHeight="1" thickBot="1">
      <c r="BE68" s="1930"/>
      <c r="BF68" s="2326" t="str">
        <f>'B - Monthly Positions'!B67</f>
        <v>D. DEL/AME Depreciation &amp; Impairments</v>
      </c>
      <c r="BG68" s="1930"/>
      <c r="BH68" s="1930"/>
      <c r="BI68" s="1930"/>
      <c r="BJ68" s="1930"/>
      <c r="BK68" s="2250"/>
      <c r="BL68" s="2315"/>
      <c r="BM68" s="2250"/>
      <c r="BN68" s="2250"/>
      <c r="BO68" s="2317"/>
      <c r="BP68" s="2317"/>
      <c r="BQ68" s="1930"/>
      <c r="BR68" s="1930"/>
      <c r="BS68" s="1930"/>
      <c r="BT68" s="1930"/>
      <c r="BU68" s="1930"/>
      <c r="BV68" s="1930"/>
      <c r="BW68" s="1930"/>
      <c r="BX68" s="86">
        <f>' Table Z Net Exp Profiles'!A68</f>
        <v>45</v>
      </c>
      <c r="BY68" s="1263" t="str">
        <f>' Table Z Net Exp Profiles'!B68</f>
        <v>Gross Drugs Expenditure - Non Covid-19 - Current Plan</v>
      </c>
      <c r="BZ68" s="1217">
        <f>' Table Z Net Exp Profiles'!C68</f>
        <v>0</v>
      </c>
      <c r="CA68" s="1189">
        <f>' Table Z Net Exp Profiles'!D68</f>
        <v>0</v>
      </c>
      <c r="CB68" s="1189">
        <f>' Table Z Net Exp Profiles'!E68</f>
        <v>0</v>
      </c>
      <c r="CC68" s="1189">
        <f>' Table Z Net Exp Profiles'!F68</f>
        <v>0</v>
      </c>
      <c r="CD68" s="1189">
        <f>' Table Z Net Exp Profiles'!G68</f>
        <v>0</v>
      </c>
      <c r="CE68" s="1189">
        <f>' Table Z Net Exp Profiles'!H68</f>
        <v>0</v>
      </c>
      <c r="CF68" s="1189">
        <f>' Table Z Net Exp Profiles'!I68</f>
        <v>0</v>
      </c>
      <c r="CG68" s="1189">
        <f>' Table Z Net Exp Profiles'!J68</f>
        <v>0</v>
      </c>
      <c r="CH68" s="1189">
        <f>' Table Z Net Exp Profiles'!K68</f>
        <v>0</v>
      </c>
      <c r="CI68" s="1189">
        <f>' Table Z Net Exp Profiles'!L68</f>
        <v>0</v>
      </c>
      <c r="CJ68" s="1189">
        <f>' Table Z Net Exp Profiles'!M68</f>
        <v>0</v>
      </c>
      <c r="CK68" s="1189">
        <f>' Table Z Net Exp Profiles'!N68</f>
        <v>0</v>
      </c>
      <c r="CL68" s="1215">
        <f>' Table Z Net Exp Profiles'!O68</f>
        <v>0</v>
      </c>
      <c r="CM68" s="1215">
        <f>' Table Z Net Exp Profiles'!P68</f>
        <v>0</v>
      </c>
      <c r="DF68" s="2748">
        <f>'B3 - COVID-19'!A68</f>
        <v>46</v>
      </c>
      <c r="DG68" s="2845" t="str">
        <f>'B3 - COVID-19'!B68</f>
        <v>Non Healthcare Services Provided by Other NHS Bodies</v>
      </c>
      <c r="DH68" s="1330">
        <f>'B3 - COVID-19'!C68</f>
        <v>0</v>
      </c>
      <c r="DI68" s="1330">
        <f>'B3 - COVID-19'!D68</f>
        <v>0</v>
      </c>
      <c r="DJ68" s="1330">
        <f>'B3 - COVID-19'!E68</f>
        <v>0</v>
      </c>
      <c r="DK68" s="1330">
        <f>'B3 - COVID-19'!F68</f>
        <v>0</v>
      </c>
      <c r="DL68" s="1330">
        <f>'B3 - COVID-19'!G68</f>
        <v>0</v>
      </c>
      <c r="DM68" s="1330">
        <f>'B3 - COVID-19'!H68</f>
        <v>0</v>
      </c>
      <c r="DN68" s="1330">
        <f>'B3 - COVID-19'!I68</f>
        <v>0</v>
      </c>
      <c r="DO68" s="1330">
        <f>'B3 - COVID-19'!J68</f>
        <v>0</v>
      </c>
      <c r="DP68" s="1330">
        <f>'B3 - COVID-19'!K68</f>
        <v>0</v>
      </c>
      <c r="DQ68" s="1330">
        <f>'B3 - COVID-19'!L68</f>
        <v>0</v>
      </c>
      <c r="DR68" s="1330">
        <f>'B3 - COVID-19'!M68</f>
        <v>0</v>
      </c>
      <c r="DS68" s="1330">
        <f>'B3 - COVID-19'!N68</f>
        <v>0</v>
      </c>
      <c r="DT68" s="1863">
        <f>'B3 - COVID-19'!O68</f>
        <v>0</v>
      </c>
      <c r="DU68" s="1863">
        <f>'B3 - COVID-19'!P68</f>
        <v>0</v>
      </c>
      <c r="DV68" s="608"/>
      <c r="DW68" s="1116"/>
      <c r="DY68" s="2111">
        <f>'C, C1, C2&amp; C3 - Savings Schemes'!A68</f>
        <v>16</v>
      </c>
      <c r="DZ68" s="3038" t="str">
        <f>'C, C1, C2&amp; C3 - Savings Schemes'!B68</f>
        <v>Other (Please Specify)</v>
      </c>
      <c r="EA68" s="87" t="str">
        <f>'C, C1, C2&amp; C3 - Savings Schemes'!C68</f>
        <v>Budget/Plan</v>
      </c>
      <c r="EB68" s="1773">
        <f>'C, C1, C2&amp; C3 - Savings Schemes'!D68</f>
        <v>733</v>
      </c>
      <c r="EC68" s="1774">
        <f>'C, C1, C2&amp; C3 - Savings Schemes'!E68</f>
        <v>0</v>
      </c>
      <c r="ED68" s="1774">
        <f>'C, C1, C2&amp; C3 - Savings Schemes'!F68</f>
        <v>0</v>
      </c>
      <c r="EE68" s="1774">
        <f>'C, C1, C2&amp; C3 - Savings Schemes'!G68</f>
        <v>0</v>
      </c>
      <c r="EF68" s="1774">
        <f>'C, C1, C2&amp; C3 - Savings Schemes'!H68</f>
        <v>0</v>
      </c>
      <c r="EG68" s="1774">
        <f>'C, C1, C2&amp; C3 - Savings Schemes'!I68</f>
        <v>0</v>
      </c>
      <c r="EH68" s="1774">
        <f>'C, C1, C2&amp; C3 - Savings Schemes'!J68</f>
        <v>0</v>
      </c>
      <c r="EI68" s="1774">
        <f>'C, C1, C2&amp; C3 - Savings Schemes'!K68</f>
        <v>0</v>
      </c>
      <c r="EJ68" s="1774">
        <f>'C, C1, C2&amp; C3 - Savings Schemes'!L68</f>
        <v>0</v>
      </c>
      <c r="EK68" s="1774">
        <f>'C, C1, C2&amp; C3 - Savings Schemes'!M68</f>
        <v>0</v>
      </c>
      <c r="EL68" s="1774">
        <f>'C, C1, C2&amp; C3 - Savings Schemes'!N68</f>
        <v>0</v>
      </c>
      <c r="EM68" s="1775">
        <f>'C, C1, C2&amp; C3 - Savings Schemes'!O68</f>
        <v>0</v>
      </c>
      <c r="EN68" s="930">
        <f>'C, C1, C2&amp; C3 - Savings Schemes'!P68</f>
        <v>733</v>
      </c>
      <c r="EO68" s="938">
        <f>'C, C1, C2&amp; C3 - Savings Schemes'!Q68</f>
        <v>733</v>
      </c>
      <c r="EP68" s="1930"/>
      <c r="EQ68" s="1930"/>
      <c r="ER68" s="1930"/>
      <c r="ES68" s="1930"/>
      <c r="ET68" s="1930"/>
      <c r="EU68" s="1930"/>
      <c r="EV68" s="1930"/>
      <c r="EW68" s="1930"/>
      <c r="EX68" s="1932"/>
      <c r="EY68" s="1932"/>
      <c r="EZ68" s="1932"/>
      <c r="FA68" s="1932"/>
      <c r="FB68" s="1932"/>
      <c r="FC68" s="1932"/>
      <c r="FD68" s="1932"/>
      <c r="FE68" s="1932"/>
      <c r="FF68" s="1932"/>
      <c r="FG68" s="1932"/>
      <c r="FH68" s="1932"/>
      <c r="FI68" s="1932"/>
      <c r="FJ68" s="1932"/>
      <c r="FK68" s="1932"/>
      <c r="FL68" s="1932"/>
      <c r="FM68" s="1932"/>
      <c r="FN68" s="1932"/>
      <c r="FO68" s="1932"/>
      <c r="FP68" s="1932"/>
      <c r="FQ68" s="1932"/>
      <c r="FR68" s="1932"/>
      <c r="FS68" s="1932"/>
      <c r="GF68" s="2112">
        <f>'E - Resource Limits'!A68</f>
        <v>56</v>
      </c>
      <c r="GG68" s="2113">
        <f>'E - Resource Limits'!B68</f>
        <v>0</v>
      </c>
      <c r="GH68" s="2114">
        <f>'E - Resource Limits'!C68</f>
        <v>0</v>
      </c>
      <c r="GI68" s="2114">
        <f>'E - Resource Limits'!D68</f>
        <v>0</v>
      </c>
      <c r="GJ68" s="2114">
        <f>'E - Resource Limits'!E68</f>
        <v>0</v>
      </c>
      <c r="GK68" s="2114">
        <f>'E - Resource Limits'!F68</f>
        <v>0</v>
      </c>
      <c r="GL68" s="2048">
        <f>'E - Resource Limits'!G68</f>
        <v>0</v>
      </c>
      <c r="GM68" s="2115">
        <f>'E - Resource Limits'!H68</f>
        <v>0</v>
      </c>
      <c r="GN68" s="2114">
        <f>'E - Resource Limits'!I68</f>
        <v>0</v>
      </c>
      <c r="GO68" s="2114">
        <f>'E - Resource Limits'!J68</f>
        <v>0</v>
      </c>
      <c r="GP68" s="2114">
        <f>'E - Resource Limits'!K68</f>
        <v>0</v>
      </c>
      <c r="GQ68" s="2116">
        <f>'E - Resource Limits'!L68</f>
        <v>0</v>
      </c>
      <c r="GR68" s="1935"/>
      <c r="GT68" s="346">
        <f>'E1 - Invoiced Income'!A68</f>
        <v>53</v>
      </c>
      <c r="GU68" s="593">
        <f>'E1 - Invoiced Income'!B68</f>
        <v>0</v>
      </c>
      <c r="GV68" s="25">
        <f>'E1 - Invoiced Income'!C68</f>
        <v>0</v>
      </c>
      <c r="GW68" s="2527">
        <f>'E1 - Invoiced Income'!D68</f>
        <v>0</v>
      </c>
      <c r="GX68" s="196">
        <f>'E1 - Invoiced Income'!E68</f>
        <v>0</v>
      </c>
      <c r="GY68" s="2527">
        <f>'E1 - Invoiced Income'!F68</f>
        <v>0</v>
      </c>
      <c r="GZ68" s="2527">
        <f>'E1 - Invoiced Income'!G68</f>
        <v>0</v>
      </c>
      <c r="HA68" s="2527">
        <f>'E1 - Invoiced Income'!H68</f>
        <v>0</v>
      </c>
      <c r="HB68" s="2527">
        <f>'E1 - Invoiced Income'!I68</f>
        <v>0</v>
      </c>
      <c r="HC68" s="71"/>
      <c r="HD68" s="71"/>
      <c r="HE68" s="71"/>
      <c r="HF68" s="71"/>
      <c r="HG68" s="71"/>
      <c r="HH68" s="71"/>
      <c r="HI68" s="71"/>
      <c r="HJ68" s="71"/>
      <c r="HK68" s="71"/>
      <c r="HL68" s="71"/>
      <c r="HM68" s="71"/>
      <c r="HO68" s="2350">
        <f>'F - SoFP'!A68</f>
        <v>42</v>
      </c>
      <c r="HP68" s="2409" t="str">
        <f>'F - SoFP'!B68</f>
        <v>Welsh NHS Receivables Aged 11 - 16 weeks</v>
      </c>
      <c r="HQ68" s="2098"/>
      <c r="HR68" s="2010">
        <f>'F - SoFP'!D68</f>
        <v>0</v>
      </c>
      <c r="HS68" s="2403"/>
      <c r="HT68" s="2352">
        <f>SUM(HT59:HT67)</f>
        <v>0</v>
      </c>
      <c r="JD68" s="2293">
        <f>'I - Capital RLM'!A68</f>
        <v>47</v>
      </c>
      <c r="JE68" s="2410" t="str">
        <f>'I - Capital RLM'!B68</f>
        <v>Other</v>
      </c>
      <c r="JF68" s="2052">
        <f>'I - Capital RLM'!C68</f>
        <v>0</v>
      </c>
      <c r="JG68" s="2052">
        <f>'I - Capital RLM'!D68</f>
        <v>0</v>
      </c>
      <c r="JH68" s="2411">
        <f>'I - Capital RLM'!E68</f>
        <v>0</v>
      </c>
      <c r="JI68" s="1943">
        <f>'I - Capital RLM'!F68</f>
        <v>0</v>
      </c>
      <c r="JJ68" s="2052">
        <f>'I - Capital RLM'!G68</f>
        <v>0</v>
      </c>
      <c r="JK68" s="2052">
        <f>'I - Capital RLM'!H68</f>
        <v>0</v>
      </c>
      <c r="JL68" s="2411">
        <f>'I - Capital RLM'!I68</f>
        <v>0</v>
      </c>
      <c r="JM68" s="2060"/>
      <c r="JN68" s="1891">
        <f>'I - Capital RLM'!K68</f>
        <v>0</v>
      </c>
      <c r="JO68" s="2060"/>
      <c r="JQ68" s="2088">
        <f>'J - Capital In Year Schemes'!A68</f>
        <v>53</v>
      </c>
      <c r="JR68" s="2126">
        <f>'J - Capital In Year Schemes'!B68</f>
        <v>0</v>
      </c>
      <c r="JS68" s="2126">
        <f>'J - Capital In Year Schemes'!C68</f>
        <v>0</v>
      </c>
      <c r="JT68" s="2325">
        <f>'J - Capital In Year Schemes'!D68</f>
        <v>0</v>
      </c>
      <c r="JU68" s="2010">
        <f>'J - Capital In Year Schemes'!E68</f>
        <v>0</v>
      </c>
      <c r="JV68" s="2010">
        <f>'J - Capital In Year Schemes'!F68</f>
        <v>0</v>
      </c>
      <c r="JW68" s="2010">
        <f>'J - Capital In Year Schemes'!G68</f>
        <v>0</v>
      </c>
      <c r="JX68" s="2010">
        <f>'J - Capital In Year Schemes'!H68</f>
        <v>0</v>
      </c>
      <c r="JY68" s="2010">
        <f>'J - Capital In Year Schemes'!I68</f>
        <v>0</v>
      </c>
      <c r="JZ68" s="2010">
        <f>'J - Capital In Year Schemes'!J68</f>
        <v>0</v>
      </c>
      <c r="KA68" s="2010">
        <f>'J - Capital In Year Schemes'!K68</f>
        <v>0</v>
      </c>
      <c r="KB68" s="2010">
        <f>'J - Capital In Year Schemes'!L68</f>
        <v>0</v>
      </c>
      <c r="KC68" s="2010">
        <f>'J - Capital In Year Schemes'!M68</f>
        <v>0</v>
      </c>
      <c r="KD68" s="2010">
        <f>'J - Capital In Year Schemes'!N68</f>
        <v>0</v>
      </c>
      <c r="KE68" s="2010">
        <f>'J - Capital In Year Schemes'!O68</f>
        <v>0</v>
      </c>
      <c r="KF68" s="2010">
        <f>'J - Capital In Year Schemes'!P68</f>
        <v>0</v>
      </c>
      <c r="KG68" s="2010">
        <f>'J - Capital In Year Schemes'!Q68</f>
        <v>0</v>
      </c>
      <c r="KH68" s="2090">
        <f>'J - Capital In Year Schemes'!R68</f>
        <v>0</v>
      </c>
      <c r="KI68" s="2090">
        <f>'J - Capital In Year Schemes'!S68</f>
        <v>0</v>
      </c>
      <c r="KJ68" s="2091">
        <f>'J - Capital In Year Schemes'!T68</f>
        <v>0</v>
      </c>
      <c r="KK68" s="2060"/>
      <c r="LL68" s="814"/>
      <c r="LM68" s="2394">
        <f>'M - Aged Debtors'!B68</f>
        <v>0</v>
      </c>
      <c r="LN68" s="2395">
        <f>'M - Aged Debtors'!C68</f>
        <v>0</v>
      </c>
      <c r="LO68" s="2396">
        <f>'M - Aged Debtors'!D68</f>
        <v>0</v>
      </c>
      <c r="LP68" s="2397">
        <f>'M - Aged Debtors'!E68</f>
        <v>0</v>
      </c>
      <c r="LQ68" s="2398">
        <f>'M - Aged Debtors'!F68</f>
        <v>0</v>
      </c>
      <c r="LR68" s="832" t="str">
        <f>'M - Aged Debtors'!G68</f>
        <v/>
      </c>
      <c r="LS68" s="829" t="str">
        <f>'M - Aged Debtors'!H68</f>
        <v/>
      </c>
      <c r="LT68" s="829" t="str">
        <f>'M - Aged Debtors'!I68</f>
        <v/>
      </c>
      <c r="LU68" s="830" t="str">
        <f>'M - Aged Debtors'!J68</f>
        <v/>
      </c>
      <c r="LV68" s="1830">
        <f>'M - Aged Debtors'!K68</f>
        <v>0</v>
      </c>
      <c r="LX68" s="3114" t="str">
        <f>'N - GMS'!A68</f>
        <v xml:space="preserve">Asylum Seekers &amp; Refugees </v>
      </c>
      <c r="LY68" s="3131"/>
      <c r="LZ68" s="461">
        <f>'N - GMS'!C68</f>
        <v>43</v>
      </c>
      <c r="MA68" s="2386">
        <f>'N - GMS'!D68</f>
        <v>0</v>
      </c>
      <c r="MB68" s="2387">
        <f>'N - GMS'!E68</f>
        <v>0</v>
      </c>
      <c r="MC68" s="2387">
        <f>'N - GMS'!F68</f>
        <v>0</v>
      </c>
      <c r="MD68" s="463">
        <f>'N - GMS'!G68</f>
        <v>0</v>
      </c>
      <c r="ME68" s="213"/>
      <c r="MF68" s="1028">
        <f>'N - GMS'!I68</f>
        <v>0</v>
      </c>
      <c r="MR68" s="684"/>
      <c r="MS68" s="2674" t="str">
        <f>'P - Ringfenced'!B68</f>
        <v>Mental Health (SIF) Allocations (Confirm in below text 'Allocated' or 'Anticipated')</v>
      </c>
      <c r="MT68" s="2673" t="str">
        <f>'P - Ringfenced'!C68</f>
        <v>£000s</v>
      </c>
      <c r="MU68" s="1468"/>
      <c r="MV68" s="1468"/>
      <c r="MW68" s="1468"/>
      <c r="MX68" s="1468"/>
      <c r="MY68" s="1468"/>
      <c r="MZ68" s="1468"/>
      <c r="NA68" s="1468"/>
      <c r="NB68" s="1468"/>
      <c r="NC68" s="1468"/>
      <c r="ND68" s="1468"/>
      <c r="NE68" s="1468"/>
      <c r="NF68" s="1468"/>
      <c r="NG68" s="1468"/>
      <c r="NH68" s="1468"/>
      <c r="NI68" s="1468"/>
      <c r="NJ68" s="684"/>
      <c r="NK68" s="684"/>
    </row>
    <row r="69" spans="57:376" ht="20.149999999999999" customHeight="1" thickBot="1">
      <c r="BE69" s="1987"/>
      <c r="BF69" s="1987"/>
      <c r="BG69" s="1988"/>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30"/>
      <c r="BV69" s="1930"/>
      <c r="BW69" s="1930"/>
      <c r="BX69" s="88">
        <f>' Table Z Net Exp Profiles'!A69</f>
        <v>46</v>
      </c>
      <c r="BY69" s="2500" t="str">
        <f>' Table Z Net Exp Profiles'!B69</f>
        <v>Gross Drugs Expenditure - Covid-19 - Current Plan</v>
      </c>
      <c r="BZ69" s="1217">
        <f>' Table Z Net Exp Profiles'!C69</f>
        <v>0</v>
      </c>
      <c r="CA69" s="1189">
        <f>' Table Z Net Exp Profiles'!D69</f>
        <v>0</v>
      </c>
      <c r="CB69" s="1189">
        <f>' Table Z Net Exp Profiles'!E69</f>
        <v>0</v>
      </c>
      <c r="CC69" s="1189">
        <f>' Table Z Net Exp Profiles'!F69</f>
        <v>0</v>
      </c>
      <c r="CD69" s="1189">
        <f>' Table Z Net Exp Profiles'!G69</f>
        <v>0</v>
      </c>
      <c r="CE69" s="1189">
        <f>' Table Z Net Exp Profiles'!H69</f>
        <v>0</v>
      </c>
      <c r="CF69" s="1189">
        <f>' Table Z Net Exp Profiles'!I69</f>
        <v>0</v>
      </c>
      <c r="CG69" s="1189">
        <f>' Table Z Net Exp Profiles'!J69</f>
        <v>0</v>
      </c>
      <c r="CH69" s="1189">
        <f>' Table Z Net Exp Profiles'!K69</f>
        <v>0</v>
      </c>
      <c r="CI69" s="1189">
        <f>' Table Z Net Exp Profiles'!L69</f>
        <v>0</v>
      </c>
      <c r="CJ69" s="1189">
        <f>' Table Z Net Exp Profiles'!M69</f>
        <v>0</v>
      </c>
      <c r="CK69" s="1189">
        <f>' Table Z Net Exp Profiles'!N69</f>
        <v>0</v>
      </c>
      <c r="CL69" s="1215">
        <f>' Table Z Net Exp Profiles'!O69</f>
        <v>0</v>
      </c>
      <c r="CM69" s="1215">
        <f>' Table Z Net Exp Profiles'!P69</f>
        <v>0</v>
      </c>
      <c r="DF69" s="2748">
        <f>'B3 - COVID-19'!A69</f>
        <v>47</v>
      </c>
      <c r="DG69" s="2845" t="str">
        <f>'B3 - COVID-19'!B69</f>
        <v>Continuing Care and Funded Nursing Care</v>
      </c>
      <c r="DH69" s="1330">
        <f>'B3 - COVID-19'!C69</f>
        <v>0</v>
      </c>
      <c r="DI69" s="1330">
        <f>'B3 - COVID-19'!D69</f>
        <v>0</v>
      </c>
      <c r="DJ69" s="1330">
        <f>'B3 - COVID-19'!E69</f>
        <v>0</v>
      </c>
      <c r="DK69" s="1330">
        <f>'B3 - COVID-19'!F69</f>
        <v>0</v>
      </c>
      <c r="DL69" s="1330">
        <f>'B3 - COVID-19'!G69</f>
        <v>0</v>
      </c>
      <c r="DM69" s="1330">
        <f>'B3 - COVID-19'!H69</f>
        <v>0</v>
      </c>
      <c r="DN69" s="1330">
        <f>'B3 - COVID-19'!I69</f>
        <v>0</v>
      </c>
      <c r="DO69" s="1330">
        <f>'B3 - COVID-19'!J69</f>
        <v>0</v>
      </c>
      <c r="DP69" s="1330">
        <f>'B3 - COVID-19'!K69</f>
        <v>0</v>
      </c>
      <c r="DQ69" s="1330">
        <f>'B3 - COVID-19'!L69</f>
        <v>0</v>
      </c>
      <c r="DR69" s="1330">
        <f>'B3 - COVID-19'!M69</f>
        <v>0</v>
      </c>
      <c r="DS69" s="1330">
        <f>'B3 - COVID-19'!N69</f>
        <v>0</v>
      </c>
      <c r="DT69" s="1863">
        <f>'B3 - COVID-19'!O69</f>
        <v>0</v>
      </c>
      <c r="DU69" s="1863">
        <f>'B3 - COVID-19'!P69</f>
        <v>0</v>
      </c>
      <c r="DV69" s="608"/>
      <c r="DW69" s="1116"/>
      <c r="DY69" s="2095">
        <f>'C, C1, C2&amp; C3 - Savings Schemes'!A69</f>
        <v>17</v>
      </c>
      <c r="DZ69" s="3039"/>
      <c r="EA69" s="90" t="str">
        <f>'C, C1, C2&amp; C3 - Savings Schemes'!C69</f>
        <v>Actual/F'cast</v>
      </c>
      <c r="EB69" s="1782">
        <f>'C, C1, C2&amp; C3 - Savings Schemes'!D69</f>
        <v>733</v>
      </c>
      <c r="EC69" s="1783">
        <f>'C, C1, C2&amp; C3 - Savings Schemes'!E69</f>
        <v>0</v>
      </c>
      <c r="ED69" s="1783">
        <f>'C, C1, C2&amp; C3 - Savings Schemes'!F69</f>
        <v>0</v>
      </c>
      <c r="EE69" s="1783">
        <f>'C, C1, C2&amp; C3 - Savings Schemes'!G69</f>
        <v>0</v>
      </c>
      <c r="EF69" s="1783">
        <f>'C, C1, C2&amp; C3 - Savings Schemes'!H69</f>
        <v>0</v>
      </c>
      <c r="EG69" s="1783">
        <f>'C, C1, C2&amp; C3 - Savings Schemes'!I69</f>
        <v>0</v>
      </c>
      <c r="EH69" s="1783">
        <f>'C, C1, C2&amp; C3 - Savings Schemes'!J69</f>
        <v>0</v>
      </c>
      <c r="EI69" s="1783">
        <f>'C, C1, C2&amp; C3 - Savings Schemes'!K69</f>
        <v>0</v>
      </c>
      <c r="EJ69" s="1783">
        <f>'C, C1, C2&amp; C3 - Savings Schemes'!L69</f>
        <v>0</v>
      </c>
      <c r="EK69" s="1783">
        <f>'C, C1, C2&amp; C3 - Savings Schemes'!M69</f>
        <v>0</v>
      </c>
      <c r="EL69" s="1783">
        <f>'C, C1, C2&amp; C3 - Savings Schemes'!N69</f>
        <v>0</v>
      </c>
      <c r="EM69" s="1784">
        <f>'C, C1, C2&amp; C3 - Savings Schemes'!O69</f>
        <v>0</v>
      </c>
      <c r="EN69" s="121">
        <f>'C, C1, C2&amp; C3 - Savings Schemes'!P69</f>
        <v>733</v>
      </c>
      <c r="EO69" s="940">
        <f>'C, C1, C2&amp; C3 - Savings Schemes'!Q69</f>
        <v>733</v>
      </c>
      <c r="EP69" s="1930"/>
      <c r="EQ69" s="1930"/>
      <c r="ER69" s="1930"/>
      <c r="ES69" s="1930"/>
      <c r="ET69" s="1930"/>
      <c r="EU69" s="1930"/>
      <c r="EV69" s="1930"/>
      <c r="EW69" s="1930"/>
      <c r="EX69" s="1932"/>
      <c r="EY69" s="1932"/>
      <c r="EZ69" s="1932"/>
      <c r="FA69" s="1932"/>
      <c r="FB69" s="1932"/>
      <c r="FC69" s="1932"/>
      <c r="FD69" s="1932"/>
      <c r="FE69" s="1932"/>
      <c r="FF69" s="1932"/>
      <c r="FG69" s="1932"/>
      <c r="FH69" s="1932"/>
      <c r="FI69" s="1932"/>
      <c r="FJ69" s="1932"/>
      <c r="FK69" s="1932"/>
      <c r="FL69" s="1932"/>
      <c r="FM69" s="1932"/>
      <c r="FN69" s="1932"/>
      <c r="FO69" s="1932"/>
      <c r="FP69" s="1932"/>
      <c r="FQ69" s="1932"/>
      <c r="FR69" s="1932"/>
      <c r="FS69" s="1932"/>
      <c r="GF69" s="2112">
        <f>'E - Resource Limits'!A69</f>
        <v>57</v>
      </c>
      <c r="GG69" s="2113">
        <f>'E - Resource Limits'!B69</f>
        <v>0</v>
      </c>
      <c r="GH69" s="2114">
        <f>'E - Resource Limits'!C69</f>
        <v>0</v>
      </c>
      <c r="GI69" s="2114">
        <f>'E - Resource Limits'!D69</f>
        <v>0</v>
      </c>
      <c r="GJ69" s="2114">
        <f>'E - Resource Limits'!E69</f>
        <v>0</v>
      </c>
      <c r="GK69" s="2114">
        <f>'E - Resource Limits'!F69</f>
        <v>0</v>
      </c>
      <c r="GL69" s="2048">
        <f>'E - Resource Limits'!G69</f>
        <v>0</v>
      </c>
      <c r="GM69" s="2115">
        <f>'E - Resource Limits'!H69</f>
        <v>0</v>
      </c>
      <c r="GN69" s="2114">
        <f>'E - Resource Limits'!I69</f>
        <v>0</v>
      </c>
      <c r="GO69" s="2114">
        <f>'E - Resource Limits'!J69</f>
        <v>0</v>
      </c>
      <c r="GP69" s="2114">
        <f>'E - Resource Limits'!K69</f>
        <v>0</v>
      </c>
      <c r="GQ69" s="2116">
        <f>'E - Resource Limits'!L69</f>
        <v>0</v>
      </c>
      <c r="GR69" s="1935"/>
      <c r="GT69" s="346">
        <f>'E1 - Invoiced Income'!A69</f>
        <v>54</v>
      </c>
      <c r="GU69" s="593">
        <f>'E1 - Invoiced Income'!B69</f>
        <v>0</v>
      </c>
      <c r="GV69" s="25">
        <f>'E1 - Invoiced Income'!C69</f>
        <v>0</v>
      </c>
      <c r="GW69" s="2527">
        <f>'E1 - Invoiced Income'!D69</f>
        <v>0</v>
      </c>
      <c r="GX69" s="196">
        <f>'E1 - Invoiced Income'!E69</f>
        <v>0</v>
      </c>
      <c r="GY69" s="2527">
        <f>'E1 - Invoiced Income'!F69</f>
        <v>0</v>
      </c>
      <c r="GZ69" s="2527">
        <f>'E1 - Invoiced Income'!G69</f>
        <v>0</v>
      </c>
      <c r="HA69" s="2527">
        <f>'E1 - Invoiced Income'!H69</f>
        <v>0</v>
      </c>
      <c r="HB69" s="2527">
        <f>'E1 - Invoiced Income'!I69</f>
        <v>0</v>
      </c>
      <c r="HC69" s="71"/>
      <c r="HD69" s="71"/>
      <c r="HE69" s="71"/>
      <c r="HF69" s="71"/>
      <c r="HG69" s="71"/>
      <c r="HH69" s="71"/>
      <c r="HI69" s="71"/>
      <c r="HJ69" s="71"/>
      <c r="HK69" s="71"/>
      <c r="HL69" s="71"/>
      <c r="HM69" s="71"/>
      <c r="HO69" s="2350">
        <f>'F - SoFP'!A69</f>
        <v>43</v>
      </c>
      <c r="HP69" s="2417" t="str">
        <f>'F - SoFP'!B69</f>
        <v>Welsh NHS Receivables Aged 17 weeks and over</v>
      </c>
      <c r="HQ69" s="2098"/>
      <c r="HR69" s="2418">
        <f>'F - SoFP'!D69</f>
        <v>0</v>
      </c>
      <c r="HS69" s="2403"/>
      <c r="HT69" s="2352"/>
      <c r="JD69" s="2301">
        <f>'I - Capital RLM'!A69</f>
        <v>48</v>
      </c>
      <c r="JE69" s="2361" t="str">
        <f>'I - Capital RLM'!B69</f>
        <v>Sub Total</v>
      </c>
      <c r="JF69" s="2037">
        <f>'I - Capital RLM'!C69</f>
        <v>0</v>
      </c>
      <c r="JG69" s="2037">
        <f>'I - Capital RLM'!D69</f>
        <v>0</v>
      </c>
      <c r="JH69" s="2037">
        <f>'I - Capital RLM'!E69</f>
        <v>0</v>
      </c>
      <c r="JI69" s="1943">
        <f>'I - Capital RLM'!F69</f>
        <v>0</v>
      </c>
      <c r="JJ69" s="2037">
        <f>'I - Capital RLM'!G69</f>
        <v>0</v>
      </c>
      <c r="JK69" s="2037">
        <f>'I - Capital RLM'!H69</f>
        <v>0</v>
      </c>
      <c r="JL69" s="2037">
        <f>'I - Capital RLM'!I69</f>
        <v>0</v>
      </c>
      <c r="JM69" s="2060"/>
      <c r="JN69" s="759"/>
      <c r="JO69" s="2060"/>
      <c r="JQ69" s="2073">
        <f>'J - Capital In Year Schemes'!A69</f>
        <v>54</v>
      </c>
      <c r="JR69" s="2126">
        <f>'J - Capital In Year Schemes'!B69</f>
        <v>0</v>
      </c>
      <c r="JS69" s="2126">
        <f>'J - Capital In Year Schemes'!C69</f>
        <v>0</v>
      </c>
      <c r="JT69" s="2325">
        <f>'J - Capital In Year Schemes'!D69</f>
        <v>0</v>
      </c>
      <c r="JU69" s="2010">
        <f>'J - Capital In Year Schemes'!E69</f>
        <v>0</v>
      </c>
      <c r="JV69" s="2010">
        <f>'J - Capital In Year Schemes'!F69</f>
        <v>0</v>
      </c>
      <c r="JW69" s="2010">
        <f>'J - Capital In Year Schemes'!G69</f>
        <v>0</v>
      </c>
      <c r="JX69" s="2010">
        <f>'J - Capital In Year Schemes'!H69</f>
        <v>0</v>
      </c>
      <c r="JY69" s="2010">
        <f>'J - Capital In Year Schemes'!I69</f>
        <v>0</v>
      </c>
      <c r="JZ69" s="2010">
        <f>'J - Capital In Year Schemes'!J69</f>
        <v>0</v>
      </c>
      <c r="KA69" s="2010">
        <f>'J - Capital In Year Schemes'!K69</f>
        <v>0</v>
      </c>
      <c r="KB69" s="2010">
        <f>'J - Capital In Year Schemes'!L69</f>
        <v>0</v>
      </c>
      <c r="KC69" s="2010">
        <f>'J - Capital In Year Schemes'!M69</f>
        <v>0</v>
      </c>
      <c r="KD69" s="2010">
        <f>'J - Capital In Year Schemes'!N69</f>
        <v>0</v>
      </c>
      <c r="KE69" s="2010">
        <f>'J - Capital In Year Schemes'!O69</f>
        <v>0</v>
      </c>
      <c r="KF69" s="2010">
        <f>'J - Capital In Year Schemes'!P69</f>
        <v>0</v>
      </c>
      <c r="KG69" s="2010">
        <f>'J - Capital In Year Schemes'!Q69</f>
        <v>0</v>
      </c>
      <c r="KH69" s="2090">
        <f>'J - Capital In Year Schemes'!R69</f>
        <v>0</v>
      </c>
      <c r="KI69" s="2090">
        <f>'J - Capital In Year Schemes'!S69</f>
        <v>0</v>
      </c>
      <c r="KJ69" s="2091">
        <f>'J - Capital In Year Schemes'!T69</f>
        <v>0</v>
      </c>
      <c r="KK69" s="2060"/>
      <c r="LL69" s="814"/>
      <c r="LM69" s="2394">
        <f>'M - Aged Debtors'!B69</f>
        <v>0</v>
      </c>
      <c r="LN69" s="2395">
        <f>'M - Aged Debtors'!C69</f>
        <v>0</v>
      </c>
      <c r="LO69" s="2396">
        <f>'M - Aged Debtors'!D69</f>
        <v>0</v>
      </c>
      <c r="LP69" s="2397">
        <f>'M - Aged Debtors'!E69</f>
        <v>0</v>
      </c>
      <c r="LQ69" s="2398">
        <f>'M - Aged Debtors'!F69</f>
        <v>0</v>
      </c>
      <c r="LR69" s="832" t="str">
        <f>'M - Aged Debtors'!G69</f>
        <v/>
      </c>
      <c r="LS69" s="829" t="str">
        <f>'M - Aged Debtors'!H69</f>
        <v/>
      </c>
      <c r="LT69" s="829" t="str">
        <f>'M - Aged Debtors'!I69</f>
        <v/>
      </c>
      <c r="LU69" s="830" t="str">
        <f>'M - Aged Debtors'!J69</f>
        <v/>
      </c>
      <c r="LV69" s="1830">
        <f>'M - Aged Debtors'!K69</f>
        <v>0</v>
      </c>
      <c r="LX69" s="3114" t="str">
        <f>'N - GMS'!A69</f>
        <v>Cardiology</v>
      </c>
      <c r="LY69" s="3131"/>
      <c r="LZ69" s="461">
        <f>'N - GMS'!C69</f>
        <v>44</v>
      </c>
      <c r="MA69" s="67">
        <f>'N - GMS'!D69</f>
        <v>0</v>
      </c>
      <c r="MB69" s="2387">
        <f>'N - GMS'!E69</f>
        <v>0</v>
      </c>
      <c r="MC69" s="2387">
        <f>'N - GMS'!F69</f>
        <v>0</v>
      </c>
      <c r="MD69" s="463">
        <f>'N - GMS'!G69</f>
        <v>0</v>
      </c>
      <c r="ME69" s="213"/>
      <c r="MF69" s="1028">
        <f>'N - GMS'!I69</f>
        <v>0</v>
      </c>
      <c r="MR69" s="684"/>
      <c r="MS69" s="2769">
        <f>'P - Ringfenced'!B69</f>
        <v>0</v>
      </c>
      <c r="MT69" s="2702">
        <f>'P - Ringfenced'!C69</f>
        <v>0</v>
      </c>
      <c r="MU69" s="1468"/>
      <c r="MV69" s="1468"/>
      <c r="MW69" s="1468"/>
      <c r="MX69" s="1468"/>
      <c r="MY69" s="1468"/>
      <c r="MZ69" s="1468"/>
      <c r="NA69" s="1468"/>
      <c r="NB69" s="1468"/>
      <c r="NC69" s="1468"/>
      <c r="ND69" s="1468"/>
      <c r="NE69" s="1468"/>
      <c r="NF69" s="1468"/>
      <c r="NG69" s="1468"/>
      <c r="NH69" s="1468"/>
      <c r="NI69" s="1468"/>
      <c r="NJ69" s="684"/>
      <c r="NK69" s="684"/>
    </row>
    <row r="70" spans="57:376" ht="20.149999999999999" customHeight="1" thickBot="1">
      <c r="BE70" s="1999"/>
      <c r="BF70" s="85" t="str">
        <f>'B - Monthly Positions'!B69</f>
        <v xml:space="preserve"> </v>
      </c>
      <c r="BG70" s="1988"/>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9" t="str">
        <f>'B - Monthly Positions'!P69</f>
        <v>Total YTD</v>
      </c>
      <c r="BU70" s="1059" t="str">
        <f>'B - Monthly Positions'!Q69</f>
        <v>Forecast year-end position</v>
      </c>
      <c r="BV70" s="1930"/>
      <c r="BW70" s="1930"/>
      <c r="BX70" s="88">
        <f>' Table Z Net Exp Profiles'!A70</f>
        <v>47</v>
      </c>
      <c r="BY70" s="1264" t="str">
        <f>' Table Z Net Exp Profiles'!B70</f>
        <v>Planning Assumptions still to be finalised at Month 1 Allocated to Drugs - (ENTER AS NEGATIVE)</v>
      </c>
      <c r="BZ70" s="1217">
        <f>' Table Z Net Exp Profiles'!C70</f>
        <v>0</v>
      </c>
      <c r="CA70" s="1189">
        <f>' Table Z Net Exp Profiles'!D70</f>
        <v>0</v>
      </c>
      <c r="CB70" s="1189">
        <f>' Table Z Net Exp Profiles'!E70</f>
        <v>0</v>
      </c>
      <c r="CC70" s="1189">
        <f>' Table Z Net Exp Profiles'!F70</f>
        <v>0</v>
      </c>
      <c r="CD70" s="1189">
        <f>' Table Z Net Exp Profiles'!G70</f>
        <v>0</v>
      </c>
      <c r="CE70" s="1189">
        <f>' Table Z Net Exp Profiles'!H70</f>
        <v>0</v>
      </c>
      <c r="CF70" s="1189">
        <f>' Table Z Net Exp Profiles'!I70</f>
        <v>0</v>
      </c>
      <c r="CG70" s="1189">
        <f>' Table Z Net Exp Profiles'!J70</f>
        <v>0</v>
      </c>
      <c r="CH70" s="1189">
        <f>' Table Z Net Exp Profiles'!K70</f>
        <v>0</v>
      </c>
      <c r="CI70" s="1189">
        <f>' Table Z Net Exp Profiles'!L70</f>
        <v>0</v>
      </c>
      <c r="CJ70" s="1189">
        <f>' Table Z Net Exp Profiles'!M70</f>
        <v>0</v>
      </c>
      <c r="CK70" s="1189">
        <f>' Table Z Net Exp Profiles'!N70</f>
        <v>0</v>
      </c>
      <c r="CL70" s="1215">
        <f>' Table Z Net Exp Profiles'!O70</f>
        <v>0</v>
      </c>
      <c r="CM70" s="1215">
        <f>' Table Z Net Exp Profiles'!P70</f>
        <v>0</v>
      </c>
      <c r="DF70" s="2748">
        <f>'B3 - COVID-19'!A70</f>
        <v>48</v>
      </c>
      <c r="DG70" s="2845" t="str">
        <f>'B3 - COVID-19'!B70</f>
        <v>Other Private &amp; Voluntary Sector</v>
      </c>
      <c r="DH70" s="1330">
        <f>'B3 - COVID-19'!C70</f>
        <v>0</v>
      </c>
      <c r="DI70" s="1330">
        <f>'B3 - COVID-19'!D70</f>
        <v>0</v>
      </c>
      <c r="DJ70" s="1330">
        <f>'B3 - COVID-19'!E70</f>
        <v>0</v>
      </c>
      <c r="DK70" s="1330">
        <f>'B3 - COVID-19'!F70</f>
        <v>0</v>
      </c>
      <c r="DL70" s="1330">
        <f>'B3 - COVID-19'!G70</f>
        <v>0</v>
      </c>
      <c r="DM70" s="1330">
        <f>'B3 - COVID-19'!H70</f>
        <v>0</v>
      </c>
      <c r="DN70" s="1330">
        <f>'B3 - COVID-19'!I70</f>
        <v>0</v>
      </c>
      <c r="DO70" s="1330">
        <f>'B3 - COVID-19'!J70</f>
        <v>0</v>
      </c>
      <c r="DP70" s="1330">
        <f>'B3 - COVID-19'!K70</f>
        <v>0</v>
      </c>
      <c r="DQ70" s="1330">
        <f>'B3 - COVID-19'!L70</f>
        <v>0</v>
      </c>
      <c r="DR70" s="1330">
        <f>'B3 - COVID-19'!M70</f>
        <v>0</v>
      </c>
      <c r="DS70" s="1330">
        <f>'B3 - COVID-19'!N70</f>
        <v>0</v>
      </c>
      <c r="DT70" s="1863">
        <f>'B3 - COVID-19'!O70</f>
        <v>0</v>
      </c>
      <c r="DU70" s="1863">
        <f>'B3 - COVID-19'!P70</f>
        <v>0</v>
      </c>
      <c r="DV70" s="608"/>
      <c r="DW70" s="1116"/>
      <c r="DY70" s="2208">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9">
        <f>'C, C1, C2&amp; C3 - Savings Schemes'!O70</f>
        <v>0</v>
      </c>
      <c r="EN70" s="2390">
        <f>'C, C1, C2&amp; C3 - Savings Schemes'!P70</f>
        <v>0</v>
      </c>
      <c r="EO70" s="939">
        <f>'C, C1, C2&amp; C3 - Savings Schemes'!Q70</f>
        <v>0</v>
      </c>
      <c r="EP70" s="1930"/>
      <c r="EQ70" s="1930"/>
      <c r="ER70" s="1930"/>
      <c r="ES70" s="1930"/>
      <c r="ET70" s="1930"/>
      <c r="EU70" s="1930"/>
      <c r="EV70" s="1930"/>
      <c r="EW70" s="1930"/>
      <c r="EX70" s="1932"/>
      <c r="EY70" s="1932"/>
      <c r="EZ70" s="1932"/>
      <c r="FA70" s="1932"/>
      <c r="FB70" s="1932"/>
      <c r="FC70" s="1932"/>
      <c r="FD70" s="1932"/>
      <c r="FE70" s="1932"/>
      <c r="FF70" s="1932"/>
      <c r="FG70" s="1932"/>
      <c r="FH70" s="1932"/>
      <c r="FI70" s="1932"/>
      <c r="FJ70" s="1932"/>
      <c r="FK70" s="1932"/>
      <c r="FL70" s="1932"/>
      <c r="FM70" s="1932"/>
      <c r="FN70" s="1932"/>
      <c r="FO70" s="1932"/>
      <c r="FP70" s="1932"/>
      <c r="FQ70" s="1932"/>
      <c r="FR70" s="1932"/>
      <c r="FS70" s="1932"/>
      <c r="GF70" s="2112">
        <f>'E - Resource Limits'!A70</f>
        <v>58</v>
      </c>
      <c r="GG70" s="2113">
        <f>'E - Resource Limits'!B70</f>
        <v>0</v>
      </c>
      <c r="GH70" s="2114">
        <f>'E - Resource Limits'!C70</f>
        <v>0</v>
      </c>
      <c r="GI70" s="2114">
        <f>'E - Resource Limits'!D70</f>
        <v>0</v>
      </c>
      <c r="GJ70" s="2114">
        <f>'E - Resource Limits'!E70</f>
        <v>0</v>
      </c>
      <c r="GK70" s="2114">
        <f>'E - Resource Limits'!F70</f>
        <v>0</v>
      </c>
      <c r="GL70" s="2048">
        <f>'E - Resource Limits'!G70</f>
        <v>0</v>
      </c>
      <c r="GM70" s="2115">
        <f>'E - Resource Limits'!H70</f>
        <v>0</v>
      </c>
      <c r="GN70" s="2114">
        <f>'E - Resource Limits'!I70</f>
        <v>0</v>
      </c>
      <c r="GO70" s="2114">
        <f>'E - Resource Limits'!J70</f>
        <v>0</v>
      </c>
      <c r="GP70" s="2114">
        <f>'E - Resource Limits'!K70</f>
        <v>0</v>
      </c>
      <c r="GQ70" s="2116">
        <f>'E - Resource Limits'!L70</f>
        <v>0</v>
      </c>
      <c r="GR70" s="1935"/>
      <c r="GT70" s="346">
        <f>'E1 - Invoiced Income'!A70</f>
        <v>55</v>
      </c>
      <c r="GU70" s="593">
        <f>'E1 - Invoiced Income'!B70</f>
        <v>0</v>
      </c>
      <c r="GV70" s="25">
        <f>'E1 - Invoiced Income'!C70</f>
        <v>0</v>
      </c>
      <c r="GW70" s="2527">
        <f>'E1 - Invoiced Income'!D70</f>
        <v>0</v>
      </c>
      <c r="GX70" s="196">
        <f>'E1 - Invoiced Income'!E70</f>
        <v>0</v>
      </c>
      <c r="GY70" s="2527">
        <f>'E1 - Invoiced Income'!F70</f>
        <v>0</v>
      </c>
      <c r="GZ70" s="2527">
        <f>'E1 - Invoiced Income'!G70</f>
        <v>0</v>
      </c>
      <c r="HA70" s="2527">
        <f>'E1 - Invoiced Income'!H70</f>
        <v>0</v>
      </c>
      <c r="HB70" s="2527">
        <f>'E1 - Invoiced Income'!I70</f>
        <v>0</v>
      </c>
      <c r="HC70" s="71"/>
      <c r="HD70" s="71"/>
      <c r="HE70" s="71"/>
      <c r="HF70" s="71"/>
      <c r="HG70" s="71"/>
      <c r="HH70" s="71"/>
      <c r="HI70" s="71"/>
      <c r="HJ70" s="71"/>
      <c r="HK70" s="71"/>
      <c r="HL70" s="71"/>
      <c r="HM70" s="71"/>
      <c r="HO70" s="1745"/>
      <c r="HP70" s="1745"/>
      <c r="HQ70" s="1745"/>
      <c r="HR70" s="1745"/>
      <c r="HS70" s="1946"/>
      <c r="HT70" s="1946"/>
      <c r="JD70" s="2309"/>
      <c r="JE70" s="2310"/>
      <c r="JF70" s="2097"/>
      <c r="JG70" s="2097"/>
      <c r="JH70" s="2097"/>
      <c r="JI70" s="1943"/>
      <c r="JJ70" s="2097"/>
      <c r="JK70" s="2097"/>
      <c r="JL70" s="2097"/>
      <c r="JM70" s="2060"/>
      <c r="JN70" s="759"/>
      <c r="JO70" s="2060"/>
      <c r="JQ70" s="2088">
        <f>'J - Capital In Year Schemes'!A70</f>
        <v>55</v>
      </c>
      <c r="JR70" s="2126">
        <f>'J - Capital In Year Schemes'!B70</f>
        <v>0</v>
      </c>
      <c r="JS70" s="2126">
        <f>'J - Capital In Year Schemes'!C70</f>
        <v>0</v>
      </c>
      <c r="JT70" s="2325">
        <f>'J - Capital In Year Schemes'!D70</f>
        <v>0</v>
      </c>
      <c r="JU70" s="2010">
        <f>'J - Capital In Year Schemes'!E70</f>
        <v>0</v>
      </c>
      <c r="JV70" s="2010">
        <f>'J - Capital In Year Schemes'!F70</f>
        <v>0</v>
      </c>
      <c r="JW70" s="2010">
        <f>'J - Capital In Year Schemes'!G70</f>
        <v>0</v>
      </c>
      <c r="JX70" s="2010">
        <f>'J - Capital In Year Schemes'!H70</f>
        <v>0</v>
      </c>
      <c r="JY70" s="2010">
        <f>'J - Capital In Year Schemes'!I70</f>
        <v>0</v>
      </c>
      <c r="JZ70" s="2010">
        <f>'J - Capital In Year Schemes'!J70</f>
        <v>0</v>
      </c>
      <c r="KA70" s="2010">
        <f>'J - Capital In Year Schemes'!K70</f>
        <v>0</v>
      </c>
      <c r="KB70" s="2010">
        <f>'J - Capital In Year Schemes'!L70</f>
        <v>0</v>
      </c>
      <c r="KC70" s="2010">
        <f>'J - Capital In Year Schemes'!M70</f>
        <v>0</v>
      </c>
      <c r="KD70" s="2010">
        <f>'J - Capital In Year Schemes'!N70</f>
        <v>0</v>
      </c>
      <c r="KE70" s="2010">
        <f>'J - Capital In Year Schemes'!O70</f>
        <v>0</v>
      </c>
      <c r="KF70" s="2010">
        <f>'J - Capital In Year Schemes'!P70</f>
        <v>0</v>
      </c>
      <c r="KG70" s="2010">
        <f>'J - Capital In Year Schemes'!Q70</f>
        <v>0</v>
      </c>
      <c r="KH70" s="2090">
        <f>'J - Capital In Year Schemes'!R70</f>
        <v>0</v>
      </c>
      <c r="KI70" s="2090">
        <f>'J - Capital In Year Schemes'!S70</f>
        <v>0</v>
      </c>
      <c r="KJ70" s="2091">
        <f>'J - Capital In Year Schemes'!T70</f>
        <v>0</v>
      </c>
      <c r="KK70" s="2060"/>
      <c r="LL70" s="814"/>
      <c r="LM70" s="2394">
        <f>'M - Aged Debtors'!B70</f>
        <v>0</v>
      </c>
      <c r="LN70" s="2395">
        <f>'M - Aged Debtors'!C70</f>
        <v>0</v>
      </c>
      <c r="LO70" s="2396">
        <f>'M - Aged Debtors'!D70</f>
        <v>0</v>
      </c>
      <c r="LP70" s="2397">
        <f>'M - Aged Debtors'!E70</f>
        <v>0</v>
      </c>
      <c r="LQ70" s="2398">
        <f>'M - Aged Debtors'!F70</f>
        <v>0</v>
      </c>
      <c r="LR70" s="832" t="str">
        <f>'M - Aged Debtors'!G70</f>
        <v/>
      </c>
      <c r="LS70" s="829" t="str">
        <f>'M - Aged Debtors'!H70</f>
        <v/>
      </c>
      <c r="LT70" s="829" t="str">
        <f>'M - Aged Debtors'!I70</f>
        <v/>
      </c>
      <c r="LU70" s="830" t="str">
        <f>'M - Aged Debtors'!J70</f>
        <v/>
      </c>
      <c r="LV70" s="1830">
        <f>'M - Aged Debtors'!K70</f>
        <v>0</v>
      </c>
      <c r="LX70" s="3114" t="str">
        <f>'N - GMS'!A70</f>
        <v>Care Homes</v>
      </c>
      <c r="LY70" s="3131"/>
      <c r="LZ70" s="461">
        <f>'N - GMS'!C70</f>
        <v>45</v>
      </c>
      <c r="MA70" s="219">
        <f>'N - GMS'!D70</f>
        <v>0</v>
      </c>
      <c r="MB70" s="2387">
        <f>'N - GMS'!E70</f>
        <v>0</v>
      </c>
      <c r="MC70" s="2387">
        <f>'N - GMS'!F70</f>
        <v>0</v>
      </c>
      <c r="MD70" s="463">
        <f>'N - GMS'!G70</f>
        <v>0</v>
      </c>
      <c r="ME70" s="213"/>
      <c r="MF70" s="1028">
        <f>'N - GMS'!I70</f>
        <v>0</v>
      </c>
      <c r="MR70" s="684"/>
      <c r="MS70" s="2769">
        <f>'P - Ringfenced'!B70</f>
        <v>0</v>
      </c>
      <c r="MT70" s="2703">
        <f>'P - Ringfenced'!C70</f>
        <v>0</v>
      </c>
      <c r="MU70" s="1468"/>
      <c r="MV70" s="1468"/>
      <c r="MW70" s="1468"/>
      <c r="MX70" s="1468"/>
      <c r="MY70" s="1468"/>
      <c r="MZ70" s="1468"/>
      <c r="NA70" s="1468"/>
      <c r="NB70" s="1468"/>
      <c r="NC70" s="1468"/>
      <c r="ND70" s="1468"/>
      <c r="NE70" s="1468"/>
      <c r="NF70" s="1468"/>
      <c r="NG70" s="1468"/>
      <c r="NH70" s="1468"/>
      <c r="NI70" s="1468"/>
      <c r="NJ70" s="684"/>
      <c r="NK70" s="684"/>
    </row>
    <row r="71" spans="57:376" ht="20.149999999999999" customHeight="1" thickBot="1">
      <c r="BE71" s="1999"/>
      <c r="BF71" s="85"/>
      <c r="BG71" s="2019"/>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1">
        <f>'B - Monthly Positions'!P70</f>
        <v>0</v>
      </c>
      <c r="BU71" s="1061">
        <f>'B - Monthly Positions'!Q70</f>
        <v>0</v>
      </c>
      <c r="BV71" s="1930"/>
      <c r="BW71" s="1930"/>
      <c r="BX71" s="144">
        <f>' Table Z Net Exp Profiles'!A71</f>
        <v>48</v>
      </c>
      <c r="BY71" s="1259" t="str">
        <f>' Table Z Net Exp Profiles'!B71</f>
        <v>Total Gross Drugs Expenditure - Current Plan</v>
      </c>
      <c r="BZ71" s="1110">
        <f>' Table Z Net Exp Profiles'!C71</f>
        <v>0</v>
      </c>
      <c r="CA71" s="1219">
        <f>' Table Z Net Exp Profiles'!D71</f>
        <v>0</v>
      </c>
      <c r="CB71" s="1219">
        <f>' Table Z Net Exp Profiles'!E71</f>
        <v>0</v>
      </c>
      <c r="CC71" s="1219">
        <f>' Table Z Net Exp Profiles'!F71</f>
        <v>0</v>
      </c>
      <c r="CD71" s="1219">
        <f>' Table Z Net Exp Profiles'!G71</f>
        <v>0</v>
      </c>
      <c r="CE71" s="1219">
        <f>' Table Z Net Exp Profiles'!H71</f>
        <v>0</v>
      </c>
      <c r="CF71" s="1219">
        <f>' Table Z Net Exp Profiles'!I71</f>
        <v>0</v>
      </c>
      <c r="CG71" s="1219">
        <f>' Table Z Net Exp Profiles'!J71</f>
        <v>0</v>
      </c>
      <c r="CH71" s="1219">
        <f>' Table Z Net Exp Profiles'!K71</f>
        <v>0</v>
      </c>
      <c r="CI71" s="1219">
        <f>' Table Z Net Exp Profiles'!L71</f>
        <v>0</v>
      </c>
      <c r="CJ71" s="1219">
        <f>' Table Z Net Exp Profiles'!M71</f>
        <v>0</v>
      </c>
      <c r="CK71" s="1220">
        <f>' Table Z Net Exp Profiles'!N71</f>
        <v>0</v>
      </c>
      <c r="CL71" s="1101">
        <f>' Table Z Net Exp Profiles'!O71</f>
        <v>0</v>
      </c>
      <c r="CM71" s="1232">
        <f>' Table Z Net Exp Profiles'!P71</f>
        <v>0</v>
      </c>
      <c r="DF71" s="2748">
        <f>'B3 - COVID-19'!A71</f>
        <v>49</v>
      </c>
      <c r="DG71" s="2845" t="str">
        <f>'B3 - COVID-19'!B71</f>
        <v>Joint Financing and Other (includes Local Authority)</v>
      </c>
      <c r="DH71" s="1330">
        <f>'B3 - COVID-19'!C71</f>
        <v>0</v>
      </c>
      <c r="DI71" s="1330">
        <f>'B3 - COVID-19'!D71</f>
        <v>0</v>
      </c>
      <c r="DJ71" s="1330">
        <f>'B3 - COVID-19'!E71</f>
        <v>0</v>
      </c>
      <c r="DK71" s="1330">
        <f>'B3 - COVID-19'!F71</f>
        <v>0</v>
      </c>
      <c r="DL71" s="1330">
        <f>'B3 - COVID-19'!G71</f>
        <v>0</v>
      </c>
      <c r="DM71" s="1330">
        <f>'B3 - COVID-19'!H71</f>
        <v>0</v>
      </c>
      <c r="DN71" s="1330">
        <f>'B3 - COVID-19'!I71</f>
        <v>0</v>
      </c>
      <c r="DO71" s="1330">
        <f>'B3 - COVID-19'!J71</f>
        <v>0</v>
      </c>
      <c r="DP71" s="1330">
        <f>'B3 - COVID-19'!K71</f>
        <v>0</v>
      </c>
      <c r="DQ71" s="1330">
        <f>'B3 - COVID-19'!L71</f>
        <v>0</v>
      </c>
      <c r="DR71" s="1330">
        <f>'B3 - COVID-19'!M71</f>
        <v>0</v>
      </c>
      <c r="DS71" s="1330">
        <f>'B3 - COVID-19'!N71</f>
        <v>0</v>
      </c>
      <c r="DT71" s="1863">
        <f>'B3 - COVID-19'!O71</f>
        <v>0</v>
      </c>
      <c r="DU71" s="1863">
        <f>'B3 - COVID-19'!P71</f>
        <v>0</v>
      </c>
      <c r="DV71" s="608"/>
      <c r="DW71" s="1116"/>
      <c r="DY71" s="2111">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1">
        <f>'C, C1, C2&amp; C3 - Savings Schemes'!O71</f>
        <v>56.916666666666664</v>
      </c>
      <c r="EN71" s="120">
        <f>'C, C1, C2&amp; C3 - Savings Schemes'!P71</f>
        <v>789.91666666666663</v>
      </c>
      <c r="EO71" s="938">
        <f>'C, C1, C2&amp; C3 - Savings Schemes'!Q71</f>
        <v>1416.0000000000002</v>
      </c>
      <c r="EP71" s="1930"/>
      <c r="EQ71" s="1930"/>
      <c r="ER71" s="1930"/>
      <c r="ES71" s="1930"/>
      <c r="ET71" s="1930"/>
      <c r="EU71" s="1930"/>
      <c r="EV71" s="1930"/>
      <c r="EW71" s="1930"/>
      <c r="EX71" s="1932"/>
      <c r="EY71" s="1932"/>
      <c r="EZ71" s="1932"/>
      <c r="FA71" s="1932"/>
      <c r="FB71" s="1932"/>
      <c r="FC71" s="1932"/>
      <c r="FD71" s="1932"/>
      <c r="FE71" s="1932"/>
      <c r="FF71" s="1932"/>
      <c r="FG71" s="1932"/>
      <c r="FH71" s="1932"/>
      <c r="FI71" s="1932"/>
      <c r="FJ71" s="1932"/>
      <c r="FK71" s="1932"/>
      <c r="FL71" s="1932"/>
      <c r="FM71" s="1932"/>
      <c r="FN71" s="1932"/>
      <c r="FO71" s="1932"/>
      <c r="FP71" s="1932"/>
      <c r="FQ71" s="1932"/>
      <c r="FR71" s="1932"/>
      <c r="FS71" s="1932"/>
      <c r="GF71" s="2112">
        <f>'E - Resource Limits'!A71</f>
        <v>59</v>
      </c>
      <c r="GG71" s="2113">
        <f>'E - Resource Limits'!B71</f>
        <v>0</v>
      </c>
      <c r="GH71" s="2114">
        <f>'E - Resource Limits'!C71</f>
        <v>0</v>
      </c>
      <c r="GI71" s="2114">
        <f>'E - Resource Limits'!D71</f>
        <v>0</v>
      </c>
      <c r="GJ71" s="2114">
        <f>'E - Resource Limits'!E71</f>
        <v>0</v>
      </c>
      <c r="GK71" s="2114">
        <f>'E - Resource Limits'!F71</f>
        <v>0</v>
      </c>
      <c r="GL71" s="2048">
        <f>'E - Resource Limits'!G71</f>
        <v>0</v>
      </c>
      <c r="GM71" s="2115">
        <f>'E - Resource Limits'!H71</f>
        <v>0</v>
      </c>
      <c r="GN71" s="2114">
        <f>'E - Resource Limits'!I71</f>
        <v>0</v>
      </c>
      <c r="GO71" s="2114">
        <f>'E - Resource Limits'!J71</f>
        <v>0</v>
      </c>
      <c r="GP71" s="2114">
        <f>'E - Resource Limits'!K71</f>
        <v>0</v>
      </c>
      <c r="GQ71" s="2116">
        <f>'E - Resource Limits'!L71</f>
        <v>0</v>
      </c>
      <c r="GR71" s="1935"/>
      <c r="GT71" s="346">
        <f>'E1 - Invoiced Income'!A71</f>
        <v>56</v>
      </c>
      <c r="GU71" s="593">
        <f>'E1 - Invoiced Income'!B71</f>
        <v>0</v>
      </c>
      <c r="GV71" s="25">
        <f>'E1 - Invoiced Income'!C71</f>
        <v>0</v>
      </c>
      <c r="GW71" s="2527">
        <f>'E1 - Invoiced Income'!D71</f>
        <v>0</v>
      </c>
      <c r="GX71" s="196">
        <f>'E1 - Invoiced Income'!E71</f>
        <v>0</v>
      </c>
      <c r="GY71" s="2527">
        <f>'E1 - Invoiced Income'!F71</f>
        <v>0</v>
      </c>
      <c r="GZ71" s="2527">
        <f>'E1 - Invoiced Income'!G71</f>
        <v>0</v>
      </c>
      <c r="HA71" s="2527">
        <f>'E1 - Invoiced Income'!H71</f>
        <v>0</v>
      </c>
      <c r="HB71" s="2527">
        <f>'E1 - Invoiced Income'!I71</f>
        <v>0</v>
      </c>
      <c r="HC71" s="71"/>
      <c r="HD71" s="71"/>
      <c r="HE71" s="71"/>
      <c r="HF71" s="71"/>
      <c r="HG71" s="71"/>
      <c r="HH71" s="71"/>
      <c r="HI71" s="71"/>
      <c r="HJ71" s="71"/>
      <c r="HK71" s="71"/>
      <c r="HL71" s="71"/>
      <c r="HM71" s="71"/>
      <c r="HO71" s="1745"/>
      <c r="HP71" s="1940" t="str">
        <f>'F - SoFP'!B71</f>
        <v>ANALYSIS OF TRADE &amp; OTHER PAYABLES  (opening, current &amp; closing)</v>
      </c>
      <c r="HQ71" s="2399" t="str">
        <f>'F - SoFP'!C71</f>
        <v>£'000</v>
      </c>
      <c r="HR71" s="2399" t="str">
        <f>'F - SoFP'!D71</f>
        <v>£'000</v>
      </c>
      <c r="HS71" s="2399" t="str">
        <f>'F - SoFP'!E71</f>
        <v>£'000</v>
      </c>
      <c r="HT71" s="1946"/>
      <c r="JD71" s="2073"/>
      <c r="JE71" s="2319" t="str">
        <f>'I - Capital RLM'!B71</f>
        <v>Other (Including IFRS 16 Leases) Schemes:</v>
      </c>
      <c r="JF71" s="2321"/>
      <c r="JG71" s="2321"/>
      <c r="JH71" s="2321"/>
      <c r="JI71" s="1943"/>
      <c r="JJ71" s="2321"/>
      <c r="JK71" s="2321"/>
      <c r="JL71" s="2321"/>
      <c r="JM71" s="2060"/>
      <c r="JN71" s="759"/>
      <c r="JO71" s="2060"/>
      <c r="JQ71" s="2088">
        <f>'J - Capital In Year Schemes'!A71</f>
        <v>56</v>
      </c>
      <c r="JR71" s="2126">
        <f>'J - Capital In Year Schemes'!B71</f>
        <v>0</v>
      </c>
      <c r="JS71" s="2126">
        <f>'J - Capital In Year Schemes'!C71</f>
        <v>0</v>
      </c>
      <c r="JT71" s="2325">
        <f>'J - Capital In Year Schemes'!D71</f>
        <v>0</v>
      </c>
      <c r="JU71" s="2010">
        <f>'J - Capital In Year Schemes'!E71</f>
        <v>0</v>
      </c>
      <c r="JV71" s="2010">
        <f>'J - Capital In Year Schemes'!F71</f>
        <v>0</v>
      </c>
      <c r="JW71" s="2010">
        <f>'J - Capital In Year Schemes'!G71</f>
        <v>0</v>
      </c>
      <c r="JX71" s="2010">
        <f>'J - Capital In Year Schemes'!H71</f>
        <v>0</v>
      </c>
      <c r="JY71" s="2010">
        <f>'J - Capital In Year Schemes'!I71</f>
        <v>0</v>
      </c>
      <c r="JZ71" s="2010">
        <f>'J - Capital In Year Schemes'!J71</f>
        <v>0</v>
      </c>
      <c r="KA71" s="2010">
        <f>'J - Capital In Year Schemes'!K71</f>
        <v>0</v>
      </c>
      <c r="KB71" s="2010">
        <f>'J - Capital In Year Schemes'!L71</f>
        <v>0</v>
      </c>
      <c r="KC71" s="2010">
        <f>'J - Capital In Year Schemes'!M71</f>
        <v>0</v>
      </c>
      <c r="KD71" s="2010">
        <f>'J - Capital In Year Schemes'!N71</f>
        <v>0</v>
      </c>
      <c r="KE71" s="2010">
        <f>'J - Capital In Year Schemes'!O71</f>
        <v>0</v>
      </c>
      <c r="KF71" s="2010">
        <f>'J - Capital In Year Schemes'!P71</f>
        <v>0</v>
      </c>
      <c r="KG71" s="2010">
        <f>'J - Capital In Year Schemes'!Q71</f>
        <v>0</v>
      </c>
      <c r="KH71" s="2090">
        <f>'J - Capital In Year Schemes'!R71</f>
        <v>0</v>
      </c>
      <c r="KI71" s="2090">
        <f>'J - Capital In Year Schemes'!S71</f>
        <v>0</v>
      </c>
      <c r="KJ71" s="2091">
        <f>'J - Capital In Year Schemes'!T71</f>
        <v>0</v>
      </c>
      <c r="KK71" s="2060"/>
      <c r="LL71" s="814"/>
      <c r="LM71" s="2394">
        <f>'M - Aged Debtors'!B71</f>
        <v>0</v>
      </c>
      <c r="LN71" s="2395">
        <f>'M - Aged Debtors'!C71</f>
        <v>0</v>
      </c>
      <c r="LO71" s="2396">
        <f>'M - Aged Debtors'!D71</f>
        <v>0</v>
      </c>
      <c r="LP71" s="2397">
        <f>'M - Aged Debtors'!E71</f>
        <v>0</v>
      </c>
      <c r="LQ71" s="2398">
        <f>'M - Aged Debtors'!F71</f>
        <v>0</v>
      </c>
      <c r="LR71" s="832" t="str">
        <f>'M - Aged Debtors'!G71</f>
        <v/>
      </c>
      <c r="LS71" s="829" t="str">
        <f>'M - Aged Debtors'!H71</f>
        <v/>
      </c>
      <c r="LT71" s="829" t="str">
        <f>'M - Aged Debtors'!I71</f>
        <v/>
      </c>
      <c r="LU71" s="830" t="str">
        <f>'M - Aged Debtors'!J71</f>
        <v/>
      </c>
      <c r="LV71" s="1830">
        <f>'M - Aged Debtors'!K71</f>
        <v>0</v>
      </c>
      <c r="LX71" s="3114" t="str">
        <f>'N - GMS'!A71</f>
        <v>Care of Diabetes</v>
      </c>
      <c r="LY71" s="3132"/>
      <c r="LZ71" s="461">
        <f>'N - GMS'!C71</f>
        <v>46</v>
      </c>
      <c r="MA71" s="2386">
        <f>'N - GMS'!D71</f>
        <v>0</v>
      </c>
      <c r="MB71" s="2387">
        <f>'N - GMS'!E71</f>
        <v>0</v>
      </c>
      <c r="MC71" s="2387">
        <f>'N - GMS'!F71</f>
        <v>0</v>
      </c>
      <c r="MD71" s="463">
        <f>'N - GMS'!G71</f>
        <v>0</v>
      </c>
      <c r="ME71" s="213"/>
      <c r="MF71" s="1028">
        <f>'N - GMS'!I71</f>
        <v>0</v>
      </c>
      <c r="MR71" s="684"/>
      <c r="MS71" s="2769">
        <f>'P - Ringfenced'!B71</f>
        <v>0</v>
      </c>
      <c r="MT71" s="2703">
        <f>'P - Ringfenced'!C71</f>
        <v>0</v>
      </c>
      <c r="MU71" s="1468"/>
      <c r="MV71" s="1468"/>
      <c r="MW71" s="1468"/>
      <c r="MX71" s="1468"/>
      <c r="MY71" s="1468"/>
      <c r="MZ71" s="1468"/>
      <c r="NA71" s="1468"/>
      <c r="NB71" s="1468"/>
      <c r="NC71" s="1468"/>
      <c r="ND71" s="1468"/>
      <c r="NE71" s="1468"/>
      <c r="NF71" s="1468"/>
      <c r="NG71" s="1468"/>
      <c r="NH71" s="1468"/>
      <c r="NI71" s="1468"/>
      <c r="NJ71" s="684"/>
      <c r="NK71" s="684"/>
    </row>
    <row r="72" spans="57:376" ht="20.149999999999999" customHeight="1" thickBot="1">
      <c r="BE72" s="2039"/>
      <c r="BF72" s="2336" t="str">
        <f>'B - Monthly Positions'!B71</f>
        <v>DEL</v>
      </c>
      <c r="BG72" s="1075" t="str">
        <f>'B - Monthly Positions'!C71</f>
        <v xml:space="preserve"> </v>
      </c>
      <c r="BH72" s="1135">
        <f>'B - Monthly Positions'!D71</f>
        <v>0</v>
      </c>
      <c r="BI72" s="1136">
        <f>'B - Monthly Positions'!E71</f>
        <v>0</v>
      </c>
      <c r="BJ72" s="1136">
        <f>'B - Monthly Positions'!F71</f>
        <v>0</v>
      </c>
      <c r="BK72" s="1136">
        <f>'B - Monthly Positions'!G71</f>
        <v>0</v>
      </c>
      <c r="BL72" s="1136">
        <f>'B - Monthly Positions'!H71</f>
        <v>0</v>
      </c>
      <c r="BM72" s="1136">
        <f>'B - Monthly Positions'!I71</f>
        <v>0</v>
      </c>
      <c r="BN72" s="1136">
        <f>'B - Monthly Positions'!J71</f>
        <v>0</v>
      </c>
      <c r="BO72" s="1136">
        <f>'B - Monthly Positions'!K71</f>
        <v>0</v>
      </c>
      <c r="BP72" s="1136">
        <f>'B - Monthly Positions'!L71</f>
        <v>0</v>
      </c>
      <c r="BQ72" s="1136">
        <f>'B - Monthly Positions'!M71</f>
        <v>0</v>
      </c>
      <c r="BR72" s="1136">
        <f>'B - Monthly Positions'!N71</f>
        <v>0</v>
      </c>
      <c r="BS72" s="1137">
        <f>'B - Monthly Positions'!O71</f>
        <v>0</v>
      </c>
      <c r="BT72" s="1094">
        <f>'B - Monthly Positions'!P71</f>
        <v>0</v>
      </c>
      <c r="BU72" s="1094">
        <f>'B - Monthly Positions'!Q71</f>
        <v>0</v>
      </c>
      <c r="BV72" s="1930"/>
      <c r="BW72" s="1930"/>
      <c r="BX72" s="890">
        <f>' Table Z Net Exp Profiles'!A72</f>
        <v>49</v>
      </c>
      <c r="BY72" s="1274" t="str">
        <f>' Table Z Net Exp Profiles'!B72</f>
        <v>Gross Primary Care Drugs - Actual/Forecast</v>
      </c>
      <c r="BZ72" s="1214">
        <f>' Table Z Net Exp Profiles'!C72</f>
        <v>0</v>
      </c>
      <c r="CA72" s="964">
        <f>' Table Z Net Exp Profiles'!D72</f>
        <v>0</v>
      </c>
      <c r="CB72" s="964">
        <f>' Table Z Net Exp Profiles'!E72</f>
        <v>0</v>
      </c>
      <c r="CC72" s="964">
        <f>' Table Z Net Exp Profiles'!F72</f>
        <v>0</v>
      </c>
      <c r="CD72" s="964">
        <f>' Table Z Net Exp Profiles'!G72</f>
        <v>0</v>
      </c>
      <c r="CE72" s="964">
        <f>' Table Z Net Exp Profiles'!H72</f>
        <v>0</v>
      </c>
      <c r="CF72" s="964">
        <f>' Table Z Net Exp Profiles'!I72</f>
        <v>0</v>
      </c>
      <c r="CG72" s="964">
        <f>' Table Z Net Exp Profiles'!J72</f>
        <v>0</v>
      </c>
      <c r="CH72" s="964">
        <f>' Table Z Net Exp Profiles'!K72</f>
        <v>0</v>
      </c>
      <c r="CI72" s="964">
        <f>' Table Z Net Exp Profiles'!L72</f>
        <v>0</v>
      </c>
      <c r="CJ72" s="964">
        <f>' Table Z Net Exp Profiles'!M72</f>
        <v>0</v>
      </c>
      <c r="CK72" s="1242">
        <f>' Table Z Net Exp Profiles'!N72</f>
        <v>0</v>
      </c>
      <c r="CL72" s="1215">
        <f>' Table Z Net Exp Profiles'!O72</f>
        <v>0</v>
      </c>
      <c r="CM72" s="1215">
        <f>' Table Z Net Exp Profiles'!P72</f>
        <v>0</v>
      </c>
      <c r="DF72" s="2748">
        <f>'B3 - COVID-19'!A72</f>
        <v>50</v>
      </c>
      <c r="DG72" s="2845" t="str">
        <f>'B3 - COVID-19'!B72</f>
        <v>Other (only use with WG agreement &amp; state SoCNE/I line ref)</v>
      </c>
      <c r="DH72" s="1330">
        <f>'B3 - COVID-19'!C72</f>
        <v>0</v>
      </c>
      <c r="DI72" s="1330">
        <f>'B3 - COVID-19'!D72</f>
        <v>0</v>
      </c>
      <c r="DJ72" s="1330">
        <f>'B3 - COVID-19'!E72</f>
        <v>0</v>
      </c>
      <c r="DK72" s="1330">
        <f>'B3 - COVID-19'!F72</f>
        <v>0</v>
      </c>
      <c r="DL72" s="1330">
        <f>'B3 - COVID-19'!G72</f>
        <v>0</v>
      </c>
      <c r="DM72" s="1330">
        <f>'B3 - COVID-19'!H72</f>
        <v>0</v>
      </c>
      <c r="DN72" s="1330">
        <f>'B3 - COVID-19'!I72</f>
        <v>0</v>
      </c>
      <c r="DO72" s="1330">
        <f>'B3 - COVID-19'!J72</f>
        <v>0</v>
      </c>
      <c r="DP72" s="1330">
        <f>'B3 - COVID-19'!K72</f>
        <v>0</v>
      </c>
      <c r="DQ72" s="1330">
        <f>'B3 - COVID-19'!L72</f>
        <v>0</v>
      </c>
      <c r="DR72" s="1330">
        <f>'B3 - COVID-19'!M72</f>
        <v>0</v>
      </c>
      <c r="DS72" s="1330">
        <f>'B3 - COVID-19'!N72</f>
        <v>0</v>
      </c>
      <c r="DT72" s="1863">
        <f>'B3 - COVID-19'!O72</f>
        <v>0</v>
      </c>
      <c r="DU72" s="1863">
        <f>'B3 - COVID-19'!P72</f>
        <v>0</v>
      </c>
      <c r="DV72" s="608"/>
      <c r="DW72" s="1116"/>
      <c r="DY72" s="2095">
        <f>'C, C1, C2&amp; C3 - Savings Schemes'!A72</f>
        <v>20</v>
      </c>
      <c r="DZ72" s="3039"/>
      <c r="EA72" s="90" t="str">
        <f>'C, C1, C2&amp; C3 - Savings Schemes'!C72</f>
        <v>Actual/F'cast</v>
      </c>
      <c r="EB72" s="932">
        <f>'C, C1, C2&amp; C3 - Savings Schemes'!D72</f>
        <v>789.91666666666663</v>
      </c>
      <c r="EC72" s="933">
        <f>'C, C1, C2&amp; C3 - Savings Schemes'!E72</f>
        <v>56.916666666666664</v>
      </c>
      <c r="ED72" s="933">
        <f>'C, C1, C2&amp; C3 - Savings Schemes'!F72</f>
        <v>56.916666666666664</v>
      </c>
      <c r="EE72" s="933">
        <f>'C, C1, C2&amp; C3 - Savings Schemes'!G72</f>
        <v>56.916666666666664</v>
      </c>
      <c r="EF72" s="933">
        <f>'C, C1, C2&amp; C3 - Savings Schemes'!H72</f>
        <v>56.916666666666664</v>
      </c>
      <c r="EG72" s="933">
        <f>'C, C1, C2&amp; C3 - Savings Schemes'!I72</f>
        <v>56.916666666666664</v>
      </c>
      <c r="EH72" s="933">
        <f>'C, C1, C2&amp; C3 - Savings Schemes'!J72</f>
        <v>56.916666666666664</v>
      </c>
      <c r="EI72" s="933">
        <f>'C, C1, C2&amp; C3 - Savings Schemes'!K72</f>
        <v>56.916666666666664</v>
      </c>
      <c r="EJ72" s="933">
        <f>'C, C1, C2&amp; C3 - Savings Schemes'!L72</f>
        <v>56.916666666666664</v>
      </c>
      <c r="EK72" s="933">
        <f>'C, C1, C2&amp; C3 - Savings Schemes'!M72</f>
        <v>56.916666666666664</v>
      </c>
      <c r="EL72" s="933">
        <f>'C, C1, C2&amp; C3 - Savings Schemes'!N72</f>
        <v>56.916666666666664</v>
      </c>
      <c r="EM72" s="934">
        <f>'C, C1, C2&amp; C3 - Savings Schemes'!O72</f>
        <v>56.916666666666664</v>
      </c>
      <c r="EN72" s="2390">
        <f>'C, C1, C2&amp; C3 - Savings Schemes'!P72</f>
        <v>789.91666666666663</v>
      </c>
      <c r="EO72" s="940">
        <f>'C, C1, C2&amp; C3 - Savings Schemes'!Q72</f>
        <v>1416.0000000000002</v>
      </c>
      <c r="EP72" s="1930"/>
      <c r="EQ72" s="1930"/>
      <c r="ER72" s="1930"/>
      <c r="ES72" s="1930"/>
      <c r="ET72" s="1930"/>
      <c r="EU72" s="1930"/>
      <c r="EV72" s="1930"/>
      <c r="EW72" s="1930"/>
      <c r="EX72" s="1932"/>
      <c r="EY72" s="1932"/>
      <c r="EZ72" s="1932"/>
      <c r="FA72" s="1932"/>
      <c r="FB72" s="1932"/>
      <c r="FC72" s="1932"/>
      <c r="FD72" s="1932"/>
      <c r="FE72" s="1932"/>
      <c r="FF72" s="1932"/>
      <c r="FG72" s="1932"/>
      <c r="FH72" s="1932"/>
      <c r="FI72" s="1932"/>
      <c r="FJ72" s="1932"/>
      <c r="FK72" s="1932"/>
      <c r="FL72" s="1932"/>
      <c r="FM72" s="1932"/>
      <c r="FN72" s="1932"/>
      <c r="FO72" s="1932"/>
      <c r="FP72" s="1932"/>
      <c r="FQ72" s="1932"/>
      <c r="FR72" s="1932"/>
      <c r="FS72" s="1932"/>
      <c r="GF72" s="2112">
        <f>'E - Resource Limits'!A72</f>
        <v>60</v>
      </c>
      <c r="GG72" s="2113" t="str">
        <f>'E - Resource Limits'!B72</f>
        <v>Revenue Working Balances Request</v>
      </c>
      <c r="GH72" s="2114">
        <f>'E - Resource Limits'!C72</f>
        <v>0</v>
      </c>
      <c r="GI72" s="2114">
        <f>'E - Resource Limits'!D72</f>
        <v>0</v>
      </c>
      <c r="GJ72" s="2114">
        <f>'E - Resource Limits'!E72</f>
        <v>0</v>
      </c>
      <c r="GK72" s="2114">
        <f>'E - Resource Limits'!F72</f>
        <v>0</v>
      </c>
      <c r="GL72" s="2048">
        <f>'E - Resource Limits'!G72</f>
        <v>0</v>
      </c>
      <c r="GM72" s="2115">
        <f>'E - Resource Limits'!H72</f>
        <v>0</v>
      </c>
      <c r="GN72" s="2114">
        <f>'E - Resource Limits'!I72</f>
        <v>0</v>
      </c>
      <c r="GO72" s="2114">
        <f>'E - Resource Limits'!J72</f>
        <v>0</v>
      </c>
      <c r="GP72" s="2114">
        <f>'E - Resource Limits'!K72</f>
        <v>0</v>
      </c>
      <c r="GQ72" s="2116">
        <f>'E - Resource Limits'!L72</f>
        <v>0</v>
      </c>
      <c r="GR72" s="1935"/>
      <c r="GT72" s="346">
        <f>'E1 - Invoiced Income'!A72</f>
        <v>57</v>
      </c>
      <c r="GU72" s="593">
        <f>'E1 - Invoiced Income'!B72</f>
        <v>0</v>
      </c>
      <c r="GV72" s="25">
        <f>'E1 - Invoiced Income'!C72</f>
        <v>0</v>
      </c>
      <c r="GW72" s="2527">
        <f>'E1 - Invoiced Income'!D72</f>
        <v>0</v>
      </c>
      <c r="GX72" s="196">
        <f>'E1 - Invoiced Income'!E72</f>
        <v>0</v>
      </c>
      <c r="GY72" s="2527">
        <f>'E1 - Invoiced Income'!F72</f>
        <v>0</v>
      </c>
      <c r="GZ72" s="2527">
        <f>'E1 - Invoiced Income'!G72</f>
        <v>0</v>
      </c>
      <c r="HA72" s="2527">
        <f>'E1 - Invoiced Income'!H72</f>
        <v>0</v>
      </c>
      <c r="HB72" s="2527">
        <f>'E1 - Invoiced Income'!I72</f>
        <v>0</v>
      </c>
      <c r="HC72" s="71"/>
      <c r="HD72" s="71"/>
      <c r="HE72" s="71"/>
      <c r="HF72" s="71"/>
      <c r="HG72" s="71"/>
      <c r="HH72" s="71"/>
      <c r="HI72" s="71"/>
      <c r="HJ72" s="71"/>
      <c r="HK72" s="71"/>
      <c r="HL72" s="71"/>
      <c r="HM72" s="71"/>
      <c r="HO72" s="2423">
        <f>'F - SoFP'!A72</f>
        <v>44</v>
      </c>
      <c r="HP72" s="2424" t="str">
        <f>'F - SoFP'!B72</f>
        <v>Capital</v>
      </c>
      <c r="HQ72" s="2402">
        <f>'F - SoFP'!C72</f>
        <v>0</v>
      </c>
      <c r="HR72" s="2402">
        <f>'F - SoFP'!D72</f>
        <v>0</v>
      </c>
      <c r="HS72" s="2402">
        <f>'F - SoFP'!E72</f>
        <v>0</v>
      </c>
      <c r="HT72" s="1946"/>
      <c r="JD72" s="2073"/>
      <c r="JE72" s="2377"/>
      <c r="JF72" s="2098"/>
      <c r="JG72" s="2098"/>
      <c r="JH72" s="2098"/>
      <c r="JI72" s="1943"/>
      <c r="JJ72" s="2098"/>
      <c r="JK72" s="2098"/>
      <c r="JL72" s="2098"/>
      <c r="JM72" s="2060"/>
      <c r="JN72" s="759"/>
      <c r="JO72" s="2060"/>
      <c r="JQ72" s="2073">
        <f>'J - Capital In Year Schemes'!A72</f>
        <v>57</v>
      </c>
      <c r="JR72" s="2126">
        <f>'J - Capital In Year Schemes'!B72</f>
        <v>0</v>
      </c>
      <c r="JS72" s="2126">
        <f>'J - Capital In Year Schemes'!C72</f>
        <v>0</v>
      </c>
      <c r="JT72" s="2325">
        <f>'J - Capital In Year Schemes'!D72</f>
        <v>0</v>
      </c>
      <c r="JU72" s="2010">
        <f>'J - Capital In Year Schemes'!E72</f>
        <v>0</v>
      </c>
      <c r="JV72" s="2010">
        <f>'J - Capital In Year Schemes'!F72</f>
        <v>0</v>
      </c>
      <c r="JW72" s="2010">
        <f>'J - Capital In Year Schemes'!G72</f>
        <v>0</v>
      </c>
      <c r="JX72" s="2010">
        <f>'J - Capital In Year Schemes'!H72</f>
        <v>0</v>
      </c>
      <c r="JY72" s="2010">
        <f>'J - Capital In Year Schemes'!I72</f>
        <v>0</v>
      </c>
      <c r="JZ72" s="2010">
        <f>'J - Capital In Year Schemes'!J72</f>
        <v>0</v>
      </c>
      <c r="KA72" s="2010">
        <f>'J - Capital In Year Schemes'!K72</f>
        <v>0</v>
      </c>
      <c r="KB72" s="2010">
        <f>'J - Capital In Year Schemes'!L72</f>
        <v>0</v>
      </c>
      <c r="KC72" s="2010">
        <f>'J - Capital In Year Schemes'!M72</f>
        <v>0</v>
      </c>
      <c r="KD72" s="2010">
        <f>'J - Capital In Year Schemes'!N72</f>
        <v>0</v>
      </c>
      <c r="KE72" s="2010">
        <f>'J - Capital In Year Schemes'!O72</f>
        <v>0</v>
      </c>
      <c r="KF72" s="2010">
        <f>'J - Capital In Year Schemes'!P72</f>
        <v>0</v>
      </c>
      <c r="KG72" s="2010">
        <f>'J - Capital In Year Schemes'!Q72</f>
        <v>0</v>
      </c>
      <c r="KH72" s="2090">
        <f>'J - Capital In Year Schemes'!R72</f>
        <v>0</v>
      </c>
      <c r="KI72" s="2090">
        <f>'J - Capital In Year Schemes'!S72</f>
        <v>0</v>
      </c>
      <c r="KJ72" s="2091">
        <f>'J - Capital In Year Schemes'!T72</f>
        <v>0</v>
      </c>
      <c r="KK72" s="2060"/>
      <c r="LL72" s="814"/>
      <c r="LM72" s="2394">
        <f>'M - Aged Debtors'!B72</f>
        <v>0</v>
      </c>
      <c r="LN72" s="2395">
        <f>'M - Aged Debtors'!C72</f>
        <v>0</v>
      </c>
      <c r="LO72" s="2396">
        <f>'M - Aged Debtors'!D72</f>
        <v>0</v>
      </c>
      <c r="LP72" s="2397">
        <f>'M - Aged Debtors'!E72</f>
        <v>0</v>
      </c>
      <c r="LQ72" s="2398">
        <f>'M - Aged Debtors'!F72</f>
        <v>0</v>
      </c>
      <c r="LR72" s="833" t="str">
        <f>'M - Aged Debtors'!G72</f>
        <v/>
      </c>
      <c r="LS72" s="829" t="str">
        <f>'M - Aged Debtors'!H72</f>
        <v/>
      </c>
      <c r="LT72" s="829" t="str">
        <f>'M - Aged Debtors'!I72</f>
        <v/>
      </c>
      <c r="LU72" s="830" t="str">
        <f>'M - Aged Debtors'!J72</f>
        <v/>
      </c>
      <c r="LV72" s="1830">
        <f>'M - Aged Debtors'!K72</f>
        <v>0</v>
      </c>
      <c r="LX72" s="3114" t="str">
        <f>'N - GMS'!A72</f>
        <v>Chiropody</v>
      </c>
      <c r="LY72" s="3132"/>
      <c r="LZ72" s="461">
        <f>'N - GMS'!C72</f>
        <v>47</v>
      </c>
      <c r="MA72" s="67">
        <f>'N - GMS'!D72</f>
        <v>0</v>
      </c>
      <c r="MB72" s="2387">
        <f>'N - GMS'!E72</f>
        <v>0</v>
      </c>
      <c r="MC72" s="2387">
        <f>'N - GMS'!F72</f>
        <v>0</v>
      </c>
      <c r="MD72" s="463">
        <f>'N - GMS'!G72</f>
        <v>0</v>
      </c>
      <c r="ME72" s="213"/>
      <c r="MF72" s="1028">
        <f>'N - GMS'!I72</f>
        <v>0</v>
      </c>
      <c r="MR72" s="684"/>
      <c r="MS72" s="2770">
        <f>'P - Ringfenced'!B72</f>
        <v>0</v>
      </c>
      <c r="MT72" s="2703">
        <f>'P - Ringfenced'!C72</f>
        <v>0</v>
      </c>
      <c r="MU72" s="1468"/>
      <c r="MV72" s="1468"/>
      <c r="MW72" s="1468"/>
      <c r="MX72" s="1468"/>
      <c r="MY72" s="1468"/>
      <c r="MZ72" s="1468"/>
      <c r="NA72" s="1468"/>
      <c r="NB72" s="1468"/>
      <c r="NC72" s="1468"/>
      <c r="ND72" s="1468"/>
      <c r="NE72" s="1468"/>
      <c r="NF72" s="1468"/>
      <c r="NG72" s="1468"/>
      <c r="NH72" s="1468"/>
      <c r="NI72" s="1468"/>
      <c r="NJ72" s="684"/>
      <c r="NK72" s="684"/>
    </row>
    <row r="73" spans="57:376" ht="20.149999999999999" customHeight="1" thickBot="1">
      <c r="BE73" s="2065">
        <f>'B - Monthly Positions'!A72</f>
        <v>41</v>
      </c>
      <c r="BF73" s="2340" t="str">
        <f>'B - Monthly Positions'!B72</f>
        <v>Baseline Provider Depreciation</v>
      </c>
      <c r="BG73" s="1096" t="str">
        <f>'B - Monthly Positions'!C72</f>
        <v>Actual/F'cast</v>
      </c>
      <c r="BH73" s="1810">
        <f>'B - Monthly Positions'!D72</f>
        <v>283.82100000000003</v>
      </c>
      <c r="BI73" s="1789">
        <f>'B - Monthly Positions'!E72</f>
        <v>283.82100000000003</v>
      </c>
      <c r="BJ73" s="1789">
        <f>'B - Monthly Positions'!F72</f>
        <v>283.82100000000003</v>
      </c>
      <c r="BK73" s="1789">
        <f>'B - Monthly Positions'!G72</f>
        <v>283.82100000000003</v>
      </c>
      <c r="BL73" s="1789">
        <f>'B - Monthly Positions'!H72</f>
        <v>283.82100000000003</v>
      </c>
      <c r="BM73" s="1789">
        <f>'B - Monthly Positions'!I72</f>
        <v>283.82100000000003</v>
      </c>
      <c r="BN73" s="1789">
        <f>'B - Monthly Positions'!J72</f>
        <v>283.82100000000003</v>
      </c>
      <c r="BO73" s="1789">
        <f>'B - Monthly Positions'!K72</f>
        <v>283.82100000000003</v>
      </c>
      <c r="BP73" s="1789">
        <f>'B - Monthly Positions'!L72</f>
        <v>283.82100000000003</v>
      </c>
      <c r="BQ73" s="1789">
        <f>'B - Monthly Positions'!M72</f>
        <v>283.82100000000003</v>
      </c>
      <c r="BR73" s="1789">
        <f>'B - Monthly Positions'!N72</f>
        <v>283.82100000000003</v>
      </c>
      <c r="BS73" s="1839">
        <f>'B - Monthly Positions'!O72</f>
        <v>283.82100000000003</v>
      </c>
      <c r="BT73" s="74">
        <f>'B - Monthly Positions'!P72</f>
        <v>283.82100000000003</v>
      </c>
      <c r="BU73" s="938">
        <f>'B - Monthly Positions'!Q72</f>
        <v>3405.8519999999994</v>
      </c>
      <c r="BV73" s="1930"/>
      <c r="BW73" s="1930"/>
      <c r="BX73" s="88">
        <f>' Table Z Net Exp Profiles'!A73</f>
        <v>50</v>
      </c>
      <c r="BY73" s="1275" t="str">
        <f>' Table Z Net Exp Profiles'!B73</f>
        <v>Gross Secondary Care Drugs - Actual/Forecast</v>
      </c>
      <c r="BZ73" s="1216">
        <f>' Table Z Net Exp Profiles'!C73</f>
        <v>0</v>
      </c>
      <c r="CA73" s="892">
        <f>' Table Z Net Exp Profiles'!D73</f>
        <v>0</v>
      </c>
      <c r="CB73" s="892">
        <f>' Table Z Net Exp Profiles'!E73</f>
        <v>0</v>
      </c>
      <c r="CC73" s="892">
        <f>' Table Z Net Exp Profiles'!F73</f>
        <v>0</v>
      </c>
      <c r="CD73" s="892">
        <f>' Table Z Net Exp Profiles'!G73</f>
        <v>0</v>
      </c>
      <c r="CE73" s="892">
        <f>' Table Z Net Exp Profiles'!H73</f>
        <v>0</v>
      </c>
      <c r="CF73" s="892">
        <f>' Table Z Net Exp Profiles'!I73</f>
        <v>0</v>
      </c>
      <c r="CG73" s="892">
        <f>' Table Z Net Exp Profiles'!J73</f>
        <v>0</v>
      </c>
      <c r="CH73" s="892">
        <f>' Table Z Net Exp Profiles'!K73</f>
        <v>0</v>
      </c>
      <c r="CI73" s="892">
        <f>' Table Z Net Exp Profiles'!L73</f>
        <v>0</v>
      </c>
      <c r="CJ73" s="892">
        <f>' Table Z Net Exp Profiles'!M73</f>
        <v>0</v>
      </c>
      <c r="CK73" s="1247">
        <f>' Table Z Net Exp Profiles'!N73</f>
        <v>0</v>
      </c>
      <c r="CL73" s="1215">
        <f>' Table Z Net Exp Profiles'!O73</f>
        <v>0</v>
      </c>
      <c r="CM73" s="1215">
        <f>' Table Z Net Exp Profiles'!P73</f>
        <v>0</v>
      </c>
      <c r="DF73" s="2748">
        <f>'B3 - COVID-19'!A73</f>
        <v>51</v>
      </c>
      <c r="DG73" s="2845">
        <f>'B3 - COVID-19'!B73</f>
        <v>0</v>
      </c>
      <c r="DH73" s="1330">
        <f>'B3 - COVID-19'!C73</f>
        <v>0</v>
      </c>
      <c r="DI73" s="1330">
        <f>'B3 - COVID-19'!D73</f>
        <v>0</v>
      </c>
      <c r="DJ73" s="1330">
        <f>'B3 - COVID-19'!E73</f>
        <v>0</v>
      </c>
      <c r="DK73" s="1330">
        <f>'B3 - COVID-19'!F73</f>
        <v>0</v>
      </c>
      <c r="DL73" s="1330">
        <f>'B3 - COVID-19'!G73</f>
        <v>0</v>
      </c>
      <c r="DM73" s="1330">
        <f>'B3 - COVID-19'!H73</f>
        <v>0</v>
      </c>
      <c r="DN73" s="1330">
        <f>'B3 - COVID-19'!I73</f>
        <v>0</v>
      </c>
      <c r="DO73" s="1330">
        <f>'B3 - COVID-19'!J73</f>
        <v>0</v>
      </c>
      <c r="DP73" s="1330">
        <f>'B3 - COVID-19'!K73</f>
        <v>0</v>
      </c>
      <c r="DQ73" s="1330">
        <f>'B3 - COVID-19'!L73</f>
        <v>0</v>
      </c>
      <c r="DR73" s="1330">
        <f>'B3 - COVID-19'!M73</f>
        <v>0</v>
      </c>
      <c r="DS73" s="1330">
        <f>'B3 - COVID-19'!N73</f>
        <v>0</v>
      </c>
      <c r="DT73" s="1863">
        <f>'B3 - COVID-19'!O73</f>
        <v>0</v>
      </c>
      <c r="DU73" s="1863">
        <f>'B3 - COVID-19'!P73</f>
        <v>0</v>
      </c>
      <c r="DV73" s="608"/>
      <c r="DW73" s="1116"/>
      <c r="DY73" s="2208">
        <f>'C, C1, C2&amp; C3 - Savings Schemes'!A73</f>
        <v>21</v>
      </c>
      <c r="DZ73" s="3040"/>
      <c r="EA73" s="92" t="str">
        <f>'C, C1, C2&amp; C3 - Savings Schemes'!C73</f>
        <v>Variance</v>
      </c>
      <c r="EB73" s="1180">
        <f>'C, C1, C2&amp; C3 - Savings Schemes'!D73</f>
        <v>0</v>
      </c>
      <c r="EC73" s="1181">
        <f>'C, C1, C2&amp; C3 - Savings Schemes'!E73</f>
        <v>0</v>
      </c>
      <c r="ED73" s="1181">
        <f>'C, C1, C2&amp; C3 - Savings Schemes'!F73</f>
        <v>0</v>
      </c>
      <c r="EE73" s="1181">
        <f>'C, C1, C2&amp; C3 - Savings Schemes'!G73</f>
        <v>0</v>
      </c>
      <c r="EF73" s="1181">
        <f>'C, C1, C2&amp; C3 - Savings Schemes'!H73</f>
        <v>0</v>
      </c>
      <c r="EG73" s="1181">
        <f>'C, C1, C2&amp; C3 - Savings Schemes'!I73</f>
        <v>0</v>
      </c>
      <c r="EH73" s="1181">
        <f>'C, C1, C2&amp; C3 - Savings Schemes'!J73</f>
        <v>0</v>
      </c>
      <c r="EI73" s="1181">
        <f>'C, C1, C2&amp; C3 - Savings Schemes'!K73</f>
        <v>0</v>
      </c>
      <c r="EJ73" s="1181">
        <f>'C, C1, C2&amp; C3 - Savings Schemes'!L73</f>
        <v>0</v>
      </c>
      <c r="EK73" s="1181">
        <f>'C, C1, C2&amp; C3 - Savings Schemes'!M73</f>
        <v>0</v>
      </c>
      <c r="EL73" s="1181">
        <f>'C, C1, C2&amp; C3 - Savings Schemes'!N73</f>
        <v>0</v>
      </c>
      <c r="EM73" s="1182">
        <f>'C, C1, C2&amp; C3 - Savings Schemes'!O73</f>
        <v>0</v>
      </c>
      <c r="EN73" s="123">
        <f>'C, C1, C2&amp; C3 - Savings Schemes'!P73</f>
        <v>0</v>
      </c>
      <c r="EO73" s="939">
        <f>'C, C1, C2&amp; C3 - Savings Schemes'!Q73</f>
        <v>0</v>
      </c>
      <c r="EP73" s="1930"/>
      <c r="EQ73" s="1930"/>
      <c r="ER73" s="1930"/>
      <c r="ES73" s="1930"/>
      <c r="ET73" s="1930"/>
      <c r="EU73" s="1930"/>
      <c r="EV73" s="1930"/>
      <c r="EW73" s="1930"/>
      <c r="EX73" s="1932"/>
      <c r="EY73" s="1932"/>
      <c r="EZ73" s="1932"/>
      <c r="FA73" s="1932"/>
      <c r="FB73" s="1932"/>
      <c r="FC73" s="1932"/>
      <c r="FD73" s="1932"/>
      <c r="FE73" s="1932"/>
      <c r="FF73" s="1932"/>
      <c r="FG73" s="1932"/>
      <c r="FH73" s="1932"/>
      <c r="FI73" s="1932"/>
      <c r="FJ73" s="1932"/>
      <c r="FK73" s="1932"/>
      <c r="FL73" s="1932"/>
      <c r="FM73" s="1932"/>
      <c r="FN73" s="1932"/>
      <c r="FO73" s="1932"/>
      <c r="FP73" s="1932"/>
      <c r="FQ73" s="1932"/>
      <c r="FR73" s="1932"/>
      <c r="FS73" s="1932"/>
      <c r="GF73" s="2112">
        <f>'E - Resource Limits'!A73</f>
        <v>61</v>
      </c>
      <c r="GG73" s="2113" t="str">
        <f>'E - Resource Limits'!B73</f>
        <v>Capital Working Balances Request</v>
      </c>
      <c r="GH73" s="2114">
        <f>'E - Resource Limits'!C73</f>
        <v>0</v>
      </c>
      <c r="GI73" s="2114">
        <f>'E - Resource Limits'!D73</f>
        <v>0</v>
      </c>
      <c r="GJ73" s="2114">
        <f>'E - Resource Limits'!E73</f>
        <v>0</v>
      </c>
      <c r="GK73" s="2114">
        <f>'E - Resource Limits'!F73</f>
        <v>0</v>
      </c>
      <c r="GL73" s="2048">
        <f>'E - Resource Limits'!G73</f>
        <v>0</v>
      </c>
      <c r="GM73" s="2115">
        <f>'E - Resource Limits'!H73</f>
        <v>0</v>
      </c>
      <c r="GN73" s="2114">
        <f>'E - Resource Limits'!I73</f>
        <v>0</v>
      </c>
      <c r="GO73" s="2114">
        <f>'E - Resource Limits'!J73</f>
        <v>0</v>
      </c>
      <c r="GP73" s="2114">
        <f>'E - Resource Limits'!K73</f>
        <v>0</v>
      </c>
      <c r="GQ73" s="2116">
        <f>'E - Resource Limits'!L73</f>
        <v>0</v>
      </c>
      <c r="GR73" s="1935">
        <f t="shared" si="6"/>
        <v>0</v>
      </c>
      <c r="GT73" s="346">
        <f>'E1 - Invoiced Income'!A73</f>
        <v>58</v>
      </c>
      <c r="GU73" s="593">
        <f>'E1 - Invoiced Income'!B73</f>
        <v>0</v>
      </c>
      <c r="GV73" s="25">
        <f>'E1 - Invoiced Income'!C73</f>
        <v>0</v>
      </c>
      <c r="GW73" s="2527">
        <f>'E1 - Invoiced Income'!D73</f>
        <v>0</v>
      </c>
      <c r="GX73" s="196">
        <f>'E1 - Invoiced Income'!E73</f>
        <v>0</v>
      </c>
      <c r="GY73" s="2527">
        <f>'E1 - Invoiced Income'!F73</f>
        <v>0</v>
      </c>
      <c r="GZ73" s="2527">
        <f>'E1 - Invoiced Income'!G73</f>
        <v>0</v>
      </c>
      <c r="HA73" s="2527">
        <f>'E1 - Invoiced Income'!H73</f>
        <v>0</v>
      </c>
      <c r="HB73" s="2527">
        <f>'E1 - Invoiced Income'!I73</f>
        <v>0</v>
      </c>
      <c r="HC73" s="71"/>
      <c r="HD73" s="71"/>
      <c r="HE73" s="71"/>
      <c r="HF73" s="71"/>
      <c r="HG73" s="71"/>
      <c r="HH73" s="71"/>
      <c r="HI73" s="71"/>
      <c r="HJ73" s="71"/>
      <c r="HK73" s="71"/>
      <c r="HL73" s="71"/>
      <c r="HM73" s="71"/>
      <c r="HO73" s="2427">
        <f>'F - SoFP'!A73</f>
        <v>45</v>
      </c>
      <c r="HP73" s="2428" t="str">
        <f>'F - SoFP'!B73</f>
        <v>Revenue</v>
      </c>
      <c r="HQ73" s="2418">
        <f>'F - SoFP'!C73</f>
        <v>0</v>
      </c>
      <c r="HR73" s="2418">
        <f>'F - SoFP'!D73</f>
        <v>0</v>
      </c>
      <c r="HS73" s="2418">
        <f>'F - SoFP'!E73</f>
        <v>0</v>
      </c>
      <c r="HT73" s="1946"/>
      <c r="JD73" s="2088">
        <f>'I - Capital RLM'!A73</f>
        <v>49</v>
      </c>
      <c r="JE73" s="2126">
        <f>'I - Capital RLM'!B73</f>
        <v>0</v>
      </c>
      <c r="JF73" s="2010">
        <f>'I - Capital RLM'!C73</f>
        <v>0</v>
      </c>
      <c r="JG73" s="2010">
        <f>'I - Capital RLM'!D73</f>
        <v>0</v>
      </c>
      <c r="JH73" s="2118">
        <f>'I - Capital RLM'!E73</f>
        <v>0</v>
      </c>
      <c r="JI73" s="1943">
        <f>'I - Capital RLM'!F73</f>
        <v>0</v>
      </c>
      <c r="JJ73" s="2010">
        <f>'I - Capital RLM'!G73</f>
        <v>0</v>
      </c>
      <c r="JK73" s="2010">
        <f>'I - Capital RLM'!H73</f>
        <v>0</v>
      </c>
      <c r="JL73" s="2118">
        <f>'I - Capital RLM'!I73</f>
        <v>0</v>
      </c>
      <c r="JM73" s="2060"/>
      <c r="JN73" s="1889">
        <f>'I - Capital RLM'!K73</f>
        <v>0</v>
      </c>
      <c r="JO73" s="2060">
        <f t="shared" ref="JO73:JO92" si="20">IF(AND(JK73&gt;0,JE73=""),1,0)</f>
        <v>0</v>
      </c>
      <c r="JQ73" s="2088">
        <f>'J - Capital In Year Schemes'!A73</f>
        <v>58</v>
      </c>
      <c r="JR73" s="2126">
        <f>'J - Capital In Year Schemes'!B73</f>
        <v>0</v>
      </c>
      <c r="JS73" s="2126">
        <f>'J - Capital In Year Schemes'!C73</f>
        <v>0</v>
      </c>
      <c r="JT73" s="2325">
        <f>'J - Capital In Year Schemes'!D73</f>
        <v>0</v>
      </c>
      <c r="JU73" s="2010">
        <f>'J - Capital In Year Schemes'!E73</f>
        <v>0</v>
      </c>
      <c r="JV73" s="2010">
        <f>'J - Capital In Year Schemes'!F73</f>
        <v>0</v>
      </c>
      <c r="JW73" s="2010">
        <f>'J - Capital In Year Schemes'!G73</f>
        <v>0</v>
      </c>
      <c r="JX73" s="2010">
        <f>'J - Capital In Year Schemes'!H73</f>
        <v>0</v>
      </c>
      <c r="JY73" s="2010">
        <f>'J - Capital In Year Schemes'!I73</f>
        <v>0</v>
      </c>
      <c r="JZ73" s="2010">
        <f>'J - Capital In Year Schemes'!J73</f>
        <v>0</v>
      </c>
      <c r="KA73" s="2010">
        <f>'J - Capital In Year Schemes'!K73</f>
        <v>0</v>
      </c>
      <c r="KB73" s="2010">
        <f>'J - Capital In Year Schemes'!L73</f>
        <v>0</v>
      </c>
      <c r="KC73" s="2010">
        <f>'J - Capital In Year Schemes'!M73</f>
        <v>0</v>
      </c>
      <c r="KD73" s="2010">
        <f>'J - Capital In Year Schemes'!N73</f>
        <v>0</v>
      </c>
      <c r="KE73" s="2010">
        <f>'J - Capital In Year Schemes'!O73</f>
        <v>0</v>
      </c>
      <c r="KF73" s="2010">
        <f>'J - Capital In Year Schemes'!P73</f>
        <v>0</v>
      </c>
      <c r="KG73" s="2010">
        <f>'J - Capital In Year Schemes'!Q73</f>
        <v>0</v>
      </c>
      <c r="KH73" s="2090">
        <f>'J - Capital In Year Schemes'!R73</f>
        <v>0</v>
      </c>
      <c r="KI73" s="2090">
        <f>'J - Capital In Year Schemes'!S73</f>
        <v>0</v>
      </c>
      <c r="KJ73" s="2091">
        <f>'J - Capital In Year Schemes'!T73</f>
        <v>0</v>
      </c>
      <c r="KK73" s="2060"/>
      <c r="LL73" s="814"/>
      <c r="LM73" s="2394">
        <f>'M - Aged Debtors'!B73</f>
        <v>0</v>
      </c>
      <c r="LN73" s="2395">
        <f>'M - Aged Debtors'!C73</f>
        <v>0</v>
      </c>
      <c r="LO73" s="2396">
        <f>'M - Aged Debtors'!D73</f>
        <v>0</v>
      </c>
      <c r="LP73" s="2397">
        <f>'M - Aged Debtors'!E73</f>
        <v>0</v>
      </c>
      <c r="LQ73" s="2398">
        <f>'M - Aged Debtors'!F73</f>
        <v>0</v>
      </c>
      <c r="LR73" s="832" t="str">
        <f>'M - Aged Debtors'!G73</f>
        <v/>
      </c>
      <c r="LS73" s="829" t="str">
        <f>'M - Aged Debtors'!H73</f>
        <v/>
      </c>
      <c r="LT73" s="829" t="str">
        <f>'M - Aged Debtors'!I73</f>
        <v/>
      </c>
      <c r="LU73" s="830" t="str">
        <f>'M - Aged Debtors'!J73</f>
        <v/>
      </c>
      <c r="LV73" s="1830">
        <f>'M - Aged Debtors'!K73</f>
        <v>0</v>
      </c>
      <c r="LX73" s="3114" t="str">
        <f>'N - GMS'!A73</f>
        <v>Counselling</v>
      </c>
      <c r="LY73" s="3131"/>
      <c r="LZ73" s="461">
        <f>'N - GMS'!C73</f>
        <v>48</v>
      </c>
      <c r="MA73" s="67">
        <f>'N - GMS'!D73</f>
        <v>0</v>
      </c>
      <c r="MB73" s="2387">
        <f>'N - GMS'!E73</f>
        <v>0</v>
      </c>
      <c r="MC73" s="2387">
        <f>'N - GMS'!F73</f>
        <v>0</v>
      </c>
      <c r="MD73" s="463">
        <f>'N - GMS'!G73</f>
        <v>0</v>
      </c>
      <c r="ME73" s="213"/>
      <c r="MF73" s="1028">
        <f>'N - GMS'!I73</f>
        <v>0</v>
      </c>
      <c r="MR73" s="684"/>
      <c r="MS73" s="2769">
        <f>'P - Ringfenced'!B73</f>
        <v>0</v>
      </c>
      <c r="MT73" s="2703">
        <f>'P - Ringfenced'!C73</f>
        <v>0</v>
      </c>
      <c r="MU73" s="1468"/>
      <c r="MV73" s="1468"/>
      <c r="MW73" s="1468"/>
      <c r="MX73" s="1468"/>
      <c r="MY73" s="1468"/>
      <c r="MZ73" s="1468"/>
      <c r="NA73" s="1468"/>
      <c r="NB73" s="1468"/>
      <c r="NC73" s="1468"/>
      <c r="ND73" s="1468"/>
      <c r="NE73" s="1468"/>
      <c r="NF73" s="1468"/>
      <c r="NG73" s="1468"/>
      <c r="NH73" s="1468"/>
      <c r="NI73" s="1468"/>
      <c r="NJ73" s="684"/>
      <c r="NK73" s="684"/>
    </row>
    <row r="74" spans="57:376" ht="20.149999999999999" customHeight="1" thickBot="1">
      <c r="BE74" s="2065">
        <f>'B - Monthly Positions'!A73</f>
        <v>42</v>
      </c>
      <c r="BF74" s="2344" t="str">
        <f>'B - Monthly Positions'!B73</f>
        <v>Strategic Depreciation</v>
      </c>
      <c r="BG74" s="93" t="str">
        <f>'B - Monthly Positions'!C73</f>
        <v>Actual/F'cast</v>
      </c>
      <c r="BH74" s="1782">
        <f>'B - Monthly Positions'!D73</f>
        <v>0</v>
      </c>
      <c r="BI74" s="1783">
        <f>'B - Monthly Positions'!E73</f>
        <v>0</v>
      </c>
      <c r="BJ74" s="1783">
        <f>'B - Monthly Positions'!F73</f>
        <v>0</v>
      </c>
      <c r="BK74" s="1783">
        <f>'B - Monthly Positions'!G73</f>
        <v>0</v>
      </c>
      <c r="BL74" s="1783">
        <f>'B - Monthly Positions'!H73</f>
        <v>0</v>
      </c>
      <c r="BM74" s="1783">
        <f>'B - Monthly Positions'!I73</f>
        <v>0</v>
      </c>
      <c r="BN74" s="1783">
        <f>'B - Monthly Positions'!J73</f>
        <v>0</v>
      </c>
      <c r="BO74" s="1783">
        <f>'B - Monthly Positions'!K73</f>
        <v>0</v>
      </c>
      <c r="BP74" s="1783">
        <f>'B - Monthly Positions'!L73</f>
        <v>0</v>
      </c>
      <c r="BQ74" s="1783">
        <f>'B - Monthly Positions'!M73</f>
        <v>0</v>
      </c>
      <c r="BR74" s="1783">
        <f>'B - Monthly Positions'!N73</f>
        <v>0</v>
      </c>
      <c r="BS74" s="1786">
        <f>'B - Monthly Positions'!O73</f>
        <v>0</v>
      </c>
      <c r="BT74" s="74">
        <f>'B - Monthly Positions'!P73</f>
        <v>0</v>
      </c>
      <c r="BU74" s="1067">
        <f>'B - Monthly Positions'!Q73</f>
        <v>0</v>
      </c>
      <c r="BV74" s="1930"/>
      <c r="BW74" s="1930"/>
      <c r="BX74" s="88">
        <f>' Table Z Net Exp Profiles'!A74</f>
        <v>51</v>
      </c>
      <c r="BY74" s="1275" t="str">
        <f>' Table Z Net Exp Profiles'!B74</f>
        <v xml:space="preserve">Additional Drugs Costs due to Covid-19 - Actual/Forecast </v>
      </c>
      <c r="BZ74" s="1216">
        <f>' Table Z Net Exp Profiles'!C74</f>
        <v>0</v>
      </c>
      <c r="CA74" s="892">
        <f>' Table Z Net Exp Profiles'!D74</f>
        <v>0</v>
      </c>
      <c r="CB74" s="892">
        <f>' Table Z Net Exp Profiles'!E74</f>
        <v>0</v>
      </c>
      <c r="CC74" s="892">
        <f>' Table Z Net Exp Profiles'!F74</f>
        <v>0</v>
      </c>
      <c r="CD74" s="892">
        <f>' Table Z Net Exp Profiles'!G74</f>
        <v>0</v>
      </c>
      <c r="CE74" s="892">
        <f>' Table Z Net Exp Profiles'!H74</f>
        <v>0</v>
      </c>
      <c r="CF74" s="892">
        <f>' Table Z Net Exp Profiles'!I74</f>
        <v>0</v>
      </c>
      <c r="CG74" s="892">
        <f>' Table Z Net Exp Profiles'!J74</f>
        <v>0</v>
      </c>
      <c r="CH74" s="892">
        <f>' Table Z Net Exp Profiles'!K74</f>
        <v>0</v>
      </c>
      <c r="CI74" s="892">
        <f>' Table Z Net Exp Profiles'!L74</f>
        <v>0</v>
      </c>
      <c r="CJ74" s="892">
        <f>' Table Z Net Exp Profiles'!M74</f>
        <v>0</v>
      </c>
      <c r="CK74" s="1247">
        <f>' Table Z Net Exp Profiles'!N74</f>
        <v>0</v>
      </c>
      <c r="CL74" s="1215">
        <f>' Table Z Net Exp Profiles'!O74</f>
        <v>0</v>
      </c>
      <c r="CM74" s="1215">
        <f>' Table Z Net Exp Profiles'!P74</f>
        <v>0</v>
      </c>
      <c r="DF74" s="2748">
        <f>'B3 - COVID-19'!A74</f>
        <v>52</v>
      </c>
      <c r="DG74" s="2845">
        <f>'B3 - COVID-19'!B74</f>
        <v>0</v>
      </c>
      <c r="DH74" s="1330">
        <f>'B3 - COVID-19'!C74</f>
        <v>0</v>
      </c>
      <c r="DI74" s="1330">
        <f>'B3 - COVID-19'!D74</f>
        <v>0</v>
      </c>
      <c r="DJ74" s="1330">
        <f>'B3 - COVID-19'!E74</f>
        <v>0</v>
      </c>
      <c r="DK74" s="1330">
        <f>'B3 - COVID-19'!F74</f>
        <v>0</v>
      </c>
      <c r="DL74" s="1330">
        <f>'B3 - COVID-19'!G74</f>
        <v>0</v>
      </c>
      <c r="DM74" s="1330">
        <f>'B3 - COVID-19'!H74</f>
        <v>0</v>
      </c>
      <c r="DN74" s="1330">
        <f>'B3 - COVID-19'!I74</f>
        <v>0</v>
      </c>
      <c r="DO74" s="1330">
        <f>'B3 - COVID-19'!J74</f>
        <v>0</v>
      </c>
      <c r="DP74" s="1330">
        <f>'B3 - COVID-19'!K74</f>
        <v>0</v>
      </c>
      <c r="DQ74" s="1330">
        <f>'B3 - COVID-19'!L74</f>
        <v>0</v>
      </c>
      <c r="DR74" s="1330">
        <f>'B3 - COVID-19'!M74</f>
        <v>0</v>
      </c>
      <c r="DS74" s="1330">
        <f>'B3 - COVID-19'!N74</f>
        <v>0</v>
      </c>
      <c r="DT74" s="1863">
        <f>'B3 - COVID-19'!O74</f>
        <v>0</v>
      </c>
      <c r="DU74" s="1863">
        <f>'B3 - COVID-19'!P74</f>
        <v>0</v>
      </c>
      <c r="DV74" s="608"/>
      <c r="DW74" s="1116"/>
      <c r="DY74" s="80"/>
      <c r="DZ74" s="80"/>
      <c r="EA74" s="80"/>
      <c r="EB74" s="99"/>
      <c r="EC74" s="99"/>
      <c r="ED74" s="99"/>
      <c r="EE74" s="99"/>
      <c r="EF74" s="99"/>
      <c r="EG74" s="100"/>
      <c r="EH74" s="99"/>
      <c r="EI74" s="99"/>
      <c r="EJ74" s="99"/>
      <c r="EK74" s="99"/>
      <c r="EL74" s="99"/>
      <c r="EM74" s="99"/>
      <c r="EN74" s="99"/>
      <c r="EO74" s="137"/>
      <c r="EP74" s="1930"/>
      <c r="EQ74" s="1930"/>
      <c r="ER74" s="1930"/>
      <c r="ES74" s="1930"/>
      <c r="ET74" s="1930"/>
      <c r="EU74" s="1930"/>
      <c r="EV74" s="1930"/>
      <c r="EW74" s="1930"/>
      <c r="EX74" s="1932"/>
      <c r="EY74" s="1932"/>
      <c r="EZ74" s="1932"/>
      <c r="FA74" s="1932"/>
      <c r="FB74" s="1932"/>
      <c r="FC74" s="1932"/>
      <c r="FD74" s="1932"/>
      <c r="FE74" s="1932"/>
      <c r="FF74" s="1932"/>
      <c r="FG74" s="1932"/>
      <c r="FH74" s="1932"/>
      <c r="FI74" s="1932"/>
      <c r="FJ74" s="1932"/>
      <c r="FK74" s="1932"/>
      <c r="FL74" s="1932"/>
      <c r="FM74" s="1932"/>
      <c r="FN74" s="1932"/>
      <c r="FO74" s="1932"/>
      <c r="FP74" s="1932"/>
      <c r="FQ74" s="1932"/>
      <c r="FR74" s="1932"/>
      <c r="FS74" s="1932"/>
      <c r="GF74" s="2112">
        <f>'E - Resource Limits'!A74</f>
        <v>62</v>
      </c>
      <c r="GG74" s="2113" t="str">
        <f>'E - Resource Limits'!B74</f>
        <v>Capital IFRS16 Leases Working Balances Request</v>
      </c>
      <c r="GH74" s="2114">
        <f>'E - Resource Limits'!C74</f>
        <v>0</v>
      </c>
      <c r="GI74" s="2114">
        <f>'E - Resource Limits'!D74</f>
        <v>0</v>
      </c>
      <c r="GJ74" s="2114">
        <f>'E - Resource Limits'!E74</f>
        <v>0</v>
      </c>
      <c r="GK74" s="2114">
        <f>'E - Resource Limits'!F74</f>
        <v>0</v>
      </c>
      <c r="GL74" s="2048">
        <f>'E - Resource Limits'!G74</f>
        <v>0</v>
      </c>
      <c r="GM74" s="2115">
        <f>'E - Resource Limits'!H74</f>
        <v>0</v>
      </c>
      <c r="GN74" s="2114">
        <f>'E - Resource Limits'!I74</f>
        <v>0</v>
      </c>
      <c r="GO74" s="2114">
        <f>'E - Resource Limits'!J74</f>
        <v>0</v>
      </c>
      <c r="GP74" s="2114">
        <f>'E - Resource Limits'!K74</f>
        <v>0</v>
      </c>
      <c r="GQ74" s="2116">
        <f>'E - Resource Limits'!L74</f>
        <v>0</v>
      </c>
      <c r="GR74" s="1935">
        <f t="shared" si="6"/>
        <v>0</v>
      </c>
      <c r="GT74" s="346">
        <f>'E1 - Invoiced Income'!A74</f>
        <v>59</v>
      </c>
      <c r="GU74" s="593">
        <f>'E1 - Invoiced Income'!B74</f>
        <v>0</v>
      </c>
      <c r="GV74" s="25">
        <f>'E1 - Invoiced Income'!C74</f>
        <v>0</v>
      </c>
      <c r="GW74" s="2527">
        <f>'E1 - Invoiced Income'!D74</f>
        <v>0</v>
      </c>
      <c r="GX74" s="196">
        <f>'E1 - Invoiced Income'!E74</f>
        <v>0</v>
      </c>
      <c r="GY74" s="2527">
        <f>'E1 - Invoiced Income'!F74</f>
        <v>0</v>
      </c>
      <c r="GZ74" s="2527">
        <f>'E1 - Invoiced Income'!G74</f>
        <v>0</v>
      </c>
      <c r="HA74" s="2527">
        <f>'E1 - Invoiced Income'!H74</f>
        <v>0</v>
      </c>
      <c r="HB74" s="2527">
        <f>'E1 - Invoiced Income'!I74</f>
        <v>0</v>
      </c>
      <c r="HC74" s="71"/>
      <c r="HD74" s="71"/>
      <c r="HE74" s="71"/>
      <c r="HF74" s="71"/>
      <c r="HG74" s="71"/>
      <c r="HH74" s="71"/>
      <c r="HI74" s="71"/>
      <c r="HJ74" s="71"/>
      <c r="HK74" s="71"/>
      <c r="HL74" s="71"/>
      <c r="HM74" s="71"/>
      <c r="HO74" s="1745"/>
      <c r="HP74" s="1745"/>
      <c r="HQ74" s="1745"/>
      <c r="HR74" s="1745"/>
      <c r="HS74" s="1946"/>
      <c r="HT74" s="1946"/>
      <c r="JD74" s="2073">
        <f>'I - Capital RLM'!A74</f>
        <v>50</v>
      </c>
      <c r="JE74" s="2126">
        <f>'I - Capital RLM'!B74</f>
        <v>0</v>
      </c>
      <c r="JF74" s="2010">
        <f>'I - Capital RLM'!C74</f>
        <v>0</v>
      </c>
      <c r="JG74" s="2010">
        <f>'I - Capital RLM'!D74</f>
        <v>0</v>
      </c>
      <c r="JH74" s="2118">
        <f>'I - Capital RLM'!E74</f>
        <v>0</v>
      </c>
      <c r="JI74" s="1943">
        <f>'I - Capital RLM'!F74</f>
        <v>0</v>
      </c>
      <c r="JJ74" s="2010">
        <f>'I - Capital RLM'!G74</f>
        <v>0</v>
      </c>
      <c r="JK74" s="2010">
        <f>'I - Capital RLM'!H74</f>
        <v>0</v>
      </c>
      <c r="JL74" s="2118">
        <f>'I - Capital RLM'!I74</f>
        <v>0</v>
      </c>
      <c r="JM74" s="2060"/>
      <c r="JN74" s="1890">
        <f>'I - Capital RLM'!K74</f>
        <v>0</v>
      </c>
      <c r="JO74" s="2060">
        <f t="shared" si="20"/>
        <v>0</v>
      </c>
      <c r="JQ74" s="2073">
        <f>'J - Capital In Year Schemes'!A74</f>
        <v>59</v>
      </c>
      <c r="JR74" s="2126">
        <f>'J - Capital In Year Schemes'!B74</f>
        <v>0</v>
      </c>
      <c r="JS74" s="2126">
        <f>'J - Capital In Year Schemes'!C74</f>
        <v>0</v>
      </c>
      <c r="JT74" s="2325">
        <f>'J - Capital In Year Schemes'!D74</f>
        <v>0</v>
      </c>
      <c r="JU74" s="2010">
        <f>'J - Capital In Year Schemes'!E74</f>
        <v>0</v>
      </c>
      <c r="JV74" s="2010">
        <f>'J - Capital In Year Schemes'!F74</f>
        <v>0</v>
      </c>
      <c r="JW74" s="2010">
        <f>'J - Capital In Year Schemes'!G74</f>
        <v>0</v>
      </c>
      <c r="JX74" s="2010">
        <f>'J - Capital In Year Schemes'!H74</f>
        <v>0</v>
      </c>
      <c r="JY74" s="2010">
        <f>'J - Capital In Year Schemes'!I74</f>
        <v>0</v>
      </c>
      <c r="JZ74" s="2010">
        <f>'J - Capital In Year Schemes'!J74</f>
        <v>0</v>
      </c>
      <c r="KA74" s="2010">
        <f>'J - Capital In Year Schemes'!K74</f>
        <v>0</v>
      </c>
      <c r="KB74" s="2010">
        <f>'J - Capital In Year Schemes'!L74</f>
        <v>0</v>
      </c>
      <c r="KC74" s="2010">
        <f>'J - Capital In Year Schemes'!M74</f>
        <v>0</v>
      </c>
      <c r="KD74" s="2010">
        <f>'J - Capital In Year Schemes'!N74</f>
        <v>0</v>
      </c>
      <c r="KE74" s="2010">
        <f>'J - Capital In Year Schemes'!O74</f>
        <v>0</v>
      </c>
      <c r="KF74" s="2010">
        <f>'J - Capital In Year Schemes'!P74</f>
        <v>0</v>
      </c>
      <c r="KG74" s="2010">
        <f>'J - Capital In Year Schemes'!Q74</f>
        <v>0</v>
      </c>
      <c r="KH74" s="2090">
        <f>'J - Capital In Year Schemes'!R74</f>
        <v>0</v>
      </c>
      <c r="KI74" s="2090">
        <f>'J - Capital In Year Schemes'!S74</f>
        <v>0</v>
      </c>
      <c r="KJ74" s="2091">
        <f>'J - Capital In Year Schemes'!T74</f>
        <v>0</v>
      </c>
      <c r="KK74" s="2060"/>
      <c r="LL74" s="814"/>
      <c r="LM74" s="2394">
        <f>'M - Aged Debtors'!B74</f>
        <v>0</v>
      </c>
      <c r="LN74" s="2395">
        <f>'M - Aged Debtors'!C74</f>
        <v>0</v>
      </c>
      <c r="LO74" s="2396">
        <f>'M - Aged Debtors'!D74</f>
        <v>0</v>
      </c>
      <c r="LP74" s="2397">
        <f>'M - Aged Debtors'!E74</f>
        <v>0</v>
      </c>
      <c r="LQ74" s="2398">
        <f>'M - Aged Debtors'!F74</f>
        <v>0</v>
      </c>
      <c r="LR74" s="832" t="str">
        <f>'M - Aged Debtors'!G74</f>
        <v/>
      </c>
      <c r="LS74" s="829" t="str">
        <f>'M - Aged Debtors'!H74</f>
        <v/>
      </c>
      <c r="LT74" s="829" t="str">
        <f>'M - Aged Debtors'!I74</f>
        <v/>
      </c>
      <c r="LU74" s="830" t="str">
        <f>'M - Aged Debtors'!J74</f>
        <v/>
      </c>
      <c r="LV74" s="1830">
        <f>'M - Aged Debtors'!K74</f>
        <v>0</v>
      </c>
      <c r="LX74" s="3114" t="str">
        <f>'N - GMS'!A74</f>
        <v>Depo - Provera (including Implanon &amp; Nexplanon)</v>
      </c>
      <c r="LY74" s="3131"/>
      <c r="LZ74" s="461">
        <f>'N - GMS'!C74</f>
        <v>49</v>
      </c>
      <c r="MA74" s="219">
        <f>'N - GMS'!D74</f>
        <v>0</v>
      </c>
      <c r="MB74" s="2387">
        <f>'N - GMS'!E74</f>
        <v>0</v>
      </c>
      <c r="MC74" s="2387">
        <f>'N - GMS'!F74</f>
        <v>0</v>
      </c>
      <c r="MD74" s="463">
        <f>'N - GMS'!G74</f>
        <v>0</v>
      </c>
      <c r="ME74" s="213"/>
      <c r="MF74" s="1028">
        <f>'N - GMS'!I74</f>
        <v>0</v>
      </c>
      <c r="MR74" s="684"/>
      <c r="MS74" s="2771">
        <f>'P - Ringfenced'!B74</f>
        <v>0</v>
      </c>
      <c r="MT74" s="2703">
        <f>'P - Ringfenced'!C74</f>
        <v>0</v>
      </c>
      <c r="MU74" s="1468"/>
      <c r="MV74" s="1468"/>
      <c r="MW74" s="1468"/>
      <c r="MX74" s="1468"/>
      <c r="MY74" s="1468"/>
      <c r="MZ74" s="1468"/>
      <c r="NA74" s="1468"/>
      <c r="NB74" s="1468"/>
      <c r="NC74" s="1468"/>
      <c r="ND74" s="1468"/>
      <c r="NE74" s="1468"/>
      <c r="NF74" s="1468"/>
      <c r="NG74" s="1468"/>
      <c r="NH74" s="1468"/>
      <c r="NI74" s="1468"/>
      <c r="NJ74" s="684"/>
      <c r="NK74" s="684"/>
    </row>
    <row r="75" spans="57:376" ht="20.149999999999999" customHeight="1" thickBot="1">
      <c r="BE75" s="2065">
        <f>'B - Monthly Positions'!A74</f>
        <v>43</v>
      </c>
      <c r="BF75" s="2344" t="str">
        <f>'B - Monthly Positions'!B74</f>
        <v>Accelerated Depreciation</v>
      </c>
      <c r="BG75" s="2215" t="str">
        <f>'B - Monthly Positions'!C74</f>
        <v>Actual/F'cast</v>
      </c>
      <c r="BH75" s="1800">
        <f>'B - Monthly Positions'!D74</f>
        <v>0</v>
      </c>
      <c r="BI75" s="1801">
        <f>'B - Monthly Positions'!E74</f>
        <v>0</v>
      </c>
      <c r="BJ75" s="1801">
        <f>'B - Monthly Positions'!F74</f>
        <v>0</v>
      </c>
      <c r="BK75" s="1801">
        <f>'B - Monthly Positions'!G74</f>
        <v>0</v>
      </c>
      <c r="BL75" s="1801">
        <f>'B - Monthly Positions'!H74</f>
        <v>0</v>
      </c>
      <c r="BM75" s="1801">
        <f>'B - Monthly Positions'!I74</f>
        <v>0</v>
      </c>
      <c r="BN75" s="1801">
        <f>'B - Monthly Positions'!J74</f>
        <v>0</v>
      </c>
      <c r="BO75" s="1801">
        <f>'B - Monthly Positions'!K74</f>
        <v>0</v>
      </c>
      <c r="BP75" s="1801">
        <f>'B - Monthly Positions'!L74</f>
        <v>0</v>
      </c>
      <c r="BQ75" s="1801">
        <f>'B - Monthly Positions'!M74</f>
        <v>0</v>
      </c>
      <c r="BR75" s="1801">
        <f>'B - Monthly Positions'!N74</f>
        <v>0</v>
      </c>
      <c r="BS75" s="2349">
        <f>'B - Monthly Positions'!O74</f>
        <v>0</v>
      </c>
      <c r="BT75" s="1073">
        <f>'B - Monthly Positions'!P74</f>
        <v>0</v>
      </c>
      <c r="BU75" s="1067">
        <f>'B - Monthly Positions'!Q74</f>
        <v>0</v>
      </c>
      <c r="BV75" s="1930"/>
      <c r="BW75" s="1930"/>
      <c r="BX75" s="91">
        <f>' Table Z Net Exp Profiles'!A75</f>
        <v>52</v>
      </c>
      <c r="BY75" s="1276" t="str">
        <f>' Table Z Net Exp Profiles'!B75</f>
        <v>Committed Reserves - Drugs - Forecast</v>
      </c>
      <c r="BZ75" s="1243">
        <f>' Table Z Net Exp Profiles'!C75</f>
        <v>0</v>
      </c>
      <c r="CA75" s="965">
        <f>' Table Z Net Exp Profiles'!D75</f>
        <v>0</v>
      </c>
      <c r="CB75" s="965">
        <f>' Table Z Net Exp Profiles'!E75</f>
        <v>0</v>
      </c>
      <c r="CC75" s="965">
        <f>' Table Z Net Exp Profiles'!F75</f>
        <v>0</v>
      </c>
      <c r="CD75" s="965">
        <f>' Table Z Net Exp Profiles'!G75</f>
        <v>0</v>
      </c>
      <c r="CE75" s="965">
        <f>' Table Z Net Exp Profiles'!H75</f>
        <v>0</v>
      </c>
      <c r="CF75" s="965">
        <f>' Table Z Net Exp Profiles'!I75</f>
        <v>0</v>
      </c>
      <c r="CG75" s="965">
        <f>' Table Z Net Exp Profiles'!J75</f>
        <v>0</v>
      </c>
      <c r="CH75" s="965">
        <f>' Table Z Net Exp Profiles'!K75</f>
        <v>0</v>
      </c>
      <c r="CI75" s="965">
        <f>' Table Z Net Exp Profiles'!L75</f>
        <v>0</v>
      </c>
      <c r="CJ75" s="965">
        <f>' Table Z Net Exp Profiles'!M75</f>
        <v>0</v>
      </c>
      <c r="CK75" s="1244">
        <f>' Table Z Net Exp Profiles'!N75</f>
        <v>0</v>
      </c>
      <c r="CL75" s="1215">
        <f>' Table Z Net Exp Profiles'!O75</f>
        <v>0</v>
      </c>
      <c r="CM75" s="1215">
        <f>' Table Z Net Exp Profiles'!P75</f>
        <v>0</v>
      </c>
      <c r="DF75" s="2846">
        <f>'B3 - COVID-19'!A75</f>
        <v>53</v>
      </c>
      <c r="DG75" s="2847">
        <f>'B3 - COVID-19'!B75</f>
        <v>0</v>
      </c>
      <c r="DH75" s="2848">
        <f>'B3 - COVID-19'!C75</f>
        <v>0</v>
      </c>
      <c r="DI75" s="2848">
        <f>'B3 - COVID-19'!D75</f>
        <v>0</v>
      </c>
      <c r="DJ75" s="2848">
        <f>'B3 - COVID-19'!E75</f>
        <v>0</v>
      </c>
      <c r="DK75" s="2848">
        <f>'B3 - COVID-19'!F75</f>
        <v>0</v>
      </c>
      <c r="DL75" s="2848">
        <f>'B3 - COVID-19'!G75</f>
        <v>0</v>
      </c>
      <c r="DM75" s="2848">
        <f>'B3 - COVID-19'!H75</f>
        <v>0</v>
      </c>
      <c r="DN75" s="2848">
        <f>'B3 - COVID-19'!I75</f>
        <v>0</v>
      </c>
      <c r="DO75" s="2848">
        <f>'B3 - COVID-19'!J75</f>
        <v>0</v>
      </c>
      <c r="DP75" s="2848">
        <f>'B3 - COVID-19'!K75</f>
        <v>0</v>
      </c>
      <c r="DQ75" s="2848">
        <f>'B3 - COVID-19'!L75</f>
        <v>0</v>
      </c>
      <c r="DR75" s="2848">
        <f>'B3 - COVID-19'!M75</f>
        <v>0</v>
      </c>
      <c r="DS75" s="2848">
        <f>'B3 - COVID-19'!N75</f>
        <v>0</v>
      </c>
      <c r="DT75" s="2516">
        <f>'B3 - COVID-19'!O75</f>
        <v>0</v>
      </c>
      <c r="DU75" s="2516">
        <f>'B3 - COVID-19'!P75</f>
        <v>0</v>
      </c>
      <c r="DV75" s="608"/>
      <c r="DW75" s="1116"/>
      <c r="DY75" s="80"/>
      <c r="DZ75" s="80"/>
      <c r="EA75" s="80"/>
      <c r="EB75" s="99"/>
      <c r="EC75" s="99"/>
      <c r="ED75" s="99"/>
      <c r="EE75" s="99"/>
      <c r="EF75" s="99"/>
      <c r="EG75" s="100"/>
      <c r="EH75" s="99"/>
      <c r="EI75" s="99"/>
      <c r="EJ75" s="99"/>
      <c r="EK75" s="99"/>
      <c r="EL75" s="99"/>
      <c r="EM75" s="99"/>
      <c r="EN75" s="99"/>
      <c r="EO75" s="137"/>
      <c r="EP75" s="1930"/>
      <c r="EQ75" s="1930"/>
      <c r="ER75" s="1930"/>
      <c r="ES75" s="1930"/>
      <c r="ET75" s="1930"/>
      <c r="EU75" s="1930"/>
      <c r="EV75" s="1930"/>
      <c r="EW75" s="1930"/>
      <c r="EX75" s="1932"/>
      <c r="EY75" s="1932"/>
      <c r="EZ75" s="1932"/>
      <c r="FA75" s="1932"/>
      <c r="FB75" s="1932"/>
      <c r="FC75" s="1932"/>
      <c r="FD75" s="1932"/>
      <c r="FE75" s="1932"/>
      <c r="FF75" s="1932"/>
      <c r="FG75" s="1932"/>
      <c r="FH75" s="1932"/>
      <c r="FI75" s="1932"/>
      <c r="FJ75" s="1932"/>
      <c r="FK75" s="1932"/>
      <c r="FL75" s="1932"/>
      <c r="FM75" s="1932"/>
      <c r="FN75" s="1932"/>
      <c r="FO75" s="1932"/>
      <c r="FP75" s="1932"/>
      <c r="FQ75" s="1932"/>
      <c r="FR75" s="1932"/>
      <c r="FS75" s="1932"/>
      <c r="GF75" s="2112">
        <f>'E - Resource Limits'!A75</f>
        <v>63</v>
      </c>
      <c r="GG75" s="2405" t="str">
        <f>'E - Resource Limits'!B75</f>
        <v>Total Anticipated Funding</v>
      </c>
      <c r="GH75" s="2406">
        <f>'E - Resource Limits'!C75</f>
        <v>0</v>
      </c>
      <c r="GI75" s="2406">
        <f>'E - Resource Limits'!D75</f>
        <v>0</v>
      </c>
      <c r="GJ75" s="2406">
        <f>'E - Resource Limits'!E75</f>
        <v>0</v>
      </c>
      <c r="GK75" s="2406">
        <f>'E - Resource Limits'!F75</f>
        <v>0</v>
      </c>
      <c r="GL75" s="2406">
        <f>'E - Resource Limits'!G75</f>
        <v>0</v>
      </c>
      <c r="GM75" s="2407"/>
      <c r="GN75" s="2406">
        <f>'E - Resource Limits'!I75</f>
        <v>0</v>
      </c>
      <c r="GO75" s="2406">
        <f>'E - Resource Limits'!J75</f>
        <v>0</v>
      </c>
      <c r="GP75" s="2408">
        <f>'E - Resource Limits'!K75</f>
        <v>0</v>
      </c>
      <c r="GQ75" s="2097"/>
      <c r="GR75" s="1935">
        <f>SUM(GR15:GR74)</f>
        <v>0</v>
      </c>
      <c r="GT75" s="346">
        <f>'E1 - Invoiced Income'!A75</f>
        <v>60</v>
      </c>
      <c r="GU75" s="593">
        <f>'E1 - Invoiced Income'!B75</f>
        <v>0</v>
      </c>
      <c r="GV75" s="25">
        <f>'E1 - Invoiced Income'!C75</f>
        <v>0</v>
      </c>
      <c r="GW75" s="2527">
        <f>'E1 - Invoiced Income'!D75</f>
        <v>0</v>
      </c>
      <c r="GX75" s="196">
        <f>'E1 - Invoiced Income'!E75</f>
        <v>0</v>
      </c>
      <c r="GY75" s="2527">
        <f>'E1 - Invoiced Income'!F75</f>
        <v>0</v>
      </c>
      <c r="GZ75" s="2527">
        <f>'E1 - Invoiced Income'!G75</f>
        <v>0</v>
      </c>
      <c r="HA75" s="2527">
        <f>'E1 - Invoiced Income'!H75</f>
        <v>0</v>
      </c>
      <c r="HB75" s="2527">
        <f>'E1 - Invoiced Income'!I75</f>
        <v>0</v>
      </c>
      <c r="HC75" s="71"/>
      <c r="HD75" s="71"/>
      <c r="HE75" s="71"/>
      <c r="HF75" s="71"/>
      <c r="HG75" s="71"/>
      <c r="HH75" s="71"/>
      <c r="HI75" s="71"/>
      <c r="HJ75" s="71"/>
      <c r="HK75" s="71"/>
      <c r="HL75" s="71"/>
      <c r="HM75" s="71"/>
      <c r="HO75" s="1745"/>
      <c r="HP75" s="1940" t="str">
        <f>'F - SoFP'!B75</f>
        <v>ANALYSIS OF CASH  (opening, current &amp; closing)</v>
      </c>
      <c r="HQ75" s="2399" t="str">
        <f>'F - SoFP'!C75</f>
        <v>£'000</v>
      </c>
      <c r="HR75" s="2399" t="str">
        <f>'F - SoFP'!D75</f>
        <v>£'000</v>
      </c>
      <c r="HS75" s="2399" t="str">
        <f>'F - SoFP'!E75</f>
        <v>£'000</v>
      </c>
      <c r="HT75" s="1946"/>
      <c r="JD75" s="2088">
        <f>'I - Capital RLM'!A75</f>
        <v>51</v>
      </c>
      <c r="JE75" s="2126">
        <f>'I - Capital RLM'!B75</f>
        <v>0</v>
      </c>
      <c r="JF75" s="2010">
        <f>'I - Capital RLM'!C75</f>
        <v>0</v>
      </c>
      <c r="JG75" s="2010">
        <f>'I - Capital RLM'!D75</f>
        <v>0</v>
      </c>
      <c r="JH75" s="2118">
        <f>'I - Capital RLM'!E75</f>
        <v>0</v>
      </c>
      <c r="JI75" s="1943">
        <f>'I - Capital RLM'!F75</f>
        <v>0</v>
      </c>
      <c r="JJ75" s="2010">
        <f>'I - Capital RLM'!G75</f>
        <v>0</v>
      </c>
      <c r="JK75" s="2010">
        <f>'I - Capital RLM'!H75</f>
        <v>0</v>
      </c>
      <c r="JL75" s="2118">
        <f>'I - Capital RLM'!I75</f>
        <v>0</v>
      </c>
      <c r="JM75" s="2060"/>
      <c r="JN75" s="1890">
        <f>'I - Capital RLM'!K75</f>
        <v>0</v>
      </c>
      <c r="JO75" s="2060">
        <f t="shared" si="20"/>
        <v>0</v>
      </c>
      <c r="JQ75" s="2088">
        <f>'J - Capital In Year Schemes'!A75</f>
        <v>60</v>
      </c>
      <c r="JR75" s="2334">
        <f>'J - Capital In Year Schemes'!B75</f>
        <v>0</v>
      </c>
      <c r="JS75" s="2334">
        <f>'J - Capital In Year Schemes'!C75</f>
        <v>0</v>
      </c>
      <c r="JT75" s="2335">
        <f>'J - Capital In Year Schemes'!D75</f>
        <v>0</v>
      </c>
      <c r="JU75" s="2052">
        <f>'J - Capital In Year Schemes'!E75</f>
        <v>0</v>
      </c>
      <c r="JV75" s="2052">
        <f>'J - Capital In Year Schemes'!F75</f>
        <v>0</v>
      </c>
      <c r="JW75" s="2052">
        <f>'J - Capital In Year Schemes'!G75</f>
        <v>0</v>
      </c>
      <c r="JX75" s="2052">
        <f>'J - Capital In Year Schemes'!H75</f>
        <v>0</v>
      </c>
      <c r="JY75" s="2052">
        <f>'J - Capital In Year Schemes'!I75</f>
        <v>0</v>
      </c>
      <c r="JZ75" s="2052">
        <f>'J - Capital In Year Schemes'!J75</f>
        <v>0</v>
      </c>
      <c r="KA75" s="2052">
        <f>'J - Capital In Year Schemes'!K75</f>
        <v>0</v>
      </c>
      <c r="KB75" s="2052">
        <f>'J - Capital In Year Schemes'!L75</f>
        <v>0</v>
      </c>
      <c r="KC75" s="2052">
        <f>'J - Capital In Year Schemes'!M75</f>
        <v>0</v>
      </c>
      <c r="KD75" s="2052">
        <f>'J - Capital In Year Schemes'!N75</f>
        <v>0</v>
      </c>
      <c r="KE75" s="2052">
        <f>'J - Capital In Year Schemes'!O75</f>
        <v>0</v>
      </c>
      <c r="KF75" s="2052">
        <f>'J - Capital In Year Schemes'!P75</f>
        <v>0</v>
      </c>
      <c r="KG75" s="2052">
        <f>'J - Capital In Year Schemes'!Q75</f>
        <v>0</v>
      </c>
      <c r="KH75" s="2075">
        <f>'J - Capital In Year Schemes'!R75</f>
        <v>0</v>
      </c>
      <c r="KI75" s="2075">
        <f>'J - Capital In Year Schemes'!S75</f>
        <v>0</v>
      </c>
      <c r="KJ75" s="2076">
        <f>'J - Capital In Year Schemes'!T75</f>
        <v>0</v>
      </c>
      <c r="KK75" s="2060"/>
      <c r="LL75" s="814"/>
      <c r="LM75" s="2394">
        <f>'M - Aged Debtors'!B75</f>
        <v>0</v>
      </c>
      <c r="LN75" s="2395">
        <f>'M - Aged Debtors'!C75</f>
        <v>0</v>
      </c>
      <c r="LO75" s="2396">
        <f>'M - Aged Debtors'!D75</f>
        <v>0</v>
      </c>
      <c r="LP75" s="2397">
        <f>'M - Aged Debtors'!E75</f>
        <v>0</v>
      </c>
      <c r="LQ75" s="2398">
        <f>'M - Aged Debtors'!F75</f>
        <v>0</v>
      </c>
      <c r="LR75" s="832" t="str">
        <f>'M - Aged Debtors'!G75</f>
        <v/>
      </c>
      <c r="LS75" s="829" t="str">
        <f>'M - Aged Debtors'!H75</f>
        <v/>
      </c>
      <c r="LT75" s="829" t="str">
        <f>'M - Aged Debtors'!I75</f>
        <v/>
      </c>
      <c r="LU75" s="830" t="str">
        <f>'M - Aged Debtors'!J75</f>
        <v/>
      </c>
      <c r="LV75" s="1830">
        <f>'M - Aged Debtors'!K75</f>
        <v>0</v>
      </c>
      <c r="LX75" s="3114" t="str">
        <f>'N - GMS'!A75</f>
        <v>Dermatology</v>
      </c>
      <c r="LY75" s="3131"/>
      <c r="LZ75" s="461">
        <f>'N - GMS'!C75</f>
        <v>50</v>
      </c>
      <c r="MA75" s="2386">
        <f>'N - GMS'!D75</f>
        <v>0</v>
      </c>
      <c r="MB75" s="2387">
        <f>'N - GMS'!E75</f>
        <v>0</v>
      </c>
      <c r="MC75" s="2387">
        <f>'N - GMS'!F75</f>
        <v>0</v>
      </c>
      <c r="MD75" s="463">
        <f>'N - GMS'!G75</f>
        <v>0</v>
      </c>
      <c r="ME75" s="213"/>
      <c r="MF75" s="1028">
        <f>'N - GMS'!I75</f>
        <v>0</v>
      </c>
      <c r="MR75" s="684"/>
      <c r="MS75" s="2771">
        <f>'P - Ringfenced'!B75</f>
        <v>0</v>
      </c>
      <c r="MT75" s="2703">
        <f>'P - Ringfenced'!C75</f>
        <v>0</v>
      </c>
      <c r="MU75" s="1468"/>
      <c r="MV75" s="1468"/>
      <c r="MW75" s="1468"/>
      <c r="MX75" s="1468"/>
      <c r="MY75" s="1468"/>
      <c r="MZ75" s="1468"/>
      <c r="NA75" s="1468"/>
      <c r="NB75" s="1468"/>
      <c r="NC75" s="1468"/>
      <c r="ND75" s="1468"/>
      <c r="NE75" s="1468"/>
      <c r="NF75" s="1468"/>
      <c r="NG75" s="1468"/>
      <c r="NH75" s="1468"/>
      <c r="NI75" s="1468"/>
      <c r="NJ75" s="684"/>
      <c r="NK75" s="684"/>
    </row>
    <row r="76" spans="57:376" ht="20.149999999999999" customHeight="1" thickBot="1">
      <c r="BE76" s="2065">
        <f>'B - Monthly Positions'!A75</f>
        <v>44</v>
      </c>
      <c r="BF76" s="2344" t="str">
        <f>'B - Monthly Positions'!B75</f>
        <v>Impairments</v>
      </c>
      <c r="BG76" s="2215" t="str">
        <f>'B - Monthly Positions'!C75</f>
        <v>Actual/F'cast</v>
      </c>
      <c r="BH76" s="1800">
        <f>'B - Monthly Positions'!D75</f>
        <v>0</v>
      </c>
      <c r="BI76" s="1801">
        <f>'B - Monthly Positions'!E75</f>
        <v>0</v>
      </c>
      <c r="BJ76" s="1801">
        <f>'B - Monthly Positions'!F75</f>
        <v>0</v>
      </c>
      <c r="BK76" s="1801">
        <f>'B - Monthly Positions'!G75</f>
        <v>0</v>
      </c>
      <c r="BL76" s="1801">
        <f>'B - Monthly Positions'!H75</f>
        <v>0</v>
      </c>
      <c r="BM76" s="1801">
        <f>'B - Monthly Positions'!I75</f>
        <v>0</v>
      </c>
      <c r="BN76" s="1801">
        <f>'B - Monthly Positions'!J75</f>
        <v>0</v>
      </c>
      <c r="BO76" s="1801">
        <f>'B - Monthly Positions'!K75</f>
        <v>0</v>
      </c>
      <c r="BP76" s="1801">
        <f>'B - Monthly Positions'!L75</f>
        <v>0</v>
      </c>
      <c r="BQ76" s="1801">
        <f>'B - Monthly Positions'!M75</f>
        <v>0</v>
      </c>
      <c r="BR76" s="1801">
        <f>'B - Monthly Positions'!N75</f>
        <v>0</v>
      </c>
      <c r="BS76" s="2349">
        <f>'B - Monthly Positions'!O75</f>
        <v>0</v>
      </c>
      <c r="BT76" s="1073">
        <f>'B - Monthly Positions'!P75</f>
        <v>0</v>
      </c>
      <c r="BU76" s="1067">
        <f>'B - Monthly Positions'!Q75</f>
        <v>0</v>
      </c>
      <c r="BV76" s="1930"/>
      <c r="BW76" s="1930"/>
      <c r="BX76" s="1696">
        <f>' Table Z Net Exp Profiles'!A76</f>
        <v>53</v>
      </c>
      <c r="BY76" s="1277" t="str">
        <f>' Table Z Net Exp Profiles'!B76</f>
        <v>Total Drugs Expenditure - Actual/Forecast</v>
      </c>
      <c r="BZ76" s="1218">
        <f>' Table Z Net Exp Profiles'!C76</f>
        <v>0</v>
      </c>
      <c r="CA76" s="1219">
        <f>' Table Z Net Exp Profiles'!D76</f>
        <v>0</v>
      </c>
      <c r="CB76" s="1219">
        <f>' Table Z Net Exp Profiles'!E76</f>
        <v>0</v>
      </c>
      <c r="CC76" s="1219">
        <f>' Table Z Net Exp Profiles'!F76</f>
        <v>0</v>
      </c>
      <c r="CD76" s="1219">
        <f>' Table Z Net Exp Profiles'!G76</f>
        <v>0</v>
      </c>
      <c r="CE76" s="1219">
        <f>' Table Z Net Exp Profiles'!H76</f>
        <v>0</v>
      </c>
      <c r="CF76" s="1219">
        <f>' Table Z Net Exp Profiles'!I76</f>
        <v>0</v>
      </c>
      <c r="CG76" s="1219">
        <f>' Table Z Net Exp Profiles'!J76</f>
        <v>0</v>
      </c>
      <c r="CH76" s="1219">
        <f>' Table Z Net Exp Profiles'!K76</f>
        <v>0</v>
      </c>
      <c r="CI76" s="1219">
        <f>' Table Z Net Exp Profiles'!L76</f>
        <v>0</v>
      </c>
      <c r="CJ76" s="1219">
        <f>' Table Z Net Exp Profiles'!M76</f>
        <v>0</v>
      </c>
      <c r="CK76" s="1362">
        <f>' Table Z Net Exp Profiles'!N76</f>
        <v>0</v>
      </c>
      <c r="CL76" s="1363">
        <f>' Table Z Net Exp Profiles'!O76</f>
        <v>0</v>
      </c>
      <c r="CM76" s="1101">
        <f>' Table Z Net Exp Profiles'!P76</f>
        <v>0</v>
      </c>
      <c r="DF76" s="1910">
        <f>'B3 - COVID-19'!A76</f>
        <v>54</v>
      </c>
      <c r="DG76" s="2821" t="str">
        <f>'B3 - COVID-19'!B76</f>
        <v>Sub total COVID-19 Vaccination (Immunisation) Programme Non Pay</v>
      </c>
      <c r="DH76" s="1907">
        <f>'B3 - COVID-19'!C76</f>
        <v>7.27536</v>
      </c>
      <c r="DI76" s="1907">
        <f>'B3 - COVID-19'!D76</f>
        <v>18.18181818181818</v>
      </c>
      <c r="DJ76" s="1907">
        <f>'B3 - COVID-19'!E76</f>
        <v>43.18181818181818</v>
      </c>
      <c r="DK76" s="1907">
        <f>'B3 - COVID-19'!F76</f>
        <v>43.18181818181818</v>
      </c>
      <c r="DL76" s="1907">
        <f>'B3 - COVID-19'!G76</f>
        <v>43.18181818181818</v>
      </c>
      <c r="DM76" s="1907">
        <f>'B3 - COVID-19'!H76</f>
        <v>103.18181818181817</v>
      </c>
      <c r="DN76" s="1907">
        <f>'B3 - COVID-19'!I76</f>
        <v>90.681818181818173</v>
      </c>
      <c r="DO76" s="1907">
        <f>'B3 - COVID-19'!J76</f>
        <v>30.68181818181818</v>
      </c>
      <c r="DP76" s="1907">
        <f>'B3 - COVID-19'!K76</f>
        <v>30.68181818181818</v>
      </c>
      <c r="DQ76" s="1907">
        <f>'B3 - COVID-19'!L76</f>
        <v>30.68181818181818</v>
      </c>
      <c r="DR76" s="1907">
        <f>'B3 - COVID-19'!M76</f>
        <v>82.532923181818191</v>
      </c>
      <c r="DS76" s="1907">
        <f>'B3 - COVID-19'!N76</f>
        <v>82.532923181818191</v>
      </c>
      <c r="DT76" s="1907">
        <f>'B3 - COVID-19'!O76</f>
        <v>7.27536</v>
      </c>
      <c r="DU76" s="1907">
        <f>'B3 - COVID-19'!P76</f>
        <v>605.97757000000001</v>
      </c>
      <c r="DV76" s="608"/>
      <c r="DW76" s="1116"/>
      <c r="DY76" s="80"/>
      <c r="DZ76" s="70" t="str">
        <f>'C, C1, C2&amp; C3 - Savings Schemes'!B76</f>
        <v>Table C2- Savings Schemes Agency/Locum Paid at a Premium Analysis</v>
      </c>
      <c r="EA76" s="608"/>
      <c r="EB76" s="918"/>
      <c r="EC76" s="918"/>
      <c r="ED76" s="918"/>
      <c r="EE76" s="918"/>
      <c r="EF76" s="918"/>
      <c r="EG76" s="919"/>
      <c r="EH76" s="918" t="s">
        <v>289</v>
      </c>
      <c r="EI76" s="918"/>
      <c r="EJ76" s="918"/>
      <c r="EK76" s="918"/>
      <c r="EL76" s="918"/>
      <c r="EM76" s="918"/>
      <c r="EN76" s="918"/>
      <c r="EO76" s="920"/>
      <c r="EP76" s="1930"/>
      <c r="EQ76" s="1930"/>
      <c r="ER76" s="1930"/>
      <c r="ES76" s="1930"/>
      <c r="ET76" s="1930"/>
      <c r="EU76" s="1930"/>
      <c r="EV76" s="1930"/>
      <c r="EW76" s="1930"/>
      <c r="EX76" s="1932"/>
      <c r="EY76" s="1932"/>
      <c r="EZ76" s="1932"/>
      <c r="FA76" s="1932"/>
      <c r="FB76" s="1932"/>
      <c r="FC76" s="1932"/>
      <c r="FD76" s="1932"/>
      <c r="FE76" s="1932"/>
      <c r="FF76" s="1932"/>
      <c r="FG76" s="1932"/>
      <c r="FH76" s="1932"/>
      <c r="FI76" s="1932"/>
      <c r="FJ76" s="1932"/>
      <c r="FK76" s="1932"/>
      <c r="FL76" s="1932"/>
      <c r="FM76" s="1932"/>
      <c r="FN76" s="1932"/>
      <c r="FO76" s="1932"/>
      <c r="FP76" s="1932"/>
      <c r="FQ76" s="1932"/>
      <c r="FR76" s="1932"/>
      <c r="FS76" s="1932"/>
      <c r="GF76" s="2415"/>
      <c r="GG76" s="1745"/>
      <c r="GH76" s="2097"/>
      <c r="GI76" s="2097"/>
      <c r="GJ76" s="2097"/>
      <c r="GK76" s="2097"/>
      <c r="GL76" s="2097"/>
      <c r="GM76" s="2416"/>
      <c r="GN76" s="2097"/>
      <c r="GO76" s="2097"/>
      <c r="GP76" s="2097"/>
      <c r="GQ76" s="2097"/>
      <c r="GR76" s="1935"/>
      <c r="GT76" s="346">
        <f>'E1 - Invoiced Income'!A76</f>
        <v>61</v>
      </c>
      <c r="GU76" s="593">
        <f>'E1 - Invoiced Income'!B76</f>
        <v>0</v>
      </c>
      <c r="GV76" s="25">
        <f>'E1 - Invoiced Income'!C76</f>
        <v>0</v>
      </c>
      <c r="GW76" s="2527">
        <f>'E1 - Invoiced Income'!D76</f>
        <v>0</v>
      </c>
      <c r="GX76" s="196">
        <f>'E1 - Invoiced Income'!E76</f>
        <v>0</v>
      </c>
      <c r="GY76" s="2527">
        <f>'E1 - Invoiced Income'!F76</f>
        <v>0</v>
      </c>
      <c r="GZ76" s="2527">
        <f>'E1 - Invoiced Income'!G76</f>
        <v>0</v>
      </c>
      <c r="HA76" s="2527">
        <f>'E1 - Invoiced Income'!H76</f>
        <v>0</v>
      </c>
      <c r="HB76" s="2527">
        <f>'E1 - Invoiced Income'!I76</f>
        <v>0</v>
      </c>
      <c r="HC76" s="71"/>
      <c r="HD76" s="71"/>
      <c r="HE76" s="71"/>
      <c r="HF76" s="71"/>
      <c r="HG76" s="71"/>
      <c r="HH76" s="71"/>
      <c r="HI76" s="71"/>
      <c r="HJ76" s="71"/>
      <c r="HK76" s="71"/>
      <c r="HL76" s="71"/>
      <c r="HM76" s="71"/>
      <c r="HO76" s="2423">
        <f>'F - SoFP'!A76</f>
        <v>46</v>
      </c>
      <c r="HP76" s="2424" t="str">
        <f>'F - SoFP'!B76</f>
        <v>Capital</v>
      </c>
      <c r="HQ76" s="2402">
        <f>'F - SoFP'!C76</f>
        <v>0</v>
      </c>
      <c r="HR76" s="2402">
        <f>'F - SoFP'!D76</f>
        <v>0</v>
      </c>
      <c r="HS76" s="2402">
        <f>'F - SoFP'!E76</f>
        <v>0</v>
      </c>
      <c r="HT76" s="1946"/>
      <c r="JD76" s="2073">
        <f>'I - Capital RLM'!A76</f>
        <v>52</v>
      </c>
      <c r="JE76" s="2126">
        <f>'I - Capital RLM'!B76</f>
        <v>0</v>
      </c>
      <c r="JF76" s="2010">
        <f>'I - Capital RLM'!C76</f>
        <v>0</v>
      </c>
      <c r="JG76" s="2010">
        <f>'I - Capital RLM'!D76</f>
        <v>0</v>
      </c>
      <c r="JH76" s="2118">
        <f>'I - Capital RLM'!E76</f>
        <v>0</v>
      </c>
      <c r="JI76" s="1943">
        <f>'I - Capital RLM'!F76</f>
        <v>0</v>
      </c>
      <c r="JJ76" s="2010">
        <f>'I - Capital RLM'!G76</f>
        <v>0</v>
      </c>
      <c r="JK76" s="2010">
        <f>'I - Capital RLM'!H76</f>
        <v>0</v>
      </c>
      <c r="JL76" s="2118">
        <f>'I - Capital RLM'!I76</f>
        <v>0</v>
      </c>
      <c r="JM76" s="2060"/>
      <c r="JN76" s="1890">
        <f>'I - Capital RLM'!K76</f>
        <v>0</v>
      </c>
      <c r="JO76" s="2060">
        <f t="shared" si="20"/>
        <v>0</v>
      </c>
      <c r="JQ76" s="2301">
        <f>'J - Capital In Year Schemes'!A76</f>
        <v>61</v>
      </c>
      <c r="JR76" s="2327" t="str">
        <f>'J - Capital In Year Schemes'!B76</f>
        <v>Sub Total</v>
      </c>
      <c r="JS76" s="2327">
        <f>'J - Capital In Year Schemes'!C76</f>
        <v>0</v>
      </c>
      <c r="JT76" s="2037">
        <f>'J - Capital In Year Schemes'!D76</f>
        <v>0</v>
      </c>
      <c r="JU76" s="2037">
        <f>'J - Capital In Year Schemes'!E76</f>
        <v>0</v>
      </c>
      <c r="JV76" s="2037">
        <f>'J - Capital In Year Schemes'!F76</f>
        <v>0</v>
      </c>
      <c r="JW76" s="2037">
        <f>'J - Capital In Year Schemes'!G76</f>
        <v>0</v>
      </c>
      <c r="JX76" s="2037">
        <f>'J - Capital In Year Schemes'!H76</f>
        <v>0</v>
      </c>
      <c r="JY76" s="2037">
        <f>'J - Capital In Year Schemes'!I76</f>
        <v>0</v>
      </c>
      <c r="JZ76" s="2037">
        <f>'J - Capital In Year Schemes'!J76</f>
        <v>0</v>
      </c>
      <c r="KA76" s="2037">
        <f>'J - Capital In Year Schemes'!K76</f>
        <v>0</v>
      </c>
      <c r="KB76" s="2037">
        <f>'J - Capital In Year Schemes'!L76</f>
        <v>0</v>
      </c>
      <c r="KC76" s="2037">
        <f>'J - Capital In Year Schemes'!M76</f>
        <v>0</v>
      </c>
      <c r="KD76" s="2037">
        <f>'J - Capital In Year Schemes'!N76</f>
        <v>0</v>
      </c>
      <c r="KE76" s="2037">
        <f>'J - Capital In Year Schemes'!O76</f>
        <v>0</v>
      </c>
      <c r="KF76" s="2037">
        <f>'J - Capital In Year Schemes'!P76</f>
        <v>0</v>
      </c>
      <c r="KG76" s="2037">
        <f>'J - Capital In Year Schemes'!Q76</f>
        <v>0</v>
      </c>
      <c r="KH76" s="2037">
        <f>'J - Capital In Year Schemes'!R76</f>
        <v>0</v>
      </c>
      <c r="KI76" s="2037">
        <f>'J - Capital In Year Schemes'!S76</f>
        <v>0</v>
      </c>
      <c r="KJ76" s="2339">
        <f>'J - Capital In Year Schemes'!T76</f>
        <v>0</v>
      </c>
      <c r="KK76" s="2060"/>
      <c r="LL76" s="814"/>
      <c r="LM76" s="2394">
        <f>'M - Aged Debtors'!B76</f>
        <v>0</v>
      </c>
      <c r="LN76" s="2395">
        <f>'M - Aged Debtors'!C76</f>
        <v>0</v>
      </c>
      <c r="LO76" s="2396">
        <f>'M - Aged Debtors'!D76</f>
        <v>0</v>
      </c>
      <c r="LP76" s="2397">
        <f>'M - Aged Debtors'!E76</f>
        <v>0</v>
      </c>
      <c r="LQ76" s="2398">
        <f>'M - Aged Debtors'!F76</f>
        <v>0</v>
      </c>
      <c r="LR76" s="832" t="str">
        <f>'M - Aged Debtors'!G76</f>
        <v/>
      </c>
      <c r="LS76" s="829" t="str">
        <f>'M - Aged Debtors'!H76</f>
        <v/>
      </c>
      <c r="LT76" s="829" t="str">
        <f>'M - Aged Debtors'!I76</f>
        <v/>
      </c>
      <c r="LU76" s="830" t="str">
        <f>'M - Aged Debtors'!J76</f>
        <v/>
      </c>
      <c r="LV76" s="1830">
        <f>'M - Aged Debtors'!K76</f>
        <v>0</v>
      </c>
      <c r="LX76" s="3114" t="str">
        <f>'N - GMS'!A76</f>
        <v>Dietetics</v>
      </c>
      <c r="LY76" s="3131"/>
      <c r="LZ76" s="461">
        <f>'N - GMS'!C76</f>
        <v>51</v>
      </c>
      <c r="MA76" s="67">
        <f>'N - GMS'!D76</f>
        <v>0</v>
      </c>
      <c r="MB76" s="2387">
        <f>'N - GMS'!E76</f>
        <v>0</v>
      </c>
      <c r="MC76" s="2387">
        <f>'N - GMS'!F76</f>
        <v>0</v>
      </c>
      <c r="MD76" s="463">
        <f>'N - GMS'!G76</f>
        <v>0</v>
      </c>
      <c r="ME76" s="213"/>
      <c r="MF76" s="1028">
        <f>'N - GMS'!I76</f>
        <v>0</v>
      </c>
      <c r="MR76" s="684"/>
      <c r="MS76" s="2771">
        <f>'P - Ringfenced'!B76</f>
        <v>0</v>
      </c>
      <c r="MT76" s="2704">
        <f>'P - Ringfenced'!C76</f>
        <v>0</v>
      </c>
      <c r="MU76" s="1468"/>
      <c r="MV76" s="1468"/>
      <c r="MW76" s="1468"/>
      <c r="MX76" s="1468"/>
      <c r="MY76" s="1468"/>
      <c r="MZ76" s="1468"/>
      <c r="NA76" s="1468"/>
      <c r="NB76" s="1468"/>
      <c r="NC76" s="1468"/>
      <c r="ND76" s="1468"/>
      <c r="NE76" s="1468"/>
      <c r="NF76" s="1468"/>
      <c r="NG76" s="1468"/>
      <c r="NH76" s="1468"/>
      <c r="NI76" s="1468"/>
      <c r="NJ76" s="684"/>
      <c r="NK76" s="684"/>
    </row>
    <row r="77" spans="57:376" ht="20.149999999999999" customHeight="1" thickBot="1">
      <c r="BE77" s="2065">
        <f>'B - Monthly Positions'!A76</f>
        <v>45</v>
      </c>
      <c r="BF77" s="2354" t="str">
        <f>'B - Monthly Positions'!B76</f>
        <v>IFRS 16 Leases</v>
      </c>
      <c r="BG77" s="2215" t="str">
        <f>'B - Monthly Positions'!C76</f>
        <v>Actual/F'cast</v>
      </c>
      <c r="BH77" s="1800">
        <f>'B - Monthly Positions'!D76</f>
        <v>0</v>
      </c>
      <c r="BI77" s="1801">
        <f>'B - Monthly Positions'!E76</f>
        <v>0</v>
      </c>
      <c r="BJ77" s="1801">
        <f>'B - Monthly Positions'!F76</f>
        <v>0</v>
      </c>
      <c r="BK77" s="1801">
        <f>'B - Monthly Positions'!G76</f>
        <v>0</v>
      </c>
      <c r="BL77" s="1801">
        <f>'B - Monthly Positions'!H76</f>
        <v>0</v>
      </c>
      <c r="BM77" s="1801">
        <f>'B - Monthly Positions'!I76</f>
        <v>0</v>
      </c>
      <c r="BN77" s="1801">
        <f>'B - Monthly Positions'!J76</f>
        <v>0</v>
      </c>
      <c r="BO77" s="1801">
        <f>'B - Monthly Positions'!K76</f>
        <v>0</v>
      </c>
      <c r="BP77" s="1801">
        <f>'B - Monthly Positions'!L76</f>
        <v>0</v>
      </c>
      <c r="BQ77" s="1801">
        <f>'B - Monthly Positions'!M76</f>
        <v>0</v>
      </c>
      <c r="BR77" s="1801">
        <f>'B - Monthly Positions'!N76</f>
        <v>0</v>
      </c>
      <c r="BS77" s="2349">
        <f>'B - Monthly Positions'!O76</f>
        <v>0</v>
      </c>
      <c r="BT77" s="1073">
        <f>'B - Monthly Positions'!P76</f>
        <v>0</v>
      </c>
      <c r="BU77" s="1067">
        <f>'B - Monthly Positions'!Q76</f>
        <v>0</v>
      </c>
      <c r="BV77" s="1930"/>
      <c r="BW77" s="1930"/>
      <c r="BX77" s="144">
        <f>' Table Z Net Exp Profiles'!A77</f>
        <v>54</v>
      </c>
      <c r="BY77" s="1272" t="str">
        <f>' Table Z Net Exp Profiles'!B77</f>
        <v>Drugs Expenditure Movement</v>
      </c>
      <c r="BZ77" s="1245">
        <f>' Table Z Net Exp Profiles'!C77</f>
        <v>0</v>
      </c>
      <c r="CA77" s="1255">
        <f>' Table Z Net Exp Profiles'!D77</f>
        <v>0</v>
      </c>
      <c r="CB77" s="1255">
        <f>' Table Z Net Exp Profiles'!E77</f>
        <v>0</v>
      </c>
      <c r="CC77" s="1255">
        <f>' Table Z Net Exp Profiles'!F77</f>
        <v>0</v>
      </c>
      <c r="CD77" s="1255">
        <f>' Table Z Net Exp Profiles'!G77</f>
        <v>0</v>
      </c>
      <c r="CE77" s="1255">
        <f>' Table Z Net Exp Profiles'!H77</f>
        <v>0</v>
      </c>
      <c r="CF77" s="1255">
        <f>' Table Z Net Exp Profiles'!I77</f>
        <v>0</v>
      </c>
      <c r="CG77" s="1255">
        <f>' Table Z Net Exp Profiles'!J77</f>
        <v>0</v>
      </c>
      <c r="CH77" s="1255">
        <f>' Table Z Net Exp Profiles'!K77</f>
        <v>0</v>
      </c>
      <c r="CI77" s="1255">
        <f>' Table Z Net Exp Profiles'!L77</f>
        <v>0</v>
      </c>
      <c r="CJ77" s="1255">
        <f>' Table Z Net Exp Profiles'!M77</f>
        <v>0</v>
      </c>
      <c r="CK77" s="1256">
        <f>' Table Z Net Exp Profiles'!N77</f>
        <v>0</v>
      </c>
      <c r="CL77" s="1363">
        <f>' Table Z Net Exp Profiles'!O77</f>
        <v>0</v>
      </c>
      <c r="CM77" s="1101">
        <f>' Table Z Net Exp Profiles'!P77</f>
        <v>0</v>
      </c>
      <c r="DF77" s="2757">
        <f>'B3 - COVID-19'!A77</f>
        <v>55</v>
      </c>
      <c r="DG77" s="2835" t="str">
        <f>'B3 - COVID-19'!B77</f>
        <v>Total COVID-19 Vaccination (Immunisation) Programme Expenditure</v>
      </c>
      <c r="DH77" s="1912">
        <f>'B3 - COVID-19'!C77</f>
        <v>60.311959999999999</v>
      </c>
      <c r="DI77" s="1912">
        <f>'B3 - COVID-19'!D77</f>
        <v>85.713984848484841</v>
      </c>
      <c r="DJ77" s="1912">
        <f>'B3 - COVID-19'!E77</f>
        <v>119.52718484848484</v>
      </c>
      <c r="DK77" s="1912">
        <f>'B3 - COVID-19'!F77</f>
        <v>119.52718484848484</v>
      </c>
      <c r="DL77" s="1912">
        <f>'B3 - COVID-19'!G77</f>
        <v>119.52718484848484</v>
      </c>
      <c r="DM77" s="1912">
        <f>'B3 - COVID-19'!H77</f>
        <v>179.52718484848484</v>
      </c>
      <c r="DN77" s="1912">
        <f>'B3 - COVID-19'!I77</f>
        <v>167.02718484848484</v>
      </c>
      <c r="DO77" s="1912">
        <f>'B3 - COVID-19'!J77</f>
        <v>107.02718484848484</v>
      </c>
      <c r="DP77" s="1912">
        <f>'B3 - COVID-19'!K77</f>
        <v>107.02718484848484</v>
      </c>
      <c r="DQ77" s="1912">
        <f>'B3 - COVID-19'!L77</f>
        <v>107.02718484848484</v>
      </c>
      <c r="DR77" s="1912">
        <f>'B3 - COVID-19'!M77</f>
        <v>158.87828984848485</v>
      </c>
      <c r="DS77" s="1912">
        <f>'B3 - COVID-19'!N77</f>
        <v>158.87828984848485</v>
      </c>
      <c r="DT77" s="1912">
        <f>'B3 - COVID-19'!O77</f>
        <v>60.311959999999999</v>
      </c>
      <c r="DU77" s="2492">
        <f>'B3 - COVID-19'!P77</f>
        <v>1490.0000033333333</v>
      </c>
      <c r="DV77" s="608"/>
      <c r="DW77" s="1116"/>
      <c r="DY77" s="80"/>
      <c r="DZ77" s="110"/>
      <c r="EA77" s="324">
        <f>+EA37</f>
        <v>0</v>
      </c>
      <c r="EB77" s="919"/>
      <c r="EC77" s="918"/>
      <c r="ED77" s="918"/>
      <c r="EE77" s="918"/>
      <c r="EF77" s="918"/>
      <c r="EG77" s="919"/>
      <c r="EH77" s="918"/>
      <c r="EI77" s="918"/>
      <c r="EJ77" s="918"/>
      <c r="EK77" s="918"/>
      <c r="EL77" s="918"/>
      <c r="EM77" s="918"/>
      <c r="EN77" s="918"/>
      <c r="EO77" s="920"/>
      <c r="EP77" s="1930"/>
      <c r="EQ77" s="1930"/>
      <c r="ER77" s="1930"/>
      <c r="ES77" s="1930"/>
      <c r="ET77" s="1930"/>
      <c r="EU77" s="1930"/>
      <c r="EV77" s="1930"/>
      <c r="EW77" s="1930"/>
      <c r="EX77" s="1932"/>
      <c r="EY77" s="1932"/>
      <c r="EZ77" s="1932"/>
      <c r="FA77" s="1932"/>
      <c r="FB77" s="1932"/>
      <c r="FC77" s="1932"/>
      <c r="FD77" s="1932"/>
      <c r="FE77" s="1932"/>
      <c r="FF77" s="1932"/>
      <c r="FG77" s="1932"/>
      <c r="FH77" s="1932"/>
      <c r="FI77" s="1932"/>
      <c r="FJ77" s="1932"/>
      <c r="FK77" s="1932"/>
      <c r="FL77" s="1932"/>
      <c r="FM77" s="1932"/>
      <c r="FN77" s="1932"/>
      <c r="FO77" s="1932"/>
      <c r="FP77" s="1932"/>
      <c r="FQ77" s="1932"/>
      <c r="FR77" s="1932"/>
      <c r="FS77" s="1932"/>
      <c r="GF77" s="2415"/>
      <c r="GG77" s="1745"/>
      <c r="GH77" s="2097"/>
      <c r="GI77" s="2097"/>
      <c r="GJ77" s="2097"/>
      <c r="GK77" s="2097"/>
      <c r="GL77" s="2097"/>
      <c r="GM77" s="2416"/>
      <c r="GN77" s="2097"/>
      <c r="GO77" s="2097"/>
      <c r="GP77" s="2097"/>
      <c r="GQ77" s="2097"/>
      <c r="GR77" s="1935"/>
      <c r="GT77" s="346">
        <f>'E1 - Invoiced Income'!A77</f>
        <v>62</v>
      </c>
      <c r="GU77" s="593">
        <f>'E1 - Invoiced Income'!B77</f>
        <v>0</v>
      </c>
      <c r="GV77" s="25">
        <f>'E1 - Invoiced Income'!C77</f>
        <v>0</v>
      </c>
      <c r="GW77" s="2527">
        <f>'E1 - Invoiced Income'!D77</f>
        <v>0</v>
      </c>
      <c r="GX77" s="196">
        <f>'E1 - Invoiced Income'!E77</f>
        <v>0</v>
      </c>
      <c r="GY77" s="2527">
        <f>'E1 - Invoiced Income'!F77</f>
        <v>0</v>
      </c>
      <c r="GZ77" s="2527">
        <f>'E1 - Invoiced Income'!G77</f>
        <v>0</v>
      </c>
      <c r="HA77" s="2527">
        <f>'E1 - Invoiced Income'!H77</f>
        <v>0</v>
      </c>
      <c r="HB77" s="2527">
        <f>'E1 - Invoiced Income'!I77</f>
        <v>0</v>
      </c>
      <c r="HC77" s="71"/>
      <c r="HD77" s="71"/>
      <c r="HE77" s="71"/>
      <c r="HF77" s="71"/>
      <c r="HG77" s="71"/>
      <c r="HH77" s="71"/>
      <c r="HI77" s="71"/>
      <c r="HJ77" s="71"/>
      <c r="HK77" s="71"/>
      <c r="HL77" s="71"/>
      <c r="HM77" s="71"/>
      <c r="HO77" s="2427">
        <f>'F - SoFP'!A77</f>
        <v>47</v>
      </c>
      <c r="HP77" s="2428" t="str">
        <f>'F - SoFP'!B77</f>
        <v>Revenue</v>
      </c>
      <c r="HQ77" s="2418">
        <f>'F - SoFP'!C77</f>
        <v>0</v>
      </c>
      <c r="HR77" s="2418">
        <f>'F - SoFP'!D77</f>
        <v>0</v>
      </c>
      <c r="HS77" s="2418">
        <f>'F - SoFP'!E77</f>
        <v>0</v>
      </c>
      <c r="HT77" s="1946"/>
      <c r="JD77" s="2088">
        <f>'I - Capital RLM'!A77</f>
        <v>53</v>
      </c>
      <c r="JE77" s="2126">
        <f>'I - Capital RLM'!B77</f>
        <v>0</v>
      </c>
      <c r="JF77" s="2010">
        <f>'I - Capital RLM'!C77</f>
        <v>0</v>
      </c>
      <c r="JG77" s="2010">
        <f>'I - Capital RLM'!D77</f>
        <v>0</v>
      </c>
      <c r="JH77" s="2118">
        <f>'I - Capital RLM'!E77</f>
        <v>0</v>
      </c>
      <c r="JI77" s="1943">
        <f>'I - Capital RLM'!F77</f>
        <v>0</v>
      </c>
      <c r="JJ77" s="2010">
        <f>'I - Capital RLM'!G77</f>
        <v>0</v>
      </c>
      <c r="JK77" s="2010">
        <f>'I - Capital RLM'!H77</f>
        <v>0</v>
      </c>
      <c r="JL77" s="2118">
        <f>'I - Capital RLM'!I77</f>
        <v>0</v>
      </c>
      <c r="JM77" s="2060"/>
      <c r="JN77" s="1890">
        <f>'I - Capital RLM'!K77</f>
        <v>0</v>
      </c>
      <c r="JO77" s="2060">
        <f t="shared" si="20"/>
        <v>0</v>
      </c>
      <c r="JQ77" s="2309"/>
      <c r="JR77" s="2429"/>
      <c r="JS77" s="1745"/>
      <c r="JT77" s="2097"/>
      <c r="JU77" s="2097"/>
      <c r="JV77" s="1943"/>
      <c r="JW77" s="1943"/>
      <c r="JX77" s="1943"/>
      <c r="JY77" s="1943"/>
      <c r="JZ77" s="1943"/>
      <c r="KA77" s="1943"/>
      <c r="KB77" s="1943"/>
      <c r="KC77" s="1943"/>
      <c r="KD77" s="1943"/>
      <c r="KE77" s="1943"/>
      <c r="KF77" s="1943">
        <f>'J - Capital In Year Schemes'!P77</f>
        <v>0</v>
      </c>
      <c r="KG77" s="1943">
        <f>'J - Capital In Year Schemes'!Q77</f>
        <v>0</v>
      </c>
      <c r="KH77" s="2348">
        <f>'J - Capital In Year Schemes'!R77</f>
        <v>0</v>
      </c>
      <c r="KI77" s="2348">
        <f>'J - Capital In Year Schemes'!S77</f>
        <v>0</v>
      </c>
      <c r="KJ77" s="1943">
        <f>'J - Capital In Year Schemes'!T77</f>
        <v>0</v>
      </c>
      <c r="KK77" s="2311"/>
      <c r="LL77" s="814"/>
      <c r="LM77" s="2394">
        <f>'M - Aged Debtors'!B77</f>
        <v>0</v>
      </c>
      <c r="LN77" s="2395">
        <f>'M - Aged Debtors'!C77</f>
        <v>0</v>
      </c>
      <c r="LO77" s="2396">
        <f>'M - Aged Debtors'!D77</f>
        <v>0</v>
      </c>
      <c r="LP77" s="2397">
        <f>'M - Aged Debtors'!E77</f>
        <v>0</v>
      </c>
      <c r="LQ77" s="2398">
        <f>'M - Aged Debtors'!F77</f>
        <v>0</v>
      </c>
      <c r="LR77" s="832" t="str">
        <f>'M - Aged Debtors'!G77</f>
        <v/>
      </c>
      <c r="LS77" s="829" t="str">
        <f>'M - Aged Debtors'!H77</f>
        <v/>
      </c>
      <c r="LT77" s="829" t="str">
        <f>'M - Aged Debtors'!I77</f>
        <v/>
      </c>
      <c r="LU77" s="830" t="str">
        <f>'M - Aged Debtors'!J77</f>
        <v/>
      </c>
      <c r="LV77" s="1830">
        <f>'M - Aged Debtors'!K77</f>
        <v>0</v>
      </c>
      <c r="LX77" s="3114" t="str">
        <f>'N - GMS'!A77</f>
        <v>DOAC/NOAC</v>
      </c>
      <c r="LY77" s="3131"/>
      <c r="LZ77" s="461">
        <f>'N - GMS'!C77</f>
        <v>52</v>
      </c>
      <c r="MA77" s="219">
        <f>'N - GMS'!D77</f>
        <v>0</v>
      </c>
      <c r="MB77" s="2387">
        <f>'N - GMS'!E77</f>
        <v>0</v>
      </c>
      <c r="MC77" s="2387">
        <f>'N - GMS'!F77</f>
        <v>0</v>
      </c>
      <c r="MD77" s="463">
        <f>'N - GMS'!G77</f>
        <v>0</v>
      </c>
      <c r="ME77" s="213"/>
      <c r="MF77" s="1028">
        <f>'N - GMS'!I77</f>
        <v>0</v>
      </c>
      <c r="MR77" s="684"/>
      <c r="MS77" s="2676" t="str">
        <f>'P - Ringfenced'!B77</f>
        <v>Total</v>
      </c>
      <c r="MT77" s="1101">
        <f>'P - Ringfenced'!C77</f>
        <v>0</v>
      </c>
      <c r="MU77" s="1468"/>
      <c r="MV77" s="1468"/>
      <c r="MW77" s="1468"/>
      <c r="MX77" s="1468"/>
      <c r="MY77" s="1468"/>
      <c r="MZ77" s="1468"/>
      <c r="NA77" s="1468"/>
      <c r="NB77" s="1468"/>
      <c r="NC77" s="1468"/>
      <c r="ND77" s="1468"/>
      <c r="NE77" s="1468"/>
      <c r="NF77" s="1468"/>
      <c r="NG77" s="1468"/>
      <c r="NH77" s="1468"/>
      <c r="NI77" s="1468"/>
      <c r="NJ77" s="684"/>
      <c r="NK77" s="684"/>
    </row>
    <row r="78" spans="57:376" ht="20.149999999999999" customHeight="1" thickBot="1">
      <c r="BE78" s="2065">
        <f>'B - Monthly Positions'!A77</f>
        <v>46</v>
      </c>
      <c r="BF78" s="2355" t="str">
        <f>'B - Monthly Positions'!B77</f>
        <v>Total</v>
      </c>
      <c r="BG78" s="1100" t="str">
        <f>'B - Monthly Positions'!C77</f>
        <v xml:space="preserve"> </v>
      </c>
      <c r="BH78" s="1138">
        <f>'B - Monthly Positions'!D77</f>
        <v>283.82100000000003</v>
      </c>
      <c r="BI78" s="1138">
        <f>'B - Monthly Positions'!E77</f>
        <v>283.82100000000003</v>
      </c>
      <c r="BJ78" s="1138">
        <f>'B - Monthly Positions'!F77</f>
        <v>283.82100000000003</v>
      </c>
      <c r="BK78" s="1138">
        <f>'B - Monthly Positions'!G77</f>
        <v>283.82100000000003</v>
      </c>
      <c r="BL78" s="1138">
        <f>'B - Monthly Positions'!H77</f>
        <v>283.82100000000003</v>
      </c>
      <c r="BM78" s="1138">
        <f>'B - Monthly Positions'!I77</f>
        <v>283.82100000000003</v>
      </c>
      <c r="BN78" s="1138">
        <f>'B - Monthly Positions'!J77</f>
        <v>283.82100000000003</v>
      </c>
      <c r="BO78" s="1138">
        <f>'B - Monthly Positions'!K77</f>
        <v>283.82100000000003</v>
      </c>
      <c r="BP78" s="1138">
        <f>'B - Monthly Positions'!L77</f>
        <v>283.82100000000003</v>
      </c>
      <c r="BQ78" s="1138">
        <f>'B - Monthly Positions'!M77</f>
        <v>283.82100000000003</v>
      </c>
      <c r="BR78" s="1138">
        <f>'B - Monthly Positions'!N77</f>
        <v>283.82100000000003</v>
      </c>
      <c r="BS78" s="1138">
        <f>'B - Monthly Positions'!O77</f>
        <v>283.82100000000003</v>
      </c>
      <c r="BT78" s="1101">
        <f>'B - Monthly Positions'!P77</f>
        <v>283.82100000000003</v>
      </c>
      <c r="BU78" s="1133">
        <f>'B - Monthly Positions'!Q77</f>
        <v>3405.8519999999994</v>
      </c>
      <c r="BV78" s="1930"/>
      <c r="BW78" s="1930"/>
      <c r="BX78" s="1107">
        <f>' Table Z Net Exp Profiles'!A78</f>
        <v>55</v>
      </c>
      <c r="BY78" s="1267" t="str">
        <f>' Table Z Net Exp Profiles'!B78</f>
        <v>Total Medicines Management Savings - Current Plan</v>
      </c>
      <c r="BZ78" s="1293">
        <f>' Table Z Net Exp Profiles'!C78</f>
        <v>0</v>
      </c>
      <c r="CA78" s="1294">
        <f>' Table Z Net Exp Profiles'!D78</f>
        <v>0</v>
      </c>
      <c r="CB78" s="1294">
        <f>' Table Z Net Exp Profiles'!E78</f>
        <v>0</v>
      </c>
      <c r="CC78" s="1294">
        <f>' Table Z Net Exp Profiles'!F78</f>
        <v>0</v>
      </c>
      <c r="CD78" s="1294">
        <f>' Table Z Net Exp Profiles'!G78</f>
        <v>0</v>
      </c>
      <c r="CE78" s="1294">
        <f>' Table Z Net Exp Profiles'!H78</f>
        <v>0</v>
      </c>
      <c r="CF78" s="1294">
        <f>' Table Z Net Exp Profiles'!I78</f>
        <v>0</v>
      </c>
      <c r="CG78" s="1294">
        <f>' Table Z Net Exp Profiles'!J78</f>
        <v>0</v>
      </c>
      <c r="CH78" s="1294">
        <f>' Table Z Net Exp Profiles'!K78</f>
        <v>0</v>
      </c>
      <c r="CI78" s="1294">
        <f>' Table Z Net Exp Profiles'!L78</f>
        <v>0</v>
      </c>
      <c r="CJ78" s="1294">
        <f>' Table Z Net Exp Profiles'!M78</f>
        <v>0</v>
      </c>
      <c r="CK78" s="1295">
        <f>' Table Z Net Exp Profiles'!N78</f>
        <v>0</v>
      </c>
      <c r="CL78" s="1232">
        <f>' Table Z Net Exp Profiles'!O78</f>
        <v>0</v>
      </c>
      <c r="CM78" s="1101">
        <f>' Table Z Net Exp Profiles'!P78</f>
        <v>0</v>
      </c>
      <c r="DF78" s="2486"/>
      <c r="DG78" s="1116"/>
      <c r="DH78" s="1918"/>
      <c r="DI78" s="1918"/>
      <c r="DJ78" s="1918"/>
      <c r="DK78" s="1918"/>
      <c r="DL78" s="1918"/>
      <c r="DM78" s="1918"/>
      <c r="DN78" s="1918"/>
      <c r="DO78" s="1918"/>
      <c r="DP78" s="1918"/>
      <c r="DQ78" s="1918"/>
      <c r="DR78" s="1918"/>
      <c r="DS78" s="1918"/>
      <c r="DT78" s="1918"/>
      <c r="DU78" s="1918"/>
      <c r="DV78" s="608"/>
      <c r="DW78" s="1116"/>
      <c r="DY78" s="82"/>
      <c r="DZ78" s="82"/>
      <c r="EA78" s="107"/>
      <c r="EB78" s="921"/>
      <c r="EC78" s="921"/>
      <c r="ED78" s="921"/>
      <c r="EE78" s="921"/>
      <c r="EF78" s="921"/>
      <c r="EG78" s="922"/>
      <c r="EH78" s="922"/>
      <c r="EI78" s="921"/>
      <c r="EJ78" s="921"/>
      <c r="EK78" s="921"/>
      <c r="EL78" s="921"/>
      <c r="EM78" s="921"/>
      <c r="EN78" s="921"/>
      <c r="EO78" s="921"/>
      <c r="EP78" s="1930"/>
      <c r="EQ78" s="1930"/>
      <c r="ER78" s="1930"/>
      <c r="ES78" s="1930"/>
      <c r="ET78" s="1930"/>
      <c r="EU78" s="1930"/>
      <c r="EV78" s="1930"/>
      <c r="EW78" s="1930"/>
      <c r="EX78" s="1932"/>
      <c r="EY78" s="1932"/>
      <c r="EZ78" s="1932"/>
      <c r="FA78" s="1932"/>
      <c r="FB78" s="1932"/>
      <c r="FC78" s="1932"/>
      <c r="FD78" s="1932"/>
      <c r="FE78" s="1932"/>
      <c r="FF78" s="1932"/>
      <c r="FG78" s="1932"/>
      <c r="FH78" s="1932"/>
      <c r="FI78" s="1932"/>
      <c r="FJ78" s="1932"/>
      <c r="FK78" s="1932"/>
      <c r="FL78" s="1932"/>
      <c r="FM78" s="1932"/>
      <c r="FN78" s="1932"/>
      <c r="FO78" s="1932"/>
      <c r="FP78" s="1932"/>
      <c r="FQ78" s="1932"/>
      <c r="FR78" s="1932"/>
      <c r="FS78" s="1932"/>
      <c r="GF78" s="1956" t="str">
        <f>'E - Resource Limits'!A78</f>
        <v>3. TOTAL RESOURCES &amp; BUDGET RECONCILIATION</v>
      </c>
      <c r="GG78" s="1956"/>
      <c r="GH78" s="2097"/>
      <c r="GI78" s="2097"/>
      <c r="GJ78" s="2097"/>
      <c r="GK78" s="2097"/>
      <c r="GL78" s="2097"/>
      <c r="GM78" s="2416"/>
      <c r="GN78" s="2097"/>
      <c r="GO78" s="2097"/>
      <c r="GP78" s="2097"/>
      <c r="GQ78" s="2097"/>
      <c r="GR78" s="1935"/>
      <c r="GT78" s="346">
        <f>'E1 - Invoiced Income'!A78</f>
        <v>63</v>
      </c>
      <c r="GU78" s="593">
        <f>'E1 - Invoiced Income'!B78</f>
        <v>0</v>
      </c>
      <c r="GV78" s="25">
        <f>'E1 - Invoiced Income'!C78</f>
        <v>0</v>
      </c>
      <c r="GW78" s="2527">
        <f>'E1 - Invoiced Income'!D78</f>
        <v>0</v>
      </c>
      <c r="GX78" s="196">
        <f>'E1 - Invoiced Income'!E78</f>
        <v>0</v>
      </c>
      <c r="GY78" s="2527">
        <f>'E1 - Invoiced Income'!F78</f>
        <v>0</v>
      </c>
      <c r="GZ78" s="2527">
        <f>'E1 - Invoiced Income'!G78</f>
        <v>0</v>
      </c>
      <c r="HA78" s="2527">
        <f>'E1 - Invoiced Income'!H78</f>
        <v>0</v>
      </c>
      <c r="HB78" s="2527">
        <f>'E1 - Invoiced Income'!I78</f>
        <v>0</v>
      </c>
      <c r="HC78" s="71"/>
      <c r="HD78" s="71"/>
      <c r="HE78" s="71"/>
      <c r="HF78" s="71"/>
      <c r="HG78" s="71"/>
      <c r="HH78" s="71"/>
      <c r="HI78" s="71"/>
      <c r="HJ78" s="71"/>
      <c r="HK78" s="71"/>
      <c r="HL78" s="71"/>
      <c r="HM78" s="71"/>
      <c r="HO78" s="1745"/>
      <c r="HP78" s="1745"/>
      <c r="HQ78" s="1745"/>
      <c r="HR78" s="1745"/>
      <c r="HS78" s="1946"/>
      <c r="HT78" s="1946"/>
      <c r="JD78" s="2073">
        <f>'I - Capital RLM'!A78</f>
        <v>54</v>
      </c>
      <c r="JE78" s="2126">
        <f>'I - Capital RLM'!B78</f>
        <v>0</v>
      </c>
      <c r="JF78" s="2010">
        <f>'I - Capital RLM'!C78</f>
        <v>0</v>
      </c>
      <c r="JG78" s="2010">
        <f>'I - Capital RLM'!D78</f>
        <v>0</v>
      </c>
      <c r="JH78" s="2118">
        <f>'I - Capital RLM'!E78</f>
        <v>0</v>
      </c>
      <c r="JI78" s="1943">
        <f>'I - Capital RLM'!F78</f>
        <v>0</v>
      </c>
      <c r="JJ78" s="2010">
        <f>'I - Capital RLM'!G78</f>
        <v>0</v>
      </c>
      <c r="JK78" s="2010">
        <f>'I - Capital RLM'!H78</f>
        <v>0</v>
      </c>
      <c r="JL78" s="2118">
        <f>'I - Capital RLM'!I78</f>
        <v>0</v>
      </c>
      <c r="JM78" s="2060"/>
      <c r="JN78" s="1890">
        <f>'I - Capital RLM'!K78</f>
        <v>0</v>
      </c>
      <c r="JO78" s="2060">
        <f t="shared" si="20"/>
        <v>0</v>
      </c>
      <c r="JQ78" s="2301">
        <f>'J - Capital In Year Schemes'!A78</f>
        <v>62</v>
      </c>
      <c r="JR78" s="2327" t="str">
        <f>'J - Capital In Year Schemes'!B78</f>
        <v>Total Capital Expenditure</v>
      </c>
      <c r="JS78" s="2327">
        <f>'J - Capital In Year Schemes'!C78</f>
        <v>0</v>
      </c>
      <c r="JT78" s="2037">
        <f>'J - Capital In Year Schemes'!D78</f>
        <v>0</v>
      </c>
      <c r="JU78" s="2037">
        <f>'J - Capital In Year Schemes'!E78</f>
        <v>0</v>
      </c>
      <c r="JV78" s="2037">
        <f>'J - Capital In Year Schemes'!F78</f>
        <v>0</v>
      </c>
      <c r="JW78" s="2037">
        <f>'J - Capital In Year Schemes'!G78</f>
        <v>0</v>
      </c>
      <c r="JX78" s="2037">
        <f>'J - Capital In Year Schemes'!H78</f>
        <v>0</v>
      </c>
      <c r="JY78" s="2037">
        <f>'J - Capital In Year Schemes'!I78</f>
        <v>0</v>
      </c>
      <c r="JZ78" s="2037">
        <f>'J - Capital In Year Schemes'!J78</f>
        <v>0</v>
      </c>
      <c r="KA78" s="2037">
        <f>'J - Capital In Year Schemes'!K78</f>
        <v>0</v>
      </c>
      <c r="KB78" s="2037">
        <f>'J - Capital In Year Schemes'!L78</f>
        <v>0</v>
      </c>
      <c r="KC78" s="2037">
        <f>'J - Capital In Year Schemes'!M78</f>
        <v>0</v>
      </c>
      <c r="KD78" s="2037">
        <f>'J - Capital In Year Schemes'!N78</f>
        <v>0</v>
      </c>
      <c r="KE78" s="2037">
        <f>'J - Capital In Year Schemes'!O78</f>
        <v>0</v>
      </c>
      <c r="KF78" s="2037">
        <f>'J - Capital In Year Schemes'!P78</f>
        <v>0</v>
      </c>
      <c r="KG78" s="2037">
        <f>'J - Capital In Year Schemes'!Q78</f>
        <v>0</v>
      </c>
      <c r="KH78" s="2037">
        <f>'J - Capital In Year Schemes'!R78</f>
        <v>0</v>
      </c>
      <c r="KI78" s="2037">
        <f>'J - Capital In Year Schemes'!S78</f>
        <v>0</v>
      </c>
      <c r="KJ78" s="2036"/>
      <c r="KK78" s="2060"/>
      <c r="LL78" s="814"/>
      <c r="LM78" s="2394">
        <f>'M - Aged Debtors'!B78</f>
        <v>0</v>
      </c>
      <c r="LN78" s="2395">
        <f>'M - Aged Debtors'!C78</f>
        <v>0</v>
      </c>
      <c r="LO78" s="2396">
        <f>'M - Aged Debtors'!D78</f>
        <v>0</v>
      </c>
      <c r="LP78" s="2397">
        <f>'M - Aged Debtors'!E78</f>
        <v>0</v>
      </c>
      <c r="LQ78" s="2398">
        <f>'M - Aged Debtors'!F78</f>
        <v>0</v>
      </c>
      <c r="LR78" s="832" t="str">
        <f>'M - Aged Debtors'!G78</f>
        <v/>
      </c>
      <c r="LS78" s="829" t="str">
        <f>'M - Aged Debtors'!H78</f>
        <v/>
      </c>
      <c r="LT78" s="829" t="str">
        <f>'M - Aged Debtors'!I78</f>
        <v/>
      </c>
      <c r="LU78" s="830" t="str">
        <f>'M - Aged Debtors'!J78</f>
        <v/>
      </c>
      <c r="LV78" s="1830">
        <f>'M - Aged Debtors'!K78</f>
        <v>0</v>
      </c>
      <c r="LX78" s="3114" t="str">
        <f>'N - GMS'!A78</f>
        <v>Drugs Misuse</v>
      </c>
      <c r="LY78" s="3131"/>
      <c r="LZ78" s="461">
        <f>'N - GMS'!C78</f>
        <v>53</v>
      </c>
      <c r="MA78" s="2386">
        <f>'N - GMS'!D78</f>
        <v>0</v>
      </c>
      <c r="MB78" s="2387">
        <f>'N - GMS'!E78</f>
        <v>0</v>
      </c>
      <c r="MC78" s="2387">
        <f>'N - GMS'!F78</f>
        <v>0</v>
      </c>
      <c r="MD78" s="463">
        <f>'N - GMS'!G78</f>
        <v>0</v>
      </c>
      <c r="ME78" s="213"/>
      <c r="MF78" s="1028">
        <f>'N - GMS'!I78</f>
        <v>0</v>
      </c>
      <c r="MR78" s="684"/>
      <c r="MS78" s="1468"/>
      <c r="MT78" s="1468"/>
      <c r="MU78" s="1468"/>
      <c r="MV78" s="1468"/>
      <c r="MW78" s="1468"/>
      <c r="MX78" s="1468"/>
      <c r="MY78" s="1468"/>
      <c r="MZ78" s="1468"/>
      <c r="NA78" s="1468"/>
      <c r="NB78" s="1468"/>
      <c r="NC78" s="1468"/>
      <c r="ND78" s="1468"/>
      <c r="NE78" s="1468"/>
      <c r="NF78" s="1468"/>
      <c r="NG78" s="1468"/>
      <c r="NH78" s="1468"/>
      <c r="NI78" s="1468"/>
      <c r="NJ78" s="684"/>
      <c r="NK78" s="684"/>
    </row>
    <row r="79" spans="57:376" ht="20.149999999999999" customHeight="1" thickBot="1">
      <c r="BE79" s="2065">
        <f>'B - Monthly Positions'!A78</f>
        <v>0</v>
      </c>
      <c r="BF79" s="2360" t="str">
        <f>'B - Monthly Positions'!B78</f>
        <v>AME</v>
      </c>
      <c r="BG79" s="1075" t="str">
        <f>'B - Monthly Positions'!C78</f>
        <v xml:space="preserve"> </v>
      </c>
      <c r="BH79" s="1135">
        <f>'B - Monthly Positions'!D78</f>
        <v>0</v>
      </c>
      <c r="BI79" s="1136">
        <f>'B - Monthly Positions'!E78</f>
        <v>0</v>
      </c>
      <c r="BJ79" s="1136">
        <f>'B - Monthly Positions'!F78</f>
        <v>0</v>
      </c>
      <c r="BK79" s="1136">
        <f>'B - Monthly Positions'!G78</f>
        <v>0</v>
      </c>
      <c r="BL79" s="1136">
        <f>'B - Monthly Positions'!H78</f>
        <v>0</v>
      </c>
      <c r="BM79" s="1136">
        <f>'B - Monthly Positions'!I78</f>
        <v>0</v>
      </c>
      <c r="BN79" s="1136">
        <f>'B - Monthly Positions'!J78</f>
        <v>0</v>
      </c>
      <c r="BO79" s="1136">
        <f>'B - Monthly Positions'!K78</f>
        <v>0</v>
      </c>
      <c r="BP79" s="1136">
        <f>'B - Monthly Positions'!L78</f>
        <v>0</v>
      </c>
      <c r="BQ79" s="1136">
        <f>'B - Monthly Positions'!M78</f>
        <v>0</v>
      </c>
      <c r="BR79" s="1136">
        <f>'B - Monthly Positions'!N78</f>
        <v>0</v>
      </c>
      <c r="BS79" s="1139">
        <f>'B - Monthly Positions'!O78</f>
        <v>0</v>
      </c>
      <c r="BT79" s="1094">
        <f>'B - Monthly Positions'!P78</f>
        <v>0</v>
      </c>
      <c r="BU79" s="1104">
        <f>'B - Monthly Positions'!Q78</f>
        <v>0</v>
      </c>
      <c r="BV79" s="1930"/>
      <c r="BW79" s="1930"/>
      <c r="BX79" s="890">
        <f>' Table Z Net Exp Profiles'!A79</f>
        <v>56</v>
      </c>
      <c r="BY79" s="1268" t="str">
        <f>' Table Z Net Exp Profiles'!B79</f>
        <v>Medicines Management Savings - Actual/Forecast</v>
      </c>
      <c r="BZ79" s="1693">
        <f>' Table Z Net Exp Profiles'!C79</f>
        <v>0</v>
      </c>
      <c r="CA79" s="1694">
        <f>' Table Z Net Exp Profiles'!D79</f>
        <v>0</v>
      </c>
      <c r="CB79" s="1694">
        <f>' Table Z Net Exp Profiles'!E79</f>
        <v>0</v>
      </c>
      <c r="CC79" s="1694">
        <f>' Table Z Net Exp Profiles'!F79</f>
        <v>0</v>
      </c>
      <c r="CD79" s="1694">
        <f>' Table Z Net Exp Profiles'!G79</f>
        <v>0</v>
      </c>
      <c r="CE79" s="1694">
        <f>' Table Z Net Exp Profiles'!H79</f>
        <v>0</v>
      </c>
      <c r="CF79" s="1694">
        <f>' Table Z Net Exp Profiles'!I79</f>
        <v>0</v>
      </c>
      <c r="CG79" s="1694">
        <f>' Table Z Net Exp Profiles'!J79</f>
        <v>0</v>
      </c>
      <c r="CH79" s="1694">
        <f>' Table Z Net Exp Profiles'!K79</f>
        <v>0</v>
      </c>
      <c r="CI79" s="1694">
        <f>' Table Z Net Exp Profiles'!L79</f>
        <v>0</v>
      </c>
      <c r="CJ79" s="1694">
        <f>' Table Z Net Exp Profiles'!M79</f>
        <v>0</v>
      </c>
      <c r="CK79" s="1695">
        <f>' Table Z Net Exp Profiles'!N79</f>
        <v>0</v>
      </c>
      <c r="CL79" s="1233">
        <f>' Table Z Net Exp Profiles'!O79</f>
        <v>0</v>
      </c>
      <c r="CM79" s="1215">
        <f>' Table Z Net Exp Profiles'!P79</f>
        <v>0</v>
      </c>
      <c r="DF79" s="1910">
        <f>'B3 - COVID-19'!A79</f>
        <v>56</v>
      </c>
      <c r="DG79" s="2821" t="str">
        <f>'B3 - COVID-19'!B79</f>
        <v>Planned COVID-19 Vaccination  (Immunisation) Expenditure (In Opening Plan)</v>
      </c>
      <c r="DH79" s="2489">
        <f>'B3 - COVID-19'!C79</f>
        <v>60.311959999999999</v>
      </c>
      <c r="DI79" s="2489">
        <f>'B3 - COVID-19'!D79</f>
        <v>85.713984848484841</v>
      </c>
      <c r="DJ79" s="2489">
        <f>'B3 - COVID-19'!E79</f>
        <v>119.52718484848484</v>
      </c>
      <c r="DK79" s="2489">
        <f>'B3 - COVID-19'!F79</f>
        <v>119.52718484848484</v>
      </c>
      <c r="DL79" s="2489">
        <f>'B3 - COVID-19'!G79</f>
        <v>119.52718484848484</v>
      </c>
      <c r="DM79" s="2489">
        <f>'B3 - COVID-19'!H79</f>
        <v>179.52718484848484</v>
      </c>
      <c r="DN79" s="2489">
        <f>'B3 - COVID-19'!I79</f>
        <v>167.02718484848484</v>
      </c>
      <c r="DO79" s="2489">
        <f>'B3 - COVID-19'!J79</f>
        <v>107.02718484848484</v>
      </c>
      <c r="DP79" s="2489">
        <f>'B3 - COVID-19'!K79</f>
        <v>107.02718484848484</v>
      </c>
      <c r="DQ79" s="2489">
        <f>'B3 - COVID-19'!L79</f>
        <v>107.02718484848484</v>
      </c>
      <c r="DR79" s="2489">
        <f>'B3 - COVID-19'!M79</f>
        <v>158.87828984848485</v>
      </c>
      <c r="DS79" s="2489">
        <f>'B3 - COVID-19'!N79</f>
        <v>158.87828984848485</v>
      </c>
      <c r="DT79" s="1132">
        <f>'B3 - COVID-19'!O79</f>
        <v>60.311959999999999</v>
      </c>
      <c r="DU79" s="1132">
        <f>'B3 - COVID-19'!P79</f>
        <v>1490.0000033333333</v>
      </c>
      <c r="DV79" s="608"/>
      <c r="DW79" s="1116"/>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3"/>
      <c r="EO79" s="924"/>
      <c r="EP79" s="1930"/>
      <c r="EQ79" s="1930"/>
      <c r="ER79" s="1930"/>
      <c r="ES79" s="1930"/>
      <c r="ET79" s="1930"/>
      <c r="EU79" s="1930"/>
      <c r="EV79" s="1930"/>
      <c r="EW79" s="1930"/>
      <c r="EX79" s="1932"/>
      <c r="EY79" s="1932"/>
      <c r="EZ79" s="1932"/>
      <c r="FA79" s="1932"/>
      <c r="FB79" s="1932"/>
      <c r="FC79" s="1932"/>
      <c r="FD79" s="1932"/>
      <c r="FE79" s="1932"/>
      <c r="FF79" s="1932"/>
      <c r="FG79" s="1932"/>
      <c r="FH79" s="1932"/>
      <c r="FI79" s="1932"/>
      <c r="FJ79" s="1932"/>
      <c r="FK79" s="1932"/>
      <c r="FL79" s="1932"/>
      <c r="FM79" s="1932"/>
      <c r="FN79" s="1932"/>
      <c r="FO79" s="1932"/>
      <c r="FP79" s="1932"/>
      <c r="FQ79" s="1932"/>
      <c r="FR79" s="1932"/>
      <c r="FS79" s="1932"/>
      <c r="GF79" s="2404">
        <f>'E - Resource Limits'!A79</f>
        <v>64</v>
      </c>
      <c r="GG79" s="2420" t="str">
        <f>'E - Resource Limits'!B79</f>
        <v>Confirmed Resources Per 1. above</v>
      </c>
      <c r="GH79" s="2421">
        <f>'E - Resource Limits'!C79</f>
        <v>0</v>
      </c>
      <c r="GI79" s="2421">
        <f>'E - Resource Limits'!D79</f>
        <v>0</v>
      </c>
      <c r="GJ79" s="2421">
        <f>'E - Resource Limits'!E79</f>
        <v>0</v>
      </c>
      <c r="GK79" s="2421">
        <f>'E - Resource Limits'!F79</f>
        <v>0</v>
      </c>
      <c r="GL79" s="2421">
        <f>'E - Resource Limits'!G79</f>
        <v>0</v>
      </c>
      <c r="GM79" s="2422"/>
      <c r="GN79" s="2421">
        <f>'E - Resource Limits'!I79</f>
        <v>0</v>
      </c>
      <c r="GO79" s="2421">
        <f>'E - Resource Limits'!J79</f>
        <v>0</v>
      </c>
      <c r="GP79" s="2421">
        <f>'E - Resource Limits'!K79</f>
        <v>0</v>
      </c>
      <c r="GQ79" s="2097"/>
      <c r="GR79" s="1935"/>
      <c r="GT79" s="346">
        <f>'E1 - Invoiced Income'!A79</f>
        <v>64</v>
      </c>
      <c r="GU79" s="593">
        <f>'E1 - Invoiced Income'!B79</f>
        <v>0</v>
      </c>
      <c r="GV79" s="25">
        <f>'E1 - Invoiced Income'!C79</f>
        <v>0</v>
      </c>
      <c r="GW79" s="2527">
        <f>'E1 - Invoiced Income'!D79</f>
        <v>0</v>
      </c>
      <c r="GX79" s="196">
        <f>'E1 - Invoiced Income'!E79</f>
        <v>0</v>
      </c>
      <c r="GY79" s="2527">
        <f>'E1 - Invoiced Income'!F79</f>
        <v>0</v>
      </c>
      <c r="GZ79" s="2527">
        <f>'E1 - Invoiced Income'!G79</f>
        <v>0</v>
      </c>
      <c r="HA79" s="2527">
        <f>'E1 - Invoiced Income'!H79</f>
        <v>0</v>
      </c>
      <c r="HB79" s="2527">
        <f>'E1 - Invoiced Income'!I79</f>
        <v>0</v>
      </c>
      <c r="HC79" s="71"/>
      <c r="HD79" s="71"/>
      <c r="HE79" s="71"/>
      <c r="HF79" s="71"/>
      <c r="HG79" s="71"/>
      <c r="HH79" s="71"/>
      <c r="HI79" s="71"/>
      <c r="HJ79" s="71"/>
      <c r="HK79" s="71"/>
      <c r="HL79" s="71"/>
      <c r="HM79" s="71"/>
      <c r="HO79" s="1745"/>
      <c r="HP79" s="1745"/>
      <c r="HQ79" s="1745"/>
      <c r="HR79" s="1745"/>
      <c r="HS79" s="1946"/>
      <c r="HT79" s="1946"/>
      <c r="JD79" s="2088">
        <f>'I - Capital RLM'!A79</f>
        <v>55</v>
      </c>
      <c r="JE79" s="2126">
        <f>'I - Capital RLM'!B79</f>
        <v>0</v>
      </c>
      <c r="JF79" s="2010">
        <f>'I - Capital RLM'!C79</f>
        <v>0</v>
      </c>
      <c r="JG79" s="2010">
        <f>'I - Capital RLM'!D79</f>
        <v>0</v>
      </c>
      <c r="JH79" s="2118">
        <f>'I - Capital RLM'!E79</f>
        <v>0</v>
      </c>
      <c r="JI79" s="1943">
        <f>'I - Capital RLM'!F79</f>
        <v>0</v>
      </c>
      <c r="JJ79" s="2010">
        <f>'I - Capital RLM'!G79</f>
        <v>0</v>
      </c>
      <c r="JK79" s="2010">
        <f>'I - Capital RLM'!H79</f>
        <v>0</v>
      </c>
      <c r="JL79" s="2118">
        <f>'I - Capital RLM'!I79</f>
        <v>0</v>
      </c>
      <c r="JM79" s="2060"/>
      <c r="JN79" s="1890">
        <f>'I - Capital RLM'!K79</f>
        <v>0</v>
      </c>
      <c r="JO79" s="2060">
        <f t="shared" si="20"/>
        <v>0</v>
      </c>
      <c r="JQ79" s="2196"/>
      <c r="JR79" s="1745"/>
      <c r="JS79" s="1745"/>
      <c r="JT79" s="1745"/>
      <c r="JU79" s="1745"/>
      <c r="JV79" s="1745"/>
      <c r="JW79" s="1745"/>
      <c r="JX79" s="1745"/>
      <c r="JY79" s="1745"/>
      <c r="JZ79" s="1745"/>
      <c r="KA79" s="1745"/>
      <c r="KB79" s="1745"/>
      <c r="KC79" s="1745"/>
      <c r="KD79" s="1745"/>
      <c r="KE79" s="1745"/>
      <c r="KF79" s="1745"/>
      <c r="KG79" s="1745"/>
      <c r="KH79" s="1745"/>
      <c r="KI79" s="1745"/>
      <c r="KJ79" s="1745"/>
      <c r="KK79" s="2060"/>
      <c r="LL79" s="814"/>
      <c r="LM79" s="2394">
        <f>'M - Aged Debtors'!B79</f>
        <v>0</v>
      </c>
      <c r="LN79" s="2395">
        <f>'M - Aged Debtors'!C79</f>
        <v>0</v>
      </c>
      <c r="LO79" s="2396">
        <f>'M - Aged Debtors'!D79</f>
        <v>0</v>
      </c>
      <c r="LP79" s="2397">
        <f>'M - Aged Debtors'!E79</f>
        <v>0</v>
      </c>
      <c r="LQ79" s="2398">
        <f>'M - Aged Debtors'!F79</f>
        <v>0</v>
      </c>
      <c r="LR79" s="832" t="str">
        <f>'M - Aged Debtors'!G79</f>
        <v/>
      </c>
      <c r="LS79" s="829" t="str">
        <f>'M - Aged Debtors'!H79</f>
        <v/>
      </c>
      <c r="LT79" s="829" t="str">
        <f>'M - Aged Debtors'!I79</f>
        <v/>
      </c>
      <c r="LU79" s="830" t="str">
        <f>'M - Aged Debtors'!J79</f>
        <v/>
      </c>
      <c r="LV79" s="1830">
        <f>'M - Aged Debtors'!K79</f>
        <v>0</v>
      </c>
      <c r="LX79" s="3114" t="str">
        <f>'N - GMS'!A79</f>
        <v>Extended Minor Surgery</v>
      </c>
      <c r="LY79" s="3131"/>
      <c r="LZ79" s="461">
        <f>'N - GMS'!C79</f>
        <v>54</v>
      </c>
      <c r="MA79" s="67">
        <f>'N - GMS'!D79</f>
        <v>0</v>
      </c>
      <c r="MB79" s="2387">
        <f>'N - GMS'!E79</f>
        <v>0</v>
      </c>
      <c r="MC79" s="2387">
        <f>'N - GMS'!F79</f>
        <v>0</v>
      </c>
      <c r="MD79" s="463">
        <f>'N - GMS'!G79</f>
        <v>0</v>
      </c>
      <c r="ME79" s="213"/>
      <c r="MF79" s="1028">
        <f>'N - GMS'!I79</f>
        <v>0</v>
      </c>
      <c r="MR79" s="684"/>
      <c r="MS79" s="2674" t="str">
        <f>'P - Ringfenced'!B79</f>
        <v>Planned Care (Confirm in below text 'Allocated' or 'Anticipated')</v>
      </c>
      <c r="MT79" s="2673" t="str">
        <f>'P - Ringfenced'!C79</f>
        <v>£000s</v>
      </c>
      <c r="MU79" s="1468"/>
      <c r="MV79" s="1468"/>
      <c r="MW79" s="1468"/>
      <c r="MX79" s="1468"/>
      <c r="MY79" s="1468"/>
      <c r="MZ79" s="1468"/>
      <c r="NA79" s="1468"/>
      <c r="NB79" s="1468"/>
      <c r="NC79" s="1468"/>
      <c r="ND79" s="1468"/>
      <c r="NE79" s="1468"/>
      <c r="NF79" s="1468"/>
      <c r="NG79" s="1468"/>
      <c r="NH79" s="1468"/>
      <c r="NI79" s="1468"/>
      <c r="NJ79" s="684"/>
      <c r="NK79" s="684"/>
    </row>
    <row r="80" spans="57:376" ht="20.149999999999999" customHeight="1" thickBot="1">
      <c r="BE80" s="2065">
        <f>'B - Monthly Positions'!A79</f>
        <v>47</v>
      </c>
      <c r="BF80" s="2362" t="str">
        <f>'B - Monthly Positions'!B79</f>
        <v>Donated Asset Depreciation</v>
      </c>
      <c r="BG80" s="82" t="str">
        <f>'B - Monthly Positions'!C79</f>
        <v>Actual/F'cast</v>
      </c>
      <c r="BH80" s="1841">
        <f>'B - Monthly Positions'!D79</f>
        <v>0</v>
      </c>
      <c r="BI80" s="1842">
        <f>'B - Monthly Positions'!E79</f>
        <v>0</v>
      </c>
      <c r="BJ80" s="1842">
        <f>'B - Monthly Positions'!F79</f>
        <v>0</v>
      </c>
      <c r="BK80" s="1842">
        <f>'B - Monthly Positions'!G79</f>
        <v>0</v>
      </c>
      <c r="BL80" s="1842">
        <f>'B - Monthly Positions'!H79</f>
        <v>0</v>
      </c>
      <c r="BM80" s="1842">
        <f>'B - Monthly Positions'!I79</f>
        <v>0</v>
      </c>
      <c r="BN80" s="1842">
        <f>'B - Monthly Positions'!J79</f>
        <v>0</v>
      </c>
      <c r="BO80" s="1842">
        <f>'B - Monthly Positions'!K79</f>
        <v>0</v>
      </c>
      <c r="BP80" s="1842">
        <f>'B - Monthly Positions'!L79</f>
        <v>0</v>
      </c>
      <c r="BQ80" s="1842">
        <f>'B - Monthly Positions'!M79</f>
        <v>0</v>
      </c>
      <c r="BR80" s="1842">
        <f>'B - Monthly Positions'!N79</f>
        <v>0</v>
      </c>
      <c r="BS80" s="1843">
        <f>'B - Monthly Positions'!O79</f>
        <v>0</v>
      </c>
      <c r="BT80" s="1081">
        <f>'B - Monthly Positions'!P79</f>
        <v>0</v>
      </c>
      <c r="BU80" s="1067">
        <f>'B - Monthly Positions'!Q79</f>
        <v>0</v>
      </c>
      <c r="BV80" s="1930"/>
      <c r="BW80" s="1930"/>
      <c r="BX80" s="91">
        <f>' Table Z Net Exp Profiles'!A80</f>
        <v>57</v>
      </c>
      <c r="BY80" s="2500" t="str">
        <f>' Table Z Net Exp Profiles'!B80</f>
        <v>Non Delivery of Finalised (M1) Medicines Management Savings due to Covid-19 - Actual/Forecast (Negative Values)</v>
      </c>
      <c r="BZ80" s="2501">
        <f>' Table Z Net Exp Profiles'!C80</f>
        <v>0</v>
      </c>
      <c r="CA80" s="1189">
        <f>' Table Z Net Exp Profiles'!D80</f>
        <v>0</v>
      </c>
      <c r="CB80" s="1189">
        <f>' Table Z Net Exp Profiles'!E80</f>
        <v>0</v>
      </c>
      <c r="CC80" s="1189">
        <f>' Table Z Net Exp Profiles'!F80</f>
        <v>0</v>
      </c>
      <c r="CD80" s="1189">
        <f>' Table Z Net Exp Profiles'!G80</f>
        <v>0</v>
      </c>
      <c r="CE80" s="1189">
        <f>' Table Z Net Exp Profiles'!H80</f>
        <v>0</v>
      </c>
      <c r="CF80" s="1189">
        <f>' Table Z Net Exp Profiles'!I80</f>
        <v>0</v>
      </c>
      <c r="CG80" s="1189">
        <f>' Table Z Net Exp Profiles'!J80</f>
        <v>0</v>
      </c>
      <c r="CH80" s="1189">
        <f>' Table Z Net Exp Profiles'!K80</f>
        <v>0</v>
      </c>
      <c r="CI80" s="1189">
        <f>' Table Z Net Exp Profiles'!L80</f>
        <v>0</v>
      </c>
      <c r="CJ80" s="1189">
        <f>' Table Z Net Exp Profiles'!M80</f>
        <v>0</v>
      </c>
      <c r="CK80" s="1189">
        <f>' Table Z Net Exp Profiles'!N80</f>
        <v>0</v>
      </c>
      <c r="CL80" s="1692">
        <f>' Table Z Net Exp Profiles'!O80</f>
        <v>0</v>
      </c>
      <c r="CM80" s="1692">
        <f>' Table Z Net Exp Profiles'!P80</f>
        <v>0</v>
      </c>
      <c r="DF80" s="2757">
        <f>'B3 - COVID-19'!A80</f>
        <v>57</v>
      </c>
      <c r="DG80" s="2835" t="str">
        <f>'B3 - COVID-19'!B80</f>
        <v xml:space="preserve">Movement From Opening Planned COVID-19 Vaccination (Immunisation) Programme Expenditure </v>
      </c>
      <c r="DH80" s="2778">
        <f>'B3 - COVID-19'!C80</f>
        <v>0</v>
      </c>
      <c r="DI80" s="1908">
        <f>'B3 - COVID-19'!D80</f>
        <v>0</v>
      </c>
      <c r="DJ80" s="1908">
        <f>'B3 - COVID-19'!E80</f>
        <v>0</v>
      </c>
      <c r="DK80" s="1908">
        <f>'B3 - COVID-19'!F80</f>
        <v>0</v>
      </c>
      <c r="DL80" s="1908">
        <f>'B3 - COVID-19'!G80</f>
        <v>0</v>
      </c>
      <c r="DM80" s="1908">
        <f>'B3 - COVID-19'!H80</f>
        <v>0</v>
      </c>
      <c r="DN80" s="1908">
        <f>'B3 - COVID-19'!I80</f>
        <v>0</v>
      </c>
      <c r="DO80" s="1908">
        <f>'B3 - COVID-19'!J80</f>
        <v>0</v>
      </c>
      <c r="DP80" s="1908">
        <f>'B3 - COVID-19'!K80</f>
        <v>0</v>
      </c>
      <c r="DQ80" s="1908">
        <f>'B3 - COVID-19'!L80</f>
        <v>0</v>
      </c>
      <c r="DR80" s="1908">
        <f>'B3 - COVID-19'!M80</f>
        <v>0</v>
      </c>
      <c r="DS80" s="1908">
        <f>'B3 - COVID-19'!N80</f>
        <v>0</v>
      </c>
      <c r="DT80" s="1908">
        <f>'B3 - COVID-19'!O80</f>
        <v>0</v>
      </c>
      <c r="DU80" s="1908">
        <f>'B3 - COVID-19'!P80</f>
        <v>0</v>
      </c>
      <c r="DV80" s="608"/>
      <c r="DW80" s="1116"/>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30"/>
      <c r="EQ80" s="1930"/>
      <c r="ER80" s="1930"/>
      <c r="ES80" s="1930"/>
      <c r="ET80" s="1930"/>
      <c r="EU80" s="1930"/>
      <c r="EV80" s="1930"/>
      <c r="EW80" s="1930"/>
      <c r="EX80" s="1932"/>
      <c r="EY80" s="1932"/>
      <c r="EZ80" s="1932"/>
      <c r="FA80" s="1932"/>
      <c r="FB80" s="1932"/>
      <c r="FC80" s="1932"/>
      <c r="FD80" s="1932"/>
      <c r="FE80" s="1932"/>
      <c r="FF80" s="1932"/>
      <c r="FG80" s="1932"/>
      <c r="FH80" s="1932"/>
      <c r="FI80" s="1932"/>
      <c r="FJ80" s="1932"/>
      <c r="FK80" s="1932"/>
      <c r="FL80" s="1932"/>
      <c r="FM80" s="1932"/>
      <c r="FN80" s="1932"/>
      <c r="FO80" s="1932"/>
      <c r="FP80" s="1932"/>
      <c r="FQ80" s="1932"/>
      <c r="FR80" s="1932"/>
      <c r="FS80" s="1932"/>
      <c r="GF80" s="2404">
        <f>'E - Resource Limits'!A80</f>
        <v>65</v>
      </c>
      <c r="GG80" s="2425" t="str">
        <f>'E - Resource Limits'!B80</f>
        <v>Anticipated Resources Per 2. above</v>
      </c>
      <c r="GH80" s="2292">
        <f>'E - Resource Limits'!C80</f>
        <v>0</v>
      </c>
      <c r="GI80" s="2292">
        <f>'E - Resource Limits'!D80</f>
        <v>0</v>
      </c>
      <c r="GJ80" s="2292">
        <f>'E - Resource Limits'!E80</f>
        <v>0</v>
      </c>
      <c r="GK80" s="2292">
        <f>'E - Resource Limits'!F80</f>
        <v>0</v>
      </c>
      <c r="GL80" s="2292">
        <f>'E - Resource Limits'!G80</f>
        <v>0</v>
      </c>
      <c r="GM80" s="2426"/>
      <c r="GN80" s="2292">
        <f>'E - Resource Limits'!I80</f>
        <v>0</v>
      </c>
      <c r="GO80" s="2292">
        <f>'E - Resource Limits'!J80</f>
        <v>0</v>
      </c>
      <c r="GP80" s="2292">
        <f>'E - Resource Limits'!K80</f>
        <v>0</v>
      </c>
      <c r="GQ80" s="2097"/>
      <c r="GR80" s="1935"/>
      <c r="GT80" s="346">
        <f>'E1 - Invoiced Income'!A80</f>
        <v>65</v>
      </c>
      <c r="GU80" s="593">
        <f>'E1 - Invoiced Income'!B80</f>
        <v>0</v>
      </c>
      <c r="GV80" s="25">
        <f>'E1 - Invoiced Income'!C80</f>
        <v>0</v>
      </c>
      <c r="GW80" s="2527">
        <f>'E1 - Invoiced Income'!D80</f>
        <v>0</v>
      </c>
      <c r="GX80" s="196">
        <f>'E1 - Invoiced Income'!E80</f>
        <v>0</v>
      </c>
      <c r="GY80" s="2527">
        <f>'E1 - Invoiced Income'!F80</f>
        <v>0</v>
      </c>
      <c r="GZ80" s="2527">
        <f>'E1 - Invoiced Income'!G80</f>
        <v>0</v>
      </c>
      <c r="HA80" s="2527">
        <f>'E1 - Invoiced Income'!H80</f>
        <v>0</v>
      </c>
      <c r="HB80" s="2527">
        <f>'E1 - Invoiced Income'!I80</f>
        <v>0</v>
      </c>
      <c r="HC80" s="71"/>
      <c r="HD80" s="71"/>
      <c r="HE80" s="71"/>
      <c r="HF80" s="71"/>
      <c r="HG80" s="71"/>
      <c r="HH80" s="71"/>
      <c r="HI80" s="71"/>
      <c r="HJ80" s="71"/>
      <c r="HK80" s="71"/>
      <c r="HL80" s="71"/>
      <c r="HM80" s="71"/>
      <c r="JD80" s="2073">
        <f>'I - Capital RLM'!A80</f>
        <v>56</v>
      </c>
      <c r="JE80" s="2126">
        <f>'I - Capital RLM'!B80</f>
        <v>0</v>
      </c>
      <c r="JF80" s="2010">
        <f>'I - Capital RLM'!C80</f>
        <v>0</v>
      </c>
      <c r="JG80" s="2010">
        <f>'I - Capital RLM'!D80</f>
        <v>0</v>
      </c>
      <c r="JH80" s="2118">
        <f>'I - Capital RLM'!E80</f>
        <v>0</v>
      </c>
      <c r="JI80" s="1943">
        <f>'I - Capital RLM'!F80</f>
        <v>0</v>
      </c>
      <c r="JJ80" s="2010">
        <f>'I - Capital RLM'!G80</f>
        <v>0</v>
      </c>
      <c r="JK80" s="2010">
        <f>'I - Capital RLM'!H80</f>
        <v>0</v>
      </c>
      <c r="JL80" s="2118">
        <f>'I - Capital RLM'!I80</f>
        <v>0</v>
      </c>
      <c r="JM80" s="2060"/>
      <c r="JN80" s="1890">
        <f>'I - Capital RLM'!K80</f>
        <v>0</v>
      </c>
      <c r="JO80" s="2060">
        <f t="shared" si="20"/>
        <v>0</v>
      </c>
      <c r="JQ80" s="2196"/>
      <c r="JR80" s="1745"/>
      <c r="JS80" s="1745"/>
      <c r="JT80" s="1745"/>
      <c r="JU80" s="1745"/>
      <c r="JV80" s="1745"/>
      <c r="JW80" s="1745"/>
      <c r="JX80" s="1745"/>
      <c r="JY80" s="1745"/>
      <c r="JZ80" s="1745"/>
      <c r="KA80" s="1745"/>
      <c r="KB80" s="1745"/>
      <c r="KC80" s="1745"/>
      <c r="KD80" s="1745"/>
      <c r="KE80" s="1745"/>
      <c r="KF80" s="1745"/>
      <c r="KG80" s="1745"/>
      <c r="KH80" s="1745"/>
      <c r="KI80" s="1745"/>
      <c r="KJ80" s="1745"/>
      <c r="KK80" s="2060"/>
      <c r="LL80" s="814"/>
      <c r="LM80" s="2394">
        <f>'M - Aged Debtors'!B80</f>
        <v>0</v>
      </c>
      <c r="LN80" s="2395">
        <f>'M - Aged Debtors'!C80</f>
        <v>0</v>
      </c>
      <c r="LO80" s="2396">
        <f>'M - Aged Debtors'!D80</f>
        <v>0</v>
      </c>
      <c r="LP80" s="2397">
        <f>'M - Aged Debtors'!E80</f>
        <v>0</v>
      </c>
      <c r="LQ80" s="2398">
        <f>'M - Aged Debtors'!F80</f>
        <v>0</v>
      </c>
      <c r="LR80" s="832" t="str">
        <f>'M - Aged Debtors'!G80</f>
        <v/>
      </c>
      <c r="LS80" s="829" t="str">
        <f>'M - Aged Debtors'!H80</f>
        <v/>
      </c>
      <c r="LT80" s="829" t="str">
        <f>'M - Aged Debtors'!I80</f>
        <v/>
      </c>
      <c r="LU80" s="830" t="str">
        <f>'M - Aged Debtors'!J80</f>
        <v/>
      </c>
      <c r="LV80" s="1830">
        <f>'M - Aged Debtors'!K80</f>
        <v>0</v>
      </c>
      <c r="LX80" s="3114" t="str">
        <f>'N - GMS'!A80</f>
        <v>Gonaderlins</v>
      </c>
      <c r="LY80" s="3131"/>
      <c r="LZ80" s="461">
        <f>'N - GMS'!C80</f>
        <v>55</v>
      </c>
      <c r="MA80" s="67">
        <f>'N - GMS'!D80</f>
        <v>0</v>
      </c>
      <c r="MB80" s="2387">
        <f>'N - GMS'!E80</f>
        <v>0</v>
      </c>
      <c r="MC80" s="2387">
        <f>'N - GMS'!F80</f>
        <v>0</v>
      </c>
      <c r="MD80" s="463">
        <f>'N - GMS'!G80</f>
        <v>0</v>
      </c>
      <c r="ME80" s="213"/>
      <c r="MF80" s="1028">
        <f>'N - GMS'!I80</f>
        <v>0</v>
      </c>
      <c r="MR80" s="684"/>
      <c r="MS80" s="2772">
        <f>'P - Ringfenced'!B80</f>
        <v>0</v>
      </c>
      <c r="MT80" s="2702">
        <f>'P - Ringfenced'!C80</f>
        <v>0</v>
      </c>
      <c r="MU80" s="1468"/>
      <c r="MV80" s="1468"/>
      <c r="MW80" s="1468"/>
      <c r="MX80" s="1468"/>
      <c r="MY80" s="1468"/>
      <c r="MZ80" s="1468"/>
      <c r="NA80" s="1468"/>
      <c r="NB80" s="1468"/>
      <c r="NC80" s="1468"/>
      <c r="ND80" s="1468"/>
      <c r="NE80" s="1468"/>
      <c r="NF80" s="1468"/>
      <c r="NG80" s="1468"/>
      <c r="NH80" s="1468"/>
      <c r="NI80" s="1468"/>
      <c r="NJ80" s="684"/>
      <c r="NK80" s="684"/>
    </row>
    <row r="81" spans="57:375" ht="20.149999999999999" customHeight="1" thickBot="1">
      <c r="BE81" s="2065">
        <f>'B - Monthly Positions'!A80</f>
        <v>48</v>
      </c>
      <c r="BF81" s="2344" t="str">
        <f>'B - Monthly Positions'!B80</f>
        <v>Impairments (including Reversals)</v>
      </c>
      <c r="BG81" s="2215" t="str">
        <f>'B - Monthly Positions'!C80</f>
        <v>Actual/F'cast</v>
      </c>
      <c r="BH81" s="1800">
        <f>'B - Monthly Positions'!D80</f>
        <v>0</v>
      </c>
      <c r="BI81" s="1801">
        <f>'B - Monthly Positions'!E80</f>
        <v>0</v>
      </c>
      <c r="BJ81" s="1801">
        <f>'B - Monthly Positions'!F80</f>
        <v>0</v>
      </c>
      <c r="BK81" s="1801">
        <f>'B - Monthly Positions'!G80</f>
        <v>0</v>
      </c>
      <c r="BL81" s="1801">
        <f>'B - Monthly Positions'!H80</f>
        <v>0</v>
      </c>
      <c r="BM81" s="1801">
        <f>'B - Monthly Positions'!I80</f>
        <v>0</v>
      </c>
      <c r="BN81" s="1801">
        <f>'B - Monthly Positions'!J80</f>
        <v>0</v>
      </c>
      <c r="BO81" s="1801">
        <f>'B - Monthly Positions'!K80</f>
        <v>0</v>
      </c>
      <c r="BP81" s="1801">
        <f>'B - Monthly Positions'!L80</f>
        <v>0</v>
      </c>
      <c r="BQ81" s="1801">
        <f>'B - Monthly Positions'!M80</f>
        <v>0</v>
      </c>
      <c r="BR81" s="1801">
        <f>'B - Monthly Positions'!N80</f>
        <v>0</v>
      </c>
      <c r="BS81" s="2349">
        <f>'B - Monthly Positions'!O80</f>
        <v>0</v>
      </c>
      <c r="BT81" s="1073">
        <f>'B - Monthly Positions'!P80</f>
        <v>0</v>
      </c>
      <c r="BU81" s="1067">
        <f>'B - Monthly Positions'!Q80</f>
        <v>0</v>
      </c>
      <c r="BV81" s="1930"/>
      <c r="BW81" s="1930"/>
      <c r="BX81" s="144">
        <f>' Table Z Net Exp Profiles'!A81</f>
        <v>58</v>
      </c>
      <c r="BY81" s="1688" t="str">
        <f>' Table Z Net Exp Profiles'!B81</f>
        <v>Medicines Management Savings Movement Not due to Covid-19</v>
      </c>
      <c r="BZ81" s="1218">
        <f>' Table Z Net Exp Profiles'!C81</f>
        <v>0</v>
      </c>
      <c r="CA81" s="1219">
        <f>' Table Z Net Exp Profiles'!D81</f>
        <v>0</v>
      </c>
      <c r="CB81" s="1219">
        <f>' Table Z Net Exp Profiles'!E81</f>
        <v>0</v>
      </c>
      <c r="CC81" s="1219">
        <f>' Table Z Net Exp Profiles'!F81</f>
        <v>0</v>
      </c>
      <c r="CD81" s="1219">
        <f>' Table Z Net Exp Profiles'!G81</f>
        <v>0</v>
      </c>
      <c r="CE81" s="1219">
        <f>' Table Z Net Exp Profiles'!H81</f>
        <v>0</v>
      </c>
      <c r="CF81" s="1219">
        <f>' Table Z Net Exp Profiles'!I81</f>
        <v>0</v>
      </c>
      <c r="CG81" s="1219">
        <f>' Table Z Net Exp Profiles'!J81</f>
        <v>0</v>
      </c>
      <c r="CH81" s="1219">
        <f>' Table Z Net Exp Profiles'!K81</f>
        <v>0</v>
      </c>
      <c r="CI81" s="1219">
        <f>' Table Z Net Exp Profiles'!L81</f>
        <v>0</v>
      </c>
      <c r="CJ81" s="1219">
        <f>' Table Z Net Exp Profiles'!M81</f>
        <v>0</v>
      </c>
      <c r="CK81" s="1362">
        <f>' Table Z Net Exp Profiles'!N81</f>
        <v>0</v>
      </c>
      <c r="CL81" s="1101">
        <f>' Table Z Net Exp Profiles'!O81</f>
        <v>0</v>
      </c>
      <c r="CM81" s="1101">
        <f>' Table Z Net Exp Profiles'!P81</f>
        <v>0</v>
      </c>
      <c r="DF81" s="2486"/>
      <c r="DG81" s="1116"/>
      <c r="DH81" s="1918"/>
      <c r="DI81" s="1918"/>
      <c r="DJ81" s="1918"/>
      <c r="DK81" s="1918"/>
      <c r="DL81" s="1918"/>
      <c r="DM81" s="1918"/>
      <c r="DN81" s="1918"/>
      <c r="DO81" s="1918"/>
      <c r="DP81" s="1918"/>
      <c r="DQ81" s="1918"/>
      <c r="DR81" s="1918"/>
      <c r="DS81" s="1918"/>
      <c r="DT81" s="1918"/>
      <c r="DU81" s="1918"/>
      <c r="DV81" s="608"/>
      <c r="DW81" s="1116"/>
      <c r="DY81" s="128"/>
      <c r="DZ81" s="3135"/>
      <c r="EA81" s="3136"/>
      <c r="EB81" s="2430" t="s">
        <v>181</v>
      </c>
      <c r="EC81" s="2431" t="s">
        <v>89</v>
      </c>
      <c r="ED81" s="2431" t="s">
        <v>90</v>
      </c>
      <c r="EE81" s="2430" t="s">
        <v>91</v>
      </c>
      <c r="EF81" s="2431" t="s">
        <v>92</v>
      </c>
      <c r="EG81" s="2431" t="s">
        <v>93</v>
      </c>
      <c r="EH81" s="2430" t="s">
        <v>94</v>
      </c>
      <c r="EI81" s="2431" t="s">
        <v>95</v>
      </c>
      <c r="EJ81" s="2431" t="s">
        <v>96</v>
      </c>
      <c r="EK81" s="2430" t="s">
        <v>97</v>
      </c>
      <c r="EL81" s="2431" t="s">
        <v>98</v>
      </c>
      <c r="EM81" s="2432" t="s">
        <v>99</v>
      </c>
      <c r="EN81" s="3046"/>
      <c r="EO81" s="3048"/>
      <c r="EP81" s="1930"/>
      <c r="EQ81" s="1930"/>
      <c r="ER81" s="1930"/>
      <c r="ES81" s="1930"/>
      <c r="ET81" s="1930"/>
      <c r="EU81" s="1930"/>
      <c r="EV81" s="1930"/>
      <c r="EW81" s="1930"/>
      <c r="EX81" s="1932"/>
      <c r="EY81" s="1932"/>
      <c r="EZ81" s="1932"/>
      <c r="FA81" s="1932"/>
      <c r="FB81" s="1932"/>
      <c r="FC81" s="1932"/>
      <c r="FD81" s="1932"/>
      <c r="FE81" s="1932"/>
      <c r="FF81" s="1932"/>
      <c r="FG81" s="1932"/>
      <c r="FH81" s="1932"/>
      <c r="FI81" s="1932"/>
      <c r="FJ81" s="1932"/>
      <c r="FK81" s="1932"/>
      <c r="FL81" s="1932"/>
      <c r="FM81" s="1932"/>
      <c r="FN81" s="1932"/>
      <c r="FO81" s="1932"/>
      <c r="FP81" s="1932"/>
      <c r="FQ81" s="1932"/>
      <c r="FR81" s="1932"/>
      <c r="FS81" s="1932"/>
      <c r="GF81" s="2404">
        <f>'E - Resource Limits'!A81</f>
        <v>66</v>
      </c>
      <c r="GG81" s="2405" t="str">
        <f>'E - Resource Limits'!B81</f>
        <v>Total Resources</v>
      </c>
      <c r="GH81" s="2406">
        <f>'E - Resource Limits'!C81</f>
        <v>0</v>
      </c>
      <c r="GI81" s="2406">
        <f>'E - Resource Limits'!D81</f>
        <v>0</v>
      </c>
      <c r="GJ81" s="2406">
        <f>'E - Resource Limits'!E81</f>
        <v>0</v>
      </c>
      <c r="GK81" s="2406">
        <f>'E - Resource Limits'!F81</f>
        <v>0</v>
      </c>
      <c r="GL81" s="2406">
        <f>'E - Resource Limits'!G81</f>
        <v>0</v>
      </c>
      <c r="GM81" s="2407"/>
      <c r="GN81" s="2406">
        <f>'E - Resource Limits'!I81</f>
        <v>0</v>
      </c>
      <c r="GO81" s="2406">
        <f>'E - Resource Limits'!J81</f>
        <v>0</v>
      </c>
      <c r="GP81" s="2406">
        <f>'E - Resource Limits'!K81</f>
        <v>0</v>
      </c>
      <c r="GQ81" s="2097"/>
      <c r="GR81" s="1935"/>
      <c r="GT81" s="346">
        <f>'E1 - Invoiced Income'!A81</f>
        <v>66</v>
      </c>
      <c r="GU81" s="593">
        <f>'E1 - Invoiced Income'!B81</f>
        <v>0</v>
      </c>
      <c r="GV81" s="25">
        <f>'E1 - Invoiced Income'!C81</f>
        <v>0</v>
      </c>
      <c r="GW81" s="2527">
        <f>'E1 - Invoiced Income'!D81</f>
        <v>0</v>
      </c>
      <c r="GX81" s="196">
        <f>'E1 - Invoiced Income'!E81</f>
        <v>0</v>
      </c>
      <c r="GY81" s="2527">
        <f>'E1 - Invoiced Income'!F81</f>
        <v>0</v>
      </c>
      <c r="GZ81" s="2527">
        <f>'E1 - Invoiced Income'!G81</f>
        <v>0</v>
      </c>
      <c r="HA81" s="2527">
        <f>'E1 - Invoiced Income'!H81</f>
        <v>0</v>
      </c>
      <c r="HB81" s="2527">
        <f>'E1 - Invoiced Income'!I81</f>
        <v>0</v>
      </c>
      <c r="HC81" s="71"/>
      <c r="HD81" s="71"/>
      <c r="HE81" s="71"/>
      <c r="HF81" s="71"/>
      <c r="HG81" s="71"/>
      <c r="HH81" s="71"/>
      <c r="HI81" s="71"/>
      <c r="HJ81" s="71"/>
      <c r="HK81" s="71"/>
      <c r="HL81" s="71"/>
      <c r="HM81" s="71"/>
      <c r="JD81" s="2088">
        <f>'I - Capital RLM'!A81</f>
        <v>57</v>
      </c>
      <c r="JE81" s="2126">
        <f>'I - Capital RLM'!B81</f>
        <v>0</v>
      </c>
      <c r="JF81" s="2010">
        <f>'I - Capital RLM'!C81</f>
        <v>0</v>
      </c>
      <c r="JG81" s="2010">
        <f>'I - Capital RLM'!D81</f>
        <v>0</v>
      </c>
      <c r="JH81" s="2118">
        <f>'I - Capital RLM'!E81</f>
        <v>0</v>
      </c>
      <c r="JI81" s="1943">
        <f>'I - Capital RLM'!F81</f>
        <v>0</v>
      </c>
      <c r="JJ81" s="2010">
        <f>'I - Capital RLM'!G81</f>
        <v>0</v>
      </c>
      <c r="JK81" s="2010">
        <f>'I - Capital RLM'!H81</f>
        <v>0</v>
      </c>
      <c r="JL81" s="2118">
        <f>'I - Capital RLM'!I81</f>
        <v>0</v>
      </c>
      <c r="JM81" s="2060"/>
      <c r="JN81" s="1890">
        <f>'I - Capital RLM'!K81</f>
        <v>0</v>
      </c>
      <c r="JO81" s="2060">
        <f t="shared" si="20"/>
        <v>0</v>
      </c>
      <c r="JQ81" s="2196"/>
      <c r="JR81" s="1745"/>
      <c r="JS81" s="1745"/>
      <c r="JT81" s="1745"/>
      <c r="JU81" s="1745"/>
      <c r="JV81" s="1745"/>
      <c r="JW81" s="1745"/>
      <c r="JX81" s="1745"/>
      <c r="JY81" s="1745"/>
      <c r="JZ81" s="1745"/>
      <c r="KA81" s="1745"/>
      <c r="KB81" s="1745"/>
      <c r="KC81" s="1745"/>
      <c r="KD81" s="1745"/>
      <c r="KE81" s="1745"/>
      <c r="KF81" s="1745"/>
      <c r="KG81" s="1745"/>
      <c r="KH81" s="1745"/>
      <c r="KI81" s="1745"/>
      <c r="KJ81" s="1745"/>
      <c r="KK81" s="2060"/>
      <c r="LL81" s="814"/>
      <c r="LM81" s="2394">
        <f>'M - Aged Debtors'!B81</f>
        <v>0</v>
      </c>
      <c r="LN81" s="2395">
        <f>'M - Aged Debtors'!C81</f>
        <v>0</v>
      </c>
      <c r="LO81" s="2396">
        <f>'M - Aged Debtors'!D81</f>
        <v>0</v>
      </c>
      <c r="LP81" s="2397">
        <f>'M - Aged Debtors'!E81</f>
        <v>0</v>
      </c>
      <c r="LQ81" s="2398">
        <f>'M - Aged Debtors'!F81</f>
        <v>0</v>
      </c>
      <c r="LR81" s="832" t="str">
        <f>'M - Aged Debtors'!G81</f>
        <v/>
      </c>
      <c r="LS81" s="829" t="str">
        <f>'M - Aged Debtors'!H81</f>
        <v/>
      </c>
      <c r="LT81" s="829" t="str">
        <f>'M - Aged Debtors'!I81</f>
        <v/>
      </c>
      <c r="LU81" s="830" t="str">
        <f>'M - Aged Debtors'!J81</f>
        <v/>
      </c>
      <c r="LV81" s="1830">
        <f>'M - Aged Debtors'!K81</f>
        <v>0</v>
      </c>
      <c r="LX81" s="3114" t="str">
        <f>'N - GMS'!A81</f>
        <v>Homeless</v>
      </c>
      <c r="LY81" s="3132"/>
      <c r="LZ81" s="461">
        <f>'N - GMS'!C81</f>
        <v>56</v>
      </c>
      <c r="MA81" s="67">
        <f>'N - GMS'!D81</f>
        <v>0</v>
      </c>
      <c r="MB81" s="2387">
        <f>'N - GMS'!E81</f>
        <v>0</v>
      </c>
      <c r="MC81" s="2387">
        <f>'N - GMS'!F81</f>
        <v>0</v>
      </c>
      <c r="MD81" s="463">
        <f>'N - GMS'!G81</f>
        <v>0</v>
      </c>
      <c r="ME81" s="213"/>
      <c r="MF81" s="1028">
        <f>'N - GMS'!I81</f>
        <v>0</v>
      </c>
      <c r="MR81" s="684"/>
      <c r="MS81" s="2772">
        <f>'P - Ringfenced'!B81</f>
        <v>0</v>
      </c>
      <c r="MT81" s="2703">
        <f>'P - Ringfenced'!C81</f>
        <v>0</v>
      </c>
      <c r="MU81" s="1468"/>
      <c r="MV81" s="1468"/>
      <c r="MW81" s="1468"/>
      <c r="MX81" s="1468"/>
      <c r="MY81" s="1468"/>
      <c r="MZ81" s="1468"/>
      <c r="NA81" s="1468"/>
      <c r="NB81" s="1468"/>
      <c r="NC81" s="1468"/>
      <c r="ND81" s="1468"/>
      <c r="NE81" s="1468"/>
      <c r="NF81" s="1468"/>
      <c r="NG81" s="1468"/>
      <c r="NH81" s="1468"/>
      <c r="NI81" s="1468"/>
      <c r="NJ81" s="684"/>
      <c r="NK81" s="684"/>
    </row>
    <row r="82" spans="57:375" ht="20.149999999999999" customHeight="1" thickBot="1">
      <c r="BE82" s="2065">
        <f>'B - Monthly Positions'!A81</f>
        <v>49</v>
      </c>
      <c r="BF82" s="2365" t="str">
        <f>'B - Monthly Positions'!B81</f>
        <v>IFRS 16 Leases (Peppercorn)</v>
      </c>
      <c r="BG82" s="95" t="str">
        <f>'B - Monthly Positions'!C81</f>
        <v>Actual/F'cast</v>
      </c>
      <c r="BH82" s="2366">
        <f>'B - Monthly Positions'!D81</f>
        <v>0</v>
      </c>
      <c r="BI82" s="2251">
        <f>'B - Monthly Positions'!E81</f>
        <v>0</v>
      </c>
      <c r="BJ82" s="2251">
        <f>'B - Monthly Positions'!F81</f>
        <v>0</v>
      </c>
      <c r="BK82" s="2251">
        <f>'B - Monthly Positions'!G81</f>
        <v>0</v>
      </c>
      <c r="BL82" s="2251">
        <f>'B - Monthly Positions'!H81</f>
        <v>0</v>
      </c>
      <c r="BM82" s="2251">
        <f>'B - Monthly Positions'!I81</f>
        <v>0</v>
      </c>
      <c r="BN82" s="2251">
        <f>'B - Monthly Positions'!J81</f>
        <v>0</v>
      </c>
      <c r="BO82" s="2251">
        <f>'B - Monthly Positions'!K81</f>
        <v>0</v>
      </c>
      <c r="BP82" s="2251">
        <f>'B - Monthly Positions'!L81</f>
        <v>0</v>
      </c>
      <c r="BQ82" s="2251">
        <f>'B - Monthly Positions'!M81</f>
        <v>0</v>
      </c>
      <c r="BR82" s="2251">
        <f>'B - Monthly Positions'!N81</f>
        <v>0</v>
      </c>
      <c r="BS82" s="2367">
        <f>'B - Monthly Positions'!O81</f>
        <v>0</v>
      </c>
      <c r="BT82" s="1073">
        <f>'B - Monthly Positions'!P81</f>
        <v>0</v>
      </c>
      <c r="BU82" s="1067">
        <f>'B - Monthly Positions'!Q81</f>
        <v>0</v>
      </c>
      <c r="BV82" s="1930"/>
      <c r="BX82" s="91">
        <f>' Table Z Net Exp Profiles'!A82</f>
        <v>59</v>
      </c>
      <c r="BY82" s="92" t="str">
        <f>' Table Z Net Exp Profiles'!B82</f>
        <v>Drugs Accountancy Gains - Actual/Forecast</v>
      </c>
      <c r="BZ82" s="1290">
        <f>' Table Z Net Exp Profiles'!C82</f>
        <v>0</v>
      </c>
      <c r="CA82" s="1291">
        <f>' Table Z Net Exp Profiles'!D82</f>
        <v>0</v>
      </c>
      <c r="CB82" s="1291">
        <f>' Table Z Net Exp Profiles'!E82</f>
        <v>0</v>
      </c>
      <c r="CC82" s="1291">
        <f>' Table Z Net Exp Profiles'!F82</f>
        <v>0</v>
      </c>
      <c r="CD82" s="1291">
        <f>' Table Z Net Exp Profiles'!G82</f>
        <v>0</v>
      </c>
      <c r="CE82" s="1291">
        <f>' Table Z Net Exp Profiles'!H82</f>
        <v>0</v>
      </c>
      <c r="CF82" s="1291">
        <f>' Table Z Net Exp Profiles'!I82</f>
        <v>0</v>
      </c>
      <c r="CG82" s="1291">
        <f>' Table Z Net Exp Profiles'!J82</f>
        <v>0</v>
      </c>
      <c r="CH82" s="1291">
        <f>' Table Z Net Exp Profiles'!K82</f>
        <v>0</v>
      </c>
      <c r="CI82" s="1291">
        <f>' Table Z Net Exp Profiles'!L82</f>
        <v>0</v>
      </c>
      <c r="CJ82" s="1291">
        <f>' Table Z Net Exp Profiles'!M82</f>
        <v>0</v>
      </c>
      <c r="CK82" s="1292">
        <f>' Table Z Net Exp Profiles'!N82</f>
        <v>0</v>
      </c>
      <c r="CL82" s="1215">
        <f>' Table Z Net Exp Profiles'!O82</f>
        <v>0</v>
      </c>
      <c r="CM82" s="1215">
        <f>' Table Z Net Exp Profiles'!P82</f>
        <v>0</v>
      </c>
      <c r="DF82" s="2730" t="str">
        <f>'B3 - COVID-19'!A82</f>
        <v>COVID-19 Vaccination Programme (immunisation)- Funding/Income</v>
      </c>
      <c r="DG82" s="2819"/>
      <c r="DH82" s="1918"/>
      <c r="DI82" s="1918"/>
      <c r="DJ82" s="1918"/>
      <c r="DK82" s="1918"/>
      <c r="DL82" s="1918"/>
      <c r="DM82" s="1918"/>
      <c r="DN82" s="1918"/>
      <c r="DO82" s="1918"/>
      <c r="DP82" s="1918"/>
      <c r="DQ82" s="1918"/>
      <c r="DR82" s="1918"/>
      <c r="DS82" s="1918"/>
      <c r="DT82" s="1918"/>
      <c r="DU82" s="1918"/>
      <c r="DV82" s="608"/>
      <c r="DW82" s="1116"/>
      <c r="DY82" s="128"/>
      <c r="DZ82" s="927"/>
      <c r="EA82" s="129"/>
      <c r="EB82" s="928" t="s">
        <v>50</v>
      </c>
      <c r="EC82" s="928" t="s">
        <v>50</v>
      </c>
      <c r="ED82" s="928" t="s">
        <v>50</v>
      </c>
      <c r="EE82" s="928" t="s">
        <v>50</v>
      </c>
      <c r="EF82" s="928" t="s">
        <v>50</v>
      </c>
      <c r="EG82" s="928" t="s">
        <v>50</v>
      </c>
      <c r="EH82" s="928" t="s">
        <v>50</v>
      </c>
      <c r="EI82" s="928" t="s">
        <v>50</v>
      </c>
      <c r="EJ82" s="928" t="s">
        <v>50</v>
      </c>
      <c r="EK82" s="928" t="s">
        <v>50</v>
      </c>
      <c r="EL82" s="928" t="s">
        <v>50</v>
      </c>
      <c r="EM82" s="147" t="s">
        <v>50</v>
      </c>
      <c r="EN82" s="145"/>
      <c r="EO82" s="96"/>
      <c r="EP82" s="1930"/>
      <c r="EQ82" s="1930"/>
      <c r="ER82" s="1930"/>
      <c r="ES82" s="1930"/>
      <c r="ET82" s="1930"/>
      <c r="EU82" s="1930"/>
      <c r="EV82" s="1930"/>
      <c r="EW82" s="1930"/>
      <c r="EX82" s="1932"/>
      <c r="EY82" s="1932"/>
      <c r="EZ82" s="1932"/>
      <c r="FA82" s="1932"/>
      <c r="FB82" s="1932"/>
      <c r="FC82" s="1932"/>
      <c r="FD82" s="1932"/>
      <c r="FE82" s="1932"/>
      <c r="FF82" s="1932"/>
      <c r="FG82" s="1932"/>
      <c r="FH82" s="1932"/>
      <c r="FI82" s="1932"/>
      <c r="FJ82" s="1932"/>
      <c r="FK82" s="1932"/>
      <c r="FL82" s="1932"/>
      <c r="FM82" s="1932"/>
      <c r="FN82" s="1932"/>
      <c r="FO82" s="1932"/>
      <c r="FP82" s="1932"/>
      <c r="FQ82" s="1932"/>
      <c r="FR82" s="1932"/>
      <c r="FS82" s="1932"/>
      <c r="GF82" s="354"/>
      <c r="GG82" s="354"/>
      <c r="GH82" s="354"/>
      <c r="GI82" s="354"/>
      <c r="GJ82" s="354"/>
      <c r="GK82" s="354"/>
      <c r="GL82" s="1745"/>
      <c r="GM82" s="1745"/>
      <c r="GN82" s="1745"/>
      <c r="GO82" s="1745"/>
      <c r="GP82" s="1745"/>
      <c r="GQ82" s="1745"/>
      <c r="GR82" s="1935"/>
      <c r="GT82" s="346">
        <f>'E1 - Invoiced Income'!A82</f>
        <v>67</v>
      </c>
      <c r="GU82" s="593">
        <f>'E1 - Invoiced Income'!B82</f>
        <v>0</v>
      </c>
      <c r="GV82" s="25">
        <f>'E1 - Invoiced Income'!C82</f>
        <v>0</v>
      </c>
      <c r="GW82" s="2527">
        <f>'E1 - Invoiced Income'!D82</f>
        <v>0</v>
      </c>
      <c r="GX82" s="196">
        <f>'E1 - Invoiced Income'!E82</f>
        <v>0</v>
      </c>
      <c r="GY82" s="2527">
        <f>'E1 - Invoiced Income'!F82</f>
        <v>0</v>
      </c>
      <c r="GZ82" s="2527">
        <f>'E1 - Invoiced Income'!G82</f>
        <v>0</v>
      </c>
      <c r="HA82" s="2527">
        <f>'E1 - Invoiced Income'!H82</f>
        <v>0</v>
      </c>
      <c r="HB82" s="2527">
        <f>'E1 - Invoiced Income'!I82</f>
        <v>0</v>
      </c>
      <c r="HC82" s="71"/>
      <c r="HD82" s="71"/>
      <c r="HE82" s="71"/>
      <c r="HF82" s="71"/>
      <c r="HG82" s="71"/>
      <c r="HH82" s="71"/>
      <c r="HI82" s="71"/>
      <c r="HJ82" s="71"/>
      <c r="HK82" s="71"/>
      <c r="HL82" s="71"/>
      <c r="HM82" s="71"/>
      <c r="JD82" s="2088">
        <f>'I - Capital RLM'!A82</f>
        <v>58</v>
      </c>
      <c r="JE82" s="2126">
        <f>'I - Capital RLM'!B82</f>
        <v>0</v>
      </c>
      <c r="JF82" s="2010">
        <f>'I - Capital RLM'!C82</f>
        <v>0</v>
      </c>
      <c r="JG82" s="2010">
        <f>'I - Capital RLM'!D82</f>
        <v>0</v>
      </c>
      <c r="JH82" s="2118">
        <f>'I - Capital RLM'!E82</f>
        <v>0</v>
      </c>
      <c r="JI82" s="1943">
        <f>'I - Capital RLM'!F82</f>
        <v>0</v>
      </c>
      <c r="JJ82" s="2010">
        <f>'I - Capital RLM'!G82</f>
        <v>0</v>
      </c>
      <c r="JK82" s="2010">
        <f>'I - Capital RLM'!H82</f>
        <v>0</v>
      </c>
      <c r="JL82" s="2118">
        <f>'I - Capital RLM'!I82</f>
        <v>0</v>
      </c>
      <c r="JM82" s="2060"/>
      <c r="JN82" s="1890">
        <f>'I - Capital RLM'!K82</f>
        <v>0</v>
      </c>
      <c r="JO82" s="2060">
        <f t="shared" si="20"/>
        <v>0</v>
      </c>
      <c r="JQ82" s="2196"/>
      <c r="JR82" s="1745"/>
      <c r="JS82" s="1745"/>
      <c r="JT82" s="1745"/>
      <c r="JU82" s="1745"/>
      <c r="JV82" s="1745"/>
      <c r="JW82" s="1745"/>
      <c r="JX82" s="1745"/>
      <c r="JY82" s="1745"/>
      <c r="JZ82" s="1745"/>
      <c r="KA82" s="1745"/>
      <c r="KB82" s="1745"/>
      <c r="KC82" s="1745"/>
      <c r="KD82" s="1745"/>
      <c r="KE82" s="1745"/>
      <c r="KF82" s="1745"/>
      <c r="KG82" s="1745"/>
      <c r="KH82" s="1745"/>
      <c r="KI82" s="1745"/>
      <c r="KJ82" s="1745"/>
      <c r="KK82" s="2060"/>
      <c r="LL82" s="814"/>
      <c r="LM82" s="2394">
        <f>'M - Aged Debtors'!B82</f>
        <v>0</v>
      </c>
      <c r="LN82" s="2395">
        <f>'M - Aged Debtors'!C82</f>
        <v>0</v>
      </c>
      <c r="LO82" s="2396">
        <f>'M - Aged Debtors'!D82</f>
        <v>0</v>
      </c>
      <c r="LP82" s="2397">
        <f>'M - Aged Debtors'!E82</f>
        <v>0</v>
      </c>
      <c r="LQ82" s="2398">
        <f>'M - Aged Debtors'!F82</f>
        <v>0</v>
      </c>
      <c r="LR82" s="832" t="str">
        <f>'M - Aged Debtors'!G82</f>
        <v/>
      </c>
      <c r="LS82" s="829" t="str">
        <f>'M - Aged Debtors'!H82</f>
        <v/>
      </c>
      <c r="LT82" s="829" t="str">
        <f>'M - Aged Debtors'!I82</f>
        <v/>
      </c>
      <c r="LU82" s="830" t="str">
        <f>'M - Aged Debtors'!J82</f>
        <v/>
      </c>
      <c r="LV82" s="1830">
        <f>'M - Aged Debtors'!K82</f>
        <v>0</v>
      </c>
      <c r="LX82" s="3114" t="str">
        <f>'N - GMS'!A82</f>
        <v>HPV Vaccinations</v>
      </c>
      <c r="LY82" s="3132"/>
      <c r="LZ82" s="461">
        <f>'N - GMS'!C82</f>
        <v>57</v>
      </c>
      <c r="MA82" s="67">
        <f>'N - GMS'!D82</f>
        <v>0</v>
      </c>
      <c r="MB82" s="2387">
        <f>'N - GMS'!E82</f>
        <v>0</v>
      </c>
      <c r="MC82" s="2387">
        <f>'N - GMS'!F82</f>
        <v>0</v>
      </c>
      <c r="MD82" s="463">
        <f>'N - GMS'!G82</f>
        <v>0</v>
      </c>
      <c r="ME82" s="213"/>
      <c r="MF82" s="1028">
        <f>'N - GMS'!I82</f>
        <v>0</v>
      </c>
      <c r="MR82" s="684"/>
      <c r="MS82" s="2772">
        <f>'P - Ringfenced'!B82</f>
        <v>0</v>
      </c>
      <c r="MT82" s="2703">
        <f>'P - Ringfenced'!C82</f>
        <v>0</v>
      </c>
      <c r="MU82" s="1468"/>
      <c r="MV82" s="1468"/>
      <c r="MW82" s="1468"/>
      <c r="MX82" s="1468"/>
      <c r="MY82" s="1468"/>
      <c r="MZ82" s="1468"/>
      <c r="NA82" s="1468"/>
      <c r="NB82" s="1468"/>
      <c r="NC82" s="1468"/>
      <c r="ND82" s="1468"/>
      <c r="NE82" s="1468"/>
      <c r="NF82" s="1468"/>
      <c r="NG82" s="1468"/>
      <c r="NH82" s="1468"/>
      <c r="NI82" s="1468"/>
      <c r="NJ82" s="684"/>
      <c r="NK82" s="684"/>
    </row>
    <row r="83" spans="57:375" ht="20.149999999999999" customHeight="1" thickBot="1">
      <c r="BE83" s="2389">
        <f>'B - Monthly Positions'!A82</f>
        <v>50</v>
      </c>
      <c r="BF83" s="2355" t="str">
        <f>'B - Monthly Positions'!B82</f>
        <v>Total</v>
      </c>
      <c r="BG83" s="1075" t="str">
        <f>'B - Monthly Positions'!C82</f>
        <v xml:space="preserve"> </v>
      </c>
      <c r="BH83" s="1138">
        <f>'B - Monthly Positions'!D82</f>
        <v>0</v>
      </c>
      <c r="BI83" s="1138">
        <f>'B - Monthly Positions'!E82</f>
        <v>0</v>
      </c>
      <c r="BJ83" s="1138">
        <f>'B - Monthly Positions'!F82</f>
        <v>0</v>
      </c>
      <c r="BK83" s="1138">
        <f>'B - Monthly Positions'!G82</f>
        <v>0</v>
      </c>
      <c r="BL83" s="1138">
        <f>'B - Monthly Positions'!H82</f>
        <v>0</v>
      </c>
      <c r="BM83" s="1138">
        <f>'B - Monthly Positions'!I82</f>
        <v>0</v>
      </c>
      <c r="BN83" s="1138">
        <f>'B - Monthly Positions'!J82</f>
        <v>0</v>
      </c>
      <c r="BO83" s="1138">
        <f>'B - Monthly Positions'!K82</f>
        <v>0</v>
      </c>
      <c r="BP83" s="1138">
        <f>'B - Monthly Positions'!L82</f>
        <v>0</v>
      </c>
      <c r="BQ83" s="1138">
        <f>'B - Monthly Positions'!M82</f>
        <v>0</v>
      </c>
      <c r="BR83" s="1138">
        <f>'B - Monthly Positions'!N82</f>
        <v>0</v>
      </c>
      <c r="BS83" s="1138">
        <f>'B - Monthly Positions'!O82</f>
        <v>0</v>
      </c>
      <c r="BT83" s="1101">
        <f>'B - Monthly Positions'!P82</f>
        <v>0</v>
      </c>
      <c r="BU83" s="1133">
        <f>'B - Monthly Positions'!Q82</f>
        <v>0</v>
      </c>
      <c r="BV83" s="1930"/>
      <c r="BX83" s="144">
        <f>' Table Z Net Exp Profiles'!A83</f>
        <v>60</v>
      </c>
      <c r="BY83" s="2519" t="str">
        <f>' Table Z Net Exp Profiles'!B83</f>
        <v>In Year Operational Drugs Expenditure Cost Reduction Due To C19 (Positive Values)</v>
      </c>
      <c r="BZ83" s="2503">
        <f>' Table Z Net Exp Profiles'!C83</f>
        <v>0</v>
      </c>
      <c r="CA83" s="2504">
        <f>' Table Z Net Exp Profiles'!D83</f>
        <v>0</v>
      </c>
      <c r="CB83" s="2504">
        <f>' Table Z Net Exp Profiles'!E83</f>
        <v>0</v>
      </c>
      <c r="CC83" s="2504">
        <f>' Table Z Net Exp Profiles'!F83</f>
        <v>0</v>
      </c>
      <c r="CD83" s="2504">
        <f>' Table Z Net Exp Profiles'!G83</f>
        <v>0</v>
      </c>
      <c r="CE83" s="2504">
        <f>' Table Z Net Exp Profiles'!H83</f>
        <v>0</v>
      </c>
      <c r="CF83" s="2504">
        <f>' Table Z Net Exp Profiles'!I83</f>
        <v>0</v>
      </c>
      <c r="CG83" s="2504">
        <f>' Table Z Net Exp Profiles'!J83</f>
        <v>0</v>
      </c>
      <c r="CH83" s="2504">
        <f>' Table Z Net Exp Profiles'!K83</f>
        <v>0</v>
      </c>
      <c r="CI83" s="2504">
        <f>' Table Z Net Exp Profiles'!L83</f>
        <v>0</v>
      </c>
      <c r="CJ83" s="2504">
        <f>' Table Z Net Exp Profiles'!M83</f>
        <v>0</v>
      </c>
      <c r="CK83" s="2505">
        <f>' Table Z Net Exp Profiles'!N83</f>
        <v>0</v>
      </c>
      <c r="CL83" s="1692">
        <f>' Table Z Net Exp Profiles'!O83</f>
        <v>0</v>
      </c>
      <c r="CM83" s="1692">
        <f>' Table Z Net Exp Profiles'!P83</f>
        <v>0</v>
      </c>
      <c r="DF83" s="1308"/>
      <c r="DG83" s="2819"/>
      <c r="DH83" s="1918"/>
      <c r="DI83" s="1918"/>
      <c r="DJ83" s="1918"/>
      <c r="DK83" s="1918"/>
      <c r="DL83" s="1918"/>
      <c r="DM83" s="1918"/>
      <c r="DN83" s="1918"/>
      <c r="DO83" s="1918"/>
      <c r="DP83" s="1918"/>
      <c r="DQ83" s="1918"/>
      <c r="DR83" s="1918"/>
      <c r="DS83" s="1918"/>
      <c r="DT83" s="1918"/>
      <c r="DU83" s="1918"/>
      <c r="DV83" s="608"/>
      <c r="DW83" s="1116"/>
      <c r="DY83" s="130">
        <v>1</v>
      </c>
      <c r="DZ83" s="3038" t="str">
        <f>'C, C1, C2&amp; C3 - Savings Schemes'!B83</f>
        <v>Reduced usage of Agency/Locums paid at a premium</v>
      </c>
      <c r="EA83" s="87" t="s">
        <v>291</v>
      </c>
      <c r="EB83" s="1773">
        <f>'C, C1, C2&amp; C3 - Savings Schemes'!D83</f>
        <v>0</v>
      </c>
      <c r="EC83" s="1774">
        <f>'C, C1, C2&amp; C3 - Savings Schemes'!E83</f>
        <v>0</v>
      </c>
      <c r="ED83" s="1774">
        <f>'C, C1, C2&amp; C3 - Savings Schemes'!F83</f>
        <v>0</v>
      </c>
      <c r="EE83" s="1774">
        <f>'C, C1, C2&amp; C3 - Savings Schemes'!G83</f>
        <v>0</v>
      </c>
      <c r="EF83" s="1774">
        <f>'C, C1, C2&amp; C3 - Savings Schemes'!H83</f>
        <v>0</v>
      </c>
      <c r="EG83" s="1774">
        <f>'C, C1, C2&amp; C3 - Savings Schemes'!I83</f>
        <v>0</v>
      </c>
      <c r="EH83" s="1774">
        <f>'C, C1, C2&amp; C3 - Savings Schemes'!J83</f>
        <v>0</v>
      </c>
      <c r="EI83" s="1774">
        <f>'C, C1, C2&amp; C3 - Savings Schemes'!K83</f>
        <v>0</v>
      </c>
      <c r="EJ83" s="1774">
        <f>'C, C1, C2&amp; C3 - Savings Schemes'!L83</f>
        <v>0</v>
      </c>
      <c r="EK83" s="1774">
        <f>'C, C1, C2&amp; C3 - Savings Schemes'!M83</f>
        <v>0</v>
      </c>
      <c r="EL83" s="1774">
        <f>'C, C1, C2&amp; C3 - Savings Schemes'!N83</f>
        <v>0</v>
      </c>
      <c r="EM83" s="1775">
        <f>'C, C1, C2&amp; C3 - Savings Schemes'!O83</f>
        <v>0</v>
      </c>
      <c r="EN83" s="120">
        <f>'C, C1, C2&amp; C3 - Savings Schemes'!P83</f>
        <v>0</v>
      </c>
      <c r="EO83" s="938">
        <f>'C, C1, C2&amp; C3 - Savings Schemes'!Q83</f>
        <v>0</v>
      </c>
      <c r="EP83" s="1930"/>
      <c r="EQ83" s="1930"/>
      <c r="ER83" s="1930"/>
      <c r="ES83" s="1930"/>
      <c r="ET83" s="1930"/>
      <c r="EU83" s="1930"/>
      <c r="EV83" s="1930"/>
      <c r="EW83" s="1930"/>
      <c r="EX83" s="1932"/>
      <c r="EY83" s="1932"/>
      <c r="EZ83" s="1932"/>
      <c r="FA83" s="1932"/>
      <c r="FB83" s="1932"/>
      <c r="FC83" s="1932"/>
      <c r="FD83" s="1932"/>
      <c r="FE83" s="1932"/>
      <c r="FF83" s="1932"/>
      <c r="FG83" s="1932"/>
      <c r="FH83" s="1932"/>
      <c r="FI83" s="1932"/>
      <c r="FJ83" s="1932"/>
      <c r="FK83" s="1932"/>
      <c r="FL83" s="1932"/>
      <c r="FM83" s="1932"/>
      <c r="FN83" s="1932"/>
      <c r="FO83" s="1932"/>
      <c r="FP83" s="1932"/>
      <c r="FQ83" s="1932"/>
      <c r="FR83" s="1932"/>
      <c r="FS83" s="1932"/>
      <c r="GF83" s="354"/>
      <c r="GG83" s="354"/>
      <c r="GH83" s="354"/>
      <c r="GI83" s="354"/>
      <c r="GJ83" s="354"/>
      <c r="GK83" s="354"/>
      <c r="GL83" s="1745"/>
      <c r="GM83" s="1745"/>
      <c r="GN83" s="1745"/>
      <c r="GO83" s="1745"/>
      <c r="GP83" s="1745"/>
      <c r="GQ83" s="1745"/>
      <c r="GR83" s="1935"/>
      <c r="GT83" s="348">
        <f>'E1 - Invoiced Income'!A83</f>
        <v>68</v>
      </c>
      <c r="GU83" s="353" t="str">
        <f>'E1 - Invoiced Income'!B83</f>
        <v>Total Funding</v>
      </c>
      <c r="GV83" s="115">
        <f>'E1 - Invoiced Income'!C83</f>
        <v>0</v>
      </c>
      <c r="GW83" s="2528">
        <f>'E1 - Invoiced Income'!D83</f>
        <v>16930</v>
      </c>
      <c r="GX83" s="117">
        <f>'E1 - Invoiced Income'!E83</f>
        <v>16930</v>
      </c>
      <c r="GY83" s="71"/>
      <c r="GZ83" s="71"/>
      <c r="HA83" s="71"/>
      <c r="HB83" s="71"/>
      <c r="HC83" s="71"/>
      <c r="HD83" s="71"/>
      <c r="HE83" s="71"/>
      <c r="HF83" s="71"/>
      <c r="HG83" s="71"/>
      <c r="HH83" s="71"/>
      <c r="HI83" s="71"/>
      <c r="HJ83" s="71"/>
      <c r="HK83" s="71"/>
      <c r="HL83" s="71"/>
      <c r="HM83" s="71"/>
      <c r="JD83" s="2073">
        <f>'I - Capital RLM'!A83</f>
        <v>59</v>
      </c>
      <c r="JE83" s="2126">
        <f>'I - Capital RLM'!B83</f>
        <v>0</v>
      </c>
      <c r="JF83" s="2010">
        <f>'I - Capital RLM'!C83</f>
        <v>0</v>
      </c>
      <c r="JG83" s="2010">
        <f>'I - Capital RLM'!D83</f>
        <v>0</v>
      </c>
      <c r="JH83" s="2118">
        <f>'I - Capital RLM'!E83</f>
        <v>0</v>
      </c>
      <c r="JI83" s="1943">
        <f>'I - Capital RLM'!F83</f>
        <v>0</v>
      </c>
      <c r="JJ83" s="2010">
        <f>'I - Capital RLM'!G83</f>
        <v>0</v>
      </c>
      <c r="JK83" s="2010">
        <f>'I - Capital RLM'!H83</f>
        <v>0</v>
      </c>
      <c r="JL83" s="2118">
        <f>'I - Capital RLM'!I83</f>
        <v>0</v>
      </c>
      <c r="JM83" s="2060"/>
      <c r="JN83" s="1890">
        <f>'I - Capital RLM'!K83</f>
        <v>0</v>
      </c>
      <c r="JO83" s="2060">
        <f t="shared" si="20"/>
        <v>0</v>
      </c>
      <c r="JQ83" s="2196"/>
      <c r="JR83" s="1745"/>
      <c r="JS83" s="1745"/>
      <c r="JT83" s="1745"/>
      <c r="JU83" s="1745"/>
      <c r="JV83" s="1745"/>
      <c r="JW83" s="1745"/>
      <c r="JX83" s="1745"/>
      <c r="JY83" s="1745"/>
      <c r="JZ83" s="1745"/>
      <c r="KA83" s="1745"/>
      <c r="KB83" s="1745"/>
      <c r="KC83" s="1745"/>
      <c r="KD83" s="1745"/>
      <c r="KE83" s="1745"/>
      <c r="KF83" s="1745"/>
      <c r="KG83" s="1745"/>
      <c r="KH83" s="1745"/>
      <c r="KI83" s="1745"/>
      <c r="KJ83" s="1745"/>
      <c r="KK83" s="2060"/>
      <c r="LL83" s="814"/>
      <c r="LM83" s="2394">
        <f>'M - Aged Debtors'!B83</f>
        <v>0</v>
      </c>
      <c r="LN83" s="2395">
        <f>'M - Aged Debtors'!C83</f>
        <v>0</v>
      </c>
      <c r="LO83" s="2396">
        <f>'M - Aged Debtors'!D83</f>
        <v>0</v>
      </c>
      <c r="LP83" s="2397">
        <f>'M - Aged Debtors'!E83</f>
        <v>0</v>
      </c>
      <c r="LQ83" s="2398">
        <f>'M - Aged Debtors'!F83</f>
        <v>0</v>
      </c>
      <c r="LR83" s="832" t="str">
        <f>'M - Aged Debtors'!G83</f>
        <v/>
      </c>
      <c r="LS83" s="829" t="str">
        <f>'M - Aged Debtors'!H83</f>
        <v/>
      </c>
      <c r="LT83" s="829" t="str">
        <f>'M - Aged Debtors'!I83</f>
        <v/>
      </c>
      <c r="LU83" s="830" t="str">
        <f>'M - Aged Debtors'!J83</f>
        <v/>
      </c>
      <c r="LV83" s="1830">
        <f>'M - Aged Debtors'!K83</f>
        <v>0</v>
      </c>
      <c r="LX83" s="480" t="str">
        <f>'N - GMS'!A83</f>
        <v>Immunisations (inc Pertussis excluding DES - Childhood Imm &amp; Influenza &amp; Pneumococcal Imm)</v>
      </c>
      <c r="LY83" s="1674"/>
      <c r="LZ83" s="461">
        <f>'N - GMS'!C83</f>
        <v>58</v>
      </c>
      <c r="MA83" s="67">
        <f>'N - GMS'!D83</f>
        <v>0</v>
      </c>
      <c r="MB83" s="2387">
        <f>'N - GMS'!E83</f>
        <v>0</v>
      </c>
      <c r="MC83" s="2387">
        <f>'N - GMS'!F83</f>
        <v>0</v>
      </c>
      <c r="MD83" s="463">
        <f>'N - GMS'!G83</f>
        <v>0</v>
      </c>
      <c r="ME83" s="213"/>
      <c r="MF83" s="1028">
        <f>'N - GMS'!I83</f>
        <v>0</v>
      </c>
      <c r="MR83" s="684"/>
      <c r="MS83" s="2773">
        <f>'P - Ringfenced'!B83</f>
        <v>0</v>
      </c>
      <c r="MT83" s="2703">
        <f>'P - Ringfenced'!C83</f>
        <v>0</v>
      </c>
      <c r="MU83" s="1468"/>
      <c r="MV83" s="1468"/>
      <c r="MW83" s="1468"/>
      <c r="MX83" s="1468"/>
      <c r="MY83" s="1468"/>
      <c r="MZ83" s="1468"/>
      <c r="NA83" s="1468"/>
      <c r="NB83" s="1468"/>
      <c r="NC83" s="1468"/>
      <c r="ND83" s="1468"/>
      <c r="NE83" s="1468"/>
      <c r="NF83" s="1468"/>
      <c r="NG83" s="1468"/>
      <c r="NH83" s="1468"/>
      <c r="NI83" s="1468"/>
      <c r="NJ83" s="684"/>
      <c r="NK83" s="684"/>
    </row>
    <row r="84" spans="57:375" ht="20.149999999999999" customHeight="1" thickBot="1">
      <c r="BE84" s="1930"/>
      <c r="BF84" s="1930"/>
      <c r="BG84" s="1930"/>
      <c r="BH84" s="1930"/>
      <c r="BI84" s="1930"/>
      <c r="BJ84" s="1930"/>
      <c r="BK84" s="1930"/>
      <c r="BL84" s="1930"/>
      <c r="BM84" s="1930"/>
      <c r="BN84" s="1930"/>
      <c r="BO84" s="1930"/>
      <c r="BP84" s="1930"/>
      <c r="BQ84" s="1930"/>
      <c r="BR84" s="1930"/>
      <c r="BS84" s="1930"/>
      <c r="BT84" s="1930"/>
      <c r="BU84" s="1930"/>
      <c r="BV84" s="1930"/>
      <c r="BX84" s="144">
        <f>' Table Z Net Exp Profiles'!A84</f>
        <v>61</v>
      </c>
      <c r="BY84" s="1075" t="str">
        <f>' Table Z Net Exp Profiles'!B84</f>
        <v>In Year Slippage on Current Planned Drugs Investments/Repurposing of Developmental Initiatives due to C19 (Positive Values)</v>
      </c>
      <c r="BZ84" s="2506">
        <f>' Table Z Net Exp Profiles'!C84</f>
        <v>0</v>
      </c>
      <c r="CA84" s="2502">
        <f>' Table Z Net Exp Profiles'!D84</f>
        <v>0</v>
      </c>
      <c r="CB84" s="2502">
        <f>' Table Z Net Exp Profiles'!E84</f>
        <v>0</v>
      </c>
      <c r="CC84" s="2502">
        <f>' Table Z Net Exp Profiles'!F84</f>
        <v>0</v>
      </c>
      <c r="CD84" s="2502">
        <f>' Table Z Net Exp Profiles'!G84</f>
        <v>0</v>
      </c>
      <c r="CE84" s="2502">
        <f>' Table Z Net Exp Profiles'!H84</f>
        <v>0</v>
      </c>
      <c r="CF84" s="2502">
        <f>' Table Z Net Exp Profiles'!I84</f>
        <v>0</v>
      </c>
      <c r="CG84" s="2502">
        <f>' Table Z Net Exp Profiles'!J84</f>
        <v>0</v>
      </c>
      <c r="CH84" s="2502">
        <f>' Table Z Net Exp Profiles'!K84</f>
        <v>0</v>
      </c>
      <c r="CI84" s="2502">
        <f>' Table Z Net Exp Profiles'!L84</f>
        <v>0</v>
      </c>
      <c r="CJ84" s="2502">
        <f>' Table Z Net Exp Profiles'!M84</f>
        <v>0</v>
      </c>
      <c r="CK84" s="2502">
        <f>' Table Z Net Exp Profiles'!N84</f>
        <v>0</v>
      </c>
      <c r="CL84" s="1101">
        <f>' Table Z Net Exp Profiles'!O84</f>
        <v>0</v>
      </c>
      <c r="CM84" s="1101">
        <f>' Table Z Net Exp Profiles'!P84</f>
        <v>0</v>
      </c>
      <c r="DF84" s="2737">
        <f>'B3 - COVID-19'!A84</f>
        <v>58</v>
      </c>
      <c r="DG84" s="2841" t="str">
        <f>'B3 - COVID-19'!B84</f>
        <v xml:space="preserve">Planned Funding </v>
      </c>
      <c r="DH84" s="2800">
        <f>'B3 - COVID-19'!C84</f>
        <v>60.311999999999998</v>
      </c>
      <c r="DI84" s="2490">
        <f>'B3 - COVID-19'!D84</f>
        <v>85.713984848484841</v>
      </c>
      <c r="DJ84" s="2490">
        <f>'B3 - COVID-19'!E84</f>
        <v>119.52718484848484</v>
      </c>
      <c r="DK84" s="2490">
        <f>'B3 - COVID-19'!F84</f>
        <v>119.52718484848484</v>
      </c>
      <c r="DL84" s="2490">
        <f>'B3 - COVID-19'!G84</f>
        <v>119.52718484848484</v>
      </c>
      <c r="DM84" s="2490">
        <f>'B3 - COVID-19'!H84</f>
        <v>179.52718484848484</v>
      </c>
      <c r="DN84" s="2490">
        <f>'B3 - COVID-19'!I84</f>
        <v>167.02718484848484</v>
      </c>
      <c r="DO84" s="2490">
        <f>'B3 - COVID-19'!J84</f>
        <v>107.02718484848484</v>
      </c>
      <c r="DP84" s="2490">
        <f>'B3 - COVID-19'!K84</f>
        <v>107.02718484848484</v>
      </c>
      <c r="DQ84" s="2490">
        <f>'B3 - COVID-19'!L84</f>
        <v>107.02718484848484</v>
      </c>
      <c r="DR84" s="2490">
        <f>'B3 - COVID-19'!M84</f>
        <v>158.87828984848485</v>
      </c>
      <c r="DS84" s="2491">
        <f>'B3 - COVID-19'!N84</f>
        <v>158.87828984848485</v>
      </c>
      <c r="DT84" s="1132">
        <f>'B3 - COVID-19'!O84</f>
        <v>60.311999999999998</v>
      </c>
      <c r="DU84" s="1323">
        <f>'B3 - COVID-19'!P84</f>
        <v>1490.0000433333332</v>
      </c>
      <c r="DV84" s="608"/>
      <c r="DW84" s="1116"/>
      <c r="DY84" s="131">
        <v>2</v>
      </c>
      <c r="DZ84" s="3039">
        <f>'[1]C, C1 &amp; C2 - Savings Schemes'!B84</f>
        <v>0</v>
      </c>
      <c r="EA84" s="90" t="s">
        <v>288</v>
      </c>
      <c r="EB84" s="1782">
        <f>'C, C1, C2&amp; C3 - Savings Schemes'!D84</f>
        <v>0</v>
      </c>
      <c r="EC84" s="1783">
        <f>'C, C1, C2&amp; C3 - Savings Schemes'!E84</f>
        <v>0</v>
      </c>
      <c r="ED84" s="1783">
        <f>'C, C1, C2&amp; C3 - Savings Schemes'!F84</f>
        <v>0</v>
      </c>
      <c r="EE84" s="1783">
        <f>'C, C1, C2&amp; C3 - Savings Schemes'!G84</f>
        <v>0</v>
      </c>
      <c r="EF84" s="1783">
        <f>'C, C1, C2&amp; C3 - Savings Schemes'!H84</f>
        <v>0</v>
      </c>
      <c r="EG84" s="1783">
        <f>'C, C1, C2&amp; C3 - Savings Schemes'!I84</f>
        <v>0</v>
      </c>
      <c r="EH84" s="1783">
        <f>'C, C1, C2&amp; C3 - Savings Schemes'!J84</f>
        <v>0</v>
      </c>
      <c r="EI84" s="1783">
        <f>'C, C1, C2&amp; C3 - Savings Schemes'!K84</f>
        <v>0</v>
      </c>
      <c r="EJ84" s="1783">
        <f>'C, C1, C2&amp; C3 - Savings Schemes'!L84</f>
        <v>0</v>
      </c>
      <c r="EK84" s="1783">
        <f>'C, C1, C2&amp; C3 - Savings Schemes'!M84</f>
        <v>0</v>
      </c>
      <c r="EL84" s="1783">
        <f>'C, C1, C2&amp; C3 - Savings Schemes'!N84</f>
        <v>0</v>
      </c>
      <c r="EM84" s="1784">
        <f>'C, C1, C2&amp; C3 - Savings Schemes'!O84</f>
        <v>0</v>
      </c>
      <c r="EN84" s="121">
        <f>'C, C1, C2&amp; C3 - Savings Schemes'!P84</f>
        <v>0</v>
      </c>
      <c r="EO84" s="940">
        <f>'C, C1, C2&amp; C3 - Savings Schemes'!Q84</f>
        <v>0</v>
      </c>
      <c r="EP84" s="1930"/>
      <c r="EQ84" s="1930"/>
      <c r="ER84" s="1930"/>
      <c r="ES84" s="1930"/>
      <c r="ET84" s="1930"/>
      <c r="EU84" s="1930"/>
      <c r="EV84" s="1930"/>
      <c r="EW84" s="1930"/>
      <c r="EX84" s="1932"/>
      <c r="EY84" s="1932"/>
      <c r="EZ84" s="1932"/>
      <c r="FA84" s="1932"/>
      <c r="FB84" s="1932"/>
      <c r="FC84" s="1932"/>
      <c r="FD84" s="1932"/>
      <c r="FE84" s="1932"/>
      <c r="FF84" s="1932"/>
      <c r="FG84" s="1932"/>
      <c r="FH84" s="1932"/>
      <c r="FI84" s="1932"/>
      <c r="FJ84" s="1932"/>
      <c r="FK84" s="1932"/>
      <c r="FL84" s="1932"/>
      <c r="FM84" s="1932"/>
      <c r="FN84" s="1932"/>
      <c r="FO84" s="1932"/>
      <c r="FP84" s="1932"/>
      <c r="FQ84" s="1932"/>
      <c r="FR84" s="1932"/>
      <c r="FS84" s="1932"/>
      <c r="GF84" s="354"/>
      <c r="GG84" s="354"/>
      <c r="GH84" s="354"/>
      <c r="GI84" s="354"/>
      <c r="GJ84" s="354"/>
      <c r="GK84" s="354"/>
      <c r="GL84" s="1745"/>
      <c r="GM84" s="1745"/>
      <c r="GN84" s="1745"/>
      <c r="GO84" s="1745"/>
      <c r="GP84" s="1745"/>
      <c r="GQ84" s="1745"/>
      <c r="GR84" s="1935"/>
      <c r="GT84" s="71"/>
      <c r="GU84" s="71"/>
      <c r="GV84" s="71"/>
      <c r="GW84" s="71"/>
      <c r="GX84" s="71"/>
      <c r="GY84" s="71"/>
      <c r="GZ84" s="71"/>
      <c r="HA84" s="71"/>
      <c r="HB84" s="71"/>
      <c r="HC84" s="71"/>
      <c r="HD84" s="71"/>
      <c r="HE84" s="71"/>
      <c r="HF84" s="71"/>
      <c r="HG84" s="71"/>
      <c r="HH84" s="71"/>
      <c r="HI84" s="71"/>
      <c r="HJ84" s="71"/>
      <c r="HK84" s="71"/>
      <c r="HL84" s="71"/>
      <c r="HM84" s="71"/>
      <c r="JD84" s="2088">
        <f>'I - Capital RLM'!A84</f>
        <v>60</v>
      </c>
      <c r="JE84" s="2126">
        <f>'I - Capital RLM'!B84</f>
        <v>0</v>
      </c>
      <c r="JF84" s="2010">
        <f>'I - Capital RLM'!C84</f>
        <v>0</v>
      </c>
      <c r="JG84" s="2010">
        <f>'I - Capital RLM'!D84</f>
        <v>0</v>
      </c>
      <c r="JH84" s="2118">
        <f>'I - Capital RLM'!E84</f>
        <v>0</v>
      </c>
      <c r="JI84" s="1943">
        <f>'I - Capital RLM'!F84</f>
        <v>0</v>
      </c>
      <c r="JJ84" s="2010">
        <f>'I - Capital RLM'!G84</f>
        <v>0</v>
      </c>
      <c r="JK84" s="2010">
        <f>'I - Capital RLM'!H84</f>
        <v>0</v>
      </c>
      <c r="JL84" s="2118">
        <f>'I - Capital RLM'!I84</f>
        <v>0</v>
      </c>
      <c r="JM84" s="2060"/>
      <c r="JN84" s="1890">
        <f>'I - Capital RLM'!K84</f>
        <v>0</v>
      </c>
      <c r="JO84" s="2060">
        <f t="shared" si="20"/>
        <v>0</v>
      </c>
      <c r="JQ84" s="2196"/>
      <c r="JR84" s="1745"/>
      <c r="JS84" s="1745"/>
      <c r="JT84" s="1745"/>
      <c r="JU84" s="1745"/>
      <c r="JV84" s="1745"/>
      <c r="JW84" s="1745"/>
      <c r="JX84" s="1745"/>
      <c r="JY84" s="1745"/>
      <c r="JZ84" s="1745"/>
      <c r="KA84" s="1745"/>
      <c r="KB84" s="1745"/>
      <c r="KC84" s="1745"/>
      <c r="KD84" s="1745"/>
      <c r="KE84" s="1745"/>
      <c r="KF84" s="1745"/>
      <c r="KG84" s="1745"/>
      <c r="KH84" s="1745"/>
      <c r="KI84" s="1745"/>
      <c r="KJ84" s="1745"/>
      <c r="KK84" s="2060"/>
      <c r="LL84" s="814"/>
      <c r="LM84" s="2394">
        <f>'M - Aged Debtors'!B84</f>
        <v>0</v>
      </c>
      <c r="LN84" s="2395">
        <f>'M - Aged Debtors'!C84</f>
        <v>0</v>
      </c>
      <c r="LO84" s="2396">
        <f>'M - Aged Debtors'!D84</f>
        <v>0</v>
      </c>
      <c r="LP84" s="2397">
        <f>'M - Aged Debtors'!E84</f>
        <v>0</v>
      </c>
      <c r="LQ84" s="2398">
        <f>'M - Aged Debtors'!F84</f>
        <v>0</v>
      </c>
      <c r="LR84" s="832" t="str">
        <f>'M - Aged Debtors'!G84</f>
        <v/>
      </c>
      <c r="LS84" s="829" t="str">
        <f>'M - Aged Debtors'!H84</f>
        <v/>
      </c>
      <c r="LT84" s="829" t="str">
        <f>'M - Aged Debtors'!I84</f>
        <v/>
      </c>
      <c r="LU84" s="830" t="str">
        <f>'M - Aged Debtors'!J84</f>
        <v/>
      </c>
      <c r="LV84" s="1830">
        <f>'M - Aged Debtors'!K84</f>
        <v>0</v>
      </c>
      <c r="LX84" s="480" t="str">
        <f>'N - GMS'!A84</f>
        <v>Learning Disabilities</v>
      </c>
      <c r="LY84" s="1674"/>
      <c r="LZ84" s="461">
        <f>'N - GMS'!C84</f>
        <v>59</v>
      </c>
      <c r="MA84" s="67">
        <f>'N - GMS'!D84</f>
        <v>0</v>
      </c>
      <c r="MB84" s="2387">
        <f>'N - GMS'!E84</f>
        <v>0</v>
      </c>
      <c r="MC84" s="2387">
        <f>'N - GMS'!F84</f>
        <v>0</v>
      </c>
      <c r="MD84" s="463">
        <f>'N - GMS'!G84</f>
        <v>0</v>
      </c>
      <c r="ME84" s="213"/>
      <c r="MF84" s="1028">
        <f>'N - GMS'!I84</f>
        <v>0</v>
      </c>
      <c r="MR84" s="684"/>
      <c r="MS84" s="2774">
        <f>'P - Ringfenced'!B84</f>
        <v>0</v>
      </c>
      <c r="MT84" s="2703">
        <f>'P - Ringfenced'!C84</f>
        <v>0</v>
      </c>
      <c r="MU84" s="1468"/>
      <c r="MV84" s="1468"/>
      <c r="MW84" s="1468"/>
      <c r="MX84" s="1468"/>
      <c r="MY84" s="1468"/>
      <c r="MZ84" s="1468"/>
      <c r="NA84" s="1468"/>
      <c r="NB84" s="1468"/>
      <c r="NC84" s="1468"/>
      <c r="ND84" s="1468"/>
      <c r="NE84" s="1468"/>
      <c r="NF84" s="1468"/>
      <c r="NG84" s="1468"/>
      <c r="NH84" s="1468"/>
      <c r="NI84" s="1468"/>
      <c r="NJ84" s="684"/>
      <c r="NK84" s="684"/>
    </row>
    <row r="85" spans="57:375" ht="20.149999999999999" customHeight="1" thickBot="1">
      <c r="BE85" s="1930"/>
      <c r="BF85" s="2326" t="str">
        <f>'B - Monthly Positions'!B85</f>
        <v>E. Accountancy Gains</v>
      </c>
      <c r="BG85" s="1930"/>
      <c r="BH85" s="1930"/>
      <c r="BI85" s="1930"/>
      <c r="BJ85" s="1930"/>
      <c r="BK85" s="1930"/>
      <c r="BL85" s="1930"/>
      <c r="BM85" s="1930"/>
      <c r="BN85" s="1930"/>
      <c r="BO85" s="1930"/>
      <c r="BP85" s="1930"/>
      <c r="BQ85" s="1930"/>
      <c r="BR85" s="1930"/>
      <c r="BS85" s="1930"/>
      <c r="BT85" s="1930"/>
      <c r="BU85" s="1930"/>
      <c r="BV85" s="1930"/>
      <c r="BX85" s="84"/>
      <c r="BY85" s="3049"/>
      <c r="BZ85" s="3050"/>
      <c r="CA85" s="3050"/>
      <c r="CB85" s="3050"/>
      <c r="CC85" s="3050"/>
      <c r="CD85" s="3050"/>
      <c r="CE85" s="3050"/>
      <c r="CF85" s="3050"/>
      <c r="CG85" s="3050"/>
      <c r="CH85" s="3050"/>
      <c r="CI85" s="3050"/>
      <c r="CJ85" s="3050"/>
      <c r="CK85" s="3050"/>
      <c r="CL85" s="3050"/>
      <c r="CM85" s="3050"/>
      <c r="DF85" s="2739">
        <f>'B3 - COVID-19'!A85</f>
        <v>59</v>
      </c>
      <c r="DG85" s="2842" t="str">
        <f>'B3 - COVID-19'!B85</f>
        <v>Actual/Forecast Funding for COVID-19 Vaccination Programme (immunisation)</v>
      </c>
      <c r="DH85" s="2801">
        <f>'B3 - COVID-19'!C85</f>
        <v>60.311999999999998</v>
      </c>
      <c r="DI85" s="1326">
        <f>'B3 - COVID-19'!D85</f>
        <v>85.713984848484841</v>
      </c>
      <c r="DJ85" s="1326">
        <f>'B3 - COVID-19'!E85</f>
        <v>119.52718484848484</v>
      </c>
      <c r="DK85" s="1326">
        <f>'B3 - COVID-19'!F85</f>
        <v>119.52718484848484</v>
      </c>
      <c r="DL85" s="1326">
        <f>'B3 - COVID-19'!G85</f>
        <v>119.52718484848484</v>
      </c>
      <c r="DM85" s="1326">
        <f>'B3 - COVID-19'!H85</f>
        <v>179.52718484848484</v>
      </c>
      <c r="DN85" s="1326">
        <f>'B3 - COVID-19'!I85</f>
        <v>167.02718484848484</v>
      </c>
      <c r="DO85" s="1326">
        <f>'B3 - COVID-19'!J85</f>
        <v>107.02718484848484</v>
      </c>
      <c r="DP85" s="1326">
        <f>'B3 - COVID-19'!K85</f>
        <v>107.02718484848484</v>
      </c>
      <c r="DQ85" s="1326">
        <f>'B3 - COVID-19'!L85</f>
        <v>107.02718484848484</v>
      </c>
      <c r="DR85" s="1326">
        <f>'B3 - COVID-19'!M85</f>
        <v>158.87828984848485</v>
      </c>
      <c r="DS85" s="1335">
        <f>'B3 - COVID-19'!N85</f>
        <v>158.87828984848485</v>
      </c>
      <c r="DT85" s="1324">
        <f>'B3 - COVID-19'!O85</f>
        <v>60.311999999999998</v>
      </c>
      <c r="DU85" s="1325">
        <f>'B3 - COVID-19'!P85</f>
        <v>1490.0000433333332</v>
      </c>
      <c r="DV85" s="608"/>
      <c r="DW85" s="1116"/>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9">
        <f>'C, C1, C2&amp; C3 - Savings Schemes'!O85</f>
        <v>0</v>
      </c>
      <c r="EN85" s="123">
        <f>'C, C1, C2&amp; C3 - Savings Schemes'!P85</f>
        <v>0</v>
      </c>
      <c r="EO85" s="939">
        <f>'C, C1, C2&amp; C3 - Savings Schemes'!Q85</f>
        <v>0</v>
      </c>
      <c r="EP85" s="1930"/>
      <c r="EQ85" s="1930"/>
      <c r="ER85" s="1930"/>
      <c r="ES85" s="1930"/>
      <c r="ET85" s="1930"/>
      <c r="EU85" s="1930"/>
      <c r="EV85" s="1930"/>
      <c r="EW85" s="1930"/>
      <c r="EX85" s="1932"/>
      <c r="EY85" s="1932"/>
      <c r="EZ85" s="1932"/>
      <c r="FA85" s="1932"/>
      <c r="FB85" s="1932"/>
      <c r="FC85" s="1932"/>
      <c r="FD85" s="1932"/>
      <c r="FE85" s="1932"/>
      <c r="FF85" s="1932"/>
      <c r="FG85" s="1932"/>
      <c r="FH85" s="1932"/>
      <c r="FI85" s="1932"/>
      <c r="FJ85" s="1932"/>
      <c r="FK85" s="1932"/>
      <c r="FL85" s="1932"/>
      <c r="FM85" s="1932"/>
      <c r="FN85" s="1932"/>
      <c r="FO85" s="1932"/>
      <c r="FP85" s="1932"/>
      <c r="FQ85" s="1932"/>
      <c r="FR85" s="1932"/>
      <c r="FS85" s="1932"/>
      <c r="GF85" s="3137" t="str">
        <f>'E - Resource Limits'!A85</f>
        <v>ANALYSIS OF WG FUNDING FOR COVID-19 INCLUDED ABOVE</v>
      </c>
      <c r="GG85" s="3138"/>
      <c r="GH85" s="2531" t="str">
        <f>'E - Resource Limits'!C85</f>
        <v>Allocated</v>
      </c>
      <c r="GI85" s="2531" t="str">
        <f>'E - Resource Limits'!D85</f>
        <v>Anticipated</v>
      </c>
      <c r="GJ85" s="2531" t="str">
        <f>'E - Resource Limits'!E85</f>
        <v>Anticipated</v>
      </c>
      <c r="GK85" s="2531" t="str">
        <f>'E - Resource Limits'!F85</f>
        <v>Anticipated</v>
      </c>
      <c r="GL85" s="2531" t="str">
        <f>'E - Resource Limits'!G85</f>
        <v>Anticipated</v>
      </c>
      <c r="GM85" s="2532" t="str">
        <f>'E - Resource Limits'!H85</f>
        <v>Total</v>
      </c>
      <c r="GN85" s="3141" t="str">
        <f>'E - Resource Limits'!I85</f>
        <v>WG Contact and date item first entered into table.</v>
      </c>
      <c r="GO85" s="1745"/>
      <c r="GP85" s="1745"/>
      <c r="GQ85" s="1745"/>
      <c r="GR85" s="1935"/>
      <c r="JD85" s="2073">
        <f>'I - Capital RLM'!A85</f>
        <v>61</v>
      </c>
      <c r="JE85" s="2126">
        <f>'I - Capital RLM'!B85</f>
        <v>0</v>
      </c>
      <c r="JF85" s="2010">
        <f>'I - Capital RLM'!C85</f>
        <v>0</v>
      </c>
      <c r="JG85" s="2010">
        <f>'I - Capital RLM'!D85</f>
        <v>0</v>
      </c>
      <c r="JH85" s="2118">
        <f>'I - Capital RLM'!E85</f>
        <v>0</v>
      </c>
      <c r="JI85" s="1943">
        <f>'I - Capital RLM'!F85</f>
        <v>0</v>
      </c>
      <c r="JJ85" s="2010">
        <f>'I - Capital RLM'!G85</f>
        <v>0</v>
      </c>
      <c r="JK85" s="2010">
        <f>'I - Capital RLM'!H85</f>
        <v>0</v>
      </c>
      <c r="JL85" s="2118">
        <f>'I - Capital RLM'!I85</f>
        <v>0</v>
      </c>
      <c r="JM85" s="2060"/>
      <c r="JN85" s="1890">
        <f>'I - Capital RLM'!K85</f>
        <v>0</v>
      </c>
      <c r="JO85" s="2060">
        <f t="shared" si="20"/>
        <v>0</v>
      </c>
      <c r="LL85" s="814"/>
      <c r="LM85" s="2394">
        <f>'M - Aged Debtors'!B85</f>
        <v>0</v>
      </c>
      <c r="LN85" s="2395">
        <f>'M - Aged Debtors'!C85</f>
        <v>0</v>
      </c>
      <c r="LO85" s="2396">
        <f>'M - Aged Debtors'!D85</f>
        <v>0</v>
      </c>
      <c r="LP85" s="2397">
        <f>'M - Aged Debtors'!E85</f>
        <v>0</v>
      </c>
      <c r="LQ85" s="2398">
        <f>'M - Aged Debtors'!F85</f>
        <v>0</v>
      </c>
      <c r="LR85" s="832" t="str">
        <f>'M - Aged Debtors'!G85</f>
        <v/>
      </c>
      <c r="LS85" s="829" t="str">
        <f>'M - Aged Debtors'!H85</f>
        <v/>
      </c>
      <c r="LT85" s="829" t="str">
        <f>'M - Aged Debtors'!I85</f>
        <v/>
      </c>
      <c r="LU85" s="830" t="str">
        <f>'M - Aged Debtors'!J85</f>
        <v/>
      </c>
      <c r="LV85" s="1830">
        <f>'M - Aged Debtors'!K85</f>
        <v>0</v>
      </c>
      <c r="LX85" s="480" t="str">
        <f>'N - GMS'!A85</f>
        <v>Lithium / INR Monitoring</v>
      </c>
      <c r="LY85" s="1674"/>
      <c r="LZ85" s="461">
        <f>'N - GMS'!C85</f>
        <v>60</v>
      </c>
      <c r="MA85" s="67">
        <f>'N - GMS'!D85</f>
        <v>0</v>
      </c>
      <c r="MB85" s="2231">
        <f>'N - GMS'!E85</f>
        <v>0</v>
      </c>
      <c r="MC85" s="2231">
        <f>'N - GMS'!F85</f>
        <v>0</v>
      </c>
      <c r="MD85" s="463">
        <f>'N - GMS'!G85</f>
        <v>0</v>
      </c>
      <c r="ME85" s="213"/>
      <c r="MF85" s="1028">
        <f>'N - GMS'!I85</f>
        <v>0</v>
      </c>
      <c r="MR85" s="684"/>
      <c r="MS85" s="2774">
        <f>'P - Ringfenced'!B85</f>
        <v>0</v>
      </c>
      <c r="MT85" s="2703">
        <f>'P - Ringfenced'!C85</f>
        <v>0</v>
      </c>
      <c r="MU85" s="1468"/>
      <c r="MV85" s="1468"/>
      <c r="MW85" s="1468"/>
      <c r="MX85" s="1468"/>
      <c r="MY85" s="1468"/>
      <c r="MZ85" s="1468"/>
      <c r="NA85" s="1468"/>
      <c r="NB85" s="1468"/>
      <c r="NC85" s="1468"/>
      <c r="ND85" s="1468"/>
      <c r="NE85" s="1468"/>
      <c r="NF85" s="1468"/>
      <c r="NG85" s="1468"/>
      <c r="NH85" s="1468"/>
      <c r="NI85" s="1468"/>
      <c r="NJ85" s="684"/>
      <c r="NK85" s="684"/>
    </row>
    <row r="86" spans="57:375" ht="20.149999999999999" customHeight="1" thickBot="1">
      <c r="BE86" s="1987"/>
      <c r="BF86" s="1987"/>
      <c r="BG86" s="1988"/>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30"/>
      <c r="BV86" s="1930"/>
      <c r="BX86" s="1696">
        <f>' Table Z Net Exp Profiles'!A86</f>
        <v>62</v>
      </c>
      <c r="BY86" s="1270" t="str">
        <f>' Table Z Net Exp Profiles'!B86</f>
        <v>Net Drugs Expenditure - Current Plan</v>
      </c>
      <c r="BZ86" s="1110">
        <f>' Table Z Net Exp Profiles'!C86</f>
        <v>0</v>
      </c>
      <c r="CA86" s="1110">
        <f>' Table Z Net Exp Profiles'!D86</f>
        <v>0</v>
      </c>
      <c r="CB86" s="1110">
        <f>' Table Z Net Exp Profiles'!E86</f>
        <v>0</v>
      </c>
      <c r="CC86" s="1110">
        <f>' Table Z Net Exp Profiles'!F86</f>
        <v>0</v>
      </c>
      <c r="CD86" s="1110">
        <f>' Table Z Net Exp Profiles'!G86</f>
        <v>0</v>
      </c>
      <c r="CE86" s="1110">
        <f>' Table Z Net Exp Profiles'!H86</f>
        <v>0</v>
      </c>
      <c r="CF86" s="1110">
        <f>' Table Z Net Exp Profiles'!I86</f>
        <v>0</v>
      </c>
      <c r="CG86" s="1110">
        <f>' Table Z Net Exp Profiles'!J86</f>
        <v>0</v>
      </c>
      <c r="CH86" s="1110">
        <f>' Table Z Net Exp Profiles'!K86</f>
        <v>0</v>
      </c>
      <c r="CI86" s="1110">
        <f>' Table Z Net Exp Profiles'!L86</f>
        <v>0</v>
      </c>
      <c r="CJ86" s="1110">
        <f>' Table Z Net Exp Profiles'!M86</f>
        <v>0</v>
      </c>
      <c r="CK86" s="1110">
        <f>' Table Z Net Exp Profiles'!N86</f>
        <v>0</v>
      </c>
      <c r="CL86" s="1110">
        <f>' Table Z Net Exp Profiles'!O86</f>
        <v>0</v>
      </c>
      <c r="CM86" s="1110">
        <f>' Table Z Net Exp Profiles'!P86</f>
        <v>0</v>
      </c>
      <c r="DF86" s="2739">
        <f>'B3 - COVID-19'!A86</f>
        <v>60</v>
      </c>
      <c r="DG86" s="2842" t="str">
        <f>'B3 - COVID-19'!B86</f>
        <v>Internal budget Virement into  COVID-19 Vaccination Programme (immunisation) (incl pay awards)</v>
      </c>
      <c r="DH86" s="2810">
        <f>'B3 - COVID-19'!C86</f>
        <v>0</v>
      </c>
      <c r="DI86" s="2487">
        <f>'B3 - COVID-19'!D86</f>
        <v>0</v>
      </c>
      <c r="DJ86" s="2487">
        <f>'B3 - COVID-19'!E86</f>
        <v>0</v>
      </c>
      <c r="DK86" s="2487">
        <f>'B3 - COVID-19'!F86</f>
        <v>0</v>
      </c>
      <c r="DL86" s="2487">
        <f>'B3 - COVID-19'!G86</f>
        <v>0</v>
      </c>
      <c r="DM86" s="2487">
        <f>'B3 - COVID-19'!H86</f>
        <v>0</v>
      </c>
      <c r="DN86" s="2487">
        <f>'B3 - COVID-19'!I86</f>
        <v>0</v>
      </c>
      <c r="DO86" s="2487">
        <f>'B3 - COVID-19'!J86</f>
        <v>0</v>
      </c>
      <c r="DP86" s="2487">
        <f>'B3 - COVID-19'!K86</f>
        <v>0</v>
      </c>
      <c r="DQ86" s="2487">
        <f>'B3 - COVID-19'!L86</f>
        <v>0</v>
      </c>
      <c r="DR86" s="2487">
        <f>'B3 - COVID-19'!M86</f>
        <v>0</v>
      </c>
      <c r="DS86" s="2488">
        <f>'B3 - COVID-19'!N86</f>
        <v>0</v>
      </c>
      <c r="DT86" s="1339">
        <f>'B3 - COVID-19'!O86</f>
        <v>0</v>
      </c>
      <c r="DU86" s="1340">
        <f>'B3 - COVID-19'!P86</f>
        <v>0</v>
      </c>
      <c r="DV86" s="608"/>
      <c r="DW86" s="1116"/>
      <c r="DY86" s="132">
        <v>4</v>
      </c>
      <c r="DZ86" s="3038" t="str">
        <f>'C, C1, C2&amp; C3 - Savings Schemes'!B86</f>
        <v>Non Medical 'off contract' to 'on contract'</v>
      </c>
      <c r="EA86" s="87" t="s">
        <v>291</v>
      </c>
      <c r="EB86" s="1773">
        <f>'C, C1, C2&amp; C3 - Savings Schemes'!D86</f>
        <v>0</v>
      </c>
      <c r="EC86" s="1774">
        <f>'C, C1, C2&amp; C3 - Savings Schemes'!E86</f>
        <v>0</v>
      </c>
      <c r="ED86" s="1774">
        <f>'C, C1, C2&amp; C3 - Savings Schemes'!F86</f>
        <v>0</v>
      </c>
      <c r="EE86" s="1774">
        <f>'C, C1, C2&amp; C3 - Savings Schemes'!G86</f>
        <v>0</v>
      </c>
      <c r="EF86" s="1774">
        <f>'C, C1, C2&amp; C3 - Savings Schemes'!H86</f>
        <v>0</v>
      </c>
      <c r="EG86" s="1774">
        <f>'C, C1, C2&amp; C3 - Savings Schemes'!I86</f>
        <v>0</v>
      </c>
      <c r="EH86" s="1774">
        <f>'C, C1, C2&amp; C3 - Savings Schemes'!J86</f>
        <v>0</v>
      </c>
      <c r="EI86" s="1774">
        <f>'C, C1, C2&amp; C3 - Savings Schemes'!K86</f>
        <v>0</v>
      </c>
      <c r="EJ86" s="1774">
        <f>'C, C1, C2&amp; C3 - Savings Schemes'!L86</f>
        <v>0</v>
      </c>
      <c r="EK86" s="1774">
        <f>'C, C1, C2&amp; C3 - Savings Schemes'!M86</f>
        <v>0</v>
      </c>
      <c r="EL86" s="1774">
        <f>'C, C1, C2&amp; C3 - Savings Schemes'!N86</f>
        <v>0</v>
      </c>
      <c r="EM86" s="1775">
        <f>'C, C1, C2&amp; C3 - Savings Schemes'!O86</f>
        <v>0</v>
      </c>
      <c r="EN86" s="73">
        <f>'C, C1, C2&amp; C3 - Savings Schemes'!P86</f>
        <v>0</v>
      </c>
      <c r="EO86" s="938">
        <f>'C, C1, C2&amp; C3 - Savings Schemes'!Q86</f>
        <v>0</v>
      </c>
      <c r="GF86" s="3137"/>
      <c r="GG86" s="3138"/>
      <c r="GH86" s="2531" t="str">
        <f>'E - Resource Limits'!C86</f>
        <v>Total</v>
      </c>
      <c r="GI86" s="2531" t="str">
        <f>'E - Resource Limits'!D86</f>
        <v>HCHS</v>
      </c>
      <c r="GJ86" s="2531" t="str">
        <f>'E - Resource Limits'!E86</f>
        <v>Pharmacy</v>
      </c>
      <c r="GK86" s="2531" t="str">
        <f>'E - Resource Limits'!F86</f>
        <v>Dental</v>
      </c>
      <c r="GL86" s="2531" t="str">
        <f>'E - Resource Limits'!G86</f>
        <v>GMS</v>
      </c>
      <c r="GM86" s="2532" t="str">
        <f>'E - Resource Limits'!H86</f>
        <v>RRL</v>
      </c>
      <c r="GN86" s="3142"/>
      <c r="GO86" s="1745"/>
      <c r="GP86" s="1745"/>
      <c r="GQ86" s="1745"/>
      <c r="GR86" s="1935"/>
      <c r="JD86" s="2088">
        <f>'I - Capital RLM'!A86</f>
        <v>62</v>
      </c>
      <c r="JE86" s="2126">
        <f>'I - Capital RLM'!B86</f>
        <v>0</v>
      </c>
      <c r="JF86" s="2010">
        <f>'I - Capital RLM'!C86</f>
        <v>0</v>
      </c>
      <c r="JG86" s="2010">
        <f>'I - Capital RLM'!D86</f>
        <v>0</v>
      </c>
      <c r="JH86" s="2118">
        <f>'I - Capital RLM'!E86</f>
        <v>0</v>
      </c>
      <c r="JI86" s="1943">
        <f>'I - Capital RLM'!F86</f>
        <v>0</v>
      </c>
      <c r="JJ86" s="2010">
        <f>'I - Capital RLM'!G86</f>
        <v>0</v>
      </c>
      <c r="JK86" s="2010">
        <f>'I - Capital RLM'!H86</f>
        <v>0</v>
      </c>
      <c r="JL86" s="2118">
        <f>'I - Capital RLM'!I86</f>
        <v>0</v>
      </c>
      <c r="JM86" s="2060"/>
      <c r="JN86" s="1890">
        <f>'I - Capital RLM'!K86</f>
        <v>0</v>
      </c>
      <c r="JO86" s="2060">
        <f t="shared" si="20"/>
        <v>0</v>
      </c>
      <c r="LL86" s="814"/>
      <c r="LM86" s="2197">
        <f>'M - Aged Debtors'!B86</f>
        <v>0</v>
      </c>
      <c r="LN86" s="2198">
        <f>'M - Aged Debtors'!C86</f>
        <v>0</v>
      </c>
      <c r="LO86" s="2199">
        <f>'M - Aged Debtors'!D86</f>
        <v>0</v>
      </c>
      <c r="LP86" s="2200">
        <f>'M - Aged Debtors'!E86</f>
        <v>0</v>
      </c>
      <c r="LQ86" s="2201">
        <f>'M - Aged Debtors'!F86</f>
        <v>0</v>
      </c>
      <c r="LR86" s="832" t="str">
        <f>'M - Aged Debtors'!G86</f>
        <v/>
      </c>
      <c r="LS86" s="829" t="str">
        <f>'M - Aged Debtors'!H86</f>
        <v/>
      </c>
      <c r="LT86" s="829" t="str">
        <f>'M - Aged Debtors'!I86</f>
        <v/>
      </c>
      <c r="LU86" s="830" t="str">
        <f>'M - Aged Debtors'!J86</f>
        <v/>
      </c>
      <c r="LV86" s="1830">
        <f>'M - Aged Debtors'!K86</f>
        <v>0</v>
      </c>
      <c r="LX86" s="480" t="str">
        <f>'N - GMS'!A86</f>
        <v>Local Development Schemes</v>
      </c>
      <c r="LY86" s="1674"/>
      <c r="LZ86" s="461">
        <f>'N - GMS'!C86</f>
        <v>61</v>
      </c>
      <c r="MA86" s="67">
        <f>'N - GMS'!D86</f>
        <v>0</v>
      </c>
      <c r="MB86" s="2231">
        <f>'N - GMS'!E86</f>
        <v>0</v>
      </c>
      <c r="MC86" s="2231">
        <f>'N - GMS'!F86</f>
        <v>0</v>
      </c>
      <c r="MD86" s="463">
        <f>'N - GMS'!G86</f>
        <v>0</v>
      </c>
      <c r="ME86" s="213"/>
      <c r="MF86" s="1028">
        <f>'N - GMS'!I86</f>
        <v>0</v>
      </c>
      <c r="MR86" s="684"/>
      <c r="MS86" s="2774">
        <f>'P - Ringfenced'!B86</f>
        <v>0</v>
      </c>
      <c r="MT86" s="2703">
        <f>'P - Ringfenced'!C86</f>
        <v>0</v>
      </c>
      <c r="MU86" s="1468"/>
      <c r="MV86" s="1468"/>
      <c r="MW86" s="1468"/>
      <c r="MX86" s="1468"/>
      <c r="MY86" s="1468"/>
      <c r="MZ86" s="1468"/>
      <c r="NA86" s="1468"/>
      <c r="NB86" s="1468"/>
      <c r="NC86" s="1468"/>
      <c r="ND86" s="1468"/>
      <c r="NE86" s="1468"/>
      <c r="NF86" s="1468"/>
      <c r="NG86" s="1468"/>
      <c r="NH86" s="1468"/>
      <c r="NI86" s="1468"/>
      <c r="NJ86" s="684"/>
      <c r="NK86" s="684"/>
    </row>
    <row r="87" spans="57:375" ht="20.149999999999999" customHeight="1" thickBot="1">
      <c r="BE87" s="1999"/>
      <c r="BF87" s="85"/>
      <c r="BG87" s="1988"/>
      <c r="BH87" s="2412" t="str">
        <f>'B - Monthly Positions'!D87</f>
        <v>Apr</v>
      </c>
      <c r="BI87" s="2413" t="str">
        <f>'B - Monthly Positions'!E87</f>
        <v>May</v>
      </c>
      <c r="BJ87" s="2413" t="str">
        <f>'B - Monthly Positions'!F87</f>
        <v>Jun</v>
      </c>
      <c r="BK87" s="2413" t="str">
        <f>'B - Monthly Positions'!G87</f>
        <v>Jul</v>
      </c>
      <c r="BL87" s="2413" t="str">
        <f>'B - Monthly Positions'!H87</f>
        <v>Aug</v>
      </c>
      <c r="BM87" s="2413" t="str">
        <f>'B - Monthly Positions'!I87</f>
        <v>Sep</v>
      </c>
      <c r="BN87" s="2413" t="str">
        <f>'B - Monthly Positions'!J87</f>
        <v>Oct</v>
      </c>
      <c r="BO87" s="2413" t="str">
        <f>'B - Monthly Positions'!K87</f>
        <v>Nov</v>
      </c>
      <c r="BP87" s="2413" t="str">
        <f>'B - Monthly Positions'!L87</f>
        <v>Dec</v>
      </c>
      <c r="BQ87" s="2413" t="str">
        <f>'B - Monthly Positions'!M87</f>
        <v>Jan</v>
      </c>
      <c r="BR87" s="2413" t="str">
        <f>'B - Monthly Positions'!N87</f>
        <v>Feb</v>
      </c>
      <c r="BS87" s="2414" t="str">
        <f>'B - Monthly Positions'!O87</f>
        <v>Mar</v>
      </c>
      <c r="BT87" s="1059" t="str">
        <f>'B - Monthly Positions'!P87</f>
        <v>Total YTD</v>
      </c>
      <c r="BU87" s="1059" t="str">
        <f>'B - Monthly Positions'!Q87</f>
        <v>Forecast year-end position</v>
      </c>
      <c r="BV87" s="1930"/>
      <c r="BX87" s="144">
        <f>' Table Z Net Exp Profiles'!A87</f>
        <v>63</v>
      </c>
      <c r="BY87" s="1270" t="str">
        <f>' Table Z Net Exp Profiles'!B87</f>
        <v>Net Drugs Expenditure - Actual/Forecast (as per Table B)</v>
      </c>
      <c r="BZ87" s="1110">
        <f>' Table Z Net Exp Profiles'!C87</f>
        <v>0</v>
      </c>
      <c r="CA87" s="1110">
        <f>' Table Z Net Exp Profiles'!D87</f>
        <v>0</v>
      </c>
      <c r="CB87" s="1110">
        <f>' Table Z Net Exp Profiles'!E87</f>
        <v>0</v>
      </c>
      <c r="CC87" s="1110">
        <f>' Table Z Net Exp Profiles'!F87</f>
        <v>0</v>
      </c>
      <c r="CD87" s="1110">
        <f>' Table Z Net Exp Profiles'!G87</f>
        <v>0</v>
      </c>
      <c r="CE87" s="1110">
        <f>' Table Z Net Exp Profiles'!H87</f>
        <v>0</v>
      </c>
      <c r="CF87" s="1110">
        <f>' Table Z Net Exp Profiles'!I87</f>
        <v>0</v>
      </c>
      <c r="CG87" s="1110">
        <f>' Table Z Net Exp Profiles'!J87</f>
        <v>0</v>
      </c>
      <c r="CH87" s="1110">
        <f>' Table Z Net Exp Profiles'!K87</f>
        <v>0</v>
      </c>
      <c r="CI87" s="1110">
        <f>' Table Z Net Exp Profiles'!L87</f>
        <v>0</v>
      </c>
      <c r="CJ87" s="1110">
        <f>' Table Z Net Exp Profiles'!M87</f>
        <v>0</v>
      </c>
      <c r="CK87" s="1110">
        <f>' Table Z Net Exp Profiles'!N87</f>
        <v>0</v>
      </c>
      <c r="CL87" s="1110">
        <f>' Table Z Net Exp Profiles'!O87</f>
        <v>0</v>
      </c>
      <c r="CM87" s="1110">
        <f>' Table Z Net Exp Profiles'!P87</f>
        <v>0</v>
      </c>
      <c r="DF87" s="2739">
        <f>'B3 - COVID-19'!A87</f>
        <v>61</v>
      </c>
      <c r="DG87" s="2842" t="str">
        <f>'B3 - COVID-19'!B87</f>
        <v>Total Actual/Forecast Funding</v>
      </c>
      <c r="DH87" s="2814">
        <f>'B3 - COVID-19'!C87</f>
        <v>60.311999999999998</v>
      </c>
      <c r="DI87" s="2815">
        <f>'B3 - COVID-19'!D87</f>
        <v>85.713984848484841</v>
      </c>
      <c r="DJ87" s="2815">
        <f>'B3 - COVID-19'!E87</f>
        <v>119.52718484848484</v>
      </c>
      <c r="DK87" s="2815">
        <f>'B3 - COVID-19'!F87</f>
        <v>119.52718484848484</v>
      </c>
      <c r="DL87" s="2815">
        <f>'B3 - COVID-19'!G87</f>
        <v>119.52718484848484</v>
      </c>
      <c r="DM87" s="2815">
        <f>'B3 - COVID-19'!H87</f>
        <v>179.52718484848484</v>
      </c>
      <c r="DN87" s="2815">
        <f>'B3 - COVID-19'!I87</f>
        <v>167.02718484848484</v>
      </c>
      <c r="DO87" s="2815">
        <f>'B3 - COVID-19'!J87</f>
        <v>107.02718484848484</v>
      </c>
      <c r="DP87" s="2815">
        <f>'B3 - COVID-19'!K87</f>
        <v>107.02718484848484</v>
      </c>
      <c r="DQ87" s="2815">
        <f>'B3 - COVID-19'!L87</f>
        <v>107.02718484848484</v>
      </c>
      <c r="DR87" s="2815">
        <f>'B3 - COVID-19'!M87</f>
        <v>158.87828984848485</v>
      </c>
      <c r="DS87" s="2816">
        <f>'B3 - COVID-19'!N87</f>
        <v>158.87828984848485</v>
      </c>
      <c r="DT87" s="1110">
        <f>'B3 - COVID-19'!O87</f>
        <v>60.311999999999998</v>
      </c>
      <c r="DU87" s="1220">
        <f>'B3 - COVID-19'!P87</f>
        <v>1490.0000433333332</v>
      </c>
      <c r="DV87" s="608"/>
      <c r="DW87" s="1116"/>
      <c r="DY87" s="131">
        <v>5</v>
      </c>
      <c r="DZ87" s="3039">
        <f>'[1]C, C1 &amp; C2 - Savings Schemes'!B87</f>
        <v>0</v>
      </c>
      <c r="EA87" s="90" t="s">
        <v>288</v>
      </c>
      <c r="EB87" s="1782">
        <f>'C, C1, C2&amp; C3 - Savings Schemes'!D87</f>
        <v>0</v>
      </c>
      <c r="EC87" s="1783">
        <f>'C, C1, C2&amp; C3 - Savings Schemes'!E87</f>
        <v>0</v>
      </c>
      <c r="ED87" s="1783">
        <f>'C, C1, C2&amp; C3 - Savings Schemes'!F87</f>
        <v>0</v>
      </c>
      <c r="EE87" s="1783">
        <f>'C, C1, C2&amp; C3 - Savings Schemes'!G87</f>
        <v>0</v>
      </c>
      <c r="EF87" s="1783">
        <f>'C, C1, C2&amp; C3 - Savings Schemes'!H87</f>
        <v>0</v>
      </c>
      <c r="EG87" s="1783">
        <f>'C, C1, C2&amp; C3 - Savings Schemes'!I87</f>
        <v>0</v>
      </c>
      <c r="EH87" s="1783">
        <f>'C, C1, C2&amp; C3 - Savings Schemes'!J87</f>
        <v>0</v>
      </c>
      <c r="EI87" s="1783">
        <f>'C, C1, C2&amp; C3 - Savings Schemes'!K87</f>
        <v>0</v>
      </c>
      <c r="EJ87" s="1783">
        <f>'C, C1, C2&amp; C3 - Savings Schemes'!L87</f>
        <v>0</v>
      </c>
      <c r="EK87" s="1783">
        <f>'C, C1, C2&amp; C3 - Savings Schemes'!M87</f>
        <v>0</v>
      </c>
      <c r="EL87" s="1783">
        <f>'C, C1, C2&amp; C3 - Savings Schemes'!N87</f>
        <v>0</v>
      </c>
      <c r="EM87" s="1784">
        <f>'C, C1, C2&amp; C3 - Savings Schemes'!O87</f>
        <v>0</v>
      </c>
      <c r="EN87" s="930">
        <f>'C, C1, C2&amp; C3 - Savings Schemes'!P87</f>
        <v>0</v>
      </c>
      <c r="EO87" s="940">
        <f>'C, C1, C2&amp; C3 - Savings Schemes'!Q87</f>
        <v>0</v>
      </c>
      <c r="GF87" s="3139"/>
      <c r="GG87" s="3140"/>
      <c r="GH87" s="2533" t="str">
        <f>'E - Resource Limits'!C87</f>
        <v>£'000</v>
      </c>
      <c r="GI87" s="2533" t="str">
        <f>'E - Resource Limits'!D87</f>
        <v>£'000</v>
      </c>
      <c r="GJ87" s="2533" t="str">
        <f>'E - Resource Limits'!E87</f>
        <v>£'000</v>
      </c>
      <c r="GK87" s="2533" t="str">
        <f>'E - Resource Limits'!F87</f>
        <v>£'000</v>
      </c>
      <c r="GL87" s="2533" t="str">
        <f>'E - Resource Limits'!G87</f>
        <v>£'000</v>
      </c>
      <c r="GM87" s="2534" t="str">
        <f>'E - Resource Limits'!H87</f>
        <v>£'000</v>
      </c>
      <c r="GN87" s="3143"/>
      <c r="GO87" s="1745"/>
      <c r="GP87" s="1745"/>
      <c r="GQ87" s="1745"/>
      <c r="GR87" s="1935"/>
      <c r="JD87" s="2073">
        <f>'I - Capital RLM'!A87</f>
        <v>63</v>
      </c>
      <c r="JE87" s="2126">
        <f>'I - Capital RLM'!B87</f>
        <v>0</v>
      </c>
      <c r="JF87" s="2010">
        <f>'I - Capital RLM'!C87</f>
        <v>0</v>
      </c>
      <c r="JG87" s="2010">
        <f>'I - Capital RLM'!D87</f>
        <v>0</v>
      </c>
      <c r="JH87" s="2118">
        <f>'I - Capital RLM'!E87</f>
        <v>0</v>
      </c>
      <c r="JI87" s="1943">
        <f>'I - Capital RLM'!F87</f>
        <v>0</v>
      </c>
      <c r="JJ87" s="2010">
        <f>'I - Capital RLM'!G87</f>
        <v>0</v>
      </c>
      <c r="JK87" s="2010">
        <f>'I - Capital RLM'!H87</f>
        <v>0</v>
      </c>
      <c r="JL87" s="2118">
        <f>'I - Capital RLM'!I87</f>
        <v>0</v>
      </c>
      <c r="JM87" s="2060"/>
      <c r="JN87" s="1890">
        <f>'I - Capital RLM'!K87</f>
        <v>0</v>
      </c>
      <c r="JO87" s="2060">
        <f t="shared" si="20"/>
        <v>0</v>
      </c>
      <c r="LL87" s="814"/>
      <c r="LM87" s="2197">
        <f>'M - Aged Debtors'!B87</f>
        <v>0</v>
      </c>
      <c r="LN87" s="2198">
        <f>'M - Aged Debtors'!C87</f>
        <v>0</v>
      </c>
      <c r="LO87" s="2199">
        <f>'M - Aged Debtors'!D87</f>
        <v>0</v>
      </c>
      <c r="LP87" s="2200">
        <f>'M - Aged Debtors'!E87</f>
        <v>0</v>
      </c>
      <c r="LQ87" s="2201">
        <f>'M - Aged Debtors'!F87</f>
        <v>0</v>
      </c>
      <c r="LR87" s="832" t="str">
        <f>'M - Aged Debtors'!G87</f>
        <v/>
      </c>
      <c r="LS87" s="829" t="str">
        <f>'M - Aged Debtors'!H87</f>
        <v/>
      </c>
      <c r="LT87" s="829" t="str">
        <f>'M - Aged Debtors'!I87</f>
        <v/>
      </c>
      <c r="LU87" s="830" t="str">
        <f>'M - Aged Debtors'!J87</f>
        <v/>
      </c>
      <c r="LV87" s="1830">
        <f>'M - Aged Debtors'!K87</f>
        <v>0</v>
      </c>
      <c r="LX87" s="3114" t="str">
        <f>'N - GMS'!A87</f>
        <v>Mental Health</v>
      </c>
      <c r="LY87" s="3131"/>
      <c r="LZ87" s="461">
        <f>'N - GMS'!C87</f>
        <v>62</v>
      </c>
      <c r="MA87" s="67">
        <f>'N - GMS'!D87</f>
        <v>0</v>
      </c>
      <c r="MB87" s="2231">
        <f>'N - GMS'!E87</f>
        <v>0</v>
      </c>
      <c r="MC87" s="2231">
        <f>'N - GMS'!F87</f>
        <v>0</v>
      </c>
      <c r="MD87" s="463">
        <f>'N - GMS'!G87</f>
        <v>0</v>
      </c>
      <c r="ME87" s="213"/>
      <c r="MF87" s="1028">
        <f>'N - GMS'!I87</f>
        <v>0</v>
      </c>
      <c r="MR87" s="684"/>
      <c r="MS87" s="2774">
        <f>'P - Ringfenced'!B87</f>
        <v>0</v>
      </c>
      <c r="MT87" s="2704">
        <f>'P - Ringfenced'!C87</f>
        <v>0</v>
      </c>
      <c r="MU87" s="1468"/>
      <c r="MV87" s="1468"/>
      <c r="MW87" s="1468"/>
      <c r="MX87" s="1468"/>
      <c r="MY87" s="1468"/>
      <c r="MZ87" s="1468"/>
      <c r="NA87" s="1468"/>
      <c r="NB87" s="1468"/>
      <c r="NC87" s="1468"/>
      <c r="ND87" s="1468"/>
      <c r="NE87" s="1468"/>
      <c r="NF87" s="1468"/>
      <c r="NG87" s="1468"/>
      <c r="NH87" s="1468"/>
      <c r="NI87" s="1468"/>
      <c r="NJ87" s="684"/>
      <c r="NK87" s="684"/>
    </row>
    <row r="88" spans="57:375" ht="20.149999999999999" customHeight="1" thickBot="1">
      <c r="BE88" s="1999"/>
      <c r="BF88" s="85"/>
      <c r="BG88" s="2019"/>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60">
        <f>'B - Monthly Positions'!P88</f>
        <v>0</v>
      </c>
      <c r="BU88" s="1061">
        <f>'B - Monthly Positions'!Q88</f>
        <v>0</v>
      </c>
      <c r="BV88" s="1930"/>
      <c r="BX88" s="1107">
        <f>' Table Z Net Exp Profiles'!A88</f>
        <v>64</v>
      </c>
      <c r="BY88" s="1270" t="str">
        <f>' Table Z Net Exp Profiles'!B88</f>
        <v>Net Drugs Expenditure - Movement</v>
      </c>
      <c r="BZ88" s="1110">
        <f>' Table Z Net Exp Profiles'!C88</f>
        <v>0</v>
      </c>
      <c r="CA88" s="1110">
        <f>' Table Z Net Exp Profiles'!D88</f>
        <v>0</v>
      </c>
      <c r="CB88" s="1110">
        <f>' Table Z Net Exp Profiles'!E88</f>
        <v>0</v>
      </c>
      <c r="CC88" s="1110">
        <f>' Table Z Net Exp Profiles'!F88</f>
        <v>0</v>
      </c>
      <c r="CD88" s="1110">
        <f>' Table Z Net Exp Profiles'!G88</f>
        <v>0</v>
      </c>
      <c r="CE88" s="1110">
        <f>' Table Z Net Exp Profiles'!H88</f>
        <v>0</v>
      </c>
      <c r="CF88" s="1110">
        <f>' Table Z Net Exp Profiles'!I88</f>
        <v>0</v>
      </c>
      <c r="CG88" s="1110">
        <f>' Table Z Net Exp Profiles'!J88</f>
        <v>0</v>
      </c>
      <c r="CH88" s="1110">
        <f>' Table Z Net Exp Profiles'!K88</f>
        <v>0</v>
      </c>
      <c r="CI88" s="1110">
        <f>' Table Z Net Exp Profiles'!L88</f>
        <v>0</v>
      </c>
      <c r="CJ88" s="1110">
        <f>' Table Z Net Exp Profiles'!M88</f>
        <v>0</v>
      </c>
      <c r="CK88" s="1110">
        <f>' Table Z Net Exp Profiles'!N88</f>
        <v>0</v>
      </c>
      <c r="CL88" s="1110">
        <f>' Table Z Net Exp Profiles'!O88</f>
        <v>0</v>
      </c>
      <c r="CM88" s="1110">
        <f>' Table Z Net Exp Profiles'!P88</f>
        <v>0</v>
      </c>
      <c r="DF88" s="2741">
        <f>'B3 - COVID-19'!A88</f>
        <v>62</v>
      </c>
      <c r="DG88" s="2843" t="str">
        <f>'B3 - COVID-19'!B88</f>
        <v>Movement from Plan</v>
      </c>
      <c r="DH88" s="2811">
        <f>'B3 - COVID-19'!C88</f>
        <v>0</v>
      </c>
      <c r="DI88" s="2812">
        <f>'B3 - COVID-19'!D88</f>
        <v>0</v>
      </c>
      <c r="DJ88" s="2812">
        <f>'B3 - COVID-19'!E88</f>
        <v>0</v>
      </c>
      <c r="DK88" s="2812">
        <f>'B3 - COVID-19'!F88</f>
        <v>0</v>
      </c>
      <c r="DL88" s="2812">
        <f>'B3 - COVID-19'!G88</f>
        <v>0</v>
      </c>
      <c r="DM88" s="2812">
        <f>'B3 - COVID-19'!H88</f>
        <v>0</v>
      </c>
      <c r="DN88" s="2812">
        <f>'B3 - COVID-19'!I88</f>
        <v>0</v>
      </c>
      <c r="DO88" s="2812">
        <f>'B3 - COVID-19'!J88</f>
        <v>0</v>
      </c>
      <c r="DP88" s="2812">
        <f>'B3 - COVID-19'!K88</f>
        <v>0</v>
      </c>
      <c r="DQ88" s="2812">
        <f>'B3 - COVID-19'!L88</f>
        <v>0</v>
      </c>
      <c r="DR88" s="2812">
        <f>'B3 - COVID-19'!M88</f>
        <v>0</v>
      </c>
      <c r="DS88" s="2813">
        <f>'B3 - COVID-19'!N88</f>
        <v>0</v>
      </c>
      <c r="DT88" s="1686">
        <f>'B3 - COVID-19'!O88</f>
        <v>0</v>
      </c>
      <c r="DU88" s="2518">
        <f>'B3 - COVID-19'!P88</f>
        <v>0</v>
      </c>
      <c r="DV88" s="608"/>
      <c r="DW88" s="1116"/>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9">
        <f>'C, C1, C2&amp; C3 - Savings Schemes'!O88</f>
        <v>0</v>
      </c>
      <c r="EN88" s="123">
        <f>'C, C1, C2&amp; C3 - Savings Schemes'!P88</f>
        <v>0</v>
      </c>
      <c r="EO88" s="939">
        <f>'C, C1, C2&amp; C3 - Savings Schemes'!Q88</f>
        <v>0</v>
      </c>
      <c r="GF88" s="344">
        <f>'E - Resource Limits'!A88</f>
        <v>67</v>
      </c>
      <c r="GG88" s="1731"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6">
        <f>'E - Resource Limits'!G88</f>
        <v>0</v>
      </c>
      <c r="GM88" s="2529">
        <f>'E - Resource Limits'!H88</f>
        <v>0</v>
      </c>
      <c r="GN88" s="2554">
        <f>'E - Resource Limits'!I88</f>
        <v>0</v>
      </c>
      <c r="GO88" s="1745"/>
      <c r="GP88" s="1745"/>
      <c r="GQ88" s="1745"/>
      <c r="GR88" s="1935"/>
      <c r="JD88" s="2088">
        <f>'I - Capital RLM'!A88</f>
        <v>64</v>
      </c>
      <c r="JE88" s="2126">
        <f>'I - Capital RLM'!B88</f>
        <v>0</v>
      </c>
      <c r="JF88" s="2010">
        <f>'I - Capital RLM'!C88</f>
        <v>0</v>
      </c>
      <c r="JG88" s="2010">
        <f>'I - Capital RLM'!D88</f>
        <v>0</v>
      </c>
      <c r="JH88" s="2118">
        <f>'I - Capital RLM'!E88</f>
        <v>0</v>
      </c>
      <c r="JI88" s="1943">
        <f>'I - Capital RLM'!F88</f>
        <v>0</v>
      </c>
      <c r="JJ88" s="2010">
        <f>'I - Capital RLM'!G88</f>
        <v>0</v>
      </c>
      <c r="JK88" s="2010">
        <f>'I - Capital RLM'!H88</f>
        <v>0</v>
      </c>
      <c r="JL88" s="2118">
        <f>'I - Capital RLM'!I88</f>
        <v>0</v>
      </c>
      <c r="JM88" s="2060"/>
      <c r="JN88" s="1890">
        <f>'I - Capital RLM'!K88</f>
        <v>0</v>
      </c>
      <c r="JO88" s="2060">
        <f t="shared" si="20"/>
        <v>0</v>
      </c>
      <c r="LL88" s="814"/>
      <c r="LM88" s="2197">
        <f>'M - Aged Debtors'!B88</f>
        <v>0</v>
      </c>
      <c r="LN88" s="2198">
        <f>'M - Aged Debtors'!C88</f>
        <v>0</v>
      </c>
      <c r="LO88" s="2199">
        <f>'M - Aged Debtors'!D88</f>
        <v>0</v>
      </c>
      <c r="LP88" s="2200">
        <f>'M - Aged Debtors'!E88</f>
        <v>0</v>
      </c>
      <c r="LQ88" s="2201">
        <f>'M - Aged Debtors'!F88</f>
        <v>0</v>
      </c>
      <c r="LR88" s="832" t="str">
        <f>'M - Aged Debtors'!G88</f>
        <v/>
      </c>
      <c r="LS88" s="829" t="str">
        <f>'M - Aged Debtors'!H88</f>
        <v/>
      </c>
      <c r="LT88" s="829" t="str">
        <f>'M - Aged Debtors'!I88</f>
        <v/>
      </c>
      <c r="LU88" s="830" t="str">
        <f>'M - Aged Debtors'!J88</f>
        <v/>
      </c>
      <c r="LV88" s="1830">
        <f>'M - Aged Debtors'!K88</f>
        <v>0</v>
      </c>
      <c r="LX88" s="3114" t="str">
        <f>'N - GMS'!A88</f>
        <v>Minor Injuries</v>
      </c>
      <c r="LY88" s="3131"/>
      <c r="LZ88" s="461">
        <f>'N - GMS'!C88</f>
        <v>63</v>
      </c>
      <c r="MA88" s="2230">
        <f>'N - GMS'!D88</f>
        <v>0</v>
      </c>
      <c r="MB88" s="2231">
        <f>'N - GMS'!E88</f>
        <v>0</v>
      </c>
      <c r="MC88" s="2231">
        <f>'N - GMS'!F88</f>
        <v>0</v>
      </c>
      <c r="MD88" s="463">
        <f>'N - GMS'!G88</f>
        <v>0</v>
      </c>
      <c r="ME88" s="213"/>
      <c r="MF88" s="1028">
        <f>'N - GMS'!I88</f>
        <v>0</v>
      </c>
      <c r="MR88" s="684"/>
      <c r="MS88" s="2676" t="str">
        <f>'P - Ringfenced'!B88</f>
        <v>Total</v>
      </c>
      <c r="MT88" s="1101">
        <f>'P - Ringfenced'!C88</f>
        <v>0</v>
      </c>
      <c r="MU88" s="1468"/>
      <c r="MV88" s="1468"/>
      <c r="MW88" s="1468"/>
      <c r="MX88" s="1468"/>
      <c r="MY88" s="1468"/>
      <c r="MZ88" s="1468"/>
      <c r="NA88" s="1468"/>
      <c r="NB88" s="1468"/>
      <c r="NC88" s="1468"/>
      <c r="ND88" s="1468"/>
      <c r="NE88" s="1468"/>
      <c r="NF88" s="1468"/>
      <c r="NG88" s="1468"/>
      <c r="NH88" s="1468"/>
      <c r="NI88" s="1468"/>
      <c r="NJ88" s="684"/>
      <c r="NK88" s="684"/>
    </row>
    <row r="89" spans="57:375" ht="20.149999999999999" customHeight="1" thickBot="1">
      <c r="BE89" s="2042">
        <f>'B - Monthly Positions'!A89</f>
        <v>51</v>
      </c>
      <c r="BF89" s="2419" t="str">
        <f>'B - Monthly Positions'!B89</f>
        <v>Accountancy Gains</v>
      </c>
      <c r="BG89" s="1109" t="str">
        <f>'B - Monthly Positions'!C89</f>
        <v>Actual/F'cast</v>
      </c>
      <c r="BH89" s="1846">
        <f>'B - Monthly Positions'!D89</f>
        <v>0</v>
      </c>
      <c r="BI89" s="1847">
        <f>'B - Monthly Positions'!E89</f>
        <v>0</v>
      </c>
      <c r="BJ89" s="1847">
        <f>'B - Monthly Positions'!F89</f>
        <v>0</v>
      </c>
      <c r="BK89" s="1847">
        <f>'B - Monthly Positions'!G89</f>
        <v>0</v>
      </c>
      <c r="BL89" s="1847">
        <f>'B - Monthly Positions'!H89</f>
        <v>0</v>
      </c>
      <c r="BM89" s="1847">
        <f>'B - Monthly Positions'!I89</f>
        <v>0</v>
      </c>
      <c r="BN89" s="1847">
        <f>'B - Monthly Positions'!J89</f>
        <v>0</v>
      </c>
      <c r="BO89" s="1847">
        <f>'B - Monthly Positions'!K89</f>
        <v>0</v>
      </c>
      <c r="BP89" s="1847">
        <f>'B - Monthly Positions'!L89</f>
        <v>0</v>
      </c>
      <c r="BQ89" s="1847">
        <f>'B - Monthly Positions'!M89</f>
        <v>0</v>
      </c>
      <c r="BR89" s="1847">
        <f>'B - Monthly Positions'!N89</f>
        <v>0</v>
      </c>
      <c r="BS89" s="1848">
        <f>'B - Monthly Positions'!O89</f>
        <v>0</v>
      </c>
      <c r="BT89" s="1101">
        <f>'B - Monthly Positions'!P89</f>
        <v>0</v>
      </c>
      <c r="BU89" s="1133">
        <f>'B - Monthly Positions'!Q89</f>
        <v>0</v>
      </c>
      <c r="BV89" s="1930"/>
      <c r="BX89" s="1107">
        <f>' Table Z Net Exp Profiles'!A89</f>
        <v>65</v>
      </c>
      <c r="BY89" s="1270" t="str">
        <f>' Table Z Net Exp Profiles'!B89</f>
        <v>Net Drugs Expenditure - Movement due to Covid-19</v>
      </c>
      <c r="BZ89" s="1110">
        <f>' Table Z Net Exp Profiles'!C89</f>
        <v>0</v>
      </c>
      <c r="CA89" s="1110">
        <f>' Table Z Net Exp Profiles'!D89</f>
        <v>0</v>
      </c>
      <c r="CB89" s="1110">
        <f>' Table Z Net Exp Profiles'!E89</f>
        <v>0</v>
      </c>
      <c r="CC89" s="1110">
        <f>' Table Z Net Exp Profiles'!F89</f>
        <v>0</v>
      </c>
      <c r="CD89" s="1110">
        <f>' Table Z Net Exp Profiles'!G89</f>
        <v>0</v>
      </c>
      <c r="CE89" s="1110">
        <f>' Table Z Net Exp Profiles'!H89</f>
        <v>0</v>
      </c>
      <c r="CF89" s="1110">
        <f>' Table Z Net Exp Profiles'!I89</f>
        <v>0</v>
      </c>
      <c r="CG89" s="1110">
        <f>' Table Z Net Exp Profiles'!J89</f>
        <v>0</v>
      </c>
      <c r="CH89" s="1110">
        <f>' Table Z Net Exp Profiles'!K89</f>
        <v>0</v>
      </c>
      <c r="CI89" s="1110">
        <f>' Table Z Net Exp Profiles'!L89</f>
        <v>0</v>
      </c>
      <c r="CJ89" s="1110">
        <f>' Table Z Net Exp Profiles'!M89</f>
        <v>0</v>
      </c>
      <c r="CK89" s="1110">
        <f>' Table Z Net Exp Profiles'!N89</f>
        <v>0</v>
      </c>
      <c r="CL89" s="1110">
        <f>' Table Z Net Exp Profiles'!O89</f>
        <v>0</v>
      </c>
      <c r="CM89" s="1110">
        <f>' Table Z Net Exp Profiles'!P89</f>
        <v>0</v>
      </c>
      <c r="DF89" s="2486"/>
      <c r="DG89" s="2819"/>
      <c r="DH89" s="1918"/>
      <c r="DI89" s="1918"/>
      <c r="DJ89" s="1918"/>
      <c r="DK89" s="1918"/>
      <c r="DL89" s="1918"/>
      <c r="DM89" s="1918"/>
      <c r="DN89" s="1918"/>
      <c r="DO89" s="1918"/>
      <c r="DP89" s="1918"/>
      <c r="DQ89" s="1918"/>
      <c r="DR89" s="1918"/>
      <c r="DS89" s="1918"/>
      <c r="DT89" s="1918"/>
      <c r="DU89" s="1918"/>
      <c r="DV89" s="608"/>
      <c r="DW89" s="1116"/>
      <c r="DY89" s="132">
        <v>7</v>
      </c>
      <c r="DZ89" s="3039" t="str">
        <f>'C, C1, C2&amp; C3 - Savings Schemes'!B89</f>
        <v>Medical - Impact of Agency pay rate caps</v>
      </c>
      <c r="EA89" s="87" t="s">
        <v>291</v>
      </c>
      <c r="EB89" s="1773">
        <f>'C, C1, C2&amp; C3 - Savings Schemes'!D89</f>
        <v>0</v>
      </c>
      <c r="EC89" s="1774">
        <f>'C, C1, C2&amp; C3 - Savings Schemes'!E89</f>
        <v>0</v>
      </c>
      <c r="ED89" s="1774">
        <f>'C, C1, C2&amp; C3 - Savings Schemes'!F89</f>
        <v>0</v>
      </c>
      <c r="EE89" s="1774">
        <f>'C, C1, C2&amp; C3 - Savings Schemes'!G89</f>
        <v>0</v>
      </c>
      <c r="EF89" s="1774">
        <f>'C, C1, C2&amp; C3 - Savings Schemes'!H89</f>
        <v>0</v>
      </c>
      <c r="EG89" s="1774">
        <f>'C, C1, C2&amp; C3 - Savings Schemes'!I89</f>
        <v>0</v>
      </c>
      <c r="EH89" s="1774">
        <f>'C, C1, C2&amp; C3 - Savings Schemes'!J89</f>
        <v>0</v>
      </c>
      <c r="EI89" s="1774">
        <f>'C, C1, C2&amp; C3 - Savings Schemes'!K89</f>
        <v>0</v>
      </c>
      <c r="EJ89" s="1774">
        <f>'C, C1, C2&amp; C3 - Savings Schemes'!L89</f>
        <v>0</v>
      </c>
      <c r="EK89" s="1774">
        <f>'C, C1, C2&amp; C3 - Savings Schemes'!M89</f>
        <v>0</v>
      </c>
      <c r="EL89" s="1774">
        <f>'C, C1, C2&amp; C3 - Savings Schemes'!N89</f>
        <v>0</v>
      </c>
      <c r="EM89" s="1775">
        <f>'C, C1, C2&amp; C3 - Savings Schemes'!O89</f>
        <v>0</v>
      </c>
      <c r="EN89" s="73">
        <f>'C, C1, C2&amp; C3 - Savings Schemes'!P89</f>
        <v>0</v>
      </c>
      <c r="EO89" s="938">
        <f>'C, C1, C2&amp; C3 - Savings Schemes'!Q89</f>
        <v>0</v>
      </c>
      <c r="GF89" s="346">
        <f>'E - Resource Limits'!A89</f>
        <v>68</v>
      </c>
      <c r="GG89" s="2525" t="str">
        <f>'E - Resource Limits'!B89</f>
        <v>COVID-19 Vaccination (Immunisation) Programme</v>
      </c>
      <c r="GH89" s="25">
        <f>'E - Resource Limits'!C89</f>
        <v>0</v>
      </c>
      <c r="GI89" s="25">
        <f>'E - Resource Limits'!D89</f>
        <v>0</v>
      </c>
      <c r="GJ89" s="25">
        <f>'E - Resource Limits'!E89</f>
        <v>0</v>
      </c>
      <c r="GK89" s="25">
        <f>'E - Resource Limits'!F89</f>
        <v>0</v>
      </c>
      <c r="GL89" s="2527">
        <f>'E - Resource Limits'!G89</f>
        <v>0</v>
      </c>
      <c r="GM89" s="196">
        <f>'E - Resource Limits'!H89</f>
        <v>0</v>
      </c>
      <c r="GN89" s="2555">
        <f>'E - Resource Limits'!I89</f>
        <v>0</v>
      </c>
      <c r="GO89" s="1745"/>
      <c r="GP89" s="1745"/>
      <c r="GQ89" s="1745"/>
      <c r="GR89" s="1935"/>
      <c r="JD89" s="2073">
        <f>'I - Capital RLM'!A89</f>
        <v>65</v>
      </c>
      <c r="JE89" s="2126">
        <f>'I - Capital RLM'!B89</f>
        <v>0</v>
      </c>
      <c r="JF89" s="2010">
        <f>'I - Capital RLM'!C89</f>
        <v>0</v>
      </c>
      <c r="JG89" s="2010">
        <f>'I - Capital RLM'!D89</f>
        <v>0</v>
      </c>
      <c r="JH89" s="2118">
        <f>'I - Capital RLM'!E89</f>
        <v>0</v>
      </c>
      <c r="JI89" s="1943">
        <f>'I - Capital RLM'!F89</f>
        <v>0</v>
      </c>
      <c r="JJ89" s="2010">
        <f>'I - Capital RLM'!G89</f>
        <v>0</v>
      </c>
      <c r="JK89" s="2010">
        <f>'I - Capital RLM'!H89</f>
        <v>0</v>
      </c>
      <c r="JL89" s="2118">
        <f>'I - Capital RLM'!I89</f>
        <v>0</v>
      </c>
      <c r="JM89" s="2060"/>
      <c r="JN89" s="1890">
        <f>'I - Capital RLM'!K89</f>
        <v>0</v>
      </c>
      <c r="JO89" s="2060">
        <f t="shared" si="20"/>
        <v>0</v>
      </c>
      <c r="LL89" s="814"/>
      <c r="LM89" s="2197">
        <f>'M - Aged Debtors'!B89</f>
        <v>0</v>
      </c>
      <c r="LN89" s="2198">
        <f>'M - Aged Debtors'!C89</f>
        <v>0</v>
      </c>
      <c r="LO89" s="2199">
        <f>'M - Aged Debtors'!D89</f>
        <v>0</v>
      </c>
      <c r="LP89" s="2200">
        <f>'M - Aged Debtors'!E89</f>
        <v>0</v>
      </c>
      <c r="LQ89" s="2201">
        <f>'M - Aged Debtors'!F89</f>
        <v>0</v>
      </c>
      <c r="LR89" s="832" t="str">
        <f>'M - Aged Debtors'!G89</f>
        <v/>
      </c>
      <c r="LS89" s="829" t="str">
        <f>'M - Aged Debtors'!H89</f>
        <v/>
      </c>
      <c r="LT89" s="829" t="str">
        <f>'M - Aged Debtors'!I89</f>
        <v/>
      </c>
      <c r="LU89" s="830" t="str">
        <f>'M - Aged Debtors'!J89</f>
        <v/>
      </c>
      <c r="LV89" s="1830">
        <f>'M - Aged Debtors'!K89</f>
        <v>0</v>
      </c>
      <c r="LX89" s="3114" t="str">
        <f>'N - GMS'!A89</f>
        <v>MMR</v>
      </c>
      <c r="LY89" s="3131"/>
      <c r="LZ89" s="461">
        <f>'N - GMS'!C89</f>
        <v>64</v>
      </c>
      <c r="MA89" s="67">
        <f>'N - GMS'!D89</f>
        <v>0</v>
      </c>
      <c r="MB89" s="2231">
        <f>'N - GMS'!E89</f>
        <v>0</v>
      </c>
      <c r="MC89" s="2231">
        <f>'N - GMS'!F89</f>
        <v>0</v>
      </c>
      <c r="MD89" s="463">
        <f>'N - GMS'!G89</f>
        <v>0</v>
      </c>
      <c r="ME89" s="213"/>
      <c r="MF89" s="1028">
        <f>'N - GMS'!I89</f>
        <v>0</v>
      </c>
      <c r="MR89" s="684"/>
      <c r="MS89" s="1468"/>
      <c r="MT89" s="1468"/>
      <c r="MU89" s="1468"/>
      <c r="MV89" s="1468"/>
      <c r="MW89" s="1468"/>
      <c r="MX89" s="1468"/>
      <c r="MY89" s="1468"/>
      <c r="MZ89" s="1468"/>
      <c r="NA89" s="1468"/>
      <c r="NB89" s="1468"/>
      <c r="NC89" s="1468"/>
      <c r="ND89" s="1468"/>
      <c r="NE89" s="1468"/>
      <c r="NF89" s="1468"/>
      <c r="NG89" s="1468"/>
      <c r="NH89" s="1468"/>
      <c r="NI89" s="1468"/>
      <c r="NJ89" s="684"/>
      <c r="NK89" s="684"/>
    </row>
    <row r="90" spans="57:375" ht="20.149999999999999" customHeight="1" thickBot="1">
      <c r="BE90" s="1395"/>
      <c r="BF90" s="3009"/>
      <c r="BG90" s="1393"/>
      <c r="BH90" s="1140"/>
      <c r="BI90" s="1140"/>
      <c r="BJ90" s="1140"/>
      <c r="BK90" s="1140"/>
      <c r="BL90" s="1140"/>
      <c r="BM90" s="1140"/>
      <c r="BN90" s="1140"/>
      <c r="BO90" s="1140"/>
      <c r="BP90" s="1140"/>
      <c r="BQ90" s="1140"/>
      <c r="BR90" s="1140"/>
      <c r="BS90" s="1140"/>
      <c r="BT90" s="1917"/>
      <c r="BU90" s="3008"/>
      <c r="BV90" s="1380"/>
      <c r="BX90" s="1107">
        <f>' Table Z Net Exp Profiles'!A90</f>
        <v>66</v>
      </c>
      <c r="BY90" s="1270" t="str">
        <f>' Table Z Net Exp Profiles'!B90</f>
        <v>Net Drugs Expenditure - Movement Other</v>
      </c>
      <c r="BZ90" s="1110">
        <f>' Table Z Net Exp Profiles'!C90</f>
        <v>0</v>
      </c>
      <c r="CA90" s="1110">
        <f>' Table Z Net Exp Profiles'!D90</f>
        <v>0</v>
      </c>
      <c r="CB90" s="1110">
        <f>' Table Z Net Exp Profiles'!E90</f>
        <v>0</v>
      </c>
      <c r="CC90" s="1110">
        <f>' Table Z Net Exp Profiles'!F90</f>
        <v>0</v>
      </c>
      <c r="CD90" s="1110">
        <f>' Table Z Net Exp Profiles'!G90</f>
        <v>0</v>
      </c>
      <c r="CE90" s="1110">
        <f>' Table Z Net Exp Profiles'!H90</f>
        <v>0</v>
      </c>
      <c r="CF90" s="1110">
        <f>' Table Z Net Exp Profiles'!I90</f>
        <v>0</v>
      </c>
      <c r="CG90" s="1110">
        <f>' Table Z Net Exp Profiles'!J90</f>
        <v>0</v>
      </c>
      <c r="CH90" s="1110">
        <f>' Table Z Net Exp Profiles'!K90</f>
        <v>0</v>
      </c>
      <c r="CI90" s="1110">
        <f>' Table Z Net Exp Profiles'!L90</f>
        <v>0</v>
      </c>
      <c r="CJ90" s="1110">
        <f>' Table Z Net Exp Profiles'!M90</f>
        <v>0</v>
      </c>
      <c r="CK90" s="1110">
        <f>' Table Z Net Exp Profiles'!N90</f>
        <v>0</v>
      </c>
      <c r="CL90" s="1110">
        <f>' Table Z Net Exp Profiles'!O90</f>
        <v>0</v>
      </c>
      <c r="CM90" s="1110">
        <f>' Table Z Net Exp Profiles'!P90</f>
        <v>0</v>
      </c>
      <c r="DF90" s="1353">
        <f>'B3 - COVID-19'!A90</f>
        <v>63</v>
      </c>
      <c r="DG90" s="2840" t="str">
        <f>'B3 - COVID-19'!B90</f>
        <v>Actual / Forecast Net Outturn - COVID-19 Vaccination Programme (immunisation)</v>
      </c>
      <c r="DH90" s="1912">
        <f>'B3 - COVID-19'!C90</f>
        <v>3.9999999998485691E-5</v>
      </c>
      <c r="DI90" s="1341">
        <f>'B3 - COVID-19'!D90</f>
        <v>0</v>
      </c>
      <c r="DJ90" s="1341">
        <f>'B3 - COVID-19'!E90</f>
        <v>0</v>
      </c>
      <c r="DK90" s="1341">
        <f>'B3 - COVID-19'!F90</f>
        <v>0</v>
      </c>
      <c r="DL90" s="1341">
        <f>'B3 - COVID-19'!G90</f>
        <v>0</v>
      </c>
      <c r="DM90" s="1341">
        <f>'B3 - COVID-19'!H90</f>
        <v>0</v>
      </c>
      <c r="DN90" s="1341">
        <f>'B3 - COVID-19'!I90</f>
        <v>0</v>
      </c>
      <c r="DO90" s="1341">
        <f>'B3 - COVID-19'!J90</f>
        <v>0</v>
      </c>
      <c r="DP90" s="1341">
        <f>'B3 - COVID-19'!K90</f>
        <v>0</v>
      </c>
      <c r="DQ90" s="1341">
        <f>'B3 - COVID-19'!L90</f>
        <v>0</v>
      </c>
      <c r="DR90" s="1341">
        <f>'B3 - COVID-19'!M90</f>
        <v>0</v>
      </c>
      <c r="DS90" s="1341">
        <f>'B3 - COVID-19'!N90</f>
        <v>0</v>
      </c>
      <c r="DT90" s="1341">
        <f>'B3 - COVID-19'!O90</f>
        <v>3.9999999998485691E-5</v>
      </c>
      <c r="DU90" s="1867">
        <f>'B3 - COVID-19'!P90</f>
        <v>3.9999999899009708E-5</v>
      </c>
      <c r="DV90" s="608"/>
      <c r="DW90" s="1116"/>
      <c r="DY90" s="131">
        <v>8</v>
      </c>
      <c r="DZ90" s="3039">
        <f>'[1]C, C1 &amp; C2 - Savings Schemes'!B90</f>
        <v>0</v>
      </c>
      <c r="EA90" s="90" t="s">
        <v>288</v>
      </c>
      <c r="EB90" s="1782">
        <f>'C, C1, C2&amp; C3 - Savings Schemes'!D90</f>
        <v>0</v>
      </c>
      <c r="EC90" s="1783">
        <f>'C, C1, C2&amp; C3 - Savings Schemes'!E90</f>
        <v>0</v>
      </c>
      <c r="ED90" s="1783">
        <f>'C, C1, C2&amp; C3 - Savings Schemes'!F90</f>
        <v>0</v>
      </c>
      <c r="EE90" s="1783">
        <f>'C, C1, C2&amp; C3 - Savings Schemes'!G90</f>
        <v>0</v>
      </c>
      <c r="EF90" s="1783">
        <f>'C, C1, C2&amp; C3 - Savings Schemes'!H90</f>
        <v>0</v>
      </c>
      <c r="EG90" s="1783">
        <f>'C, C1, C2&amp; C3 - Savings Schemes'!I90</f>
        <v>0</v>
      </c>
      <c r="EH90" s="1783">
        <f>'C, C1, C2&amp; C3 - Savings Schemes'!J90</f>
        <v>0</v>
      </c>
      <c r="EI90" s="1783">
        <f>'C, C1, C2&amp; C3 - Savings Schemes'!K90</f>
        <v>0</v>
      </c>
      <c r="EJ90" s="1783">
        <f>'C, C1, C2&amp; C3 - Savings Schemes'!L90</f>
        <v>0</v>
      </c>
      <c r="EK90" s="1783">
        <f>'C, C1, C2&amp; C3 - Savings Schemes'!M90</f>
        <v>0</v>
      </c>
      <c r="EL90" s="1783">
        <f>'C, C1, C2&amp; C3 - Savings Schemes'!N90</f>
        <v>0</v>
      </c>
      <c r="EM90" s="1784">
        <f>'C, C1, C2&amp; C3 - Savings Schemes'!O90</f>
        <v>0</v>
      </c>
      <c r="EN90" s="74">
        <f>'C, C1, C2&amp; C3 - Savings Schemes'!P90</f>
        <v>0</v>
      </c>
      <c r="EO90" s="940">
        <f>'C, C1, C2&amp; C3 - Savings Schemes'!Q90</f>
        <v>0</v>
      </c>
      <c r="GF90" s="346">
        <f>'E - Resource Limits'!A90</f>
        <v>69</v>
      </c>
      <c r="GG90" s="2525" t="str">
        <f>'E - Resource Limits'!B90</f>
        <v xml:space="preserve">PPE </v>
      </c>
      <c r="GH90" s="25">
        <f>'E - Resource Limits'!C90</f>
        <v>0</v>
      </c>
      <c r="GI90" s="25">
        <f>'E - Resource Limits'!D90</f>
        <v>0</v>
      </c>
      <c r="GJ90" s="25">
        <f>'E - Resource Limits'!E90</f>
        <v>0</v>
      </c>
      <c r="GK90" s="25">
        <f>'E - Resource Limits'!F90</f>
        <v>0</v>
      </c>
      <c r="GL90" s="2527">
        <f>'E - Resource Limits'!G90</f>
        <v>0</v>
      </c>
      <c r="GM90" s="196">
        <f>'E - Resource Limits'!H90</f>
        <v>0</v>
      </c>
      <c r="GN90" s="2555">
        <f>'E - Resource Limits'!I90</f>
        <v>0</v>
      </c>
      <c r="GO90" s="1745"/>
      <c r="GP90" s="1745"/>
      <c r="GQ90" s="1745"/>
      <c r="GR90" s="1935"/>
      <c r="JD90" s="2088">
        <f>'I - Capital RLM'!A90</f>
        <v>66</v>
      </c>
      <c r="JE90" s="2126">
        <f>'I - Capital RLM'!B90</f>
        <v>0</v>
      </c>
      <c r="JF90" s="2010">
        <f>'I - Capital RLM'!C90</f>
        <v>0</v>
      </c>
      <c r="JG90" s="2010">
        <f>'I - Capital RLM'!D90</f>
        <v>0</v>
      </c>
      <c r="JH90" s="2118">
        <f>'I - Capital RLM'!E90</f>
        <v>0</v>
      </c>
      <c r="JI90" s="1943">
        <f>'I - Capital RLM'!F90</f>
        <v>0</v>
      </c>
      <c r="JJ90" s="2010">
        <f>'I - Capital RLM'!G90</f>
        <v>0</v>
      </c>
      <c r="JK90" s="2010">
        <f>'I - Capital RLM'!H90</f>
        <v>0</v>
      </c>
      <c r="JL90" s="2118">
        <f>'I - Capital RLM'!I90</f>
        <v>0</v>
      </c>
      <c r="JM90" s="2060"/>
      <c r="JN90" s="1890">
        <f>'I - Capital RLM'!K90</f>
        <v>0</v>
      </c>
      <c r="JO90" s="2060">
        <f t="shared" si="20"/>
        <v>0</v>
      </c>
      <c r="LL90" s="814"/>
      <c r="LM90" s="2197">
        <f>'M - Aged Debtors'!B90</f>
        <v>0</v>
      </c>
      <c r="LN90" s="2198">
        <f>'M - Aged Debtors'!C90</f>
        <v>0</v>
      </c>
      <c r="LO90" s="2199">
        <f>'M - Aged Debtors'!D90</f>
        <v>0</v>
      </c>
      <c r="LP90" s="2200">
        <f>'M - Aged Debtors'!E90</f>
        <v>0</v>
      </c>
      <c r="LQ90" s="2201">
        <f>'M - Aged Debtors'!F90</f>
        <v>0</v>
      </c>
      <c r="LR90" s="832" t="str">
        <f>'M - Aged Debtors'!G90</f>
        <v/>
      </c>
      <c r="LS90" s="829" t="str">
        <f>'M - Aged Debtors'!H90</f>
        <v/>
      </c>
      <c r="LT90" s="829" t="str">
        <f>'M - Aged Debtors'!I90</f>
        <v/>
      </c>
      <c r="LU90" s="830" t="str">
        <f>'M - Aged Debtors'!J90</f>
        <v/>
      </c>
      <c r="LV90" s="1830">
        <f>'M - Aged Debtors'!K90</f>
        <v>0</v>
      </c>
      <c r="LX90" s="480" t="str">
        <f>'N - GMS'!A90</f>
        <v>Multiple Sclerosis</v>
      </c>
      <c r="LY90" s="1675"/>
      <c r="LZ90" s="461">
        <f>'N - GMS'!C90</f>
        <v>65</v>
      </c>
      <c r="MA90" s="67">
        <f>'N - GMS'!D90</f>
        <v>0</v>
      </c>
      <c r="MB90" s="2231">
        <f>'N - GMS'!E90</f>
        <v>0</v>
      </c>
      <c r="MC90" s="2231">
        <f>'N - GMS'!F90</f>
        <v>0</v>
      </c>
      <c r="MD90" s="463">
        <f>'N - GMS'!G90</f>
        <v>0</v>
      </c>
      <c r="ME90" s="213"/>
      <c r="MF90" s="1028">
        <f>'N - GMS'!I90</f>
        <v>0</v>
      </c>
      <c r="MR90" s="684"/>
      <c r="MS90" s="2674" t="str">
        <f>'P - Ringfenced'!B90</f>
        <v>Value Based Health Care (Confirm in below text 'Allocated' or 'Anticipated')</v>
      </c>
      <c r="MT90" s="2673" t="str">
        <f>'P - Ringfenced'!C90</f>
        <v>£000s</v>
      </c>
      <c r="MU90" s="1468"/>
      <c r="MV90" s="1468"/>
      <c r="MW90" s="1468"/>
      <c r="MX90" s="1468"/>
      <c r="MY90" s="1468"/>
      <c r="MZ90" s="1468"/>
      <c r="NA90" s="1468"/>
      <c r="NB90" s="1468"/>
      <c r="NC90" s="1468"/>
      <c r="ND90" s="1468"/>
      <c r="NE90" s="1468"/>
      <c r="NF90" s="1468"/>
      <c r="NG90" s="1468"/>
      <c r="NH90" s="1468"/>
      <c r="NI90" s="1468"/>
      <c r="NJ90" s="684"/>
      <c r="NK90" s="684"/>
    </row>
    <row r="91" spans="57:375" ht="20.149999999999999" customHeight="1" thickBot="1">
      <c r="BE91" s="1395"/>
      <c r="BF91" s="3009"/>
      <c r="BG91" s="1393"/>
      <c r="BH91" s="1140"/>
      <c r="BI91" s="1140"/>
      <c r="BJ91" s="1140"/>
      <c r="BK91" s="1140"/>
      <c r="BL91" s="1140"/>
      <c r="BM91" s="1140"/>
      <c r="BN91" s="1140"/>
      <c r="BO91" s="1140"/>
      <c r="BP91" s="1140"/>
      <c r="BQ91" s="1140"/>
      <c r="BR91" s="1140"/>
      <c r="BS91" s="1140"/>
      <c r="BT91" s="1917"/>
      <c r="BU91" s="3008"/>
      <c r="BV91" s="1380"/>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6"/>
      <c r="DG91" s="1116"/>
      <c r="DH91" s="1918"/>
      <c r="DI91" s="1918"/>
      <c r="DJ91" s="1918"/>
      <c r="DK91" s="1918"/>
      <c r="DL91" s="1918"/>
      <c r="DM91" s="1918"/>
      <c r="DN91" s="1918"/>
      <c r="DO91" s="1918"/>
      <c r="DP91" s="1918"/>
      <c r="DQ91" s="1918"/>
      <c r="DR91" s="1918"/>
      <c r="DS91" s="1918"/>
      <c r="DT91" s="1918"/>
      <c r="DU91" s="1918"/>
      <c r="DV91" s="608"/>
      <c r="DW91" s="1116"/>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9">
        <f>'C, C1, C2&amp; C3 - Savings Schemes'!O91</f>
        <v>0</v>
      </c>
      <c r="EN91" s="1300">
        <f>'C, C1, C2&amp; C3 - Savings Schemes'!P91</f>
        <v>0</v>
      </c>
      <c r="EO91" s="939">
        <f>'C, C1, C2&amp; C3 - Savings Schemes'!Q91</f>
        <v>0</v>
      </c>
      <c r="GF91" s="346">
        <f>'E - Resource Limits'!A91</f>
        <v>70</v>
      </c>
      <c r="GG91" s="2525" t="str">
        <f>'E - Resource Limits'!B91</f>
        <v>Long Covid</v>
      </c>
      <c r="GH91" s="25">
        <f>'E - Resource Limits'!C91</f>
        <v>0</v>
      </c>
      <c r="GI91" s="25">
        <f>'E - Resource Limits'!D91</f>
        <v>0</v>
      </c>
      <c r="GJ91" s="25">
        <f>'E - Resource Limits'!E91</f>
        <v>0</v>
      </c>
      <c r="GK91" s="25">
        <f>'E - Resource Limits'!F91</f>
        <v>0</v>
      </c>
      <c r="GL91" s="2527">
        <f>'E - Resource Limits'!G91</f>
        <v>0</v>
      </c>
      <c r="GM91" s="196">
        <f>'E - Resource Limits'!H91</f>
        <v>0</v>
      </c>
      <c r="GN91" s="2555">
        <f>'E - Resource Limits'!I91</f>
        <v>0</v>
      </c>
      <c r="GO91" s="1745"/>
      <c r="GP91" s="1745"/>
      <c r="GQ91" s="1745"/>
      <c r="GR91" s="1935"/>
      <c r="JD91" s="2088">
        <f>'I - Capital RLM'!A91</f>
        <v>67</v>
      </c>
      <c r="JE91" s="2126">
        <f>'I - Capital RLM'!B91</f>
        <v>0</v>
      </c>
      <c r="JF91" s="2010">
        <f>'I - Capital RLM'!C91</f>
        <v>0</v>
      </c>
      <c r="JG91" s="2010">
        <f>'I - Capital RLM'!D91</f>
        <v>0</v>
      </c>
      <c r="JH91" s="2118">
        <f>'I - Capital RLM'!E91</f>
        <v>0</v>
      </c>
      <c r="JI91" s="1943">
        <f>'I - Capital RLM'!F91</f>
        <v>0</v>
      </c>
      <c r="JJ91" s="2010">
        <f>'I - Capital RLM'!G91</f>
        <v>0</v>
      </c>
      <c r="JK91" s="2010">
        <f>'I - Capital RLM'!H91</f>
        <v>0</v>
      </c>
      <c r="JL91" s="2118">
        <f>'I - Capital RLM'!I91</f>
        <v>0</v>
      </c>
      <c r="JM91" s="2060"/>
      <c r="JN91" s="1890">
        <f>'I - Capital RLM'!K91</f>
        <v>0</v>
      </c>
      <c r="JO91" s="2060">
        <f t="shared" si="20"/>
        <v>0</v>
      </c>
      <c r="LL91" s="814"/>
      <c r="LM91" s="2197">
        <f>'M - Aged Debtors'!B91</f>
        <v>0</v>
      </c>
      <c r="LN91" s="2198">
        <f>'M - Aged Debtors'!C91</f>
        <v>0</v>
      </c>
      <c r="LO91" s="2199">
        <f>'M - Aged Debtors'!D91</f>
        <v>0</v>
      </c>
      <c r="LP91" s="2200">
        <f>'M - Aged Debtors'!E91</f>
        <v>0</v>
      </c>
      <c r="LQ91" s="2201">
        <f>'M - Aged Debtors'!F91</f>
        <v>0</v>
      </c>
      <c r="LR91" s="832" t="str">
        <f>'M - Aged Debtors'!G91</f>
        <v/>
      </c>
      <c r="LS91" s="829" t="str">
        <f>'M - Aged Debtors'!H91</f>
        <v/>
      </c>
      <c r="LT91" s="829" t="str">
        <f>'M - Aged Debtors'!I91</f>
        <v/>
      </c>
      <c r="LU91" s="830" t="str">
        <f>'M - Aged Debtors'!J91</f>
        <v/>
      </c>
      <c r="LV91" s="1830">
        <f>'M - Aged Debtors'!K91</f>
        <v>0</v>
      </c>
      <c r="LX91" s="3114" t="str">
        <f>'N - GMS'!A91</f>
        <v>Muscular Skeletal</v>
      </c>
      <c r="LY91" s="3132"/>
      <c r="LZ91" s="461">
        <f>'N - GMS'!C91</f>
        <v>66</v>
      </c>
      <c r="MA91" s="67">
        <f>'N - GMS'!D91</f>
        <v>0</v>
      </c>
      <c r="MB91" s="2231">
        <f>'N - GMS'!E91</f>
        <v>0</v>
      </c>
      <c r="MC91" s="2231">
        <f>'N - GMS'!F91</f>
        <v>0</v>
      </c>
      <c r="MD91" s="463">
        <f>'N - GMS'!G91</f>
        <v>0</v>
      </c>
      <c r="ME91" s="213"/>
      <c r="MF91" s="1028">
        <f>'N - GMS'!I91</f>
        <v>0</v>
      </c>
      <c r="MR91" s="684"/>
      <c r="MS91" s="2775">
        <f>'P - Ringfenced'!B91</f>
        <v>0</v>
      </c>
      <c r="MT91" s="2702">
        <f>'P - Ringfenced'!C91</f>
        <v>0</v>
      </c>
      <c r="MU91" s="1468"/>
      <c r="MV91" s="1468"/>
      <c r="MW91" s="1468"/>
      <c r="MX91" s="1468"/>
      <c r="MY91" s="1468"/>
      <c r="MZ91" s="1468"/>
      <c r="NA91" s="1468"/>
      <c r="NB91" s="1468"/>
      <c r="NC91" s="1468"/>
      <c r="ND91" s="1468"/>
      <c r="NE91" s="1468"/>
      <c r="NF91" s="1468"/>
      <c r="NG91" s="1468"/>
      <c r="NH91" s="1468"/>
      <c r="NI91" s="1468"/>
      <c r="NJ91" s="684"/>
      <c r="NK91" s="684"/>
    </row>
    <row r="92" spans="57:375" ht="20.149999999999999" customHeight="1" thickBot="1">
      <c r="BE92" s="80"/>
      <c r="BF92" s="652" t="s">
        <v>1394</v>
      </c>
      <c r="BG92" s="80"/>
      <c r="BH92" s="80"/>
      <c r="BI92" s="80"/>
      <c r="BJ92" s="80"/>
      <c r="BK92" s="80"/>
      <c r="BL92" s="80"/>
      <c r="BM92" s="80"/>
      <c r="BN92" s="80"/>
      <c r="BO92" s="80"/>
      <c r="BP92" s="80"/>
      <c r="BQ92" s="80"/>
      <c r="BR92" s="80"/>
      <c r="BS92" s="80"/>
      <c r="BT92" s="80"/>
      <c r="BU92" s="80"/>
      <c r="BV92" s="1380"/>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30" t="str">
        <f>'B3 - COVID-19'!A92</f>
        <v>Nosocomial, PPE, Long Covid &amp; Other - Additional costs due to C19</v>
      </c>
      <c r="DG92" s="1116"/>
      <c r="DH92" s="1918"/>
      <c r="DI92" s="1918"/>
      <c r="DJ92" s="1918"/>
      <c r="DK92" s="1918"/>
      <c r="DL92" s="1918"/>
      <c r="DM92" s="1918"/>
      <c r="DN92" s="1918"/>
      <c r="DO92" s="1918"/>
      <c r="DP92" s="1918"/>
      <c r="DQ92" s="1918"/>
      <c r="DR92" s="1918"/>
      <c r="DS92" s="1918"/>
      <c r="DT92" s="1918"/>
      <c r="DU92" s="1918"/>
      <c r="DV92" s="608"/>
      <c r="DW92" s="1116"/>
      <c r="DY92" s="130">
        <f>'C, C1, C2&amp; C3 - Savings Schemes'!A92</f>
        <v>10</v>
      </c>
      <c r="DZ92" s="3038" t="str">
        <f>'C, C1, C2&amp; C3 - Savings Schemes'!B92</f>
        <v>Other (Please Specify)</v>
      </c>
      <c r="EA92" s="87" t="s">
        <v>291</v>
      </c>
      <c r="EB92" s="1773">
        <f>'C, C1, C2&amp; C3 - Savings Schemes'!D92</f>
        <v>0</v>
      </c>
      <c r="EC92" s="1774">
        <f>'C, C1, C2&amp; C3 - Savings Schemes'!E92</f>
        <v>0</v>
      </c>
      <c r="ED92" s="1774">
        <f>'C, C1, C2&amp; C3 - Savings Schemes'!F92</f>
        <v>0</v>
      </c>
      <c r="EE92" s="1774">
        <f>'C, C1, C2&amp; C3 - Savings Schemes'!G92</f>
        <v>0</v>
      </c>
      <c r="EF92" s="1774">
        <f>'C, C1, C2&amp; C3 - Savings Schemes'!H92</f>
        <v>0</v>
      </c>
      <c r="EG92" s="1774">
        <f>'C, C1, C2&amp; C3 - Savings Schemes'!I92</f>
        <v>0</v>
      </c>
      <c r="EH92" s="1774">
        <f>'C, C1, C2&amp; C3 - Savings Schemes'!J92</f>
        <v>0</v>
      </c>
      <c r="EI92" s="1774">
        <f>'C, C1, C2&amp; C3 - Savings Schemes'!K92</f>
        <v>0</v>
      </c>
      <c r="EJ92" s="1774">
        <f>'C, C1, C2&amp; C3 - Savings Schemes'!L92</f>
        <v>0</v>
      </c>
      <c r="EK92" s="1774">
        <f>'C, C1, C2&amp; C3 - Savings Schemes'!M92</f>
        <v>0</v>
      </c>
      <c r="EL92" s="1774">
        <f>'C, C1, C2&amp; C3 - Savings Schemes'!N92</f>
        <v>0</v>
      </c>
      <c r="EM92" s="1775">
        <f>'C, C1, C2&amp; C3 - Savings Schemes'!O92</f>
        <v>0</v>
      </c>
      <c r="EN92" s="930">
        <f>'C, C1, C2&amp; C3 - Savings Schemes'!P92</f>
        <v>0</v>
      </c>
      <c r="EO92" s="938">
        <f>'C, C1, C2&amp; C3 - Savings Schemes'!Q92</f>
        <v>0</v>
      </c>
      <c r="GF92" s="346">
        <f>'E - Resource Limits'!A92</f>
        <v>71</v>
      </c>
      <c r="GG92" s="2609" t="str">
        <f>'E - Resource Limits'!B92</f>
        <v>Nosocomial</v>
      </c>
      <c r="GH92" s="25">
        <f>'E - Resource Limits'!C92</f>
        <v>0</v>
      </c>
      <c r="GI92" s="25">
        <f>'E - Resource Limits'!D92</f>
        <v>0</v>
      </c>
      <c r="GJ92" s="25">
        <f>'E - Resource Limits'!E92</f>
        <v>0</v>
      </c>
      <c r="GK92" s="25">
        <f>'E - Resource Limits'!F92</f>
        <v>0</v>
      </c>
      <c r="GL92" s="2527">
        <f>'E - Resource Limits'!G92</f>
        <v>0</v>
      </c>
      <c r="GM92" s="196">
        <f>'E - Resource Limits'!H92</f>
        <v>0</v>
      </c>
      <c r="GN92" s="2555">
        <f>'E - Resource Limits'!I92</f>
        <v>0</v>
      </c>
      <c r="GO92" s="1745"/>
      <c r="GP92" s="1745"/>
      <c r="GQ92" s="1745"/>
      <c r="GR92" s="1935"/>
      <c r="JD92" s="2073">
        <f>'I - Capital RLM'!A92</f>
        <v>68</v>
      </c>
      <c r="JE92" s="2334">
        <f>'I - Capital RLM'!B92</f>
        <v>0</v>
      </c>
      <c r="JF92" s="2052">
        <f>'I - Capital RLM'!C92</f>
        <v>0</v>
      </c>
      <c r="JG92" s="2052">
        <f>'I - Capital RLM'!D92</f>
        <v>0</v>
      </c>
      <c r="JH92" s="2411">
        <f>'I - Capital RLM'!E92</f>
        <v>0</v>
      </c>
      <c r="JI92" s="1943">
        <f>'I - Capital RLM'!F92</f>
        <v>0</v>
      </c>
      <c r="JJ92" s="2052">
        <f>'I - Capital RLM'!G92</f>
        <v>0</v>
      </c>
      <c r="JK92" s="2052">
        <f>'I - Capital RLM'!H92</f>
        <v>0</v>
      </c>
      <c r="JL92" s="2411">
        <f>'I - Capital RLM'!I92</f>
        <v>0</v>
      </c>
      <c r="JM92" s="2060"/>
      <c r="JN92" s="1891">
        <f>'I - Capital RLM'!K92</f>
        <v>0</v>
      </c>
      <c r="JO92" s="2060">
        <f t="shared" si="20"/>
        <v>0</v>
      </c>
      <c r="LL92" s="814"/>
      <c r="LM92" s="2197">
        <f>'M - Aged Debtors'!B92</f>
        <v>0</v>
      </c>
      <c r="LN92" s="2198">
        <f>'M - Aged Debtors'!C92</f>
        <v>0</v>
      </c>
      <c r="LO92" s="2199">
        <f>'M - Aged Debtors'!D92</f>
        <v>0</v>
      </c>
      <c r="LP92" s="2200">
        <f>'M - Aged Debtors'!E92</f>
        <v>0</v>
      </c>
      <c r="LQ92" s="2201">
        <f>'M - Aged Debtors'!F92</f>
        <v>0</v>
      </c>
      <c r="LR92" s="832" t="str">
        <f>'M - Aged Debtors'!G92</f>
        <v/>
      </c>
      <c r="LS92" s="829" t="str">
        <f>'M - Aged Debtors'!H92</f>
        <v/>
      </c>
      <c r="LT92" s="829" t="str">
        <f>'M - Aged Debtors'!I92</f>
        <v/>
      </c>
      <c r="LU92" s="830" t="str">
        <f>'M - Aged Debtors'!J92</f>
        <v/>
      </c>
      <c r="LV92" s="1830">
        <f>'M - Aged Debtors'!K92</f>
        <v>0</v>
      </c>
      <c r="LX92" s="3114" t="str">
        <f>'N - GMS'!A92</f>
        <v xml:space="preserve">Nursing Homes </v>
      </c>
      <c r="LY92" s="3131"/>
      <c r="LZ92" s="461">
        <f>'N - GMS'!C92</f>
        <v>67</v>
      </c>
      <c r="MA92" s="67">
        <f>'N - GMS'!D92</f>
        <v>0</v>
      </c>
      <c r="MB92" s="2231">
        <f>'N - GMS'!E92</f>
        <v>0</v>
      </c>
      <c r="MC92" s="2231">
        <f>'N - GMS'!F92</f>
        <v>0</v>
      </c>
      <c r="MD92" s="463">
        <f>'N - GMS'!G92</f>
        <v>0</v>
      </c>
      <c r="ME92" s="213"/>
      <c r="MF92" s="1028">
        <f>'N - GMS'!I92</f>
        <v>0</v>
      </c>
      <c r="MR92" s="684"/>
      <c r="MS92" s="2772">
        <f>'P - Ringfenced'!B92</f>
        <v>0</v>
      </c>
      <c r="MT92" s="2703">
        <f>'P - Ringfenced'!C92</f>
        <v>0</v>
      </c>
      <c r="MU92" s="1468"/>
      <c r="MV92" s="1468"/>
      <c r="MW92" s="1468"/>
      <c r="MX92" s="1468"/>
      <c r="MY92" s="1468"/>
      <c r="MZ92" s="1468"/>
      <c r="NA92" s="1468"/>
      <c r="NB92" s="1468"/>
      <c r="NC92" s="1468"/>
      <c r="ND92" s="1468"/>
      <c r="NE92" s="1468"/>
      <c r="NF92" s="1468"/>
      <c r="NG92" s="1468"/>
      <c r="NH92" s="1468"/>
      <c r="NI92" s="1468"/>
      <c r="NJ92" s="684"/>
      <c r="NK92" s="684"/>
    </row>
    <row r="93" spans="57:375" ht="20.149999999999999" customHeight="1" thickBot="1">
      <c r="BE93" s="84"/>
      <c r="BF93" s="84"/>
      <c r="BG93" s="1531"/>
      <c r="BH93" s="1538">
        <f>'B - Monthly Positions'!D93</f>
        <v>1</v>
      </c>
      <c r="BI93" s="1538">
        <f>'B - Monthly Positions'!E93</f>
        <v>2</v>
      </c>
      <c r="BJ93" s="1538">
        <f>'B - Monthly Positions'!F93</f>
        <v>3</v>
      </c>
      <c r="BK93" s="1538">
        <f>'B - Monthly Positions'!G93</f>
        <v>4</v>
      </c>
      <c r="BL93" s="1538">
        <f>'B - Monthly Positions'!H93</f>
        <v>5</v>
      </c>
      <c r="BM93" s="1538">
        <f>'B - Monthly Positions'!I93</f>
        <v>6</v>
      </c>
      <c r="BN93" s="1538">
        <f>'B - Monthly Positions'!J93</f>
        <v>7</v>
      </c>
      <c r="BO93" s="1538">
        <f>'B - Monthly Positions'!K93</f>
        <v>8</v>
      </c>
      <c r="BP93" s="1538">
        <f>'B - Monthly Positions'!L93</f>
        <v>9</v>
      </c>
      <c r="BQ93" s="1538">
        <f>'B - Monthly Positions'!M93</f>
        <v>10</v>
      </c>
      <c r="BR93" s="1538">
        <f>'B - Monthly Positions'!N93</f>
        <v>11</v>
      </c>
      <c r="BS93" s="1538">
        <f>'B - Monthly Positions'!O93</f>
        <v>12</v>
      </c>
      <c r="BT93" s="104"/>
      <c r="BU93" s="80"/>
      <c r="BV93" s="1380"/>
      <c r="BX93" s="84"/>
      <c r="BY93" s="80"/>
      <c r="BZ93" s="80"/>
      <c r="CA93" s="80"/>
      <c r="CB93" s="80"/>
      <c r="CC93" s="80"/>
      <c r="CD93" s="80"/>
      <c r="CE93" s="80"/>
      <c r="CF93" s="80"/>
      <c r="CG93" s="80"/>
      <c r="CH93" s="80"/>
      <c r="CI93" s="80"/>
      <c r="CJ93" s="80"/>
      <c r="CK93" s="80"/>
      <c r="CL93" s="80"/>
      <c r="CM93" s="80"/>
      <c r="DF93" s="2486"/>
      <c r="DG93" s="1116"/>
      <c r="DH93" s="1918"/>
      <c r="DI93" s="1918"/>
      <c r="DJ93" s="1918"/>
      <c r="DK93" s="1918"/>
      <c r="DL93" s="1918"/>
      <c r="DM93" s="1918"/>
      <c r="DN93" s="1918"/>
      <c r="DO93" s="1918"/>
      <c r="DP93" s="1918"/>
      <c r="DQ93" s="1918"/>
      <c r="DR93" s="1918"/>
      <c r="DS93" s="1918"/>
      <c r="DT93" s="1918"/>
      <c r="DU93" s="1918"/>
      <c r="DV93" s="608"/>
      <c r="DW93" s="1116"/>
      <c r="DY93" s="131">
        <f>'C, C1, C2&amp; C3 - Savings Schemes'!A93</f>
        <v>11</v>
      </c>
      <c r="DZ93" s="3039">
        <f>'[1]C, C1 &amp; C2 - Savings Schemes'!B93</f>
        <v>0</v>
      </c>
      <c r="EA93" s="90" t="s">
        <v>288</v>
      </c>
      <c r="EB93" s="1782">
        <f>'C, C1, C2&amp; C3 - Savings Schemes'!D93</f>
        <v>0</v>
      </c>
      <c r="EC93" s="1783">
        <f>'C, C1, C2&amp; C3 - Savings Schemes'!E93</f>
        <v>0</v>
      </c>
      <c r="ED93" s="1783">
        <f>'C, C1, C2&amp; C3 - Savings Schemes'!F93</f>
        <v>0</v>
      </c>
      <c r="EE93" s="1783">
        <f>'C, C1, C2&amp; C3 - Savings Schemes'!G93</f>
        <v>0</v>
      </c>
      <c r="EF93" s="1783">
        <f>'C, C1, C2&amp; C3 - Savings Schemes'!H93</f>
        <v>0</v>
      </c>
      <c r="EG93" s="1783">
        <f>'C, C1, C2&amp; C3 - Savings Schemes'!I93</f>
        <v>0</v>
      </c>
      <c r="EH93" s="1783">
        <f>'C, C1, C2&amp; C3 - Savings Schemes'!J93</f>
        <v>0</v>
      </c>
      <c r="EI93" s="1783">
        <f>'C, C1, C2&amp; C3 - Savings Schemes'!K93</f>
        <v>0</v>
      </c>
      <c r="EJ93" s="1783">
        <f>'C, C1, C2&amp; C3 - Savings Schemes'!L93</f>
        <v>0</v>
      </c>
      <c r="EK93" s="1783">
        <f>'C, C1, C2&amp; C3 - Savings Schemes'!M93</f>
        <v>0</v>
      </c>
      <c r="EL93" s="1783">
        <f>'C, C1, C2&amp; C3 - Savings Schemes'!N93</f>
        <v>0</v>
      </c>
      <c r="EM93" s="1784">
        <f>'C, C1, C2&amp; C3 - Savings Schemes'!O93</f>
        <v>0</v>
      </c>
      <c r="EN93" s="121">
        <f>'C, C1, C2&amp; C3 - Savings Schemes'!P93</f>
        <v>0</v>
      </c>
      <c r="EO93" s="940">
        <f>'C, C1, C2&amp; C3 - Savings Schemes'!Q93</f>
        <v>0</v>
      </c>
      <c r="GF93" s="346">
        <f>'E - Resource Limits'!A93</f>
        <v>72</v>
      </c>
      <c r="GG93" s="2609">
        <f>'E - Resource Limits'!B93</f>
        <v>0</v>
      </c>
      <c r="GH93" s="25">
        <f>'E - Resource Limits'!C93</f>
        <v>0</v>
      </c>
      <c r="GI93" s="25">
        <f>'E - Resource Limits'!D93</f>
        <v>0</v>
      </c>
      <c r="GJ93" s="25">
        <f>'E - Resource Limits'!E93</f>
        <v>0</v>
      </c>
      <c r="GK93" s="25">
        <f>'E - Resource Limits'!F93</f>
        <v>0</v>
      </c>
      <c r="GL93" s="2527">
        <f>'E - Resource Limits'!G93</f>
        <v>0</v>
      </c>
      <c r="GM93" s="196">
        <f>'E - Resource Limits'!H93</f>
        <v>0</v>
      </c>
      <c r="GN93" s="2555">
        <f>'E - Resource Limits'!I93</f>
        <v>0</v>
      </c>
      <c r="GO93" s="1745"/>
      <c r="GP93" s="1745"/>
      <c r="GQ93" s="1745"/>
      <c r="GR93" s="1935"/>
      <c r="JD93" s="2088">
        <f>'I - Capital RLM'!A93</f>
        <v>69</v>
      </c>
      <c r="JE93" s="2361" t="str">
        <f>'I - Capital RLM'!B93</f>
        <v>Sub Total</v>
      </c>
      <c r="JF93" s="2037">
        <f>'I - Capital RLM'!C93</f>
        <v>0</v>
      </c>
      <c r="JG93" s="2037">
        <f>'I - Capital RLM'!D93</f>
        <v>0</v>
      </c>
      <c r="JH93" s="2037">
        <f>'I - Capital RLM'!E93</f>
        <v>0</v>
      </c>
      <c r="JI93" s="1943">
        <f>'I - Capital RLM'!F93</f>
        <v>0</v>
      </c>
      <c r="JJ93" s="2037">
        <f>'I - Capital RLM'!G93</f>
        <v>0</v>
      </c>
      <c r="JK93" s="2037">
        <f>'I - Capital RLM'!H93</f>
        <v>0</v>
      </c>
      <c r="JL93" s="2037">
        <f>'I - Capital RLM'!I93</f>
        <v>0</v>
      </c>
      <c r="JM93" s="2060"/>
      <c r="JN93" s="759"/>
      <c r="JO93" s="2060">
        <f>SUM(JO73:JO92)</f>
        <v>0</v>
      </c>
      <c r="LL93" s="814"/>
      <c r="LM93" s="2197">
        <f>'M - Aged Debtors'!B93</f>
        <v>0</v>
      </c>
      <c r="LN93" s="2198">
        <f>'M - Aged Debtors'!C93</f>
        <v>0</v>
      </c>
      <c r="LO93" s="2199">
        <f>'M - Aged Debtors'!D93</f>
        <v>0</v>
      </c>
      <c r="LP93" s="2200">
        <f>'M - Aged Debtors'!E93</f>
        <v>0</v>
      </c>
      <c r="LQ93" s="2201">
        <f>'M - Aged Debtors'!F93</f>
        <v>0</v>
      </c>
      <c r="LR93" s="832" t="str">
        <f>'M - Aged Debtors'!G93</f>
        <v/>
      </c>
      <c r="LS93" s="829" t="str">
        <f>'M - Aged Debtors'!H93</f>
        <v/>
      </c>
      <c r="LT93" s="829" t="str">
        <f>'M - Aged Debtors'!I93</f>
        <v/>
      </c>
      <c r="LU93" s="830" t="str">
        <f>'M - Aged Debtors'!J93</f>
        <v/>
      </c>
      <c r="LV93" s="1830">
        <f>'M - Aged Debtors'!K93</f>
        <v>0</v>
      </c>
      <c r="LX93" s="480" t="str">
        <f>'N - GMS'!A93</f>
        <v>Orthopaedic (Upper Limb GPwSi/Clinical Assessments)</v>
      </c>
      <c r="LY93" s="1675"/>
      <c r="LZ93" s="461">
        <f>'N - GMS'!C93</f>
        <v>68</v>
      </c>
      <c r="MA93" s="67">
        <f>'N - GMS'!D93</f>
        <v>0</v>
      </c>
      <c r="MB93" s="2231">
        <f>'N - GMS'!E93</f>
        <v>0</v>
      </c>
      <c r="MC93" s="2231">
        <f>'N - GMS'!F93</f>
        <v>0</v>
      </c>
      <c r="MD93" s="463">
        <f>'N - GMS'!G93</f>
        <v>0</v>
      </c>
      <c r="ME93" s="213"/>
      <c r="MF93" s="1028">
        <f>'N - GMS'!I93</f>
        <v>0</v>
      </c>
      <c r="MR93" s="684"/>
      <c r="MS93" s="2775">
        <f>'P - Ringfenced'!B93</f>
        <v>0</v>
      </c>
      <c r="MT93" s="2703">
        <f>'P - Ringfenced'!C93</f>
        <v>0</v>
      </c>
      <c r="MU93" s="1468"/>
      <c r="MV93" s="1468"/>
      <c r="MW93" s="1468"/>
      <c r="MX93" s="1468"/>
      <c r="MY93" s="1468"/>
      <c r="MZ93" s="1468"/>
      <c r="NA93" s="1468"/>
      <c r="NB93" s="1468"/>
      <c r="NC93" s="1468"/>
      <c r="ND93" s="1468"/>
      <c r="NE93" s="1468"/>
      <c r="NF93" s="1468"/>
      <c r="NG93" s="1468"/>
      <c r="NH93" s="1468"/>
      <c r="NI93" s="1468"/>
      <c r="NJ93" s="684"/>
      <c r="NK93" s="684"/>
    </row>
    <row r="94" spans="57:375" ht="20.149999999999999" customHeight="1" thickBot="1">
      <c r="BE94" s="298"/>
      <c r="BF94" s="85" t="s">
        <v>289</v>
      </c>
      <c r="BG94" s="1531"/>
      <c r="BH94" s="1540" t="str">
        <f>'B - Monthly Positions'!D94</f>
        <v>Apr</v>
      </c>
      <c r="BI94" s="1540" t="str">
        <f>'B - Monthly Positions'!E94</f>
        <v>May</v>
      </c>
      <c r="BJ94" s="1540" t="str">
        <f>'B - Monthly Positions'!F94</f>
        <v>Jun</v>
      </c>
      <c r="BK94" s="1540" t="str">
        <f>'B - Monthly Positions'!G94</f>
        <v>Jul</v>
      </c>
      <c r="BL94" s="1540" t="str">
        <f>'B - Monthly Positions'!H94</f>
        <v>Aug</v>
      </c>
      <c r="BM94" s="1540" t="str">
        <f>'B - Monthly Positions'!I94</f>
        <v>Sep</v>
      </c>
      <c r="BN94" s="1540" t="str">
        <f>'B - Monthly Positions'!J94</f>
        <v>Oct</v>
      </c>
      <c r="BO94" s="1540" t="str">
        <f>'B - Monthly Positions'!K94</f>
        <v>Nov</v>
      </c>
      <c r="BP94" s="1540" t="str">
        <f>'B - Monthly Positions'!L94</f>
        <v>Dec</v>
      </c>
      <c r="BQ94" s="1540" t="str">
        <f>'B - Monthly Positions'!M94</f>
        <v>Jan</v>
      </c>
      <c r="BR94" s="1540" t="str">
        <f>'B - Monthly Positions'!N94</f>
        <v>Feb</v>
      </c>
      <c r="BS94" s="1540" t="str">
        <f>'B - Monthly Positions'!O94</f>
        <v>Mar</v>
      </c>
      <c r="BT94" s="1532" t="str">
        <f>'B - Monthly Positions'!P94</f>
        <v>Total YTD</v>
      </c>
      <c r="BU94" s="1059" t="str">
        <f>'B - Monthly Positions'!Q94</f>
        <v>Forecast year-end position</v>
      </c>
      <c r="BV94" s="1380"/>
      <c r="BX94" s="84"/>
      <c r="BY94" s="1235"/>
      <c r="BZ94" s="1236">
        <f>' Table Z Net Exp Profiles'!C94</f>
        <v>1</v>
      </c>
      <c r="CA94" s="1222">
        <f>' Table Z Net Exp Profiles'!D94</f>
        <v>2</v>
      </c>
      <c r="CB94" s="1222">
        <f>' Table Z Net Exp Profiles'!E94</f>
        <v>3</v>
      </c>
      <c r="CC94" s="1222">
        <f>' Table Z Net Exp Profiles'!F94</f>
        <v>4</v>
      </c>
      <c r="CD94" s="1222">
        <f>' Table Z Net Exp Profiles'!G94</f>
        <v>5</v>
      </c>
      <c r="CE94" s="1222">
        <f>' Table Z Net Exp Profiles'!H94</f>
        <v>6</v>
      </c>
      <c r="CF94" s="1222">
        <f>' Table Z Net Exp Profiles'!I94</f>
        <v>7</v>
      </c>
      <c r="CG94" s="1222">
        <f>' Table Z Net Exp Profiles'!J94</f>
        <v>8</v>
      </c>
      <c r="CH94" s="1222">
        <f>' Table Z Net Exp Profiles'!K94</f>
        <v>9</v>
      </c>
      <c r="CI94" s="1222">
        <f>' Table Z Net Exp Profiles'!L94</f>
        <v>10</v>
      </c>
      <c r="CJ94" s="1222">
        <f>' Table Z Net Exp Profiles'!M94</f>
        <v>11</v>
      </c>
      <c r="CK94" s="1221">
        <f>' Table Z Net Exp Profiles'!N94</f>
        <v>12</v>
      </c>
      <c r="CL94" s="1237"/>
      <c r="CM94" s="1211"/>
      <c r="DF94" s="2476" t="str">
        <f>'B3 - COVID-19'!A94</f>
        <v>A3</v>
      </c>
      <c r="DG94" s="2837" t="str">
        <f>'B3 - COVID-19'!B94</f>
        <v>Nosocomial, PPE, Long Covid &amp; Other (Additional costs due to C19) enter as positive value - actual/forecast</v>
      </c>
      <c r="DH94" s="1896" t="s">
        <v>289</v>
      </c>
      <c r="DI94" s="1896"/>
      <c r="DJ94" s="1896"/>
      <c r="DK94" s="1896"/>
      <c r="DL94" s="1896"/>
      <c r="DM94" s="1896"/>
      <c r="DN94" s="1896"/>
      <c r="DO94" s="1896"/>
      <c r="DP94" s="1896"/>
      <c r="DQ94" s="1896"/>
      <c r="DR94" s="1896"/>
      <c r="DS94" s="1252"/>
      <c r="DT94" s="1895"/>
      <c r="DU94" s="1252"/>
      <c r="DV94" s="608"/>
      <c r="DW94" s="1116"/>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9">
        <f>'C, C1, C2&amp; C3 - Savings Schemes'!O94</f>
        <v>0</v>
      </c>
      <c r="EN94" s="124">
        <f>'C, C1, C2&amp; C3 - Savings Schemes'!P94</f>
        <v>0</v>
      </c>
      <c r="EO94" s="939">
        <f>'C, C1, C2&amp; C3 - Savings Schemes'!Q94</f>
        <v>0</v>
      </c>
      <c r="GF94" s="346">
        <f>'E - Resource Limits'!A94</f>
        <v>73</v>
      </c>
      <c r="GG94" s="2609">
        <f>'E - Resource Limits'!B94</f>
        <v>0</v>
      </c>
      <c r="GH94" s="25">
        <f>'E - Resource Limits'!C94</f>
        <v>0</v>
      </c>
      <c r="GI94" s="25">
        <f>'E - Resource Limits'!D94</f>
        <v>0</v>
      </c>
      <c r="GJ94" s="25">
        <f>'E - Resource Limits'!E94</f>
        <v>0</v>
      </c>
      <c r="GK94" s="25">
        <f>'E - Resource Limits'!F94</f>
        <v>0</v>
      </c>
      <c r="GL94" s="2527">
        <f>'E - Resource Limits'!G94</f>
        <v>0</v>
      </c>
      <c r="GM94" s="196">
        <f>'E - Resource Limits'!H94</f>
        <v>0</v>
      </c>
      <c r="GN94" s="2555">
        <f>'E - Resource Limits'!I94</f>
        <v>0</v>
      </c>
      <c r="GO94" s="1745"/>
      <c r="GP94" s="1745"/>
      <c r="GQ94" s="1745"/>
      <c r="GR94" s="1935"/>
      <c r="JD94" s="2309"/>
      <c r="JE94" s="2433"/>
      <c r="JF94" s="2097"/>
      <c r="JG94" s="2097"/>
      <c r="JH94" s="2097"/>
      <c r="JI94" s="1943"/>
      <c r="JJ94" s="2097"/>
      <c r="JK94" s="2097"/>
      <c r="JL94" s="2097"/>
      <c r="JM94" s="2060"/>
      <c r="JN94" s="759"/>
      <c r="JO94" s="2060"/>
      <c r="LL94" s="814"/>
      <c r="LM94" s="2197">
        <f>'M - Aged Debtors'!B94</f>
        <v>0</v>
      </c>
      <c r="LN94" s="2198">
        <f>'M - Aged Debtors'!C94</f>
        <v>0</v>
      </c>
      <c r="LO94" s="2199">
        <f>'M - Aged Debtors'!D94</f>
        <v>0</v>
      </c>
      <c r="LP94" s="2200">
        <f>'M - Aged Debtors'!E94</f>
        <v>0</v>
      </c>
      <c r="LQ94" s="2201">
        <f>'M - Aged Debtors'!F94</f>
        <v>0</v>
      </c>
      <c r="LR94" s="832" t="str">
        <f>'M - Aged Debtors'!G94</f>
        <v/>
      </c>
      <c r="LS94" s="829" t="str">
        <f>'M - Aged Debtors'!H94</f>
        <v/>
      </c>
      <c r="LT94" s="829" t="str">
        <f>'M - Aged Debtors'!I94</f>
        <v/>
      </c>
      <c r="LU94" s="830" t="str">
        <f>'M - Aged Debtors'!J94</f>
        <v/>
      </c>
      <c r="LV94" s="1830">
        <f>'M - Aged Debtors'!K94</f>
        <v>0</v>
      </c>
      <c r="LX94" s="3114" t="str">
        <f>'N - GMS'!A94</f>
        <v>Osteopathy</v>
      </c>
      <c r="LY94" s="3131"/>
      <c r="LZ94" s="461">
        <f>'N - GMS'!C94</f>
        <v>69</v>
      </c>
      <c r="MA94" s="67">
        <f>'N - GMS'!D94</f>
        <v>0</v>
      </c>
      <c r="MB94" s="2231">
        <f>'N - GMS'!E94</f>
        <v>0</v>
      </c>
      <c r="MC94" s="2231">
        <f>'N - GMS'!F94</f>
        <v>0</v>
      </c>
      <c r="MD94" s="463">
        <f>'N - GMS'!G94</f>
        <v>0</v>
      </c>
      <c r="ME94" s="213"/>
      <c r="MF94" s="1028">
        <f>'N - GMS'!I94</f>
        <v>0</v>
      </c>
      <c r="MR94" s="684"/>
      <c r="MS94" s="2774">
        <f>'P - Ringfenced'!B94</f>
        <v>0</v>
      </c>
      <c r="MT94" s="2703">
        <f>'P - Ringfenced'!C94</f>
        <v>0</v>
      </c>
      <c r="MU94" s="1468"/>
      <c r="MV94" s="1468"/>
      <c r="MW94" s="1468"/>
      <c r="MX94" s="1468"/>
      <c r="MY94" s="1468"/>
      <c r="MZ94" s="1468"/>
      <c r="NA94" s="1468"/>
      <c r="NB94" s="1468"/>
      <c r="NC94" s="1468"/>
      <c r="ND94" s="1468"/>
      <c r="NE94" s="1468"/>
      <c r="NF94" s="1468"/>
      <c r="NG94" s="1468"/>
      <c r="NH94" s="1468"/>
      <c r="NI94" s="1468"/>
      <c r="NJ94" s="684"/>
      <c r="NK94" s="684"/>
    </row>
    <row r="95" spans="57:375" ht="20.149999999999999" customHeight="1" thickBot="1">
      <c r="BE95" s="298"/>
      <c r="BF95" s="85"/>
      <c r="BG95" s="1460"/>
      <c r="BH95" s="1526" t="str">
        <f>'B - Monthly Positions'!D95</f>
        <v>£'000</v>
      </c>
      <c r="BI95" s="1526" t="str">
        <f>'B - Monthly Positions'!E95</f>
        <v>£'000</v>
      </c>
      <c r="BJ95" s="1526" t="str">
        <f>'B - Monthly Positions'!F95</f>
        <v>£'000</v>
      </c>
      <c r="BK95" s="1526" t="str">
        <f>'B - Monthly Positions'!G95</f>
        <v>£'000</v>
      </c>
      <c r="BL95" s="1526" t="str">
        <f>'B - Monthly Positions'!H95</f>
        <v>£'000</v>
      </c>
      <c r="BM95" s="1526" t="str">
        <f>'B - Monthly Positions'!I95</f>
        <v>£'000</v>
      </c>
      <c r="BN95" s="1526" t="str">
        <f>'B - Monthly Positions'!J95</f>
        <v>£'000</v>
      </c>
      <c r="BO95" s="1526" t="str">
        <f>'B - Monthly Positions'!K95</f>
        <v>£'000</v>
      </c>
      <c r="BP95" s="1526" t="str">
        <f>'B - Monthly Positions'!L95</f>
        <v>£'000</v>
      </c>
      <c r="BQ95" s="1526" t="str">
        <f>'B - Monthly Positions'!M95</f>
        <v>£'000</v>
      </c>
      <c r="BR95" s="1526" t="str">
        <f>'B - Monthly Positions'!N95</f>
        <v>£'000</v>
      </c>
      <c r="BS95" s="1526" t="str">
        <f>'B - Monthly Positions'!O95</f>
        <v>£'000</v>
      </c>
      <c r="BT95" s="1533"/>
      <c r="BU95" s="1061"/>
      <c r="BV95" s="1380"/>
      <c r="BX95" s="84"/>
      <c r="BY95" s="1212" t="str">
        <f>' Table Z Net Exp Profiles'!B95</f>
        <v>Primary Care Contractor - Expenditure Profiles</v>
      </c>
      <c r="BZ95" s="1238" t="str">
        <f>' Table Z Net Exp Profiles'!C95</f>
        <v>Apr</v>
      </c>
      <c r="CA95" s="1225" t="str">
        <f>' Table Z Net Exp Profiles'!D95</f>
        <v>May</v>
      </c>
      <c r="CB95" s="1225" t="str">
        <f>' Table Z Net Exp Profiles'!E95</f>
        <v>Jun</v>
      </c>
      <c r="CC95" s="1225" t="str">
        <f>' Table Z Net Exp Profiles'!F95</f>
        <v>Jul</v>
      </c>
      <c r="CD95" s="1225" t="str">
        <f>' Table Z Net Exp Profiles'!G95</f>
        <v>Aug</v>
      </c>
      <c r="CE95" s="1225" t="str">
        <f>' Table Z Net Exp Profiles'!H95</f>
        <v>Sep</v>
      </c>
      <c r="CF95" s="1225" t="str">
        <f>' Table Z Net Exp Profiles'!I95</f>
        <v>Oct</v>
      </c>
      <c r="CG95" s="1225" t="str">
        <f>' Table Z Net Exp Profiles'!J95</f>
        <v>Nov</v>
      </c>
      <c r="CH95" s="1225" t="str">
        <f>' Table Z Net Exp Profiles'!K95</f>
        <v>Dec</v>
      </c>
      <c r="CI95" s="1225" t="str">
        <f>' Table Z Net Exp Profiles'!L95</f>
        <v>Jan</v>
      </c>
      <c r="CJ95" s="1225" t="str">
        <f>' Table Z Net Exp Profiles'!M95</f>
        <v>Feb</v>
      </c>
      <c r="CK95" s="1226" t="str">
        <f>' Table Z Net Exp Profiles'!N95</f>
        <v>Mar</v>
      </c>
      <c r="CL95" s="1227" t="str">
        <f>' Table Z Net Exp Profiles'!O95</f>
        <v>Total YTD</v>
      </c>
      <c r="CM95" s="1227" t="str">
        <f>' Table Z Net Exp Profiles'!P95</f>
        <v>Forecast year-end position</v>
      </c>
      <c r="DF95" s="2838">
        <f>'B3 - COVID-19'!A95</f>
        <v>64</v>
      </c>
      <c r="DG95" s="1906" t="str">
        <f>'B3 - COVID-19'!B95</f>
        <v>Provider Pay (Establishment, Temp &amp; Agency)</v>
      </c>
      <c r="DH95" s="1899"/>
      <c r="DI95" s="1899"/>
      <c r="DJ95" s="1899"/>
      <c r="DK95" s="1899"/>
      <c r="DL95" s="1899"/>
      <c r="DM95" s="1899"/>
      <c r="DN95" s="1899"/>
      <c r="DO95" s="1899"/>
      <c r="DP95" s="1899"/>
      <c r="DQ95" s="1899"/>
      <c r="DR95" s="1899"/>
      <c r="DS95" s="1900"/>
      <c r="DT95" s="1901"/>
      <c r="DU95" s="1902"/>
      <c r="DV95" s="608"/>
      <c r="DW95" s="1116"/>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1">
        <f>'C, C1, C2&amp; C3 - Savings Schemes'!O95</f>
        <v>0</v>
      </c>
      <c r="EN95" s="120">
        <f>'C, C1, C2&amp; C3 - Savings Schemes'!P95</f>
        <v>0</v>
      </c>
      <c r="EO95" s="938">
        <f>'C, C1, C2&amp; C3 - Savings Schemes'!Q95</f>
        <v>0</v>
      </c>
      <c r="GF95" s="346">
        <f>'E - Resource Limits'!A95</f>
        <v>74</v>
      </c>
      <c r="GG95" s="2609">
        <f>'E - Resource Limits'!B95</f>
        <v>0</v>
      </c>
      <c r="GH95" s="25">
        <f>'E - Resource Limits'!C95</f>
        <v>0</v>
      </c>
      <c r="GI95" s="25">
        <f>'E - Resource Limits'!D95</f>
        <v>0</v>
      </c>
      <c r="GJ95" s="25">
        <f>'E - Resource Limits'!E95</f>
        <v>0</v>
      </c>
      <c r="GK95" s="25">
        <f>'E - Resource Limits'!F95</f>
        <v>0</v>
      </c>
      <c r="GL95" s="2527">
        <f>'E - Resource Limits'!G95</f>
        <v>0</v>
      </c>
      <c r="GM95" s="196">
        <f>'E - Resource Limits'!H95</f>
        <v>0</v>
      </c>
      <c r="GN95" s="2555">
        <f>'E - Resource Limits'!I95</f>
        <v>0</v>
      </c>
      <c r="GO95" s="1745"/>
      <c r="GP95" s="1745"/>
      <c r="GQ95" s="1745"/>
      <c r="GR95" s="1935"/>
      <c r="JD95" s="2301">
        <f>'I - Capital RLM'!A95</f>
        <v>70</v>
      </c>
      <c r="JE95" s="2361" t="str">
        <f>'I - Capital RLM'!B95</f>
        <v>Total Expenditure</v>
      </c>
      <c r="JF95" s="2037">
        <f>'I - Capital RLM'!C95</f>
        <v>0</v>
      </c>
      <c r="JG95" s="2037">
        <f>'I - Capital RLM'!D95</f>
        <v>0</v>
      </c>
      <c r="JH95" s="2037">
        <f>'I - Capital RLM'!E95</f>
        <v>0</v>
      </c>
      <c r="JI95" s="1943">
        <f>'I - Capital RLM'!F95</f>
        <v>0</v>
      </c>
      <c r="JJ95" s="2037">
        <f>'I - Capital RLM'!G95</f>
        <v>0</v>
      </c>
      <c r="JK95" s="2037">
        <f>'I - Capital RLM'!H95</f>
        <v>0</v>
      </c>
      <c r="JL95" s="2037">
        <f>'I - Capital RLM'!I95</f>
        <v>0</v>
      </c>
      <c r="JM95" s="2060"/>
      <c r="JN95" s="759"/>
      <c r="JO95" s="2060"/>
      <c r="LL95" s="814"/>
      <c r="LM95" s="2197">
        <f>'M - Aged Debtors'!B95</f>
        <v>0</v>
      </c>
      <c r="LN95" s="2198">
        <f>'M - Aged Debtors'!C95</f>
        <v>0</v>
      </c>
      <c r="LO95" s="2199">
        <f>'M - Aged Debtors'!D95</f>
        <v>0</v>
      </c>
      <c r="LP95" s="2200">
        <f>'M - Aged Debtors'!E95</f>
        <v>0</v>
      </c>
      <c r="LQ95" s="2201">
        <f>'M - Aged Debtors'!F95</f>
        <v>0</v>
      </c>
      <c r="LR95" s="832" t="str">
        <f>'M - Aged Debtors'!G95</f>
        <v/>
      </c>
      <c r="LS95" s="829" t="str">
        <f>'M - Aged Debtors'!H95</f>
        <v/>
      </c>
      <c r="LT95" s="829" t="str">
        <f>'M - Aged Debtors'!I95</f>
        <v/>
      </c>
      <c r="LU95" s="830" t="str">
        <f>'M - Aged Debtors'!J95</f>
        <v/>
      </c>
      <c r="LV95" s="1830">
        <f>'M - Aged Debtors'!K95</f>
        <v>0</v>
      </c>
      <c r="LX95" s="3114" t="str">
        <f>'N - GMS'!A95</f>
        <v>Phlebotomy</v>
      </c>
      <c r="LY95" s="3131"/>
      <c r="LZ95" s="461">
        <f>'N - GMS'!C95</f>
        <v>70</v>
      </c>
      <c r="MA95" s="67">
        <f>'N - GMS'!D95</f>
        <v>0</v>
      </c>
      <c r="MB95" s="2231">
        <f>'N - GMS'!E95</f>
        <v>0</v>
      </c>
      <c r="MC95" s="2231">
        <f>'N - GMS'!F95</f>
        <v>0</v>
      </c>
      <c r="MD95" s="463">
        <f>'N - GMS'!G95</f>
        <v>0</v>
      </c>
      <c r="ME95" s="213"/>
      <c r="MF95" s="1028">
        <f>'N - GMS'!I95</f>
        <v>0</v>
      </c>
      <c r="MR95" s="684"/>
      <c r="MS95" s="2774">
        <f>'P - Ringfenced'!B95</f>
        <v>0</v>
      </c>
      <c r="MT95" s="2703">
        <f>'P - Ringfenced'!C95</f>
        <v>0</v>
      </c>
      <c r="MU95" s="1468"/>
      <c r="MV95" s="1468"/>
      <c r="MW95" s="1468"/>
      <c r="MX95" s="1468"/>
      <c r="MY95" s="1468"/>
      <c r="MZ95" s="1468"/>
      <c r="NA95" s="1468"/>
      <c r="NB95" s="1468"/>
      <c r="NC95" s="1468"/>
      <c r="ND95" s="1468"/>
      <c r="NE95" s="1468"/>
      <c r="NF95" s="1468"/>
      <c r="NG95" s="1468"/>
      <c r="NH95" s="1468"/>
      <c r="NI95" s="1468"/>
      <c r="NJ95" s="684"/>
      <c r="NK95" s="684"/>
    </row>
    <row r="96" spans="57:375" ht="20.149999999999999" customHeight="1" thickBot="1">
      <c r="BE96" s="144">
        <f>'B - Monthly Positions'!A96</f>
        <v>52</v>
      </c>
      <c r="BF96" s="3002" t="str">
        <f>'B - Monthly Positions'!B96</f>
        <v>Total Energy Costs</v>
      </c>
      <c r="BG96" s="1109" t="str">
        <f>'B - Monthly Positions'!C96</f>
        <v>Actual/F'cast</v>
      </c>
      <c r="BH96" s="3003">
        <f>'B - Monthly Positions'!D96</f>
        <v>75</v>
      </c>
      <c r="BI96" s="3003">
        <f>'B - Monthly Positions'!E96</f>
        <v>18</v>
      </c>
      <c r="BJ96" s="3003">
        <f>'B - Monthly Positions'!F96</f>
        <v>18</v>
      </c>
      <c r="BK96" s="3003">
        <f>'B - Monthly Positions'!G96</f>
        <v>18</v>
      </c>
      <c r="BL96" s="3003">
        <f>'B - Monthly Positions'!H96</f>
        <v>18</v>
      </c>
      <c r="BM96" s="3003">
        <f>'B - Monthly Positions'!I96</f>
        <v>18</v>
      </c>
      <c r="BN96" s="3003">
        <f>'B - Monthly Positions'!J96</f>
        <v>18</v>
      </c>
      <c r="BO96" s="3003">
        <f>'B - Monthly Positions'!K96</f>
        <v>18</v>
      </c>
      <c r="BP96" s="3003">
        <f>'B - Monthly Positions'!L96</f>
        <v>18</v>
      </c>
      <c r="BQ96" s="3003">
        <f>'B - Monthly Positions'!M96</f>
        <v>18</v>
      </c>
      <c r="BR96" s="3003">
        <f>'B - Monthly Positions'!N96</f>
        <v>18</v>
      </c>
      <c r="BS96" s="3003">
        <f>'B - Monthly Positions'!O96</f>
        <v>18</v>
      </c>
      <c r="BT96" s="1101">
        <f>'B - Monthly Positions'!P96</f>
        <v>75</v>
      </c>
      <c r="BU96" s="1101">
        <f>'B - Monthly Positions'!Q96</f>
        <v>273</v>
      </c>
      <c r="BV96" s="1380"/>
      <c r="BX96" s="84"/>
      <c r="BY96" s="1213"/>
      <c r="BZ96" s="1239" t="str">
        <f>' Table Z Net Exp Profiles'!C96</f>
        <v>£'000</v>
      </c>
      <c r="CA96" s="1240" t="str">
        <f>' Table Z Net Exp Profiles'!D96</f>
        <v>£'000</v>
      </c>
      <c r="CB96" s="1240" t="str">
        <f>' Table Z Net Exp Profiles'!E96</f>
        <v>£'000</v>
      </c>
      <c r="CC96" s="1240" t="str">
        <f>' Table Z Net Exp Profiles'!F96</f>
        <v>£'000</v>
      </c>
      <c r="CD96" s="1240" t="str">
        <f>' Table Z Net Exp Profiles'!G96</f>
        <v>£'000</v>
      </c>
      <c r="CE96" s="1240" t="str">
        <f>' Table Z Net Exp Profiles'!H96</f>
        <v>£'000</v>
      </c>
      <c r="CF96" s="1240" t="str">
        <f>' Table Z Net Exp Profiles'!I96</f>
        <v>£'000</v>
      </c>
      <c r="CG96" s="1240" t="str">
        <f>' Table Z Net Exp Profiles'!J96</f>
        <v>£'000</v>
      </c>
      <c r="CH96" s="1240" t="str">
        <f>' Table Z Net Exp Profiles'!K96</f>
        <v>£'000</v>
      </c>
      <c r="CI96" s="1240" t="str">
        <f>' Table Z Net Exp Profiles'!L96</f>
        <v>£'000</v>
      </c>
      <c r="CJ96" s="1240" t="str">
        <f>' Table Z Net Exp Profiles'!M96</f>
        <v>£'000</v>
      </c>
      <c r="CK96" s="1241" t="str">
        <f>' Table Z Net Exp Profiles'!N96</f>
        <v>£'000</v>
      </c>
      <c r="CL96" s="1231" t="str">
        <f>' Table Z Net Exp Profiles'!O96</f>
        <v>£'000</v>
      </c>
      <c r="CM96" s="1231" t="str">
        <f>' Table Z Net Exp Profiles'!P96</f>
        <v>£'000</v>
      </c>
      <c r="DF96" s="2838">
        <f>'B3 - COVID-19'!A96</f>
        <v>65</v>
      </c>
      <c r="DG96" s="1906" t="str">
        <f>'B3 - COVID-19'!B96</f>
        <v xml:space="preserve">Administrative, Clerical &amp; Board Members </v>
      </c>
      <c r="DH96" s="1903">
        <f>'B3 - COVID-19'!C96</f>
        <v>0</v>
      </c>
      <c r="DI96" s="1903">
        <f>'B3 - COVID-19'!D96</f>
        <v>0</v>
      </c>
      <c r="DJ96" s="1903">
        <f>'B3 - COVID-19'!E96</f>
        <v>0</v>
      </c>
      <c r="DK96" s="1903">
        <f>'B3 - COVID-19'!F96</f>
        <v>0</v>
      </c>
      <c r="DL96" s="1903">
        <f>'B3 - COVID-19'!G96</f>
        <v>0</v>
      </c>
      <c r="DM96" s="1903">
        <f>'B3 - COVID-19'!H96</f>
        <v>0</v>
      </c>
      <c r="DN96" s="1903">
        <f>'B3 - COVID-19'!I96</f>
        <v>0</v>
      </c>
      <c r="DO96" s="1903">
        <f>'B3 - COVID-19'!J96</f>
        <v>0</v>
      </c>
      <c r="DP96" s="1903">
        <f>'B3 - COVID-19'!K96</f>
        <v>0</v>
      </c>
      <c r="DQ96" s="1903">
        <f>'B3 - COVID-19'!L96</f>
        <v>0</v>
      </c>
      <c r="DR96" s="1903">
        <f>'B3 - COVID-19'!M96</f>
        <v>0</v>
      </c>
      <c r="DS96" s="1903">
        <f>'B3 - COVID-19'!N96</f>
        <v>0</v>
      </c>
      <c r="DT96" s="1863">
        <f>'B3 - COVID-19'!O96</f>
        <v>0</v>
      </c>
      <c r="DU96" s="1863">
        <f>'B3 - COVID-19'!P96</f>
        <v>0</v>
      </c>
      <c r="DV96" s="608"/>
      <c r="DW96" s="1116"/>
      <c r="DY96" s="131">
        <f>'C, C1, C2&amp; C3 - Savings Schemes'!A96</f>
        <v>14</v>
      </c>
      <c r="DZ96" s="3039">
        <f>'[1]C, C1 &amp; C2 - Savings Schemes'!B96</f>
        <v>0</v>
      </c>
      <c r="EA96" s="90" t="s">
        <v>288</v>
      </c>
      <c r="EB96" s="932">
        <f>'C, C1, C2&amp; C3 - Savings Schemes'!D96</f>
        <v>0</v>
      </c>
      <c r="EC96" s="933">
        <f>'C, C1, C2&amp; C3 - Savings Schemes'!E96</f>
        <v>0</v>
      </c>
      <c r="ED96" s="933">
        <f>'C, C1, C2&amp; C3 - Savings Schemes'!F96</f>
        <v>0</v>
      </c>
      <c r="EE96" s="933">
        <f>'C, C1, C2&amp; C3 - Savings Schemes'!G96</f>
        <v>0</v>
      </c>
      <c r="EF96" s="933">
        <f>'C, C1, C2&amp; C3 - Savings Schemes'!H96</f>
        <v>0</v>
      </c>
      <c r="EG96" s="933">
        <f>'C, C1, C2&amp; C3 - Savings Schemes'!I96</f>
        <v>0</v>
      </c>
      <c r="EH96" s="933">
        <f>'C, C1, C2&amp; C3 - Savings Schemes'!J96</f>
        <v>0</v>
      </c>
      <c r="EI96" s="933">
        <f>'C, C1, C2&amp; C3 - Savings Schemes'!K96</f>
        <v>0</v>
      </c>
      <c r="EJ96" s="933">
        <f>'C, C1, C2&amp; C3 - Savings Schemes'!L96</f>
        <v>0</v>
      </c>
      <c r="EK96" s="933">
        <f>'C, C1, C2&amp; C3 - Savings Schemes'!M96</f>
        <v>0</v>
      </c>
      <c r="EL96" s="933">
        <f>'C, C1, C2&amp; C3 - Savings Schemes'!N96</f>
        <v>0</v>
      </c>
      <c r="EM96" s="934">
        <f>'C, C1, C2&amp; C3 - Savings Schemes'!O96</f>
        <v>0</v>
      </c>
      <c r="EN96" s="124">
        <f>'C, C1, C2&amp; C3 - Savings Schemes'!P96</f>
        <v>0</v>
      </c>
      <c r="EO96" s="940">
        <f>'C, C1, C2&amp; C3 - Savings Schemes'!Q96</f>
        <v>0</v>
      </c>
      <c r="GF96" s="346">
        <f>'E - Resource Limits'!A96</f>
        <v>75</v>
      </c>
      <c r="GG96" s="2609">
        <f>'E - Resource Limits'!B96</f>
        <v>0</v>
      </c>
      <c r="GH96" s="25">
        <f>'E - Resource Limits'!C96</f>
        <v>0</v>
      </c>
      <c r="GI96" s="25">
        <f>'E - Resource Limits'!D96</f>
        <v>0</v>
      </c>
      <c r="GJ96" s="25">
        <f>'E - Resource Limits'!E96</f>
        <v>0</v>
      </c>
      <c r="GK96" s="25">
        <f>'E - Resource Limits'!F96</f>
        <v>0</v>
      </c>
      <c r="GL96" s="2527">
        <f>'E - Resource Limits'!G96</f>
        <v>0</v>
      </c>
      <c r="GM96" s="196">
        <f>'E - Resource Limits'!H96</f>
        <v>0</v>
      </c>
      <c r="GN96" s="2555">
        <f>'E - Resource Limits'!I96</f>
        <v>0</v>
      </c>
      <c r="GO96" s="1745"/>
      <c r="GP96" s="1745"/>
      <c r="GQ96" s="1745"/>
      <c r="GR96" s="1935"/>
      <c r="JD96" s="2363"/>
      <c r="JE96" s="2364"/>
      <c r="JF96" s="2097"/>
      <c r="JG96" s="2097"/>
      <c r="JH96" s="2097"/>
      <c r="JI96" s="1943"/>
      <c r="JJ96" s="2097"/>
      <c r="JK96" s="2097"/>
      <c r="JL96" s="2097"/>
      <c r="JM96" s="2060"/>
      <c r="JN96" s="759"/>
      <c r="JO96" s="2060"/>
      <c r="LL96" s="814"/>
      <c r="LM96" s="2197">
        <f>'M - Aged Debtors'!B96</f>
        <v>0</v>
      </c>
      <c r="LN96" s="2198">
        <f>'M - Aged Debtors'!C96</f>
        <v>0</v>
      </c>
      <c r="LO96" s="2199">
        <f>'M - Aged Debtors'!D96</f>
        <v>0</v>
      </c>
      <c r="LP96" s="2200">
        <f>'M - Aged Debtors'!E96</f>
        <v>0</v>
      </c>
      <c r="LQ96" s="2201">
        <f>'M - Aged Debtors'!F96</f>
        <v>0</v>
      </c>
      <c r="LR96" s="832" t="str">
        <f>'M - Aged Debtors'!G96</f>
        <v/>
      </c>
      <c r="LS96" s="829" t="str">
        <f>'M - Aged Debtors'!H96</f>
        <v/>
      </c>
      <c r="LT96" s="829" t="str">
        <f>'M - Aged Debtors'!I96</f>
        <v/>
      </c>
      <c r="LU96" s="830" t="str">
        <f>'M - Aged Debtors'!J96</f>
        <v/>
      </c>
      <c r="LV96" s="1830">
        <f>'M - Aged Debtors'!K96</f>
        <v>0</v>
      </c>
      <c r="LX96" s="3114" t="str">
        <f>'N - GMS'!A96</f>
        <v>Physiotherapy (inc MT3)</v>
      </c>
      <c r="LY96" s="3131"/>
      <c r="LZ96" s="461">
        <f>'N - GMS'!C96</f>
        <v>71</v>
      </c>
      <c r="MA96" s="67">
        <f>'N - GMS'!D96</f>
        <v>0</v>
      </c>
      <c r="MB96" s="2231">
        <f>'N - GMS'!E96</f>
        <v>0</v>
      </c>
      <c r="MC96" s="2231">
        <f>'N - GMS'!F96</f>
        <v>0</v>
      </c>
      <c r="MD96" s="463">
        <f>'N - GMS'!G96</f>
        <v>0</v>
      </c>
      <c r="ME96" s="213"/>
      <c r="MF96" s="1028">
        <f>'N - GMS'!I96</f>
        <v>0</v>
      </c>
      <c r="MR96" s="684"/>
      <c r="MS96" s="2774">
        <f>'P - Ringfenced'!B96</f>
        <v>0</v>
      </c>
      <c r="MT96" s="2703">
        <f>'P - Ringfenced'!C96</f>
        <v>0</v>
      </c>
      <c r="MU96" s="1468"/>
      <c r="MV96" s="1468"/>
      <c r="MW96" s="1468"/>
      <c r="MX96" s="1468"/>
      <c r="MY96" s="1468"/>
      <c r="MZ96" s="1468"/>
      <c r="NA96" s="1468"/>
      <c r="NB96" s="1468"/>
      <c r="NC96" s="1468"/>
      <c r="ND96" s="1468"/>
      <c r="NE96" s="1468"/>
      <c r="NF96" s="1468"/>
      <c r="NG96" s="1468"/>
      <c r="NH96" s="1468"/>
      <c r="NI96" s="1468"/>
      <c r="NJ96" s="684"/>
      <c r="NK96" s="684"/>
    </row>
    <row r="97" spans="57:375" ht="20.149999999999999" customHeight="1" thickBot="1">
      <c r="BE97" s="1395"/>
      <c r="BF97" s="3009"/>
      <c r="BG97" s="1393"/>
      <c r="BH97" s="1140"/>
      <c r="BI97" s="1140"/>
      <c r="BJ97" s="1140"/>
      <c r="BK97" s="1140"/>
      <c r="BL97" s="1140"/>
      <c r="BM97" s="1140"/>
      <c r="BN97" s="1140"/>
      <c r="BO97" s="1140"/>
      <c r="BP97" s="1140"/>
      <c r="BQ97" s="1140"/>
      <c r="BR97" s="1140"/>
      <c r="BS97" s="1140"/>
      <c r="BT97" s="1917"/>
      <c r="BU97" s="3008"/>
      <c r="BV97" s="2594"/>
      <c r="BX97" s="86">
        <f>' Table Z Net Exp Profiles'!A97</f>
        <v>67</v>
      </c>
      <c r="BY97" s="1263" t="str">
        <f>' Table Z Net Exp Profiles'!B97</f>
        <v>Gross Primary Care Expenditure - Non Covid-19 - Current Plan</v>
      </c>
      <c r="BZ97" s="1217">
        <f>' Table Z Net Exp Profiles'!C97</f>
        <v>0</v>
      </c>
      <c r="CA97" s="1189">
        <f>' Table Z Net Exp Profiles'!D97</f>
        <v>0</v>
      </c>
      <c r="CB97" s="1189">
        <f>' Table Z Net Exp Profiles'!E97</f>
        <v>0</v>
      </c>
      <c r="CC97" s="1189">
        <f>' Table Z Net Exp Profiles'!F97</f>
        <v>0</v>
      </c>
      <c r="CD97" s="1189">
        <f>' Table Z Net Exp Profiles'!G97</f>
        <v>0</v>
      </c>
      <c r="CE97" s="1189">
        <f>' Table Z Net Exp Profiles'!H97</f>
        <v>0</v>
      </c>
      <c r="CF97" s="1189">
        <f>' Table Z Net Exp Profiles'!I97</f>
        <v>0</v>
      </c>
      <c r="CG97" s="1189">
        <f>' Table Z Net Exp Profiles'!J97</f>
        <v>0</v>
      </c>
      <c r="CH97" s="1189">
        <f>' Table Z Net Exp Profiles'!K97</f>
        <v>0</v>
      </c>
      <c r="CI97" s="1189">
        <f>' Table Z Net Exp Profiles'!L97</f>
        <v>0</v>
      </c>
      <c r="CJ97" s="1189">
        <f>' Table Z Net Exp Profiles'!M97</f>
        <v>0</v>
      </c>
      <c r="CK97" s="1189">
        <f>' Table Z Net Exp Profiles'!N97</f>
        <v>0</v>
      </c>
      <c r="CL97" s="1215">
        <f>' Table Z Net Exp Profiles'!O97</f>
        <v>0</v>
      </c>
      <c r="CM97" s="1215">
        <f>' Table Z Net Exp Profiles'!P97</f>
        <v>0</v>
      </c>
      <c r="DF97" s="2838">
        <f>'B3 - COVID-19'!A97</f>
        <v>66</v>
      </c>
      <c r="DG97" s="1906" t="str">
        <f>'B3 - COVID-19'!B97</f>
        <v xml:space="preserve">Medical &amp; Dental </v>
      </c>
      <c r="DH97" s="1903">
        <f>'B3 - COVID-19'!C97</f>
        <v>0</v>
      </c>
      <c r="DI97" s="1903">
        <f>'B3 - COVID-19'!D97</f>
        <v>0</v>
      </c>
      <c r="DJ97" s="1903">
        <f>'B3 - COVID-19'!E97</f>
        <v>0</v>
      </c>
      <c r="DK97" s="1903">
        <f>'B3 - COVID-19'!F97</f>
        <v>0</v>
      </c>
      <c r="DL97" s="1903">
        <f>'B3 - COVID-19'!G97</f>
        <v>0</v>
      </c>
      <c r="DM97" s="1903">
        <f>'B3 - COVID-19'!H97</f>
        <v>0</v>
      </c>
      <c r="DN97" s="1903">
        <f>'B3 - COVID-19'!I97</f>
        <v>0</v>
      </c>
      <c r="DO97" s="1903">
        <f>'B3 - COVID-19'!J97</f>
        <v>0</v>
      </c>
      <c r="DP97" s="1903">
        <f>'B3 - COVID-19'!K97</f>
        <v>0</v>
      </c>
      <c r="DQ97" s="1903">
        <f>'B3 - COVID-19'!L97</f>
        <v>0</v>
      </c>
      <c r="DR97" s="1903">
        <f>'B3 - COVID-19'!M97</f>
        <v>0</v>
      </c>
      <c r="DS97" s="1903">
        <f>'B3 - COVID-19'!N97</f>
        <v>0</v>
      </c>
      <c r="DT97" s="1863">
        <f>'B3 - COVID-19'!O97</f>
        <v>0</v>
      </c>
      <c r="DU97" s="1863">
        <f>'B3 - COVID-19'!P97</f>
        <v>0</v>
      </c>
      <c r="DV97" s="608"/>
      <c r="DW97" s="1116"/>
      <c r="DY97" s="133">
        <f>'C, C1, C2&amp; C3 - Savings Schemes'!A97</f>
        <v>15</v>
      </c>
      <c r="DZ97" s="3040">
        <f>'[1]C, C1 &amp; C2 - Savings Schemes'!B97</f>
        <v>0</v>
      </c>
      <c r="EA97" s="92" t="s">
        <v>42</v>
      </c>
      <c r="EB97" s="935">
        <f>'C, C1, C2&amp; C3 - Savings Schemes'!D97</f>
        <v>0</v>
      </c>
      <c r="EC97" s="936">
        <f>'C, C1, C2&amp; C3 - Savings Schemes'!E97</f>
        <v>0</v>
      </c>
      <c r="ED97" s="936">
        <f>'C, C1, C2&amp; C3 - Savings Schemes'!F97</f>
        <v>0</v>
      </c>
      <c r="EE97" s="936">
        <f>'C, C1, C2&amp; C3 - Savings Schemes'!G97</f>
        <v>0</v>
      </c>
      <c r="EF97" s="936">
        <f>'C, C1, C2&amp; C3 - Savings Schemes'!H97</f>
        <v>0</v>
      </c>
      <c r="EG97" s="936">
        <f>'C, C1, C2&amp; C3 - Savings Schemes'!I97</f>
        <v>0</v>
      </c>
      <c r="EH97" s="936">
        <f>'C, C1, C2&amp; C3 - Savings Schemes'!J97</f>
        <v>0</v>
      </c>
      <c r="EI97" s="936">
        <f>'C, C1, C2&amp; C3 - Savings Schemes'!K97</f>
        <v>0</v>
      </c>
      <c r="EJ97" s="936">
        <f>'C, C1, C2&amp; C3 - Savings Schemes'!L97</f>
        <v>0</v>
      </c>
      <c r="EK97" s="936">
        <f>'C, C1, C2&amp; C3 - Savings Schemes'!M97</f>
        <v>0</v>
      </c>
      <c r="EL97" s="936">
        <f>'C, C1, C2&amp; C3 - Savings Schemes'!N97</f>
        <v>0</v>
      </c>
      <c r="EM97" s="937">
        <f>'C, C1, C2&amp; C3 - Savings Schemes'!O97</f>
        <v>0</v>
      </c>
      <c r="EN97" s="123">
        <f>'C, C1, C2&amp; C3 - Savings Schemes'!P97</f>
        <v>0</v>
      </c>
      <c r="EO97" s="939">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7">
        <f>'E - Resource Limits'!G97</f>
        <v>0</v>
      </c>
      <c r="GM97" s="196">
        <f>'E - Resource Limits'!H97</f>
        <v>0</v>
      </c>
      <c r="GN97" s="2555">
        <f>'E - Resource Limits'!I97</f>
        <v>0</v>
      </c>
      <c r="GO97" s="1745"/>
      <c r="GP97" s="1745"/>
      <c r="GQ97" s="1745"/>
      <c r="GR97" s="1935"/>
      <c r="JD97" s="2434"/>
      <c r="JE97" s="2310"/>
      <c r="JF97" s="2097"/>
      <c r="JG97" s="2097"/>
      <c r="JH97" s="2097"/>
      <c r="JI97" s="1943"/>
      <c r="JJ97" s="2097"/>
      <c r="JK97" s="2097"/>
      <c r="JL97" s="2097"/>
      <c r="JM97" s="2060"/>
      <c r="JN97" s="759"/>
      <c r="JO97" s="2060"/>
      <c r="LL97" s="814"/>
      <c r="LM97" s="2197">
        <f>'M - Aged Debtors'!B97</f>
        <v>0</v>
      </c>
      <c r="LN97" s="2198">
        <f>'M - Aged Debtors'!C97</f>
        <v>0</v>
      </c>
      <c r="LO97" s="2199">
        <f>'M - Aged Debtors'!D97</f>
        <v>0</v>
      </c>
      <c r="LP97" s="2200">
        <f>'M - Aged Debtors'!E97</f>
        <v>0</v>
      </c>
      <c r="LQ97" s="2201">
        <f>'M - Aged Debtors'!F97</f>
        <v>0</v>
      </c>
      <c r="LR97" s="832" t="str">
        <f>'M - Aged Debtors'!G97</f>
        <v/>
      </c>
      <c r="LS97" s="829" t="str">
        <f>'M - Aged Debtors'!H97</f>
        <v/>
      </c>
      <c r="LT97" s="829" t="str">
        <f>'M - Aged Debtors'!I97</f>
        <v/>
      </c>
      <c r="LU97" s="830" t="str">
        <f>'M - Aged Debtors'!J97</f>
        <v/>
      </c>
      <c r="LV97" s="1830">
        <f>'M - Aged Debtors'!K97</f>
        <v>0</v>
      </c>
      <c r="LX97" s="480" t="str">
        <f>'N - GMS'!A97</f>
        <v>Referral Management</v>
      </c>
      <c r="LY97" s="1675"/>
      <c r="LZ97" s="461">
        <f>'N - GMS'!C97</f>
        <v>72</v>
      </c>
      <c r="MA97" s="67">
        <f>'N - GMS'!D97</f>
        <v>0</v>
      </c>
      <c r="MB97" s="2231">
        <f>'N - GMS'!E97</f>
        <v>0</v>
      </c>
      <c r="MC97" s="2231">
        <f>'N - GMS'!F97</f>
        <v>0</v>
      </c>
      <c r="MD97" s="463">
        <f>'N - GMS'!G97</f>
        <v>0</v>
      </c>
      <c r="ME97" s="213"/>
      <c r="MF97" s="1028">
        <f>'N - GMS'!I97</f>
        <v>0</v>
      </c>
      <c r="MR97" s="684"/>
      <c r="MS97" s="2774">
        <f>'P - Ringfenced'!B97</f>
        <v>0</v>
      </c>
      <c r="MT97" s="2704">
        <f>'P - Ringfenced'!C97</f>
        <v>0</v>
      </c>
      <c r="MU97" s="1468"/>
      <c r="MV97" s="1468"/>
      <c r="MW97" s="1468"/>
      <c r="MX97" s="1468"/>
      <c r="MY97" s="1468"/>
      <c r="MZ97" s="1468"/>
      <c r="NA97" s="1468"/>
      <c r="NB97" s="1468"/>
      <c r="NC97" s="1468"/>
      <c r="ND97" s="1468"/>
      <c r="NE97" s="1468"/>
      <c r="NF97" s="1468"/>
      <c r="NG97" s="1468"/>
      <c r="NH97" s="1468"/>
      <c r="NI97" s="1468"/>
      <c r="NJ97" s="684"/>
      <c r="NK97" s="684"/>
    </row>
    <row r="98" spans="57:375" ht="20.149999999999999" customHeight="1" thickBot="1">
      <c r="BE98" s="1395"/>
      <c r="BF98" s="3009"/>
      <c r="BG98" s="1393"/>
      <c r="BH98" s="1140"/>
      <c r="BI98" s="1140"/>
      <c r="BJ98" s="1140"/>
      <c r="BK98" s="1140"/>
      <c r="BL98" s="1140"/>
      <c r="BM98" s="1140"/>
      <c r="BN98" s="1140"/>
      <c r="BO98" s="1140"/>
      <c r="BP98" s="1140"/>
      <c r="BQ98" s="1140"/>
      <c r="BR98" s="1140"/>
      <c r="BS98" s="1140"/>
      <c r="BT98" s="1917"/>
      <c r="BU98" s="3008"/>
      <c r="BV98" s="2594"/>
      <c r="BX98" s="88">
        <f>' Table Z Net Exp Profiles'!A98</f>
        <v>68</v>
      </c>
      <c r="BY98" s="2500" t="str">
        <f>' Table Z Net Exp Profiles'!B98</f>
        <v>Gross Primary Care Expenditure - Covid-19 - Current Plan</v>
      </c>
      <c r="BZ98" s="1217">
        <f>' Table Z Net Exp Profiles'!C98</f>
        <v>0</v>
      </c>
      <c r="CA98" s="1189">
        <f>' Table Z Net Exp Profiles'!D98</f>
        <v>0</v>
      </c>
      <c r="CB98" s="1189">
        <f>' Table Z Net Exp Profiles'!E98</f>
        <v>0</v>
      </c>
      <c r="CC98" s="1189">
        <f>' Table Z Net Exp Profiles'!F98</f>
        <v>0</v>
      </c>
      <c r="CD98" s="1189">
        <f>' Table Z Net Exp Profiles'!G98</f>
        <v>0</v>
      </c>
      <c r="CE98" s="1189">
        <f>' Table Z Net Exp Profiles'!H98</f>
        <v>0</v>
      </c>
      <c r="CF98" s="1189">
        <f>' Table Z Net Exp Profiles'!I98</f>
        <v>0</v>
      </c>
      <c r="CG98" s="1189">
        <f>' Table Z Net Exp Profiles'!J98</f>
        <v>0</v>
      </c>
      <c r="CH98" s="1189">
        <f>' Table Z Net Exp Profiles'!K98</f>
        <v>0</v>
      </c>
      <c r="CI98" s="1189">
        <f>' Table Z Net Exp Profiles'!L98</f>
        <v>0</v>
      </c>
      <c r="CJ98" s="1189">
        <f>' Table Z Net Exp Profiles'!M98</f>
        <v>0</v>
      </c>
      <c r="CK98" s="1189">
        <f>' Table Z Net Exp Profiles'!N98</f>
        <v>0</v>
      </c>
      <c r="CL98" s="1215">
        <f>' Table Z Net Exp Profiles'!O98</f>
        <v>0</v>
      </c>
      <c r="CM98" s="1215">
        <f>' Table Z Net Exp Profiles'!P98</f>
        <v>0</v>
      </c>
      <c r="DF98" s="2838">
        <f>'B3 - COVID-19'!A98</f>
        <v>67</v>
      </c>
      <c r="DG98" s="1906" t="str">
        <f>'B3 - COVID-19'!B98</f>
        <v xml:space="preserve">Nursing &amp; Midwifery Registered </v>
      </c>
      <c r="DH98" s="1903">
        <f>'B3 - COVID-19'!C98</f>
        <v>0</v>
      </c>
      <c r="DI98" s="1903">
        <f>'B3 - COVID-19'!D98</f>
        <v>0</v>
      </c>
      <c r="DJ98" s="1903">
        <f>'B3 - COVID-19'!E98</f>
        <v>0</v>
      </c>
      <c r="DK98" s="1903">
        <f>'B3 - COVID-19'!F98</f>
        <v>0</v>
      </c>
      <c r="DL98" s="1903">
        <f>'B3 - COVID-19'!G98</f>
        <v>0</v>
      </c>
      <c r="DM98" s="1903">
        <f>'B3 - COVID-19'!H98</f>
        <v>0</v>
      </c>
      <c r="DN98" s="1903">
        <f>'B3 - COVID-19'!I98</f>
        <v>0</v>
      </c>
      <c r="DO98" s="1903">
        <f>'B3 - COVID-19'!J98</f>
        <v>0</v>
      </c>
      <c r="DP98" s="1903">
        <f>'B3 - COVID-19'!K98</f>
        <v>0</v>
      </c>
      <c r="DQ98" s="1903">
        <f>'B3 - COVID-19'!L98</f>
        <v>0</v>
      </c>
      <c r="DR98" s="1903">
        <f>'B3 - COVID-19'!M98</f>
        <v>0</v>
      </c>
      <c r="DS98" s="1903">
        <f>'B3 - COVID-19'!N98</f>
        <v>0</v>
      </c>
      <c r="DT98" s="1863">
        <f>'B3 - COVID-19'!O98</f>
        <v>0</v>
      </c>
      <c r="DU98" s="1863">
        <f>'B3 - COVID-19'!P98</f>
        <v>0</v>
      </c>
      <c r="DV98" s="608"/>
      <c r="DW98" s="1116"/>
      <c r="GF98" s="346">
        <f>'E - Resource Limits'!A98</f>
        <v>77</v>
      </c>
      <c r="GG98" s="593">
        <f>'E - Resource Limits'!B98</f>
        <v>0</v>
      </c>
      <c r="GH98" s="25">
        <f>'E - Resource Limits'!C98</f>
        <v>0</v>
      </c>
      <c r="GI98" s="25">
        <f>'E - Resource Limits'!D98</f>
        <v>0</v>
      </c>
      <c r="GJ98" s="25">
        <f>'E - Resource Limits'!E98</f>
        <v>0</v>
      </c>
      <c r="GK98" s="25">
        <f>'E - Resource Limits'!F98</f>
        <v>0</v>
      </c>
      <c r="GL98" s="2527">
        <f>'E - Resource Limits'!G98</f>
        <v>0</v>
      </c>
      <c r="GM98" s="196">
        <f>'E - Resource Limits'!H98</f>
        <v>0</v>
      </c>
      <c r="GN98" s="2555">
        <f>'E - Resource Limits'!I98</f>
        <v>0</v>
      </c>
      <c r="GO98" s="1745"/>
      <c r="GP98" s="1745"/>
      <c r="GQ98" s="1745"/>
      <c r="GR98" s="1935"/>
      <c r="JD98" s="2435"/>
      <c r="JE98" s="2436" t="str">
        <f>'I - Capital RLM'!B98</f>
        <v>Less:</v>
      </c>
      <c r="JF98" s="2321"/>
      <c r="JG98" s="2321"/>
      <c r="JH98" s="2321"/>
      <c r="JI98" s="1943">
        <f>'I - Capital RLM'!F98</f>
        <v>0</v>
      </c>
      <c r="JJ98" s="2321"/>
      <c r="JK98" s="2321"/>
      <c r="JL98" s="2321"/>
      <c r="JM98" s="2060"/>
      <c r="JN98" s="759"/>
      <c r="JO98" s="2060"/>
      <c r="LL98" s="814"/>
      <c r="LM98" s="2197">
        <f>'M - Aged Debtors'!B98</f>
        <v>0</v>
      </c>
      <c r="LN98" s="2198">
        <f>'M - Aged Debtors'!C98</f>
        <v>0</v>
      </c>
      <c r="LO98" s="2199">
        <f>'M - Aged Debtors'!D98</f>
        <v>0</v>
      </c>
      <c r="LP98" s="2200">
        <f>'M - Aged Debtors'!E98</f>
        <v>0</v>
      </c>
      <c r="LQ98" s="2201">
        <f>'M - Aged Debtors'!F98</f>
        <v>0</v>
      </c>
      <c r="LR98" s="832" t="str">
        <f>'M - Aged Debtors'!G98</f>
        <v/>
      </c>
      <c r="LS98" s="829" t="str">
        <f>'M - Aged Debtors'!H98</f>
        <v/>
      </c>
      <c r="LT98" s="829" t="str">
        <f>'M - Aged Debtors'!I98</f>
        <v/>
      </c>
      <c r="LU98" s="830" t="str">
        <f>'M - Aged Debtors'!J98</f>
        <v/>
      </c>
      <c r="LV98" s="1830">
        <f>'M - Aged Debtors'!K98</f>
        <v>0</v>
      </c>
      <c r="LX98" s="480" t="str">
        <f>'N - GMS'!A98</f>
        <v>Respiratory (inc COPD)</v>
      </c>
      <c r="LY98" s="1675"/>
      <c r="LZ98" s="461">
        <f>'N - GMS'!C98</f>
        <v>73</v>
      </c>
      <c r="MA98" s="67">
        <f>'N - GMS'!D98</f>
        <v>0</v>
      </c>
      <c r="MB98" s="2231">
        <f>'N - GMS'!E98</f>
        <v>0</v>
      </c>
      <c r="MC98" s="2231">
        <f>'N - GMS'!F98</f>
        <v>0</v>
      </c>
      <c r="MD98" s="463">
        <f>'N - GMS'!G98</f>
        <v>0</v>
      </c>
      <c r="ME98" s="213"/>
      <c r="MF98" s="1028">
        <f>'N - GMS'!I98</f>
        <v>0</v>
      </c>
      <c r="MR98" s="684"/>
      <c r="MS98" s="2676" t="str">
        <f>'P - Ringfenced'!B98</f>
        <v>Total</v>
      </c>
      <c r="MT98" s="1101">
        <f>'P - Ringfenced'!C98</f>
        <v>0</v>
      </c>
      <c r="MU98" s="1468"/>
      <c r="MV98" s="1468"/>
      <c r="MW98" s="1468"/>
      <c r="MX98" s="1468"/>
      <c r="MY98" s="1468"/>
      <c r="MZ98" s="1468"/>
      <c r="NA98" s="1468"/>
      <c r="NB98" s="1468"/>
      <c r="NC98" s="1468"/>
      <c r="ND98" s="1468"/>
      <c r="NE98" s="1468"/>
      <c r="NF98" s="1468"/>
      <c r="NG98" s="1468"/>
      <c r="NH98" s="1468"/>
      <c r="NI98" s="1468"/>
      <c r="NJ98" s="684"/>
      <c r="NK98" s="684"/>
    </row>
    <row r="99" spans="57:375" ht="20.149999999999999" customHeight="1" thickBot="1">
      <c r="BE99" s="1380"/>
      <c r="BF99" s="1380"/>
      <c r="BG99" s="1380"/>
      <c r="BH99" s="1380"/>
      <c r="BI99" s="1380"/>
      <c r="BJ99" s="1380"/>
      <c r="BK99" s="1380"/>
      <c r="BL99" s="1380"/>
      <c r="BM99" s="1380"/>
      <c r="BN99" s="1380"/>
      <c r="BO99" s="1380"/>
      <c r="BP99" s="1380"/>
      <c r="BQ99" s="1380"/>
      <c r="BR99" s="1380"/>
      <c r="BS99" s="1380"/>
      <c r="BT99" s="1380"/>
      <c r="BU99" s="1380"/>
      <c r="BV99" s="2594"/>
      <c r="BX99" s="88">
        <f>' Table Z Net Exp Profiles'!A99</f>
        <v>69</v>
      </c>
      <c r="BY99" s="1264" t="str">
        <f>' Table Z Net Exp Profiles'!B99</f>
        <v>Planning Assumptions still to be finalised at Month 1 Allocated to Primary Care - (ENTER AS NEGATIVE)</v>
      </c>
      <c r="BZ99" s="1217">
        <f>' Table Z Net Exp Profiles'!C99</f>
        <v>0</v>
      </c>
      <c r="CA99" s="1189">
        <f>' Table Z Net Exp Profiles'!D99</f>
        <v>0</v>
      </c>
      <c r="CB99" s="1189">
        <f>' Table Z Net Exp Profiles'!E99</f>
        <v>0</v>
      </c>
      <c r="CC99" s="1189">
        <f>' Table Z Net Exp Profiles'!F99</f>
        <v>0</v>
      </c>
      <c r="CD99" s="1189">
        <f>' Table Z Net Exp Profiles'!G99</f>
        <v>0</v>
      </c>
      <c r="CE99" s="1189">
        <f>' Table Z Net Exp Profiles'!H99</f>
        <v>0</v>
      </c>
      <c r="CF99" s="1189">
        <f>' Table Z Net Exp Profiles'!I99</f>
        <v>0</v>
      </c>
      <c r="CG99" s="1189">
        <f>' Table Z Net Exp Profiles'!J99</f>
        <v>0</v>
      </c>
      <c r="CH99" s="1189">
        <f>' Table Z Net Exp Profiles'!K99</f>
        <v>0</v>
      </c>
      <c r="CI99" s="1189">
        <f>' Table Z Net Exp Profiles'!L99</f>
        <v>0</v>
      </c>
      <c r="CJ99" s="1189">
        <f>' Table Z Net Exp Profiles'!M99</f>
        <v>0</v>
      </c>
      <c r="CK99" s="1189">
        <f>' Table Z Net Exp Profiles'!N99</f>
        <v>0</v>
      </c>
      <c r="CL99" s="1215">
        <f>' Table Z Net Exp Profiles'!O99</f>
        <v>0</v>
      </c>
      <c r="CM99" s="1215">
        <f>' Table Z Net Exp Profiles'!P99</f>
        <v>0</v>
      </c>
      <c r="DF99" s="2838">
        <f>'B3 - COVID-19'!A99</f>
        <v>68</v>
      </c>
      <c r="DG99" s="1906" t="str">
        <f>'B3 - COVID-19'!B99</f>
        <v>Prof Scientific &amp; Technical</v>
      </c>
      <c r="DH99" s="1903">
        <f>'B3 - COVID-19'!C99</f>
        <v>0</v>
      </c>
      <c r="DI99" s="1903">
        <f>'B3 - COVID-19'!D99</f>
        <v>0</v>
      </c>
      <c r="DJ99" s="1903">
        <f>'B3 - COVID-19'!E99</f>
        <v>0</v>
      </c>
      <c r="DK99" s="1903">
        <f>'B3 - COVID-19'!F99</f>
        <v>0</v>
      </c>
      <c r="DL99" s="1903">
        <f>'B3 - COVID-19'!G99</f>
        <v>0</v>
      </c>
      <c r="DM99" s="1903">
        <f>'B3 - COVID-19'!H99</f>
        <v>0</v>
      </c>
      <c r="DN99" s="1903">
        <f>'B3 - COVID-19'!I99</f>
        <v>0</v>
      </c>
      <c r="DO99" s="1903">
        <f>'B3 - COVID-19'!J99</f>
        <v>0</v>
      </c>
      <c r="DP99" s="1903">
        <f>'B3 - COVID-19'!K99</f>
        <v>0</v>
      </c>
      <c r="DQ99" s="1903">
        <f>'B3 - COVID-19'!L99</f>
        <v>0</v>
      </c>
      <c r="DR99" s="1903">
        <f>'B3 - COVID-19'!M99</f>
        <v>0</v>
      </c>
      <c r="DS99" s="1903">
        <f>'B3 - COVID-19'!N99</f>
        <v>0</v>
      </c>
      <c r="DT99" s="1863">
        <f>'B3 - COVID-19'!O99</f>
        <v>0</v>
      </c>
      <c r="DU99" s="1863">
        <f>'B3 - COVID-19'!P99</f>
        <v>0</v>
      </c>
      <c r="DV99" s="608"/>
      <c r="DW99" s="1116"/>
      <c r="GF99" s="346">
        <f>'E - Resource Limits'!A99</f>
        <v>78</v>
      </c>
      <c r="GG99" s="593">
        <f>'E - Resource Limits'!B99</f>
        <v>0</v>
      </c>
      <c r="GH99" s="25">
        <f>'E - Resource Limits'!C99</f>
        <v>0</v>
      </c>
      <c r="GI99" s="25">
        <f>'E - Resource Limits'!D99</f>
        <v>0</v>
      </c>
      <c r="GJ99" s="25">
        <f>'E - Resource Limits'!E99</f>
        <v>0</v>
      </c>
      <c r="GK99" s="25">
        <f>'E - Resource Limits'!F99</f>
        <v>0</v>
      </c>
      <c r="GL99" s="2527">
        <f>'E - Resource Limits'!G99</f>
        <v>0</v>
      </c>
      <c r="GM99" s="196">
        <f>'E - Resource Limits'!H99</f>
        <v>0</v>
      </c>
      <c r="GN99" s="2555">
        <f>'E - Resource Limits'!I99</f>
        <v>0</v>
      </c>
      <c r="GO99" s="1745"/>
      <c r="GP99" s="1745"/>
      <c r="GQ99" s="1745"/>
      <c r="GR99" s="1935"/>
      <c r="JD99" s="2099"/>
      <c r="JE99" s="2377"/>
      <c r="JF99" s="2098"/>
      <c r="JG99" s="2098"/>
      <c r="JH99" s="2098"/>
      <c r="JI99" s="1943">
        <f>'I - Capital RLM'!F99</f>
        <v>0</v>
      </c>
      <c r="JJ99" s="2098"/>
      <c r="JK99" s="2098"/>
      <c r="JL99" s="2098"/>
      <c r="JM99" s="2060"/>
      <c r="JN99" s="759"/>
      <c r="JO99" s="2060"/>
      <c r="LL99" s="814"/>
      <c r="LM99" s="2197">
        <f>'M - Aged Debtors'!B99</f>
        <v>0</v>
      </c>
      <c r="LN99" s="2198">
        <f>'M - Aged Debtors'!C99</f>
        <v>0</v>
      </c>
      <c r="LO99" s="2199">
        <f>'M - Aged Debtors'!D99</f>
        <v>0</v>
      </c>
      <c r="LP99" s="2200">
        <f>'M - Aged Debtors'!E99</f>
        <v>0</v>
      </c>
      <c r="LQ99" s="2201">
        <f>'M - Aged Debtors'!F99</f>
        <v>0</v>
      </c>
      <c r="LR99" s="832" t="str">
        <f>'M - Aged Debtors'!G99</f>
        <v/>
      </c>
      <c r="LS99" s="829" t="str">
        <f>'M - Aged Debtors'!H99</f>
        <v/>
      </c>
      <c r="LT99" s="829" t="str">
        <f>'M - Aged Debtors'!I99</f>
        <v/>
      </c>
      <c r="LU99" s="830" t="str">
        <f>'M - Aged Debtors'!J99</f>
        <v/>
      </c>
      <c r="LV99" s="1830">
        <f>'M - Aged Debtors'!K99</f>
        <v>0</v>
      </c>
      <c r="LX99" s="3114" t="str">
        <f>'N - GMS'!A99</f>
        <v>Ring Pessaries</v>
      </c>
      <c r="LY99" s="3131"/>
      <c r="LZ99" s="461">
        <f>'N - GMS'!C99</f>
        <v>74</v>
      </c>
      <c r="MA99" s="67">
        <f>'N - GMS'!D99</f>
        <v>0</v>
      </c>
      <c r="MB99" s="2231">
        <f>'N - GMS'!E99</f>
        <v>0</v>
      </c>
      <c r="MC99" s="2231">
        <f>'N - GMS'!F99</f>
        <v>0</v>
      </c>
      <c r="MD99" s="463">
        <f>'N - GMS'!G99</f>
        <v>0</v>
      </c>
      <c r="ME99" s="213"/>
      <c r="MF99" s="1028">
        <f>'N - GMS'!I99</f>
        <v>0</v>
      </c>
      <c r="MR99" s="684"/>
      <c r="MS99" s="1468"/>
      <c r="MT99" s="1468"/>
      <c r="MU99" s="1468"/>
      <c r="MV99" s="1468"/>
      <c r="MW99" s="1468"/>
      <c r="MX99" s="1468"/>
      <c r="MY99" s="1468"/>
      <c r="MZ99" s="1468"/>
      <c r="NA99" s="1468"/>
      <c r="NB99" s="1468"/>
      <c r="NC99" s="1468"/>
      <c r="ND99" s="1468"/>
      <c r="NE99" s="1468"/>
      <c r="NF99" s="1468"/>
      <c r="NG99" s="1468"/>
      <c r="NH99" s="1468"/>
      <c r="NI99" s="1468"/>
      <c r="NJ99" s="684"/>
      <c r="NK99" s="684"/>
    </row>
    <row r="100" spans="57:375" ht="20.149999999999999" customHeight="1" thickBot="1">
      <c r="BE100" s="80"/>
      <c r="BF100" s="652" t="str">
        <f>'B - Monthly Positions'!B100</f>
        <v>G. Committed Reserves &amp; Contingencies</v>
      </c>
      <c r="BG100" s="80"/>
      <c r="BH100" s="80"/>
      <c r="BI100" s="80"/>
      <c r="BJ100" s="80"/>
      <c r="BK100" s="293"/>
      <c r="BL100" s="1092"/>
      <c r="BM100" s="293"/>
      <c r="BN100" s="293"/>
      <c r="BO100" s="296"/>
      <c r="BP100" s="296"/>
      <c r="BQ100" s="80"/>
      <c r="BR100" s="80"/>
      <c r="BS100" s="80"/>
      <c r="BT100" s="80"/>
      <c r="BU100" s="80"/>
      <c r="BV100" s="2594"/>
      <c r="BX100" s="86">
        <f>' Table Z Net Exp Profiles'!A100</f>
        <v>70</v>
      </c>
      <c r="BY100" s="1100" t="str">
        <f>' Table Z Net Exp Profiles'!B100</f>
        <v>Total Gross Primary Care Contractor Expenditure - Current Plan</v>
      </c>
      <c r="BZ100" s="1110">
        <f>' Table Z Net Exp Profiles'!C100</f>
        <v>0</v>
      </c>
      <c r="CA100" s="1219">
        <f>' Table Z Net Exp Profiles'!D100</f>
        <v>0</v>
      </c>
      <c r="CB100" s="1219">
        <f>' Table Z Net Exp Profiles'!E100</f>
        <v>0</v>
      </c>
      <c r="CC100" s="1219">
        <f>' Table Z Net Exp Profiles'!F100</f>
        <v>0</v>
      </c>
      <c r="CD100" s="1219">
        <f>' Table Z Net Exp Profiles'!G100</f>
        <v>0</v>
      </c>
      <c r="CE100" s="1219">
        <f>' Table Z Net Exp Profiles'!H100</f>
        <v>0</v>
      </c>
      <c r="CF100" s="1219">
        <f>' Table Z Net Exp Profiles'!I100</f>
        <v>0</v>
      </c>
      <c r="CG100" s="1219">
        <f>' Table Z Net Exp Profiles'!J100</f>
        <v>0</v>
      </c>
      <c r="CH100" s="1219">
        <f>' Table Z Net Exp Profiles'!K100</f>
        <v>0</v>
      </c>
      <c r="CI100" s="1219">
        <f>' Table Z Net Exp Profiles'!L100</f>
        <v>0</v>
      </c>
      <c r="CJ100" s="1219">
        <f>' Table Z Net Exp Profiles'!M100</f>
        <v>0</v>
      </c>
      <c r="CK100" s="1220">
        <f>' Table Z Net Exp Profiles'!N100</f>
        <v>0</v>
      </c>
      <c r="CL100" s="1101">
        <f>' Table Z Net Exp Profiles'!O100</f>
        <v>0</v>
      </c>
      <c r="CM100" s="1232">
        <f>' Table Z Net Exp Profiles'!P100</f>
        <v>0</v>
      </c>
      <c r="DF100" s="2838">
        <f>'B3 - COVID-19'!A100</f>
        <v>69</v>
      </c>
      <c r="DG100" s="1906" t="str">
        <f>'B3 - COVID-19'!B100</f>
        <v xml:space="preserve">Additional Clinical Services </v>
      </c>
      <c r="DH100" s="1903">
        <f>'B3 - COVID-19'!C100</f>
        <v>0</v>
      </c>
      <c r="DI100" s="1903">
        <f>'B3 - COVID-19'!D100</f>
        <v>0</v>
      </c>
      <c r="DJ100" s="1903">
        <f>'B3 - COVID-19'!E100</f>
        <v>0</v>
      </c>
      <c r="DK100" s="1903">
        <f>'B3 - COVID-19'!F100</f>
        <v>0</v>
      </c>
      <c r="DL100" s="1903">
        <f>'B3 - COVID-19'!G100</f>
        <v>0</v>
      </c>
      <c r="DM100" s="1903">
        <f>'B3 - COVID-19'!H100</f>
        <v>0</v>
      </c>
      <c r="DN100" s="1903">
        <f>'B3 - COVID-19'!I100</f>
        <v>0</v>
      </c>
      <c r="DO100" s="1903">
        <f>'B3 - COVID-19'!J100</f>
        <v>0</v>
      </c>
      <c r="DP100" s="1903">
        <f>'B3 - COVID-19'!K100</f>
        <v>0</v>
      </c>
      <c r="DQ100" s="1903">
        <f>'B3 - COVID-19'!L100</f>
        <v>0</v>
      </c>
      <c r="DR100" s="1903">
        <f>'B3 - COVID-19'!M100</f>
        <v>0</v>
      </c>
      <c r="DS100" s="1903">
        <f>'B3 - COVID-19'!N100</f>
        <v>0</v>
      </c>
      <c r="DT100" s="1863">
        <f>'B3 - COVID-19'!O100</f>
        <v>0</v>
      </c>
      <c r="DU100" s="1863">
        <f>'B3 - COVID-19'!P100</f>
        <v>0</v>
      </c>
      <c r="DV100" s="608"/>
      <c r="DW100" s="1116"/>
      <c r="DY100" s="80"/>
      <c r="DZ100" s="70" t="str">
        <f>'C, C1, C2&amp; C3 - Savings Schemes'!B100</f>
        <v>Table C3- Savings Schemes SoCNE/SCNI Analysis</v>
      </c>
      <c r="EA100" s="608"/>
      <c r="EB100" s="918"/>
      <c r="EC100" s="918"/>
      <c r="ED100" s="918"/>
      <c r="EE100" s="918"/>
      <c r="EF100" s="918"/>
      <c r="EG100" s="919"/>
      <c r="EH100" s="918" t="s">
        <v>289</v>
      </c>
      <c r="EI100" s="918"/>
      <c r="EJ100" s="918"/>
      <c r="EK100" s="918"/>
      <c r="EL100" s="918"/>
      <c r="EM100" s="918"/>
      <c r="EN100" s="918"/>
      <c r="EO100" s="920"/>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7">
        <f>'E - Resource Limits'!G100</f>
        <v>0</v>
      </c>
      <c r="GM100" s="196">
        <f>'E - Resource Limits'!H100</f>
        <v>0</v>
      </c>
      <c r="GN100" s="2555">
        <f>'E - Resource Limits'!I100</f>
        <v>0</v>
      </c>
      <c r="GO100" s="1745"/>
      <c r="GP100" s="1745"/>
      <c r="GQ100" s="1745"/>
      <c r="GR100" s="1935"/>
      <c r="JD100" s="2073"/>
      <c r="JE100" s="2437" t="str">
        <f>'I - Capital RLM'!B100</f>
        <v>Capital grants &amp; Capital AME (e.g. dilapidations):</v>
      </c>
      <c r="JF100" s="2098"/>
      <c r="JG100" s="2098"/>
      <c r="JH100" s="2098"/>
      <c r="JI100" s="1943">
        <f>'I - Capital RLM'!F100</f>
        <v>0</v>
      </c>
      <c r="JJ100" s="2098"/>
      <c r="JK100" s="2098"/>
      <c r="JL100" s="2098"/>
      <c r="JM100" s="2060"/>
      <c r="JN100" s="759"/>
      <c r="JO100" s="2060"/>
      <c r="LL100" s="814"/>
      <c r="LM100" s="2197">
        <f>'M - Aged Debtors'!B100</f>
        <v>0</v>
      </c>
      <c r="LN100" s="2198">
        <f>'M - Aged Debtors'!C100</f>
        <v>0</v>
      </c>
      <c r="LO100" s="2199">
        <f>'M - Aged Debtors'!D100</f>
        <v>0</v>
      </c>
      <c r="LP100" s="2200">
        <f>'M - Aged Debtors'!E100</f>
        <v>0</v>
      </c>
      <c r="LQ100" s="2201">
        <f>'M - Aged Debtors'!F100</f>
        <v>0</v>
      </c>
      <c r="LR100" s="832" t="str">
        <f>'M - Aged Debtors'!G100</f>
        <v/>
      </c>
      <c r="LS100" s="829" t="str">
        <f>'M - Aged Debtors'!H100</f>
        <v/>
      </c>
      <c r="LT100" s="829" t="str">
        <f>'M - Aged Debtors'!I100</f>
        <v/>
      </c>
      <c r="LU100" s="830" t="str">
        <f>'M - Aged Debtors'!J100</f>
        <v/>
      </c>
      <c r="LV100" s="1830">
        <f>'M - Aged Debtors'!K100</f>
        <v>0</v>
      </c>
      <c r="LX100" s="480" t="str">
        <f>'N - GMS'!A100</f>
        <v>Sexual Health Services</v>
      </c>
      <c r="LY100" s="1675"/>
      <c r="LZ100" s="461">
        <f>'N - GMS'!C100</f>
        <v>75</v>
      </c>
      <c r="MA100" s="67">
        <f>'N - GMS'!D100</f>
        <v>0</v>
      </c>
      <c r="MB100" s="2231">
        <f>'N - GMS'!E100</f>
        <v>0</v>
      </c>
      <c r="MC100" s="2231">
        <f>'N - GMS'!F100</f>
        <v>0</v>
      </c>
      <c r="MD100" s="463">
        <f>'N - GMS'!G100</f>
        <v>0</v>
      </c>
      <c r="ME100" s="213"/>
      <c r="MF100" s="1028">
        <f>'N - GMS'!I100</f>
        <v>0</v>
      </c>
      <c r="MR100" s="684"/>
      <c r="MS100" s="1468"/>
      <c r="MT100" s="1468"/>
      <c r="MU100" s="1468"/>
      <c r="MV100" s="1468"/>
      <c r="MW100" s="1468"/>
      <c r="MX100" s="1468"/>
      <c r="MY100" s="1468"/>
      <c r="MZ100" s="1468"/>
      <c r="NA100" s="1468"/>
      <c r="NB100" s="1468"/>
      <c r="NC100" s="1468"/>
      <c r="ND100" s="1468"/>
      <c r="NE100" s="1468"/>
      <c r="NF100" s="1468"/>
      <c r="NG100" s="1468"/>
      <c r="NH100" s="1468"/>
      <c r="NI100" s="1468"/>
      <c r="NJ100" s="684"/>
      <c r="NK100" s="684"/>
    </row>
    <row r="101" spans="57:375" ht="20.149999999999999" customHeight="1" thickBot="1">
      <c r="BE101" s="84"/>
      <c r="BF101" s="84"/>
      <c r="BG101" s="843"/>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4"/>
      <c r="BX101" s="88">
        <f>' Table Z Net Exp Profiles'!A101</f>
        <v>71</v>
      </c>
      <c r="BY101" s="1278" t="str">
        <f>' Table Z Net Exp Profiles'!B101</f>
        <v>Primary Care Contractor Expenditure - Actual/Forecast Gross</v>
      </c>
      <c r="BZ101" s="1214">
        <f>' Table Z Net Exp Profiles'!C101</f>
        <v>0</v>
      </c>
      <c r="CA101" s="1214">
        <f>' Table Z Net Exp Profiles'!D101</f>
        <v>0</v>
      </c>
      <c r="CB101" s="1214">
        <f>' Table Z Net Exp Profiles'!E101</f>
        <v>0</v>
      </c>
      <c r="CC101" s="1214">
        <f>' Table Z Net Exp Profiles'!F101</f>
        <v>0</v>
      </c>
      <c r="CD101" s="1214">
        <f>' Table Z Net Exp Profiles'!G101</f>
        <v>0</v>
      </c>
      <c r="CE101" s="1214">
        <f>' Table Z Net Exp Profiles'!H101</f>
        <v>0</v>
      </c>
      <c r="CF101" s="1214">
        <f>' Table Z Net Exp Profiles'!I101</f>
        <v>0</v>
      </c>
      <c r="CG101" s="1214">
        <f>' Table Z Net Exp Profiles'!J101</f>
        <v>0</v>
      </c>
      <c r="CH101" s="1214">
        <f>' Table Z Net Exp Profiles'!K101</f>
        <v>0</v>
      </c>
      <c r="CI101" s="1214">
        <f>' Table Z Net Exp Profiles'!L101</f>
        <v>0</v>
      </c>
      <c r="CJ101" s="1214">
        <f>' Table Z Net Exp Profiles'!M101</f>
        <v>0</v>
      </c>
      <c r="CK101" s="1214">
        <f>' Table Z Net Exp Profiles'!N101</f>
        <v>0</v>
      </c>
      <c r="CL101" s="1215">
        <f>' Table Z Net Exp Profiles'!O101</f>
        <v>0</v>
      </c>
      <c r="CM101" s="1215">
        <f>' Table Z Net Exp Profiles'!P101</f>
        <v>0</v>
      </c>
      <c r="DF101" s="2838">
        <f>'B3 - COVID-19'!A101</f>
        <v>70</v>
      </c>
      <c r="DG101" s="1906" t="str">
        <f>'B3 - COVID-19'!B101</f>
        <v>Allied Health Professionals</v>
      </c>
      <c r="DH101" s="1903">
        <f>'B3 - COVID-19'!C101</f>
        <v>0</v>
      </c>
      <c r="DI101" s="1903">
        <f>'B3 - COVID-19'!D101</f>
        <v>0</v>
      </c>
      <c r="DJ101" s="1903">
        <f>'B3 - COVID-19'!E101</f>
        <v>0</v>
      </c>
      <c r="DK101" s="1903">
        <f>'B3 - COVID-19'!F101</f>
        <v>0</v>
      </c>
      <c r="DL101" s="1903">
        <f>'B3 - COVID-19'!G101</f>
        <v>0</v>
      </c>
      <c r="DM101" s="1903">
        <f>'B3 - COVID-19'!H101</f>
        <v>0</v>
      </c>
      <c r="DN101" s="1903">
        <f>'B3 - COVID-19'!I101</f>
        <v>0</v>
      </c>
      <c r="DO101" s="1903">
        <f>'B3 - COVID-19'!J101</f>
        <v>0</v>
      </c>
      <c r="DP101" s="1903">
        <f>'B3 - COVID-19'!K101</f>
        <v>0</v>
      </c>
      <c r="DQ101" s="1903">
        <f>'B3 - COVID-19'!L101</f>
        <v>0</v>
      </c>
      <c r="DR101" s="1903">
        <f>'B3 - COVID-19'!M101</f>
        <v>0</v>
      </c>
      <c r="DS101" s="1903">
        <f>'B3 - COVID-19'!N101</f>
        <v>0</v>
      </c>
      <c r="DT101" s="1863">
        <f>'B3 - COVID-19'!O101</f>
        <v>0</v>
      </c>
      <c r="DU101" s="1863">
        <f>'B3 - COVID-19'!P101</f>
        <v>0</v>
      </c>
      <c r="DV101" s="608"/>
      <c r="DW101" s="1116"/>
      <c r="DY101" s="80"/>
      <c r="DZ101" s="110"/>
      <c r="EA101" s="324" t="str">
        <f>+EA61</f>
        <v>Variance</v>
      </c>
      <c r="EB101" s="919"/>
      <c r="EC101" s="918"/>
      <c r="ED101" s="918"/>
      <c r="EE101" s="918"/>
      <c r="EF101" s="918"/>
      <c r="EG101" s="919"/>
      <c r="EH101" s="918"/>
      <c r="EI101" s="918"/>
      <c r="EJ101" s="918"/>
      <c r="EK101" s="918"/>
      <c r="EL101" s="918"/>
      <c r="EM101" s="918"/>
      <c r="EN101" s="918"/>
      <c r="EO101" s="920"/>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7">
        <f>'E - Resource Limits'!G101</f>
        <v>0</v>
      </c>
      <c r="GM101" s="196">
        <f>'E - Resource Limits'!H101</f>
        <v>0</v>
      </c>
      <c r="GN101" s="2555">
        <f>'E - Resource Limits'!I101</f>
        <v>0</v>
      </c>
      <c r="GO101" s="1745"/>
      <c r="GP101" s="1745"/>
      <c r="GQ101" s="1745"/>
      <c r="GR101" s="1935"/>
      <c r="JD101" s="2088">
        <f>'I - Capital RLM'!A101</f>
        <v>71</v>
      </c>
      <c r="JE101" s="2126">
        <f>'I - Capital RLM'!B101</f>
        <v>0</v>
      </c>
      <c r="JF101" s="2010">
        <f>'I - Capital RLM'!C101</f>
        <v>0</v>
      </c>
      <c r="JG101" s="2010">
        <f>'I - Capital RLM'!D101</f>
        <v>0</v>
      </c>
      <c r="JH101" s="2118">
        <f>'I - Capital RLM'!E101</f>
        <v>0</v>
      </c>
      <c r="JI101" s="1943">
        <f>'I - Capital RLM'!F101</f>
        <v>0</v>
      </c>
      <c r="JJ101" s="2010">
        <f>'I - Capital RLM'!G101</f>
        <v>0</v>
      </c>
      <c r="JK101" s="2010">
        <f>'I - Capital RLM'!H101</f>
        <v>0</v>
      </c>
      <c r="JL101" s="2118">
        <f>'I - Capital RLM'!I101</f>
        <v>0</v>
      </c>
      <c r="JM101" s="2060"/>
      <c r="JN101" s="1889">
        <f>'I - Capital RLM'!K101</f>
        <v>0</v>
      </c>
      <c r="JO101" s="2060">
        <f>IF(AND(JK101&gt;0,JE101=""),1,0)</f>
        <v>0</v>
      </c>
      <c r="LL101" s="814"/>
      <c r="LM101" s="2197">
        <f>'M - Aged Debtors'!B101</f>
        <v>0</v>
      </c>
      <c r="LN101" s="2198">
        <f>'M - Aged Debtors'!C101</f>
        <v>0</v>
      </c>
      <c r="LO101" s="2199">
        <f>'M - Aged Debtors'!D101</f>
        <v>0</v>
      </c>
      <c r="LP101" s="2200">
        <f>'M - Aged Debtors'!E101</f>
        <v>0</v>
      </c>
      <c r="LQ101" s="2201">
        <f>'M - Aged Debtors'!F101</f>
        <v>0</v>
      </c>
      <c r="LR101" s="832" t="str">
        <f>'M - Aged Debtors'!G101</f>
        <v/>
      </c>
      <c r="LS101" s="829" t="str">
        <f>'M - Aged Debtors'!H101</f>
        <v/>
      </c>
      <c r="LT101" s="829" t="str">
        <f>'M - Aged Debtors'!I101</f>
        <v/>
      </c>
      <c r="LU101" s="830" t="str">
        <f>'M - Aged Debtors'!J101</f>
        <v/>
      </c>
      <c r="LV101" s="1830">
        <f>'M - Aged Debtors'!K101</f>
        <v>0</v>
      </c>
      <c r="LX101" s="480" t="str">
        <f>'N - GMS'!A101</f>
        <v xml:space="preserve">Shared Care    </v>
      </c>
      <c r="LY101" s="1675"/>
      <c r="LZ101" s="461">
        <f>'N - GMS'!C101</f>
        <v>76</v>
      </c>
      <c r="MA101" s="67">
        <f>'N - GMS'!D101</f>
        <v>0</v>
      </c>
      <c r="MB101" s="2231">
        <f>'N - GMS'!E101</f>
        <v>0</v>
      </c>
      <c r="MC101" s="2231">
        <f>'N - GMS'!F101</f>
        <v>0</v>
      </c>
      <c r="MD101" s="463">
        <f>'N - GMS'!G101</f>
        <v>0</v>
      </c>
      <c r="ME101" s="213"/>
      <c r="MF101" s="1028">
        <f>'N - GMS'!I101</f>
        <v>0</v>
      </c>
      <c r="MR101" s="684"/>
      <c r="MS101" s="2674" t="str">
        <f>'P - Ringfenced'!B101</f>
        <v>Recovery (Confirm in below text 'Allocated' or 'Anticipated')</v>
      </c>
      <c r="MT101" s="2673" t="str">
        <f>'P - Ringfenced'!C101</f>
        <v>£000s</v>
      </c>
      <c r="MU101" s="1468"/>
      <c r="MV101" s="1468"/>
      <c r="MW101" s="1468"/>
      <c r="MX101" s="1468"/>
      <c r="MY101" s="1468"/>
      <c r="MZ101" s="1468"/>
      <c r="NA101" s="1468"/>
      <c r="NB101" s="1468"/>
      <c r="NC101" s="1468"/>
      <c r="ND101" s="1468"/>
      <c r="NE101" s="1468"/>
      <c r="NF101" s="1468"/>
      <c r="NG101" s="1468"/>
      <c r="NH101" s="1468"/>
      <c r="NI101" s="1468"/>
      <c r="NJ101" s="684"/>
      <c r="NK101" s="684"/>
    </row>
    <row r="102" spans="57:375" ht="20.149999999999999" customHeight="1">
      <c r="BE102" s="298"/>
      <c r="BF102" s="85" t="s">
        <v>289</v>
      </c>
      <c r="BG102" s="843"/>
      <c r="BH102" s="2412" t="s">
        <v>181</v>
      </c>
      <c r="BI102" s="2413" t="s">
        <v>89</v>
      </c>
      <c r="BJ102" s="2413" t="s">
        <v>90</v>
      </c>
      <c r="BK102" s="2413" t="s">
        <v>91</v>
      </c>
      <c r="BL102" s="2413" t="s">
        <v>92</v>
      </c>
      <c r="BM102" s="2413" t="s">
        <v>93</v>
      </c>
      <c r="BN102" s="2413" t="s">
        <v>94</v>
      </c>
      <c r="BO102" s="2413" t="s">
        <v>95</v>
      </c>
      <c r="BP102" s="2413" t="s">
        <v>96</v>
      </c>
      <c r="BQ102" s="2413" t="s">
        <v>97</v>
      </c>
      <c r="BR102" s="2413" t="s">
        <v>98</v>
      </c>
      <c r="BS102" s="2414" t="s">
        <v>99</v>
      </c>
      <c r="BT102" s="1059" t="s">
        <v>178</v>
      </c>
      <c r="BU102" s="1059" t="s">
        <v>440</v>
      </c>
      <c r="BV102" s="2594"/>
      <c r="BX102" s="88">
        <f>' Table Z Net Exp Profiles'!A102</f>
        <v>72</v>
      </c>
      <c r="BY102" s="1278" t="str">
        <f>' Table Z Net Exp Profiles'!B102</f>
        <v>Primary Care - Agency/Locum Paid at a Premium - Actual/Forecast Gross</v>
      </c>
      <c r="BZ102" s="1214">
        <f>' Table Z Net Exp Profiles'!C102</f>
        <v>0</v>
      </c>
      <c r="CA102" s="1214">
        <f>' Table Z Net Exp Profiles'!D102</f>
        <v>0</v>
      </c>
      <c r="CB102" s="1214">
        <f>' Table Z Net Exp Profiles'!E102</f>
        <v>0</v>
      </c>
      <c r="CC102" s="1214">
        <f>' Table Z Net Exp Profiles'!F102</f>
        <v>0</v>
      </c>
      <c r="CD102" s="1214">
        <f>' Table Z Net Exp Profiles'!G102</f>
        <v>0</v>
      </c>
      <c r="CE102" s="1214">
        <f>' Table Z Net Exp Profiles'!H102</f>
        <v>0</v>
      </c>
      <c r="CF102" s="1214">
        <f>' Table Z Net Exp Profiles'!I102</f>
        <v>0</v>
      </c>
      <c r="CG102" s="1214">
        <f>' Table Z Net Exp Profiles'!J102</f>
        <v>0</v>
      </c>
      <c r="CH102" s="1214">
        <f>' Table Z Net Exp Profiles'!K102</f>
        <v>0</v>
      </c>
      <c r="CI102" s="1214">
        <f>' Table Z Net Exp Profiles'!L102</f>
        <v>0</v>
      </c>
      <c r="CJ102" s="1214">
        <f>' Table Z Net Exp Profiles'!M102</f>
        <v>0</v>
      </c>
      <c r="CK102" s="1214">
        <f>' Table Z Net Exp Profiles'!N102</f>
        <v>0</v>
      </c>
      <c r="CL102" s="1215">
        <f>' Table Z Net Exp Profiles'!O102</f>
        <v>0</v>
      </c>
      <c r="CM102" s="1215">
        <f>' Table Z Net Exp Profiles'!P102</f>
        <v>0</v>
      </c>
      <c r="DF102" s="2838">
        <f>'B3 - COVID-19'!A102</f>
        <v>71</v>
      </c>
      <c r="DG102" s="1906" t="str">
        <f>'B3 - COVID-19'!B102</f>
        <v xml:space="preserve">Healthcare Scientists </v>
      </c>
      <c r="DH102" s="1903">
        <f>'B3 - COVID-19'!C102</f>
        <v>0</v>
      </c>
      <c r="DI102" s="1903">
        <f>'B3 - COVID-19'!D102</f>
        <v>0</v>
      </c>
      <c r="DJ102" s="1903">
        <f>'B3 - COVID-19'!E102</f>
        <v>0</v>
      </c>
      <c r="DK102" s="1903">
        <f>'B3 - COVID-19'!F102</f>
        <v>0</v>
      </c>
      <c r="DL102" s="1903">
        <f>'B3 - COVID-19'!G102</f>
        <v>0</v>
      </c>
      <c r="DM102" s="1903">
        <f>'B3 - COVID-19'!H102</f>
        <v>0</v>
      </c>
      <c r="DN102" s="1903">
        <f>'B3 - COVID-19'!I102</f>
        <v>0</v>
      </c>
      <c r="DO102" s="1903">
        <f>'B3 - COVID-19'!J102</f>
        <v>0</v>
      </c>
      <c r="DP102" s="1903">
        <f>'B3 - COVID-19'!K102</f>
        <v>0</v>
      </c>
      <c r="DQ102" s="1903">
        <f>'B3 - COVID-19'!L102</f>
        <v>0</v>
      </c>
      <c r="DR102" s="1903">
        <f>'B3 - COVID-19'!M102</f>
        <v>0</v>
      </c>
      <c r="DS102" s="1903">
        <f>'B3 - COVID-19'!N102</f>
        <v>0</v>
      </c>
      <c r="DT102" s="1863">
        <f>'B3 - COVID-19'!O102</f>
        <v>0</v>
      </c>
      <c r="DU102" s="1863">
        <f>'B3 - COVID-19'!P102</f>
        <v>0</v>
      </c>
      <c r="DV102" s="608"/>
      <c r="DW102" s="1116"/>
      <c r="DY102" s="82"/>
      <c r="DZ102" s="82"/>
      <c r="EA102" s="107"/>
      <c r="EB102" s="921"/>
      <c r="EC102" s="921"/>
      <c r="ED102" s="921"/>
      <c r="EE102" s="921"/>
      <c r="EF102" s="921"/>
      <c r="EG102" s="922"/>
      <c r="EH102" s="922"/>
      <c r="EI102" s="921"/>
      <c r="EJ102" s="921"/>
      <c r="EK102" s="921"/>
      <c r="EL102" s="921"/>
      <c r="EM102" s="921"/>
      <c r="EN102" s="921"/>
      <c r="EO102" s="921"/>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7">
        <f>'E - Resource Limits'!G102</f>
        <v>0</v>
      </c>
      <c r="GM102" s="196">
        <f>'E - Resource Limits'!H102</f>
        <v>0</v>
      </c>
      <c r="GN102" s="2555">
        <f>'E - Resource Limits'!I102</f>
        <v>0</v>
      </c>
      <c r="GO102" s="1745"/>
      <c r="GP102" s="1745"/>
      <c r="GQ102" s="1745"/>
      <c r="GR102" s="1935"/>
      <c r="JD102" s="2073">
        <f>'I - Capital RLM'!A102</f>
        <v>72</v>
      </c>
      <c r="JE102" s="2126">
        <f>'I - Capital RLM'!B102</f>
        <v>0</v>
      </c>
      <c r="JF102" s="2010">
        <f>'I - Capital RLM'!C102</f>
        <v>0</v>
      </c>
      <c r="JG102" s="2010">
        <f>'I - Capital RLM'!D102</f>
        <v>0</v>
      </c>
      <c r="JH102" s="2118">
        <f>'I - Capital RLM'!E102</f>
        <v>0</v>
      </c>
      <c r="JI102" s="1943">
        <f>'I - Capital RLM'!F102</f>
        <v>0</v>
      </c>
      <c r="JJ102" s="2010">
        <f>'I - Capital RLM'!G102</f>
        <v>0</v>
      </c>
      <c r="JK102" s="2010">
        <f>'I - Capital RLM'!H102</f>
        <v>0</v>
      </c>
      <c r="JL102" s="2118">
        <f>'I - Capital RLM'!I102</f>
        <v>0</v>
      </c>
      <c r="JM102" s="2060"/>
      <c r="JN102" s="1890">
        <f>'I - Capital RLM'!K102</f>
        <v>0</v>
      </c>
      <c r="JO102" s="2060">
        <f>IF(AND(JK102&gt;0,JE102=""),1,0)</f>
        <v>0</v>
      </c>
      <c r="LL102" s="814"/>
      <c r="LM102" s="2197">
        <f>'M - Aged Debtors'!B102</f>
        <v>0</v>
      </c>
      <c r="LN102" s="2198">
        <f>'M - Aged Debtors'!C102</f>
        <v>0</v>
      </c>
      <c r="LO102" s="2199">
        <f>'M - Aged Debtors'!D102</f>
        <v>0</v>
      </c>
      <c r="LP102" s="2200">
        <f>'M - Aged Debtors'!E102</f>
        <v>0</v>
      </c>
      <c r="LQ102" s="2201">
        <f>'M - Aged Debtors'!F102</f>
        <v>0</v>
      </c>
      <c r="LR102" s="832" t="str">
        <f>'M - Aged Debtors'!G102</f>
        <v/>
      </c>
      <c r="LS102" s="829" t="str">
        <f>'M - Aged Debtors'!H102</f>
        <v/>
      </c>
      <c r="LT102" s="829" t="str">
        <f>'M - Aged Debtors'!I102</f>
        <v/>
      </c>
      <c r="LU102" s="830" t="str">
        <f>'M - Aged Debtors'!J102</f>
        <v/>
      </c>
      <c r="LV102" s="1830">
        <f>'M - Aged Debtors'!K102</f>
        <v>0</v>
      </c>
      <c r="LX102" s="480" t="str">
        <f>'N - GMS'!A102</f>
        <v>Smoking Cessation</v>
      </c>
      <c r="LY102" s="1675"/>
      <c r="LZ102" s="461">
        <f>'N - GMS'!C102</f>
        <v>77</v>
      </c>
      <c r="MA102" s="67">
        <f>'N - GMS'!D102</f>
        <v>0</v>
      </c>
      <c r="MB102" s="2231">
        <f>'N - GMS'!E102</f>
        <v>0</v>
      </c>
      <c r="MC102" s="2231">
        <f>'N - GMS'!F102</f>
        <v>0</v>
      </c>
      <c r="MD102" s="463">
        <f>'N - GMS'!G102</f>
        <v>0</v>
      </c>
      <c r="ME102" s="213"/>
      <c r="MF102" s="1028">
        <f>'N - GMS'!I102</f>
        <v>0</v>
      </c>
      <c r="MR102" s="684"/>
      <c r="MS102" s="2772">
        <f>'P - Ringfenced'!B102</f>
        <v>0</v>
      </c>
      <c r="MT102" s="2702">
        <f>'P - Ringfenced'!C102</f>
        <v>0</v>
      </c>
      <c r="MU102" s="1468"/>
      <c r="MV102" s="1468"/>
      <c r="MW102" s="1468"/>
      <c r="MX102" s="1468"/>
      <c r="MY102" s="1468"/>
      <c r="MZ102" s="1468"/>
      <c r="NA102" s="1468"/>
      <c r="NB102" s="1468"/>
      <c r="NC102" s="1468"/>
      <c r="ND102" s="1468"/>
      <c r="NE102" s="1468"/>
      <c r="NF102" s="1468"/>
      <c r="NG102" s="1468"/>
      <c r="NH102" s="1468"/>
      <c r="NI102" s="1468"/>
      <c r="NJ102" s="684"/>
      <c r="NK102" s="684"/>
    </row>
    <row r="103" spans="57:375" ht="20.149999999999999" customHeight="1" thickBot="1">
      <c r="BE103" s="298"/>
      <c r="BF103" s="85"/>
      <c r="BG103" s="1062"/>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1"/>
      <c r="BU103" s="1061"/>
      <c r="BV103" s="2594"/>
      <c r="BX103" s="88">
        <f>' Table Z Net Exp Profiles'!A103</f>
        <v>73</v>
      </c>
      <c r="BY103" s="1275" t="str">
        <f>' Table Z Net Exp Profiles'!B103</f>
        <v xml:space="preserve">Additional Primary Care Costs due to Covid-19 - Actual/Forecast </v>
      </c>
      <c r="BZ103" s="1214">
        <f>' Table Z Net Exp Profiles'!C103</f>
        <v>0</v>
      </c>
      <c r="CA103" s="1214">
        <f>' Table Z Net Exp Profiles'!D103</f>
        <v>0</v>
      </c>
      <c r="CB103" s="1214">
        <f>' Table Z Net Exp Profiles'!E103</f>
        <v>0</v>
      </c>
      <c r="CC103" s="1214">
        <f>' Table Z Net Exp Profiles'!F103</f>
        <v>0</v>
      </c>
      <c r="CD103" s="1214">
        <f>' Table Z Net Exp Profiles'!G103</f>
        <v>0</v>
      </c>
      <c r="CE103" s="1214">
        <f>' Table Z Net Exp Profiles'!H103</f>
        <v>0</v>
      </c>
      <c r="CF103" s="1214">
        <f>' Table Z Net Exp Profiles'!I103</f>
        <v>0</v>
      </c>
      <c r="CG103" s="1214">
        <f>' Table Z Net Exp Profiles'!J103</f>
        <v>0</v>
      </c>
      <c r="CH103" s="1214">
        <f>' Table Z Net Exp Profiles'!K103</f>
        <v>0</v>
      </c>
      <c r="CI103" s="1214">
        <f>' Table Z Net Exp Profiles'!L103</f>
        <v>0</v>
      </c>
      <c r="CJ103" s="1214">
        <f>' Table Z Net Exp Profiles'!M103</f>
        <v>0</v>
      </c>
      <c r="CK103" s="1214">
        <f>' Table Z Net Exp Profiles'!N103</f>
        <v>0</v>
      </c>
      <c r="CL103" s="1215">
        <f>' Table Z Net Exp Profiles'!O103</f>
        <v>0</v>
      </c>
      <c r="CM103" s="1215">
        <f>' Table Z Net Exp Profiles'!P103</f>
        <v>0</v>
      </c>
      <c r="DF103" s="2838">
        <f>'B3 - COVID-19'!A103</f>
        <v>72</v>
      </c>
      <c r="DG103" s="1906" t="str">
        <f>'B3 - COVID-19'!B103</f>
        <v xml:space="preserve">Estates &amp; Ancillary </v>
      </c>
      <c r="DH103" s="1903">
        <f>'B3 - COVID-19'!C103</f>
        <v>0</v>
      </c>
      <c r="DI103" s="1903">
        <f>'B3 - COVID-19'!D103</f>
        <v>0</v>
      </c>
      <c r="DJ103" s="1903">
        <f>'B3 - COVID-19'!E103</f>
        <v>0</v>
      </c>
      <c r="DK103" s="1903">
        <f>'B3 - COVID-19'!F103</f>
        <v>0</v>
      </c>
      <c r="DL103" s="1903">
        <f>'B3 - COVID-19'!G103</f>
        <v>0</v>
      </c>
      <c r="DM103" s="1903">
        <f>'B3 - COVID-19'!H103</f>
        <v>0</v>
      </c>
      <c r="DN103" s="1903">
        <f>'B3 - COVID-19'!I103</f>
        <v>0</v>
      </c>
      <c r="DO103" s="1903">
        <f>'B3 - COVID-19'!J103</f>
        <v>0</v>
      </c>
      <c r="DP103" s="1903">
        <f>'B3 - COVID-19'!K103</f>
        <v>0</v>
      </c>
      <c r="DQ103" s="1903">
        <f>'B3 - COVID-19'!L103</f>
        <v>0</v>
      </c>
      <c r="DR103" s="1903">
        <f>'B3 - COVID-19'!M103</f>
        <v>0</v>
      </c>
      <c r="DS103" s="1903">
        <f>'B3 - COVID-19'!N103</f>
        <v>0</v>
      </c>
      <c r="DT103" s="1863">
        <f>'B3 - COVID-19'!O103</f>
        <v>0</v>
      </c>
      <c r="DU103" s="1863">
        <f>'B3 - COVID-19'!P103</f>
        <v>0</v>
      </c>
      <c r="DV103" s="608"/>
      <c r="DW103" s="1116"/>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3"/>
      <c r="EO103" s="924"/>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7">
        <f>'E - Resource Limits'!G103</f>
        <v>0</v>
      </c>
      <c r="GM103" s="196">
        <f>'E - Resource Limits'!H103</f>
        <v>0</v>
      </c>
      <c r="GN103" s="2555">
        <f>'E - Resource Limits'!I103</f>
        <v>0</v>
      </c>
      <c r="GO103" s="1745"/>
      <c r="GP103" s="1745"/>
      <c r="GQ103" s="1745"/>
      <c r="GR103" s="1935"/>
      <c r="JD103" s="2088">
        <f>'I - Capital RLM'!A103</f>
        <v>73</v>
      </c>
      <c r="JE103" s="2126">
        <f>'I - Capital RLM'!B103</f>
        <v>0</v>
      </c>
      <c r="JF103" s="2010">
        <f>'I - Capital RLM'!C103</f>
        <v>0</v>
      </c>
      <c r="JG103" s="2010">
        <f>'I - Capital RLM'!D103</f>
        <v>0</v>
      </c>
      <c r="JH103" s="2118">
        <f>'I - Capital RLM'!E103</f>
        <v>0</v>
      </c>
      <c r="JI103" s="1943">
        <f>'I - Capital RLM'!F103</f>
        <v>0</v>
      </c>
      <c r="JJ103" s="2010">
        <f>'I - Capital RLM'!G103</f>
        <v>0</v>
      </c>
      <c r="JK103" s="2010">
        <f>'I - Capital RLM'!H103</f>
        <v>0</v>
      </c>
      <c r="JL103" s="2118">
        <f>'I - Capital RLM'!I103</f>
        <v>0</v>
      </c>
      <c r="JM103" s="2060"/>
      <c r="JN103" s="1890">
        <f>'I - Capital RLM'!K103</f>
        <v>0</v>
      </c>
      <c r="JO103" s="2060">
        <f>IF(AND(JK103&gt;0,JE103=""),1,0)</f>
        <v>0</v>
      </c>
      <c r="LL103" s="814"/>
      <c r="LM103" s="2197">
        <f>'M - Aged Debtors'!B103</f>
        <v>0</v>
      </c>
      <c r="LN103" s="2198">
        <f>'M - Aged Debtors'!C103</f>
        <v>0</v>
      </c>
      <c r="LO103" s="2199">
        <f>'M - Aged Debtors'!D103</f>
        <v>0</v>
      </c>
      <c r="LP103" s="2200">
        <f>'M - Aged Debtors'!E103</f>
        <v>0</v>
      </c>
      <c r="LQ103" s="2201">
        <f>'M - Aged Debtors'!F103</f>
        <v>0</v>
      </c>
      <c r="LR103" s="832" t="str">
        <f>'M - Aged Debtors'!G103</f>
        <v/>
      </c>
      <c r="LS103" s="829" t="str">
        <f>'M - Aged Debtors'!H103</f>
        <v/>
      </c>
      <c r="LT103" s="829" t="str">
        <f>'M - Aged Debtors'!I103</f>
        <v/>
      </c>
      <c r="LU103" s="830" t="str">
        <f>'M - Aged Debtors'!J103</f>
        <v/>
      </c>
      <c r="LV103" s="1830">
        <f>'M - Aged Debtors'!K103</f>
        <v>0</v>
      </c>
      <c r="LX103" s="3114" t="str">
        <f>'N - GMS'!A103</f>
        <v>Substance Misuse</v>
      </c>
      <c r="LY103" s="3131"/>
      <c r="LZ103" s="461">
        <f>'N - GMS'!C103</f>
        <v>78</v>
      </c>
      <c r="MA103" s="67">
        <f>'N - GMS'!D103</f>
        <v>0</v>
      </c>
      <c r="MB103" s="2231">
        <f>'N - GMS'!E103</f>
        <v>0</v>
      </c>
      <c r="MC103" s="2231">
        <f>'N - GMS'!F103</f>
        <v>0</v>
      </c>
      <c r="MD103" s="463">
        <f>'N - GMS'!G103</f>
        <v>0</v>
      </c>
      <c r="ME103" s="213"/>
      <c r="MF103" s="1028">
        <f>'N - GMS'!I103</f>
        <v>0</v>
      </c>
      <c r="MR103" s="684"/>
      <c r="MS103" s="2772">
        <f>'P - Ringfenced'!B103</f>
        <v>0</v>
      </c>
      <c r="MT103" s="2703">
        <f>'P - Ringfenced'!C103</f>
        <v>0</v>
      </c>
      <c r="MU103" s="1468"/>
      <c r="MV103" s="1468"/>
      <c r="MW103" s="1468"/>
      <c r="MX103" s="1468"/>
      <c r="MY103" s="1468"/>
      <c r="MZ103" s="1468"/>
      <c r="NA103" s="1468"/>
      <c r="NB103" s="1468"/>
      <c r="NC103" s="1468"/>
      <c r="ND103" s="1468"/>
      <c r="NE103" s="1468"/>
      <c r="NF103" s="1468"/>
      <c r="NG103" s="1468"/>
      <c r="NH103" s="1468"/>
      <c r="NI103" s="1468"/>
      <c r="NJ103" s="684"/>
      <c r="NK103" s="684"/>
    </row>
    <row r="104" spans="57:375" ht="20.149999999999999" customHeight="1" thickBot="1">
      <c r="BE104" s="144"/>
      <c r="BF104" s="1093" t="s">
        <v>487</v>
      </c>
      <c r="BG104" s="1075"/>
      <c r="BH104" s="1135"/>
      <c r="BI104" s="1136"/>
      <c r="BJ104" s="1136"/>
      <c r="BK104" s="1136"/>
      <c r="BL104" s="1136"/>
      <c r="BM104" s="1136"/>
      <c r="BN104" s="1136"/>
      <c r="BO104" s="1136"/>
      <c r="BP104" s="1136"/>
      <c r="BQ104" s="1136"/>
      <c r="BR104" s="1136"/>
      <c r="BS104" s="1137"/>
      <c r="BT104" s="1094"/>
      <c r="BU104" s="1094"/>
      <c r="BV104" s="2594"/>
      <c r="BX104" s="91">
        <f>' Table Z Net Exp Profiles'!A104</f>
        <v>74</v>
      </c>
      <c r="BY104" s="1279" t="str">
        <f>' Table Z Net Exp Profiles'!B104</f>
        <v>Committed Reserves - Primary Care - Forecast</v>
      </c>
      <c r="BZ104" s="1243">
        <f>' Table Z Net Exp Profiles'!C104</f>
        <v>0</v>
      </c>
      <c r="CA104" s="965">
        <f>' Table Z Net Exp Profiles'!D104</f>
        <v>0</v>
      </c>
      <c r="CB104" s="965">
        <f>' Table Z Net Exp Profiles'!E104</f>
        <v>0</v>
      </c>
      <c r="CC104" s="965">
        <f>' Table Z Net Exp Profiles'!F104</f>
        <v>0</v>
      </c>
      <c r="CD104" s="965">
        <f>' Table Z Net Exp Profiles'!G104</f>
        <v>0</v>
      </c>
      <c r="CE104" s="965">
        <f>' Table Z Net Exp Profiles'!H104</f>
        <v>0</v>
      </c>
      <c r="CF104" s="965">
        <f>' Table Z Net Exp Profiles'!I104</f>
        <v>0</v>
      </c>
      <c r="CG104" s="965">
        <f>' Table Z Net Exp Profiles'!J104</f>
        <v>0</v>
      </c>
      <c r="CH104" s="965">
        <f>' Table Z Net Exp Profiles'!K104</f>
        <v>0</v>
      </c>
      <c r="CI104" s="965">
        <f>' Table Z Net Exp Profiles'!L104</f>
        <v>0</v>
      </c>
      <c r="CJ104" s="965">
        <f>' Table Z Net Exp Profiles'!M104</f>
        <v>0</v>
      </c>
      <c r="CK104" s="1244">
        <f>' Table Z Net Exp Profiles'!N104</f>
        <v>0</v>
      </c>
      <c r="CL104" s="1215">
        <f>' Table Z Net Exp Profiles'!O104</f>
        <v>0</v>
      </c>
      <c r="CM104" s="1215">
        <f>' Table Z Net Exp Profiles'!P104</f>
        <v>0</v>
      </c>
      <c r="DF104" s="2838">
        <f>'B3 - COVID-19'!A104</f>
        <v>73</v>
      </c>
      <c r="DG104" s="1906" t="str">
        <f>'B3 - COVID-19'!B104</f>
        <v>Students</v>
      </c>
      <c r="DH104" s="1903">
        <f>'B3 - COVID-19'!C104</f>
        <v>0</v>
      </c>
      <c r="DI104" s="1903">
        <f>'B3 - COVID-19'!D104</f>
        <v>0</v>
      </c>
      <c r="DJ104" s="1903">
        <f>'B3 - COVID-19'!E104</f>
        <v>0</v>
      </c>
      <c r="DK104" s="1903">
        <f>'B3 - COVID-19'!F104</f>
        <v>0</v>
      </c>
      <c r="DL104" s="1903">
        <f>'B3 - COVID-19'!G104</f>
        <v>0</v>
      </c>
      <c r="DM104" s="1903">
        <f>'B3 - COVID-19'!H104</f>
        <v>0</v>
      </c>
      <c r="DN104" s="1903">
        <f>'B3 - COVID-19'!I104</f>
        <v>0</v>
      </c>
      <c r="DO104" s="1903">
        <f>'B3 - COVID-19'!J104</f>
        <v>0</v>
      </c>
      <c r="DP104" s="1903">
        <f>'B3 - COVID-19'!K104</f>
        <v>0</v>
      </c>
      <c r="DQ104" s="1903">
        <f>'B3 - COVID-19'!L104</f>
        <v>0</v>
      </c>
      <c r="DR104" s="1903">
        <f>'B3 - COVID-19'!M104</f>
        <v>0</v>
      </c>
      <c r="DS104" s="1903">
        <f>'B3 - COVID-19'!N104</f>
        <v>0</v>
      </c>
      <c r="DT104" s="1863">
        <f>'B3 - COVID-19'!O104</f>
        <v>0</v>
      </c>
      <c r="DU104" s="1863">
        <f>'B3 - COVID-19'!P104</f>
        <v>0</v>
      </c>
      <c r="DV104" s="608"/>
      <c r="DW104" s="1116"/>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7">
        <f>'E - Resource Limits'!G104</f>
        <v>0</v>
      </c>
      <c r="GM104" s="196">
        <f>'E - Resource Limits'!H104</f>
        <v>0</v>
      </c>
      <c r="GN104" s="2555">
        <f>'E - Resource Limits'!I104</f>
        <v>0</v>
      </c>
      <c r="GO104" s="1745"/>
      <c r="GP104" s="1745"/>
      <c r="GQ104" s="1745"/>
      <c r="GR104" s="1935"/>
      <c r="JD104" s="2088">
        <f>'I - Capital RLM'!A104</f>
        <v>74</v>
      </c>
      <c r="JE104" s="2126">
        <f>'I - Capital RLM'!B104</f>
        <v>0</v>
      </c>
      <c r="JF104" s="2010">
        <f>'I - Capital RLM'!C104</f>
        <v>0</v>
      </c>
      <c r="JG104" s="2010">
        <f>'I - Capital RLM'!D104</f>
        <v>0</v>
      </c>
      <c r="JH104" s="2118">
        <f>'I - Capital RLM'!E104</f>
        <v>0</v>
      </c>
      <c r="JI104" s="1943">
        <f>'I - Capital RLM'!F104</f>
        <v>0</v>
      </c>
      <c r="JJ104" s="2010">
        <f>'I - Capital RLM'!G104</f>
        <v>0</v>
      </c>
      <c r="JK104" s="2010">
        <f>'I - Capital RLM'!H104</f>
        <v>0</v>
      </c>
      <c r="JL104" s="2118">
        <f>'I - Capital RLM'!I104</f>
        <v>0</v>
      </c>
      <c r="JM104" s="2060"/>
      <c r="JN104" s="1890">
        <f>'I - Capital RLM'!K104</f>
        <v>0</v>
      </c>
      <c r="JO104" s="2060">
        <f>IF(AND(JK104&gt;0,JE104=""),1,0)</f>
        <v>0</v>
      </c>
      <c r="LL104" s="814"/>
      <c r="LM104" s="2197">
        <f>'M - Aged Debtors'!B104</f>
        <v>0</v>
      </c>
      <c r="LN104" s="2198">
        <f>'M - Aged Debtors'!C104</f>
        <v>0</v>
      </c>
      <c r="LO104" s="2199">
        <f>'M - Aged Debtors'!D104</f>
        <v>0</v>
      </c>
      <c r="LP104" s="2200">
        <f>'M - Aged Debtors'!E104</f>
        <v>0</v>
      </c>
      <c r="LQ104" s="2201">
        <f>'M - Aged Debtors'!F104</f>
        <v>0</v>
      </c>
      <c r="LR104" s="832" t="str">
        <f>'M - Aged Debtors'!G104</f>
        <v/>
      </c>
      <c r="LS104" s="829" t="str">
        <f>'M - Aged Debtors'!H104</f>
        <v/>
      </c>
      <c r="LT104" s="829" t="str">
        <f>'M - Aged Debtors'!I104</f>
        <v/>
      </c>
      <c r="LU104" s="830" t="str">
        <f>'M - Aged Debtors'!J104</f>
        <v/>
      </c>
      <c r="LV104" s="1830">
        <f>'M - Aged Debtors'!K104</f>
        <v>0</v>
      </c>
      <c r="LX104" s="3114" t="str">
        <f>'N - GMS'!A104</f>
        <v>Suturing</v>
      </c>
      <c r="LY104" s="3131"/>
      <c r="LZ104" s="461">
        <f>'N - GMS'!C104</f>
        <v>79</v>
      </c>
      <c r="MA104" s="67">
        <f>'N - GMS'!D104</f>
        <v>0</v>
      </c>
      <c r="MB104" s="2231">
        <f>'N - GMS'!E104</f>
        <v>0</v>
      </c>
      <c r="MC104" s="2231">
        <f>'N - GMS'!F104</f>
        <v>0</v>
      </c>
      <c r="MD104" s="463">
        <f>'N - GMS'!G104</f>
        <v>0</v>
      </c>
      <c r="ME104" s="213"/>
      <c r="MF104" s="1028">
        <f>'N - GMS'!I104</f>
        <v>0</v>
      </c>
      <c r="MR104" s="684"/>
      <c r="MS104" s="2772">
        <f>'P - Ringfenced'!B104</f>
        <v>0</v>
      </c>
      <c r="MT104" s="2703">
        <f>'P - Ringfenced'!C104</f>
        <v>0</v>
      </c>
      <c r="MU104" s="1468"/>
      <c r="MV104" s="1468"/>
      <c r="MW104" s="1468"/>
      <c r="MX104" s="1468"/>
      <c r="MY104" s="1468"/>
      <c r="MZ104" s="1468"/>
      <c r="NA104" s="1468"/>
      <c r="NB104" s="1468"/>
      <c r="NC104" s="1468"/>
      <c r="ND104" s="1468"/>
      <c r="NE104" s="1468"/>
      <c r="NF104" s="1468"/>
      <c r="NG104" s="1468"/>
      <c r="NH104" s="1468"/>
      <c r="NI104" s="1468"/>
      <c r="NJ104" s="684"/>
      <c r="NK104" s="684"/>
    </row>
    <row r="105" spans="57:375" ht="20.149999999999999" customHeight="1" thickBot="1">
      <c r="BE105" s="890">
        <f>'B - Monthly Positions'!A105</f>
        <v>53</v>
      </c>
      <c r="BF105" s="1849">
        <f>'B - Monthly Positions'!B105</f>
        <v>0</v>
      </c>
      <c r="BG105" s="1096" t="s">
        <v>288</v>
      </c>
      <c r="BH105" s="1810">
        <f>'B - Monthly Positions'!D105</f>
        <v>0</v>
      </c>
      <c r="BI105" s="1789">
        <f>'B - Monthly Positions'!E105</f>
        <v>0</v>
      </c>
      <c r="BJ105" s="1789">
        <f>'B - Monthly Positions'!F105</f>
        <v>0</v>
      </c>
      <c r="BK105" s="1789">
        <f>'B - Monthly Positions'!G105</f>
        <v>0</v>
      </c>
      <c r="BL105" s="1789">
        <f>'B - Monthly Positions'!H105</f>
        <v>0</v>
      </c>
      <c r="BM105" s="1789">
        <f>'B - Monthly Positions'!I105</f>
        <v>0</v>
      </c>
      <c r="BN105" s="1789">
        <f>'B - Monthly Positions'!J105</f>
        <v>0</v>
      </c>
      <c r="BO105" s="1789">
        <f>'B - Monthly Positions'!K105</f>
        <v>0</v>
      </c>
      <c r="BP105" s="1789">
        <f>'B - Monthly Positions'!L105</f>
        <v>0</v>
      </c>
      <c r="BQ105" s="1789">
        <f>'B - Monthly Positions'!M105</f>
        <v>0</v>
      </c>
      <c r="BR105" s="1789">
        <f>'B - Monthly Positions'!N105</f>
        <v>0</v>
      </c>
      <c r="BS105" s="1839">
        <f>'B - Monthly Positions'!O105</f>
        <v>0</v>
      </c>
      <c r="BT105" s="74">
        <f>'B - Monthly Positions'!P105</f>
        <v>0</v>
      </c>
      <c r="BU105" s="938">
        <f>'B - Monthly Positions'!Q105</f>
        <v>0</v>
      </c>
      <c r="BV105" s="2594"/>
      <c r="BX105" s="86">
        <f>' Table Z Net Exp Profiles'!A105</f>
        <v>75</v>
      </c>
      <c r="BY105" s="1272" t="str">
        <f>' Table Z Net Exp Profiles'!B105</f>
        <v>Total Gross Primary Care Contractor Expenditure - Actual/Forecast</v>
      </c>
      <c r="BZ105" s="1218">
        <f>' Table Z Net Exp Profiles'!C105</f>
        <v>0</v>
      </c>
      <c r="CA105" s="1218">
        <f>' Table Z Net Exp Profiles'!D105</f>
        <v>0</v>
      </c>
      <c r="CB105" s="1218">
        <f>' Table Z Net Exp Profiles'!E105</f>
        <v>0</v>
      </c>
      <c r="CC105" s="1218">
        <f>' Table Z Net Exp Profiles'!F105</f>
        <v>0</v>
      </c>
      <c r="CD105" s="1218">
        <f>' Table Z Net Exp Profiles'!G105</f>
        <v>0</v>
      </c>
      <c r="CE105" s="1218">
        <f>' Table Z Net Exp Profiles'!H105</f>
        <v>0</v>
      </c>
      <c r="CF105" s="1218">
        <f>' Table Z Net Exp Profiles'!I105</f>
        <v>0</v>
      </c>
      <c r="CG105" s="1218">
        <f>' Table Z Net Exp Profiles'!J105</f>
        <v>0</v>
      </c>
      <c r="CH105" s="1218">
        <f>' Table Z Net Exp Profiles'!K105</f>
        <v>0</v>
      </c>
      <c r="CI105" s="1218">
        <f>' Table Z Net Exp Profiles'!L105</f>
        <v>0</v>
      </c>
      <c r="CJ105" s="1218">
        <f>' Table Z Net Exp Profiles'!M105</f>
        <v>0</v>
      </c>
      <c r="CK105" s="1299">
        <f>' Table Z Net Exp Profiles'!N105</f>
        <v>0</v>
      </c>
      <c r="CL105" s="1101">
        <f>' Table Z Net Exp Profiles'!O105</f>
        <v>0</v>
      </c>
      <c r="CM105" s="1101">
        <f>' Table Z Net Exp Profiles'!P105</f>
        <v>0</v>
      </c>
      <c r="DF105" s="2838">
        <f>'B3 - COVID-19'!A105</f>
        <v>74</v>
      </c>
      <c r="DG105" s="1906" t="str">
        <f>'B3 - COVID-19'!B105</f>
        <v>Other (only use with WG Agreement &amp; state SoCNE/I line ref)</v>
      </c>
      <c r="DH105" s="1903">
        <f>'B3 - COVID-19'!C105</f>
        <v>0</v>
      </c>
      <c r="DI105" s="1903">
        <f>'B3 - COVID-19'!D105</f>
        <v>0</v>
      </c>
      <c r="DJ105" s="1903">
        <f>'B3 - COVID-19'!E105</f>
        <v>0</v>
      </c>
      <c r="DK105" s="1903">
        <f>'B3 - COVID-19'!F105</f>
        <v>0</v>
      </c>
      <c r="DL105" s="1903">
        <f>'B3 - COVID-19'!G105</f>
        <v>0</v>
      </c>
      <c r="DM105" s="1903">
        <f>'B3 - COVID-19'!H105</f>
        <v>0</v>
      </c>
      <c r="DN105" s="1903">
        <f>'B3 - COVID-19'!I105</f>
        <v>0</v>
      </c>
      <c r="DO105" s="1903">
        <f>'B3 - COVID-19'!J105</f>
        <v>0</v>
      </c>
      <c r="DP105" s="1903">
        <f>'B3 - COVID-19'!K105</f>
        <v>0</v>
      </c>
      <c r="DQ105" s="1903">
        <f>'B3 - COVID-19'!L105</f>
        <v>0</v>
      </c>
      <c r="DR105" s="1903">
        <f>'B3 - COVID-19'!M105</f>
        <v>0</v>
      </c>
      <c r="DS105" s="1903">
        <f>'B3 - COVID-19'!N105</f>
        <v>0</v>
      </c>
      <c r="DT105" s="1863">
        <f>'B3 - COVID-19'!O105</f>
        <v>0</v>
      </c>
      <c r="DU105" s="1863">
        <f>'B3 - COVID-19'!P105</f>
        <v>0</v>
      </c>
      <c r="DV105" s="608"/>
      <c r="DW105" s="1116"/>
      <c r="DY105" s="128"/>
      <c r="DZ105" s="3043"/>
      <c r="EA105" s="3044"/>
      <c r="EB105" s="2329" t="str">
        <f>'C, C1, C2&amp; C3 - Savings Schemes'!D105</f>
        <v>Apr</v>
      </c>
      <c r="EC105" s="2330" t="str">
        <f>'C, C1, C2&amp; C3 - Savings Schemes'!E105</f>
        <v>May</v>
      </c>
      <c r="ED105" s="2330" t="str">
        <f>'C, C1, C2&amp; C3 - Savings Schemes'!F105</f>
        <v>Jun</v>
      </c>
      <c r="EE105" s="2329" t="str">
        <f>'C, C1, C2&amp; C3 - Savings Schemes'!G105</f>
        <v>Jul</v>
      </c>
      <c r="EF105" s="2330" t="str">
        <f>'C, C1, C2&amp; C3 - Savings Schemes'!H105</f>
        <v>Aug</v>
      </c>
      <c r="EG105" s="2330" t="str">
        <f>'C, C1, C2&amp; C3 - Savings Schemes'!I105</f>
        <v>Sep</v>
      </c>
      <c r="EH105" s="2329" t="str">
        <f>'C, C1, C2&amp; C3 - Savings Schemes'!J105</f>
        <v>Oct</v>
      </c>
      <c r="EI105" s="2330" t="str">
        <f>'C, C1, C2&amp; C3 - Savings Schemes'!K105</f>
        <v>Nov</v>
      </c>
      <c r="EJ105" s="2330" t="str">
        <f>'C, C1, C2&amp; C3 - Savings Schemes'!L105</f>
        <v>Dec</v>
      </c>
      <c r="EK105" s="2329" t="str">
        <f>'C, C1, C2&amp; C3 - Savings Schemes'!M105</f>
        <v>Jan</v>
      </c>
      <c r="EL105" s="2330" t="str">
        <f>'C, C1, C2&amp; C3 - Savings Schemes'!N105</f>
        <v>Feb</v>
      </c>
      <c r="EM105" s="926"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7">
        <f>'E - Resource Limits'!G105</f>
        <v>0</v>
      </c>
      <c r="GM105" s="196">
        <f>'E - Resource Limits'!H105</f>
        <v>0</v>
      </c>
      <c r="GN105" s="2555">
        <f>'E - Resource Limits'!I105</f>
        <v>0</v>
      </c>
      <c r="GO105" s="1745"/>
      <c r="GP105" s="1745"/>
      <c r="GQ105" s="1745"/>
      <c r="GR105" s="1935"/>
      <c r="JD105" s="2073">
        <f>'I - Capital RLM'!A105</f>
        <v>75</v>
      </c>
      <c r="JE105" s="2334">
        <f>'I - Capital RLM'!B105</f>
        <v>0</v>
      </c>
      <c r="JF105" s="2438">
        <f>'I - Capital RLM'!C105</f>
        <v>0</v>
      </c>
      <c r="JG105" s="2438">
        <f>'I - Capital RLM'!D105</f>
        <v>0</v>
      </c>
      <c r="JH105" s="2411">
        <f>'I - Capital RLM'!E105</f>
        <v>0</v>
      </c>
      <c r="JI105" s="1943">
        <f>'I - Capital RLM'!F105</f>
        <v>0</v>
      </c>
      <c r="JJ105" s="2438">
        <f>'I - Capital RLM'!G105</f>
        <v>0</v>
      </c>
      <c r="JK105" s="2438">
        <f>'I - Capital RLM'!H105</f>
        <v>0</v>
      </c>
      <c r="JL105" s="2411">
        <f>'I - Capital RLM'!I105</f>
        <v>0</v>
      </c>
      <c r="JM105" s="2060"/>
      <c r="JN105" s="1891">
        <f>'I - Capital RLM'!K105</f>
        <v>0</v>
      </c>
      <c r="JO105" s="2060">
        <f>IF(AND(JK105&gt;0,JE105=""),1,0)</f>
        <v>0</v>
      </c>
      <c r="LL105" s="814"/>
      <c r="LM105" s="2197">
        <f>'M - Aged Debtors'!B105</f>
        <v>0</v>
      </c>
      <c r="LN105" s="2198">
        <f>'M - Aged Debtors'!C105</f>
        <v>0</v>
      </c>
      <c r="LO105" s="2199">
        <f>'M - Aged Debtors'!D105</f>
        <v>0</v>
      </c>
      <c r="LP105" s="2200">
        <f>'M - Aged Debtors'!E105</f>
        <v>0</v>
      </c>
      <c r="LQ105" s="2201">
        <f>'M - Aged Debtors'!F105</f>
        <v>0</v>
      </c>
      <c r="LR105" s="832" t="str">
        <f>'M - Aged Debtors'!G105</f>
        <v/>
      </c>
      <c r="LS105" s="829" t="str">
        <f>'M - Aged Debtors'!H105</f>
        <v/>
      </c>
      <c r="LT105" s="829" t="str">
        <f>'M - Aged Debtors'!I105</f>
        <v/>
      </c>
      <c r="LU105" s="830" t="str">
        <f>'M - Aged Debtors'!J105</f>
        <v/>
      </c>
      <c r="LV105" s="1830">
        <f>'M - Aged Debtors'!K105</f>
        <v>0</v>
      </c>
      <c r="LX105" s="3114" t="str">
        <f>'N - GMS'!A105</f>
        <v>Swine Flu</v>
      </c>
      <c r="LY105" s="3132"/>
      <c r="LZ105" s="461">
        <f>'N - GMS'!C105</f>
        <v>80</v>
      </c>
      <c r="MA105" s="67">
        <f>'N - GMS'!D105</f>
        <v>0</v>
      </c>
      <c r="MB105" s="2231">
        <f>'N - GMS'!E105</f>
        <v>0</v>
      </c>
      <c r="MC105" s="2231">
        <f>'N - GMS'!F105</f>
        <v>0</v>
      </c>
      <c r="MD105" s="463">
        <f>'N - GMS'!G105</f>
        <v>0</v>
      </c>
      <c r="ME105" s="213"/>
      <c r="MF105" s="1028">
        <f>'N - GMS'!I105</f>
        <v>0</v>
      </c>
      <c r="MR105" s="684"/>
      <c r="MS105" s="2773">
        <f>'P - Ringfenced'!B105</f>
        <v>0</v>
      </c>
      <c r="MT105" s="2703">
        <f>'P - Ringfenced'!C105</f>
        <v>0</v>
      </c>
      <c r="MU105" s="1468"/>
      <c r="MV105" s="1468"/>
      <c r="MW105" s="1468"/>
      <c r="MX105" s="1468"/>
      <c r="MY105" s="1468"/>
      <c r="MZ105" s="1468"/>
      <c r="NA105" s="1468"/>
      <c r="NB105" s="1468"/>
      <c r="NC105" s="1468"/>
      <c r="ND105" s="1468"/>
      <c r="NE105" s="1468"/>
      <c r="NF105" s="1468"/>
      <c r="NG105" s="1468"/>
      <c r="NH105" s="1468"/>
      <c r="NI105" s="1468"/>
      <c r="NJ105" s="684"/>
      <c r="NK105" s="684"/>
    </row>
    <row r="106" spans="57:375" ht="20.149999999999999" customHeight="1" thickBot="1">
      <c r="BE106" s="890">
        <f>'B - Monthly Positions'!A106</f>
        <v>54</v>
      </c>
      <c r="BF106" s="1850">
        <f>'B - Monthly Positions'!B106</f>
        <v>0</v>
      </c>
      <c r="BG106" s="93" t="s">
        <v>288</v>
      </c>
      <c r="BH106" s="1782">
        <f>'B - Monthly Positions'!D106</f>
        <v>0</v>
      </c>
      <c r="BI106" s="1783">
        <f>'B - Monthly Positions'!E106</f>
        <v>0</v>
      </c>
      <c r="BJ106" s="1783">
        <f>'B - Monthly Positions'!F106</f>
        <v>0</v>
      </c>
      <c r="BK106" s="1783">
        <f>'B - Monthly Positions'!G106</f>
        <v>0</v>
      </c>
      <c r="BL106" s="1783">
        <f>'B - Monthly Positions'!H106</f>
        <v>0</v>
      </c>
      <c r="BM106" s="1783">
        <f>'B - Monthly Positions'!I106</f>
        <v>0</v>
      </c>
      <c r="BN106" s="1783">
        <f>'B - Monthly Positions'!J106</f>
        <v>0</v>
      </c>
      <c r="BO106" s="1783">
        <f>'B - Monthly Positions'!K106</f>
        <v>0</v>
      </c>
      <c r="BP106" s="1783">
        <f>'B - Monthly Positions'!L106</f>
        <v>0</v>
      </c>
      <c r="BQ106" s="1783">
        <f>'B - Monthly Positions'!M106</f>
        <v>0</v>
      </c>
      <c r="BR106" s="1783">
        <f>'B - Monthly Positions'!N106</f>
        <v>0</v>
      </c>
      <c r="BS106" s="1786">
        <f>'B - Monthly Positions'!O106</f>
        <v>0</v>
      </c>
      <c r="BT106" s="74">
        <f>'B - Monthly Positions'!P106</f>
        <v>0</v>
      </c>
      <c r="BU106" s="1067">
        <f>'B - Monthly Positions'!Q106</f>
        <v>0</v>
      </c>
      <c r="BV106" s="2594"/>
      <c r="BX106" s="94">
        <f>' Table Z Net Exp Profiles'!A106</f>
        <v>76</v>
      </c>
      <c r="BY106" s="1272" t="str">
        <f>' Table Z Net Exp Profiles'!B106</f>
        <v>Gross Primary Care Expenditure Movement</v>
      </c>
      <c r="BZ106" s="1245">
        <f>' Table Z Net Exp Profiles'!C106</f>
        <v>0</v>
      </c>
      <c r="CA106" s="1245">
        <f>' Table Z Net Exp Profiles'!D106</f>
        <v>0</v>
      </c>
      <c r="CB106" s="1245">
        <f>' Table Z Net Exp Profiles'!E106</f>
        <v>0</v>
      </c>
      <c r="CC106" s="1245">
        <f>' Table Z Net Exp Profiles'!F106</f>
        <v>0</v>
      </c>
      <c r="CD106" s="1245">
        <f>' Table Z Net Exp Profiles'!G106</f>
        <v>0</v>
      </c>
      <c r="CE106" s="1245">
        <f>' Table Z Net Exp Profiles'!H106</f>
        <v>0</v>
      </c>
      <c r="CF106" s="1245">
        <f>' Table Z Net Exp Profiles'!I106</f>
        <v>0</v>
      </c>
      <c r="CG106" s="1245">
        <f>' Table Z Net Exp Profiles'!J106</f>
        <v>0</v>
      </c>
      <c r="CH106" s="1245">
        <f>' Table Z Net Exp Profiles'!K106</f>
        <v>0</v>
      </c>
      <c r="CI106" s="1245">
        <f>' Table Z Net Exp Profiles'!L106</f>
        <v>0</v>
      </c>
      <c r="CJ106" s="1245">
        <f>' Table Z Net Exp Profiles'!M106</f>
        <v>0</v>
      </c>
      <c r="CK106" s="1365">
        <f>' Table Z Net Exp Profiles'!N106</f>
        <v>0</v>
      </c>
      <c r="CL106" s="1363">
        <f>' Table Z Net Exp Profiles'!O106</f>
        <v>0</v>
      </c>
      <c r="CM106" s="1101">
        <f>' Table Z Net Exp Profiles'!P106</f>
        <v>0</v>
      </c>
      <c r="DF106" s="2838">
        <f>'B3 - COVID-19'!A106</f>
        <v>75</v>
      </c>
      <c r="DG106" s="1906">
        <f>'B3 - COVID-19'!B106</f>
        <v>0</v>
      </c>
      <c r="DH106" s="1903">
        <f>'B3 - COVID-19'!C106</f>
        <v>0</v>
      </c>
      <c r="DI106" s="1903">
        <f>'B3 - COVID-19'!D106</f>
        <v>0</v>
      </c>
      <c r="DJ106" s="1903">
        <f>'B3 - COVID-19'!E106</f>
        <v>0</v>
      </c>
      <c r="DK106" s="1903">
        <f>'B3 - COVID-19'!F106</f>
        <v>0</v>
      </c>
      <c r="DL106" s="1903">
        <f>'B3 - COVID-19'!G106</f>
        <v>0</v>
      </c>
      <c r="DM106" s="1903">
        <f>'B3 - COVID-19'!H106</f>
        <v>0</v>
      </c>
      <c r="DN106" s="1903">
        <f>'B3 - COVID-19'!I106</f>
        <v>0</v>
      </c>
      <c r="DO106" s="1903">
        <f>'B3 - COVID-19'!J106</f>
        <v>0</v>
      </c>
      <c r="DP106" s="1903">
        <f>'B3 - COVID-19'!K106</f>
        <v>0</v>
      </c>
      <c r="DQ106" s="1903">
        <f>'B3 - COVID-19'!L106</f>
        <v>0</v>
      </c>
      <c r="DR106" s="1903">
        <f>'B3 - COVID-19'!M106</f>
        <v>0</v>
      </c>
      <c r="DS106" s="1903">
        <f>'B3 - COVID-19'!N106</f>
        <v>0</v>
      </c>
      <c r="DT106" s="1863">
        <f>'B3 - COVID-19'!O106</f>
        <v>0</v>
      </c>
      <c r="DU106" s="1863">
        <f>'B3 - COVID-19'!P106</f>
        <v>0</v>
      </c>
      <c r="DV106" s="608"/>
      <c r="DW106" s="1116"/>
      <c r="DY106" s="128"/>
      <c r="DZ106" s="927"/>
      <c r="EA106" s="129"/>
      <c r="EB106" s="928" t="str">
        <f>'C, C1, C2&amp; C3 - Savings Schemes'!D106</f>
        <v>£'000</v>
      </c>
      <c r="EC106" s="928" t="str">
        <f>'C, C1, C2&amp; C3 - Savings Schemes'!E106</f>
        <v>£'000</v>
      </c>
      <c r="ED106" s="928" t="str">
        <f>'C, C1, C2&amp; C3 - Savings Schemes'!F106</f>
        <v>£'000</v>
      </c>
      <c r="EE106" s="928" t="str">
        <f>'C, C1, C2&amp; C3 - Savings Schemes'!G106</f>
        <v>£'000</v>
      </c>
      <c r="EF106" s="928" t="str">
        <f>'C, C1, C2&amp; C3 - Savings Schemes'!H106</f>
        <v>£'000</v>
      </c>
      <c r="EG106" s="928" t="str">
        <f>'C, C1, C2&amp; C3 - Savings Schemes'!I106</f>
        <v>£'000</v>
      </c>
      <c r="EH106" s="928" t="str">
        <f>'C, C1, C2&amp; C3 - Savings Schemes'!J106</f>
        <v>£'000</v>
      </c>
      <c r="EI106" s="928" t="str">
        <f>'C, C1, C2&amp; C3 - Savings Schemes'!K106</f>
        <v>£'000</v>
      </c>
      <c r="EJ106" s="928" t="str">
        <f>'C, C1, C2&amp; C3 - Savings Schemes'!L106</f>
        <v>£'000</v>
      </c>
      <c r="EK106" s="928" t="str">
        <f>'C, C1, C2&amp; C3 - Savings Schemes'!M106</f>
        <v>£'000</v>
      </c>
      <c r="EL106" s="928"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7">
        <f>'E - Resource Limits'!G106</f>
        <v>0</v>
      </c>
      <c r="GM106" s="196">
        <f>'E - Resource Limits'!H106</f>
        <v>0</v>
      </c>
      <c r="GN106" s="2555">
        <f>'E - Resource Limits'!I106</f>
        <v>0</v>
      </c>
      <c r="GO106" s="1745"/>
      <c r="GP106" s="1745"/>
      <c r="GQ106" s="1745"/>
      <c r="GR106" s="1935"/>
      <c r="JD106" s="2301">
        <f>'I - Capital RLM'!A106</f>
        <v>76</v>
      </c>
      <c r="JE106" s="2361" t="str">
        <f>'I - Capital RLM'!B106</f>
        <v>Sub Total</v>
      </c>
      <c r="JF106" s="2037">
        <f>'I - Capital RLM'!C106</f>
        <v>0</v>
      </c>
      <c r="JG106" s="2037">
        <f>'I - Capital RLM'!D106</f>
        <v>0</v>
      </c>
      <c r="JH106" s="2037">
        <f>'I - Capital RLM'!E106</f>
        <v>0</v>
      </c>
      <c r="JI106" s="1943">
        <f>'I - Capital RLM'!F106</f>
        <v>0</v>
      </c>
      <c r="JJ106" s="2037">
        <f>'I - Capital RLM'!G106</f>
        <v>0</v>
      </c>
      <c r="JK106" s="2037">
        <f>'I - Capital RLM'!H106</f>
        <v>0</v>
      </c>
      <c r="JL106" s="2037">
        <f>'I - Capital RLM'!I106</f>
        <v>0</v>
      </c>
      <c r="JM106" s="2060"/>
      <c r="JN106" s="759"/>
      <c r="JO106" s="2060">
        <f>SUM(JO101:JO105)</f>
        <v>0</v>
      </c>
      <c r="LL106" s="814"/>
      <c r="LM106" s="2197">
        <f>'M - Aged Debtors'!B106</f>
        <v>0</v>
      </c>
      <c r="LN106" s="2198">
        <f>'M - Aged Debtors'!C106</f>
        <v>0</v>
      </c>
      <c r="LO106" s="2199">
        <f>'M - Aged Debtors'!D106</f>
        <v>0</v>
      </c>
      <c r="LP106" s="2200">
        <f>'M - Aged Debtors'!E106</f>
        <v>0</v>
      </c>
      <c r="LQ106" s="2201">
        <f>'M - Aged Debtors'!F106</f>
        <v>0</v>
      </c>
      <c r="LR106" s="832" t="str">
        <f>'M - Aged Debtors'!G106</f>
        <v/>
      </c>
      <c r="LS106" s="829" t="str">
        <f>'M - Aged Debtors'!H106</f>
        <v/>
      </c>
      <c r="LT106" s="829" t="str">
        <f>'M - Aged Debtors'!I106</f>
        <v/>
      </c>
      <c r="LU106" s="830" t="str">
        <f>'M - Aged Debtors'!J106</f>
        <v/>
      </c>
      <c r="LV106" s="1830">
        <f>'M - Aged Debtors'!K106</f>
        <v>0</v>
      </c>
      <c r="LX106" s="3114" t="str">
        <f>'N - GMS'!A106</f>
        <v>Transport/Ambulance costs</v>
      </c>
      <c r="LY106" s="3132"/>
      <c r="LZ106" s="461">
        <f>'N - GMS'!C106</f>
        <v>81</v>
      </c>
      <c r="MA106" s="67">
        <f>'N - GMS'!D106</f>
        <v>0</v>
      </c>
      <c r="MB106" s="2231">
        <f>'N - GMS'!E106</f>
        <v>0</v>
      </c>
      <c r="MC106" s="2231">
        <f>'N - GMS'!F106</f>
        <v>0</v>
      </c>
      <c r="MD106" s="463">
        <f>'N - GMS'!G106</f>
        <v>0</v>
      </c>
      <c r="ME106" s="213"/>
      <c r="MF106" s="1028">
        <f>'N - GMS'!I106</f>
        <v>0</v>
      </c>
      <c r="MR106" s="684"/>
      <c r="MS106" s="2774">
        <f>'P - Ringfenced'!B106</f>
        <v>0</v>
      </c>
      <c r="MT106" s="2703">
        <f>'P - Ringfenced'!C106</f>
        <v>0</v>
      </c>
      <c r="MU106" s="1468"/>
      <c r="MV106" s="1468"/>
      <c r="MW106" s="1468"/>
      <c r="MX106" s="1468"/>
      <c r="MY106" s="1468"/>
      <c r="MZ106" s="1468"/>
      <c r="NA106" s="1468"/>
      <c r="NB106" s="1468"/>
      <c r="NC106" s="1468"/>
      <c r="ND106" s="1468"/>
      <c r="NE106" s="1468"/>
      <c r="NF106" s="1468"/>
      <c r="NG106" s="1468"/>
      <c r="NH106" s="1468"/>
      <c r="NI106" s="1468"/>
      <c r="NJ106" s="684"/>
      <c r="NK106" s="684"/>
    </row>
    <row r="107" spans="57:375" ht="20.149999999999999" customHeight="1" thickBot="1">
      <c r="BE107" s="890">
        <f>'B - Monthly Positions'!A107</f>
        <v>55</v>
      </c>
      <c r="BF107" s="1850">
        <f>'B - Monthly Positions'!B107</f>
        <v>0</v>
      </c>
      <c r="BG107" s="93" t="s">
        <v>288</v>
      </c>
      <c r="BH107" s="1782">
        <f>'B - Monthly Positions'!D107</f>
        <v>0</v>
      </c>
      <c r="BI107" s="1783">
        <f>'B - Monthly Positions'!E107</f>
        <v>0</v>
      </c>
      <c r="BJ107" s="1783">
        <f>'B - Monthly Positions'!F107</f>
        <v>0</v>
      </c>
      <c r="BK107" s="1783">
        <f>'B - Monthly Positions'!G107</f>
        <v>0</v>
      </c>
      <c r="BL107" s="1783">
        <f>'B - Monthly Positions'!H107</f>
        <v>0</v>
      </c>
      <c r="BM107" s="1783">
        <f>'B - Monthly Positions'!I107</f>
        <v>0</v>
      </c>
      <c r="BN107" s="1783">
        <f>'B - Monthly Positions'!J107</f>
        <v>0</v>
      </c>
      <c r="BO107" s="1783">
        <f>'B - Monthly Positions'!K107</f>
        <v>0</v>
      </c>
      <c r="BP107" s="1783">
        <f>'B - Monthly Positions'!L107</f>
        <v>0</v>
      </c>
      <c r="BQ107" s="1783">
        <f>'B - Monthly Positions'!M107</f>
        <v>0</v>
      </c>
      <c r="BR107" s="1783">
        <f>'B - Monthly Positions'!N107</f>
        <v>0</v>
      </c>
      <c r="BS107" s="1786">
        <f>'B - Monthly Positions'!O107</f>
        <v>0</v>
      </c>
      <c r="BT107" s="74">
        <f>'B - Monthly Positions'!P107</f>
        <v>0</v>
      </c>
      <c r="BU107" s="1067">
        <f>'B - Monthly Positions'!Q107</f>
        <v>0</v>
      </c>
      <c r="BV107" s="2594"/>
      <c r="BX107" s="890">
        <f>' Table Z Net Exp Profiles'!A107</f>
        <v>77</v>
      </c>
      <c r="BY107" s="1273" t="str">
        <f>' Table Z Net Exp Profiles'!B107</f>
        <v>Total Primary Care Savings - Current Plan</v>
      </c>
      <c r="BZ107" s="1293">
        <f>' Table Z Net Exp Profiles'!C107</f>
        <v>0</v>
      </c>
      <c r="CA107" s="1294">
        <f>' Table Z Net Exp Profiles'!D107</f>
        <v>0</v>
      </c>
      <c r="CB107" s="1294">
        <f>' Table Z Net Exp Profiles'!E107</f>
        <v>0</v>
      </c>
      <c r="CC107" s="1294">
        <f>' Table Z Net Exp Profiles'!F107</f>
        <v>0</v>
      </c>
      <c r="CD107" s="1294">
        <f>' Table Z Net Exp Profiles'!G107</f>
        <v>0</v>
      </c>
      <c r="CE107" s="1294">
        <f>' Table Z Net Exp Profiles'!H107</f>
        <v>0</v>
      </c>
      <c r="CF107" s="1294">
        <f>' Table Z Net Exp Profiles'!I107</f>
        <v>0</v>
      </c>
      <c r="CG107" s="1294">
        <f>' Table Z Net Exp Profiles'!J107</f>
        <v>0</v>
      </c>
      <c r="CH107" s="1294">
        <f>' Table Z Net Exp Profiles'!K107</f>
        <v>0</v>
      </c>
      <c r="CI107" s="1294">
        <f>' Table Z Net Exp Profiles'!L107</f>
        <v>0</v>
      </c>
      <c r="CJ107" s="1294">
        <f>' Table Z Net Exp Profiles'!M107</f>
        <v>0</v>
      </c>
      <c r="CK107" s="1295">
        <f>' Table Z Net Exp Profiles'!N107</f>
        <v>0</v>
      </c>
      <c r="CL107" s="1232">
        <f>' Table Z Net Exp Profiles'!O107</f>
        <v>0</v>
      </c>
      <c r="CM107" s="1101">
        <f>' Table Z Net Exp Profiles'!P107</f>
        <v>0</v>
      </c>
      <c r="DF107" s="2838">
        <f>'B3 - COVID-19'!A107</f>
        <v>76</v>
      </c>
      <c r="DG107" s="1906">
        <f>'B3 - COVID-19'!B107</f>
        <v>0</v>
      </c>
      <c r="DH107" s="1903">
        <f>'B3 - COVID-19'!C107</f>
        <v>0</v>
      </c>
      <c r="DI107" s="1903">
        <f>'B3 - COVID-19'!D107</f>
        <v>0</v>
      </c>
      <c r="DJ107" s="1903">
        <f>'B3 - COVID-19'!E107</f>
        <v>0</v>
      </c>
      <c r="DK107" s="1903">
        <f>'B3 - COVID-19'!F107</f>
        <v>0</v>
      </c>
      <c r="DL107" s="1903">
        <f>'B3 - COVID-19'!G107</f>
        <v>0</v>
      </c>
      <c r="DM107" s="1903">
        <f>'B3 - COVID-19'!H107</f>
        <v>0</v>
      </c>
      <c r="DN107" s="1903">
        <f>'B3 - COVID-19'!I107</f>
        <v>0</v>
      </c>
      <c r="DO107" s="1903">
        <f>'B3 - COVID-19'!J107</f>
        <v>0</v>
      </c>
      <c r="DP107" s="1903">
        <f>'B3 - COVID-19'!K107</f>
        <v>0</v>
      </c>
      <c r="DQ107" s="1903">
        <f>'B3 - COVID-19'!L107</f>
        <v>0</v>
      </c>
      <c r="DR107" s="1903">
        <f>'B3 - COVID-19'!M107</f>
        <v>0</v>
      </c>
      <c r="DS107" s="1903">
        <f>'B3 - COVID-19'!N107</f>
        <v>0</v>
      </c>
      <c r="DT107" s="1863">
        <f>'B3 - COVID-19'!O107</f>
        <v>0</v>
      </c>
      <c r="DU107" s="1863">
        <f>'B3 - COVID-19'!P107</f>
        <v>0</v>
      </c>
      <c r="DV107" s="608"/>
      <c r="DW107" s="1116"/>
      <c r="DY107" s="2111">
        <f>'C, C1, C2&amp; C3 - Savings Schemes'!A107</f>
        <v>1</v>
      </c>
      <c r="DZ107" s="3038" t="str">
        <f>'C, C1, C2&amp; C3 - Savings Schemes'!B107</f>
        <v>Pay</v>
      </c>
      <c r="EA107" s="87" t="str">
        <f>'C, C1, C2&amp; C3 - Savings Schemes'!C107</f>
        <v>Budget/Plan</v>
      </c>
      <c r="EB107" s="2643">
        <f>'C, C1, C2&amp; C3 - Savings Schemes'!D107</f>
        <v>789.91666666666663</v>
      </c>
      <c r="EC107" s="2643">
        <f>'C, C1, C2&amp; C3 - Savings Schemes'!E107</f>
        <v>56.916666666666664</v>
      </c>
      <c r="ED107" s="2643">
        <f>'C, C1, C2&amp; C3 - Savings Schemes'!F107</f>
        <v>56.916666666666664</v>
      </c>
      <c r="EE107" s="2643">
        <f>'C, C1, C2&amp; C3 - Savings Schemes'!G107</f>
        <v>56.916666666666664</v>
      </c>
      <c r="EF107" s="2643">
        <f>'C, C1, C2&amp; C3 - Savings Schemes'!H107</f>
        <v>56.916666666666664</v>
      </c>
      <c r="EG107" s="2643">
        <f>'C, C1, C2&amp; C3 - Savings Schemes'!I107</f>
        <v>56.916666666666664</v>
      </c>
      <c r="EH107" s="2643">
        <f>'C, C1, C2&amp; C3 - Savings Schemes'!J107</f>
        <v>56.916666666666664</v>
      </c>
      <c r="EI107" s="2643">
        <f>'C, C1, C2&amp; C3 - Savings Schemes'!K107</f>
        <v>56.916666666666664</v>
      </c>
      <c r="EJ107" s="2643">
        <f>'C, C1, C2&amp; C3 - Savings Schemes'!L107</f>
        <v>56.916666666666664</v>
      </c>
      <c r="EK107" s="2643">
        <f>'C, C1, C2&amp; C3 - Savings Schemes'!M107</f>
        <v>56.916666666666664</v>
      </c>
      <c r="EL107" s="2643">
        <f>'C, C1, C2&amp; C3 - Savings Schemes'!N107</f>
        <v>56.916666666666664</v>
      </c>
      <c r="EM107" s="2643">
        <f>'C, C1, C2&amp; C3 - Savings Schemes'!O107</f>
        <v>56.916666666666664</v>
      </c>
      <c r="EN107" s="2644">
        <f>'C, C1, C2&amp; C3 - Savings Schemes'!P107</f>
        <v>789.91666666666663</v>
      </c>
      <c r="EO107" s="2644">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7">
        <f>'E - Resource Limits'!G107</f>
        <v>0</v>
      </c>
      <c r="GM107" s="196">
        <f>'E - Resource Limits'!H107</f>
        <v>0</v>
      </c>
      <c r="GN107" s="2555">
        <f>'E - Resource Limits'!I107</f>
        <v>0</v>
      </c>
      <c r="GO107" s="1745"/>
      <c r="GP107" s="1745"/>
      <c r="GQ107" s="1745"/>
      <c r="GR107" s="1935"/>
      <c r="JD107" s="2309"/>
      <c r="JE107" s="2364"/>
      <c r="JF107" s="2097"/>
      <c r="JG107" s="2097"/>
      <c r="JH107" s="2097"/>
      <c r="JI107" s="1943"/>
      <c r="JJ107" s="2097"/>
      <c r="JK107" s="2097"/>
      <c r="JL107" s="2097"/>
      <c r="JM107" s="2060"/>
      <c r="JN107" s="759"/>
      <c r="JO107" s="2060"/>
      <c r="LL107" s="814"/>
      <c r="LM107" s="2197">
        <f>'M - Aged Debtors'!B107</f>
        <v>0</v>
      </c>
      <c r="LN107" s="2198">
        <f>'M - Aged Debtors'!C107</f>
        <v>0</v>
      </c>
      <c r="LO107" s="2199">
        <f>'M - Aged Debtors'!D107</f>
        <v>0</v>
      </c>
      <c r="LP107" s="2200">
        <f>'M - Aged Debtors'!E107</f>
        <v>0</v>
      </c>
      <c r="LQ107" s="2201">
        <f>'M - Aged Debtors'!F107</f>
        <v>0</v>
      </c>
      <c r="LR107" s="832" t="str">
        <f>'M - Aged Debtors'!G107</f>
        <v/>
      </c>
      <c r="LS107" s="829" t="str">
        <f>'M - Aged Debtors'!H107</f>
        <v/>
      </c>
      <c r="LT107" s="829" t="str">
        <f>'M - Aged Debtors'!I107</f>
        <v/>
      </c>
      <c r="LU107" s="830" t="str">
        <f>'M - Aged Debtors'!J107</f>
        <v/>
      </c>
      <c r="LV107" s="1830">
        <f>'M - Aged Debtors'!K107</f>
        <v>0</v>
      </c>
      <c r="LX107" s="3114" t="str">
        <f>'N - GMS'!A107</f>
        <v>Vasectomy</v>
      </c>
      <c r="LY107" s="3131"/>
      <c r="LZ107" s="461">
        <f>'N - GMS'!C107</f>
        <v>82</v>
      </c>
      <c r="MA107" s="67">
        <f>'N - GMS'!D107</f>
        <v>0</v>
      </c>
      <c r="MB107" s="2231">
        <f>'N - GMS'!E107</f>
        <v>0</v>
      </c>
      <c r="MC107" s="2231">
        <f>'N - GMS'!F107</f>
        <v>0</v>
      </c>
      <c r="MD107" s="463">
        <f>'N - GMS'!G107</f>
        <v>0</v>
      </c>
      <c r="ME107" s="213"/>
      <c r="MF107" s="1028">
        <f>'N - GMS'!I107</f>
        <v>0</v>
      </c>
      <c r="MR107" s="684"/>
      <c r="MS107" s="2774">
        <f>'P - Ringfenced'!B107</f>
        <v>0</v>
      </c>
      <c r="MT107" s="2703">
        <f>'P - Ringfenced'!C107</f>
        <v>0</v>
      </c>
      <c r="MU107" s="1468"/>
      <c r="MV107" s="1468"/>
      <c r="MW107" s="1468"/>
      <c r="MX107" s="1468"/>
      <c r="MY107" s="1468"/>
      <c r="MZ107" s="1468"/>
      <c r="NA107" s="1468"/>
      <c r="NB107" s="1468"/>
      <c r="NC107" s="1468"/>
      <c r="ND107" s="1468"/>
      <c r="NE107" s="1468"/>
      <c r="NF107" s="1468"/>
      <c r="NG107" s="1468"/>
      <c r="NH107" s="1468"/>
      <c r="NI107" s="1468"/>
      <c r="NJ107" s="684"/>
      <c r="NK107" s="684"/>
    </row>
    <row r="108" spans="57:375" ht="20.149999999999999" customHeight="1" thickBot="1">
      <c r="BE108" s="890">
        <f>'B - Monthly Positions'!A108</f>
        <v>56</v>
      </c>
      <c r="BF108" s="1850">
        <f>'B - Monthly Positions'!B108</f>
        <v>0</v>
      </c>
      <c r="BG108" s="93" t="s">
        <v>288</v>
      </c>
      <c r="BH108" s="1782">
        <f>'B - Monthly Positions'!D108</f>
        <v>0</v>
      </c>
      <c r="BI108" s="1783">
        <f>'B - Monthly Positions'!E108</f>
        <v>0</v>
      </c>
      <c r="BJ108" s="1783">
        <f>'B - Monthly Positions'!F108</f>
        <v>0</v>
      </c>
      <c r="BK108" s="1783">
        <f>'B - Monthly Positions'!G108</f>
        <v>0</v>
      </c>
      <c r="BL108" s="1783">
        <f>'B - Monthly Positions'!H108</f>
        <v>0</v>
      </c>
      <c r="BM108" s="1783">
        <f>'B - Monthly Positions'!I108</f>
        <v>0</v>
      </c>
      <c r="BN108" s="1783">
        <f>'B - Monthly Positions'!J108</f>
        <v>0</v>
      </c>
      <c r="BO108" s="1783">
        <f>'B - Monthly Positions'!K108</f>
        <v>0</v>
      </c>
      <c r="BP108" s="1783">
        <f>'B - Monthly Positions'!L108</f>
        <v>0</v>
      </c>
      <c r="BQ108" s="1783">
        <f>'B - Monthly Positions'!M108</f>
        <v>0</v>
      </c>
      <c r="BR108" s="1783">
        <f>'B - Monthly Positions'!N108</f>
        <v>0</v>
      </c>
      <c r="BS108" s="1786">
        <f>'B - Monthly Positions'!O108</f>
        <v>0</v>
      </c>
      <c r="BT108" s="74">
        <f>'B - Monthly Positions'!P108</f>
        <v>0</v>
      </c>
      <c r="BU108" s="1067">
        <f>'B - Monthly Positions'!Q108</f>
        <v>0</v>
      </c>
      <c r="BV108" s="2594"/>
      <c r="BX108" s="91">
        <f>' Table Z Net Exp Profiles'!A108</f>
        <v>78</v>
      </c>
      <c r="BY108" s="1271" t="str">
        <f>' Table Z Net Exp Profiles'!B108</f>
        <v>Primary Care Savings - Actual/Forecast</v>
      </c>
      <c r="BZ108" s="1296">
        <f>' Table Z Net Exp Profiles'!C108</f>
        <v>0</v>
      </c>
      <c r="CA108" s="1297">
        <f>' Table Z Net Exp Profiles'!D108</f>
        <v>0</v>
      </c>
      <c r="CB108" s="1297">
        <f>' Table Z Net Exp Profiles'!E108</f>
        <v>0</v>
      </c>
      <c r="CC108" s="1297">
        <f>' Table Z Net Exp Profiles'!F108</f>
        <v>0</v>
      </c>
      <c r="CD108" s="1297">
        <f>' Table Z Net Exp Profiles'!G108</f>
        <v>0</v>
      </c>
      <c r="CE108" s="1297">
        <f>' Table Z Net Exp Profiles'!H108</f>
        <v>0</v>
      </c>
      <c r="CF108" s="1297">
        <f>' Table Z Net Exp Profiles'!I108</f>
        <v>0</v>
      </c>
      <c r="CG108" s="1297">
        <f>' Table Z Net Exp Profiles'!J108</f>
        <v>0</v>
      </c>
      <c r="CH108" s="1297">
        <f>' Table Z Net Exp Profiles'!K108</f>
        <v>0</v>
      </c>
      <c r="CI108" s="1297">
        <f>' Table Z Net Exp Profiles'!L108</f>
        <v>0</v>
      </c>
      <c r="CJ108" s="1297">
        <f>' Table Z Net Exp Profiles'!M108</f>
        <v>0</v>
      </c>
      <c r="CK108" s="1298">
        <f>' Table Z Net Exp Profiles'!N108</f>
        <v>0</v>
      </c>
      <c r="CL108" s="1233">
        <f>' Table Z Net Exp Profiles'!O108</f>
        <v>0</v>
      </c>
      <c r="CM108" s="1215">
        <f>' Table Z Net Exp Profiles'!P108</f>
        <v>0</v>
      </c>
      <c r="DF108" s="2838">
        <f>'B3 - COVID-19'!A108</f>
        <v>77</v>
      </c>
      <c r="DG108" s="2839">
        <f>'B3 - COVID-19'!B108</f>
        <v>0</v>
      </c>
      <c r="DH108" s="1903">
        <f>'B3 - COVID-19'!C108</f>
        <v>0</v>
      </c>
      <c r="DI108" s="1903">
        <f>'B3 - COVID-19'!D108</f>
        <v>0</v>
      </c>
      <c r="DJ108" s="1903">
        <f>'B3 - COVID-19'!E108</f>
        <v>0</v>
      </c>
      <c r="DK108" s="1903">
        <f>'B3 - COVID-19'!F108</f>
        <v>0</v>
      </c>
      <c r="DL108" s="1903">
        <f>'B3 - COVID-19'!G108</f>
        <v>0</v>
      </c>
      <c r="DM108" s="1903">
        <f>'B3 - COVID-19'!H108</f>
        <v>0</v>
      </c>
      <c r="DN108" s="1903">
        <f>'B3 - COVID-19'!I108</f>
        <v>0</v>
      </c>
      <c r="DO108" s="1903">
        <f>'B3 - COVID-19'!J108</f>
        <v>0</v>
      </c>
      <c r="DP108" s="1903">
        <f>'B3 - COVID-19'!K108</f>
        <v>0</v>
      </c>
      <c r="DQ108" s="1903">
        <f>'B3 - COVID-19'!L108</f>
        <v>0</v>
      </c>
      <c r="DR108" s="1903">
        <f>'B3 - COVID-19'!M108</f>
        <v>0</v>
      </c>
      <c r="DS108" s="1903">
        <f>'B3 - COVID-19'!N108</f>
        <v>0</v>
      </c>
      <c r="DT108" s="1863">
        <f>'B3 - COVID-19'!O108</f>
        <v>0</v>
      </c>
      <c r="DU108" s="1863">
        <f>'B3 - COVID-19'!P108</f>
        <v>0</v>
      </c>
      <c r="DV108" s="608"/>
      <c r="DW108" s="1116"/>
      <c r="DY108" s="2095">
        <f>'C, C1, C2&amp; C3 - Savings Schemes'!A108</f>
        <v>2</v>
      </c>
      <c r="DZ108" s="3039"/>
      <c r="EA108" s="90" t="str">
        <f>'C, C1, C2&amp; C3 - Savings Schemes'!C108</f>
        <v>Actual/F'cast</v>
      </c>
      <c r="EB108" s="2643">
        <f>'C, C1, C2&amp; C3 - Savings Schemes'!D108</f>
        <v>789.91666666666663</v>
      </c>
      <c r="EC108" s="2643">
        <f>'C, C1, C2&amp; C3 - Savings Schemes'!E108</f>
        <v>56.916666666666664</v>
      </c>
      <c r="ED108" s="2643">
        <f>'C, C1, C2&amp; C3 - Savings Schemes'!F108</f>
        <v>56.916666666666664</v>
      </c>
      <c r="EE108" s="2643">
        <f>'C, C1, C2&amp; C3 - Savings Schemes'!G108</f>
        <v>56.916666666666664</v>
      </c>
      <c r="EF108" s="2643">
        <f>'C, C1, C2&amp; C3 - Savings Schemes'!H108</f>
        <v>56.916666666666664</v>
      </c>
      <c r="EG108" s="2643">
        <f>'C, C1, C2&amp; C3 - Savings Schemes'!I108</f>
        <v>56.916666666666664</v>
      </c>
      <c r="EH108" s="2643">
        <f>'C, C1, C2&amp; C3 - Savings Schemes'!J108</f>
        <v>56.916666666666664</v>
      </c>
      <c r="EI108" s="2643">
        <f>'C, C1, C2&amp; C3 - Savings Schemes'!K108</f>
        <v>56.916666666666664</v>
      </c>
      <c r="EJ108" s="2643">
        <f>'C, C1, C2&amp; C3 - Savings Schemes'!L108</f>
        <v>56.916666666666664</v>
      </c>
      <c r="EK108" s="2643">
        <f>'C, C1, C2&amp; C3 - Savings Schemes'!M108</f>
        <v>56.916666666666664</v>
      </c>
      <c r="EL108" s="2643">
        <f>'C, C1, C2&amp; C3 - Savings Schemes'!N108</f>
        <v>56.916666666666664</v>
      </c>
      <c r="EM108" s="2643">
        <f>'C, C1, C2&amp; C3 - Savings Schemes'!O108</f>
        <v>56.916666666666664</v>
      </c>
      <c r="EN108" s="2644">
        <f>'C, C1, C2&amp; C3 - Savings Schemes'!P108</f>
        <v>789.91666666666663</v>
      </c>
      <c r="EO108" s="2644">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7">
        <f>'E - Resource Limits'!G108</f>
        <v>0</v>
      </c>
      <c r="GM108" s="196">
        <f>'E - Resource Limits'!H108</f>
        <v>0</v>
      </c>
      <c r="GN108" s="2555">
        <f>'E - Resource Limits'!I108</f>
        <v>0</v>
      </c>
      <c r="GO108" s="1745"/>
      <c r="GP108" s="1745"/>
      <c r="GQ108" s="1745"/>
      <c r="GR108" s="1935"/>
      <c r="JD108" s="2073"/>
      <c r="JE108" s="2436" t="str">
        <f>'I - Capital RLM'!B108</f>
        <v>Donations:</v>
      </c>
      <c r="JF108" s="2321"/>
      <c r="JG108" s="2321"/>
      <c r="JH108" s="2321"/>
      <c r="JI108" s="1943"/>
      <c r="JJ108" s="2321"/>
      <c r="JK108" s="2321"/>
      <c r="JL108" s="2321"/>
      <c r="JM108" s="2060"/>
      <c r="JN108" s="759"/>
      <c r="JO108" s="2060"/>
      <c r="LL108" s="814"/>
      <c r="LM108" s="2197">
        <f>'M - Aged Debtors'!B108</f>
        <v>0</v>
      </c>
      <c r="LN108" s="2198">
        <f>'M - Aged Debtors'!C108</f>
        <v>0</v>
      </c>
      <c r="LO108" s="2199">
        <f>'M - Aged Debtors'!D108</f>
        <v>0</v>
      </c>
      <c r="LP108" s="2200">
        <f>'M - Aged Debtors'!E108</f>
        <v>0</v>
      </c>
      <c r="LQ108" s="2201">
        <f>'M - Aged Debtors'!F108</f>
        <v>0</v>
      </c>
      <c r="LR108" s="832" t="str">
        <f>'M - Aged Debtors'!G108</f>
        <v/>
      </c>
      <c r="LS108" s="829" t="str">
        <f>'M - Aged Debtors'!H108</f>
        <v/>
      </c>
      <c r="LT108" s="829" t="str">
        <f>'M - Aged Debtors'!I108</f>
        <v/>
      </c>
      <c r="LU108" s="830" t="str">
        <f>'M - Aged Debtors'!J108</f>
        <v/>
      </c>
      <c r="LV108" s="1830">
        <f>'M - Aged Debtors'!K108</f>
        <v>0</v>
      </c>
      <c r="LX108" s="480" t="str">
        <f>'N - GMS'!A108</f>
        <v>Weight Loss Clinic (inc Exercise Referral)</v>
      </c>
      <c r="LY108" s="1675"/>
      <c r="LZ108" s="461">
        <f>'N - GMS'!C108</f>
        <v>83</v>
      </c>
      <c r="MA108" s="67">
        <f>'N - GMS'!D108</f>
        <v>0</v>
      </c>
      <c r="MB108" s="2231">
        <f>'N - GMS'!E108</f>
        <v>0</v>
      </c>
      <c r="MC108" s="2231">
        <f>'N - GMS'!F108</f>
        <v>0</v>
      </c>
      <c r="MD108" s="463">
        <f>'N - GMS'!G108</f>
        <v>0</v>
      </c>
      <c r="ME108" s="213"/>
      <c r="MF108" s="1028">
        <f>'N - GMS'!I108</f>
        <v>0</v>
      </c>
      <c r="MR108" s="684"/>
      <c r="MS108" s="2774">
        <f>'P - Ringfenced'!B108</f>
        <v>0</v>
      </c>
      <c r="MT108" s="2704">
        <f>'P - Ringfenced'!C108</f>
        <v>0</v>
      </c>
      <c r="MU108" s="1468"/>
      <c r="MV108" s="1468"/>
      <c r="MW108" s="1468"/>
      <c r="MX108" s="1468"/>
      <c r="MY108" s="1468"/>
      <c r="MZ108" s="1468"/>
      <c r="NA108" s="1468"/>
      <c r="NB108" s="1468"/>
      <c r="NC108" s="1468"/>
      <c r="ND108" s="1468"/>
      <c r="NE108" s="1468"/>
      <c r="NF108" s="1468"/>
      <c r="NG108" s="1468"/>
      <c r="NH108" s="1468"/>
      <c r="NI108" s="1468"/>
      <c r="NJ108" s="684"/>
      <c r="NK108" s="684"/>
    </row>
    <row r="109" spans="57:375" ht="20.149999999999999" customHeight="1" thickBot="1">
      <c r="BE109" s="890">
        <f>'B - Monthly Positions'!A109</f>
        <v>57</v>
      </c>
      <c r="BF109" s="1850">
        <f>'B - Monthly Positions'!B109</f>
        <v>0</v>
      </c>
      <c r="BG109" s="93" t="s">
        <v>288</v>
      </c>
      <c r="BH109" s="1782">
        <f>'B - Monthly Positions'!D109</f>
        <v>0</v>
      </c>
      <c r="BI109" s="1783">
        <f>'B - Monthly Positions'!E109</f>
        <v>0</v>
      </c>
      <c r="BJ109" s="1783">
        <f>'B - Monthly Positions'!F109</f>
        <v>0</v>
      </c>
      <c r="BK109" s="1783">
        <f>'B - Monthly Positions'!G109</f>
        <v>0</v>
      </c>
      <c r="BL109" s="1783">
        <f>'B - Monthly Positions'!H109</f>
        <v>0</v>
      </c>
      <c r="BM109" s="1783">
        <f>'B - Monthly Positions'!I109</f>
        <v>0</v>
      </c>
      <c r="BN109" s="1783">
        <f>'B - Monthly Positions'!J109</f>
        <v>0</v>
      </c>
      <c r="BO109" s="1783">
        <f>'B - Monthly Positions'!K109</f>
        <v>0</v>
      </c>
      <c r="BP109" s="1783">
        <f>'B - Monthly Positions'!L109</f>
        <v>0</v>
      </c>
      <c r="BQ109" s="1783">
        <f>'B - Monthly Positions'!M109</f>
        <v>0</v>
      </c>
      <c r="BR109" s="1783">
        <f>'B - Monthly Positions'!N109</f>
        <v>0</v>
      </c>
      <c r="BS109" s="1786">
        <f>'B - Monthly Positions'!O109</f>
        <v>0</v>
      </c>
      <c r="BT109" s="74">
        <f>'B - Monthly Positions'!P109</f>
        <v>0</v>
      </c>
      <c r="BU109" s="1067">
        <f>'B - Monthly Positions'!Q109</f>
        <v>0</v>
      </c>
      <c r="BV109" s="2594"/>
      <c r="BX109" s="91">
        <f>' Table Z Net Exp Profiles'!A109</f>
        <v>79</v>
      </c>
      <c r="BY109" s="2500" t="str">
        <f>' Table Z Net Exp Profiles'!B109</f>
        <v>Non Delivery of Finalised (M1) Primary Care Savings due to Covid-19 - Actual/Forecast (Negative Values)</v>
      </c>
      <c r="BZ109" s="2501">
        <f>' Table Z Net Exp Profiles'!C109</f>
        <v>0</v>
      </c>
      <c r="CA109" s="1189">
        <f>' Table Z Net Exp Profiles'!D109</f>
        <v>0</v>
      </c>
      <c r="CB109" s="1189">
        <f>' Table Z Net Exp Profiles'!E109</f>
        <v>0</v>
      </c>
      <c r="CC109" s="1189">
        <f>' Table Z Net Exp Profiles'!F109</f>
        <v>0</v>
      </c>
      <c r="CD109" s="1189">
        <f>' Table Z Net Exp Profiles'!G109</f>
        <v>0</v>
      </c>
      <c r="CE109" s="1189">
        <f>' Table Z Net Exp Profiles'!H109</f>
        <v>0</v>
      </c>
      <c r="CF109" s="1189">
        <f>' Table Z Net Exp Profiles'!I109</f>
        <v>0</v>
      </c>
      <c r="CG109" s="1189">
        <f>' Table Z Net Exp Profiles'!J109</f>
        <v>0</v>
      </c>
      <c r="CH109" s="1189">
        <f>' Table Z Net Exp Profiles'!K109</f>
        <v>0</v>
      </c>
      <c r="CI109" s="1189">
        <f>' Table Z Net Exp Profiles'!L109</f>
        <v>0</v>
      </c>
      <c r="CJ109" s="1189">
        <f>' Table Z Net Exp Profiles'!M109</f>
        <v>0</v>
      </c>
      <c r="CK109" s="1189">
        <f>' Table Z Net Exp Profiles'!N109</f>
        <v>0</v>
      </c>
      <c r="CL109" s="1692">
        <f>' Table Z Net Exp Profiles'!O109</f>
        <v>0</v>
      </c>
      <c r="CM109" s="1692">
        <f>' Table Z Net Exp Profiles'!P109</f>
        <v>0</v>
      </c>
      <c r="DF109" s="2838">
        <f>'B3 - COVID-19'!A109</f>
        <v>78</v>
      </c>
      <c r="DG109" s="2822" t="str">
        <f>'B3 - COVID-19'!B109</f>
        <v>Sub total Other C-19 Provider Pay</v>
      </c>
      <c r="DH109" s="2778">
        <f>'B3 - COVID-19'!C109</f>
        <v>0</v>
      </c>
      <c r="DI109" s="1908">
        <f>'B3 - COVID-19'!D109</f>
        <v>0</v>
      </c>
      <c r="DJ109" s="1908">
        <f>'B3 - COVID-19'!E109</f>
        <v>0</v>
      </c>
      <c r="DK109" s="1908">
        <f>'B3 - COVID-19'!F109</f>
        <v>0</v>
      </c>
      <c r="DL109" s="1908">
        <f>'B3 - COVID-19'!G109</f>
        <v>0</v>
      </c>
      <c r="DM109" s="1908">
        <f>'B3 - COVID-19'!H109</f>
        <v>0</v>
      </c>
      <c r="DN109" s="1908">
        <f>'B3 - COVID-19'!I109</f>
        <v>0</v>
      </c>
      <c r="DO109" s="1908">
        <f>'B3 - COVID-19'!J109</f>
        <v>0</v>
      </c>
      <c r="DP109" s="1908">
        <f>'B3 - COVID-19'!K109</f>
        <v>0</v>
      </c>
      <c r="DQ109" s="1908">
        <f>'B3 - COVID-19'!L109</f>
        <v>0</v>
      </c>
      <c r="DR109" s="1908">
        <f>'B3 - COVID-19'!M109</f>
        <v>0</v>
      </c>
      <c r="DS109" s="1908">
        <f>'B3 - COVID-19'!N109</f>
        <v>0</v>
      </c>
      <c r="DT109" s="1908">
        <f>'B3 - COVID-19'!O109</f>
        <v>0</v>
      </c>
      <c r="DU109" s="1908">
        <f>'B3 - COVID-19'!P109</f>
        <v>0</v>
      </c>
      <c r="DV109" s="1144"/>
      <c r="DW109" s="1116"/>
      <c r="DY109" s="2095">
        <f>'C, C1, C2&amp; C3 - Savings Schemes'!A109</f>
        <v>3</v>
      </c>
      <c r="DZ109" s="3040"/>
      <c r="EA109" s="92" t="str">
        <f>'C, C1, C2&amp; C3 - Savings Schemes'!C109</f>
        <v>Variance</v>
      </c>
      <c r="EB109" s="2644">
        <f>'C, C1, C2&amp; C3 - Savings Schemes'!D109</f>
        <v>0</v>
      </c>
      <c r="EC109" s="2644">
        <f>'C, C1, C2&amp; C3 - Savings Schemes'!E109</f>
        <v>0</v>
      </c>
      <c r="ED109" s="2644">
        <f>'C, C1, C2&amp; C3 - Savings Schemes'!F109</f>
        <v>0</v>
      </c>
      <c r="EE109" s="2644">
        <f>'C, C1, C2&amp; C3 - Savings Schemes'!G109</f>
        <v>0</v>
      </c>
      <c r="EF109" s="2644">
        <f>'C, C1, C2&amp; C3 - Savings Schemes'!H109</f>
        <v>0</v>
      </c>
      <c r="EG109" s="2644">
        <f>'C, C1, C2&amp; C3 - Savings Schemes'!I109</f>
        <v>0</v>
      </c>
      <c r="EH109" s="2644">
        <f>'C, C1, C2&amp; C3 - Savings Schemes'!J109</f>
        <v>0</v>
      </c>
      <c r="EI109" s="2644">
        <f>'C, C1, C2&amp; C3 - Savings Schemes'!K109</f>
        <v>0</v>
      </c>
      <c r="EJ109" s="2644">
        <f>'C, C1, C2&amp; C3 - Savings Schemes'!L109</f>
        <v>0</v>
      </c>
      <c r="EK109" s="2644">
        <f>'C, C1, C2&amp; C3 - Savings Schemes'!M109</f>
        <v>0</v>
      </c>
      <c r="EL109" s="2644">
        <f>'C, C1, C2&amp; C3 - Savings Schemes'!N109</f>
        <v>0</v>
      </c>
      <c r="EM109" s="2644">
        <f>'C, C1, C2&amp; C3 - Savings Schemes'!O109</f>
        <v>0</v>
      </c>
      <c r="EN109" s="2644">
        <f>'C, C1, C2&amp; C3 - Savings Schemes'!P109</f>
        <v>0</v>
      </c>
      <c r="EO109" s="2644">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7">
        <f>'E - Resource Limits'!G109</f>
        <v>0</v>
      </c>
      <c r="GM109" s="196">
        <f>'E - Resource Limits'!H109</f>
        <v>0</v>
      </c>
      <c r="GN109" s="2555">
        <f>'E - Resource Limits'!I109</f>
        <v>0</v>
      </c>
      <c r="GO109" s="1745"/>
      <c r="GP109" s="1745"/>
      <c r="GQ109" s="1745"/>
      <c r="GR109" s="1935"/>
      <c r="JD109" s="2440">
        <f>'I - Capital RLM'!A109</f>
        <v>77</v>
      </c>
      <c r="JE109" s="2441">
        <f>'I - Capital RLM'!B109</f>
        <v>0</v>
      </c>
      <c r="JF109" s="2418">
        <f>'I - Capital RLM'!C109</f>
        <v>0</v>
      </c>
      <c r="JG109" s="2418">
        <f>'I - Capital RLM'!D109</f>
        <v>0</v>
      </c>
      <c r="JH109" s="2442">
        <f>'I - Capital RLM'!E109</f>
        <v>0</v>
      </c>
      <c r="JI109" s="1943">
        <f>'I - Capital RLM'!F109</f>
        <v>0</v>
      </c>
      <c r="JJ109" s="2418">
        <f>'I - Capital RLM'!G109</f>
        <v>0</v>
      </c>
      <c r="JK109" s="2418">
        <f>'I - Capital RLM'!H109</f>
        <v>0</v>
      </c>
      <c r="JL109" s="2442">
        <f>'I - Capital RLM'!I109</f>
        <v>0</v>
      </c>
      <c r="JM109" s="2060"/>
      <c r="JN109" s="1892">
        <f>'I - Capital RLM'!K109</f>
        <v>0</v>
      </c>
      <c r="JO109" s="2060">
        <f>IF(AND(JK109&gt;0,JE109=""),1,0)</f>
        <v>0</v>
      </c>
      <c r="LL109" s="814"/>
      <c r="LM109" s="2197">
        <f>'M - Aged Debtors'!B109</f>
        <v>0</v>
      </c>
      <c r="LN109" s="2198">
        <f>'M - Aged Debtors'!C109</f>
        <v>0</v>
      </c>
      <c r="LO109" s="2199">
        <f>'M - Aged Debtors'!D109</f>
        <v>0</v>
      </c>
      <c r="LP109" s="2200">
        <f>'M - Aged Debtors'!E109</f>
        <v>0</v>
      </c>
      <c r="LQ109" s="2201">
        <f>'M - Aged Debtors'!F109</f>
        <v>0</v>
      </c>
      <c r="LR109" s="832" t="str">
        <f>'M - Aged Debtors'!G109</f>
        <v/>
      </c>
      <c r="LS109" s="829" t="str">
        <f>'M - Aged Debtors'!H109</f>
        <v/>
      </c>
      <c r="LT109" s="829" t="str">
        <f>'M - Aged Debtors'!I109</f>
        <v/>
      </c>
      <c r="LU109" s="830" t="str">
        <f>'M - Aged Debtors'!J109</f>
        <v/>
      </c>
      <c r="LV109" s="1830">
        <f>'M - Aged Debtors'!K109</f>
        <v>0</v>
      </c>
      <c r="LX109" s="3114" t="str">
        <f>'N - GMS'!A109</f>
        <v>Wound Care</v>
      </c>
      <c r="LY109" s="3131"/>
      <c r="LZ109" s="461">
        <f>'N - GMS'!C109</f>
        <v>84</v>
      </c>
      <c r="MA109" s="67">
        <f>'N - GMS'!D109</f>
        <v>0</v>
      </c>
      <c r="MB109" s="2231">
        <f>'N - GMS'!E109</f>
        <v>0</v>
      </c>
      <c r="MC109" s="2231">
        <f>'N - GMS'!F109</f>
        <v>0</v>
      </c>
      <c r="MD109" s="463">
        <f>'N - GMS'!G109</f>
        <v>0</v>
      </c>
      <c r="ME109" s="213"/>
      <c r="MF109" s="1028">
        <f>'N - GMS'!I109</f>
        <v>0</v>
      </c>
      <c r="MR109" s="684"/>
      <c r="MS109" s="2676" t="str">
        <f>'P - Ringfenced'!B109</f>
        <v>Total</v>
      </c>
      <c r="MT109" s="1101">
        <f>'P - Ringfenced'!C109</f>
        <v>0</v>
      </c>
      <c r="MU109" s="1468"/>
      <c r="MV109" s="1468"/>
      <c r="MW109" s="1468"/>
      <c r="MX109" s="1468"/>
      <c r="MY109" s="1468"/>
      <c r="MZ109" s="1468"/>
      <c r="NA109" s="1468"/>
      <c r="NB109" s="1468"/>
      <c r="NC109" s="1468"/>
      <c r="ND109" s="1468"/>
      <c r="NE109" s="1468"/>
      <c r="NF109" s="1468"/>
      <c r="NG109" s="1468"/>
      <c r="NH109" s="1468"/>
      <c r="NI109" s="1468"/>
      <c r="NJ109" s="684"/>
      <c r="NK109" s="684"/>
    </row>
    <row r="110" spans="57:375" ht="20.149999999999999" customHeight="1" thickBot="1">
      <c r="BE110" s="890">
        <f>'B - Monthly Positions'!A110</f>
        <v>58</v>
      </c>
      <c r="BF110" s="1850">
        <f>'B - Monthly Positions'!B110</f>
        <v>0</v>
      </c>
      <c r="BG110" s="93" t="s">
        <v>288</v>
      </c>
      <c r="BH110" s="1782">
        <f>'B - Monthly Positions'!D110</f>
        <v>0</v>
      </c>
      <c r="BI110" s="1783">
        <f>'B - Monthly Positions'!E110</f>
        <v>0</v>
      </c>
      <c r="BJ110" s="1783">
        <f>'B - Monthly Positions'!F110</f>
        <v>0</v>
      </c>
      <c r="BK110" s="1783">
        <f>'B - Monthly Positions'!G110</f>
        <v>0</v>
      </c>
      <c r="BL110" s="1783">
        <f>'B - Monthly Positions'!H110</f>
        <v>0</v>
      </c>
      <c r="BM110" s="1783">
        <f>'B - Monthly Positions'!I110</f>
        <v>0</v>
      </c>
      <c r="BN110" s="1783">
        <f>'B - Monthly Positions'!J110</f>
        <v>0</v>
      </c>
      <c r="BO110" s="1783">
        <f>'B - Monthly Positions'!K110</f>
        <v>0</v>
      </c>
      <c r="BP110" s="1783">
        <f>'B - Monthly Positions'!L110</f>
        <v>0</v>
      </c>
      <c r="BQ110" s="1783">
        <f>'B - Monthly Positions'!M110</f>
        <v>0</v>
      </c>
      <c r="BR110" s="1783">
        <f>'B - Monthly Positions'!N110</f>
        <v>0</v>
      </c>
      <c r="BS110" s="1786">
        <f>'B - Monthly Positions'!O110</f>
        <v>0</v>
      </c>
      <c r="BT110" s="74">
        <f>'B - Monthly Positions'!P110</f>
        <v>0</v>
      </c>
      <c r="BU110" s="1067">
        <f>'B - Monthly Positions'!Q110</f>
        <v>0</v>
      </c>
      <c r="BV110" s="2594"/>
      <c r="BX110" s="144">
        <f>' Table Z Net Exp Profiles'!A110</f>
        <v>80</v>
      </c>
      <c r="BY110" s="1688" t="str">
        <f>' Table Z Net Exp Profiles'!B110</f>
        <v>Primary Care Savings Movement Not due to Covid-19</v>
      </c>
      <c r="BZ110" s="1218">
        <f>' Table Z Net Exp Profiles'!C110</f>
        <v>0</v>
      </c>
      <c r="CA110" s="1219">
        <f>' Table Z Net Exp Profiles'!D110</f>
        <v>0</v>
      </c>
      <c r="CB110" s="1219">
        <f>' Table Z Net Exp Profiles'!E110</f>
        <v>0</v>
      </c>
      <c r="CC110" s="1219">
        <f>' Table Z Net Exp Profiles'!F110</f>
        <v>0</v>
      </c>
      <c r="CD110" s="1219">
        <f>' Table Z Net Exp Profiles'!G110</f>
        <v>0</v>
      </c>
      <c r="CE110" s="1219">
        <f>' Table Z Net Exp Profiles'!H110</f>
        <v>0</v>
      </c>
      <c r="CF110" s="1219">
        <f>' Table Z Net Exp Profiles'!I110</f>
        <v>0</v>
      </c>
      <c r="CG110" s="1219">
        <f>' Table Z Net Exp Profiles'!J110</f>
        <v>0</v>
      </c>
      <c r="CH110" s="1219">
        <f>' Table Z Net Exp Profiles'!K110</f>
        <v>0</v>
      </c>
      <c r="CI110" s="1219">
        <f>' Table Z Net Exp Profiles'!L110</f>
        <v>0</v>
      </c>
      <c r="CJ110" s="1219">
        <f>' Table Z Net Exp Profiles'!M110</f>
        <v>0</v>
      </c>
      <c r="CK110" s="1362">
        <f>' Table Z Net Exp Profiles'!N110</f>
        <v>0</v>
      </c>
      <c r="CL110" s="1101">
        <f>' Table Z Net Exp Profiles'!O110</f>
        <v>0</v>
      </c>
      <c r="CM110" s="1101">
        <f>' Table Z Net Exp Profiles'!P110</f>
        <v>0</v>
      </c>
      <c r="DF110" s="2838">
        <f>'B3 - COVID-19'!A110</f>
        <v>79</v>
      </c>
      <c r="DG110" s="1911" t="str">
        <f>'B3 - COVID-19'!B110</f>
        <v>Primary Care Contractor (excluding drugs)</v>
      </c>
      <c r="DH110" s="1330">
        <f>'B3 - COVID-19'!C110</f>
        <v>0</v>
      </c>
      <c r="DI110" s="1330">
        <f>'B3 - COVID-19'!D110</f>
        <v>0</v>
      </c>
      <c r="DJ110" s="1330">
        <f>'B3 - COVID-19'!E110</f>
        <v>0</v>
      </c>
      <c r="DK110" s="1330">
        <f>'B3 - COVID-19'!F110</f>
        <v>0</v>
      </c>
      <c r="DL110" s="1330">
        <f>'B3 - COVID-19'!G110</f>
        <v>0</v>
      </c>
      <c r="DM110" s="1330">
        <f>'B3 - COVID-19'!H110</f>
        <v>0</v>
      </c>
      <c r="DN110" s="1330">
        <f>'B3 - COVID-19'!I110</f>
        <v>0</v>
      </c>
      <c r="DO110" s="1330">
        <f>'B3 - COVID-19'!J110</f>
        <v>0</v>
      </c>
      <c r="DP110" s="1330">
        <f>'B3 - COVID-19'!K110</f>
        <v>0</v>
      </c>
      <c r="DQ110" s="1330">
        <f>'B3 - COVID-19'!L110</f>
        <v>0</v>
      </c>
      <c r="DR110" s="1330">
        <f>'B3 - COVID-19'!M110</f>
        <v>0</v>
      </c>
      <c r="DS110" s="1330">
        <f>'B3 - COVID-19'!N110</f>
        <v>0</v>
      </c>
      <c r="DT110" s="1863">
        <f>'B3 - COVID-19'!O110</f>
        <v>0</v>
      </c>
      <c r="DU110" s="1864">
        <f>'B3 - COVID-19'!P110</f>
        <v>0</v>
      </c>
      <c r="DV110" s="608"/>
      <c r="DW110" s="1116"/>
      <c r="DY110" s="2111">
        <f>'C, C1, C2&amp; C3 - Savings Schemes'!A110</f>
        <v>4</v>
      </c>
      <c r="DZ110" s="3038" t="str">
        <f>'C, C1, C2&amp; C3 - Savings Schemes'!B110</f>
        <v>Non Pay</v>
      </c>
      <c r="EA110" s="87" t="str">
        <f>'C, C1, C2&amp; C3 - Savings Schemes'!C110</f>
        <v>Budget/Plan</v>
      </c>
      <c r="EB110" s="2643">
        <f>'C, C1, C2&amp; C3 - Savings Schemes'!D110</f>
        <v>454.5</v>
      </c>
      <c r="EC110" s="2643">
        <f>'C, C1, C2&amp; C3 - Savings Schemes'!E110</f>
        <v>118.5</v>
      </c>
      <c r="ED110" s="2643">
        <f>'C, C1, C2&amp; C3 - Savings Schemes'!F110</f>
        <v>118.5</v>
      </c>
      <c r="EE110" s="2643">
        <f>'C, C1, C2&amp; C3 - Savings Schemes'!G110</f>
        <v>118.5</v>
      </c>
      <c r="EF110" s="2643">
        <f>'C, C1, C2&amp; C3 - Savings Schemes'!H110</f>
        <v>118.5</v>
      </c>
      <c r="EG110" s="2643">
        <f>'C, C1, C2&amp; C3 - Savings Schemes'!I110</f>
        <v>118.5</v>
      </c>
      <c r="EH110" s="2643">
        <f>'C, C1, C2&amp; C3 - Savings Schemes'!J110</f>
        <v>118.5</v>
      </c>
      <c r="EI110" s="2643">
        <f>'C, C1, C2&amp; C3 - Savings Schemes'!K110</f>
        <v>118.5</v>
      </c>
      <c r="EJ110" s="2643">
        <f>'C, C1, C2&amp; C3 - Savings Schemes'!L110</f>
        <v>118.5</v>
      </c>
      <c r="EK110" s="2643">
        <f>'C, C1, C2&amp; C3 - Savings Schemes'!M110</f>
        <v>118.5</v>
      </c>
      <c r="EL110" s="2643">
        <f>'C, C1, C2&amp; C3 - Savings Schemes'!N110</f>
        <v>118.5</v>
      </c>
      <c r="EM110" s="2643">
        <f>'C, C1, C2&amp; C3 - Savings Schemes'!O110</f>
        <v>118.5</v>
      </c>
      <c r="EN110" s="2644">
        <f>'C, C1, C2&amp; C3 - Savings Schemes'!P110</f>
        <v>454.5</v>
      </c>
      <c r="EO110" s="2644">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7">
        <f>'E - Resource Limits'!G110</f>
        <v>0</v>
      </c>
      <c r="GM110" s="196">
        <f>'E - Resource Limits'!H110</f>
        <v>0</v>
      </c>
      <c r="GN110" s="2555">
        <f>'E - Resource Limits'!I110</f>
        <v>0</v>
      </c>
      <c r="GO110" s="1745"/>
      <c r="GP110" s="1745"/>
      <c r="GQ110" s="1745"/>
      <c r="GR110" s="1935"/>
      <c r="JD110" s="2301">
        <f>'I - Capital RLM'!A110</f>
        <v>78</v>
      </c>
      <c r="JE110" s="2361" t="str">
        <f>'I - Capital RLM'!B110</f>
        <v>Sub Total</v>
      </c>
      <c r="JF110" s="2037">
        <f>'I - Capital RLM'!C110</f>
        <v>0</v>
      </c>
      <c r="JG110" s="2037">
        <f>'I - Capital RLM'!D110</f>
        <v>0</v>
      </c>
      <c r="JH110" s="2037">
        <f>'I - Capital RLM'!E110</f>
        <v>0</v>
      </c>
      <c r="JI110" s="1943">
        <f>'I - Capital RLM'!F110</f>
        <v>0</v>
      </c>
      <c r="JJ110" s="2037">
        <f>'I - Capital RLM'!G110</f>
        <v>0</v>
      </c>
      <c r="JK110" s="2037">
        <f>'I - Capital RLM'!H110</f>
        <v>0</v>
      </c>
      <c r="JL110" s="2037">
        <f>'I - Capital RLM'!I110</f>
        <v>0</v>
      </c>
      <c r="JM110" s="2060"/>
      <c r="JN110" s="759"/>
      <c r="JO110" s="2060">
        <f>+JO109</f>
        <v>0</v>
      </c>
      <c r="LL110" s="814"/>
      <c r="LM110" s="2197">
        <f>'M - Aged Debtors'!B110</f>
        <v>0</v>
      </c>
      <c r="LN110" s="2198">
        <f>'M - Aged Debtors'!C110</f>
        <v>0</v>
      </c>
      <c r="LO110" s="2199">
        <f>'M - Aged Debtors'!D110</f>
        <v>0</v>
      </c>
      <c r="LP110" s="2200">
        <f>'M - Aged Debtors'!E110</f>
        <v>0</v>
      </c>
      <c r="LQ110" s="2201">
        <f>'M - Aged Debtors'!F110</f>
        <v>0</v>
      </c>
      <c r="LR110" s="832" t="str">
        <f>'M - Aged Debtors'!G110</f>
        <v/>
      </c>
      <c r="LS110" s="829" t="str">
        <f>'M - Aged Debtors'!H110</f>
        <v/>
      </c>
      <c r="LT110" s="829" t="str">
        <f>'M - Aged Debtors'!I110</f>
        <v/>
      </c>
      <c r="LU110" s="830" t="str">
        <f>'M - Aged Debtors'!J110</f>
        <v/>
      </c>
      <c r="LV110" s="1830">
        <f>'M - Aged Debtors'!K110</f>
        <v>0</v>
      </c>
      <c r="LX110" s="3144" t="str">
        <f>'N - GMS'!A110</f>
        <v>Zoladex</v>
      </c>
      <c r="LY110" s="3145"/>
      <c r="LZ110" s="461">
        <f>'N - GMS'!C110</f>
        <v>85</v>
      </c>
      <c r="MA110" s="67">
        <f>'N - GMS'!D110</f>
        <v>0</v>
      </c>
      <c r="MB110" s="2231">
        <f>'N - GMS'!E110</f>
        <v>0</v>
      </c>
      <c r="MC110" s="2231">
        <f>'N - GMS'!F110</f>
        <v>0</v>
      </c>
      <c r="MD110" s="463">
        <f>'N - GMS'!G110</f>
        <v>0</v>
      </c>
      <c r="ME110" s="213"/>
      <c r="MF110" s="1028">
        <f>'N - GMS'!I110</f>
        <v>0</v>
      </c>
      <c r="MR110" s="684"/>
      <c r="MS110" s="1468"/>
      <c r="MT110" s="1468"/>
      <c r="MU110" s="1468"/>
      <c r="MV110" s="1468"/>
      <c r="MW110" s="1468"/>
      <c r="MX110" s="1468"/>
      <c r="MY110" s="1468"/>
      <c r="MZ110" s="1468"/>
      <c r="NA110" s="1468"/>
      <c r="NB110" s="1468"/>
      <c r="NC110" s="1468"/>
      <c r="ND110" s="1468"/>
      <c r="NE110" s="1468"/>
      <c r="NF110" s="1468"/>
      <c r="NG110" s="1468"/>
      <c r="NH110" s="1468"/>
      <c r="NI110" s="1468"/>
      <c r="NJ110" s="684"/>
      <c r="NK110" s="684"/>
    </row>
    <row r="111" spans="57:375" ht="20.149999999999999" customHeight="1" thickBot="1">
      <c r="BE111" s="890">
        <f>'B - Monthly Positions'!A111</f>
        <v>59</v>
      </c>
      <c r="BF111" s="1850">
        <f>'B - Monthly Positions'!B111</f>
        <v>0</v>
      </c>
      <c r="BG111" s="93" t="s">
        <v>288</v>
      </c>
      <c r="BH111" s="1782">
        <f>'B - Monthly Positions'!D111</f>
        <v>0</v>
      </c>
      <c r="BI111" s="1783">
        <f>'B - Monthly Positions'!E111</f>
        <v>0</v>
      </c>
      <c r="BJ111" s="1783">
        <f>'B - Monthly Positions'!F111</f>
        <v>0</v>
      </c>
      <c r="BK111" s="1783">
        <f>'B - Monthly Positions'!G111</f>
        <v>0</v>
      </c>
      <c r="BL111" s="1783">
        <f>'B - Monthly Positions'!H111</f>
        <v>0</v>
      </c>
      <c r="BM111" s="1783">
        <f>'B - Monthly Positions'!I111</f>
        <v>0</v>
      </c>
      <c r="BN111" s="1783">
        <f>'B - Monthly Positions'!J111</f>
        <v>0</v>
      </c>
      <c r="BO111" s="1783">
        <f>'B - Monthly Positions'!K111</f>
        <v>0</v>
      </c>
      <c r="BP111" s="1783">
        <f>'B - Monthly Positions'!L111</f>
        <v>0</v>
      </c>
      <c r="BQ111" s="1783">
        <f>'B - Monthly Positions'!M111</f>
        <v>0</v>
      </c>
      <c r="BR111" s="1783">
        <f>'B - Monthly Positions'!N111</f>
        <v>0</v>
      </c>
      <c r="BS111" s="1786">
        <f>'B - Monthly Positions'!O111</f>
        <v>0</v>
      </c>
      <c r="BT111" s="74">
        <f>'B - Monthly Positions'!P111</f>
        <v>0</v>
      </c>
      <c r="BU111" s="1067">
        <f>'B - Monthly Positions'!Q111</f>
        <v>0</v>
      </c>
      <c r="BV111" s="2594"/>
      <c r="BX111" s="91">
        <f>' Table Z Net Exp Profiles'!A111</f>
        <v>81</v>
      </c>
      <c r="BY111" s="92" t="str">
        <f>' Table Z Net Exp Profiles'!B111</f>
        <v>Primary Care Accountancy Gains - Actual/Forecast</v>
      </c>
      <c r="BZ111" s="1290">
        <f>' Table Z Net Exp Profiles'!C111</f>
        <v>0</v>
      </c>
      <c r="CA111" s="1291">
        <f>' Table Z Net Exp Profiles'!D111</f>
        <v>0</v>
      </c>
      <c r="CB111" s="1291">
        <f>' Table Z Net Exp Profiles'!E111</f>
        <v>0</v>
      </c>
      <c r="CC111" s="1291">
        <f>' Table Z Net Exp Profiles'!F111</f>
        <v>0</v>
      </c>
      <c r="CD111" s="1291">
        <f>' Table Z Net Exp Profiles'!G111</f>
        <v>0</v>
      </c>
      <c r="CE111" s="1291">
        <f>' Table Z Net Exp Profiles'!H111</f>
        <v>0</v>
      </c>
      <c r="CF111" s="1291">
        <f>' Table Z Net Exp Profiles'!I111</f>
        <v>0</v>
      </c>
      <c r="CG111" s="1291">
        <f>' Table Z Net Exp Profiles'!J111</f>
        <v>0</v>
      </c>
      <c r="CH111" s="1291">
        <f>' Table Z Net Exp Profiles'!K111</f>
        <v>0</v>
      </c>
      <c r="CI111" s="1291">
        <f>' Table Z Net Exp Profiles'!L111</f>
        <v>0</v>
      </c>
      <c r="CJ111" s="1291">
        <f>' Table Z Net Exp Profiles'!M111</f>
        <v>0</v>
      </c>
      <c r="CK111" s="1292">
        <f>' Table Z Net Exp Profiles'!N111</f>
        <v>0</v>
      </c>
      <c r="CL111" s="1215">
        <f>' Table Z Net Exp Profiles'!O111</f>
        <v>0</v>
      </c>
      <c r="CM111" s="1215">
        <f>' Table Z Net Exp Profiles'!P111</f>
        <v>0</v>
      </c>
      <c r="DF111" s="2838">
        <f>'B3 - COVID-19'!A111</f>
        <v>80</v>
      </c>
      <c r="DG111" s="1906" t="str">
        <f>'B3 - COVID-19'!B111</f>
        <v>Do not Use</v>
      </c>
      <c r="DH111" s="1330">
        <f>'B3 - COVID-19'!C111</f>
        <v>0</v>
      </c>
      <c r="DI111" s="1330">
        <f>'B3 - COVID-19'!D111</f>
        <v>0</v>
      </c>
      <c r="DJ111" s="1330">
        <f>'B3 - COVID-19'!E111</f>
        <v>0</v>
      </c>
      <c r="DK111" s="1330">
        <f>'B3 - COVID-19'!F111</f>
        <v>0</v>
      </c>
      <c r="DL111" s="1330">
        <f>'B3 - COVID-19'!G111</f>
        <v>0</v>
      </c>
      <c r="DM111" s="1330">
        <f>'B3 - COVID-19'!H111</f>
        <v>0</v>
      </c>
      <c r="DN111" s="1330">
        <f>'B3 - COVID-19'!I111</f>
        <v>0</v>
      </c>
      <c r="DO111" s="1330">
        <f>'B3 - COVID-19'!J111</f>
        <v>0</v>
      </c>
      <c r="DP111" s="1330">
        <f>'B3 - COVID-19'!K111</f>
        <v>0</v>
      </c>
      <c r="DQ111" s="1330">
        <f>'B3 - COVID-19'!L111</f>
        <v>0</v>
      </c>
      <c r="DR111" s="1330">
        <f>'B3 - COVID-19'!M111</f>
        <v>0</v>
      </c>
      <c r="DS111" s="1330">
        <f>'B3 - COVID-19'!N111</f>
        <v>0</v>
      </c>
      <c r="DT111" s="1863">
        <f>'B3 - COVID-19'!O111</f>
        <v>0</v>
      </c>
      <c r="DU111" s="1864">
        <f>'B3 - COVID-19'!P111</f>
        <v>0</v>
      </c>
      <c r="DV111" s="608"/>
      <c r="DW111" s="1116"/>
      <c r="DY111" s="2095">
        <f>'C, C1, C2&amp; C3 - Savings Schemes'!A111</f>
        <v>5</v>
      </c>
      <c r="DZ111" s="3039"/>
      <c r="EA111" s="90" t="str">
        <f>'C, C1, C2&amp; C3 - Savings Schemes'!C111</f>
        <v>Actual/F'cast</v>
      </c>
      <c r="EB111" s="2643">
        <f>'C, C1, C2&amp; C3 - Savings Schemes'!D111</f>
        <v>454.5</v>
      </c>
      <c r="EC111" s="2643">
        <f>'C, C1, C2&amp; C3 - Savings Schemes'!E111</f>
        <v>118.5</v>
      </c>
      <c r="ED111" s="2643">
        <f>'C, C1, C2&amp; C3 - Savings Schemes'!F111</f>
        <v>118.5</v>
      </c>
      <c r="EE111" s="2643">
        <f>'C, C1, C2&amp; C3 - Savings Schemes'!G111</f>
        <v>118.5</v>
      </c>
      <c r="EF111" s="2643">
        <f>'C, C1, C2&amp; C3 - Savings Schemes'!H111</f>
        <v>118.5</v>
      </c>
      <c r="EG111" s="2643">
        <f>'C, C1, C2&amp; C3 - Savings Schemes'!I111</f>
        <v>118.5</v>
      </c>
      <c r="EH111" s="2643">
        <f>'C, C1, C2&amp; C3 - Savings Schemes'!J111</f>
        <v>118.5</v>
      </c>
      <c r="EI111" s="2643">
        <f>'C, C1, C2&amp; C3 - Savings Schemes'!K111</f>
        <v>118.5</v>
      </c>
      <c r="EJ111" s="2643">
        <f>'C, C1, C2&amp; C3 - Savings Schemes'!L111</f>
        <v>118.5</v>
      </c>
      <c r="EK111" s="2643">
        <f>'C, C1, C2&amp; C3 - Savings Schemes'!M111</f>
        <v>118.5</v>
      </c>
      <c r="EL111" s="2643">
        <f>'C, C1, C2&amp; C3 - Savings Schemes'!N111</f>
        <v>118.5</v>
      </c>
      <c r="EM111" s="2643">
        <f>'C, C1, C2&amp; C3 - Savings Schemes'!O111</f>
        <v>118.5</v>
      </c>
      <c r="EN111" s="2644">
        <f>'C, C1, C2&amp; C3 - Savings Schemes'!P111</f>
        <v>454.5</v>
      </c>
      <c r="EO111" s="2644">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7">
        <f>'E - Resource Limits'!G111</f>
        <v>0</v>
      </c>
      <c r="GM111" s="196">
        <f>'E - Resource Limits'!H111</f>
        <v>0</v>
      </c>
      <c r="GN111" s="2555">
        <f>'E - Resource Limits'!I111</f>
        <v>0</v>
      </c>
      <c r="GO111" s="1745"/>
      <c r="GP111" s="1745"/>
      <c r="GQ111" s="1745"/>
      <c r="GR111" s="1935"/>
      <c r="JD111" s="2309"/>
      <c r="JE111" s="2364"/>
      <c r="JF111" s="2097"/>
      <c r="JG111" s="2097"/>
      <c r="JH111" s="2097"/>
      <c r="JI111" s="1943"/>
      <c r="JJ111" s="2097"/>
      <c r="JK111" s="2097"/>
      <c r="JL111" s="2097"/>
      <c r="JM111" s="2060"/>
      <c r="JN111" s="759"/>
      <c r="JO111" s="2060"/>
      <c r="LL111" s="814"/>
      <c r="LM111" s="2197">
        <f>'M - Aged Debtors'!B111</f>
        <v>0</v>
      </c>
      <c r="LN111" s="2198">
        <f>'M - Aged Debtors'!C111</f>
        <v>0</v>
      </c>
      <c r="LO111" s="2199">
        <f>'M - Aged Debtors'!D111</f>
        <v>0</v>
      </c>
      <c r="LP111" s="2200">
        <f>'M - Aged Debtors'!E111</f>
        <v>0</v>
      </c>
      <c r="LQ111" s="2201">
        <f>'M - Aged Debtors'!F111</f>
        <v>0</v>
      </c>
      <c r="LR111" s="832" t="str">
        <f>'M - Aged Debtors'!G111</f>
        <v/>
      </c>
      <c r="LS111" s="829" t="str">
        <f>'M - Aged Debtors'!H111</f>
        <v/>
      </c>
      <c r="LT111" s="829" t="str">
        <f>'M - Aged Debtors'!I111</f>
        <v/>
      </c>
      <c r="LU111" s="830" t="str">
        <f>'M - Aged Debtors'!J111</f>
        <v/>
      </c>
      <c r="LV111" s="1830">
        <f>'M - Aged Debtors'!K111</f>
        <v>0</v>
      </c>
      <c r="LX111" s="3146">
        <f>'N - GMS'!A111</f>
        <v>0</v>
      </c>
      <c r="LY111" s="3147"/>
      <c r="LZ111" s="461">
        <f>'N - GMS'!C111</f>
        <v>86</v>
      </c>
      <c r="MA111" s="67">
        <f>'N - GMS'!D111</f>
        <v>0</v>
      </c>
      <c r="MB111" s="2231">
        <f>'N - GMS'!E111</f>
        <v>0</v>
      </c>
      <c r="MC111" s="2231">
        <f>'N - GMS'!F111</f>
        <v>0</v>
      </c>
      <c r="MD111" s="463">
        <f>'N - GMS'!G111</f>
        <v>0</v>
      </c>
      <c r="ME111" s="213"/>
      <c r="MF111" s="1028">
        <f>'N - GMS'!I111</f>
        <v>0</v>
      </c>
      <c r="MR111" s="684"/>
      <c r="MS111" s="1468"/>
      <c r="MT111" s="1468"/>
      <c r="MU111" s="1468"/>
      <c r="MV111" s="1468"/>
      <c r="MW111" s="1468"/>
      <c r="MX111" s="1468"/>
      <c r="MY111" s="1468"/>
      <c r="MZ111" s="1468"/>
      <c r="NA111" s="1468"/>
      <c r="NB111" s="1468"/>
      <c r="NC111" s="1468"/>
      <c r="ND111" s="1468"/>
      <c r="NE111" s="1468"/>
      <c r="NF111" s="1468"/>
      <c r="NG111" s="1468"/>
      <c r="NH111" s="1468"/>
      <c r="NI111" s="1468"/>
      <c r="NJ111" s="684"/>
      <c r="NK111" s="684"/>
    </row>
    <row r="112" spans="57:375" ht="20.149999999999999" customHeight="1" thickBot="1">
      <c r="BE112" s="890">
        <f>'B - Monthly Positions'!A112</f>
        <v>60</v>
      </c>
      <c r="BF112" s="1850">
        <f>'B - Monthly Positions'!B112</f>
        <v>0</v>
      </c>
      <c r="BG112" s="93" t="s">
        <v>288</v>
      </c>
      <c r="BH112" s="1782">
        <f>'B - Monthly Positions'!D112</f>
        <v>0</v>
      </c>
      <c r="BI112" s="1783">
        <f>'B - Monthly Positions'!E112</f>
        <v>0</v>
      </c>
      <c r="BJ112" s="1783">
        <f>'B - Monthly Positions'!F112</f>
        <v>0</v>
      </c>
      <c r="BK112" s="1783">
        <f>'B - Monthly Positions'!G112</f>
        <v>0</v>
      </c>
      <c r="BL112" s="1783">
        <f>'B - Monthly Positions'!H112</f>
        <v>0</v>
      </c>
      <c r="BM112" s="1783">
        <f>'B - Monthly Positions'!I112</f>
        <v>0</v>
      </c>
      <c r="BN112" s="1783">
        <f>'B - Monthly Positions'!J112</f>
        <v>0</v>
      </c>
      <c r="BO112" s="1783">
        <f>'B - Monthly Positions'!K112</f>
        <v>0</v>
      </c>
      <c r="BP112" s="1783">
        <f>'B - Monthly Positions'!L112</f>
        <v>0</v>
      </c>
      <c r="BQ112" s="1783">
        <f>'B - Monthly Positions'!M112</f>
        <v>0</v>
      </c>
      <c r="BR112" s="1783">
        <f>'B - Monthly Positions'!N112</f>
        <v>0</v>
      </c>
      <c r="BS112" s="1786">
        <f>'B - Monthly Positions'!O112</f>
        <v>0</v>
      </c>
      <c r="BT112" s="74">
        <f>'B - Monthly Positions'!P112</f>
        <v>0</v>
      </c>
      <c r="BU112" s="1067">
        <f>'B - Monthly Positions'!Q112</f>
        <v>0</v>
      </c>
      <c r="BV112" s="2594"/>
      <c r="BX112" s="144">
        <f>' Table Z Net Exp Profiles'!A112</f>
        <v>82</v>
      </c>
      <c r="BY112" s="2519" t="str">
        <f>' Table Z Net Exp Profiles'!B112</f>
        <v>In Year Operational Primary Care Expenditure Cost Reduction Due To C19 (Positive Values)</v>
      </c>
      <c r="BZ112" s="2503">
        <f>' Table Z Net Exp Profiles'!C112</f>
        <v>0</v>
      </c>
      <c r="CA112" s="2504">
        <f>' Table Z Net Exp Profiles'!D112</f>
        <v>0</v>
      </c>
      <c r="CB112" s="2504">
        <f>' Table Z Net Exp Profiles'!E112</f>
        <v>0</v>
      </c>
      <c r="CC112" s="2504">
        <f>' Table Z Net Exp Profiles'!F112</f>
        <v>0</v>
      </c>
      <c r="CD112" s="2504">
        <f>' Table Z Net Exp Profiles'!G112</f>
        <v>0</v>
      </c>
      <c r="CE112" s="2504">
        <f>' Table Z Net Exp Profiles'!H112</f>
        <v>0</v>
      </c>
      <c r="CF112" s="2504">
        <f>' Table Z Net Exp Profiles'!I112</f>
        <v>0</v>
      </c>
      <c r="CG112" s="2504">
        <f>' Table Z Net Exp Profiles'!J112</f>
        <v>0</v>
      </c>
      <c r="CH112" s="2504">
        <f>' Table Z Net Exp Profiles'!K112</f>
        <v>0</v>
      </c>
      <c r="CI112" s="2504">
        <f>' Table Z Net Exp Profiles'!L112</f>
        <v>0</v>
      </c>
      <c r="CJ112" s="2504">
        <f>' Table Z Net Exp Profiles'!M112</f>
        <v>0</v>
      </c>
      <c r="CK112" s="2505">
        <f>' Table Z Net Exp Profiles'!N112</f>
        <v>0</v>
      </c>
      <c r="CL112" s="1692">
        <f>' Table Z Net Exp Profiles'!O112</f>
        <v>0</v>
      </c>
      <c r="CM112" s="1692">
        <f>' Table Z Net Exp Profiles'!P112</f>
        <v>0</v>
      </c>
      <c r="DF112" s="2838">
        <f>'B3 - COVID-19'!A112</f>
        <v>81</v>
      </c>
      <c r="DG112" s="1906" t="str">
        <f>'B3 - COVID-19'!B112</f>
        <v>Primary Care - Drugs</v>
      </c>
      <c r="DH112" s="1330">
        <f>'B3 - COVID-19'!C112</f>
        <v>0</v>
      </c>
      <c r="DI112" s="1330">
        <f>'B3 - COVID-19'!D112</f>
        <v>0</v>
      </c>
      <c r="DJ112" s="1330">
        <f>'B3 - COVID-19'!E112</f>
        <v>0</v>
      </c>
      <c r="DK112" s="1330">
        <f>'B3 - COVID-19'!F112</f>
        <v>0</v>
      </c>
      <c r="DL112" s="1330">
        <f>'B3 - COVID-19'!G112</f>
        <v>0</v>
      </c>
      <c r="DM112" s="1330">
        <f>'B3 - COVID-19'!H112</f>
        <v>0</v>
      </c>
      <c r="DN112" s="1330">
        <f>'B3 - COVID-19'!I112</f>
        <v>0</v>
      </c>
      <c r="DO112" s="1330">
        <f>'B3 - COVID-19'!J112</f>
        <v>0</v>
      </c>
      <c r="DP112" s="1330">
        <f>'B3 - COVID-19'!K112</f>
        <v>0</v>
      </c>
      <c r="DQ112" s="1330">
        <f>'B3 - COVID-19'!L112</f>
        <v>0</v>
      </c>
      <c r="DR112" s="1330">
        <f>'B3 - COVID-19'!M112</f>
        <v>0</v>
      </c>
      <c r="DS112" s="1330">
        <f>'B3 - COVID-19'!N112</f>
        <v>0</v>
      </c>
      <c r="DT112" s="1863">
        <f>'B3 - COVID-19'!O112</f>
        <v>0</v>
      </c>
      <c r="DU112" s="1864">
        <f>'B3 - COVID-19'!P112</f>
        <v>0</v>
      </c>
      <c r="DV112" s="608"/>
      <c r="DW112" s="1116"/>
      <c r="DY112" s="2095">
        <f>'C, C1, C2&amp; C3 - Savings Schemes'!A112</f>
        <v>6</v>
      </c>
      <c r="DZ112" s="3040"/>
      <c r="EA112" s="92" t="str">
        <f>'C, C1, C2&amp; C3 - Savings Schemes'!C112</f>
        <v>Variance</v>
      </c>
      <c r="EB112" s="2644">
        <f>'C, C1, C2&amp; C3 - Savings Schemes'!D112</f>
        <v>0</v>
      </c>
      <c r="EC112" s="2644">
        <f>'C, C1, C2&amp; C3 - Savings Schemes'!E112</f>
        <v>0</v>
      </c>
      <c r="ED112" s="2644">
        <f>'C, C1, C2&amp; C3 - Savings Schemes'!F112</f>
        <v>0</v>
      </c>
      <c r="EE112" s="2644">
        <f>'C, C1, C2&amp; C3 - Savings Schemes'!G112</f>
        <v>0</v>
      </c>
      <c r="EF112" s="2644">
        <f>'C, C1, C2&amp; C3 - Savings Schemes'!H112</f>
        <v>0</v>
      </c>
      <c r="EG112" s="2644">
        <f>'C, C1, C2&amp; C3 - Savings Schemes'!I112</f>
        <v>0</v>
      </c>
      <c r="EH112" s="2644">
        <f>'C, C1, C2&amp; C3 - Savings Schemes'!J112</f>
        <v>0</v>
      </c>
      <c r="EI112" s="2644">
        <f>'C, C1, C2&amp; C3 - Savings Schemes'!K112</f>
        <v>0</v>
      </c>
      <c r="EJ112" s="2644">
        <f>'C, C1, C2&amp; C3 - Savings Schemes'!L112</f>
        <v>0</v>
      </c>
      <c r="EK112" s="2644">
        <f>'C, C1, C2&amp; C3 - Savings Schemes'!M112</f>
        <v>0</v>
      </c>
      <c r="EL112" s="2644">
        <f>'C, C1, C2&amp; C3 - Savings Schemes'!N112</f>
        <v>0</v>
      </c>
      <c r="EM112" s="2644">
        <f>'C, C1, C2&amp; C3 - Savings Schemes'!O112</f>
        <v>0</v>
      </c>
      <c r="EN112" s="2644">
        <f>'C, C1, C2&amp; C3 - Savings Schemes'!P112</f>
        <v>0</v>
      </c>
      <c r="EO112" s="2644">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7">
        <f>'E - Resource Limits'!G112</f>
        <v>0</v>
      </c>
      <c r="GM112" s="196">
        <f>'E - Resource Limits'!H112</f>
        <v>0</v>
      </c>
      <c r="GN112" s="2555">
        <f>'E - Resource Limits'!I112</f>
        <v>0</v>
      </c>
      <c r="GO112" s="1745"/>
      <c r="GP112" s="1745"/>
      <c r="GQ112" s="1745"/>
      <c r="GR112" s="1935"/>
      <c r="JD112" s="2073"/>
      <c r="JE112" s="2436" t="str">
        <f>'I - Capital RLM'!B112</f>
        <v>Asset Disposals:</v>
      </c>
      <c r="JF112" s="2321"/>
      <c r="JG112" s="2321"/>
      <c r="JH112" s="2321"/>
      <c r="JI112" s="1944"/>
      <c r="JJ112" s="2321"/>
      <c r="JK112" s="2321"/>
      <c r="JL112" s="2321"/>
      <c r="JM112" s="2060"/>
      <c r="JN112" s="759"/>
      <c r="JO112" s="2060"/>
      <c r="LL112" s="814"/>
      <c r="LM112" s="2197">
        <f>'M - Aged Debtors'!B112</f>
        <v>0</v>
      </c>
      <c r="LN112" s="2198">
        <f>'M - Aged Debtors'!C112</f>
        <v>0</v>
      </c>
      <c r="LO112" s="2199">
        <f>'M - Aged Debtors'!D112</f>
        <v>0</v>
      </c>
      <c r="LP112" s="2200">
        <f>'M - Aged Debtors'!E112</f>
        <v>0</v>
      </c>
      <c r="LQ112" s="2201">
        <f>'M - Aged Debtors'!F112</f>
        <v>0</v>
      </c>
      <c r="LR112" s="832" t="str">
        <f>'M - Aged Debtors'!G112</f>
        <v/>
      </c>
      <c r="LS112" s="829" t="str">
        <f>'M - Aged Debtors'!H112</f>
        <v/>
      </c>
      <c r="LT112" s="829" t="str">
        <f>'M - Aged Debtors'!I112</f>
        <v/>
      </c>
      <c r="LU112" s="830" t="str">
        <f>'M - Aged Debtors'!J112</f>
        <v/>
      </c>
      <c r="LV112" s="1830">
        <f>'M - Aged Debtors'!K112</f>
        <v>0</v>
      </c>
      <c r="LX112" s="3146">
        <f>'N - GMS'!A112</f>
        <v>0</v>
      </c>
      <c r="LY112" s="3147"/>
      <c r="LZ112" s="461">
        <f>'N - GMS'!C112</f>
        <v>87</v>
      </c>
      <c r="MA112" s="67">
        <f>'N - GMS'!D112</f>
        <v>0</v>
      </c>
      <c r="MB112" s="2231">
        <f>'N - GMS'!E112</f>
        <v>0</v>
      </c>
      <c r="MC112" s="2231">
        <f>'N - GMS'!F112</f>
        <v>0</v>
      </c>
      <c r="MD112" s="463">
        <f>'N - GMS'!G112</f>
        <v>0</v>
      </c>
      <c r="ME112" s="213"/>
      <c r="MF112" s="1028">
        <f>'N - GMS'!I112</f>
        <v>0</v>
      </c>
      <c r="MR112" s="684"/>
      <c r="MS112" s="2674" t="str">
        <f>'P - Ringfenced'!B112</f>
        <v>Spare (Confirm in below text 'Allocated' or 'Anticipated')</v>
      </c>
      <c r="MT112" s="2673" t="str">
        <f>'P - Ringfenced'!C112</f>
        <v>£000s</v>
      </c>
      <c r="MU112" s="1468"/>
      <c r="MV112" s="1468"/>
      <c r="MW112" s="1468"/>
      <c r="MX112" s="1468"/>
      <c r="MY112" s="1468"/>
      <c r="MZ112" s="1468"/>
      <c r="NA112" s="1468"/>
      <c r="NB112" s="1468"/>
      <c r="NC112" s="1468"/>
      <c r="ND112" s="1468"/>
      <c r="NE112" s="1468"/>
      <c r="NF112" s="1468"/>
      <c r="NG112" s="1468"/>
      <c r="NH112" s="1468"/>
      <c r="NI112" s="1468"/>
      <c r="NJ112" s="684"/>
      <c r="NK112" s="684"/>
    </row>
    <row r="113" spans="57:375" ht="20.149999999999999" customHeight="1" thickBot="1">
      <c r="BE113" s="890">
        <f>'B - Monthly Positions'!A113</f>
        <v>61</v>
      </c>
      <c r="BF113" s="1850">
        <f>'B - Monthly Positions'!B113</f>
        <v>0</v>
      </c>
      <c r="BG113" s="2215" t="s">
        <v>288</v>
      </c>
      <c r="BH113" s="1800">
        <f>'B - Monthly Positions'!D113</f>
        <v>0</v>
      </c>
      <c r="BI113" s="1801">
        <f>'B - Monthly Positions'!E113</f>
        <v>0</v>
      </c>
      <c r="BJ113" s="1801">
        <f>'B - Monthly Positions'!F113</f>
        <v>0</v>
      </c>
      <c r="BK113" s="1801">
        <f>'B - Monthly Positions'!G113</f>
        <v>0</v>
      </c>
      <c r="BL113" s="1801">
        <f>'B - Monthly Positions'!H113</f>
        <v>0</v>
      </c>
      <c r="BM113" s="1801">
        <f>'B - Monthly Positions'!I113</f>
        <v>0</v>
      </c>
      <c r="BN113" s="1801">
        <f>'B - Monthly Positions'!J113</f>
        <v>0</v>
      </c>
      <c r="BO113" s="1801">
        <f>'B - Monthly Positions'!K113</f>
        <v>0</v>
      </c>
      <c r="BP113" s="1801">
        <f>'B - Monthly Positions'!L113</f>
        <v>0</v>
      </c>
      <c r="BQ113" s="1801">
        <f>'B - Monthly Positions'!M113</f>
        <v>0</v>
      </c>
      <c r="BR113" s="1801">
        <f>'B - Monthly Positions'!N113</f>
        <v>0</v>
      </c>
      <c r="BS113" s="2349">
        <f>'B - Monthly Positions'!O113</f>
        <v>0</v>
      </c>
      <c r="BT113" s="1073">
        <f>'B - Monthly Positions'!P113</f>
        <v>0</v>
      </c>
      <c r="BU113" s="1067">
        <f>'B - Monthly Positions'!Q113</f>
        <v>0</v>
      </c>
      <c r="BV113" s="2594"/>
      <c r="BX113" s="144">
        <f>' Table Z Net Exp Profiles'!A113</f>
        <v>83</v>
      </c>
      <c r="BY113" s="1075" t="str">
        <f>' Table Z Net Exp Profiles'!B113</f>
        <v>In Year Slippage on Current Planned Primary Care Investments/Repurposing of Developmental Initiatives due to C19 (Positive Values)</v>
      </c>
      <c r="BZ113" s="2506">
        <f>' Table Z Net Exp Profiles'!C113</f>
        <v>0</v>
      </c>
      <c r="CA113" s="2502">
        <f>' Table Z Net Exp Profiles'!D113</f>
        <v>0</v>
      </c>
      <c r="CB113" s="2502">
        <f>' Table Z Net Exp Profiles'!E113</f>
        <v>0</v>
      </c>
      <c r="CC113" s="2502">
        <f>' Table Z Net Exp Profiles'!F113</f>
        <v>0</v>
      </c>
      <c r="CD113" s="2502">
        <f>' Table Z Net Exp Profiles'!G113</f>
        <v>0</v>
      </c>
      <c r="CE113" s="2502">
        <f>' Table Z Net Exp Profiles'!H113</f>
        <v>0</v>
      </c>
      <c r="CF113" s="2502">
        <f>' Table Z Net Exp Profiles'!I113</f>
        <v>0</v>
      </c>
      <c r="CG113" s="2502">
        <f>' Table Z Net Exp Profiles'!J113</f>
        <v>0</v>
      </c>
      <c r="CH113" s="2502">
        <f>' Table Z Net Exp Profiles'!K113</f>
        <v>0</v>
      </c>
      <c r="CI113" s="2502">
        <f>' Table Z Net Exp Profiles'!L113</f>
        <v>0</v>
      </c>
      <c r="CJ113" s="2502">
        <f>' Table Z Net Exp Profiles'!M113</f>
        <v>0</v>
      </c>
      <c r="CK113" s="2502">
        <f>' Table Z Net Exp Profiles'!N113</f>
        <v>0</v>
      </c>
      <c r="CL113" s="1101">
        <f>' Table Z Net Exp Profiles'!O113</f>
        <v>0</v>
      </c>
      <c r="CM113" s="1101">
        <f>' Table Z Net Exp Profiles'!P113</f>
        <v>0</v>
      </c>
      <c r="DF113" s="2838">
        <f>'B3 - COVID-19'!A113</f>
        <v>82</v>
      </c>
      <c r="DG113" s="1906" t="str">
        <f>'B3 - COVID-19'!B113</f>
        <v>Secondary Care - Drugs</v>
      </c>
      <c r="DH113" s="1330">
        <f>'B3 - COVID-19'!C113</f>
        <v>0</v>
      </c>
      <c r="DI113" s="1330">
        <f>'B3 - COVID-19'!D113</f>
        <v>0</v>
      </c>
      <c r="DJ113" s="1330">
        <f>'B3 - COVID-19'!E113</f>
        <v>0</v>
      </c>
      <c r="DK113" s="1330">
        <f>'B3 - COVID-19'!F113</f>
        <v>0</v>
      </c>
      <c r="DL113" s="1330">
        <f>'B3 - COVID-19'!G113</f>
        <v>0</v>
      </c>
      <c r="DM113" s="1330">
        <f>'B3 - COVID-19'!H113</f>
        <v>0</v>
      </c>
      <c r="DN113" s="1330">
        <f>'B3 - COVID-19'!I113</f>
        <v>0</v>
      </c>
      <c r="DO113" s="1330">
        <f>'B3 - COVID-19'!J113</f>
        <v>0</v>
      </c>
      <c r="DP113" s="1330">
        <f>'B3 - COVID-19'!K113</f>
        <v>0</v>
      </c>
      <c r="DQ113" s="1330">
        <f>'B3 - COVID-19'!L113</f>
        <v>0</v>
      </c>
      <c r="DR113" s="1330">
        <f>'B3 - COVID-19'!M113</f>
        <v>0</v>
      </c>
      <c r="DS113" s="1330">
        <f>'B3 - COVID-19'!N113</f>
        <v>0</v>
      </c>
      <c r="DT113" s="1863">
        <f>'B3 - COVID-19'!O113</f>
        <v>0</v>
      </c>
      <c r="DU113" s="1864">
        <f>'B3 - COVID-19'!P113</f>
        <v>0</v>
      </c>
      <c r="DV113" s="608"/>
      <c r="DW113" s="1116"/>
      <c r="DY113" s="2111">
        <f>'C, C1, C2&amp; C3 - Savings Schemes'!A113</f>
        <v>7</v>
      </c>
      <c r="DZ113" s="3038" t="str">
        <f>'C, C1, C2&amp; C3 - Savings Schemes'!B113</f>
        <v>Primary Care Drugs</v>
      </c>
      <c r="EA113" s="87" t="str">
        <f>'C, C1, C2&amp; C3 - Savings Schemes'!C113</f>
        <v>Budget/Plan</v>
      </c>
      <c r="EB113" s="2643">
        <f>'C, C1, C2&amp; C3 - Savings Schemes'!D113</f>
        <v>0</v>
      </c>
      <c r="EC113" s="2643">
        <f>'C, C1, C2&amp; C3 - Savings Schemes'!E113</f>
        <v>0</v>
      </c>
      <c r="ED113" s="2643">
        <f>'C, C1, C2&amp; C3 - Savings Schemes'!F113</f>
        <v>0</v>
      </c>
      <c r="EE113" s="2643">
        <f>'C, C1, C2&amp; C3 - Savings Schemes'!G113</f>
        <v>0</v>
      </c>
      <c r="EF113" s="2643">
        <f>'C, C1, C2&amp; C3 - Savings Schemes'!H113</f>
        <v>0</v>
      </c>
      <c r="EG113" s="2643">
        <f>'C, C1, C2&amp; C3 - Savings Schemes'!I113</f>
        <v>0</v>
      </c>
      <c r="EH113" s="2643">
        <f>'C, C1, C2&amp; C3 - Savings Schemes'!J113</f>
        <v>0</v>
      </c>
      <c r="EI113" s="2643">
        <f>'C, C1, C2&amp; C3 - Savings Schemes'!K113</f>
        <v>0</v>
      </c>
      <c r="EJ113" s="2643">
        <f>'C, C1, C2&amp; C3 - Savings Schemes'!L113</f>
        <v>0</v>
      </c>
      <c r="EK113" s="2643">
        <f>'C, C1, C2&amp; C3 - Savings Schemes'!M113</f>
        <v>0</v>
      </c>
      <c r="EL113" s="2643">
        <f>'C, C1, C2&amp; C3 - Savings Schemes'!N113</f>
        <v>0</v>
      </c>
      <c r="EM113" s="2643">
        <f>'C, C1, C2&amp; C3 - Savings Schemes'!O113</f>
        <v>0</v>
      </c>
      <c r="EN113" s="2644">
        <f>'C, C1, C2&amp; C3 - Savings Schemes'!P113</f>
        <v>0</v>
      </c>
      <c r="EO113" s="2644">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7">
        <f>'E - Resource Limits'!G113</f>
        <v>0</v>
      </c>
      <c r="GM113" s="196">
        <f>'E - Resource Limits'!H113</f>
        <v>0</v>
      </c>
      <c r="GN113" s="2555">
        <f>'E - Resource Limits'!I113</f>
        <v>0</v>
      </c>
      <c r="GO113" s="1745"/>
      <c r="GP113" s="1745"/>
      <c r="GQ113" s="1745"/>
      <c r="GR113" s="1935"/>
      <c r="JD113" s="2088">
        <f>'I - Capital RLM'!A113</f>
        <v>79</v>
      </c>
      <c r="JE113" s="2089">
        <f>'I - Capital RLM'!B113</f>
        <v>0</v>
      </c>
      <c r="JF113" s="2010">
        <f>'I - Capital RLM'!C113</f>
        <v>0</v>
      </c>
      <c r="JG113" s="2010">
        <f>'I - Capital RLM'!D113</f>
        <v>0</v>
      </c>
      <c r="JH113" s="2118">
        <f>'I - Capital RLM'!E113</f>
        <v>0</v>
      </c>
      <c r="JI113" s="1943">
        <f>'I - Capital RLM'!F113</f>
        <v>0</v>
      </c>
      <c r="JJ113" s="2010">
        <f>'I - Capital RLM'!G113</f>
        <v>0</v>
      </c>
      <c r="JK113" s="2010">
        <f>'I - Capital RLM'!H113</f>
        <v>0</v>
      </c>
      <c r="JL113" s="2118">
        <f>'I - Capital RLM'!I113</f>
        <v>0</v>
      </c>
      <c r="JM113" s="1943"/>
      <c r="JN113" s="1889">
        <f>'I - Capital RLM'!K113</f>
        <v>0</v>
      </c>
      <c r="JO113" s="1943">
        <f t="shared" ref="JO113:JO123" si="23">IF(AND(JK113&gt;0,JE113=""),1,0)</f>
        <v>0</v>
      </c>
      <c r="LL113" s="814"/>
      <c r="LM113" s="2197">
        <f>'M - Aged Debtors'!B113</f>
        <v>0</v>
      </c>
      <c r="LN113" s="2198">
        <f>'M - Aged Debtors'!C113</f>
        <v>0</v>
      </c>
      <c r="LO113" s="2199">
        <f>'M - Aged Debtors'!D113</f>
        <v>0</v>
      </c>
      <c r="LP113" s="2200">
        <f>'M - Aged Debtors'!E113</f>
        <v>0</v>
      </c>
      <c r="LQ113" s="2201">
        <f>'M - Aged Debtors'!F113</f>
        <v>0</v>
      </c>
      <c r="LR113" s="832" t="str">
        <f>'M - Aged Debtors'!G113</f>
        <v/>
      </c>
      <c r="LS113" s="829" t="str">
        <f>'M - Aged Debtors'!H113</f>
        <v/>
      </c>
      <c r="LT113" s="829" t="str">
        <f>'M - Aged Debtors'!I113</f>
        <v/>
      </c>
      <c r="LU113" s="830" t="str">
        <f>'M - Aged Debtors'!J113</f>
        <v/>
      </c>
      <c r="LV113" s="1830">
        <f>'M - Aged Debtors'!K113</f>
        <v>0</v>
      </c>
      <c r="LX113" s="3146">
        <f>'N - GMS'!A113</f>
        <v>0</v>
      </c>
      <c r="LY113" s="3147"/>
      <c r="LZ113" s="461">
        <f>'N - GMS'!C113</f>
        <v>88</v>
      </c>
      <c r="MA113" s="67">
        <f>'N - GMS'!D113</f>
        <v>0</v>
      </c>
      <c r="MB113" s="2231">
        <f>'N - GMS'!E113</f>
        <v>0</v>
      </c>
      <c r="MC113" s="2231">
        <f>'N - GMS'!F113</f>
        <v>0</v>
      </c>
      <c r="MD113" s="463">
        <f>'N - GMS'!G113</f>
        <v>0</v>
      </c>
      <c r="ME113" s="213"/>
      <c r="MF113" s="1028">
        <f>'N - GMS'!I113</f>
        <v>0</v>
      </c>
      <c r="MR113" s="684"/>
      <c r="MS113" s="2772">
        <f>'P - Ringfenced'!B113</f>
        <v>0</v>
      </c>
      <c r="MT113" s="2702">
        <f>'P - Ringfenced'!C113</f>
        <v>0</v>
      </c>
      <c r="MU113" s="1468"/>
      <c r="MV113" s="1468"/>
      <c r="MW113" s="1468"/>
      <c r="MX113" s="1468"/>
      <c r="MY113" s="1468"/>
      <c r="MZ113" s="1468"/>
      <c r="NA113" s="1468"/>
      <c r="NB113" s="1468"/>
      <c r="NC113" s="1468"/>
      <c r="ND113" s="1468"/>
      <c r="NE113" s="1468"/>
      <c r="NF113" s="1468"/>
      <c r="NG113" s="1468"/>
      <c r="NH113" s="1468"/>
      <c r="NI113" s="1468"/>
      <c r="NJ113" s="684"/>
      <c r="NK113" s="684"/>
    </row>
    <row r="114" spans="57:375" ht="20.149999999999999" customHeight="1" thickBot="1">
      <c r="BE114" s="890">
        <f>'B - Monthly Positions'!A114</f>
        <v>62</v>
      </c>
      <c r="BF114" s="1850">
        <f>'B - Monthly Positions'!B114</f>
        <v>0</v>
      </c>
      <c r="BG114" s="2215" t="s">
        <v>288</v>
      </c>
      <c r="BH114" s="1800">
        <f>'B - Monthly Positions'!D114</f>
        <v>0</v>
      </c>
      <c r="BI114" s="1801">
        <f>'B - Monthly Positions'!E114</f>
        <v>0</v>
      </c>
      <c r="BJ114" s="1801">
        <f>'B - Monthly Positions'!F114</f>
        <v>0</v>
      </c>
      <c r="BK114" s="1801">
        <f>'B - Monthly Positions'!G114</f>
        <v>0</v>
      </c>
      <c r="BL114" s="1801">
        <f>'B - Monthly Positions'!H114</f>
        <v>0</v>
      </c>
      <c r="BM114" s="1801">
        <f>'B - Monthly Positions'!I114</f>
        <v>0</v>
      </c>
      <c r="BN114" s="1801">
        <f>'B - Monthly Positions'!J114</f>
        <v>0</v>
      </c>
      <c r="BO114" s="1801">
        <f>'B - Monthly Positions'!K114</f>
        <v>0</v>
      </c>
      <c r="BP114" s="1801">
        <f>'B - Monthly Positions'!L114</f>
        <v>0</v>
      </c>
      <c r="BQ114" s="1801">
        <f>'B - Monthly Positions'!M114</f>
        <v>0</v>
      </c>
      <c r="BR114" s="1801">
        <f>'B - Monthly Positions'!N114</f>
        <v>0</v>
      </c>
      <c r="BS114" s="2349">
        <f>'B - Monthly Positions'!O114</f>
        <v>0</v>
      </c>
      <c r="BT114" s="1073">
        <f>'B - Monthly Positions'!P114</f>
        <v>0</v>
      </c>
      <c r="BU114" s="1067">
        <f>'B - Monthly Positions'!Q114</f>
        <v>0</v>
      </c>
      <c r="BV114" s="2594"/>
      <c r="BX114" s="84"/>
      <c r="BY114" s="3049"/>
      <c r="BZ114" s="3049"/>
      <c r="CA114" s="3049"/>
      <c r="CB114" s="3049"/>
      <c r="CC114" s="3049"/>
      <c r="CD114" s="3049"/>
      <c r="CE114" s="3049"/>
      <c r="CF114" s="3049"/>
      <c r="CG114" s="3049"/>
      <c r="CH114" s="3049"/>
      <c r="CI114" s="3049"/>
      <c r="CJ114" s="3049"/>
      <c r="CK114" s="3049"/>
      <c r="CL114" s="3049"/>
      <c r="CM114" s="3049"/>
      <c r="DF114" s="2838">
        <f>'B3 - COVID-19'!A114</f>
        <v>83</v>
      </c>
      <c r="DG114" s="1906" t="str">
        <f>'B3 - COVID-19'!B114</f>
        <v>Provider - Non Pay (Clinical &amp; General Supplies, Rent, Rates, Equipment etc) Exclude PPE - see separate line</v>
      </c>
      <c r="DH114" s="1330">
        <f>'B3 - COVID-19'!C114</f>
        <v>0</v>
      </c>
      <c r="DI114" s="1330">
        <f>'B3 - COVID-19'!D114</f>
        <v>0</v>
      </c>
      <c r="DJ114" s="1330">
        <f>'B3 - COVID-19'!E114</f>
        <v>0</v>
      </c>
      <c r="DK114" s="1330">
        <f>'B3 - COVID-19'!F114</f>
        <v>0</v>
      </c>
      <c r="DL114" s="1330">
        <f>'B3 - COVID-19'!G114</f>
        <v>0</v>
      </c>
      <c r="DM114" s="1330">
        <f>'B3 - COVID-19'!H114</f>
        <v>0</v>
      </c>
      <c r="DN114" s="1330">
        <f>'B3 - COVID-19'!I114</f>
        <v>0</v>
      </c>
      <c r="DO114" s="1330">
        <f>'B3 - COVID-19'!J114</f>
        <v>0</v>
      </c>
      <c r="DP114" s="1330">
        <f>'B3 - COVID-19'!K114</f>
        <v>0</v>
      </c>
      <c r="DQ114" s="1330">
        <f>'B3 - COVID-19'!L114</f>
        <v>0</v>
      </c>
      <c r="DR114" s="1330">
        <f>'B3 - COVID-19'!M114</f>
        <v>0</v>
      </c>
      <c r="DS114" s="1330">
        <f>'B3 - COVID-19'!N114</f>
        <v>0</v>
      </c>
      <c r="DT114" s="1863">
        <f>'B3 - COVID-19'!O114</f>
        <v>0</v>
      </c>
      <c r="DU114" s="1864">
        <f>'B3 - COVID-19'!P114</f>
        <v>0</v>
      </c>
      <c r="DV114" s="608"/>
      <c r="DW114" s="1116"/>
      <c r="DY114" s="2095">
        <f>'C, C1, C2&amp; C3 - Savings Schemes'!A114</f>
        <v>8</v>
      </c>
      <c r="DZ114" s="3039"/>
      <c r="EA114" s="90" t="str">
        <f>'C, C1, C2&amp; C3 - Savings Schemes'!C114</f>
        <v>Actual/F'cast</v>
      </c>
      <c r="EB114" s="2643">
        <f>'C, C1, C2&amp; C3 - Savings Schemes'!D114</f>
        <v>0</v>
      </c>
      <c r="EC114" s="2643">
        <f>'C, C1, C2&amp; C3 - Savings Schemes'!E114</f>
        <v>0</v>
      </c>
      <c r="ED114" s="2643">
        <f>'C, C1, C2&amp; C3 - Savings Schemes'!F114</f>
        <v>0</v>
      </c>
      <c r="EE114" s="2643">
        <f>'C, C1, C2&amp; C3 - Savings Schemes'!G114</f>
        <v>0</v>
      </c>
      <c r="EF114" s="2643">
        <f>'C, C1, C2&amp; C3 - Savings Schemes'!H114</f>
        <v>0</v>
      </c>
      <c r="EG114" s="2643">
        <f>'C, C1, C2&amp; C3 - Savings Schemes'!I114</f>
        <v>0</v>
      </c>
      <c r="EH114" s="2643">
        <f>'C, C1, C2&amp; C3 - Savings Schemes'!J114</f>
        <v>0</v>
      </c>
      <c r="EI114" s="2643">
        <f>'C, C1, C2&amp; C3 - Savings Schemes'!K114</f>
        <v>0</v>
      </c>
      <c r="EJ114" s="2643">
        <f>'C, C1, C2&amp; C3 - Savings Schemes'!L114</f>
        <v>0</v>
      </c>
      <c r="EK114" s="2643">
        <f>'C, C1, C2&amp; C3 - Savings Schemes'!M114</f>
        <v>0</v>
      </c>
      <c r="EL114" s="2643">
        <f>'C, C1, C2&amp; C3 - Savings Schemes'!N114</f>
        <v>0</v>
      </c>
      <c r="EM114" s="2643">
        <f>'C, C1, C2&amp; C3 - Savings Schemes'!O114</f>
        <v>0</v>
      </c>
      <c r="EN114" s="2644">
        <f>'C, C1, C2&amp; C3 - Savings Schemes'!P114</f>
        <v>0</v>
      </c>
      <c r="EO114" s="2644">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7">
        <f>'E - Resource Limits'!G114</f>
        <v>0</v>
      </c>
      <c r="GM114" s="196">
        <f>'E - Resource Limits'!H114</f>
        <v>0</v>
      </c>
      <c r="GN114" s="2555">
        <f>'E - Resource Limits'!I114</f>
        <v>0</v>
      </c>
      <c r="GO114" s="1745"/>
      <c r="GP114" s="1745"/>
      <c r="GQ114" s="1745"/>
      <c r="GR114" s="1935"/>
      <c r="JD114" s="2073">
        <f>'I - Capital RLM'!A114</f>
        <v>80</v>
      </c>
      <c r="JE114" s="2089">
        <f>'I - Capital RLM'!B114</f>
        <v>0</v>
      </c>
      <c r="JF114" s="2010">
        <f>'I - Capital RLM'!C114</f>
        <v>0</v>
      </c>
      <c r="JG114" s="2010">
        <f>'I - Capital RLM'!D114</f>
        <v>0</v>
      </c>
      <c r="JH114" s="2118">
        <f>'I - Capital RLM'!E114</f>
        <v>0</v>
      </c>
      <c r="JI114" s="1943">
        <f>'I - Capital RLM'!F114</f>
        <v>0</v>
      </c>
      <c r="JJ114" s="2010">
        <f>'I - Capital RLM'!G114</f>
        <v>0</v>
      </c>
      <c r="JK114" s="2010">
        <f>'I - Capital RLM'!H114</f>
        <v>0</v>
      </c>
      <c r="JL114" s="2118">
        <f>'I - Capital RLM'!I114</f>
        <v>0</v>
      </c>
      <c r="JM114" s="1943"/>
      <c r="JN114" s="1890">
        <f>'I - Capital RLM'!K114</f>
        <v>0</v>
      </c>
      <c r="JO114" s="1943">
        <f t="shared" si="23"/>
        <v>0</v>
      </c>
      <c r="LL114" s="814"/>
      <c r="LM114" s="2197">
        <f>'M - Aged Debtors'!B114</f>
        <v>0</v>
      </c>
      <c r="LN114" s="2198">
        <f>'M - Aged Debtors'!C114</f>
        <v>0</v>
      </c>
      <c r="LO114" s="2199">
        <f>'M - Aged Debtors'!D114</f>
        <v>0</v>
      </c>
      <c r="LP114" s="2200">
        <f>'M - Aged Debtors'!E114</f>
        <v>0</v>
      </c>
      <c r="LQ114" s="2201">
        <f>'M - Aged Debtors'!F114</f>
        <v>0</v>
      </c>
      <c r="LR114" s="832" t="str">
        <f>'M - Aged Debtors'!G114</f>
        <v/>
      </c>
      <c r="LS114" s="829" t="str">
        <f>'M - Aged Debtors'!H114</f>
        <v/>
      </c>
      <c r="LT114" s="829" t="str">
        <f>'M - Aged Debtors'!I114</f>
        <v/>
      </c>
      <c r="LU114" s="830" t="str">
        <f>'M - Aged Debtors'!J114</f>
        <v/>
      </c>
      <c r="LV114" s="1830">
        <f>'M - Aged Debtors'!K114</f>
        <v>0</v>
      </c>
      <c r="LX114" s="3146">
        <f>'N - GMS'!A114</f>
        <v>0</v>
      </c>
      <c r="LY114" s="3147"/>
      <c r="LZ114" s="461">
        <f>'N - GMS'!C114</f>
        <v>89</v>
      </c>
      <c r="MA114" s="67">
        <f>'N - GMS'!D114</f>
        <v>0</v>
      </c>
      <c r="MB114" s="2231">
        <f>'N - GMS'!E114</f>
        <v>0</v>
      </c>
      <c r="MC114" s="2231">
        <f>'N - GMS'!F114</f>
        <v>0</v>
      </c>
      <c r="MD114" s="463">
        <f>'N - GMS'!G114</f>
        <v>0</v>
      </c>
      <c r="ME114" s="213"/>
      <c r="MF114" s="1028">
        <f>'N - GMS'!I114</f>
        <v>0</v>
      </c>
      <c r="MR114" s="684"/>
      <c r="MS114" s="2772">
        <f>'P - Ringfenced'!B114</f>
        <v>0</v>
      </c>
      <c r="MT114" s="2703">
        <f>'P - Ringfenced'!C114</f>
        <v>0</v>
      </c>
      <c r="MU114" s="1468"/>
      <c r="MV114" s="1468"/>
      <c r="MW114" s="1468"/>
      <c r="MX114" s="1468"/>
      <c r="MY114" s="1468"/>
      <c r="MZ114" s="1468"/>
      <c r="NA114" s="1468"/>
      <c r="NB114" s="1468"/>
      <c r="NC114" s="1468"/>
      <c r="ND114" s="1468"/>
      <c r="NE114" s="1468"/>
      <c r="NF114" s="1468"/>
      <c r="NG114" s="1468"/>
      <c r="NH114" s="1468"/>
      <c r="NI114" s="1468"/>
      <c r="NJ114" s="684"/>
      <c r="NK114" s="684"/>
    </row>
    <row r="115" spans="57:375" ht="20.149999999999999" customHeight="1" thickBot="1">
      <c r="BE115" s="890">
        <f>'B - Monthly Positions'!A115</f>
        <v>63</v>
      </c>
      <c r="BF115" s="1850">
        <f>'B - Monthly Positions'!B115</f>
        <v>0</v>
      </c>
      <c r="BG115" s="93" t="s">
        <v>288</v>
      </c>
      <c r="BH115" s="1782">
        <f>'B - Monthly Positions'!D115</f>
        <v>0</v>
      </c>
      <c r="BI115" s="1783">
        <f>'B - Monthly Positions'!E115</f>
        <v>0</v>
      </c>
      <c r="BJ115" s="1783">
        <f>'B - Monthly Positions'!F115</f>
        <v>0</v>
      </c>
      <c r="BK115" s="1783">
        <f>'B - Monthly Positions'!G115</f>
        <v>0</v>
      </c>
      <c r="BL115" s="1783">
        <f>'B - Monthly Positions'!H115</f>
        <v>0</v>
      </c>
      <c r="BM115" s="1783">
        <f>'B - Monthly Positions'!I115</f>
        <v>0</v>
      </c>
      <c r="BN115" s="1783">
        <f>'B - Monthly Positions'!J115</f>
        <v>0</v>
      </c>
      <c r="BO115" s="1783">
        <f>'B - Monthly Positions'!K115</f>
        <v>0</v>
      </c>
      <c r="BP115" s="1783">
        <f>'B - Monthly Positions'!L115</f>
        <v>0</v>
      </c>
      <c r="BQ115" s="1783">
        <f>'B - Monthly Positions'!M115</f>
        <v>0</v>
      </c>
      <c r="BR115" s="1783">
        <f>'B - Monthly Positions'!N115</f>
        <v>0</v>
      </c>
      <c r="BS115" s="1786">
        <f>'B - Monthly Positions'!O115</f>
        <v>0</v>
      </c>
      <c r="BT115" s="74">
        <f>'B - Monthly Positions'!P115</f>
        <v>0</v>
      </c>
      <c r="BU115" s="1067">
        <f>'B - Monthly Positions'!Q115</f>
        <v>0</v>
      </c>
      <c r="BV115" s="2594"/>
      <c r="BX115" s="1696">
        <f>' Table Z Net Exp Profiles'!A115</f>
        <v>84</v>
      </c>
      <c r="BY115" s="1270" t="str">
        <f>' Table Z Net Exp Profiles'!B115</f>
        <v>Net Primary Care Expenditure - Current Plan</v>
      </c>
      <c r="BZ115" s="1110">
        <f>' Table Z Net Exp Profiles'!C115</f>
        <v>0</v>
      </c>
      <c r="CA115" s="1110">
        <f>' Table Z Net Exp Profiles'!D115</f>
        <v>0</v>
      </c>
      <c r="CB115" s="1110">
        <f>' Table Z Net Exp Profiles'!E115</f>
        <v>0</v>
      </c>
      <c r="CC115" s="1110">
        <f>' Table Z Net Exp Profiles'!F115</f>
        <v>0</v>
      </c>
      <c r="CD115" s="1110">
        <f>' Table Z Net Exp Profiles'!G115</f>
        <v>0</v>
      </c>
      <c r="CE115" s="1110">
        <f>' Table Z Net Exp Profiles'!H115</f>
        <v>0</v>
      </c>
      <c r="CF115" s="1110">
        <f>' Table Z Net Exp Profiles'!I115</f>
        <v>0</v>
      </c>
      <c r="CG115" s="1110">
        <f>' Table Z Net Exp Profiles'!J115</f>
        <v>0</v>
      </c>
      <c r="CH115" s="1110">
        <f>' Table Z Net Exp Profiles'!K115</f>
        <v>0</v>
      </c>
      <c r="CI115" s="1110">
        <f>' Table Z Net Exp Profiles'!L115</f>
        <v>0</v>
      </c>
      <c r="CJ115" s="1110">
        <f>' Table Z Net Exp Profiles'!M115</f>
        <v>0</v>
      </c>
      <c r="CK115" s="1110">
        <f>' Table Z Net Exp Profiles'!N115</f>
        <v>0</v>
      </c>
      <c r="CL115" s="1110">
        <f>' Table Z Net Exp Profiles'!O115</f>
        <v>0</v>
      </c>
      <c r="CM115" s="1110">
        <f>' Table Z Net Exp Profiles'!P115</f>
        <v>0</v>
      </c>
      <c r="DF115" s="2838">
        <f>'B3 - COVID-19'!A115</f>
        <v>84</v>
      </c>
      <c r="DG115" s="1906" t="str">
        <f>'B3 - COVID-19'!B115</f>
        <v xml:space="preserve">Provider - Non Pay - PPE  </v>
      </c>
      <c r="DH115" s="1330">
        <f>'B3 - COVID-19'!C115</f>
        <v>0</v>
      </c>
      <c r="DI115" s="1330">
        <f>'B3 - COVID-19'!D115</f>
        <v>0</v>
      </c>
      <c r="DJ115" s="1330">
        <f>'B3 - COVID-19'!E115</f>
        <v>0</v>
      </c>
      <c r="DK115" s="1330">
        <f>'B3 - COVID-19'!F115</f>
        <v>0</v>
      </c>
      <c r="DL115" s="1330">
        <f>'B3 - COVID-19'!G115</f>
        <v>0</v>
      </c>
      <c r="DM115" s="1330">
        <f>'B3 - COVID-19'!H115</f>
        <v>0</v>
      </c>
      <c r="DN115" s="1330">
        <f>'B3 - COVID-19'!I115</f>
        <v>0</v>
      </c>
      <c r="DO115" s="1330">
        <f>'B3 - COVID-19'!J115</f>
        <v>0</v>
      </c>
      <c r="DP115" s="1330">
        <f>'B3 - COVID-19'!K115</f>
        <v>0</v>
      </c>
      <c r="DQ115" s="1330">
        <f>'B3 - COVID-19'!L115</f>
        <v>0</v>
      </c>
      <c r="DR115" s="1330">
        <f>'B3 - COVID-19'!M115</f>
        <v>0</v>
      </c>
      <c r="DS115" s="1330">
        <f>'B3 - COVID-19'!N115</f>
        <v>0</v>
      </c>
      <c r="DT115" s="1863">
        <f>'B3 - COVID-19'!O115</f>
        <v>0</v>
      </c>
      <c r="DU115" s="1864">
        <f>'B3 - COVID-19'!P115</f>
        <v>0</v>
      </c>
      <c r="DV115" s="608"/>
      <c r="DW115" s="1116"/>
      <c r="DY115" s="2095">
        <f>'C, C1, C2&amp; C3 - Savings Schemes'!A115</f>
        <v>9</v>
      </c>
      <c r="DZ115" s="3040"/>
      <c r="EA115" s="92" t="str">
        <f>'C, C1, C2&amp; C3 - Savings Schemes'!C115</f>
        <v>Variance</v>
      </c>
      <c r="EB115" s="2644">
        <f>'C, C1, C2&amp; C3 - Savings Schemes'!D115</f>
        <v>0</v>
      </c>
      <c r="EC115" s="2644">
        <f>'C, C1, C2&amp; C3 - Savings Schemes'!E115</f>
        <v>0</v>
      </c>
      <c r="ED115" s="2644">
        <f>'C, C1, C2&amp; C3 - Savings Schemes'!F115</f>
        <v>0</v>
      </c>
      <c r="EE115" s="2644">
        <f>'C, C1, C2&amp; C3 - Savings Schemes'!G115</f>
        <v>0</v>
      </c>
      <c r="EF115" s="2644">
        <f>'C, C1, C2&amp; C3 - Savings Schemes'!H115</f>
        <v>0</v>
      </c>
      <c r="EG115" s="2644">
        <f>'C, C1, C2&amp; C3 - Savings Schemes'!I115</f>
        <v>0</v>
      </c>
      <c r="EH115" s="2644">
        <f>'C, C1, C2&amp; C3 - Savings Schemes'!J115</f>
        <v>0</v>
      </c>
      <c r="EI115" s="2644">
        <f>'C, C1, C2&amp; C3 - Savings Schemes'!K115</f>
        <v>0</v>
      </c>
      <c r="EJ115" s="2644">
        <f>'C, C1, C2&amp; C3 - Savings Schemes'!L115</f>
        <v>0</v>
      </c>
      <c r="EK115" s="2644">
        <f>'C, C1, C2&amp; C3 - Savings Schemes'!M115</f>
        <v>0</v>
      </c>
      <c r="EL115" s="2644">
        <f>'C, C1, C2&amp; C3 - Savings Schemes'!N115</f>
        <v>0</v>
      </c>
      <c r="EM115" s="2644">
        <f>'C, C1, C2&amp; C3 - Savings Schemes'!O115</f>
        <v>0</v>
      </c>
      <c r="EN115" s="2644">
        <f>'C, C1, C2&amp; C3 - Savings Schemes'!P115</f>
        <v>0</v>
      </c>
      <c r="EO115" s="2644">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7">
        <f>'E - Resource Limits'!G115</f>
        <v>0</v>
      </c>
      <c r="GM115" s="196">
        <f>'E - Resource Limits'!H115</f>
        <v>0</v>
      </c>
      <c r="GN115" s="2555">
        <f>'E - Resource Limits'!I115</f>
        <v>0</v>
      </c>
      <c r="GO115" s="1745"/>
      <c r="GP115" s="1745"/>
      <c r="GQ115" s="1745"/>
      <c r="GR115" s="1935"/>
      <c r="JD115" s="2088">
        <f>'I - Capital RLM'!A115</f>
        <v>81</v>
      </c>
      <c r="JE115" s="2089">
        <f>'I - Capital RLM'!B115</f>
        <v>0</v>
      </c>
      <c r="JF115" s="2010">
        <f>'I - Capital RLM'!C115</f>
        <v>0</v>
      </c>
      <c r="JG115" s="2010">
        <f>'I - Capital RLM'!D115</f>
        <v>0</v>
      </c>
      <c r="JH115" s="2118">
        <f>'I - Capital RLM'!E115</f>
        <v>0</v>
      </c>
      <c r="JI115" s="1943">
        <f>'I - Capital RLM'!F115</f>
        <v>0</v>
      </c>
      <c r="JJ115" s="2010">
        <f>'I - Capital RLM'!G115</f>
        <v>0</v>
      </c>
      <c r="JK115" s="2010">
        <f>'I - Capital RLM'!H115</f>
        <v>0</v>
      </c>
      <c r="JL115" s="2118">
        <f>'I - Capital RLM'!I115</f>
        <v>0</v>
      </c>
      <c r="JM115" s="1943"/>
      <c r="JN115" s="1890">
        <f>'I - Capital RLM'!K115</f>
        <v>0</v>
      </c>
      <c r="JO115" s="1943">
        <f t="shared" si="23"/>
        <v>0</v>
      </c>
      <c r="LL115" s="814"/>
      <c r="LM115" s="2197">
        <f>'M - Aged Debtors'!B115</f>
        <v>0</v>
      </c>
      <c r="LN115" s="2198">
        <f>'M - Aged Debtors'!C115</f>
        <v>0</v>
      </c>
      <c r="LO115" s="2199">
        <f>'M - Aged Debtors'!D115</f>
        <v>0</v>
      </c>
      <c r="LP115" s="2200">
        <f>'M - Aged Debtors'!E115</f>
        <v>0</v>
      </c>
      <c r="LQ115" s="2201">
        <f>'M - Aged Debtors'!F115</f>
        <v>0</v>
      </c>
      <c r="LR115" s="832" t="str">
        <f>'M - Aged Debtors'!G115</f>
        <v/>
      </c>
      <c r="LS115" s="829" t="str">
        <f>'M - Aged Debtors'!H115</f>
        <v/>
      </c>
      <c r="LT115" s="829" t="str">
        <f>'M - Aged Debtors'!I115</f>
        <v/>
      </c>
      <c r="LU115" s="830" t="str">
        <f>'M - Aged Debtors'!J115</f>
        <v/>
      </c>
      <c r="LV115" s="1830">
        <f>'M - Aged Debtors'!K115</f>
        <v>0</v>
      </c>
      <c r="LX115" s="3146">
        <f>'N - GMS'!A115</f>
        <v>0</v>
      </c>
      <c r="LY115" s="3147"/>
      <c r="LZ115" s="461">
        <f>'N - GMS'!C115</f>
        <v>90</v>
      </c>
      <c r="MA115" s="67">
        <f>'N - GMS'!D115</f>
        <v>0</v>
      </c>
      <c r="MB115" s="2231">
        <f>'N - GMS'!E115</f>
        <v>0</v>
      </c>
      <c r="MC115" s="2231">
        <f>'N - GMS'!F115</f>
        <v>0</v>
      </c>
      <c r="MD115" s="463">
        <f>'N - GMS'!G115</f>
        <v>0</v>
      </c>
      <c r="ME115" s="213"/>
      <c r="MF115" s="1028">
        <f>'N - GMS'!I115</f>
        <v>0</v>
      </c>
      <c r="MR115" s="684"/>
      <c r="MS115" s="2772">
        <f>'P - Ringfenced'!B115</f>
        <v>0</v>
      </c>
      <c r="MT115" s="2703">
        <f>'P - Ringfenced'!C115</f>
        <v>0</v>
      </c>
      <c r="MU115" s="1468"/>
      <c r="MV115" s="1468"/>
      <c r="MW115" s="1468"/>
      <c r="MX115" s="1468"/>
      <c r="MY115" s="1468"/>
      <c r="MZ115" s="1468"/>
      <c r="NA115" s="1468"/>
      <c r="NB115" s="1468"/>
      <c r="NC115" s="1468"/>
      <c r="ND115" s="1468"/>
      <c r="NE115" s="1468"/>
      <c r="NF115" s="1468"/>
      <c r="NG115" s="1468"/>
      <c r="NH115" s="1468"/>
      <c r="NI115" s="1468"/>
      <c r="NJ115" s="684"/>
      <c r="NK115" s="684"/>
    </row>
    <row r="116" spans="57:375" ht="20.149999999999999" customHeight="1" thickBot="1">
      <c r="BE116" s="890">
        <f>'B - Monthly Positions'!A116</f>
        <v>64</v>
      </c>
      <c r="BF116" s="1850">
        <f>'B - Monthly Positions'!B116</f>
        <v>0</v>
      </c>
      <c r="BG116" s="2215" t="s">
        <v>288</v>
      </c>
      <c r="BH116" s="1800">
        <f>'B - Monthly Positions'!D116</f>
        <v>0</v>
      </c>
      <c r="BI116" s="1801">
        <f>'B - Monthly Positions'!E116</f>
        <v>0</v>
      </c>
      <c r="BJ116" s="1801">
        <f>'B - Monthly Positions'!F116</f>
        <v>0</v>
      </c>
      <c r="BK116" s="1801">
        <f>'B - Monthly Positions'!G116</f>
        <v>0</v>
      </c>
      <c r="BL116" s="1801">
        <f>'B - Monthly Positions'!H116</f>
        <v>0</v>
      </c>
      <c r="BM116" s="1801">
        <f>'B - Monthly Positions'!I116</f>
        <v>0</v>
      </c>
      <c r="BN116" s="1801">
        <f>'B - Monthly Positions'!J116</f>
        <v>0</v>
      </c>
      <c r="BO116" s="1801">
        <f>'B - Monthly Positions'!K116</f>
        <v>0</v>
      </c>
      <c r="BP116" s="1801">
        <f>'B - Monthly Positions'!L116</f>
        <v>0</v>
      </c>
      <c r="BQ116" s="1801">
        <f>'B - Monthly Positions'!M116</f>
        <v>0</v>
      </c>
      <c r="BR116" s="1801">
        <f>'B - Monthly Positions'!N116</f>
        <v>0</v>
      </c>
      <c r="BS116" s="2349">
        <f>'B - Monthly Positions'!O116</f>
        <v>0</v>
      </c>
      <c r="BT116" s="1073">
        <f>'B - Monthly Positions'!P116</f>
        <v>0</v>
      </c>
      <c r="BU116" s="1067">
        <f>'B - Monthly Positions'!Q116</f>
        <v>0</v>
      </c>
      <c r="BV116" s="2594"/>
      <c r="BX116" s="144">
        <f>' Table Z Net Exp Profiles'!A116</f>
        <v>85</v>
      </c>
      <c r="BY116" s="1270" t="str">
        <f>' Table Z Net Exp Profiles'!B116</f>
        <v>Net Primary Care Expenditure - Actual/Forecast (as per Table B)</v>
      </c>
      <c r="BZ116" s="1110">
        <f>' Table Z Net Exp Profiles'!C116</f>
        <v>0</v>
      </c>
      <c r="CA116" s="1110">
        <f>' Table Z Net Exp Profiles'!D116</f>
        <v>0</v>
      </c>
      <c r="CB116" s="1110">
        <f>' Table Z Net Exp Profiles'!E116</f>
        <v>0</v>
      </c>
      <c r="CC116" s="1110">
        <f>' Table Z Net Exp Profiles'!F116</f>
        <v>0</v>
      </c>
      <c r="CD116" s="1110">
        <f>' Table Z Net Exp Profiles'!G116</f>
        <v>0</v>
      </c>
      <c r="CE116" s="1110">
        <f>' Table Z Net Exp Profiles'!H116</f>
        <v>0</v>
      </c>
      <c r="CF116" s="1110">
        <f>' Table Z Net Exp Profiles'!I116</f>
        <v>0</v>
      </c>
      <c r="CG116" s="1110">
        <f>' Table Z Net Exp Profiles'!J116</f>
        <v>0</v>
      </c>
      <c r="CH116" s="1110">
        <f>' Table Z Net Exp Profiles'!K116</f>
        <v>0</v>
      </c>
      <c r="CI116" s="1110">
        <f>' Table Z Net Exp Profiles'!L116</f>
        <v>0</v>
      </c>
      <c r="CJ116" s="1110">
        <f>' Table Z Net Exp Profiles'!M116</f>
        <v>0</v>
      </c>
      <c r="CK116" s="1110">
        <f>' Table Z Net Exp Profiles'!N116</f>
        <v>0</v>
      </c>
      <c r="CL116" s="1110">
        <f>' Table Z Net Exp Profiles'!O116</f>
        <v>0</v>
      </c>
      <c r="CM116" s="1110">
        <f>' Table Z Net Exp Profiles'!P116</f>
        <v>0</v>
      </c>
      <c r="DF116" s="2838">
        <f>'B3 - COVID-19'!A116</f>
        <v>85</v>
      </c>
      <c r="DG116" s="1906" t="str">
        <f>'B3 - COVID-19'!B116</f>
        <v>Healthcare Services Provided by Other NHS Bodies</v>
      </c>
      <c r="DH116" s="1330">
        <f>'B3 - COVID-19'!C116</f>
        <v>0</v>
      </c>
      <c r="DI116" s="1330">
        <f>'B3 - COVID-19'!D116</f>
        <v>0</v>
      </c>
      <c r="DJ116" s="1330">
        <f>'B3 - COVID-19'!E116</f>
        <v>0</v>
      </c>
      <c r="DK116" s="1330">
        <f>'B3 - COVID-19'!F116</f>
        <v>0</v>
      </c>
      <c r="DL116" s="1330">
        <f>'B3 - COVID-19'!G116</f>
        <v>0</v>
      </c>
      <c r="DM116" s="1330">
        <f>'B3 - COVID-19'!H116</f>
        <v>0</v>
      </c>
      <c r="DN116" s="1330">
        <f>'B3 - COVID-19'!I116</f>
        <v>0</v>
      </c>
      <c r="DO116" s="1330">
        <f>'B3 - COVID-19'!J116</f>
        <v>0</v>
      </c>
      <c r="DP116" s="1330">
        <f>'B3 - COVID-19'!K116</f>
        <v>0</v>
      </c>
      <c r="DQ116" s="1330">
        <f>'B3 - COVID-19'!L116</f>
        <v>0</v>
      </c>
      <c r="DR116" s="1330">
        <f>'B3 - COVID-19'!M116</f>
        <v>0</v>
      </c>
      <c r="DS116" s="1330">
        <f>'B3 - COVID-19'!N116</f>
        <v>0</v>
      </c>
      <c r="DT116" s="1863">
        <f>'B3 - COVID-19'!O116</f>
        <v>0</v>
      </c>
      <c r="DU116" s="1864">
        <f>'B3 - COVID-19'!P116</f>
        <v>0</v>
      </c>
      <c r="DV116" s="608"/>
      <c r="DW116" s="1116"/>
      <c r="DY116" s="2111">
        <f>'C, C1, C2&amp; C3 - Savings Schemes'!A116</f>
        <v>7</v>
      </c>
      <c r="DZ116" s="3038" t="str">
        <f>'C, C1, C2&amp; C3 - Savings Schemes'!B116</f>
        <v>Secondary Care Drugs</v>
      </c>
      <c r="EA116" s="87" t="str">
        <f>'C, C1, C2&amp; C3 - Savings Schemes'!C116</f>
        <v>Budget/Plan</v>
      </c>
      <c r="EB116" s="2643">
        <f>'C, C1, C2&amp; C3 - Savings Schemes'!D116</f>
        <v>0</v>
      </c>
      <c r="EC116" s="2643">
        <f>'C, C1, C2&amp; C3 - Savings Schemes'!E116</f>
        <v>0</v>
      </c>
      <c r="ED116" s="2643">
        <f>'C, C1, C2&amp; C3 - Savings Schemes'!F116</f>
        <v>0</v>
      </c>
      <c r="EE116" s="2643">
        <f>'C, C1, C2&amp; C3 - Savings Schemes'!G116</f>
        <v>0</v>
      </c>
      <c r="EF116" s="2643">
        <f>'C, C1, C2&amp; C3 - Savings Schemes'!H116</f>
        <v>0</v>
      </c>
      <c r="EG116" s="2643">
        <f>'C, C1, C2&amp; C3 - Savings Schemes'!I116</f>
        <v>0</v>
      </c>
      <c r="EH116" s="2643">
        <f>'C, C1, C2&amp; C3 - Savings Schemes'!J116</f>
        <v>0</v>
      </c>
      <c r="EI116" s="2643">
        <f>'C, C1, C2&amp; C3 - Savings Schemes'!K116</f>
        <v>0</v>
      </c>
      <c r="EJ116" s="2643">
        <f>'C, C1, C2&amp; C3 - Savings Schemes'!L116</f>
        <v>0</v>
      </c>
      <c r="EK116" s="2643">
        <f>'C, C1, C2&amp; C3 - Savings Schemes'!M116</f>
        <v>0</v>
      </c>
      <c r="EL116" s="2643">
        <f>'C, C1, C2&amp; C3 - Savings Schemes'!N116</f>
        <v>0</v>
      </c>
      <c r="EM116" s="2643">
        <f>'C, C1, C2&amp; C3 - Savings Schemes'!O116</f>
        <v>0</v>
      </c>
      <c r="EN116" s="2644">
        <f>'C, C1, C2&amp; C3 - Savings Schemes'!P116</f>
        <v>0</v>
      </c>
      <c r="EO116" s="2644">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7">
        <f>'E - Resource Limits'!G116</f>
        <v>0</v>
      </c>
      <c r="GM116" s="196">
        <f>'E - Resource Limits'!H116</f>
        <v>0</v>
      </c>
      <c r="GN116" s="2555">
        <f>'E - Resource Limits'!I116</f>
        <v>0</v>
      </c>
      <c r="GO116" s="1745"/>
      <c r="GP116" s="1745"/>
      <c r="GQ116" s="1745"/>
      <c r="GR116" s="1935"/>
      <c r="JD116" s="2088">
        <f>'I - Capital RLM'!A116</f>
        <v>82</v>
      </c>
      <c r="JE116" s="2089">
        <f>'I - Capital RLM'!B116</f>
        <v>0</v>
      </c>
      <c r="JF116" s="2010">
        <f>'I - Capital RLM'!C116</f>
        <v>0</v>
      </c>
      <c r="JG116" s="2010">
        <f>'I - Capital RLM'!D116</f>
        <v>0</v>
      </c>
      <c r="JH116" s="2118">
        <f>'I - Capital RLM'!E116</f>
        <v>0</v>
      </c>
      <c r="JI116" s="1943">
        <f>'I - Capital RLM'!F116</f>
        <v>0</v>
      </c>
      <c r="JJ116" s="2010">
        <f>'I - Capital RLM'!G116</f>
        <v>0</v>
      </c>
      <c r="JK116" s="2010">
        <f>'I - Capital RLM'!H116</f>
        <v>0</v>
      </c>
      <c r="JL116" s="2118">
        <f>'I - Capital RLM'!I116</f>
        <v>0</v>
      </c>
      <c r="JM116" s="1943"/>
      <c r="JN116" s="1890">
        <f>'I - Capital RLM'!K116</f>
        <v>0</v>
      </c>
      <c r="JO116" s="1943">
        <f t="shared" si="23"/>
        <v>0</v>
      </c>
      <c r="LL116" s="814"/>
      <c r="LM116" s="2197">
        <f>'M - Aged Debtors'!B116</f>
        <v>0</v>
      </c>
      <c r="LN116" s="2198">
        <f>'M - Aged Debtors'!C116</f>
        <v>0</v>
      </c>
      <c r="LO116" s="2199">
        <f>'M - Aged Debtors'!D116</f>
        <v>0</v>
      </c>
      <c r="LP116" s="2200">
        <f>'M - Aged Debtors'!E116</f>
        <v>0</v>
      </c>
      <c r="LQ116" s="2201">
        <f>'M - Aged Debtors'!F116</f>
        <v>0</v>
      </c>
      <c r="LR116" s="832" t="str">
        <f>'M - Aged Debtors'!G116</f>
        <v/>
      </c>
      <c r="LS116" s="829" t="str">
        <f>'M - Aged Debtors'!H116</f>
        <v/>
      </c>
      <c r="LT116" s="829" t="str">
        <f>'M - Aged Debtors'!I116</f>
        <v/>
      </c>
      <c r="LU116" s="830" t="str">
        <f>'M - Aged Debtors'!J116</f>
        <v/>
      </c>
      <c r="LV116" s="1830">
        <f>'M - Aged Debtors'!K116</f>
        <v>0</v>
      </c>
      <c r="LX116" s="1880">
        <f>'N - GMS'!A116</f>
        <v>0</v>
      </c>
      <c r="LY116" s="1881"/>
      <c r="LZ116" s="461">
        <f>'N - GMS'!C116</f>
        <v>91</v>
      </c>
      <c r="MA116" s="67">
        <f>'N - GMS'!D116</f>
        <v>0</v>
      </c>
      <c r="MB116" s="2231">
        <f>'N - GMS'!E116</f>
        <v>0</v>
      </c>
      <c r="MC116" s="2231">
        <f>'N - GMS'!F116</f>
        <v>0</v>
      </c>
      <c r="MD116" s="463">
        <f>'N - GMS'!G116</f>
        <v>0</v>
      </c>
      <c r="ME116" s="213"/>
      <c r="MF116" s="1028">
        <f>'N - GMS'!I116</f>
        <v>0</v>
      </c>
      <c r="MR116" s="684"/>
      <c r="MS116" s="2773">
        <f>'P - Ringfenced'!B116</f>
        <v>0</v>
      </c>
      <c r="MT116" s="2703">
        <f>'P - Ringfenced'!C116</f>
        <v>0</v>
      </c>
      <c r="MU116" s="1468"/>
      <c r="MV116" s="1468"/>
      <c r="MW116" s="1468"/>
      <c r="MX116" s="1468"/>
      <c r="MY116" s="1468"/>
      <c r="MZ116" s="1468"/>
      <c r="NA116" s="1468"/>
      <c r="NB116" s="1468"/>
      <c r="NC116" s="1468"/>
      <c r="ND116" s="1468"/>
      <c r="NE116" s="1468"/>
      <c r="NF116" s="1468"/>
      <c r="NG116" s="1468"/>
      <c r="NH116" s="1468"/>
      <c r="NI116" s="1468"/>
      <c r="NJ116" s="684"/>
      <c r="NK116" s="684"/>
    </row>
    <row r="117" spans="57:375" ht="20.149999999999999" customHeight="1" thickBot="1">
      <c r="BE117" s="890">
        <f>'B - Monthly Positions'!A117</f>
        <v>65</v>
      </c>
      <c r="BF117" s="1850">
        <f>'B - Monthly Positions'!B117</f>
        <v>0</v>
      </c>
      <c r="BG117" s="2215" t="s">
        <v>288</v>
      </c>
      <c r="BH117" s="1800">
        <f>'B - Monthly Positions'!D117</f>
        <v>0</v>
      </c>
      <c r="BI117" s="1801">
        <f>'B - Monthly Positions'!E117</f>
        <v>0</v>
      </c>
      <c r="BJ117" s="1801">
        <f>'B - Monthly Positions'!F117</f>
        <v>0</v>
      </c>
      <c r="BK117" s="1801">
        <f>'B - Monthly Positions'!G117</f>
        <v>0</v>
      </c>
      <c r="BL117" s="1801">
        <f>'B - Monthly Positions'!H117</f>
        <v>0</v>
      </c>
      <c r="BM117" s="1801">
        <f>'B - Monthly Positions'!I117</f>
        <v>0</v>
      </c>
      <c r="BN117" s="1801">
        <f>'B - Monthly Positions'!J117</f>
        <v>0</v>
      </c>
      <c r="BO117" s="1801">
        <f>'B - Monthly Positions'!K117</f>
        <v>0</v>
      </c>
      <c r="BP117" s="1801">
        <f>'B - Monthly Positions'!L117</f>
        <v>0</v>
      </c>
      <c r="BQ117" s="1801">
        <f>'B - Monthly Positions'!M117</f>
        <v>0</v>
      </c>
      <c r="BR117" s="1801">
        <f>'B - Monthly Positions'!N117</f>
        <v>0</v>
      </c>
      <c r="BS117" s="2349">
        <f>'B - Monthly Positions'!O117</f>
        <v>0</v>
      </c>
      <c r="BT117" s="1073">
        <f>'B - Monthly Positions'!P117</f>
        <v>0</v>
      </c>
      <c r="BU117" s="1067">
        <f>'B - Monthly Positions'!Q117</f>
        <v>0</v>
      </c>
      <c r="BV117" s="2594"/>
      <c r="BX117" s="1107">
        <f>' Table Z Net Exp Profiles'!A117</f>
        <v>86</v>
      </c>
      <c r="BY117" s="1270" t="str">
        <f>' Table Z Net Exp Profiles'!B117</f>
        <v>Net Primary Care Expenditure - Movement</v>
      </c>
      <c r="BZ117" s="1110">
        <f>' Table Z Net Exp Profiles'!C117</f>
        <v>0</v>
      </c>
      <c r="CA117" s="1110">
        <f>' Table Z Net Exp Profiles'!D117</f>
        <v>0</v>
      </c>
      <c r="CB117" s="1110">
        <f>' Table Z Net Exp Profiles'!E117</f>
        <v>0</v>
      </c>
      <c r="CC117" s="1110">
        <f>' Table Z Net Exp Profiles'!F117</f>
        <v>0</v>
      </c>
      <c r="CD117" s="1110">
        <f>' Table Z Net Exp Profiles'!G117</f>
        <v>0</v>
      </c>
      <c r="CE117" s="1110">
        <f>' Table Z Net Exp Profiles'!H117</f>
        <v>0</v>
      </c>
      <c r="CF117" s="1110">
        <f>' Table Z Net Exp Profiles'!I117</f>
        <v>0</v>
      </c>
      <c r="CG117" s="1110">
        <f>' Table Z Net Exp Profiles'!J117</f>
        <v>0</v>
      </c>
      <c r="CH117" s="1110">
        <f>' Table Z Net Exp Profiles'!K117</f>
        <v>0</v>
      </c>
      <c r="CI117" s="1110">
        <f>' Table Z Net Exp Profiles'!L117</f>
        <v>0</v>
      </c>
      <c r="CJ117" s="1110">
        <f>' Table Z Net Exp Profiles'!M117</f>
        <v>0</v>
      </c>
      <c r="CK117" s="1110">
        <f>' Table Z Net Exp Profiles'!N117</f>
        <v>0</v>
      </c>
      <c r="CL117" s="1110">
        <f>' Table Z Net Exp Profiles'!O117</f>
        <v>0</v>
      </c>
      <c r="CM117" s="1110">
        <f>' Table Z Net Exp Profiles'!P117</f>
        <v>0</v>
      </c>
      <c r="DF117" s="2838">
        <f>'B3 - COVID-19'!A117</f>
        <v>86</v>
      </c>
      <c r="DG117" s="1906" t="str">
        <f>'B3 - COVID-19'!B117</f>
        <v>Non Healthcare Services Provided by Other NHS Bodies</v>
      </c>
      <c r="DH117" s="1330">
        <f>'B3 - COVID-19'!C117</f>
        <v>0</v>
      </c>
      <c r="DI117" s="1330">
        <f>'B3 - COVID-19'!D117</f>
        <v>0</v>
      </c>
      <c r="DJ117" s="1330">
        <f>'B3 - COVID-19'!E117</f>
        <v>0</v>
      </c>
      <c r="DK117" s="1330">
        <f>'B3 - COVID-19'!F117</f>
        <v>0</v>
      </c>
      <c r="DL117" s="1330">
        <f>'B3 - COVID-19'!G117</f>
        <v>0</v>
      </c>
      <c r="DM117" s="1330">
        <f>'B3 - COVID-19'!H117</f>
        <v>0</v>
      </c>
      <c r="DN117" s="1330">
        <f>'B3 - COVID-19'!I117</f>
        <v>0</v>
      </c>
      <c r="DO117" s="1330">
        <f>'B3 - COVID-19'!J117</f>
        <v>0</v>
      </c>
      <c r="DP117" s="1330">
        <f>'B3 - COVID-19'!K117</f>
        <v>0</v>
      </c>
      <c r="DQ117" s="1330">
        <f>'B3 - COVID-19'!L117</f>
        <v>0</v>
      </c>
      <c r="DR117" s="1330">
        <f>'B3 - COVID-19'!M117</f>
        <v>0</v>
      </c>
      <c r="DS117" s="1330">
        <f>'B3 - COVID-19'!N117</f>
        <v>0</v>
      </c>
      <c r="DT117" s="1863">
        <f>'B3 - COVID-19'!O117</f>
        <v>0</v>
      </c>
      <c r="DU117" s="1864">
        <f>'B3 - COVID-19'!P117</f>
        <v>0</v>
      </c>
      <c r="DV117" s="608"/>
      <c r="DW117" s="1116"/>
      <c r="DY117" s="2095">
        <f>'C, C1, C2&amp; C3 - Savings Schemes'!A117</f>
        <v>8</v>
      </c>
      <c r="DZ117" s="3039"/>
      <c r="EA117" s="90" t="str">
        <f>'C, C1, C2&amp; C3 - Savings Schemes'!C117</f>
        <v>Actual/F'cast</v>
      </c>
      <c r="EB117" s="2643">
        <f>'C, C1, C2&amp; C3 - Savings Schemes'!D117</f>
        <v>0</v>
      </c>
      <c r="EC117" s="2643">
        <f>'C, C1, C2&amp; C3 - Savings Schemes'!E117</f>
        <v>0</v>
      </c>
      <c r="ED117" s="2643">
        <f>'C, C1, C2&amp; C3 - Savings Schemes'!F117</f>
        <v>0</v>
      </c>
      <c r="EE117" s="2643">
        <f>'C, C1, C2&amp; C3 - Savings Schemes'!G117</f>
        <v>0</v>
      </c>
      <c r="EF117" s="2643">
        <f>'C, C1, C2&amp; C3 - Savings Schemes'!H117</f>
        <v>0</v>
      </c>
      <c r="EG117" s="2643">
        <f>'C, C1, C2&amp; C3 - Savings Schemes'!I117</f>
        <v>0</v>
      </c>
      <c r="EH117" s="2643">
        <f>'C, C1, C2&amp; C3 - Savings Schemes'!J117</f>
        <v>0</v>
      </c>
      <c r="EI117" s="2643">
        <f>'C, C1, C2&amp; C3 - Savings Schemes'!K117</f>
        <v>0</v>
      </c>
      <c r="EJ117" s="2643">
        <f>'C, C1, C2&amp; C3 - Savings Schemes'!L117</f>
        <v>0</v>
      </c>
      <c r="EK117" s="2643">
        <f>'C, C1, C2&amp; C3 - Savings Schemes'!M117</f>
        <v>0</v>
      </c>
      <c r="EL117" s="2643">
        <f>'C, C1, C2&amp; C3 - Savings Schemes'!N117</f>
        <v>0</v>
      </c>
      <c r="EM117" s="2643">
        <f>'C, C1, C2&amp; C3 - Savings Schemes'!O117</f>
        <v>0</v>
      </c>
      <c r="EN117" s="2644">
        <f>'C, C1, C2&amp; C3 - Savings Schemes'!P117</f>
        <v>0</v>
      </c>
      <c r="EO117" s="2644">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7">
        <f>'E - Resource Limits'!G117</f>
        <v>0</v>
      </c>
      <c r="GM117" s="196">
        <f>'E - Resource Limits'!H117</f>
        <v>0</v>
      </c>
      <c r="GN117" s="2555">
        <f>'E - Resource Limits'!I117</f>
        <v>0</v>
      </c>
      <c r="GO117" s="1745"/>
      <c r="GP117" s="1745"/>
      <c r="GQ117" s="1745"/>
      <c r="GR117" s="1935"/>
      <c r="JD117" s="2088">
        <f>'I - Capital RLM'!A117</f>
        <v>83</v>
      </c>
      <c r="JE117" s="2089">
        <f>'I - Capital RLM'!B117</f>
        <v>0</v>
      </c>
      <c r="JF117" s="2010">
        <f>'I - Capital RLM'!C117</f>
        <v>0</v>
      </c>
      <c r="JG117" s="2010">
        <f>'I - Capital RLM'!D117</f>
        <v>0</v>
      </c>
      <c r="JH117" s="2118">
        <f>'I - Capital RLM'!E117</f>
        <v>0</v>
      </c>
      <c r="JI117" s="1943">
        <f>'I - Capital RLM'!F117</f>
        <v>0</v>
      </c>
      <c r="JJ117" s="2010">
        <f>'I - Capital RLM'!G117</f>
        <v>0</v>
      </c>
      <c r="JK117" s="2010">
        <f>'I - Capital RLM'!H117</f>
        <v>0</v>
      </c>
      <c r="JL117" s="2118">
        <f>'I - Capital RLM'!I117</f>
        <v>0</v>
      </c>
      <c r="JM117" s="1943"/>
      <c r="JN117" s="1890">
        <f>'I - Capital RLM'!K117</f>
        <v>0</v>
      </c>
      <c r="JO117" s="1943">
        <f t="shared" si="23"/>
        <v>0</v>
      </c>
      <c r="LL117" s="814"/>
      <c r="LM117" s="2197">
        <f>'M - Aged Debtors'!B117</f>
        <v>0</v>
      </c>
      <c r="LN117" s="2198">
        <f>'M - Aged Debtors'!C117</f>
        <v>0</v>
      </c>
      <c r="LO117" s="2199">
        <f>'M - Aged Debtors'!D117</f>
        <v>0</v>
      </c>
      <c r="LP117" s="2200">
        <f>'M - Aged Debtors'!E117</f>
        <v>0</v>
      </c>
      <c r="LQ117" s="2201">
        <f>'M - Aged Debtors'!F117</f>
        <v>0</v>
      </c>
      <c r="LR117" s="832" t="str">
        <f>'M - Aged Debtors'!G117</f>
        <v/>
      </c>
      <c r="LS117" s="829" t="str">
        <f>'M - Aged Debtors'!H117</f>
        <v/>
      </c>
      <c r="LT117" s="829" t="str">
        <f>'M - Aged Debtors'!I117</f>
        <v/>
      </c>
      <c r="LU117" s="830" t="str">
        <f>'M - Aged Debtors'!J117</f>
        <v/>
      </c>
      <c r="LV117" s="1830">
        <f>'M - Aged Debtors'!K117</f>
        <v>0</v>
      </c>
      <c r="LX117" s="3146">
        <f>'N - GMS'!A117</f>
        <v>0</v>
      </c>
      <c r="LY117" s="3147"/>
      <c r="LZ117" s="461">
        <f>'N - GMS'!C117</f>
        <v>92</v>
      </c>
      <c r="MA117" s="67">
        <f>'N - GMS'!D117</f>
        <v>0</v>
      </c>
      <c r="MB117" s="2231">
        <f>'N - GMS'!E117</f>
        <v>0</v>
      </c>
      <c r="MC117" s="2231">
        <f>'N - GMS'!F117</f>
        <v>0</v>
      </c>
      <c r="MD117" s="463">
        <f>'N - GMS'!G117</f>
        <v>0</v>
      </c>
      <c r="ME117" s="213"/>
      <c r="MF117" s="1028">
        <f>'N - GMS'!I117</f>
        <v>0</v>
      </c>
      <c r="MR117" s="684"/>
      <c r="MS117" s="2774">
        <f>'P - Ringfenced'!B117</f>
        <v>0</v>
      </c>
      <c r="MT117" s="2703">
        <f>'P - Ringfenced'!C117</f>
        <v>0</v>
      </c>
      <c r="MU117" s="1468"/>
      <c r="MV117" s="1468"/>
      <c r="MW117" s="1468"/>
      <c r="MX117" s="1468"/>
      <c r="MY117" s="1468"/>
      <c r="MZ117" s="1468"/>
      <c r="NA117" s="1468"/>
      <c r="NB117" s="1468"/>
      <c r="NC117" s="1468"/>
      <c r="ND117" s="1468"/>
      <c r="NE117" s="1468"/>
      <c r="NF117" s="1468"/>
      <c r="NG117" s="1468"/>
      <c r="NH117" s="1468"/>
      <c r="NI117" s="1468"/>
      <c r="NJ117" s="684"/>
      <c r="NK117" s="684"/>
    </row>
    <row r="118" spans="57:375" ht="20.149999999999999" customHeight="1" thickBot="1">
      <c r="BE118" s="890">
        <f>'B - Monthly Positions'!A118</f>
        <v>66</v>
      </c>
      <c r="BF118" s="1850">
        <f>'B - Monthly Positions'!B118</f>
        <v>0</v>
      </c>
      <c r="BG118" s="2215" t="s">
        <v>288</v>
      </c>
      <c r="BH118" s="1800">
        <f>'B - Monthly Positions'!D118</f>
        <v>0</v>
      </c>
      <c r="BI118" s="1801">
        <f>'B - Monthly Positions'!E118</f>
        <v>0</v>
      </c>
      <c r="BJ118" s="1801">
        <f>'B - Monthly Positions'!F118</f>
        <v>0</v>
      </c>
      <c r="BK118" s="1801">
        <f>'B - Monthly Positions'!G118</f>
        <v>0</v>
      </c>
      <c r="BL118" s="1801">
        <f>'B - Monthly Positions'!H118</f>
        <v>0</v>
      </c>
      <c r="BM118" s="1801">
        <f>'B - Monthly Positions'!I118</f>
        <v>0</v>
      </c>
      <c r="BN118" s="1801">
        <f>'B - Monthly Positions'!J118</f>
        <v>0</v>
      </c>
      <c r="BO118" s="1801">
        <f>'B - Monthly Positions'!K118</f>
        <v>0</v>
      </c>
      <c r="BP118" s="1801">
        <f>'B - Monthly Positions'!L118</f>
        <v>0</v>
      </c>
      <c r="BQ118" s="1801">
        <f>'B - Monthly Positions'!M118</f>
        <v>0</v>
      </c>
      <c r="BR118" s="1801">
        <f>'B - Monthly Positions'!N118</f>
        <v>0</v>
      </c>
      <c r="BS118" s="2349">
        <f>'B - Monthly Positions'!O118</f>
        <v>0</v>
      </c>
      <c r="BT118" s="1073">
        <f>'B - Monthly Positions'!P118</f>
        <v>0</v>
      </c>
      <c r="BU118" s="1067">
        <f>'B - Monthly Positions'!Q118</f>
        <v>0</v>
      </c>
      <c r="BV118" s="2594"/>
      <c r="BX118" s="1107">
        <f>' Table Z Net Exp Profiles'!A118</f>
        <v>87</v>
      </c>
      <c r="BY118" s="1270" t="str">
        <f>' Table Z Net Exp Profiles'!B118</f>
        <v>Net Primary Care Expenditure - Movement due to Covid-19</v>
      </c>
      <c r="BZ118" s="1110">
        <f>' Table Z Net Exp Profiles'!C118</f>
        <v>0</v>
      </c>
      <c r="CA118" s="1110">
        <f>' Table Z Net Exp Profiles'!D118</f>
        <v>0</v>
      </c>
      <c r="CB118" s="1110">
        <f>' Table Z Net Exp Profiles'!E118</f>
        <v>0</v>
      </c>
      <c r="CC118" s="1110">
        <f>' Table Z Net Exp Profiles'!F118</f>
        <v>0</v>
      </c>
      <c r="CD118" s="1110">
        <f>' Table Z Net Exp Profiles'!G118</f>
        <v>0</v>
      </c>
      <c r="CE118" s="1110">
        <f>' Table Z Net Exp Profiles'!H118</f>
        <v>0</v>
      </c>
      <c r="CF118" s="1110">
        <f>' Table Z Net Exp Profiles'!I118</f>
        <v>0</v>
      </c>
      <c r="CG118" s="1110">
        <f>' Table Z Net Exp Profiles'!J118</f>
        <v>0</v>
      </c>
      <c r="CH118" s="1110">
        <f>' Table Z Net Exp Profiles'!K118</f>
        <v>0</v>
      </c>
      <c r="CI118" s="1110">
        <f>' Table Z Net Exp Profiles'!L118</f>
        <v>0</v>
      </c>
      <c r="CJ118" s="1110">
        <f>' Table Z Net Exp Profiles'!M118</f>
        <v>0</v>
      </c>
      <c r="CK118" s="1110">
        <f>' Table Z Net Exp Profiles'!N118</f>
        <v>0</v>
      </c>
      <c r="CL118" s="1110">
        <f>' Table Z Net Exp Profiles'!O118</f>
        <v>0</v>
      </c>
      <c r="CM118" s="1110">
        <f>' Table Z Net Exp Profiles'!P118</f>
        <v>0</v>
      </c>
      <c r="DF118" s="2838">
        <f>'B3 - COVID-19'!A118</f>
        <v>87</v>
      </c>
      <c r="DG118" s="1906" t="str">
        <f>'B3 - COVID-19'!B118</f>
        <v>Continuing Care and Funded Nursing Care</v>
      </c>
      <c r="DH118" s="1330">
        <f>'B3 - COVID-19'!C118</f>
        <v>0</v>
      </c>
      <c r="DI118" s="1330">
        <f>'B3 - COVID-19'!D118</f>
        <v>0</v>
      </c>
      <c r="DJ118" s="1330">
        <f>'B3 - COVID-19'!E118</f>
        <v>0</v>
      </c>
      <c r="DK118" s="1330">
        <f>'B3 - COVID-19'!F118</f>
        <v>0</v>
      </c>
      <c r="DL118" s="1330">
        <f>'B3 - COVID-19'!G118</f>
        <v>0</v>
      </c>
      <c r="DM118" s="1330">
        <f>'B3 - COVID-19'!H118</f>
        <v>0</v>
      </c>
      <c r="DN118" s="1330">
        <f>'B3 - COVID-19'!I118</f>
        <v>0</v>
      </c>
      <c r="DO118" s="1330">
        <f>'B3 - COVID-19'!J118</f>
        <v>0</v>
      </c>
      <c r="DP118" s="1330">
        <f>'B3 - COVID-19'!K118</f>
        <v>0</v>
      </c>
      <c r="DQ118" s="1330">
        <f>'B3 - COVID-19'!L118</f>
        <v>0</v>
      </c>
      <c r="DR118" s="1330">
        <f>'B3 - COVID-19'!M118</f>
        <v>0</v>
      </c>
      <c r="DS118" s="1330">
        <f>'B3 - COVID-19'!N118</f>
        <v>0</v>
      </c>
      <c r="DT118" s="1863">
        <f>'B3 - COVID-19'!O118</f>
        <v>0</v>
      </c>
      <c r="DU118" s="1864">
        <f>'B3 - COVID-19'!P118</f>
        <v>0</v>
      </c>
      <c r="DV118" s="608"/>
      <c r="DW118" s="1116"/>
      <c r="DY118" s="2095">
        <f>'C, C1, C2&amp; C3 - Savings Schemes'!A118</f>
        <v>9</v>
      </c>
      <c r="DZ118" s="3040"/>
      <c r="EA118" s="92" t="str">
        <f>'C, C1, C2&amp; C3 - Savings Schemes'!C118</f>
        <v>Variance</v>
      </c>
      <c r="EB118" s="2644">
        <f>'C, C1, C2&amp; C3 - Savings Schemes'!D118</f>
        <v>0</v>
      </c>
      <c r="EC118" s="2644">
        <f>'C, C1, C2&amp; C3 - Savings Schemes'!E118</f>
        <v>0</v>
      </c>
      <c r="ED118" s="2644">
        <f>'C, C1, C2&amp; C3 - Savings Schemes'!F118</f>
        <v>0</v>
      </c>
      <c r="EE118" s="2644">
        <f>'C, C1, C2&amp; C3 - Savings Schemes'!G118</f>
        <v>0</v>
      </c>
      <c r="EF118" s="2644">
        <f>'C, C1, C2&amp; C3 - Savings Schemes'!H118</f>
        <v>0</v>
      </c>
      <c r="EG118" s="2644">
        <f>'C, C1, C2&amp; C3 - Savings Schemes'!I118</f>
        <v>0</v>
      </c>
      <c r="EH118" s="2644">
        <f>'C, C1, C2&amp; C3 - Savings Schemes'!J118</f>
        <v>0</v>
      </c>
      <c r="EI118" s="2644">
        <f>'C, C1, C2&amp; C3 - Savings Schemes'!K118</f>
        <v>0</v>
      </c>
      <c r="EJ118" s="2644">
        <f>'C, C1, C2&amp; C3 - Savings Schemes'!L118</f>
        <v>0</v>
      </c>
      <c r="EK118" s="2644">
        <f>'C, C1, C2&amp; C3 - Savings Schemes'!M118</f>
        <v>0</v>
      </c>
      <c r="EL118" s="2644">
        <f>'C, C1, C2&amp; C3 - Savings Schemes'!N118</f>
        <v>0</v>
      </c>
      <c r="EM118" s="2644">
        <f>'C, C1, C2&amp; C3 - Savings Schemes'!O118</f>
        <v>0</v>
      </c>
      <c r="EN118" s="2644">
        <f>'C, C1, C2&amp; C3 - Savings Schemes'!P118</f>
        <v>0</v>
      </c>
      <c r="EO118" s="2644">
        <f>'C, C1, C2&amp; C3 - Savings Schemes'!Q118</f>
        <v>0</v>
      </c>
      <c r="GF118" s="348">
        <f>'E - Resource Limits'!A118</f>
        <v>97</v>
      </c>
      <c r="GG118" s="2535" t="str">
        <f>'E - Resource Limits'!B118</f>
        <v>Total Funding</v>
      </c>
      <c r="GH118" s="115">
        <f>'E - Resource Limits'!C118</f>
        <v>0</v>
      </c>
      <c r="GI118" s="115">
        <f>'E - Resource Limits'!D118</f>
        <v>0</v>
      </c>
      <c r="GJ118" s="115">
        <f>'E - Resource Limits'!E118</f>
        <v>0</v>
      </c>
      <c r="GK118" s="115">
        <f>'E - Resource Limits'!F118</f>
        <v>0</v>
      </c>
      <c r="GL118" s="2528">
        <f>'E - Resource Limits'!G118</f>
        <v>0</v>
      </c>
      <c r="GM118" s="117">
        <f>'E - Resource Limits'!H118</f>
        <v>0</v>
      </c>
      <c r="GN118" s="1745"/>
      <c r="GO118" s="1745"/>
      <c r="GP118" s="1745"/>
      <c r="GQ118" s="1745"/>
      <c r="GR118" s="1935"/>
      <c r="JD118" s="2088">
        <f>'I - Capital RLM'!A118</f>
        <v>84</v>
      </c>
      <c r="JE118" s="2089">
        <f>'I - Capital RLM'!B118</f>
        <v>0</v>
      </c>
      <c r="JF118" s="2010">
        <f>'I - Capital RLM'!C118</f>
        <v>0</v>
      </c>
      <c r="JG118" s="2010">
        <f>'I - Capital RLM'!D118</f>
        <v>0</v>
      </c>
      <c r="JH118" s="2118">
        <f>'I - Capital RLM'!E118</f>
        <v>0</v>
      </c>
      <c r="JI118" s="1943">
        <f>'I - Capital RLM'!F118</f>
        <v>0</v>
      </c>
      <c r="JJ118" s="2010">
        <f>'I - Capital RLM'!G118</f>
        <v>0</v>
      </c>
      <c r="JK118" s="2010">
        <f>'I - Capital RLM'!H118</f>
        <v>0</v>
      </c>
      <c r="JL118" s="2118">
        <f>'I - Capital RLM'!I118</f>
        <v>0</v>
      </c>
      <c r="JM118" s="1943"/>
      <c r="JN118" s="1890">
        <f>'I - Capital RLM'!K118</f>
        <v>0</v>
      </c>
      <c r="JO118" s="1943">
        <f t="shared" si="23"/>
        <v>0</v>
      </c>
      <c r="LL118" s="814"/>
      <c r="LM118" s="2197">
        <f>'M - Aged Debtors'!B118</f>
        <v>0</v>
      </c>
      <c r="LN118" s="2198">
        <f>'M - Aged Debtors'!C118</f>
        <v>0</v>
      </c>
      <c r="LO118" s="2199">
        <f>'M - Aged Debtors'!D118</f>
        <v>0</v>
      </c>
      <c r="LP118" s="2200">
        <f>'M - Aged Debtors'!E118</f>
        <v>0</v>
      </c>
      <c r="LQ118" s="2201">
        <f>'M - Aged Debtors'!F118</f>
        <v>0</v>
      </c>
      <c r="LR118" s="832" t="str">
        <f>'M - Aged Debtors'!G118</f>
        <v/>
      </c>
      <c r="LS118" s="829" t="str">
        <f>'M - Aged Debtors'!H118</f>
        <v/>
      </c>
      <c r="LT118" s="829" t="str">
        <f>'M - Aged Debtors'!I118</f>
        <v/>
      </c>
      <c r="LU118" s="830" t="str">
        <f>'M - Aged Debtors'!J118</f>
        <v/>
      </c>
      <c r="LV118" s="1830">
        <f>'M - Aged Debtors'!K118</f>
        <v>0</v>
      </c>
      <c r="LX118" s="3146">
        <f>'N - GMS'!A118</f>
        <v>0</v>
      </c>
      <c r="LY118" s="3147"/>
      <c r="LZ118" s="461">
        <f>'N - GMS'!C118</f>
        <v>93</v>
      </c>
      <c r="MA118" s="68">
        <f>'N - GMS'!D118</f>
        <v>0</v>
      </c>
      <c r="MB118" s="2231">
        <f>'N - GMS'!E118</f>
        <v>0</v>
      </c>
      <c r="MC118" s="2231">
        <f>'N - GMS'!F118</f>
        <v>0</v>
      </c>
      <c r="MD118" s="493">
        <f>'N - GMS'!G118</f>
        <v>0</v>
      </c>
      <c r="ME118" s="213"/>
      <c r="MF118" s="1028">
        <f>'N - GMS'!I118</f>
        <v>0</v>
      </c>
      <c r="MR118" s="684"/>
      <c r="MS118" s="2774">
        <f>'P - Ringfenced'!B118</f>
        <v>0</v>
      </c>
      <c r="MT118" s="2703">
        <f>'P - Ringfenced'!C118</f>
        <v>0</v>
      </c>
      <c r="MU118" s="1468"/>
      <c r="MV118" s="1468"/>
      <c r="MW118" s="1468"/>
      <c r="MX118" s="1468"/>
      <c r="MY118" s="1468"/>
      <c r="MZ118" s="1468"/>
      <c r="NA118" s="1468"/>
      <c r="NB118" s="1468"/>
      <c r="NC118" s="1468"/>
      <c r="ND118" s="1468"/>
      <c r="NE118" s="1468"/>
      <c r="NF118" s="1468"/>
      <c r="NG118" s="1468"/>
      <c r="NH118" s="1468"/>
      <c r="NI118" s="1468"/>
      <c r="NJ118" s="684"/>
      <c r="NK118" s="684"/>
    </row>
    <row r="119" spans="57:375" ht="20.149999999999999" customHeight="1" thickTop="1" thickBot="1">
      <c r="BE119" s="890">
        <f>'B - Monthly Positions'!A119</f>
        <v>67</v>
      </c>
      <c r="BF119" s="1850">
        <f>'B - Monthly Positions'!B119</f>
        <v>0</v>
      </c>
      <c r="BG119" s="2215" t="s">
        <v>288</v>
      </c>
      <c r="BH119" s="1800">
        <f>'B - Monthly Positions'!D119</f>
        <v>0</v>
      </c>
      <c r="BI119" s="1801">
        <f>'B - Monthly Positions'!E119</f>
        <v>0</v>
      </c>
      <c r="BJ119" s="1801">
        <f>'B - Monthly Positions'!F119</f>
        <v>0</v>
      </c>
      <c r="BK119" s="1801">
        <f>'B - Monthly Positions'!G119</f>
        <v>0</v>
      </c>
      <c r="BL119" s="1801">
        <f>'B - Monthly Positions'!H119</f>
        <v>0</v>
      </c>
      <c r="BM119" s="1801">
        <f>'B - Monthly Positions'!I119</f>
        <v>0</v>
      </c>
      <c r="BN119" s="1801">
        <f>'B - Monthly Positions'!J119</f>
        <v>0</v>
      </c>
      <c r="BO119" s="1801">
        <f>'B - Monthly Positions'!K119</f>
        <v>0</v>
      </c>
      <c r="BP119" s="1801">
        <f>'B - Monthly Positions'!L119</f>
        <v>0</v>
      </c>
      <c r="BQ119" s="1801">
        <f>'B - Monthly Positions'!M119</f>
        <v>0</v>
      </c>
      <c r="BR119" s="1801">
        <f>'B - Monthly Positions'!N119</f>
        <v>0</v>
      </c>
      <c r="BS119" s="2349">
        <f>'B - Monthly Positions'!O119</f>
        <v>0</v>
      </c>
      <c r="BT119" s="1073">
        <f>'B - Monthly Positions'!P119</f>
        <v>0</v>
      </c>
      <c r="BU119" s="1067">
        <f>'B - Monthly Positions'!Q119</f>
        <v>0</v>
      </c>
      <c r="BV119" s="2594"/>
      <c r="BX119" s="1107">
        <f>' Table Z Net Exp Profiles'!A119</f>
        <v>88</v>
      </c>
      <c r="BY119" s="1270" t="str">
        <f>' Table Z Net Exp Profiles'!B119</f>
        <v>Net Primary Care Expenditure - Movement Other</v>
      </c>
      <c r="BZ119" s="1110">
        <f>' Table Z Net Exp Profiles'!C119</f>
        <v>0</v>
      </c>
      <c r="CA119" s="1110">
        <f>' Table Z Net Exp Profiles'!D119</f>
        <v>0</v>
      </c>
      <c r="CB119" s="1110">
        <f>' Table Z Net Exp Profiles'!E119</f>
        <v>0</v>
      </c>
      <c r="CC119" s="1110">
        <f>' Table Z Net Exp Profiles'!F119</f>
        <v>0</v>
      </c>
      <c r="CD119" s="1110">
        <f>' Table Z Net Exp Profiles'!G119</f>
        <v>0</v>
      </c>
      <c r="CE119" s="1110">
        <f>' Table Z Net Exp Profiles'!H119</f>
        <v>0</v>
      </c>
      <c r="CF119" s="1110">
        <f>' Table Z Net Exp Profiles'!I119</f>
        <v>0</v>
      </c>
      <c r="CG119" s="1110">
        <f>' Table Z Net Exp Profiles'!J119</f>
        <v>0</v>
      </c>
      <c r="CH119" s="1110">
        <f>' Table Z Net Exp Profiles'!K119</f>
        <v>0</v>
      </c>
      <c r="CI119" s="1110">
        <f>' Table Z Net Exp Profiles'!L119</f>
        <v>0</v>
      </c>
      <c r="CJ119" s="1110">
        <f>' Table Z Net Exp Profiles'!M119</f>
        <v>0</v>
      </c>
      <c r="CK119" s="1110">
        <f>' Table Z Net Exp Profiles'!N119</f>
        <v>0</v>
      </c>
      <c r="CL119" s="1110">
        <f>' Table Z Net Exp Profiles'!O119</f>
        <v>0</v>
      </c>
      <c r="CM119" s="1110">
        <f>' Table Z Net Exp Profiles'!P119</f>
        <v>0</v>
      </c>
      <c r="DF119" s="2838">
        <f>'B3 - COVID-19'!A119</f>
        <v>88</v>
      </c>
      <c r="DG119" s="1906" t="str">
        <f>'B3 - COVID-19'!B119</f>
        <v>Other Private &amp; Voluntary Sector</v>
      </c>
      <c r="DH119" s="1330">
        <f>'B3 - COVID-19'!C119</f>
        <v>0</v>
      </c>
      <c r="DI119" s="1330">
        <f>'B3 - COVID-19'!D119</f>
        <v>0</v>
      </c>
      <c r="DJ119" s="1330">
        <f>'B3 - COVID-19'!E119</f>
        <v>0</v>
      </c>
      <c r="DK119" s="1330">
        <f>'B3 - COVID-19'!F119</f>
        <v>0</v>
      </c>
      <c r="DL119" s="1330">
        <f>'B3 - COVID-19'!G119</f>
        <v>0</v>
      </c>
      <c r="DM119" s="1330">
        <f>'B3 - COVID-19'!H119</f>
        <v>0</v>
      </c>
      <c r="DN119" s="1330">
        <f>'B3 - COVID-19'!I119</f>
        <v>0</v>
      </c>
      <c r="DO119" s="1330">
        <f>'B3 - COVID-19'!J119</f>
        <v>0</v>
      </c>
      <c r="DP119" s="1330">
        <f>'B3 - COVID-19'!K119</f>
        <v>0</v>
      </c>
      <c r="DQ119" s="1330">
        <f>'B3 - COVID-19'!L119</f>
        <v>0</v>
      </c>
      <c r="DR119" s="1330">
        <f>'B3 - COVID-19'!M119</f>
        <v>0</v>
      </c>
      <c r="DS119" s="1330">
        <f>'B3 - COVID-19'!N119</f>
        <v>0</v>
      </c>
      <c r="DT119" s="1863">
        <f>'B3 - COVID-19'!O119</f>
        <v>0</v>
      </c>
      <c r="DU119" s="1864">
        <f>'B3 - COVID-19'!P119</f>
        <v>0</v>
      </c>
      <c r="DV119" s="608"/>
      <c r="DW119" s="1116"/>
      <c r="DY119" s="2111">
        <f>'C, C1, C2&amp; C3 - Savings Schemes'!A119</f>
        <v>10</v>
      </c>
      <c r="DZ119" s="3038" t="str">
        <f>'C, C1, C2&amp; C3 - Savings Schemes'!B119</f>
        <v>CHC/FNC</v>
      </c>
      <c r="EA119" s="87" t="str">
        <f>'C, C1, C2&amp; C3 - Savings Schemes'!C119</f>
        <v>Budget/Plan</v>
      </c>
      <c r="EB119" s="2643">
        <f>'C, C1, C2&amp; C3 - Savings Schemes'!D119</f>
        <v>0</v>
      </c>
      <c r="EC119" s="2643">
        <f>'C, C1, C2&amp; C3 - Savings Schemes'!E119</f>
        <v>0</v>
      </c>
      <c r="ED119" s="2643">
        <f>'C, C1, C2&amp; C3 - Savings Schemes'!F119</f>
        <v>0</v>
      </c>
      <c r="EE119" s="2643">
        <f>'C, C1, C2&amp; C3 - Savings Schemes'!G119</f>
        <v>0</v>
      </c>
      <c r="EF119" s="2643">
        <f>'C, C1, C2&amp; C3 - Savings Schemes'!H119</f>
        <v>0</v>
      </c>
      <c r="EG119" s="2643">
        <f>'C, C1, C2&amp; C3 - Savings Schemes'!I119</f>
        <v>0</v>
      </c>
      <c r="EH119" s="2643">
        <f>'C, C1, C2&amp; C3 - Savings Schemes'!J119</f>
        <v>0</v>
      </c>
      <c r="EI119" s="2643">
        <f>'C, C1, C2&amp; C3 - Savings Schemes'!K119</f>
        <v>0</v>
      </c>
      <c r="EJ119" s="2643">
        <f>'C, C1, C2&amp; C3 - Savings Schemes'!L119</f>
        <v>0</v>
      </c>
      <c r="EK119" s="2643">
        <f>'C, C1, C2&amp; C3 - Savings Schemes'!M119</f>
        <v>0</v>
      </c>
      <c r="EL119" s="2643">
        <f>'C, C1, C2&amp; C3 - Savings Schemes'!N119</f>
        <v>0</v>
      </c>
      <c r="EM119" s="2643">
        <f>'C, C1, C2&amp; C3 - Savings Schemes'!O119</f>
        <v>0</v>
      </c>
      <c r="EN119" s="2644">
        <f>'C, C1, C2&amp; C3 - Savings Schemes'!P119</f>
        <v>0</v>
      </c>
      <c r="EO119" s="2644">
        <f>'C, C1, C2&amp; C3 - Savings Schemes'!Q119</f>
        <v>0</v>
      </c>
      <c r="GF119" s="354"/>
      <c r="GG119" s="354"/>
      <c r="GH119" s="354"/>
      <c r="GI119" s="354"/>
      <c r="GJ119" s="354"/>
      <c r="GK119" s="354"/>
      <c r="GL119" s="1745"/>
      <c r="GM119" s="1745"/>
      <c r="GN119" s="1745"/>
      <c r="GO119" s="1745"/>
      <c r="GP119" s="1745"/>
      <c r="GQ119" s="1745"/>
      <c r="GR119" s="1935"/>
      <c r="JD119" s="2088">
        <f>'I - Capital RLM'!A119</f>
        <v>85</v>
      </c>
      <c r="JE119" s="2089">
        <f>'I - Capital RLM'!B119</f>
        <v>0</v>
      </c>
      <c r="JF119" s="2010">
        <f>'I - Capital RLM'!C119</f>
        <v>0</v>
      </c>
      <c r="JG119" s="2010">
        <f>'I - Capital RLM'!D119</f>
        <v>0</v>
      </c>
      <c r="JH119" s="2118">
        <f>'I - Capital RLM'!E119</f>
        <v>0</v>
      </c>
      <c r="JI119" s="1943">
        <f>'I - Capital RLM'!F119</f>
        <v>0</v>
      </c>
      <c r="JJ119" s="2010">
        <f>'I - Capital RLM'!G119</f>
        <v>0</v>
      </c>
      <c r="JK119" s="2010">
        <f>'I - Capital RLM'!H119</f>
        <v>0</v>
      </c>
      <c r="JL119" s="2118">
        <f>'I - Capital RLM'!I119</f>
        <v>0</v>
      </c>
      <c r="JM119" s="1943"/>
      <c r="JN119" s="1890">
        <f>'I - Capital RLM'!K119</f>
        <v>0</v>
      </c>
      <c r="JO119" s="1943">
        <f t="shared" si="23"/>
        <v>0</v>
      </c>
      <c r="LL119" s="814"/>
      <c r="LM119" s="2197">
        <f>'M - Aged Debtors'!B119</f>
        <v>0</v>
      </c>
      <c r="LN119" s="2198">
        <f>'M - Aged Debtors'!C119</f>
        <v>0</v>
      </c>
      <c r="LO119" s="2199">
        <f>'M - Aged Debtors'!D119</f>
        <v>0</v>
      </c>
      <c r="LP119" s="2200">
        <f>'M - Aged Debtors'!E119</f>
        <v>0</v>
      </c>
      <c r="LQ119" s="2201">
        <f>'M - Aged Debtors'!F119</f>
        <v>0</v>
      </c>
      <c r="LR119" s="832" t="str">
        <f>'M - Aged Debtors'!G119</f>
        <v/>
      </c>
      <c r="LS119" s="829" t="str">
        <f>'M - Aged Debtors'!H119</f>
        <v/>
      </c>
      <c r="LT119" s="829" t="str">
        <f>'M - Aged Debtors'!I119</f>
        <v/>
      </c>
      <c r="LU119" s="830" t="str">
        <f>'M - Aged Debtors'!J119</f>
        <v/>
      </c>
      <c r="LV119" s="1830">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4"/>
      <c r="MS119" s="2774">
        <f>'P - Ringfenced'!B119</f>
        <v>0</v>
      </c>
      <c r="MT119" s="2704">
        <f>'P - Ringfenced'!C119</f>
        <v>0</v>
      </c>
      <c r="MU119" s="1468"/>
      <c r="MV119" s="1468"/>
      <c r="MW119" s="1468"/>
      <c r="MX119" s="1468"/>
      <c r="MY119" s="1468"/>
      <c r="MZ119" s="1468"/>
      <c r="NA119" s="1468"/>
      <c r="NB119" s="1468"/>
      <c r="NC119" s="1468"/>
      <c r="ND119" s="1468"/>
      <c r="NE119" s="1468"/>
      <c r="NF119" s="1468"/>
      <c r="NG119" s="1468"/>
      <c r="NH119" s="1468"/>
      <c r="NI119" s="1468"/>
      <c r="NJ119" s="684"/>
      <c r="NK119" s="684"/>
    </row>
    <row r="120" spans="57:375" ht="20.149999999999999" customHeight="1" thickBot="1">
      <c r="BE120" s="890">
        <f>'B - Monthly Positions'!A120</f>
        <v>68</v>
      </c>
      <c r="BF120" s="1850">
        <f>'B - Monthly Positions'!B120</f>
        <v>0</v>
      </c>
      <c r="BG120" s="2215" t="s">
        <v>288</v>
      </c>
      <c r="BH120" s="1800">
        <f>'B - Monthly Positions'!D120</f>
        <v>0</v>
      </c>
      <c r="BI120" s="1801">
        <f>'B - Monthly Positions'!E120</f>
        <v>0</v>
      </c>
      <c r="BJ120" s="1801">
        <f>'B - Monthly Positions'!F120</f>
        <v>0</v>
      </c>
      <c r="BK120" s="1801">
        <f>'B - Monthly Positions'!G120</f>
        <v>0</v>
      </c>
      <c r="BL120" s="1801">
        <f>'B - Monthly Positions'!H120</f>
        <v>0</v>
      </c>
      <c r="BM120" s="1801">
        <f>'B - Monthly Positions'!I120</f>
        <v>0</v>
      </c>
      <c r="BN120" s="1801">
        <f>'B - Monthly Positions'!J120</f>
        <v>0</v>
      </c>
      <c r="BO120" s="1801">
        <f>'B - Monthly Positions'!K120</f>
        <v>0</v>
      </c>
      <c r="BP120" s="1801">
        <f>'B - Monthly Positions'!L120</f>
        <v>0</v>
      </c>
      <c r="BQ120" s="1801">
        <f>'B - Monthly Positions'!M120</f>
        <v>0</v>
      </c>
      <c r="BR120" s="1801">
        <f>'B - Monthly Positions'!N120</f>
        <v>0</v>
      </c>
      <c r="BS120" s="2349">
        <f>'B - Monthly Positions'!O120</f>
        <v>0</v>
      </c>
      <c r="BT120" s="1073">
        <f>'B - Monthly Positions'!P120</f>
        <v>0</v>
      </c>
      <c r="BU120" s="1067">
        <f>'B - Monthly Positions'!Q120</f>
        <v>0</v>
      </c>
      <c r="BV120" s="2594"/>
      <c r="BX120" s="84"/>
      <c r="BY120" s="80"/>
      <c r="BZ120" s="111"/>
      <c r="CA120" s="111"/>
      <c r="CB120" s="111"/>
      <c r="CC120" s="111"/>
      <c r="CD120" s="111"/>
      <c r="CE120" s="111"/>
      <c r="CF120" s="111"/>
      <c r="CG120" s="111"/>
      <c r="CH120" s="111"/>
      <c r="CI120" s="111"/>
      <c r="CJ120" s="111"/>
      <c r="CK120" s="111"/>
      <c r="CL120" s="111"/>
      <c r="CM120" s="111"/>
      <c r="DF120" s="2838">
        <f>'B3 - COVID-19'!A120</f>
        <v>89</v>
      </c>
      <c r="DG120" s="1906" t="str">
        <f>'B3 - COVID-19'!B120</f>
        <v>Joint Financing and Other (includes Local Authority)</v>
      </c>
      <c r="DH120" s="1330">
        <f>'B3 - COVID-19'!C120</f>
        <v>0</v>
      </c>
      <c r="DI120" s="1330">
        <f>'B3 - COVID-19'!D120</f>
        <v>0</v>
      </c>
      <c r="DJ120" s="1330">
        <f>'B3 - COVID-19'!E120</f>
        <v>0</v>
      </c>
      <c r="DK120" s="1330">
        <f>'B3 - COVID-19'!F120</f>
        <v>0</v>
      </c>
      <c r="DL120" s="1330">
        <f>'B3 - COVID-19'!G120</f>
        <v>0</v>
      </c>
      <c r="DM120" s="1330">
        <f>'B3 - COVID-19'!H120</f>
        <v>0</v>
      </c>
      <c r="DN120" s="1330">
        <f>'B3 - COVID-19'!I120</f>
        <v>0</v>
      </c>
      <c r="DO120" s="1330">
        <f>'B3 - COVID-19'!J120</f>
        <v>0</v>
      </c>
      <c r="DP120" s="1330">
        <f>'B3 - COVID-19'!K120</f>
        <v>0</v>
      </c>
      <c r="DQ120" s="1330">
        <f>'B3 - COVID-19'!L120</f>
        <v>0</v>
      </c>
      <c r="DR120" s="1330">
        <f>'B3 - COVID-19'!M120</f>
        <v>0</v>
      </c>
      <c r="DS120" s="1330">
        <f>'B3 - COVID-19'!N120</f>
        <v>0</v>
      </c>
      <c r="DT120" s="1863">
        <f>'B3 - COVID-19'!O120</f>
        <v>0</v>
      </c>
      <c r="DU120" s="1864">
        <f>'B3 - COVID-19'!P120</f>
        <v>0</v>
      </c>
      <c r="DV120" s="608"/>
      <c r="DW120" s="1116"/>
      <c r="DY120" s="2095">
        <f>'C, C1, C2&amp; C3 - Savings Schemes'!A120</f>
        <v>11</v>
      </c>
      <c r="DZ120" s="3039"/>
      <c r="EA120" s="90" t="str">
        <f>'C, C1, C2&amp; C3 - Savings Schemes'!C120</f>
        <v>Actual/F'cast</v>
      </c>
      <c r="EB120" s="2643">
        <f>'C, C1, C2&amp; C3 - Savings Schemes'!D120</f>
        <v>0</v>
      </c>
      <c r="EC120" s="2643">
        <f>'C, C1, C2&amp; C3 - Savings Schemes'!E120</f>
        <v>0</v>
      </c>
      <c r="ED120" s="2643">
        <f>'C, C1, C2&amp; C3 - Savings Schemes'!F120</f>
        <v>0</v>
      </c>
      <c r="EE120" s="2643">
        <f>'C, C1, C2&amp; C3 - Savings Schemes'!G120</f>
        <v>0</v>
      </c>
      <c r="EF120" s="2643">
        <f>'C, C1, C2&amp; C3 - Savings Schemes'!H120</f>
        <v>0</v>
      </c>
      <c r="EG120" s="2643">
        <f>'C, C1, C2&amp; C3 - Savings Schemes'!I120</f>
        <v>0</v>
      </c>
      <c r="EH120" s="2643">
        <f>'C, C1, C2&amp; C3 - Savings Schemes'!J120</f>
        <v>0</v>
      </c>
      <c r="EI120" s="2643">
        <f>'C, C1, C2&amp; C3 - Savings Schemes'!K120</f>
        <v>0</v>
      </c>
      <c r="EJ120" s="2643">
        <f>'C, C1, C2&amp; C3 - Savings Schemes'!L120</f>
        <v>0</v>
      </c>
      <c r="EK120" s="2643">
        <f>'C, C1, C2&amp; C3 - Savings Schemes'!M120</f>
        <v>0</v>
      </c>
      <c r="EL120" s="2643">
        <f>'C, C1, C2&amp; C3 - Savings Schemes'!N120</f>
        <v>0</v>
      </c>
      <c r="EM120" s="2643">
        <f>'C, C1, C2&amp; C3 - Savings Schemes'!O120</f>
        <v>0</v>
      </c>
      <c r="EN120" s="2644">
        <f>'C, C1, C2&amp; C3 - Savings Schemes'!P120</f>
        <v>0</v>
      </c>
      <c r="EO120" s="2644">
        <f>'C, C1, C2&amp; C3 - Savings Schemes'!Q120</f>
        <v>0</v>
      </c>
      <c r="GF120" s="354"/>
      <c r="GG120" s="354"/>
      <c r="GH120" s="354"/>
      <c r="GI120" s="354"/>
      <c r="GJ120" s="354"/>
      <c r="GK120" s="354"/>
      <c r="GL120" s="1745"/>
      <c r="GM120" s="1745"/>
      <c r="GN120" s="1745"/>
      <c r="GO120" s="1745"/>
      <c r="GP120" s="1745"/>
      <c r="GQ120" s="1745"/>
      <c r="GR120" s="1935"/>
      <c r="JD120" s="2088">
        <f>'I - Capital RLM'!A120</f>
        <v>86</v>
      </c>
      <c r="JE120" s="2089">
        <f>'I - Capital RLM'!B120</f>
        <v>0</v>
      </c>
      <c r="JF120" s="2010">
        <f>'I - Capital RLM'!C120</f>
        <v>0</v>
      </c>
      <c r="JG120" s="2010">
        <f>'I - Capital RLM'!D120</f>
        <v>0</v>
      </c>
      <c r="JH120" s="2118">
        <f>'I - Capital RLM'!E120</f>
        <v>0</v>
      </c>
      <c r="JI120" s="1943">
        <f>'I - Capital RLM'!F120</f>
        <v>0</v>
      </c>
      <c r="JJ120" s="2010">
        <f>'I - Capital RLM'!G120</f>
        <v>0</v>
      </c>
      <c r="JK120" s="2010">
        <f>'I - Capital RLM'!H120</f>
        <v>0</v>
      </c>
      <c r="JL120" s="2118">
        <f>'I - Capital RLM'!I120</f>
        <v>0</v>
      </c>
      <c r="JM120" s="1943"/>
      <c r="JN120" s="1890">
        <f>'I - Capital RLM'!K120</f>
        <v>0</v>
      </c>
      <c r="JO120" s="1943">
        <f t="shared" si="23"/>
        <v>0</v>
      </c>
      <c r="LL120" s="814"/>
      <c r="LM120" s="2197">
        <f>'M - Aged Debtors'!B120</f>
        <v>0</v>
      </c>
      <c r="LN120" s="2198">
        <f>'M - Aged Debtors'!C120</f>
        <v>0</v>
      </c>
      <c r="LO120" s="2199">
        <f>'M - Aged Debtors'!D120</f>
        <v>0</v>
      </c>
      <c r="LP120" s="2200">
        <f>'M - Aged Debtors'!E120</f>
        <v>0</v>
      </c>
      <c r="LQ120" s="2201">
        <f>'M - Aged Debtors'!F120</f>
        <v>0</v>
      </c>
      <c r="LR120" s="832" t="str">
        <f>'M - Aged Debtors'!G120</f>
        <v/>
      </c>
      <c r="LS120" s="829" t="str">
        <f>'M - Aged Debtors'!H120</f>
        <v/>
      </c>
      <c r="LT120" s="829" t="str">
        <f>'M - Aged Debtors'!I120</f>
        <v/>
      </c>
      <c r="LU120" s="830" t="str">
        <f>'M - Aged Debtors'!J120</f>
        <v/>
      </c>
      <c r="LV120" s="1830">
        <f>'M - Aged Debtors'!K120</f>
        <v>0</v>
      </c>
      <c r="LX120" s="149"/>
      <c r="LY120" s="232"/>
      <c r="LZ120" s="498"/>
      <c r="MA120" s="235"/>
      <c r="MB120" s="235"/>
      <c r="MC120" s="235"/>
      <c r="MD120" s="235"/>
      <c r="ME120" s="497"/>
      <c r="MF120" s="235"/>
      <c r="MR120" s="684"/>
      <c r="MS120" s="2676" t="str">
        <f>'P - Ringfenced'!B120</f>
        <v>Total</v>
      </c>
      <c r="MT120" s="1101">
        <f>'P - Ringfenced'!C120</f>
        <v>0</v>
      </c>
      <c r="MU120" s="1468"/>
      <c r="MV120" s="1468"/>
      <c r="MW120" s="1468"/>
      <c r="MX120" s="1468"/>
      <c r="MY120" s="1468"/>
      <c r="MZ120" s="1468"/>
      <c r="NA120" s="1468"/>
      <c r="NB120" s="1468"/>
      <c r="NC120" s="1468"/>
      <c r="ND120" s="1468"/>
      <c r="NE120" s="1468"/>
      <c r="NF120" s="1468"/>
      <c r="NG120" s="1468"/>
      <c r="NH120" s="1468"/>
      <c r="NI120" s="1468"/>
      <c r="NJ120" s="684"/>
      <c r="NK120" s="684"/>
    </row>
    <row r="121" spans="57:375" ht="20.149999999999999" customHeight="1" thickBot="1">
      <c r="BE121" s="890">
        <f>'B - Monthly Positions'!A121</f>
        <v>69</v>
      </c>
      <c r="BF121" s="1850">
        <f>'B - Monthly Positions'!B121</f>
        <v>0</v>
      </c>
      <c r="BG121" s="2215" t="s">
        <v>288</v>
      </c>
      <c r="BH121" s="1800">
        <f>'B - Monthly Positions'!D121</f>
        <v>0</v>
      </c>
      <c r="BI121" s="1801">
        <f>'B - Monthly Positions'!E121</f>
        <v>0</v>
      </c>
      <c r="BJ121" s="1801">
        <f>'B - Monthly Positions'!F121</f>
        <v>0</v>
      </c>
      <c r="BK121" s="1801">
        <f>'B - Monthly Positions'!G121</f>
        <v>0</v>
      </c>
      <c r="BL121" s="1801">
        <f>'B - Monthly Positions'!H121</f>
        <v>0</v>
      </c>
      <c r="BM121" s="1801">
        <f>'B - Monthly Positions'!I121</f>
        <v>0</v>
      </c>
      <c r="BN121" s="1801">
        <f>'B - Monthly Positions'!J121</f>
        <v>0</v>
      </c>
      <c r="BO121" s="1801">
        <f>'B - Monthly Positions'!K121</f>
        <v>0</v>
      </c>
      <c r="BP121" s="1801">
        <f>'B - Monthly Positions'!L121</f>
        <v>0</v>
      </c>
      <c r="BQ121" s="1801">
        <f>'B - Monthly Positions'!M121</f>
        <v>0</v>
      </c>
      <c r="BR121" s="1801">
        <f>'B - Monthly Positions'!N121</f>
        <v>0</v>
      </c>
      <c r="BS121" s="2349">
        <f>'B - Monthly Positions'!O121</f>
        <v>0</v>
      </c>
      <c r="BT121" s="1073">
        <f>'B - Monthly Positions'!P121</f>
        <v>0</v>
      </c>
      <c r="BU121" s="1067">
        <f>'B - Monthly Positions'!Q121</f>
        <v>0</v>
      </c>
      <c r="BV121" s="2594"/>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8">
        <f>'B3 - COVID-19'!A121</f>
        <v>90</v>
      </c>
      <c r="DG121" s="1906" t="str">
        <f>'B3 - COVID-19'!B121</f>
        <v>Other (only use with WG Agreement &amp; state SoCNE/I line ref)</v>
      </c>
      <c r="DH121" s="1330">
        <f>'B3 - COVID-19'!C121</f>
        <v>0</v>
      </c>
      <c r="DI121" s="1330">
        <f>'B3 - COVID-19'!D121</f>
        <v>0</v>
      </c>
      <c r="DJ121" s="1330">
        <f>'B3 - COVID-19'!E121</f>
        <v>0</v>
      </c>
      <c r="DK121" s="1330">
        <f>'B3 - COVID-19'!F121</f>
        <v>0</v>
      </c>
      <c r="DL121" s="1330">
        <f>'B3 - COVID-19'!G121</f>
        <v>0</v>
      </c>
      <c r="DM121" s="1330">
        <f>'B3 - COVID-19'!H121</f>
        <v>0</v>
      </c>
      <c r="DN121" s="1330">
        <f>'B3 - COVID-19'!I121</f>
        <v>0</v>
      </c>
      <c r="DO121" s="1330">
        <f>'B3 - COVID-19'!J121</f>
        <v>0</v>
      </c>
      <c r="DP121" s="1330">
        <f>'B3 - COVID-19'!K121</f>
        <v>0</v>
      </c>
      <c r="DQ121" s="1330">
        <f>'B3 - COVID-19'!L121</f>
        <v>0</v>
      </c>
      <c r="DR121" s="1330">
        <f>'B3 - COVID-19'!M121</f>
        <v>0</v>
      </c>
      <c r="DS121" s="1330">
        <f>'B3 - COVID-19'!N121</f>
        <v>0</v>
      </c>
      <c r="DT121" s="1863">
        <f>'B3 - COVID-19'!O121</f>
        <v>0</v>
      </c>
      <c r="DU121" s="1864">
        <f>'B3 - COVID-19'!P121</f>
        <v>0</v>
      </c>
      <c r="DV121" s="608"/>
      <c r="DW121" s="1116"/>
      <c r="DY121" s="2095">
        <f>'C, C1, C2&amp; C3 - Savings Schemes'!A121</f>
        <v>12</v>
      </c>
      <c r="DZ121" s="3040"/>
      <c r="EA121" s="92" t="str">
        <f>'C, C1, C2&amp; C3 - Savings Schemes'!C121</f>
        <v>Variance</v>
      </c>
      <c r="EB121" s="2644">
        <f>'C, C1, C2&amp; C3 - Savings Schemes'!D121</f>
        <v>0</v>
      </c>
      <c r="EC121" s="2644">
        <f>'C, C1, C2&amp; C3 - Savings Schemes'!E121</f>
        <v>0</v>
      </c>
      <c r="ED121" s="2644">
        <f>'C, C1, C2&amp; C3 - Savings Schemes'!F121</f>
        <v>0</v>
      </c>
      <c r="EE121" s="2644">
        <f>'C, C1, C2&amp; C3 - Savings Schemes'!G121</f>
        <v>0</v>
      </c>
      <c r="EF121" s="2644">
        <f>'C, C1, C2&amp; C3 - Savings Schemes'!H121</f>
        <v>0</v>
      </c>
      <c r="EG121" s="2644">
        <f>'C, C1, C2&amp; C3 - Savings Schemes'!I121</f>
        <v>0</v>
      </c>
      <c r="EH121" s="2644">
        <f>'C, C1, C2&amp; C3 - Savings Schemes'!J121</f>
        <v>0</v>
      </c>
      <c r="EI121" s="2644">
        <f>'C, C1, C2&amp; C3 - Savings Schemes'!K121</f>
        <v>0</v>
      </c>
      <c r="EJ121" s="2644">
        <f>'C, C1, C2&amp; C3 - Savings Schemes'!L121</f>
        <v>0</v>
      </c>
      <c r="EK121" s="2644">
        <f>'C, C1, C2&amp; C3 - Savings Schemes'!M121</f>
        <v>0</v>
      </c>
      <c r="EL121" s="2644">
        <f>'C, C1, C2&amp; C3 - Savings Schemes'!N121</f>
        <v>0</v>
      </c>
      <c r="EM121" s="2644">
        <f>'C, C1, C2&amp; C3 - Savings Schemes'!O121</f>
        <v>0</v>
      </c>
      <c r="EN121" s="2644">
        <f>'C, C1, C2&amp; C3 - Savings Schemes'!P121</f>
        <v>0</v>
      </c>
      <c r="EO121" s="2644">
        <f>'C, C1, C2&amp; C3 - Savings Schemes'!Q121</f>
        <v>0</v>
      </c>
      <c r="JD121" s="2088">
        <f>'I - Capital RLM'!A121</f>
        <v>87</v>
      </c>
      <c r="JE121" s="2089">
        <f>'I - Capital RLM'!B121</f>
        <v>0</v>
      </c>
      <c r="JF121" s="2010">
        <f>'I - Capital RLM'!C121</f>
        <v>0</v>
      </c>
      <c r="JG121" s="2010">
        <f>'I - Capital RLM'!D121</f>
        <v>0</v>
      </c>
      <c r="JH121" s="2118">
        <f>'I - Capital RLM'!E121</f>
        <v>0</v>
      </c>
      <c r="JI121" s="1943">
        <f>'I - Capital RLM'!F121</f>
        <v>0</v>
      </c>
      <c r="JJ121" s="2010">
        <f>'I - Capital RLM'!G121</f>
        <v>0</v>
      </c>
      <c r="JK121" s="2010">
        <f>'I - Capital RLM'!H121</f>
        <v>0</v>
      </c>
      <c r="JL121" s="2118">
        <f>'I - Capital RLM'!I121</f>
        <v>0</v>
      </c>
      <c r="JM121" s="1943"/>
      <c r="JN121" s="1890">
        <f>'I - Capital RLM'!K121</f>
        <v>0</v>
      </c>
      <c r="JO121" s="1943">
        <f t="shared" si="23"/>
        <v>0</v>
      </c>
      <c r="LL121" s="814"/>
      <c r="LM121" s="2197">
        <f>'M - Aged Debtors'!B121</f>
        <v>0</v>
      </c>
      <c r="LN121" s="2198">
        <f>'M - Aged Debtors'!C121</f>
        <v>0</v>
      </c>
      <c r="LO121" s="2199">
        <f>'M - Aged Debtors'!D121</f>
        <v>0</v>
      </c>
      <c r="LP121" s="2200">
        <f>'M - Aged Debtors'!E121</f>
        <v>0</v>
      </c>
      <c r="LQ121" s="2201">
        <f>'M - Aged Debtors'!F121</f>
        <v>0</v>
      </c>
      <c r="LR121" s="832" t="str">
        <f>'M - Aged Debtors'!G121</f>
        <v/>
      </c>
      <c r="LS121" s="829" t="str">
        <f>'M - Aged Debtors'!H121</f>
        <v/>
      </c>
      <c r="LT121" s="829" t="str">
        <f>'M - Aged Debtors'!I121</f>
        <v/>
      </c>
      <c r="LU121" s="830" t="str">
        <f>'M - Aged Debtors'!J121</f>
        <v/>
      </c>
      <c r="LV121" s="1830">
        <f>'M - Aged Debtors'!K121</f>
        <v>0</v>
      </c>
      <c r="LX121" s="149"/>
      <c r="LY121" s="232"/>
      <c r="LZ121" s="498"/>
      <c r="MA121" s="235"/>
      <c r="MB121" s="235"/>
      <c r="MC121" s="235"/>
      <c r="MD121" s="235"/>
      <c r="ME121" s="497"/>
      <c r="MF121" s="235"/>
      <c r="MR121" s="684"/>
      <c r="MS121" s="1468"/>
      <c r="MT121" s="1468"/>
      <c r="MU121" s="1468"/>
      <c r="MV121" s="1468"/>
      <c r="MW121" s="1468"/>
      <c r="MX121" s="1468"/>
      <c r="MY121" s="1468"/>
      <c r="MZ121" s="1468"/>
      <c r="NA121" s="1468"/>
      <c r="NB121" s="1468"/>
      <c r="NC121" s="1468"/>
      <c r="ND121" s="1468"/>
      <c r="NE121" s="1468"/>
      <c r="NF121" s="1468"/>
      <c r="NG121" s="1468"/>
      <c r="NH121" s="1468"/>
      <c r="NI121" s="1468"/>
      <c r="NJ121" s="684"/>
      <c r="NK121" s="684"/>
    </row>
    <row r="122" spans="57:375" ht="20.149999999999999" customHeight="1" thickTop="1" thickBot="1">
      <c r="BE122" s="890">
        <f>'B - Monthly Positions'!A122</f>
        <v>70</v>
      </c>
      <c r="BF122" s="1850">
        <f>'B - Monthly Positions'!B122</f>
        <v>0</v>
      </c>
      <c r="BG122" s="2215" t="s">
        <v>288</v>
      </c>
      <c r="BH122" s="1800">
        <f>'B - Monthly Positions'!D122</f>
        <v>0</v>
      </c>
      <c r="BI122" s="1801">
        <f>'B - Monthly Positions'!E122</f>
        <v>0</v>
      </c>
      <c r="BJ122" s="1801">
        <f>'B - Monthly Positions'!F122</f>
        <v>0</v>
      </c>
      <c r="BK122" s="1801">
        <f>'B - Monthly Positions'!G122</f>
        <v>0</v>
      </c>
      <c r="BL122" s="1801">
        <f>'B - Monthly Positions'!H122</f>
        <v>0</v>
      </c>
      <c r="BM122" s="1801">
        <f>'B - Monthly Positions'!I122</f>
        <v>0</v>
      </c>
      <c r="BN122" s="1801">
        <f>'B - Monthly Positions'!J122</f>
        <v>0</v>
      </c>
      <c r="BO122" s="1801">
        <f>'B - Monthly Positions'!K122</f>
        <v>0</v>
      </c>
      <c r="BP122" s="1801">
        <f>'B - Monthly Positions'!L122</f>
        <v>0</v>
      </c>
      <c r="BQ122" s="1801">
        <f>'B - Monthly Positions'!M122</f>
        <v>0</v>
      </c>
      <c r="BR122" s="1801">
        <f>'B - Monthly Positions'!N122</f>
        <v>0</v>
      </c>
      <c r="BS122" s="2349">
        <f>'B - Monthly Positions'!O122</f>
        <v>0</v>
      </c>
      <c r="BT122" s="1073">
        <f>'B - Monthly Positions'!P122</f>
        <v>0</v>
      </c>
      <c r="BU122" s="1067">
        <f>'B - Monthly Positions'!Q122</f>
        <v>0</v>
      </c>
      <c r="BV122" s="2594"/>
      <c r="BX122" s="84"/>
      <c r="BY122" s="80"/>
      <c r="BZ122" s="80"/>
      <c r="CA122" s="80"/>
      <c r="CB122" s="80"/>
      <c r="CC122" s="80"/>
      <c r="CD122" s="80"/>
      <c r="CE122" s="80"/>
      <c r="CF122" s="80"/>
      <c r="CG122" s="80"/>
      <c r="CH122" s="80"/>
      <c r="CI122" s="80"/>
      <c r="CJ122" s="80"/>
      <c r="CK122" s="80"/>
      <c r="CL122" s="80"/>
      <c r="CM122" s="80"/>
      <c r="DF122" s="2838">
        <f>'B3 - COVID-19'!A122</f>
        <v>91</v>
      </c>
      <c r="DG122" s="1906">
        <f>'B3 - COVID-19'!B122</f>
        <v>0</v>
      </c>
      <c r="DH122" s="1330">
        <f>'B3 - COVID-19'!C122</f>
        <v>0</v>
      </c>
      <c r="DI122" s="1330">
        <f>'B3 - COVID-19'!D122</f>
        <v>0</v>
      </c>
      <c r="DJ122" s="1330">
        <f>'B3 - COVID-19'!E122</f>
        <v>0</v>
      </c>
      <c r="DK122" s="1330">
        <f>'B3 - COVID-19'!F122</f>
        <v>0</v>
      </c>
      <c r="DL122" s="1330">
        <f>'B3 - COVID-19'!G122</f>
        <v>0</v>
      </c>
      <c r="DM122" s="1330">
        <f>'B3 - COVID-19'!H122</f>
        <v>0</v>
      </c>
      <c r="DN122" s="1330">
        <f>'B3 - COVID-19'!I122</f>
        <v>0</v>
      </c>
      <c r="DO122" s="1330">
        <f>'B3 - COVID-19'!J122</f>
        <v>0</v>
      </c>
      <c r="DP122" s="1330">
        <f>'B3 - COVID-19'!K122</f>
        <v>0</v>
      </c>
      <c r="DQ122" s="1330">
        <f>'B3 - COVID-19'!L122</f>
        <v>0</v>
      </c>
      <c r="DR122" s="1330">
        <f>'B3 - COVID-19'!M122</f>
        <v>0</v>
      </c>
      <c r="DS122" s="1330">
        <f>'B3 - COVID-19'!N122</f>
        <v>0</v>
      </c>
      <c r="DT122" s="1863">
        <f>'B3 - COVID-19'!O122</f>
        <v>0</v>
      </c>
      <c r="DU122" s="1864">
        <f>'B3 - COVID-19'!P122</f>
        <v>0</v>
      </c>
      <c r="DV122" s="608"/>
      <c r="DW122" s="1116"/>
      <c r="DY122" s="2111">
        <f>'C, C1, C2&amp; C3 - Savings Schemes'!A122</f>
        <v>13</v>
      </c>
      <c r="DZ122" s="3038" t="str">
        <f>'C, C1, C2&amp; C3 - Savings Schemes'!B122</f>
        <v>Primary Care Contractor</v>
      </c>
      <c r="EA122" s="87" t="str">
        <f>'C, C1, C2&amp; C3 - Savings Schemes'!C122</f>
        <v>Budget/Plan</v>
      </c>
      <c r="EB122" s="2643">
        <f>'C, C1, C2&amp; C3 - Savings Schemes'!D122</f>
        <v>0</v>
      </c>
      <c r="EC122" s="2643">
        <f>'C, C1, C2&amp; C3 - Savings Schemes'!E122</f>
        <v>0</v>
      </c>
      <c r="ED122" s="2643">
        <f>'C, C1, C2&amp; C3 - Savings Schemes'!F122</f>
        <v>0</v>
      </c>
      <c r="EE122" s="2643">
        <f>'C, C1, C2&amp; C3 - Savings Schemes'!G122</f>
        <v>0</v>
      </c>
      <c r="EF122" s="2643">
        <f>'C, C1, C2&amp; C3 - Savings Schemes'!H122</f>
        <v>0</v>
      </c>
      <c r="EG122" s="2643">
        <f>'C, C1, C2&amp; C3 - Savings Schemes'!I122</f>
        <v>0</v>
      </c>
      <c r="EH122" s="2643">
        <f>'C, C1, C2&amp; C3 - Savings Schemes'!J122</f>
        <v>0</v>
      </c>
      <c r="EI122" s="2643">
        <f>'C, C1, C2&amp; C3 - Savings Schemes'!K122</f>
        <v>0</v>
      </c>
      <c r="EJ122" s="2643">
        <f>'C, C1, C2&amp; C3 - Savings Schemes'!L122</f>
        <v>0</v>
      </c>
      <c r="EK122" s="2643">
        <f>'C, C1, C2&amp; C3 - Savings Schemes'!M122</f>
        <v>0</v>
      </c>
      <c r="EL122" s="2643">
        <f>'C, C1, C2&amp; C3 - Savings Schemes'!N122</f>
        <v>0</v>
      </c>
      <c r="EM122" s="2643">
        <f>'C, C1, C2&amp; C3 - Savings Schemes'!O122</f>
        <v>0</v>
      </c>
      <c r="EN122" s="2644">
        <f>'C, C1, C2&amp; C3 - Savings Schemes'!P122</f>
        <v>0</v>
      </c>
      <c r="EO122" s="2644">
        <f>'C, C1, C2&amp; C3 - Savings Schemes'!Q122</f>
        <v>0</v>
      </c>
      <c r="JD122" s="2088">
        <f>'I - Capital RLM'!A122</f>
        <v>88</v>
      </c>
      <c r="JE122" s="2089">
        <f>'I - Capital RLM'!B122</f>
        <v>0</v>
      </c>
      <c r="JF122" s="2010">
        <f>'I - Capital RLM'!C122</f>
        <v>0</v>
      </c>
      <c r="JG122" s="2010">
        <f>'I - Capital RLM'!D122</f>
        <v>0</v>
      </c>
      <c r="JH122" s="2118">
        <f>'I - Capital RLM'!E122</f>
        <v>0</v>
      </c>
      <c r="JI122" s="1943">
        <f>'I - Capital RLM'!F122</f>
        <v>0</v>
      </c>
      <c r="JJ122" s="2010">
        <f>'I - Capital RLM'!G122</f>
        <v>0</v>
      </c>
      <c r="JK122" s="2010">
        <f>'I - Capital RLM'!H122</f>
        <v>0</v>
      </c>
      <c r="JL122" s="2118">
        <f>'I - Capital RLM'!I122</f>
        <v>0</v>
      </c>
      <c r="JM122" s="1943"/>
      <c r="JN122" s="1890">
        <f>'I - Capital RLM'!K122</f>
        <v>0</v>
      </c>
      <c r="JO122" s="1943">
        <f t="shared" si="23"/>
        <v>0</v>
      </c>
      <c r="LL122" s="814"/>
      <c r="LM122" s="2197">
        <f>'M - Aged Debtors'!B122</f>
        <v>0</v>
      </c>
      <c r="LN122" s="2198">
        <f>'M - Aged Debtors'!C122</f>
        <v>0</v>
      </c>
      <c r="LO122" s="2199">
        <f>'M - Aged Debtors'!D122</f>
        <v>0</v>
      </c>
      <c r="LP122" s="2200">
        <f>'M - Aged Debtors'!E122</f>
        <v>0</v>
      </c>
      <c r="LQ122" s="2201">
        <f>'M - Aged Debtors'!F122</f>
        <v>0</v>
      </c>
      <c r="LR122" s="832" t="str">
        <f>'M - Aged Debtors'!G122</f>
        <v/>
      </c>
      <c r="LS122" s="829" t="str">
        <f>'M - Aged Debtors'!H122</f>
        <v/>
      </c>
      <c r="LT122" s="829" t="str">
        <f>'M - Aged Debtors'!I122</f>
        <v/>
      </c>
      <c r="LU122" s="830" t="str">
        <f>'M - Aged Debtors'!J122</f>
        <v/>
      </c>
      <c r="LV122" s="1830">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4"/>
      <c r="MS122" s="1468"/>
      <c r="MT122" s="1468"/>
      <c r="MU122" s="1468"/>
      <c r="MV122" s="1468"/>
      <c r="MW122" s="1468"/>
      <c r="MX122" s="1468"/>
      <c r="MY122" s="1468"/>
      <c r="MZ122" s="1468"/>
      <c r="NA122" s="1468"/>
      <c r="NB122" s="1468"/>
      <c r="NC122" s="1468"/>
      <c r="ND122" s="1468"/>
      <c r="NE122" s="1468"/>
      <c r="NF122" s="1468"/>
      <c r="NG122" s="1468"/>
      <c r="NH122" s="1468"/>
      <c r="NI122" s="1468"/>
      <c r="NJ122" s="684"/>
      <c r="NK122" s="684"/>
    </row>
    <row r="123" spans="57:375" ht="20.149999999999999" customHeight="1" thickTop="1" thickBot="1">
      <c r="BE123" s="890">
        <f>'B - Monthly Positions'!A123</f>
        <v>71</v>
      </c>
      <c r="BF123" s="1850">
        <f>'B - Monthly Positions'!B123</f>
        <v>0</v>
      </c>
      <c r="BG123" s="2215" t="s">
        <v>288</v>
      </c>
      <c r="BH123" s="1800">
        <f>'B - Monthly Positions'!D123</f>
        <v>0</v>
      </c>
      <c r="BI123" s="1801">
        <f>'B - Monthly Positions'!E123</f>
        <v>0</v>
      </c>
      <c r="BJ123" s="1801">
        <f>'B - Monthly Positions'!F123</f>
        <v>0</v>
      </c>
      <c r="BK123" s="1801">
        <f>'B - Monthly Positions'!G123</f>
        <v>0</v>
      </c>
      <c r="BL123" s="1801">
        <f>'B - Monthly Positions'!H123</f>
        <v>0</v>
      </c>
      <c r="BM123" s="1801">
        <f>'B - Monthly Positions'!I123</f>
        <v>0</v>
      </c>
      <c r="BN123" s="1801">
        <f>'B - Monthly Positions'!J123</f>
        <v>0</v>
      </c>
      <c r="BO123" s="1801">
        <f>'B - Monthly Positions'!K123</f>
        <v>0</v>
      </c>
      <c r="BP123" s="1801">
        <f>'B - Monthly Positions'!L123</f>
        <v>0</v>
      </c>
      <c r="BQ123" s="1801">
        <f>'B - Monthly Positions'!M123</f>
        <v>0</v>
      </c>
      <c r="BR123" s="1801">
        <f>'B - Monthly Positions'!N123</f>
        <v>0</v>
      </c>
      <c r="BS123" s="2349">
        <f>'B - Monthly Positions'!O123</f>
        <v>0</v>
      </c>
      <c r="BT123" s="1073">
        <f>'B - Monthly Positions'!P123</f>
        <v>0</v>
      </c>
      <c r="BU123" s="1067">
        <f>'B - Monthly Positions'!Q123</f>
        <v>0</v>
      </c>
      <c r="BV123" s="2594"/>
      <c r="BX123" s="84"/>
      <c r="BY123" s="1235"/>
      <c r="BZ123" s="1236">
        <f>' Table Z Net Exp Profiles'!C123</f>
        <v>1</v>
      </c>
      <c r="CA123" s="1222">
        <f>' Table Z Net Exp Profiles'!D123</f>
        <v>2</v>
      </c>
      <c r="CB123" s="1222">
        <f>' Table Z Net Exp Profiles'!E123</f>
        <v>3</v>
      </c>
      <c r="CC123" s="1222">
        <f>' Table Z Net Exp Profiles'!F123</f>
        <v>4</v>
      </c>
      <c r="CD123" s="1222">
        <f>' Table Z Net Exp Profiles'!G123</f>
        <v>5</v>
      </c>
      <c r="CE123" s="1222">
        <f>' Table Z Net Exp Profiles'!H123</f>
        <v>6</v>
      </c>
      <c r="CF123" s="1222">
        <f>' Table Z Net Exp Profiles'!I123</f>
        <v>7</v>
      </c>
      <c r="CG123" s="1222">
        <f>' Table Z Net Exp Profiles'!J123</f>
        <v>8</v>
      </c>
      <c r="CH123" s="1222">
        <f>' Table Z Net Exp Profiles'!K123</f>
        <v>9</v>
      </c>
      <c r="CI123" s="1222">
        <f>' Table Z Net Exp Profiles'!L123</f>
        <v>10</v>
      </c>
      <c r="CJ123" s="1222">
        <f>' Table Z Net Exp Profiles'!M123</f>
        <v>11</v>
      </c>
      <c r="CK123" s="1221">
        <f>' Table Z Net Exp Profiles'!N123</f>
        <v>12</v>
      </c>
      <c r="CL123" s="1237"/>
      <c r="CM123" s="1211"/>
      <c r="DF123" s="2838">
        <f>'B3 - COVID-19'!A123</f>
        <v>92</v>
      </c>
      <c r="DG123" s="1906">
        <f>'B3 - COVID-19'!B123</f>
        <v>0</v>
      </c>
      <c r="DH123" s="1330">
        <f>'B3 - COVID-19'!C123</f>
        <v>0</v>
      </c>
      <c r="DI123" s="1330">
        <f>'B3 - COVID-19'!D123</f>
        <v>0</v>
      </c>
      <c r="DJ123" s="1330">
        <f>'B3 - COVID-19'!E123</f>
        <v>0</v>
      </c>
      <c r="DK123" s="1330">
        <f>'B3 - COVID-19'!F123</f>
        <v>0</v>
      </c>
      <c r="DL123" s="1330">
        <f>'B3 - COVID-19'!G123</f>
        <v>0</v>
      </c>
      <c r="DM123" s="1330">
        <f>'B3 - COVID-19'!H123</f>
        <v>0</v>
      </c>
      <c r="DN123" s="1330">
        <f>'B3 - COVID-19'!I123</f>
        <v>0</v>
      </c>
      <c r="DO123" s="1330">
        <f>'B3 - COVID-19'!J123</f>
        <v>0</v>
      </c>
      <c r="DP123" s="1330">
        <f>'B3 - COVID-19'!K123</f>
        <v>0</v>
      </c>
      <c r="DQ123" s="1330">
        <f>'B3 - COVID-19'!L123</f>
        <v>0</v>
      </c>
      <c r="DR123" s="1330">
        <f>'B3 - COVID-19'!M123</f>
        <v>0</v>
      </c>
      <c r="DS123" s="1330">
        <f>'B3 - COVID-19'!N123</f>
        <v>0</v>
      </c>
      <c r="DT123" s="1863">
        <f>'B3 - COVID-19'!O123</f>
        <v>0</v>
      </c>
      <c r="DU123" s="1864">
        <f>'B3 - COVID-19'!P123</f>
        <v>0</v>
      </c>
      <c r="DV123" s="608"/>
      <c r="DW123" s="1116"/>
      <c r="DY123" s="2095">
        <f>'C, C1, C2&amp; C3 - Savings Schemes'!A123</f>
        <v>14</v>
      </c>
      <c r="DZ123" s="3039"/>
      <c r="EA123" s="90" t="str">
        <f>'C, C1, C2&amp; C3 - Savings Schemes'!C123</f>
        <v>Actual/F'cast</v>
      </c>
      <c r="EB123" s="2643">
        <f>'C, C1, C2&amp; C3 - Savings Schemes'!D123</f>
        <v>0</v>
      </c>
      <c r="EC123" s="2643">
        <f>'C, C1, C2&amp; C3 - Savings Schemes'!E123</f>
        <v>0</v>
      </c>
      <c r="ED123" s="2643">
        <f>'C, C1, C2&amp; C3 - Savings Schemes'!F123</f>
        <v>0</v>
      </c>
      <c r="EE123" s="2643">
        <f>'C, C1, C2&amp; C3 - Savings Schemes'!G123</f>
        <v>0</v>
      </c>
      <c r="EF123" s="2643">
        <f>'C, C1, C2&amp; C3 - Savings Schemes'!H123</f>
        <v>0</v>
      </c>
      <c r="EG123" s="2643">
        <f>'C, C1, C2&amp; C3 - Savings Schemes'!I123</f>
        <v>0</v>
      </c>
      <c r="EH123" s="2643">
        <f>'C, C1, C2&amp; C3 - Savings Schemes'!J123</f>
        <v>0</v>
      </c>
      <c r="EI123" s="2643">
        <f>'C, C1, C2&amp; C3 - Savings Schemes'!K123</f>
        <v>0</v>
      </c>
      <c r="EJ123" s="2643">
        <f>'C, C1, C2&amp; C3 - Savings Schemes'!L123</f>
        <v>0</v>
      </c>
      <c r="EK123" s="2643">
        <f>'C, C1, C2&amp; C3 - Savings Schemes'!M123</f>
        <v>0</v>
      </c>
      <c r="EL123" s="2643">
        <f>'C, C1, C2&amp; C3 - Savings Schemes'!N123</f>
        <v>0</v>
      </c>
      <c r="EM123" s="2643">
        <f>'C, C1, C2&amp; C3 - Savings Schemes'!O123</f>
        <v>0</v>
      </c>
      <c r="EN123" s="2644">
        <f>'C, C1, C2&amp; C3 - Savings Schemes'!P123</f>
        <v>0</v>
      </c>
      <c r="EO123" s="2644">
        <f>'C, C1, C2&amp; C3 - Savings Schemes'!Q123</f>
        <v>0</v>
      </c>
      <c r="JD123" s="2073">
        <f>'I - Capital RLM'!A123</f>
        <v>89</v>
      </c>
      <c r="JE123" s="2074">
        <f>'I - Capital RLM'!B123</f>
        <v>0</v>
      </c>
      <c r="JF123" s="2052">
        <f>'I - Capital RLM'!C123</f>
        <v>0</v>
      </c>
      <c r="JG123" s="2052">
        <f>'I - Capital RLM'!D123</f>
        <v>0</v>
      </c>
      <c r="JH123" s="2411">
        <f>'I - Capital RLM'!E123</f>
        <v>0</v>
      </c>
      <c r="JI123" s="1943">
        <f>'I - Capital RLM'!F123</f>
        <v>0</v>
      </c>
      <c r="JJ123" s="2052">
        <f>'I - Capital RLM'!G123</f>
        <v>0</v>
      </c>
      <c r="JK123" s="2052">
        <f>'I - Capital RLM'!H123</f>
        <v>0</v>
      </c>
      <c r="JL123" s="2411">
        <f>'I - Capital RLM'!I123</f>
        <v>0</v>
      </c>
      <c r="JM123" s="1943"/>
      <c r="JN123" s="1891">
        <f>'I - Capital RLM'!K123</f>
        <v>0</v>
      </c>
      <c r="JO123" s="1943">
        <f t="shared" si="23"/>
        <v>0</v>
      </c>
      <c r="LL123" s="814"/>
      <c r="LM123" s="2197">
        <f>'M - Aged Debtors'!B123</f>
        <v>0</v>
      </c>
      <c r="LN123" s="2198">
        <f>'M - Aged Debtors'!C123</f>
        <v>0</v>
      </c>
      <c r="LO123" s="2199">
        <f>'M - Aged Debtors'!D123</f>
        <v>0</v>
      </c>
      <c r="LP123" s="2200">
        <f>'M - Aged Debtors'!E123</f>
        <v>0</v>
      </c>
      <c r="LQ123" s="2201">
        <f>'M - Aged Debtors'!F123</f>
        <v>0</v>
      </c>
      <c r="LR123" s="832" t="str">
        <f>'M - Aged Debtors'!G123</f>
        <v/>
      </c>
      <c r="LS123" s="829" t="str">
        <f>'M - Aged Debtors'!H123</f>
        <v/>
      </c>
      <c r="LT123" s="829" t="str">
        <f>'M - Aged Debtors'!I123</f>
        <v/>
      </c>
      <c r="LU123" s="830" t="str">
        <f>'M - Aged Debtors'!J123</f>
        <v/>
      </c>
      <c r="LV123" s="1830">
        <f>'M - Aged Debtors'!K123</f>
        <v>0</v>
      </c>
      <c r="LX123" s="430"/>
      <c r="LY123" s="430"/>
      <c r="LZ123" s="430"/>
      <c r="MA123" s="241"/>
      <c r="MB123" s="241"/>
      <c r="MC123" s="500"/>
      <c r="MD123" s="239"/>
      <c r="ME123" s="213"/>
      <c r="MF123" s="239"/>
      <c r="MR123" s="684"/>
      <c r="MS123" s="684"/>
      <c r="MT123" s="684"/>
      <c r="MU123" s="684"/>
      <c r="MV123" s="684"/>
      <c r="MW123" s="684"/>
      <c r="MX123" s="684"/>
      <c r="MY123" s="684"/>
      <c r="MZ123" s="684"/>
      <c r="NA123" s="684"/>
      <c r="NB123" s="684"/>
      <c r="NC123" s="684"/>
      <c r="ND123" s="684"/>
      <c r="NE123" s="684"/>
      <c r="NF123" s="684"/>
      <c r="NG123" s="684"/>
      <c r="NH123" s="684"/>
      <c r="NI123" s="684"/>
      <c r="NJ123" s="684"/>
      <c r="NK123" s="684"/>
    </row>
    <row r="124" spans="57:375" ht="20.149999999999999" customHeight="1" thickBot="1">
      <c r="BE124" s="890">
        <f>'B - Monthly Positions'!A124</f>
        <v>72</v>
      </c>
      <c r="BF124" s="1850">
        <f>'B - Monthly Positions'!B124</f>
        <v>0</v>
      </c>
      <c r="BG124" s="2215" t="s">
        <v>288</v>
      </c>
      <c r="BH124" s="1800">
        <f>'B - Monthly Positions'!D124</f>
        <v>0</v>
      </c>
      <c r="BI124" s="1801">
        <f>'B - Monthly Positions'!E124</f>
        <v>0</v>
      </c>
      <c r="BJ124" s="1801">
        <f>'B - Monthly Positions'!F124</f>
        <v>0</v>
      </c>
      <c r="BK124" s="1801">
        <f>'B - Monthly Positions'!G124</f>
        <v>0</v>
      </c>
      <c r="BL124" s="1801">
        <f>'B - Monthly Positions'!H124</f>
        <v>0</v>
      </c>
      <c r="BM124" s="1801">
        <f>'B - Monthly Positions'!I124</f>
        <v>0</v>
      </c>
      <c r="BN124" s="1801">
        <f>'B - Monthly Positions'!J124</f>
        <v>0</v>
      </c>
      <c r="BO124" s="1801">
        <f>'B - Monthly Positions'!K124</f>
        <v>0</v>
      </c>
      <c r="BP124" s="1801">
        <f>'B - Monthly Positions'!L124</f>
        <v>0</v>
      </c>
      <c r="BQ124" s="1801">
        <f>'B - Monthly Positions'!M124</f>
        <v>0</v>
      </c>
      <c r="BR124" s="1801">
        <f>'B - Monthly Positions'!N124</f>
        <v>0</v>
      </c>
      <c r="BS124" s="2349">
        <f>'B - Monthly Positions'!O124</f>
        <v>0</v>
      </c>
      <c r="BT124" s="1073">
        <f>'B - Monthly Positions'!P124</f>
        <v>0</v>
      </c>
      <c r="BU124" s="1067">
        <f>'B - Monthly Positions'!Q124</f>
        <v>0</v>
      </c>
      <c r="BV124" s="2594"/>
      <c r="BX124" s="84"/>
      <c r="BY124" s="1212" t="str">
        <f>' Table Z Net Exp Profiles'!B124</f>
        <v>Continuing Healthcare / Funded Nursing Care - Expenditure Profiles</v>
      </c>
      <c r="BZ124" s="1238" t="str">
        <f>' Table Z Net Exp Profiles'!C124</f>
        <v>Apr</v>
      </c>
      <c r="CA124" s="1225" t="str">
        <f>' Table Z Net Exp Profiles'!D124</f>
        <v>May</v>
      </c>
      <c r="CB124" s="1225" t="str">
        <f>' Table Z Net Exp Profiles'!E124</f>
        <v>Jun</v>
      </c>
      <c r="CC124" s="1225" t="str">
        <f>' Table Z Net Exp Profiles'!F124</f>
        <v>Jul</v>
      </c>
      <c r="CD124" s="1225" t="str">
        <f>' Table Z Net Exp Profiles'!G124</f>
        <v>Aug</v>
      </c>
      <c r="CE124" s="1225" t="str">
        <f>' Table Z Net Exp Profiles'!H124</f>
        <v>Sep</v>
      </c>
      <c r="CF124" s="1225" t="str">
        <f>' Table Z Net Exp Profiles'!I124</f>
        <v>Oct</v>
      </c>
      <c r="CG124" s="1225" t="str">
        <f>' Table Z Net Exp Profiles'!J124</f>
        <v>Nov</v>
      </c>
      <c r="CH124" s="1225" t="str">
        <f>' Table Z Net Exp Profiles'!K124</f>
        <v>Dec</v>
      </c>
      <c r="CI124" s="1225" t="str">
        <f>' Table Z Net Exp Profiles'!L124</f>
        <v>Jan</v>
      </c>
      <c r="CJ124" s="1225" t="str">
        <f>' Table Z Net Exp Profiles'!M124</f>
        <v>Feb</v>
      </c>
      <c r="CK124" s="1226" t="str">
        <f>' Table Z Net Exp Profiles'!N124</f>
        <v>Mar</v>
      </c>
      <c r="CL124" s="1227" t="str">
        <f>' Table Z Net Exp Profiles'!O124</f>
        <v>Total YTD</v>
      </c>
      <c r="CM124" s="1227" t="str">
        <f>' Table Z Net Exp Profiles'!P124</f>
        <v>Forecast year-end position</v>
      </c>
      <c r="DF124" s="2838">
        <f>'B3 - COVID-19'!A124</f>
        <v>93</v>
      </c>
      <c r="DG124" s="1906">
        <f>'B3 - COVID-19'!B124</f>
        <v>0</v>
      </c>
      <c r="DH124" s="1330">
        <f>'B3 - COVID-19'!C124</f>
        <v>0</v>
      </c>
      <c r="DI124" s="1330">
        <f>'B3 - COVID-19'!D124</f>
        <v>0</v>
      </c>
      <c r="DJ124" s="1330">
        <f>'B3 - COVID-19'!E124</f>
        <v>0</v>
      </c>
      <c r="DK124" s="1330">
        <f>'B3 - COVID-19'!F124</f>
        <v>0</v>
      </c>
      <c r="DL124" s="1330">
        <f>'B3 - COVID-19'!G124</f>
        <v>0</v>
      </c>
      <c r="DM124" s="1330">
        <f>'B3 - COVID-19'!H124</f>
        <v>0</v>
      </c>
      <c r="DN124" s="1330">
        <f>'B3 - COVID-19'!I124</f>
        <v>0</v>
      </c>
      <c r="DO124" s="1330">
        <f>'B3 - COVID-19'!J124</f>
        <v>0</v>
      </c>
      <c r="DP124" s="1330">
        <f>'B3 - COVID-19'!K124</f>
        <v>0</v>
      </c>
      <c r="DQ124" s="1330">
        <f>'B3 - COVID-19'!L124</f>
        <v>0</v>
      </c>
      <c r="DR124" s="1330">
        <f>'B3 - COVID-19'!M124</f>
        <v>0</v>
      </c>
      <c r="DS124" s="1330">
        <f>'B3 - COVID-19'!N124</f>
        <v>0</v>
      </c>
      <c r="DT124" s="1863">
        <f>'B3 - COVID-19'!O124</f>
        <v>0</v>
      </c>
      <c r="DU124" s="1864">
        <f>'B3 - COVID-19'!P124</f>
        <v>0</v>
      </c>
      <c r="DV124" s="608"/>
      <c r="DW124" s="1116"/>
      <c r="DY124" s="2095">
        <f>'C, C1, C2&amp; C3 - Savings Schemes'!A124</f>
        <v>15</v>
      </c>
      <c r="DZ124" s="3040"/>
      <c r="EA124" s="92" t="str">
        <f>'C, C1, C2&amp; C3 - Savings Schemes'!C124</f>
        <v>Variance</v>
      </c>
      <c r="EB124" s="2644">
        <f>'C, C1, C2&amp; C3 - Savings Schemes'!D124</f>
        <v>0</v>
      </c>
      <c r="EC124" s="2644">
        <f>'C, C1, C2&amp; C3 - Savings Schemes'!E124</f>
        <v>0</v>
      </c>
      <c r="ED124" s="2644">
        <f>'C, C1, C2&amp; C3 - Savings Schemes'!F124</f>
        <v>0</v>
      </c>
      <c r="EE124" s="2644">
        <f>'C, C1, C2&amp; C3 - Savings Schemes'!G124</f>
        <v>0</v>
      </c>
      <c r="EF124" s="2644">
        <f>'C, C1, C2&amp; C3 - Savings Schemes'!H124</f>
        <v>0</v>
      </c>
      <c r="EG124" s="2644">
        <f>'C, C1, C2&amp; C3 - Savings Schemes'!I124</f>
        <v>0</v>
      </c>
      <c r="EH124" s="2644">
        <f>'C, C1, C2&amp; C3 - Savings Schemes'!J124</f>
        <v>0</v>
      </c>
      <c r="EI124" s="2644">
        <f>'C, C1, C2&amp; C3 - Savings Schemes'!K124</f>
        <v>0</v>
      </c>
      <c r="EJ124" s="2644">
        <f>'C, C1, C2&amp; C3 - Savings Schemes'!L124</f>
        <v>0</v>
      </c>
      <c r="EK124" s="2644">
        <f>'C, C1, C2&amp; C3 - Savings Schemes'!M124</f>
        <v>0</v>
      </c>
      <c r="EL124" s="2644">
        <f>'C, C1, C2&amp; C3 - Savings Schemes'!N124</f>
        <v>0</v>
      </c>
      <c r="EM124" s="2644">
        <f>'C, C1, C2&amp; C3 - Savings Schemes'!O124</f>
        <v>0</v>
      </c>
      <c r="EN124" s="2644">
        <f>'C, C1, C2&amp; C3 - Savings Schemes'!P124</f>
        <v>0</v>
      </c>
      <c r="EO124" s="2644">
        <f>'C, C1, C2&amp; C3 - Savings Schemes'!Q124</f>
        <v>0</v>
      </c>
      <c r="JD124" s="2301">
        <f>'I - Capital RLM'!A124</f>
        <v>90</v>
      </c>
      <c r="JE124" s="2443" t="str">
        <f>'I - Capital RLM'!B124</f>
        <v>Sub Total</v>
      </c>
      <c r="JF124" s="2037">
        <f>'I - Capital RLM'!C124</f>
        <v>0</v>
      </c>
      <c r="JG124" s="2037">
        <f>'I - Capital RLM'!D124</f>
        <v>0</v>
      </c>
      <c r="JH124" s="2037">
        <f>'I - Capital RLM'!E124</f>
        <v>0</v>
      </c>
      <c r="JI124" s="1943">
        <f>'I - Capital RLM'!F124</f>
        <v>0</v>
      </c>
      <c r="JJ124" s="2037">
        <f>'I - Capital RLM'!G124</f>
        <v>0</v>
      </c>
      <c r="JK124" s="2037">
        <f>'I - Capital RLM'!H124</f>
        <v>0</v>
      </c>
      <c r="JL124" s="2037">
        <f>'I - Capital RLM'!I124</f>
        <v>0</v>
      </c>
      <c r="JM124" s="1943"/>
      <c r="JN124" s="1943"/>
      <c r="JO124" s="1943">
        <f>SUM(JO113:JO123)</f>
        <v>0</v>
      </c>
      <c r="LL124" s="814"/>
      <c r="LM124" s="2197">
        <f>'M - Aged Debtors'!B124</f>
        <v>0</v>
      </c>
      <c r="LN124" s="2198">
        <f>'M - Aged Debtors'!C124</f>
        <v>0</v>
      </c>
      <c r="LO124" s="2199">
        <f>'M - Aged Debtors'!D124</f>
        <v>0</v>
      </c>
      <c r="LP124" s="2200">
        <f>'M - Aged Debtors'!E124</f>
        <v>0</v>
      </c>
      <c r="LQ124" s="2201">
        <f>'M - Aged Debtors'!F124</f>
        <v>0</v>
      </c>
      <c r="LR124" s="832" t="str">
        <f>'M - Aged Debtors'!G124</f>
        <v/>
      </c>
      <c r="LS124" s="829" t="str">
        <f>'M - Aged Debtors'!H124</f>
        <v/>
      </c>
      <c r="LT124" s="829" t="str">
        <f>'M - Aged Debtors'!I124</f>
        <v/>
      </c>
      <c r="LU124" s="830" t="str">
        <f>'M - Aged Debtors'!J124</f>
        <v/>
      </c>
      <c r="LV124" s="1830">
        <f>'M - Aged Debtors'!K124</f>
        <v>0</v>
      </c>
      <c r="LX124" s="501"/>
      <c r="LY124" s="501"/>
      <c r="LZ124" s="501"/>
      <c r="MA124" s="500"/>
      <c r="MB124" s="500"/>
      <c r="MC124" s="500"/>
      <c r="MD124" s="502"/>
      <c r="ME124" s="213"/>
      <c r="MF124" s="217"/>
      <c r="MR124" s="684"/>
      <c r="MS124" s="684"/>
      <c r="MT124" s="684"/>
      <c r="MU124" s="684"/>
      <c r="MV124" s="684"/>
      <c r="MW124" s="684"/>
      <c r="MX124" s="684"/>
      <c r="MY124" s="684"/>
      <c r="MZ124" s="684"/>
      <c r="NA124" s="684"/>
      <c r="NB124" s="684"/>
      <c r="NC124" s="684"/>
      <c r="ND124" s="684"/>
      <c r="NE124" s="684"/>
      <c r="NF124" s="684"/>
      <c r="NG124" s="684"/>
      <c r="NH124" s="684"/>
      <c r="NI124" s="684"/>
      <c r="NJ124" s="684"/>
      <c r="NK124" s="684"/>
    </row>
    <row r="125" spans="57:375" ht="20.149999999999999" customHeight="1" thickBot="1">
      <c r="BE125" s="890">
        <f>'B - Monthly Positions'!A125</f>
        <v>73</v>
      </c>
      <c r="BF125" s="1850">
        <f>'B - Monthly Positions'!B125</f>
        <v>0</v>
      </c>
      <c r="BG125" s="2215" t="s">
        <v>288</v>
      </c>
      <c r="BH125" s="1800">
        <f>'B - Monthly Positions'!D125</f>
        <v>0</v>
      </c>
      <c r="BI125" s="1801">
        <f>'B - Monthly Positions'!E125</f>
        <v>0</v>
      </c>
      <c r="BJ125" s="1801">
        <f>'B - Monthly Positions'!F125</f>
        <v>0</v>
      </c>
      <c r="BK125" s="1801">
        <f>'B - Monthly Positions'!G125</f>
        <v>0</v>
      </c>
      <c r="BL125" s="1801">
        <f>'B - Monthly Positions'!H125</f>
        <v>0</v>
      </c>
      <c r="BM125" s="1801">
        <f>'B - Monthly Positions'!I125</f>
        <v>0</v>
      </c>
      <c r="BN125" s="1801">
        <f>'B - Monthly Positions'!J125</f>
        <v>0</v>
      </c>
      <c r="BO125" s="1801">
        <f>'B - Monthly Positions'!K125</f>
        <v>0</v>
      </c>
      <c r="BP125" s="1801">
        <f>'B - Monthly Positions'!L125</f>
        <v>0</v>
      </c>
      <c r="BQ125" s="1801">
        <f>'B - Monthly Positions'!M125</f>
        <v>0</v>
      </c>
      <c r="BR125" s="1801">
        <f>'B - Monthly Positions'!N125</f>
        <v>0</v>
      </c>
      <c r="BS125" s="2349">
        <f>'B - Monthly Positions'!O125</f>
        <v>0</v>
      </c>
      <c r="BT125" s="1073">
        <f>'B - Monthly Positions'!P125</f>
        <v>0</v>
      </c>
      <c r="BU125" s="1067">
        <f>'B - Monthly Positions'!Q125</f>
        <v>0</v>
      </c>
      <c r="BV125" s="2594"/>
      <c r="BX125" s="84"/>
      <c r="BY125" s="1213"/>
      <c r="BZ125" s="1239" t="str">
        <f>' Table Z Net Exp Profiles'!C125</f>
        <v>£'000</v>
      </c>
      <c r="CA125" s="1240" t="str">
        <f>' Table Z Net Exp Profiles'!D125</f>
        <v>£'000</v>
      </c>
      <c r="CB125" s="1240" t="str">
        <f>' Table Z Net Exp Profiles'!E125</f>
        <v>£'000</v>
      </c>
      <c r="CC125" s="1240" t="str">
        <f>' Table Z Net Exp Profiles'!F125</f>
        <v>£'000</v>
      </c>
      <c r="CD125" s="1240" t="str">
        <f>' Table Z Net Exp Profiles'!G125</f>
        <v>£'000</v>
      </c>
      <c r="CE125" s="1240" t="str">
        <f>' Table Z Net Exp Profiles'!H125</f>
        <v>£'000</v>
      </c>
      <c r="CF125" s="1240" t="str">
        <f>' Table Z Net Exp Profiles'!I125</f>
        <v>£'000</v>
      </c>
      <c r="CG125" s="1240" t="str">
        <f>' Table Z Net Exp Profiles'!J125</f>
        <v>£'000</v>
      </c>
      <c r="CH125" s="1240" t="str">
        <f>' Table Z Net Exp Profiles'!K125</f>
        <v>£'000</v>
      </c>
      <c r="CI125" s="1240" t="str">
        <f>' Table Z Net Exp Profiles'!L125</f>
        <v>£'000</v>
      </c>
      <c r="CJ125" s="1240" t="str">
        <f>' Table Z Net Exp Profiles'!M125</f>
        <v>£'000</v>
      </c>
      <c r="CK125" s="1241" t="str">
        <f>' Table Z Net Exp Profiles'!N125</f>
        <v>£'000</v>
      </c>
      <c r="CL125" s="1231" t="str">
        <f>' Table Z Net Exp Profiles'!O125</f>
        <v>£'000</v>
      </c>
      <c r="CM125" s="1231" t="str">
        <f>' Table Z Net Exp Profiles'!P125</f>
        <v>£'000</v>
      </c>
      <c r="DF125" s="2838">
        <f>'B3 - COVID-19'!A125</f>
        <v>94</v>
      </c>
      <c r="DG125" s="1906">
        <f>'B3 - COVID-19'!B125</f>
        <v>0</v>
      </c>
      <c r="DH125" s="1330">
        <f>'B3 - COVID-19'!C125</f>
        <v>0</v>
      </c>
      <c r="DI125" s="1330">
        <f>'B3 - COVID-19'!D125</f>
        <v>0</v>
      </c>
      <c r="DJ125" s="1330">
        <f>'B3 - COVID-19'!E125</f>
        <v>0</v>
      </c>
      <c r="DK125" s="1330">
        <f>'B3 - COVID-19'!F125</f>
        <v>0</v>
      </c>
      <c r="DL125" s="1330">
        <f>'B3 - COVID-19'!G125</f>
        <v>0</v>
      </c>
      <c r="DM125" s="1330">
        <f>'B3 - COVID-19'!H125</f>
        <v>0</v>
      </c>
      <c r="DN125" s="1330">
        <f>'B3 - COVID-19'!I125</f>
        <v>0</v>
      </c>
      <c r="DO125" s="1330">
        <f>'B3 - COVID-19'!J125</f>
        <v>0</v>
      </c>
      <c r="DP125" s="1330">
        <f>'B3 - COVID-19'!K125</f>
        <v>0</v>
      </c>
      <c r="DQ125" s="1330">
        <f>'B3 - COVID-19'!L125</f>
        <v>0</v>
      </c>
      <c r="DR125" s="1330">
        <f>'B3 - COVID-19'!M125</f>
        <v>0</v>
      </c>
      <c r="DS125" s="1330">
        <f>'B3 - COVID-19'!N125</f>
        <v>0</v>
      </c>
      <c r="DT125" s="1863">
        <f>'B3 - COVID-19'!O125</f>
        <v>0</v>
      </c>
      <c r="DU125" s="1864">
        <f>'B3 - COVID-19'!P125</f>
        <v>0</v>
      </c>
      <c r="DV125" s="608"/>
      <c r="DW125" s="1116"/>
      <c r="DY125" s="2111">
        <f>'C, C1, C2&amp; C3 - Savings Schemes'!A125</f>
        <v>16</v>
      </c>
      <c r="DZ125" s="3038" t="str">
        <f>'C, C1, C2&amp; C3 - Savings Schemes'!B125</f>
        <v>Healthcare Services Provided by Other NHS Bodies</v>
      </c>
      <c r="EA125" s="87" t="str">
        <f>'C, C1, C2&amp; C3 - Savings Schemes'!C125</f>
        <v>Budget/Plan</v>
      </c>
      <c r="EB125" s="2643">
        <f>'C, C1, C2&amp; C3 - Savings Schemes'!D125</f>
        <v>0</v>
      </c>
      <c r="EC125" s="2643">
        <f>'C, C1, C2&amp; C3 - Savings Schemes'!E125</f>
        <v>0</v>
      </c>
      <c r="ED125" s="2643">
        <f>'C, C1, C2&amp; C3 - Savings Schemes'!F125</f>
        <v>0</v>
      </c>
      <c r="EE125" s="2643">
        <f>'C, C1, C2&amp; C3 - Savings Schemes'!G125</f>
        <v>0</v>
      </c>
      <c r="EF125" s="2643">
        <f>'C, C1, C2&amp; C3 - Savings Schemes'!H125</f>
        <v>0</v>
      </c>
      <c r="EG125" s="2643">
        <f>'C, C1, C2&amp; C3 - Savings Schemes'!I125</f>
        <v>0</v>
      </c>
      <c r="EH125" s="2643">
        <f>'C, C1, C2&amp; C3 - Savings Schemes'!J125</f>
        <v>0</v>
      </c>
      <c r="EI125" s="2643">
        <f>'C, C1, C2&amp; C3 - Savings Schemes'!K125</f>
        <v>0</v>
      </c>
      <c r="EJ125" s="2643">
        <f>'C, C1, C2&amp; C3 - Savings Schemes'!L125</f>
        <v>0</v>
      </c>
      <c r="EK125" s="2643">
        <f>'C, C1, C2&amp; C3 - Savings Schemes'!M125</f>
        <v>0</v>
      </c>
      <c r="EL125" s="2643">
        <f>'C, C1, C2&amp; C3 - Savings Schemes'!N125</f>
        <v>0</v>
      </c>
      <c r="EM125" s="2643">
        <f>'C, C1, C2&amp; C3 - Savings Schemes'!O125</f>
        <v>0</v>
      </c>
      <c r="EN125" s="2644">
        <f>'C, C1, C2&amp; C3 - Savings Schemes'!P125</f>
        <v>0</v>
      </c>
      <c r="EO125" s="2644">
        <f>'C, C1, C2&amp; C3 - Savings Schemes'!Q125</f>
        <v>0</v>
      </c>
      <c r="JD125" s="2309"/>
      <c r="JE125" s="2444"/>
      <c r="JF125" s="2445"/>
      <c r="JG125" s="2445"/>
      <c r="JH125" s="2445"/>
      <c r="JI125" s="1943"/>
      <c r="JJ125" s="2445"/>
      <c r="JK125" s="2445"/>
      <c r="JL125" s="2445"/>
      <c r="JM125" s="2060"/>
      <c r="JN125" s="2060"/>
      <c r="JO125" s="2060"/>
      <c r="LL125" s="814"/>
      <c r="LM125" s="2197">
        <f>'M - Aged Debtors'!B125</f>
        <v>0</v>
      </c>
      <c r="LN125" s="2198">
        <f>'M - Aged Debtors'!C125</f>
        <v>0</v>
      </c>
      <c r="LO125" s="2199">
        <f>'M - Aged Debtors'!D125</f>
        <v>0</v>
      </c>
      <c r="LP125" s="2200">
        <f>'M - Aged Debtors'!E125</f>
        <v>0</v>
      </c>
      <c r="LQ125" s="2201">
        <f>'M - Aged Debtors'!F125</f>
        <v>0</v>
      </c>
      <c r="LR125" s="832" t="str">
        <f>'M - Aged Debtors'!G125</f>
        <v/>
      </c>
      <c r="LS125" s="829" t="str">
        <f>'M - Aged Debtors'!H125</f>
        <v/>
      </c>
      <c r="LT125" s="829" t="str">
        <f>'M - Aged Debtors'!I125</f>
        <v/>
      </c>
      <c r="LU125" s="830" t="str">
        <f>'M - Aged Debtors'!J125</f>
        <v/>
      </c>
      <c r="LV125" s="1830">
        <f>'M - Aged Debtors'!K125</f>
        <v>0</v>
      </c>
      <c r="LX125" s="501"/>
      <c r="LY125" s="501"/>
      <c r="LZ125" s="501"/>
      <c r="MA125" s="500"/>
      <c r="MB125" s="500"/>
      <c r="MC125" s="239"/>
      <c r="MD125" s="239"/>
      <c r="ME125" s="213"/>
      <c r="MF125" s="239"/>
      <c r="MR125" s="684"/>
      <c r="MS125" s="684"/>
      <c r="MT125" s="684"/>
      <c r="MU125" s="684"/>
      <c r="MV125" s="684"/>
      <c r="MW125" s="684"/>
      <c r="MX125" s="684"/>
      <c r="MY125" s="684"/>
      <c r="MZ125" s="684"/>
      <c r="NA125" s="684"/>
      <c r="NB125" s="684"/>
      <c r="NC125" s="684"/>
      <c r="ND125" s="684"/>
      <c r="NE125" s="684"/>
      <c r="NF125" s="684"/>
      <c r="NG125" s="684"/>
      <c r="NH125" s="684"/>
      <c r="NI125" s="684"/>
      <c r="NJ125" s="684"/>
      <c r="NK125" s="684"/>
    </row>
    <row r="126" spans="57:375" ht="20.149999999999999" customHeight="1" thickBot="1">
      <c r="BE126" s="890">
        <f>'B - Monthly Positions'!A126</f>
        <v>74</v>
      </c>
      <c r="BF126" s="1850">
        <f>'B - Monthly Positions'!B126</f>
        <v>0</v>
      </c>
      <c r="BG126" s="2215" t="s">
        <v>288</v>
      </c>
      <c r="BH126" s="1800">
        <f>'B - Monthly Positions'!D126</f>
        <v>0</v>
      </c>
      <c r="BI126" s="1801">
        <f>'B - Monthly Positions'!E126</f>
        <v>0</v>
      </c>
      <c r="BJ126" s="1801">
        <f>'B - Monthly Positions'!F126</f>
        <v>0</v>
      </c>
      <c r="BK126" s="1801">
        <f>'B - Monthly Positions'!G126</f>
        <v>0</v>
      </c>
      <c r="BL126" s="1801">
        <f>'B - Monthly Positions'!H126</f>
        <v>0</v>
      </c>
      <c r="BM126" s="1801">
        <f>'B - Monthly Positions'!I126</f>
        <v>0</v>
      </c>
      <c r="BN126" s="1801">
        <f>'B - Monthly Positions'!J126</f>
        <v>0</v>
      </c>
      <c r="BO126" s="1801">
        <f>'B - Monthly Positions'!K126</f>
        <v>0</v>
      </c>
      <c r="BP126" s="1801">
        <f>'B - Monthly Positions'!L126</f>
        <v>0</v>
      </c>
      <c r="BQ126" s="1801">
        <f>'B - Monthly Positions'!M126</f>
        <v>0</v>
      </c>
      <c r="BR126" s="1801">
        <f>'B - Monthly Positions'!N126</f>
        <v>0</v>
      </c>
      <c r="BS126" s="2349">
        <f>'B - Monthly Positions'!O126</f>
        <v>0</v>
      </c>
      <c r="BT126" s="1073">
        <f>'B - Monthly Positions'!P126</f>
        <v>0</v>
      </c>
      <c r="BU126" s="1067">
        <f>'B - Monthly Positions'!Q126</f>
        <v>0</v>
      </c>
      <c r="BV126" s="2594"/>
      <c r="BX126" s="86">
        <f>' Table Z Net Exp Profiles'!A126</f>
        <v>89</v>
      </c>
      <c r="BY126" s="1263" t="str">
        <f>' Table Z Net Exp Profiles'!B126</f>
        <v>Gross CHC / FNC Expenditure - Non Covid-19 - Current Plan</v>
      </c>
      <c r="BZ126" s="1217">
        <f>' Table Z Net Exp Profiles'!C126</f>
        <v>0</v>
      </c>
      <c r="CA126" s="1189">
        <f>' Table Z Net Exp Profiles'!D126</f>
        <v>0</v>
      </c>
      <c r="CB126" s="1189">
        <f>' Table Z Net Exp Profiles'!E126</f>
        <v>0</v>
      </c>
      <c r="CC126" s="1189">
        <f>' Table Z Net Exp Profiles'!F126</f>
        <v>0</v>
      </c>
      <c r="CD126" s="1189">
        <f>' Table Z Net Exp Profiles'!G126</f>
        <v>0</v>
      </c>
      <c r="CE126" s="1189">
        <f>' Table Z Net Exp Profiles'!H126</f>
        <v>0</v>
      </c>
      <c r="CF126" s="1189">
        <f>' Table Z Net Exp Profiles'!I126</f>
        <v>0</v>
      </c>
      <c r="CG126" s="1189">
        <f>' Table Z Net Exp Profiles'!J126</f>
        <v>0</v>
      </c>
      <c r="CH126" s="1189">
        <f>' Table Z Net Exp Profiles'!K126</f>
        <v>0</v>
      </c>
      <c r="CI126" s="1189">
        <f>' Table Z Net Exp Profiles'!L126</f>
        <v>0</v>
      </c>
      <c r="CJ126" s="1189">
        <f>' Table Z Net Exp Profiles'!M126</f>
        <v>0</v>
      </c>
      <c r="CK126" s="1189">
        <f>' Table Z Net Exp Profiles'!N126</f>
        <v>0</v>
      </c>
      <c r="CL126" s="1215">
        <f>' Table Z Net Exp Profiles'!O126</f>
        <v>0</v>
      </c>
      <c r="CM126" s="1215">
        <f>' Table Z Net Exp Profiles'!P126</f>
        <v>0</v>
      </c>
      <c r="DF126" s="2838">
        <f>'B3 - COVID-19'!A126</f>
        <v>95</v>
      </c>
      <c r="DG126" s="1906">
        <f>'B3 - COVID-19'!B126</f>
        <v>0</v>
      </c>
      <c r="DH126" s="1330">
        <f>'B3 - COVID-19'!C126</f>
        <v>0</v>
      </c>
      <c r="DI126" s="1330">
        <f>'B3 - COVID-19'!D126</f>
        <v>0</v>
      </c>
      <c r="DJ126" s="1330">
        <f>'B3 - COVID-19'!E126</f>
        <v>0</v>
      </c>
      <c r="DK126" s="1330">
        <f>'B3 - COVID-19'!F126</f>
        <v>0</v>
      </c>
      <c r="DL126" s="1330">
        <f>'B3 - COVID-19'!G126</f>
        <v>0</v>
      </c>
      <c r="DM126" s="1330">
        <f>'B3 - COVID-19'!H126</f>
        <v>0</v>
      </c>
      <c r="DN126" s="1330">
        <f>'B3 - COVID-19'!I126</f>
        <v>0</v>
      </c>
      <c r="DO126" s="1330">
        <f>'B3 - COVID-19'!J126</f>
        <v>0</v>
      </c>
      <c r="DP126" s="1330">
        <f>'B3 - COVID-19'!K126</f>
        <v>0</v>
      </c>
      <c r="DQ126" s="1330">
        <f>'B3 - COVID-19'!L126</f>
        <v>0</v>
      </c>
      <c r="DR126" s="1330">
        <f>'B3 - COVID-19'!M126</f>
        <v>0</v>
      </c>
      <c r="DS126" s="1330">
        <f>'B3 - COVID-19'!N126</f>
        <v>0</v>
      </c>
      <c r="DT126" s="1863">
        <f>'B3 - COVID-19'!O126</f>
        <v>0</v>
      </c>
      <c r="DU126" s="1864">
        <f>'B3 - COVID-19'!P126</f>
        <v>0</v>
      </c>
      <c r="DV126" s="608"/>
      <c r="DW126" s="1116"/>
      <c r="DY126" s="2095">
        <f>'C, C1, C2&amp; C3 - Savings Schemes'!A126</f>
        <v>17</v>
      </c>
      <c r="DZ126" s="3039"/>
      <c r="EA126" s="90" t="str">
        <f>'C, C1, C2&amp; C3 - Savings Schemes'!C126</f>
        <v>Actual/F'cast</v>
      </c>
      <c r="EB126" s="2643">
        <f>'C, C1, C2&amp; C3 - Savings Schemes'!D126</f>
        <v>0</v>
      </c>
      <c r="EC126" s="2643">
        <f>'C, C1, C2&amp; C3 - Savings Schemes'!E126</f>
        <v>0</v>
      </c>
      <c r="ED126" s="2643">
        <f>'C, C1, C2&amp; C3 - Savings Schemes'!F126</f>
        <v>0</v>
      </c>
      <c r="EE126" s="2643">
        <f>'C, C1, C2&amp; C3 - Savings Schemes'!G126</f>
        <v>0</v>
      </c>
      <c r="EF126" s="2643">
        <f>'C, C1, C2&amp; C3 - Savings Schemes'!H126</f>
        <v>0</v>
      </c>
      <c r="EG126" s="2643">
        <f>'C, C1, C2&amp; C3 - Savings Schemes'!I126</f>
        <v>0</v>
      </c>
      <c r="EH126" s="2643">
        <f>'C, C1, C2&amp; C3 - Savings Schemes'!J126</f>
        <v>0</v>
      </c>
      <c r="EI126" s="2643">
        <f>'C, C1, C2&amp; C3 - Savings Schemes'!K126</f>
        <v>0</v>
      </c>
      <c r="EJ126" s="2643">
        <f>'C, C1, C2&amp; C3 - Savings Schemes'!L126</f>
        <v>0</v>
      </c>
      <c r="EK126" s="2643">
        <f>'C, C1, C2&amp; C3 - Savings Schemes'!M126</f>
        <v>0</v>
      </c>
      <c r="EL126" s="2643">
        <f>'C, C1, C2&amp; C3 - Savings Schemes'!N126</f>
        <v>0</v>
      </c>
      <c r="EM126" s="2643">
        <f>'C, C1, C2&amp; C3 - Savings Schemes'!O126</f>
        <v>0</v>
      </c>
      <c r="EN126" s="2644">
        <f>'C, C1, C2&amp; C3 - Savings Schemes'!P126</f>
        <v>0</v>
      </c>
      <c r="EO126" s="2644">
        <f>'C, C1, C2&amp; C3 - Savings Schemes'!Q126</f>
        <v>0</v>
      </c>
      <c r="JD126" s="2301">
        <f>'I - Capital RLM'!A126</f>
        <v>91</v>
      </c>
      <c r="JE126" s="2446" t="str">
        <f>'I - Capital RLM'!B126</f>
        <v>Technical Adjustments</v>
      </c>
      <c r="JF126" s="2447">
        <f>'I - Capital RLM'!C126</f>
        <v>0</v>
      </c>
      <c r="JG126" s="2448">
        <f>'I - Capital RLM'!D126</f>
        <v>0</v>
      </c>
      <c r="JH126" s="2037">
        <f>'I - Capital RLM'!E126</f>
        <v>0</v>
      </c>
      <c r="JI126" s="1943">
        <f>'I - Capital RLM'!F126</f>
        <v>0</v>
      </c>
      <c r="JJ126" s="2449">
        <f>'I - Capital RLM'!G126</f>
        <v>0</v>
      </c>
      <c r="JK126" s="2448">
        <f>'I - Capital RLM'!H126</f>
        <v>0</v>
      </c>
      <c r="JL126" s="2037">
        <f>'I - Capital RLM'!I126</f>
        <v>0</v>
      </c>
      <c r="JM126" s="2060"/>
      <c r="JN126" s="2060"/>
      <c r="JO126" s="2060"/>
      <c r="LL126" s="814"/>
      <c r="LM126" s="2197">
        <f>'M - Aged Debtors'!B126</f>
        <v>0</v>
      </c>
      <c r="LN126" s="2198">
        <f>'M - Aged Debtors'!C126</f>
        <v>0</v>
      </c>
      <c r="LO126" s="2199">
        <f>'M - Aged Debtors'!D126</f>
        <v>0</v>
      </c>
      <c r="LP126" s="2200">
        <f>'M - Aged Debtors'!E126</f>
        <v>0</v>
      </c>
      <c r="LQ126" s="2201">
        <f>'M - Aged Debtors'!F126</f>
        <v>0</v>
      </c>
      <c r="LR126" s="832" t="str">
        <f>'M - Aged Debtors'!G126</f>
        <v/>
      </c>
      <c r="LS126" s="829" t="str">
        <f>'M - Aged Debtors'!H126</f>
        <v/>
      </c>
      <c r="LT126" s="829" t="str">
        <f>'M - Aged Debtors'!I126</f>
        <v/>
      </c>
      <c r="LU126" s="830" t="str">
        <f>'M - Aged Debtors'!J126</f>
        <v/>
      </c>
      <c r="LV126" s="1830">
        <f>'M - Aged Debtors'!K126</f>
        <v>0</v>
      </c>
      <c r="LX126" s="503" t="str">
        <f>'N - GMS'!A126</f>
        <v xml:space="preserve">GENERAL MEDICAL SERVICES </v>
      </c>
      <c r="LY126" s="503"/>
      <c r="LZ126" s="503"/>
      <c r="MA126" s="504"/>
      <c r="MB126" s="504"/>
      <c r="MC126" s="235"/>
      <c r="MD126" s="235"/>
      <c r="ME126" s="213"/>
      <c r="MF126" s="235"/>
      <c r="MR126" s="684"/>
      <c r="MS126" s="684"/>
      <c r="MT126" s="684"/>
      <c r="MU126" s="684"/>
      <c r="MV126" s="684"/>
      <c r="MW126" s="684"/>
      <c r="MX126" s="684"/>
      <c r="MY126" s="684"/>
      <c r="MZ126" s="684"/>
      <c r="NA126" s="684"/>
      <c r="NB126" s="684"/>
      <c r="NC126" s="684"/>
      <c r="ND126" s="684"/>
      <c r="NE126" s="684"/>
      <c r="NF126" s="684"/>
      <c r="NG126" s="684"/>
      <c r="NH126" s="684"/>
      <c r="NI126" s="684"/>
      <c r="NJ126" s="684"/>
      <c r="NK126" s="684"/>
    </row>
    <row r="127" spans="57:375" ht="20.149999999999999" customHeight="1" thickBot="1">
      <c r="BE127" s="890">
        <f>'B - Monthly Positions'!A127</f>
        <v>75</v>
      </c>
      <c r="BF127" s="1850">
        <f>'B - Monthly Positions'!B127</f>
        <v>0</v>
      </c>
      <c r="BG127" s="2215" t="s">
        <v>288</v>
      </c>
      <c r="BH127" s="1800">
        <f>'B - Monthly Positions'!D127</f>
        <v>0</v>
      </c>
      <c r="BI127" s="1801">
        <f>'B - Monthly Positions'!E127</f>
        <v>0</v>
      </c>
      <c r="BJ127" s="1801">
        <f>'B - Monthly Positions'!F127</f>
        <v>0</v>
      </c>
      <c r="BK127" s="1801">
        <f>'B - Monthly Positions'!G127</f>
        <v>0</v>
      </c>
      <c r="BL127" s="1801">
        <f>'B - Monthly Positions'!H127</f>
        <v>0</v>
      </c>
      <c r="BM127" s="1801">
        <f>'B - Monthly Positions'!I127</f>
        <v>0</v>
      </c>
      <c r="BN127" s="1801">
        <f>'B - Monthly Positions'!J127</f>
        <v>0</v>
      </c>
      <c r="BO127" s="1801">
        <f>'B - Monthly Positions'!K127</f>
        <v>0</v>
      </c>
      <c r="BP127" s="1801">
        <f>'B - Monthly Positions'!L127</f>
        <v>0</v>
      </c>
      <c r="BQ127" s="1801">
        <f>'B - Monthly Positions'!M127</f>
        <v>0</v>
      </c>
      <c r="BR127" s="1801">
        <f>'B - Monthly Positions'!N127</f>
        <v>0</v>
      </c>
      <c r="BS127" s="2349">
        <f>'B - Monthly Positions'!O127</f>
        <v>0</v>
      </c>
      <c r="BT127" s="1073">
        <f>'B - Monthly Positions'!P127</f>
        <v>0</v>
      </c>
      <c r="BU127" s="1067">
        <f>'B - Monthly Positions'!Q127</f>
        <v>0</v>
      </c>
      <c r="BV127" s="2594"/>
      <c r="BX127" s="1191">
        <f>' Table Z Net Exp Profiles'!A127</f>
        <v>90</v>
      </c>
      <c r="BY127" s="2500" t="str">
        <f>' Table Z Net Exp Profiles'!B127</f>
        <v>Gross CHC / FNC Expenditure - Covid-19 - Current Plan</v>
      </c>
      <c r="BZ127" s="2501">
        <f>' Table Z Net Exp Profiles'!C127</f>
        <v>0</v>
      </c>
      <c r="CA127" s="1189">
        <f>' Table Z Net Exp Profiles'!D127</f>
        <v>0</v>
      </c>
      <c r="CB127" s="1189">
        <f>' Table Z Net Exp Profiles'!E127</f>
        <v>0</v>
      </c>
      <c r="CC127" s="1189">
        <f>' Table Z Net Exp Profiles'!F127</f>
        <v>0</v>
      </c>
      <c r="CD127" s="1189">
        <f>' Table Z Net Exp Profiles'!G127</f>
        <v>0</v>
      </c>
      <c r="CE127" s="1189">
        <f>' Table Z Net Exp Profiles'!H127</f>
        <v>0</v>
      </c>
      <c r="CF127" s="1189">
        <f>' Table Z Net Exp Profiles'!I127</f>
        <v>0</v>
      </c>
      <c r="CG127" s="1189">
        <f>' Table Z Net Exp Profiles'!J127</f>
        <v>0</v>
      </c>
      <c r="CH127" s="1189">
        <f>' Table Z Net Exp Profiles'!K127</f>
        <v>0</v>
      </c>
      <c r="CI127" s="1189">
        <f>' Table Z Net Exp Profiles'!L127</f>
        <v>0</v>
      </c>
      <c r="CJ127" s="1189">
        <f>' Table Z Net Exp Profiles'!M127</f>
        <v>0</v>
      </c>
      <c r="CK127" s="1189">
        <f>' Table Z Net Exp Profiles'!N127</f>
        <v>0</v>
      </c>
      <c r="CL127" s="1215">
        <f>' Table Z Net Exp Profiles'!O127</f>
        <v>0</v>
      </c>
      <c r="CM127" s="1215">
        <f>' Table Z Net Exp Profiles'!P127</f>
        <v>0</v>
      </c>
      <c r="DF127" s="2838">
        <f>'B3 - COVID-19'!A127</f>
        <v>96</v>
      </c>
      <c r="DG127" s="1906">
        <f>'B3 - COVID-19'!B127</f>
        <v>0</v>
      </c>
      <c r="DH127" s="1330">
        <f>'B3 - COVID-19'!C127</f>
        <v>0</v>
      </c>
      <c r="DI127" s="1330">
        <f>'B3 - COVID-19'!D127</f>
        <v>0</v>
      </c>
      <c r="DJ127" s="1330">
        <f>'B3 - COVID-19'!E127</f>
        <v>0</v>
      </c>
      <c r="DK127" s="1330">
        <f>'B3 - COVID-19'!F127</f>
        <v>0</v>
      </c>
      <c r="DL127" s="1330">
        <f>'B3 - COVID-19'!G127</f>
        <v>0</v>
      </c>
      <c r="DM127" s="1330">
        <f>'B3 - COVID-19'!H127</f>
        <v>0</v>
      </c>
      <c r="DN127" s="1330">
        <f>'B3 - COVID-19'!I127</f>
        <v>0</v>
      </c>
      <c r="DO127" s="1330">
        <f>'B3 - COVID-19'!J127</f>
        <v>0</v>
      </c>
      <c r="DP127" s="1330">
        <f>'B3 - COVID-19'!K127</f>
        <v>0</v>
      </c>
      <c r="DQ127" s="1330">
        <f>'B3 - COVID-19'!L127</f>
        <v>0</v>
      </c>
      <c r="DR127" s="1330">
        <f>'B3 - COVID-19'!M127</f>
        <v>0</v>
      </c>
      <c r="DS127" s="1330">
        <f>'B3 - COVID-19'!N127</f>
        <v>0</v>
      </c>
      <c r="DT127" s="1863">
        <f>'B3 - COVID-19'!O127</f>
        <v>0</v>
      </c>
      <c r="DU127" s="1864">
        <f>'B3 - COVID-19'!P127</f>
        <v>0</v>
      </c>
      <c r="DV127" s="608"/>
      <c r="DW127" s="1116"/>
      <c r="DY127" s="2095">
        <f>'C, C1, C2&amp; C3 - Savings Schemes'!A127</f>
        <v>18</v>
      </c>
      <c r="DZ127" s="3040"/>
      <c r="EA127" s="92" t="str">
        <f>'C, C1, C2&amp; C3 - Savings Schemes'!C127</f>
        <v>Variance</v>
      </c>
      <c r="EB127" s="2644">
        <f>'C, C1, C2&amp; C3 - Savings Schemes'!D127</f>
        <v>0</v>
      </c>
      <c r="EC127" s="2644">
        <f>'C, C1, C2&amp; C3 - Savings Schemes'!E127</f>
        <v>0</v>
      </c>
      <c r="ED127" s="2644">
        <f>'C, C1, C2&amp; C3 - Savings Schemes'!F127</f>
        <v>0</v>
      </c>
      <c r="EE127" s="2644">
        <f>'C, C1, C2&amp; C3 - Savings Schemes'!G127</f>
        <v>0</v>
      </c>
      <c r="EF127" s="2644">
        <f>'C, C1, C2&amp; C3 - Savings Schemes'!H127</f>
        <v>0</v>
      </c>
      <c r="EG127" s="2644">
        <f>'C, C1, C2&amp; C3 - Savings Schemes'!I127</f>
        <v>0</v>
      </c>
      <c r="EH127" s="2644">
        <f>'C, C1, C2&amp; C3 - Savings Schemes'!J127</f>
        <v>0</v>
      </c>
      <c r="EI127" s="2644">
        <f>'C, C1, C2&amp; C3 - Savings Schemes'!K127</f>
        <v>0</v>
      </c>
      <c r="EJ127" s="2644">
        <f>'C, C1, C2&amp; C3 - Savings Schemes'!L127</f>
        <v>0</v>
      </c>
      <c r="EK127" s="2644">
        <f>'C, C1, C2&amp; C3 - Savings Schemes'!M127</f>
        <v>0</v>
      </c>
      <c r="EL127" s="2644">
        <f>'C, C1, C2&amp; C3 - Savings Schemes'!N127</f>
        <v>0</v>
      </c>
      <c r="EM127" s="2644">
        <f>'C, C1, C2&amp; C3 - Savings Schemes'!O127</f>
        <v>0</v>
      </c>
      <c r="EN127" s="2644">
        <f>'C, C1, C2&amp; C3 - Savings Schemes'!P127</f>
        <v>0</v>
      </c>
      <c r="EO127" s="2644">
        <f>'C, C1, C2&amp; C3 - Savings Schemes'!Q127</f>
        <v>0</v>
      </c>
      <c r="JD127" s="2363"/>
      <c r="JE127" s="1745"/>
      <c r="JF127" s="2097"/>
      <c r="JG127" s="2097"/>
      <c r="JH127" s="2097"/>
      <c r="JI127" s="1943"/>
      <c r="JJ127" s="2097"/>
      <c r="JK127" s="2097"/>
      <c r="JL127" s="2097"/>
      <c r="JM127" s="2060"/>
      <c r="JN127" s="2060"/>
      <c r="JO127" s="2060"/>
      <c r="LL127" s="814"/>
      <c r="LM127" s="2197">
        <f>'M - Aged Debtors'!B127</f>
        <v>0</v>
      </c>
      <c r="LN127" s="2198">
        <f>'M - Aged Debtors'!C127</f>
        <v>0</v>
      </c>
      <c r="LO127" s="2199">
        <f>'M - Aged Debtors'!D127</f>
        <v>0</v>
      </c>
      <c r="LP127" s="2200">
        <f>'M - Aged Debtors'!E127</f>
        <v>0</v>
      </c>
      <c r="LQ127" s="2201">
        <f>'M - Aged Debtors'!F127</f>
        <v>0</v>
      </c>
      <c r="LR127" s="832" t="str">
        <f>'M - Aged Debtors'!G127</f>
        <v/>
      </c>
      <c r="LS127" s="829" t="str">
        <f>'M - Aged Debtors'!H127</f>
        <v/>
      </c>
      <c r="LT127" s="829" t="str">
        <f>'M - Aged Debtors'!I127</f>
        <v/>
      </c>
      <c r="LU127" s="830" t="str">
        <f>'M - Aged Debtors'!J127</f>
        <v/>
      </c>
      <c r="LV127" s="1830">
        <f>'M - Aged Debtors'!K127</f>
        <v>0</v>
      </c>
      <c r="LX127" s="505" t="str">
        <f>'N - GMS'!A127</f>
        <v>Operating Expenditure</v>
      </c>
      <c r="LY127" s="505"/>
      <c r="LZ127" s="505"/>
      <c r="MA127" s="506"/>
      <c r="MB127" s="506"/>
      <c r="MC127" s="239"/>
      <c r="MD127" s="239"/>
      <c r="ME127" s="213"/>
      <c r="MF127" s="239"/>
      <c r="MR127" s="684"/>
      <c r="MS127" s="684"/>
      <c r="MT127" s="684"/>
      <c r="MU127" s="684"/>
      <c r="MV127" s="684"/>
      <c r="MW127" s="684"/>
      <c r="MX127" s="684"/>
      <c r="MY127" s="684"/>
      <c r="MZ127" s="684"/>
      <c r="NA127" s="684"/>
      <c r="NB127" s="684"/>
      <c r="NC127" s="684"/>
      <c r="ND127" s="684"/>
      <c r="NE127" s="684"/>
      <c r="NF127" s="684"/>
      <c r="NG127" s="684"/>
      <c r="NH127" s="684"/>
      <c r="NI127" s="684"/>
      <c r="NJ127" s="684"/>
      <c r="NK127" s="684"/>
    </row>
    <row r="128" spans="57:375" ht="20.149999999999999" customHeight="1" thickBot="1">
      <c r="BE128" s="890">
        <f>'B - Monthly Positions'!A128</f>
        <v>76</v>
      </c>
      <c r="BF128" s="1850">
        <f>'B - Monthly Positions'!B128</f>
        <v>0</v>
      </c>
      <c r="BG128" s="2215" t="s">
        <v>288</v>
      </c>
      <c r="BH128" s="1800">
        <f>'B - Monthly Positions'!D128</f>
        <v>0</v>
      </c>
      <c r="BI128" s="1801">
        <f>'B - Monthly Positions'!E128</f>
        <v>0</v>
      </c>
      <c r="BJ128" s="1801">
        <f>'B - Monthly Positions'!F128</f>
        <v>0</v>
      </c>
      <c r="BK128" s="1801">
        <f>'B - Monthly Positions'!G128</f>
        <v>0</v>
      </c>
      <c r="BL128" s="1801">
        <f>'B - Monthly Positions'!H128</f>
        <v>0</v>
      </c>
      <c r="BM128" s="1801">
        <f>'B - Monthly Positions'!I128</f>
        <v>0</v>
      </c>
      <c r="BN128" s="1801">
        <f>'B - Monthly Positions'!J128</f>
        <v>0</v>
      </c>
      <c r="BO128" s="1801">
        <f>'B - Monthly Positions'!K128</f>
        <v>0</v>
      </c>
      <c r="BP128" s="1801">
        <f>'B - Monthly Positions'!L128</f>
        <v>0</v>
      </c>
      <c r="BQ128" s="1801">
        <f>'B - Monthly Positions'!M128</f>
        <v>0</v>
      </c>
      <c r="BR128" s="1801">
        <f>'B - Monthly Positions'!N128</f>
        <v>0</v>
      </c>
      <c r="BS128" s="2349">
        <f>'B - Monthly Positions'!O128</f>
        <v>0</v>
      </c>
      <c r="BT128" s="1073">
        <f>'B - Monthly Positions'!P128</f>
        <v>0</v>
      </c>
      <c r="BU128" s="1067">
        <f>'B - Monthly Positions'!Q128</f>
        <v>0</v>
      </c>
      <c r="BV128" s="2594"/>
      <c r="BX128" s="91">
        <f>' Table Z Net Exp Profiles'!A128</f>
        <v>91</v>
      </c>
      <c r="BY128" s="1264" t="str">
        <f>' Table Z Net Exp Profiles'!B128</f>
        <v>Planning Assumptions still to be finalised at Month 1 Allocated to CHC / FNC - (ENTER AS NEGATIVE)</v>
      </c>
      <c r="BZ128" s="1217">
        <f>' Table Z Net Exp Profiles'!C128</f>
        <v>0</v>
      </c>
      <c r="CA128" s="1189">
        <f>' Table Z Net Exp Profiles'!D128</f>
        <v>0</v>
      </c>
      <c r="CB128" s="1189">
        <f>' Table Z Net Exp Profiles'!E128</f>
        <v>0</v>
      </c>
      <c r="CC128" s="1189">
        <f>' Table Z Net Exp Profiles'!F128</f>
        <v>0</v>
      </c>
      <c r="CD128" s="1189">
        <f>' Table Z Net Exp Profiles'!G128</f>
        <v>0</v>
      </c>
      <c r="CE128" s="1189">
        <f>' Table Z Net Exp Profiles'!H128</f>
        <v>0</v>
      </c>
      <c r="CF128" s="1189">
        <f>' Table Z Net Exp Profiles'!I128</f>
        <v>0</v>
      </c>
      <c r="CG128" s="1189">
        <f>' Table Z Net Exp Profiles'!J128</f>
        <v>0</v>
      </c>
      <c r="CH128" s="1189">
        <f>' Table Z Net Exp Profiles'!K128</f>
        <v>0</v>
      </c>
      <c r="CI128" s="1189">
        <f>' Table Z Net Exp Profiles'!L128</f>
        <v>0</v>
      </c>
      <c r="CJ128" s="1189">
        <f>' Table Z Net Exp Profiles'!M128</f>
        <v>0</v>
      </c>
      <c r="CK128" s="1189">
        <f>' Table Z Net Exp Profiles'!N128</f>
        <v>0</v>
      </c>
      <c r="CL128" s="1215">
        <f>' Table Z Net Exp Profiles'!O128</f>
        <v>0</v>
      </c>
      <c r="CM128" s="1215">
        <f>' Table Z Net Exp Profiles'!P128</f>
        <v>0</v>
      </c>
      <c r="DF128" s="2838">
        <f>'B3 - COVID-19'!A128</f>
        <v>97</v>
      </c>
      <c r="DG128" s="1906">
        <f>'B3 - COVID-19'!B128</f>
        <v>0</v>
      </c>
      <c r="DH128" s="1330">
        <f>'B3 - COVID-19'!C128</f>
        <v>0</v>
      </c>
      <c r="DI128" s="1330">
        <f>'B3 - COVID-19'!D128</f>
        <v>0</v>
      </c>
      <c r="DJ128" s="1330">
        <f>'B3 - COVID-19'!E128</f>
        <v>0</v>
      </c>
      <c r="DK128" s="1330">
        <f>'B3 - COVID-19'!F128</f>
        <v>0</v>
      </c>
      <c r="DL128" s="1330">
        <f>'B3 - COVID-19'!G128</f>
        <v>0</v>
      </c>
      <c r="DM128" s="1330">
        <f>'B3 - COVID-19'!H128</f>
        <v>0</v>
      </c>
      <c r="DN128" s="1330">
        <f>'B3 - COVID-19'!I128</f>
        <v>0</v>
      </c>
      <c r="DO128" s="1330">
        <f>'B3 - COVID-19'!J128</f>
        <v>0</v>
      </c>
      <c r="DP128" s="1330">
        <f>'B3 - COVID-19'!K128</f>
        <v>0</v>
      </c>
      <c r="DQ128" s="1330">
        <f>'B3 - COVID-19'!L128</f>
        <v>0</v>
      </c>
      <c r="DR128" s="1330">
        <f>'B3 - COVID-19'!M128</f>
        <v>0</v>
      </c>
      <c r="DS128" s="1330">
        <f>'B3 - COVID-19'!N128</f>
        <v>0</v>
      </c>
      <c r="DT128" s="1863">
        <f>'B3 - COVID-19'!O128</f>
        <v>0</v>
      </c>
      <c r="DU128" s="1864">
        <f>'B3 - COVID-19'!P128</f>
        <v>0</v>
      </c>
      <c r="DV128" s="608"/>
      <c r="DW128" s="1116"/>
      <c r="DY128" s="2111">
        <f>'C, C1, C2&amp; C3 - Savings Schemes'!A128</f>
        <v>19</v>
      </c>
      <c r="DZ128" s="3038" t="str">
        <f>'C, C1, C2&amp; C3 - Savings Schemes'!B128</f>
        <v>Non Healthcare Services Provided by Other NHS Bodies</v>
      </c>
      <c r="EA128" s="87" t="str">
        <f>'C, C1, C2&amp; C3 - Savings Schemes'!C128</f>
        <v>Budget/Plan</v>
      </c>
      <c r="EB128" s="2643">
        <f>'C, C1, C2&amp; C3 - Savings Schemes'!D128</f>
        <v>0</v>
      </c>
      <c r="EC128" s="2643">
        <f>'C, C1, C2&amp; C3 - Savings Schemes'!E128</f>
        <v>0</v>
      </c>
      <c r="ED128" s="2643">
        <f>'C, C1, C2&amp; C3 - Savings Schemes'!F128</f>
        <v>0</v>
      </c>
      <c r="EE128" s="2643">
        <f>'C, C1, C2&amp; C3 - Savings Schemes'!G128</f>
        <v>0</v>
      </c>
      <c r="EF128" s="2643">
        <f>'C, C1, C2&amp; C3 - Savings Schemes'!H128</f>
        <v>0</v>
      </c>
      <c r="EG128" s="2643">
        <f>'C, C1, C2&amp; C3 - Savings Schemes'!I128</f>
        <v>0</v>
      </c>
      <c r="EH128" s="2643">
        <f>'C, C1, C2&amp; C3 - Savings Schemes'!J128</f>
        <v>0</v>
      </c>
      <c r="EI128" s="2643">
        <f>'C, C1, C2&amp; C3 - Savings Schemes'!K128</f>
        <v>0</v>
      </c>
      <c r="EJ128" s="2643">
        <f>'C, C1, C2&amp; C3 - Savings Schemes'!L128</f>
        <v>0</v>
      </c>
      <c r="EK128" s="2643">
        <f>'C, C1, C2&amp; C3 - Savings Schemes'!M128</f>
        <v>0</v>
      </c>
      <c r="EL128" s="2643">
        <f>'C, C1, C2&amp; C3 - Savings Schemes'!N128</f>
        <v>0</v>
      </c>
      <c r="EM128" s="2643">
        <f>'C, C1, C2&amp; C3 - Savings Schemes'!O128</f>
        <v>0</v>
      </c>
      <c r="EN128" s="2644">
        <f>'C, C1, C2&amp; C3 - Savings Schemes'!P128</f>
        <v>0</v>
      </c>
      <c r="EO128" s="2644">
        <f>'C, C1, C2&amp; C3 - Savings Schemes'!Q128</f>
        <v>0</v>
      </c>
      <c r="JD128" s="2434"/>
      <c r="JE128" s="1745"/>
      <c r="JF128" s="2097"/>
      <c r="JG128" s="2097"/>
      <c r="JH128" s="2097"/>
      <c r="JI128" s="1943"/>
      <c r="JJ128" s="2097"/>
      <c r="JK128" s="2097"/>
      <c r="JL128" s="2097"/>
      <c r="JM128" s="2060"/>
      <c r="JN128" s="2060"/>
      <c r="JO128" s="2060"/>
      <c r="LL128" s="814"/>
      <c r="LM128" s="2197">
        <f>'M - Aged Debtors'!B128</f>
        <v>0</v>
      </c>
      <c r="LN128" s="2198">
        <f>'M - Aged Debtors'!C128</f>
        <v>0</v>
      </c>
      <c r="LO128" s="2199">
        <f>'M - Aged Debtors'!D128</f>
        <v>0</v>
      </c>
      <c r="LP128" s="2200">
        <f>'M - Aged Debtors'!E128</f>
        <v>0</v>
      </c>
      <c r="LQ128" s="2201">
        <f>'M - Aged Debtors'!F128</f>
        <v>0</v>
      </c>
      <c r="LR128" s="832" t="str">
        <f>'M - Aged Debtors'!G128</f>
        <v/>
      </c>
      <c r="LS128" s="829" t="str">
        <f>'M - Aged Debtors'!H128</f>
        <v/>
      </c>
      <c r="LT128" s="829" t="str">
        <f>'M - Aged Debtors'!I128</f>
        <v/>
      </c>
      <c r="LU128" s="830" t="str">
        <f>'M - Aged Debtors'!J128</f>
        <v/>
      </c>
      <c r="LV128" s="1830">
        <f>'M - Aged Debtors'!K128</f>
        <v>0</v>
      </c>
      <c r="LX128" s="507"/>
      <c r="LY128" s="501"/>
      <c r="LZ128" s="501"/>
      <c r="MA128" s="500"/>
      <c r="MB128" s="500"/>
      <c r="MC128" s="235"/>
      <c r="MD128" s="235"/>
      <c r="ME128" s="213"/>
      <c r="MF128" s="235"/>
      <c r="MR128" s="684"/>
      <c r="MS128" s="684"/>
      <c r="MT128" s="684"/>
      <c r="MU128" s="684"/>
      <c r="MV128" s="684"/>
      <c r="MW128" s="684"/>
      <c r="MX128" s="684"/>
      <c r="MY128" s="684"/>
      <c r="MZ128" s="684"/>
      <c r="NA128" s="684"/>
      <c r="NB128" s="684"/>
      <c r="NC128" s="684"/>
      <c r="ND128" s="684"/>
      <c r="NE128" s="684"/>
      <c r="NF128" s="684"/>
      <c r="NG128" s="684"/>
      <c r="NH128" s="684"/>
      <c r="NI128" s="684"/>
      <c r="NJ128" s="684"/>
      <c r="NK128" s="684"/>
    </row>
    <row r="129" spans="57:375" ht="20.149999999999999" customHeight="1" thickBot="1">
      <c r="BE129" s="890">
        <f>'B - Monthly Positions'!A129</f>
        <v>77</v>
      </c>
      <c r="BF129" s="1850">
        <f>'B - Monthly Positions'!B129</f>
        <v>0</v>
      </c>
      <c r="BG129" s="2215" t="s">
        <v>288</v>
      </c>
      <c r="BH129" s="1800">
        <f>'B - Monthly Positions'!D129</f>
        <v>0</v>
      </c>
      <c r="BI129" s="1801">
        <f>'B - Monthly Positions'!E129</f>
        <v>0</v>
      </c>
      <c r="BJ129" s="1801">
        <f>'B - Monthly Positions'!F129</f>
        <v>0</v>
      </c>
      <c r="BK129" s="1801">
        <f>'B - Monthly Positions'!G129</f>
        <v>0</v>
      </c>
      <c r="BL129" s="1801">
        <f>'B - Monthly Positions'!H129</f>
        <v>0</v>
      </c>
      <c r="BM129" s="1801">
        <f>'B - Monthly Positions'!I129</f>
        <v>0</v>
      </c>
      <c r="BN129" s="1801">
        <f>'B - Monthly Positions'!J129</f>
        <v>0</v>
      </c>
      <c r="BO129" s="1801">
        <f>'B - Monthly Positions'!K129</f>
        <v>0</v>
      </c>
      <c r="BP129" s="1801">
        <f>'B - Monthly Positions'!L129</f>
        <v>0</v>
      </c>
      <c r="BQ129" s="1801">
        <f>'B - Monthly Positions'!M129</f>
        <v>0</v>
      </c>
      <c r="BR129" s="1801">
        <f>'B - Monthly Positions'!N129</f>
        <v>0</v>
      </c>
      <c r="BS129" s="2349">
        <f>'B - Monthly Positions'!O129</f>
        <v>0</v>
      </c>
      <c r="BT129" s="1073">
        <f>'B - Monthly Positions'!P129</f>
        <v>0</v>
      </c>
      <c r="BU129" s="1067">
        <f>'B - Monthly Positions'!Q129</f>
        <v>0</v>
      </c>
      <c r="BV129" s="2594"/>
      <c r="BX129" s="144">
        <f>' Table Z Net Exp Profiles'!A129</f>
        <v>92</v>
      </c>
      <c r="BY129" s="1100" t="str">
        <f>' Table Z Net Exp Profiles'!B129</f>
        <v>Total CHC / FNC Gross Expenditure - Current Plan</v>
      </c>
      <c r="BZ129" s="1110">
        <f>' Table Z Net Exp Profiles'!C129</f>
        <v>0</v>
      </c>
      <c r="CA129" s="1219">
        <f>' Table Z Net Exp Profiles'!D129</f>
        <v>0</v>
      </c>
      <c r="CB129" s="1219">
        <f>' Table Z Net Exp Profiles'!E129</f>
        <v>0</v>
      </c>
      <c r="CC129" s="1219">
        <f>' Table Z Net Exp Profiles'!F129</f>
        <v>0</v>
      </c>
      <c r="CD129" s="1219">
        <f>' Table Z Net Exp Profiles'!G129</f>
        <v>0</v>
      </c>
      <c r="CE129" s="1219">
        <f>' Table Z Net Exp Profiles'!H129</f>
        <v>0</v>
      </c>
      <c r="CF129" s="1219">
        <f>' Table Z Net Exp Profiles'!I129</f>
        <v>0</v>
      </c>
      <c r="CG129" s="1219">
        <f>' Table Z Net Exp Profiles'!J129</f>
        <v>0</v>
      </c>
      <c r="CH129" s="1219">
        <f>' Table Z Net Exp Profiles'!K129</f>
        <v>0</v>
      </c>
      <c r="CI129" s="1219">
        <f>' Table Z Net Exp Profiles'!L129</f>
        <v>0</v>
      </c>
      <c r="CJ129" s="1219">
        <f>' Table Z Net Exp Profiles'!M129</f>
        <v>0</v>
      </c>
      <c r="CK129" s="1220">
        <f>' Table Z Net Exp Profiles'!N129</f>
        <v>0</v>
      </c>
      <c r="CL129" s="1101">
        <f>' Table Z Net Exp Profiles'!O129</f>
        <v>0</v>
      </c>
      <c r="CM129" s="1232">
        <f>' Table Z Net Exp Profiles'!P129</f>
        <v>0</v>
      </c>
      <c r="DF129" s="2838">
        <f>'B3 - COVID-19'!A129</f>
        <v>98</v>
      </c>
      <c r="DG129" s="2620" t="str">
        <f>'B3 - COVID-19'!B129</f>
        <v>Sub total Other C-19 Non Pay</v>
      </c>
      <c r="DH129" s="1907">
        <f>'B3 - COVID-19'!C129</f>
        <v>0</v>
      </c>
      <c r="DI129" s="1907">
        <f>'B3 - COVID-19'!D129</f>
        <v>0</v>
      </c>
      <c r="DJ129" s="1907">
        <f>'B3 - COVID-19'!E129</f>
        <v>0</v>
      </c>
      <c r="DK129" s="1907">
        <f>'B3 - COVID-19'!F129</f>
        <v>0</v>
      </c>
      <c r="DL129" s="1907">
        <f>'B3 - COVID-19'!G129</f>
        <v>0</v>
      </c>
      <c r="DM129" s="1907">
        <f>'B3 - COVID-19'!H129</f>
        <v>0</v>
      </c>
      <c r="DN129" s="1907">
        <f>'B3 - COVID-19'!I129</f>
        <v>0</v>
      </c>
      <c r="DO129" s="1907">
        <f>'B3 - COVID-19'!J129</f>
        <v>0</v>
      </c>
      <c r="DP129" s="1907">
        <f>'B3 - COVID-19'!K129</f>
        <v>0</v>
      </c>
      <c r="DQ129" s="1907">
        <f>'B3 - COVID-19'!L129</f>
        <v>0</v>
      </c>
      <c r="DR129" s="1907">
        <f>'B3 - COVID-19'!M129</f>
        <v>0</v>
      </c>
      <c r="DS129" s="1907">
        <f>'B3 - COVID-19'!N129</f>
        <v>0</v>
      </c>
      <c r="DT129" s="1907">
        <f>'B3 - COVID-19'!O129</f>
        <v>0</v>
      </c>
      <c r="DU129" s="1907">
        <f>'B3 - COVID-19'!P129</f>
        <v>0</v>
      </c>
      <c r="DV129" s="608"/>
      <c r="DW129" s="1116"/>
      <c r="DY129" s="2095">
        <f>'C, C1, C2&amp; C3 - Savings Schemes'!A129</f>
        <v>20</v>
      </c>
      <c r="DZ129" s="3039"/>
      <c r="EA129" s="90" t="str">
        <f>'C, C1, C2&amp; C3 - Savings Schemes'!C129</f>
        <v>Actual/F'cast</v>
      </c>
      <c r="EB129" s="2643">
        <f>'C, C1, C2&amp; C3 - Savings Schemes'!D129</f>
        <v>0</v>
      </c>
      <c r="EC129" s="2643">
        <f>'C, C1, C2&amp; C3 - Savings Schemes'!E129</f>
        <v>0</v>
      </c>
      <c r="ED129" s="2643">
        <f>'C, C1, C2&amp; C3 - Savings Schemes'!F129</f>
        <v>0</v>
      </c>
      <c r="EE129" s="2643">
        <f>'C, C1, C2&amp; C3 - Savings Schemes'!G129</f>
        <v>0</v>
      </c>
      <c r="EF129" s="2643">
        <f>'C, C1, C2&amp; C3 - Savings Schemes'!H129</f>
        <v>0</v>
      </c>
      <c r="EG129" s="2643">
        <f>'C, C1, C2&amp; C3 - Savings Schemes'!I129</f>
        <v>0</v>
      </c>
      <c r="EH129" s="2643">
        <f>'C, C1, C2&amp; C3 - Savings Schemes'!J129</f>
        <v>0</v>
      </c>
      <c r="EI129" s="2643">
        <f>'C, C1, C2&amp; C3 - Savings Schemes'!K129</f>
        <v>0</v>
      </c>
      <c r="EJ129" s="2643">
        <f>'C, C1, C2&amp; C3 - Savings Schemes'!L129</f>
        <v>0</v>
      </c>
      <c r="EK129" s="2643">
        <f>'C, C1, C2&amp; C3 - Savings Schemes'!M129</f>
        <v>0</v>
      </c>
      <c r="EL129" s="2643">
        <f>'C, C1, C2&amp; C3 - Savings Schemes'!N129</f>
        <v>0</v>
      </c>
      <c r="EM129" s="2643">
        <f>'C, C1, C2&amp; C3 - Savings Schemes'!O129</f>
        <v>0</v>
      </c>
      <c r="EN129" s="2644">
        <f>'C, C1, C2&amp; C3 - Savings Schemes'!P129</f>
        <v>0</v>
      </c>
      <c r="EO129" s="2644">
        <f>'C, C1, C2&amp; C3 - Savings Schemes'!Q129</f>
        <v>0</v>
      </c>
      <c r="JD129" s="2301">
        <f>'I - Capital RLM'!A129</f>
        <v>92</v>
      </c>
      <c r="JE129" s="2443" t="str">
        <f>'I - Capital RLM'!B129</f>
        <v xml:space="preserve">CHARGE AGAINST CRL / CEL  </v>
      </c>
      <c r="JF129" s="2037">
        <f>'I - Capital RLM'!C129</f>
        <v>0</v>
      </c>
      <c r="JG129" s="2037">
        <f>'I - Capital RLM'!D129</f>
        <v>0</v>
      </c>
      <c r="JH129" s="2037">
        <f>'I - Capital RLM'!E129</f>
        <v>0</v>
      </c>
      <c r="JI129" s="1943">
        <f>'I - Capital RLM'!F129</f>
        <v>0</v>
      </c>
      <c r="JJ129" s="2037">
        <f>'I - Capital RLM'!G129</f>
        <v>0</v>
      </c>
      <c r="JK129" s="2037">
        <f>'I - Capital RLM'!H129</f>
        <v>0</v>
      </c>
      <c r="JL129" s="2037">
        <f>'I - Capital RLM'!I129</f>
        <v>0</v>
      </c>
      <c r="JM129" s="2060"/>
      <c r="JN129" s="2060"/>
      <c r="JO129" s="2060"/>
      <c r="LL129" s="814"/>
      <c r="LM129" s="2197">
        <f>'M - Aged Debtors'!B129</f>
        <v>0</v>
      </c>
      <c r="LN129" s="2198">
        <f>'M - Aged Debtors'!C129</f>
        <v>0</v>
      </c>
      <c r="LO129" s="2199">
        <f>'M - Aged Debtors'!D129</f>
        <v>0</v>
      </c>
      <c r="LP129" s="2200">
        <f>'M - Aged Debtors'!E129</f>
        <v>0</v>
      </c>
      <c r="LQ129" s="2201">
        <f>'M - Aged Debtors'!F129</f>
        <v>0</v>
      </c>
      <c r="LR129" s="832" t="str">
        <f>'M - Aged Debtors'!G129</f>
        <v/>
      </c>
      <c r="LS129" s="829" t="str">
        <f>'M - Aged Debtors'!H129</f>
        <v/>
      </c>
      <c r="LT129" s="829" t="str">
        <f>'M - Aged Debtors'!I129</f>
        <v/>
      </c>
      <c r="LU129" s="830" t="str">
        <f>'M - Aged Debtors'!J129</f>
        <v/>
      </c>
      <c r="LV129" s="1830">
        <f>'M - Aged Debtors'!K129</f>
        <v>0</v>
      </c>
      <c r="LX129" s="153"/>
      <c r="LY129" s="153"/>
      <c r="LZ129" s="153"/>
      <c r="MA129" s="3148"/>
      <c r="MB129" s="3148"/>
      <c r="MC129" s="3148"/>
      <c r="MD129" s="3148"/>
      <c r="ME129" s="3149"/>
      <c r="MF129" s="3148"/>
      <c r="MR129" s="684"/>
      <c r="MS129" s="684"/>
      <c r="MT129" s="684"/>
      <c r="MU129" s="684"/>
      <c r="MV129" s="684"/>
      <c r="MW129" s="684"/>
      <c r="MX129" s="684"/>
      <c r="MY129" s="684"/>
      <c r="MZ129" s="684"/>
      <c r="NA129" s="684"/>
      <c r="NB129" s="684"/>
      <c r="NC129" s="684"/>
      <c r="ND129" s="684"/>
      <c r="NE129" s="684"/>
      <c r="NF129" s="684"/>
      <c r="NG129" s="684"/>
      <c r="NH129" s="684"/>
      <c r="NI129" s="684"/>
      <c r="NJ129" s="684"/>
      <c r="NK129" s="684"/>
    </row>
    <row r="130" spans="57:375" ht="20.149999999999999" customHeight="1" thickBot="1">
      <c r="BE130" s="890">
        <f>'B - Monthly Positions'!A130</f>
        <v>78</v>
      </c>
      <c r="BF130" s="1850">
        <f>'B - Monthly Positions'!B130</f>
        <v>0</v>
      </c>
      <c r="BG130" s="2215" t="s">
        <v>288</v>
      </c>
      <c r="BH130" s="1800">
        <f>'B - Monthly Positions'!D130</f>
        <v>0</v>
      </c>
      <c r="BI130" s="1801">
        <f>'B - Monthly Positions'!E130</f>
        <v>0</v>
      </c>
      <c r="BJ130" s="1801">
        <f>'B - Monthly Positions'!F130</f>
        <v>0</v>
      </c>
      <c r="BK130" s="1801">
        <f>'B - Monthly Positions'!G130</f>
        <v>0</v>
      </c>
      <c r="BL130" s="1801">
        <f>'B - Monthly Positions'!H130</f>
        <v>0</v>
      </c>
      <c r="BM130" s="1801">
        <f>'B - Monthly Positions'!I130</f>
        <v>0</v>
      </c>
      <c r="BN130" s="1801">
        <f>'B - Monthly Positions'!J130</f>
        <v>0</v>
      </c>
      <c r="BO130" s="1801">
        <f>'B - Monthly Positions'!K130</f>
        <v>0</v>
      </c>
      <c r="BP130" s="1801">
        <f>'B - Monthly Positions'!L130</f>
        <v>0</v>
      </c>
      <c r="BQ130" s="1801">
        <f>'B - Monthly Positions'!M130</f>
        <v>0</v>
      </c>
      <c r="BR130" s="1801">
        <f>'B - Monthly Positions'!N130</f>
        <v>0</v>
      </c>
      <c r="BS130" s="2349">
        <f>'B - Monthly Positions'!O130</f>
        <v>0</v>
      </c>
      <c r="BT130" s="1073">
        <f>'B - Monthly Positions'!P130</f>
        <v>0</v>
      </c>
      <c r="BU130" s="1067">
        <f>'B - Monthly Positions'!Q130</f>
        <v>0</v>
      </c>
      <c r="BV130" s="2594"/>
      <c r="BX130" s="890">
        <f>' Table Z Net Exp Profiles'!A130</f>
        <v>93</v>
      </c>
      <c r="BY130" s="1278" t="str">
        <f>' Table Z Net Exp Profiles'!B130</f>
        <v>CHC / FNC - Actual/Forecast Gross</v>
      </c>
      <c r="BZ130" s="1214">
        <f>' Table Z Net Exp Profiles'!C130</f>
        <v>0</v>
      </c>
      <c r="CA130" s="1214">
        <f>' Table Z Net Exp Profiles'!D130</f>
        <v>0</v>
      </c>
      <c r="CB130" s="1214">
        <f>' Table Z Net Exp Profiles'!E130</f>
        <v>0</v>
      </c>
      <c r="CC130" s="1214">
        <f>' Table Z Net Exp Profiles'!F130</f>
        <v>0</v>
      </c>
      <c r="CD130" s="1214">
        <f>' Table Z Net Exp Profiles'!G130</f>
        <v>0</v>
      </c>
      <c r="CE130" s="1214">
        <f>' Table Z Net Exp Profiles'!H130</f>
        <v>0</v>
      </c>
      <c r="CF130" s="1214">
        <f>' Table Z Net Exp Profiles'!I130</f>
        <v>0</v>
      </c>
      <c r="CG130" s="1214">
        <f>' Table Z Net Exp Profiles'!J130</f>
        <v>0</v>
      </c>
      <c r="CH130" s="1214">
        <f>' Table Z Net Exp Profiles'!K130</f>
        <v>0</v>
      </c>
      <c r="CI130" s="1214">
        <f>' Table Z Net Exp Profiles'!L130</f>
        <v>0</v>
      </c>
      <c r="CJ130" s="1214">
        <f>' Table Z Net Exp Profiles'!M130</f>
        <v>0</v>
      </c>
      <c r="CK130" s="1214">
        <f>' Table Z Net Exp Profiles'!N130</f>
        <v>0</v>
      </c>
      <c r="CL130" s="1215">
        <f>' Table Z Net Exp Profiles'!O130</f>
        <v>0</v>
      </c>
      <c r="CM130" s="1215">
        <f>' Table Z Net Exp Profiles'!P130</f>
        <v>0</v>
      </c>
      <c r="DF130" s="2757">
        <f>DF129+1</f>
        <v>99</v>
      </c>
      <c r="DG130" s="2622" t="str">
        <f>'B3 - COVID-19'!B130</f>
        <v>Total Other C-19 Expenditure</v>
      </c>
      <c r="DH130" s="1912">
        <f>'B3 - COVID-19'!C130</f>
        <v>0</v>
      </c>
      <c r="DI130" s="1912">
        <f>'B3 - COVID-19'!D130</f>
        <v>0</v>
      </c>
      <c r="DJ130" s="1912">
        <f>'B3 - COVID-19'!E130</f>
        <v>0</v>
      </c>
      <c r="DK130" s="1912">
        <f>'B3 - COVID-19'!F130</f>
        <v>0</v>
      </c>
      <c r="DL130" s="1912">
        <f>'B3 - COVID-19'!G130</f>
        <v>0</v>
      </c>
      <c r="DM130" s="1912">
        <f>'B3 - COVID-19'!H130</f>
        <v>0</v>
      </c>
      <c r="DN130" s="1912">
        <f>'B3 - COVID-19'!I130</f>
        <v>0</v>
      </c>
      <c r="DO130" s="1912">
        <f>'B3 - COVID-19'!J130</f>
        <v>0</v>
      </c>
      <c r="DP130" s="1912">
        <f>'B3 - COVID-19'!K130</f>
        <v>0</v>
      </c>
      <c r="DQ130" s="1912">
        <f>'B3 - COVID-19'!L130</f>
        <v>0</v>
      </c>
      <c r="DR130" s="1912">
        <f>'B3 - COVID-19'!M130</f>
        <v>0</v>
      </c>
      <c r="DS130" s="1912">
        <f>'B3 - COVID-19'!N130</f>
        <v>0</v>
      </c>
      <c r="DT130" s="1912">
        <f>'B3 - COVID-19'!O130</f>
        <v>0</v>
      </c>
      <c r="DU130" s="1912">
        <f>'B3 - COVID-19'!P130</f>
        <v>0</v>
      </c>
      <c r="DV130" s="608"/>
      <c r="DW130" s="1116"/>
      <c r="DY130" s="2095">
        <f>'C, C1, C2&amp; C3 - Savings Schemes'!A130</f>
        <v>21</v>
      </c>
      <c r="DZ130" s="3040"/>
      <c r="EA130" s="92" t="str">
        <f>'C, C1, C2&amp; C3 - Savings Schemes'!C130</f>
        <v>Variance</v>
      </c>
      <c r="EB130" s="2644">
        <f>'C, C1, C2&amp; C3 - Savings Schemes'!D130</f>
        <v>0</v>
      </c>
      <c r="EC130" s="2644">
        <f>'C, C1, C2&amp; C3 - Savings Schemes'!E130</f>
        <v>0</v>
      </c>
      <c r="ED130" s="2644">
        <f>'C, C1, C2&amp; C3 - Savings Schemes'!F130</f>
        <v>0</v>
      </c>
      <c r="EE130" s="2644">
        <f>'C, C1, C2&amp; C3 - Savings Schemes'!G130</f>
        <v>0</v>
      </c>
      <c r="EF130" s="2644">
        <f>'C, C1, C2&amp; C3 - Savings Schemes'!H130</f>
        <v>0</v>
      </c>
      <c r="EG130" s="2644">
        <f>'C, C1, C2&amp; C3 - Savings Schemes'!I130</f>
        <v>0</v>
      </c>
      <c r="EH130" s="2644">
        <f>'C, C1, C2&amp; C3 - Savings Schemes'!J130</f>
        <v>0</v>
      </c>
      <c r="EI130" s="2644">
        <f>'C, C1, C2&amp; C3 - Savings Schemes'!K130</f>
        <v>0</v>
      </c>
      <c r="EJ130" s="2644">
        <f>'C, C1, C2&amp; C3 - Savings Schemes'!L130</f>
        <v>0</v>
      </c>
      <c r="EK130" s="2644">
        <f>'C, C1, C2&amp; C3 - Savings Schemes'!M130</f>
        <v>0</v>
      </c>
      <c r="EL130" s="2644">
        <f>'C, C1, C2&amp; C3 - Savings Schemes'!N130</f>
        <v>0</v>
      </c>
      <c r="EM130" s="2644">
        <f>'C, C1, C2&amp; C3 - Savings Schemes'!O130</f>
        <v>0</v>
      </c>
      <c r="EN130" s="2644">
        <f>'C, C1, C2&amp; C3 - Savings Schemes'!P130</f>
        <v>0</v>
      </c>
      <c r="EO130" s="2644">
        <f>'C, C1, C2&amp; C3 - Savings Schemes'!Q130</f>
        <v>0</v>
      </c>
      <c r="JD130" s="2450"/>
      <c r="JE130" s="2451"/>
      <c r="JF130" s="2097"/>
      <c r="JG130" s="2097"/>
      <c r="JH130" s="2097"/>
      <c r="JI130" s="1943"/>
      <c r="JJ130" s="2097"/>
      <c r="JK130" s="2097"/>
      <c r="JL130" s="2097"/>
      <c r="JM130" s="2060"/>
      <c r="JN130" s="2060"/>
      <c r="JO130" s="2060"/>
      <c r="LL130" s="814"/>
      <c r="LM130" s="2197">
        <f>'M - Aged Debtors'!B130</f>
        <v>0</v>
      </c>
      <c r="LN130" s="2198">
        <f>'M - Aged Debtors'!C130</f>
        <v>0</v>
      </c>
      <c r="LO130" s="2199">
        <f>'M - Aged Debtors'!D130</f>
        <v>0</v>
      </c>
      <c r="LP130" s="2200">
        <f>'M - Aged Debtors'!E130</f>
        <v>0</v>
      </c>
      <c r="LQ130" s="2201">
        <f>'M - Aged Debtors'!F130</f>
        <v>0</v>
      </c>
      <c r="LR130" s="832" t="str">
        <f>'M - Aged Debtors'!G130</f>
        <v/>
      </c>
      <c r="LS130" s="829" t="str">
        <f>'M - Aged Debtors'!H130</f>
        <v/>
      </c>
      <c r="LT130" s="829" t="str">
        <f>'M - Aged Debtors'!I130</f>
        <v/>
      </c>
      <c r="LU130" s="830" t="str">
        <f>'M - Aged Debtors'!J130</f>
        <v/>
      </c>
      <c r="LV130" s="1830">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4"/>
      <c r="MS130" s="684"/>
      <c r="MT130" s="684"/>
      <c r="MU130" s="684"/>
      <c r="MV130" s="684"/>
      <c r="MW130" s="684"/>
      <c r="MX130" s="684"/>
      <c r="MY130" s="684"/>
      <c r="MZ130" s="684"/>
      <c r="NA130" s="684"/>
      <c r="NB130" s="684"/>
      <c r="NC130" s="684"/>
      <c r="ND130" s="684"/>
      <c r="NE130" s="684"/>
      <c r="NF130" s="684"/>
      <c r="NG130" s="684"/>
      <c r="NH130" s="684"/>
      <c r="NI130" s="684"/>
      <c r="NJ130" s="684"/>
      <c r="NK130" s="684"/>
    </row>
    <row r="131" spans="57:375" ht="20.149999999999999" customHeight="1" thickBot="1">
      <c r="BE131" s="890">
        <f>'B - Monthly Positions'!A131</f>
        <v>79</v>
      </c>
      <c r="BF131" s="1850">
        <f>'B - Monthly Positions'!B131</f>
        <v>0</v>
      </c>
      <c r="BG131" s="2215" t="s">
        <v>288</v>
      </c>
      <c r="BH131" s="1800">
        <f>'B - Monthly Positions'!D131</f>
        <v>0</v>
      </c>
      <c r="BI131" s="1801">
        <f>'B - Monthly Positions'!E131</f>
        <v>0</v>
      </c>
      <c r="BJ131" s="1801">
        <f>'B - Monthly Positions'!F131</f>
        <v>0</v>
      </c>
      <c r="BK131" s="1801">
        <f>'B - Monthly Positions'!G131</f>
        <v>0</v>
      </c>
      <c r="BL131" s="1801">
        <f>'B - Monthly Positions'!H131</f>
        <v>0</v>
      </c>
      <c r="BM131" s="1801">
        <f>'B - Monthly Positions'!I131</f>
        <v>0</v>
      </c>
      <c r="BN131" s="1801">
        <f>'B - Monthly Positions'!J131</f>
        <v>0</v>
      </c>
      <c r="BO131" s="1801">
        <f>'B - Monthly Positions'!K131</f>
        <v>0</v>
      </c>
      <c r="BP131" s="1801">
        <f>'B - Monthly Positions'!L131</f>
        <v>0</v>
      </c>
      <c r="BQ131" s="1801">
        <f>'B - Monthly Positions'!M131</f>
        <v>0</v>
      </c>
      <c r="BR131" s="1801">
        <f>'B - Monthly Positions'!N131</f>
        <v>0</v>
      </c>
      <c r="BS131" s="2349">
        <f>'B - Monthly Positions'!O131</f>
        <v>0</v>
      </c>
      <c r="BT131" s="1073">
        <f>'B - Monthly Positions'!P131</f>
        <v>0</v>
      </c>
      <c r="BU131" s="1067">
        <f>'B - Monthly Positions'!Q131</f>
        <v>0</v>
      </c>
      <c r="BV131" s="2594"/>
      <c r="BX131" s="1191">
        <f>' Table Z Net Exp Profiles'!A131</f>
        <v>94</v>
      </c>
      <c r="BY131" s="1275" t="str">
        <f>' Table Z Net Exp Profiles'!B131</f>
        <v xml:space="preserve">Additional CHC / FNC Costs due to Covid-19 - Actual/Forecast </v>
      </c>
      <c r="BZ131" s="1214">
        <f>' Table Z Net Exp Profiles'!C131</f>
        <v>0</v>
      </c>
      <c r="CA131" s="1214">
        <f>' Table Z Net Exp Profiles'!D131</f>
        <v>0</v>
      </c>
      <c r="CB131" s="1214">
        <f>' Table Z Net Exp Profiles'!E131</f>
        <v>0</v>
      </c>
      <c r="CC131" s="1214">
        <f>' Table Z Net Exp Profiles'!F131</f>
        <v>0</v>
      </c>
      <c r="CD131" s="1214">
        <f>' Table Z Net Exp Profiles'!G131</f>
        <v>0</v>
      </c>
      <c r="CE131" s="1214">
        <f>' Table Z Net Exp Profiles'!H131</f>
        <v>0</v>
      </c>
      <c r="CF131" s="1214">
        <f>' Table Z Net Exp Profiles'!I131</f>
        <v>0</v>
      </c>
      <c r="CG131" s="1214">
        <f>' Table Z Net Exp Profiles'!J131</f>
        <v>0</v>
      </c>
      <c r="CH131" s="1214">
        <f>' Table Z Net Exp Profiles'!K131</f>
        <v>0</v>
      </c>
      <c r="CI131" s="1214">
        <f>' Table Z Net Exp Profiles'!L131</f>
        <v>0</v>
      </c>
      <c r="CJ131" s="1214">
        <f>' Table Z Net Exp Profiles'!M131</f>
        <v>0</v>
      </c>
      <c r="CK131" s="1214">
        <f>' Table Z Net Exp Profiles'!N131</f>
        <v>0</v>
      </c>
      <c r="CL131" s="1215">
        <f>' Table Z Net Exp Profiles'!O131</f>
        <v>0</v>
      </c>
      <c r="CM131" s="1215">
        <f>' Table Z Net Exp Profiles'!P131</f>
        <v>0</v>
      </c>
      <c r="DF131" s="2486"/>
      <c r="DG131" s="1116"/>
      <c r="DH131" s="1918"/>
      <c r="DI131" s="1918"/>
      <c r="DJ131" s="1918"/>
      <c r="DK131" s="1918"/>
      <c r="DL131" s="1918"/>
      <c r="DM131" s="1918"/>
      <c r="DN131" s="1918"/>
      <c r="DO131" s="1918"/>
      <c r="DP131" s="1918"/>
      <c r="DQ131" s="1918"/>
      <c r="DR131" s="1918"/>
      <c r="DS131" s="1918"/>
      <c r="DT131" s="1918"/>
      <c r="DU131" s="1918"/>
      <c r="DV131" s="608"/>
      <c r="DW131" s="1116"/>
      <c r="DY131" s="2111">
        <f>'C, C1, C2&amp; C3 - Savings Schemes'!A131</f>
        <v>22</v>
      </c>
      <c r="DZ131" s="3038" t="str">
        <f>'C, C1, C2&amp; C3 - Savings Schemes'!B131</f>
        <v>Other Private &amp; Voluntary Sector</v>
      </c>
      <c r="EA131" s="87" t="str">
        <f>'C, C1, C2&amp; C3 - Savings Schemes'!C131</f>
        <v>Budget/Plan</v>
      </c>
      <c r="EB131" s="2643">
        <f>'C, C1, C2&amp; C3 - Savings Schemes'!D131</f>
        <v>0</v>
      </c>
      <c r="EC131" s="2643">
        <f>'C, C1, C2&amp; C3 - Savings Schemes'!E131</f>
        <v>0</v>
      </c>
      <c r="ED131" s="2643">
        <f>'C, C1, C2&amp; C3 - Savings Schemes'!F131</f>
        <v>0</v>
      </c>
      <c r="EE131" s="2643">
        <f>'C, C1, C2&amp; C3 - Savings Schemes'!G131</f>
        <v>0</v>
      </c>
      <c r="EF131" s="2643">
        <f>'C, C1, C2&amp; C3 - Savings Schemes'!H131</f>
        <v>0</v>
      </c>
      <c r="EG131" s="2643">
        <f>'C, C1, C2&amp; C3 - Savings Schemes'!I131</f>
        <v>0</v>
      </c>
      <c r="EH131" s="2643">
        <f>'C, C1, C2&amp; C3 - Savings Schemes'!J131</f>
        <v>0</v>
      </c>
      <c r="EI131" s="2643">
        <f>'C, C1, C2&amp; C3 - Savings Schemes'!K131</f>
        <v>0</v>
      </c>
      <c r="EJ131" s="2643">
        <f>'C, C1, C2&amp; C3 - Savings Schemes'!L131</f>
        <v>0</v>
      </c>
      <c r="EK131" s="2643">
        <f>'C, C1, C2&amp; C3 - Savings Schemes'!M131</f>
        <v>0</v>
      </c>
      <c r="EL131" s="2643">
        <f>'C, C1, C2&amp; C3 - Savings Schemes'!N131</f>
        <v>0</v>
      </c>
      <c r="EM131" s="2643">
        <f>'C, C1, C2&amp; C3 - Savings Schemes'!O131</f>
        <v>0</v>
      </c>
      <c r="EN131" s="2644">
        <f>'C, C1, C2&amp; C3 - Savings Schemes'!P131</f>
        <v>0</v>
      </c>
      <c r="EO131" s="2644">
        <f>'C, C1, C2&amp; C3 - Savings Schemes'!Q131</f>
        <v>0</v>
      </c>
      <c r="JD131" s="2301">
        <f>'I - Capital RLM'!A131</f>
        <v>93</v>
      </c>
      <c r="JE131" s="2443" t="str">
        <f>'I - Capital RLM'!B131</f>
        <v xml:space="preserve">PERFORMANCE AGAINST CRL / CEL (Under)/Over </v>
      </c>
      <c r="JF131" s="2452">
        <f>'I - Capital RLM'!C131</f>
        <v>0</v>
      </c>
      <c r="JG131" s="2037">
        <f>'I - Capital RLM'!D131</f>
        <v>0</v>
      </c>
      <c r="JH131" s="2452">
        <f>'I - Capital RLM'!E131</f>
        <v>0</v>
      </c>
      <c r="JI131" s="1943">
        <f>'I - Capital RLM'!F131</f>
        <v>0</v>
      </c>
      <c r="JJ131" s="2452">
        <f>'I - Capital RLM'!G131</f>
        <v>0</v>
      </c>
      <c r="JK131" s="2037">
        <f>'I - Capital RLM'!H131</f>
        <v>0</v>
      </c>
      <c r="JL131" s="2452">
        <f>'I - Capital RLM'!I131</f>
        <v>0</v>
      </c>
      <c r="JM131" s="2060"/>
      <c r="JN131" s="2060"/>
      <c r="JO131" s="2060"/>
      <c r="LL131" s="814"/>
      <c r="LM131" s="2197">
        <f>'M - Aged Debtors'!B131</f>
        <v>0</v>
      </c>
      <c r="LN131" s="2198">
        <f>'M - Aged Debtors'!C131</f>
        <v>0</v>
      </c>
      <c r="LO131" s="2199">
        <f>'M - Aged Debtors'!D131</f>
        <v>0</v>
      </c>
      <c r="LP131" s="2200">
        <f>'M - Aged Debtors'!E131</f>
        <v>0</v>
      </c>
      <c r="LQ131" s="2201">
        <f>'M - Aged Debtors'!F131</f>
        <v>0</v>
      </c>
      <c r="LR131" s="832" t="str">
        <f>'M - Aged Debtors'!G131</f>
        <v/>
      </c>
      <c r="LS131" s="829" t="str">
        <f>'M - Aged Debtors'!H131</f>
        <v/>
      </c>
      <c r="LT131" s="829" t="str">
        <f>'M - Aged Debtors'!I131</f>
        <v/>
      </c>
      <c r="LU131" s="830" t="str">
        <f>'M - Aged Debtors'!J131</f>
        <v/>
      </c>
      <c r="LV131" s="1830">
        <f>'M - Aged Debtors'!K131</f>
        <v>0</v>
      </c>
      <c r="LX131" s="470" t="str">
        <f>'N - GMS'!A131</f>
        <v>LHB Administered                                                Section B</v>
      </c>
      <c r="LY131" s="444"/>
      <c r="LZ131" s="2454" t="str">
        <f>'N - GMS'!C131</f>
        <v>LINE NO.</v>
      </c>
      <c r="MA131" s="2455" t="str">
        <f>'N - GMS'!D131</f>
        <v>£000's</v>
      </c>
      <c r="MB131" s="2455" t="str">
        <f>'N - GMS'!E131</f>
        <v>£000's</v>
      </c>
      <c r="MC131" s="2456" t="str">
        <f>'N - GMS'!F131</f>
        <v>£000's</v>
      </c>
      <c r="MD131" s="513" t="str">
        <f>'N - GMS'!G131</f>
        <v>£000's</v>
      </c>
      <c r="ME131" s="213"/>
      <c r="MF131" s="473" t="str">
        <f>'N - GMS'!I131</f>
        <v>£000's</v>
      </c>
      <c r="MR131" s="684"/>
      <c r="MS131" s="684"/>
      <c r="MT131" s="684"/>
      <c r="MU131" s="684"/>
      <c r="MV131" s="684"/>
      <c r="MW131" s="684"/>
      <c r="MX131" s="684"/>
      <c r="MY131" s="684"/>
      <c r="MZ131" s="684"/>
      <c r="NA131" s="684"/>
      <c r="NB131" s="684"/>
      <c r="NC131" s="684"/>
      <c r="ND131" s="684"/>
      <c r="NE131" s="684"/>
      <c r="NF131" s="684"/>
      <c r="NG131" s="684"/>
      <c r="NH131" s="684"/>
      <c r="NI131" s="684"/>
      <c r="NJ131" s="684"/>
      <c r="NK131" s="684"/>
    </row>
    <row r="132" spans="57:375" ht="20.149999999999999" customHeight="1" thickBot="1">
      <c r="BE132" s="890">
        <f>'B - Monthly Positions'!A132</f>
        <v>80</v>
      </c>
      <c r="BF132" s="2439">
        <f>'B - Monthly Positions'!B132</f>
        <v>0</v>
      </c>
      <c r="BG132" s="2215" t="s">
        <v>288</v>
      </c>
      <c r="BH132" s="1800">
        <f>'B - Monthly Positions'!D132</f>
        <v>0</v>
      </c>
      <c r="BI132" s="1801">
        <f>'B - Monthly Positions'!E132</f>
        <v>0</v>
      </c>
      <c r="BJ132" s="1801">
        <f>'B - Monthly Positions'!F132</f>
        <v>0</v>
      </c>
      <c r="BK132" s="1801">
        <f>'B - Monthly Positions'!G132</f>
        <v>0</v>
      </c>
      <c r="BL132" s="1801">
        <f>'B - Monthly Positions'!H132</f>
        <v>0</v>
      </c>
      <c r="BM132" s="1801">
        <f>'B - Monthly Positions'!I132</f>
        <v>0</v>
      </c>
      <c r="BN132" s="1801">
        <f>'B - Monthly Positions'!J132</f>
        <v>0</v>
      </c>
      <c r="BO132" s="1801">
        <f>'B - Monthly Positions'!K132</f>
        <v>0</v>
      </c>
      <c r="BP132" s="1801">
        <f>'B - Monthly Positions'!L132</f>
        <v>0</v>
      </c>
      <c r="BQ132" s="1801">
        <f>'B - Monthly Positions'!M132</f>
        <v>0</v>
      </c>
      <c r="BR132" s="1801">
        <f>'B - Monthly Positions'!N132</f>
        <v>0</v>
      </c>
      <c r="BS132" s="2349">
        <f>'B - Monthly Positions'!O132</f>
        <v>0</v>
      </c>
      <c r="BT132" s="1073">
        <f>'B - Monthly Positions'!P132</f>
        <v>0</v>
      </c>
      <c r="BU132" s="1067">
        <f>'B - Monthly Positions'!Q132</f>
        <v>0</v>
      </c>
      <c r="BV132" s="2594"/>
      <c r="BX132" s="91">
        <f>' Table Z Net Exp Profiles'!A132</f>
        <v>95</v>
      </c>
      <c r="BY132" s="1279" t="str">
        <f>' Table Z Net Exp Profiles'!B132</f>
        <v>Committed Reserves - CHC/FNC - Forecast</v>
      </c>
      <c r="BZ132" s="1214">
        <f>' Table Z Net Exp Profiles'!C132</f>
        <v>0</v>
      </c>
      <c r="CA132" s="1214">
        <f>' Table Z Net Exp Profiles'!D132</f>
        <v>0</v>
      </c>
      <c r="CB132" s="1214">
        <f>' Table Z Net Exp Profiles'!E132</f>
        <v>0</v>
      </c>
      <c r="CC132" s="1214">
        <f>' Table Z Net Exp Profiles'!F132</f>
        <v>0</v>
      </c>
      <c r="CD132" s="1214">
        <f>' Table Z Net Exp Profiles'!G132</f>
        <v>0</v>
      </c>
      <c r="CE132" s="1214">
        <f>' Table Z Net Exp Profiles'!H132</f>
        <v>0</v>
      </c>
      <c r="CF132" s="1214">
        <f>' Table Z Net Exp Profiles'!I132</f>
        <v>0</v>
      </c>
      <c r="CG132" s="1214">
        <f>' Table Z Net Exp Profiles'!J132</f>
        <v>0</v>
      </c>
      <c r="CH132" s="1214">
        <f>' Table Z Net Exp Profiles'!K132</f>
        <v>0</v>
      </c>
      <c r="CI132" s="1214">
        <f>' Table Z Net Exp Profiles'!L132</f>
        <v>0</v>
      </c>
      <c r="CJ132" s="1214">
        <f>' Table Z Net Exp Profiles'!M132</f>
        <v>0</v>
      </c>
      <c r="CK132" s="1214">
        <f>' Table Z Net Exp Profiles'!N132</f>
        <v>0</v>
      </c>
      <c r="CL132" s="1215">
        <f>' Table Z Net Exp Profiles'!O132</f>
        <v>0</v>
      </c>
      <c r="CM132" s="1215">
        <f>' Table Z Net Exp Profiles'!P132</f>
        <v>0</v>
      </c>
      <c r="DF132" s="1910">
        <f>'B3 - COVID-19'!A132</f>
        <v>100</v>
      </c>
      <c r="DG132" s="2821" t="str">
        <f>'B3 - COVID-19'!B132</f>
        <v>Planned Other C-19 Expenditure (In Opening Plan)</v>
      </c>
      <c r="DH132" s="2489">
        <f>'B3 - COVID-19'!C132</f>
        <v>0</v>
      </c>
      <c r="DI132" s="2489">
        <f>'B3 - COVID-19'!D132</f>
        <v>0</v>
      </c>
      <c r="DJ132" s="2489">
        <f>'B3 - COVID-19'!E132</f>
        <v>0</v>
      </c>
      <c r="DK132" s="2489">
        <f>'B3 - COVID-19'!F132</f>
        <v>0</v>
      </c>
      <c r="DL132" s="2489">
        <f>'B3 - COVID-19'!G132</f>
        <v>0</v>
      </c>
      <c r="DM132" s="2489">
        <f>'B3 - COVID-19'!H132</f>
        <v>0</v>
      </c>
      <c r="DN132" s="2489">
        <f>'B3 - COVID-19'!I132</f>
        <v>0</v>
      </c>
      <c r="DO132" s="2489">
        <f>'B3 - COVID-19'!J132</f>
        <v>0</v>
      </c>
      <c r="DP132" s="2489">
        <f>'B3 - COVID-19'!K132</f>
        <v>0</v>
      </c>
      <c r="DQ132" s="2489">
        <f>'B3 - COVID-19'!L132</f>
        <v>0</v>
      </c>
      <c r="DR132" s="2489">
        <f>'B3 - COVID-19'!M132</f>
        <v>0</v>
      </c>
      <c r="DS132" s="2489">
        <f>'B3 - COVID-19'!N132</f>
        <v>0</v>
      </c>
      <c r="DT132" s="1132">
        <f>'B3 - COVID-19'!O132</f>
        <v>0</v>
      </c>
      <c r="DU132" s="1132">
        <f>'B3 - COVID-19'!P132</f>
        <v>0</v>
      </c>
      <c r="DV132" s="608"/>
      <c r="DW132" s="1116"/>
      <c r="DY132" s="2095">
        <f>'C, C1, C2&amp; C3 - Savings Schemes'!A132</f>
        <v>23</v>
      </c>
      <c r="DZ132" s="3039"/>
      <c r="EA132" s="90" t="str">
        <f>'C, C1, C2&amp; C3 - Savings Schemes'!C132</f>
        <v>Actual/F'cast</v>
      </c>
      <c r="EB132" s="2643">
        <f>'C, C1, C2&amp; C3 - Savings Schemes'!D132</f>
        <v>0</v>
      </c>
      <c r="EC132" s="2643">
        <f>'C, C1, C2&amp; C3 - Savings Schemes'!E132</f>
        <v>0</v>
      </c>
      <c r="ED132" s="2643">
        <f>'C, C1, C2&amp; C3 - Savings Schemes'!F132</f>
        <v>0</v>
      </c>
      <c r="EE132" s="2643">
        <f>'C, C1, C2&amp; C3 - Savings Schemes'!G132</f>
        <v>0</v>
      </c>
      <c r="EF132" s="2643">
        <f>'C, C1, C2&amp; C3 - Savings Schemes'!H132</f>
        <v>0</v>
      </c>
      <c r="EG132" s="2643">
        <f>'C, C1, C2&amp; C3 - Savings Schemes'!I132</f>
        <v>0</v>
      </c>
      <c r="EH132" s="2643">
        <f>'C, C1, C2&amp; C3 - Savings Schemes'!J132</f>
        <v>0</v>
      </c>
      <c r="EI132" s="2643">
        <f>'C, C1, C2&amp; C3 - Savings Schemes'!K132</f>
        <v>0</v>
      </c>
      <c r="EJ132" s="2643">
        <f>'C, C1, C2&amp; C3 - Savings Schemes'!L132</f>
        <v>0</v>
      </c>
      <c r="EK132" s="2643">
        <f>'C, C1, C2&amp; C3 - Savings Schemes'!M132</f>
        <v>0</v>
      </c>
      <c r="EL132" s="2643">
        <f>'C, C1, C2&amp; C3 - Savings Schemes'!N132</f>
        <v>0</v>
      </c>
      <c r="EM132" s="2643">
        <f>'C, C1, C2&amp; C3 - Savings Schemes'!O132</f>
        <v>0</v>
      </c>
      <c r="EN132" s="2644">
        <f>'C, C1, C2&amp; C3 - Savings Schemes'!P132</f>
        <v>0</v>
      </c>
      <c r="EO132" s="2644">
        <f>'C, C1, C2&amp; C3 - Savings Schemes'!Q132</f>
        <v>0</v>
      </c>
      <c r="JD132" s="2453"/>
      <c r="JE132" s="1745"/>
      <c r="JF132" s="1745"/>
      <c r="JG132" s="1745"/>
      <c r="JH132" s="1745"/>
      <c r="JI132" s="2087"/>
      <c r="JJ132" s="1745"/>
      <c r="JK132" s="1745"/>
      <c r="JL132" s="1745"/>
      <c r="JM132" s="2060"/>
      <c r="JN132" s="2060"/>
      <c r="JO132" s="2060"/>
      <c r="LL132" s="814"/>
      <c r="LM132" s="2197">
        <f>'M - Aged Debtors'!B132</f>
        <v>0</v>
      </c>
      <c r="LN132" s="2198">
        <f>'M - Aged Debtors'!C132</f>
        <v>0</v>
      </c>
      <c r="LO132" s="2199">
        <f>'M - Aged Debtors'!D132</f>
        <v>0</v>
      </c>
      <c r="LP132" s="2200">
        <f>'M - Aged Debtors'!E132</f>
        <v>0</v>
      </c>
      <c r="LQ132" s="2201">
        <f>'M - Aged Debtors'!F132</f>
        <v>0</v>
      </c>
      <c r="LR132" s="832" t="str">
        <f>'M - Aged Debtors'!G132</f>
        <v/>
      </c>
      <c r="LS132" s="829" t="str">
        <f>'M - Aged Debtors'!H132</f>
        <v/>
      </c>
      <c r="LT132" s="829" t="str">
        <f>'M - Aged Debtors'!I132</f>
        <v/>
      </c>
      <c r="LU132" s="830" t="str">
        <f>'M - Aged Debtors'!J132</f>
        <v/>
      </c>
      <c r="LV132" s="1830">
        <f>'M - Aged Debtors'!K132</f>
        <v>0</v>
      </c>
      <c r="LX132" s="514"/>
      <c r="LY132" s="2457"/>
      <c r="LZ132" s="2457"/>
      <c r="MA132" s="516"/>
      <c r="MB132" s="516"/>
      <c r="MC132" s="516"/>
      <c r="MD132" s="516"/>
      <c r="ME132" s="1170"/>
      <c r="MF132" s="2458"/>
      <c r="MR132" s="684"/>
      <c r="MS132" s="684"/>
      <c r="MT132" s="684"/>
      <c r="MU132" s="684"/>
      <c r="MV132" s="684"/>
      <c r="MW132" s="684"/>
      <c r="MX132" s="684"/>
      <c r="MY132" s="684"/>
      <c r="MZ132" s="684"/>
      <c r="NA132" s="684"/>
      <c r="NB132" s="684"/>
      <c r="NC132" s="684"/>
      <c r="ND132" s="684"/>
      <c r="NE132" s="684"/>
      <c r="NF132" s="684"/>
      <c r="NG132" s="684"/>
      <c r="NH132" s="684"/>
      <c r="NI132" s="684"/>
      <c r="NJ132" s="684"/>
      <c r="NK132" s="684"/>
    </row>
    <row r="133" spans="57:375" ht="20.149999999999999" customHeight="1" thickBot="1">
      <c r="BE133" s="890">
        <f>'B - Monthly Positions'!A133</f>
        <v>81</v>
      </c>
      <c r="BF133" s="1099" t="str">
        <f>'B - Monthly Positions'!B133</f>
        <v>Total</v>
      </c>
      <c r="BG133" s="1100" t="s">
        <v>288</v>
      </c>
      <c r="BH133" s="1138">
        <f>'B - Monthly Positions'!D133</f>
        <v>0</v>
      </c>
      <c r="BI133" s="1138">
        <f>'B - Monthly Positions'!E133</f>
        <v>0</v>
      </c>
      <c r="BJ133" s="1138">
        <f>'B - Monthly Positions'!F133</f>
        <v>0</v>
      </c>
      <c r="BK133" s="1138">
        <f>'B - Monthly Positions'!G133</f>
        <v>0</v>
      </c>
      <c r="BL133" s="1138">
        <f>'B - Monthly Positions'!H133</f>
        <v>0</v>
      </c>
      <c r="BM133" s="1138">
        <f>'B - Monthly Positions'!I133</f>
        <v>0</v>
      </c>
      <c r="BN133" s="1138">
        <f>'B - Monthly Positions'!J133</f>
        <v>0</v>
      </c>
      <c r="BO133" s="1138">
        <f>'B - Monthly Positions'!K133</f>
        <v>0</v>
      </c>
      <c r="BP133" s="1138">
        <f>'B - Monthly Positions'!L133</f>
        <v>0</v>
      </c>
      <c r="BQ133" s="1138">
        <f>'B - Monthly Positions'!M133</f>
        <v>0</v>
      </c>
      <c r="BR133" s="1138">
        <f>'B - Monthly Positions'!N133</f>
        <v>0</v>
      </c>
      <c r="BS133" s="1138">
        <f>'B - Monthly Positions'!O133</f>
        <v>0</v>
      </c>
      <c r="BT133" s="1101">
        <f>'B - Monthly Positions'!P133</f>
        <v>0</v>
      </c>
      <c r="BU133" s="1133">
        <f>'B - Monthly Positions'!Q133</f>
        <v>0</v>
      </c>
      <c r="BV133" s="2594"/>
      <c r="BX133" s="144">
        <f>' Table Z Net Exp Profiles'!A133</f>
        <v>96</v>
      </c>
      <c r="BY133" s="1272" t="str">
        <f>' Table Z Net Exp Profiles'!B133</f>
        <v>Total Gross CHC / FNC Expenditure - Actual/Forecast</v>
      </c>
      <c r="BZ133" s="1218">
        <f>' Table Z Net Exp Profiles'!C133</f>
        <v>0</v>
      </c>
      <c r="CA133" s="1218">
        <f>' Table Z Net Exp Profiles'!D133</f>
        <v>0</v>
      </c>
      <c r="CB133" s="1218">
        <f>' Table Z Net Exp Profiles'!E133</f>
        <v>0</v>
      </c>
      <c r="CC133" s="1218">
        <f>' Table Z Net Exp Profiles'!F133</f>
        <v>0</v>
      </c>
      <c r="CD133" s="1218">
        <f>' Table Z Net Exp Profiles'!G133</f>
        <v>0</v>
      </c>
      <c r="CE133" s="1218">
        <f>' Table Z Net Exp Profiles'!H133</f>
        <v>0</v>
      </c>
      <c r="CF133" s="1218">
        <f>' Table Z Net Exp Profiles'!I133</f>
        <v>0</v>
      </c>
      <c r="CG133" s="1218">
        <f>' Table Z Net Exp Profiles'!J133</f>
        <v>0</v>
      </c>
      <c r="CH133" s="1218">
        <f>' Table Z Net Exp Profiles'!K133</f>
        <v>0</v>
      </c>
      <c r="CI133" s="1218">
        <f>' Table Z Net Exp Profiles'!L133</f>
        <v>0</v>
      </c>
      <c r="CJ133" s="1218">
        <f>' Table Z Net Exp Profiles'!M133</f>
        <v>0</v>
      </c>
      <c r="CK133" s="1299">
        <f>' Table Z Net Exp Profiles'!N133</f>
        <v>0</v>
      </c>
      <c r="CL133" s="1101">
        <f>' Table Z Net Exp Profiles'!O133</f>
        <v>0</v>
      </c>
      <c r="CM133" s="1101">
        <f>' Table Z Net Exp Profiles'!P133</f>
        <v>0</v>
      </c>
      <c r="DF133" s="2757">
        <f>'B3 - COVID-19'!A133</f>
        <v>101</v>
      </c>
      <c r="DG133" s="2835" t="str">
        <f>'B3 - COVID-19'!B133</f>
        <v xml:space="preserve">Movement From Opening Planned Other C-19 Expenditure </v>
      </c>
      <c r="DH133" s="1907">
        <f>'B3 - COVID-19'!C133</f>
        <v>0</v>
      </c>
      <c r="DI133" s="1907">
        <f>'B3 - COVID-19'!D133</f>
        <v>0</v>
      </c>
      <c r="DJ133" s="1907">
        <f>'B3 - COVID-19'!E133</f>
        <v>0</v>
      </c>
      <c r="DK133" s="1907">
        <f>'B3 - COVID-19'!F133</f>
        <v>0</v>
      </c>
      <c r="DL133" s="1907">
        <f>'B3 - COVID-19'!G133</f>
        <v>0</v>
      </c>
      <c r="DM133" s="1907">
        <f>'B3 - COVID-19'!H133</f>
        <v>0</v>
      </c>
      <c r="DN133" s="1907">
        <f>'B3 - COVID-19'!I133</f>
        <v>0</v>
      </c>
      <c r="DO133" s="1907">
        <f>'B3 - COVID-19'!J133</f>
        <v>0</v>
      </c>
      <c r="DP133" s="1907">
        <f>'B3 - COVID-19'!K133</f>
        <v>0</v>
      </c>
      <c r="DQ133" s="1907">
        <f>'B3 - COVID-19'!L133</f>
        <v>0</v>
      </c>
      <c r="DR133" s="1907">
        <f>'B3 - COVID-19'!M133</f>
        <v>0</v>
      </c>
      <c r="DS133" s="1907">
        <f>'B3 - COVID-19'!N133</f>
        <v>0</v>
      </c>
      <c r="DT133" s="1907">
        <f>'B3 - COVID-19'!O133</f>
        <v>0</v>
      </c>
      <c r="DU133" s="1907">
        <f>'B3 - COVID-19'!P133</f>
        <v>0</v>
      </c>
      <c r="DV133" s="608"/>
      <c r="DW133" s="1116"/>
      <c r="DY133" s="2095">
        <f>'C, C1, C2&amp; C3 - Savings Schemes'!A133</f>
        <v>24</v>
      </c>
      <c r="DZ133" s="3040"/>
      <c r="EA133" s="92" t="str">
        <f>'C, C1, C2&amp; C3 - Savings Schemes'!C133</f>
        <v>Variance</v>
      </c>
      <c r="EB133" s="2644">
        <f>'C, C1, C2&amp; C3 - Savings Schemes'!D133</f>
        <v>0</v>
      </c>
      <c r="EC133" s="2644">
        <f>'C, C1, C2&amp; C3 - Savings Schemes'!E133</f>
        <v>0</v>
      </c>
      <c r="ED133" s="2644">
        <f>'C, C1, C2&amp; C3 - Savings Schemes'!F133</f>
        <v>0</v>
      </c>
      <c r="EE133" s="2644">
        <f>'C, C1, C2&amp; C3 - Savings Schemes'!G133</f>
        <v>0</v>
      </c>
      <c r="EF133" s="2644">
        <f>'C, C1, C2&amp; C3 - Savings Schemes'!H133</f>
        <v>0</v>
      </c>
      <c r="EG133" s="2644">
        <f>'C, C1, C2&amp; C3 - Savings Schemes'!I133</f>
        <v>0</v>
      </c>
      <c r="EH133" s="2644">
        <f>'C, C1, C2&amp; C3 - Savings Schemes'!J133</f>
        <v>0</v>
      </c>
      <c r="EI133" s="2644">
        <f>'C, C1, C2&amp; C3 - Savings Schemes'!K133</f>
        <v>0</v>
      </c>
      <c r="EJ133" s="2644">
        <f>'C, C1, C2&amp; C3 - Savings Schemes'!L133</f>
        <v>0</v>
      </c>
      <c r="EK133" s="2644">
        <f>'C, C1, C2&amp; C3 - Savings Schemes'!M133</f>
        <v>0</v>
      </c>
      <c r="EL133" s="2644">
        <f>'C, C1, C2&amp; C3 - Savings Schemes'!N133</f>
        <v>0</v>
      </c>
      <c r="EM133" s="2644">
        <f>'C, C1, C2&amp; C3 - Savings Schemes'!O133</f>
        <v>0</v>
      </c>
      <c r="EN133" s="2644">
        <f>'C, C1, C2&amp; C3 - Savings Schemes'!P133</f>
        <v>0</v>
      </c>
      <c r="EO133" s="2644">
        <f>'C, C1, C2&amp; C3 - Savings Schemes'!Q133</f>
        <v>0</v>
      </c>
      <c r="JD133" s="1745"/>
      <c r="JE133" s="1745"/>
      <c r="JF133" s="1745"/>
      <c r="JG133" s="1745"/>
      <c r="JH133" s="1745"/>
      <c r="JI133" s="2087"/>
      <c r="JJ133" s="1745"/>
      <c r="JK133" s="1745"/>
      <c r="JL133" s="1745"/>
      <c r="JM133" s="2060"/>
      <c r="JN133" s="2060"/>
      <c r="JO133" s="2060"/>
      <c r="LL133" s="814"/>
      <c r="LM133" s="2197">
        <f>'M - Aged Debtors'!B133</f>
        <v>0</v>
      </c>
      <c r="LN133" s="2198">
        <f>'M - Aged Debtors'!C133</f>
        <v>0</v>
      </c>
      <c r="LO133" s="2199">
        <f>'M - Aged Debtors'!D133</f>
        <v>0</v>
      </c>
      <c r="LP133" s="2200">
        <f>'M - Aged Debtors'!E133</f>
        <v>0</v>
      </c>
      <c r="LQ133" s="2201">
        <f>'M - Aged Debtors'!F133</f>
        <v>0</v>
      </c>
      <c r="LR133" s="832" t="str">
        <f>'M - Aged Debtors'!G133</f>
        <v/>
      </c>
      <c r="LS133" s="829" t="str">
        <f>'M - Aged Debtors'!H133</f>
        <v/>
      </c>
      <c r="LT133" s="829" t="str">
        <f>'M - Aged Debtors'!I133</f>
        <v/>
      </c>
      <c r="LU133" s="830" t="str">
        <f>'M - Aged Debtors'!J133</f>
        <v/>
      </c>
      <c r="LV133" s="1830">
        <f>'M - Aged Debtors'!K133</f>
        <v>0</v>
      </c>
      <c r="LX133" s="459" t="str">
        <f>'N - GMS'!A133</f>
        <v>Seniority</v>
      </c>
      <c r="LY133" s="518"/>
      <c r="LZ133" s="461">
        <f>'N - GMS'!C133</f>
        <v>96</v>
      </c>
      <c r="MA133" s="2230">
        <f>'N - GMS'!D133</f>
        <v>0</v>
      </c>
      <c r="MB133" s="2230">
        <f>'N - GMS'!E133</f>
        <v>0</v>
      </c>
      <c r="MC133" s="2230">
        <f>'N - GMS'!F133</f>
        <v>0</v>
      </c>
      <c r="MD133" s="2230">
        <f>'N - GMS'!G133</f>
        <v>0</v>
      </c>
      <c r="ME133" s="1170"/>
      <c r="MF133" s="1780">
        <f>'N - GMS'!I133</f>
        <v>0</v>
      </c>
      <c r="MR133" s="684"/>
      <c r="MS133" s="684"/>
      <c r="MT133" s="684"/>
      <c r="MU133" s="684"/>
      <c r="MV133" s="684"/>
      <c r="MW133" s="684"/>
      <c r="MX133" s="684"/>
      <c r="MY133" s="684"/>
      <c r="MZ133" s="684"/>
      <c r="NA133" s="684"/>
      <c r="NB133" s="684"/>
      <c r="NC133" s="684"/>
      <c r="ND133" s="684"/>
      <c r="NE133" s="684"/>
      <c r="NF133" s="684"/>
      <c r="NG133" s="684"/>
      <c r="NH133" s="684"/>
      <c r="NI133" s="684"/>
      <c r="NJ133" s="684"/>
      <c r="NK133" s="684"/>
    </row>
    <row r="134" spans="57:375" ht="20.149999999999999" customHeight="1" thickBot="1">
      <c r="BG134" s="1421" t="str">
        <f>'B - Monthly Positions'!C134</f>
        <v>Phasing</v>
      </c>
      <c r="BH134" s="1419" t="e">
        <f>'B - Monthly Positions'!D134</f>
        <v>#DIV/0!</v>
      </c>
      <c r="BI134" s="1419" t="e">
        <f>'B - Monthly Positions'!E134</f>
        <v>#DIV/0!</v>
      </c>
      <c r="BJ134" s="1419" t="e">
        <f>'B - Monthly Positions'!F134</f>
        <v>#DIV/0!</v>
      </c>
      <c r="BK134" s="1419" t="e">
        <f>'B - Monthly Positions'!G134</f>
        <v>#DIV/0!</v>
      </c>
      <c r="BL134" s="1419" t="e">
        <f>'B - Monthly Positions'!H134</f>
        <v>#DIV/0!</v>
      </c>
      <c r="BM134" s="1419" t="e">
        <f>'B - Monthly Positions'!I134</f>
        <v>#DIV/0!</v>
      </c>
      <c r="BN134" s="1419" t="e">
        <f>'B - Monthly Positions'!J134</f>
        <v>#DIV/0!</v>
      </c>
      <c r="BO134" s="1419" t="e">
        <f>'B - Monthly Positions'!K134</f>
        <v>#DIV/0!</v>
      </c>
      <c r="BP134" s="1419" t="e">
        <f>'B - Monthly Positions'!L134</f>
        <v>#DIV/0!</v>
      </c>
      <c r="BQ134" s="1419" t="e">
        <f>'B - Monthly Positions'!M134</f>
        <v>#DIV/0!</v>
      </c>
      <c r="BR134" s="1419" t="e">
        <f>'B - Monthly Positions'!N134</f>
        <v>#DIV/0!</v>
      </c>
      <c r="BS134" s="1419" t="e">
        <f>'B - Monthly Positions'!O134</f>
        <v>#DIV/0!</v>
      </c>
      <c r="BT134" s="1420" t="e">
        <f>'B - Monthly Positions'!P134</f>
        <v>#DIV/0!</v>
      </c>
      <c r="BV134" s="2594"/>
      <c r="BX134" s="144">
        <f>' Table Z Net Exp Profiles'!A134</f>
        <v>97</v>
      </c>
      <c r="BY134" s="1272" t="str">
        <f>' Table Z Net Exp Profiles'!B134</f>
        <v>Gross CHC / FNC Expenditure Movement</v>
      </c>
      <c r="BZ134" s="1245">
        <f>' Table Z Net Exp Profiles'!C134</f>
        <v>0</v>
      </c>
      <c r="CA134" s="1245">
        <f>' Table Z Net Exp Profiles'!D134</f>
        <v>0</v>
      </c>
      <c r="CB134" s="1245">
        <f>' Table Z Net Exp Profiles'!E134</f>
        <v>0</v>
      </c>
      <c r="CC134" s="1245">
        <f>' Table Z Net Exp Profiles'!F134</f>
        <v>0</v>
      </c>
      <c r="CD134" s="1245">
        <f>' Table Z Net Exp Profiles'!G134</f>
        <v>0</v>
      </c>
      <c r="CE134" s="1245">
        <f>' Table Z Net Exp Profiles'!H134</f>
        <v>0</v>
      </c>
      <c r="CF134" s="1245">
        <f>' Table Z Net Exp Profiles'!I134</f>
        <v>0</v>
      </c>
      <c r="CG134" s="1245">
        <f>' Table Z Net Exp Profiles'!J134</f>
        <v>0</v>
      </c>
      <c r="CH134" s="1245">
        <f>' Table Z Net Exp Profiles'!K134</f>
        <v>0</v>
      </c>
      <c r="CI134" s="1245">
        <f>' Table Z Net Exp Profiles'!L134</f>
        <v>0</v>
      </c>
      <c r="CJ134" s="1245">
        <f>' Table Z Net Exp Profiles'!M134</f>
        <v>0</v>
      </c>
      <c r="CK134" s="1365">
        <f>' Table Z Net Exp Profiles'!N134</f>
        <v>0</v>
      </c>
      <c r="CL134" s="1101">
        <f>' Table Z Net Exp Profiles'!O134</f>
        <v>0</v>
      </c>
      <c r="CM134" s="1101">
        <f>' Table Z Net Exp Profiles'!P134</f>
        <v>0</v>
      </c>
      <c r="DF134" s="2486"/>
      <c r="DG134" s="1116"/>
      <c r="DH134" s="1918"/>
      <c r="DI134" s="1918"/>
      <c r="DJ134" s="1918"/>
      <c r="DK134" s="1918"/>
      <c r="DL134" s="1918"/>
      <c r="DM134" s="1918"/>
      <c r="DN134" s="1918"/>
      <c r="DO134" s="1918"/>
      <c r="DP134" s="1918"/>
      <c r="DQ134" s="1918"/>
      <c r="DR134" s="1918"/>
      <c r="DS134" s="1918"/>
      <c r="DT134" s="1918"/>
      <c r="DU134" s="1918"/>
      <c r="DV134" s="608"/>
      <c r="DW134" s="1116"/>
      <c r="DY134" s="2111">
        <f>'C, C1, C2&amp; C3 - Savings Schemes'!A134</f>
        <v>25</v>
      </c>
      <c r="DZ134" s="3038" t="str">
        <f>'C, C1, C2&amp; C3 - Savings Schemes'!B134</f>
        <v>Joint Financing &amp; Other</v>
      </c>
      <c r="EA134" s="87" t="str">
        <f>'C, C1, C2&amp; C3 - Savings Schemes'!C134</f>
        <v>Budget/Plan</v>
      </c>
      <c r="EB134" s="2643">
        <f>'C, C1, C2&amp; C3 - Savings Schemes'!D134</f>
        <v>0</v>
      </c>
      <c r="EC134" s="2643">
        <f>'C, C1, C2&amp; C3 - Savings Schemes'!E134</f>
        <v>0</v>
      </c>
      <c r="ED134" s="2643">
        <f>'C, C1, C2&amp; C3 - Savings Schemes'!F134</f>
        <v>0</v>
      </c>
      <c r="EE134" s="2643">
        <f>'C, C1, C2&amp; C3 - Savings Schemes'!G134</f>
        <v>0</v>
      </c>
      <c r="EF134" s="2643">
        <f>'C, C1, C2&amp; C3 - Savings Schemes'!H134</f>
        <v>0</v>
      </c>
      <c r="EG134" s="2643">
        <f>'C, C1, C2&amp; C3 - Savings Schemes'!I134</f>
        <v>0</v>
      </c>
      <c r="EH134" s="2643">
        <f>'C, C1, C2&amp; C3 - Savings Schemes'!J134</f>
        <v>0</v>
      </c>
      <c r="EI134" s="2643">
        <f>'C, C1, C2&amp; C3 - Savings Schemes'!K134</f>
        <v>0</v>
      </c>
      <c r="EJ134" s="2643">
        <f>'C, C1, C2&amp; C3 - Savings Schemes'!L134</f>
        <v>0</v>
      </c>
      <c r="EK134" s="2643">
        <f>'C, C1, C2&amp; C3 - Savings Schemes'!M134</f>
        <v>0</v>
      </c>
      <c r="EL134" s="2643">
        <f>'C, C1, C2&amp; C3 - Savings Schemes'!N134</f>
        <v>0</v>
      </c>
      <c r="EM134" s="2643">
        <f>'C, C1, C2&amp; C3 - Savings Schemes'!O134</f>
        <v>0</v>
      </c>
      <c r="EN134" s="2644">
        <f>'C, C1, C2&amp; C3 - Savings Schemes'!P134</f>
        <v>0</v>
      </c>
      <c r="EO134" s="2644">
        <f>'C, C1, C2&amp; C3 - Savings Schemes'!Q134</f>
        <v>0</v>
      </c>
      <c r="JD134" s="1745"/>
      <c r="JE134" s="1745"/>
      <c r="JF134" s="1745"/>
      <c r="JG134" s="1745"/>
      <c r="JH134" s="1745"/>
      <c r="JI134" s="2087"/>
      <c r="JJ134" s="1745"/>
      <c r="JK134" s="1745"/>
      <c r="JL134" s="1745"/>
      <c r="JM134" s="2060"/>
      <c r="JN134" s="2060"/>
      <c r="JO134" s="2060"/>
      <c r="LL134" s="814"/>
      <c r="LM134" s="2197">
        <f>'M - Aged Debtors'!B134</f>
        <v>0</v>
      </c>
      <c r="LN134" s="2198">
        <f>'M - Aged Debtors'!C134</f>
        <v>0</v>
      </c>
      <c r="LO134" s="2199">
        <f>'M - Aged Debtors'!D134</f>
        <v>0</v>
      </c>
      <c r="LP134" s="2200">
        <f>'M - Aged Debtors'!E134</f>
        <v>0</v>
      </c>
      <c r="LQ134" s="2201">
        <f>'M - Aged Debtors'!F134</f>
        <v>0</v>
      </c>
      <c r="LR134" s="832" t="str">
        <f>'M - Aged Debtors'!G134</f>
        <v/>
      </c>
      <c r="LS134" s="829" t="str">
        <f>'M - Aged Debtors'!H134</f>
        <v/>
      </c>
      <c r="LT134" s="829" t="str">
        <f>'M - Aged Debtors'!I134</f>
        <v/>
      </c>
      <c r="LU134" s="830" t="str">
        <f>'M - Aged Debtors'!J134</f>
        <v/>
      </c>
      <c r="LV134" s="1830">
        <f>'M - Aged Debtors'!K134</f>
        <v>0</v>
      </c>
      <c r="LX134" s="459" t="str">
        <f>'N - GMS'!A134</f>
        <v>Doctors Retention Scheme Payments</v>
      </c>
      <c r="LY134" s="518"/>
      <c r="LZ134" s="461">
        <f>'N - GMS'!C134</f>
        <v>97</v>
      </c>
      <c r="MA134" s="2230">
        <f>'N - GMS'!D134</f>
        <v>0</v>
      </c>
      <c r="MB134" s="2230">
        <f>'N - GMS'!E134</f>
        <v>0</v>
      </c>
      <c r="MC134" s="2230">
        <f>'N - GMS'!F134</f>
        <v>0</v>
      </c>
      <c r="MD134" s="2230">
        <f>'N - GMS'!G134</f>
        <v>0</v>
      </c>
      <c r="ME134" s="1170"/>
      <c r="MF134" s="2459">
        <f>'N - GMS'!I134</f>
        <v>0</v>
      </c>
      <c r="MR134" s="684"/>
      <c r="MS134" s="684"/>
      <c r="MT134" s="684"/>
      <c r="MU134" s="684"/>
      <c r="MV134" s="684"/>
      <c r="MW134" s="684"/>
      <c r="MX134" s="684"/>
      <c r="MY134" s="684"/>
      <c r="MZ134" s="684"/>
      <c r="NA134" s="684"/>
      <c r="NB134" s="684"/>
      <c r="NC134" s="684"/>
      <c r="ND134" s="684"/>
      <c r="NE134" s="684"/>
      <c r="NF134" s="684"/>
      <c r="NG134" s="684"/>
      <c r="NH134" s="684"/>
      <c r="NI134" s="684"/>
      <c r="NJ134" s="684"/>
      <c r="NK134" s="684"/>
    </row>
    <row r="135" spans="57:375" ht="20.149999999999999" customHeight="1" thickBot="1">
      <c r="BV135" s="2594"/>
      <c r="BX135" s="144">
        <f>' Table Z Net Exp Profiles'!A135</f>
        <v>98</v>
      </c>
      <c r="BY135" s="1273" t="str">
        <f>' Table Z Net Exp Profiles'!B135</f>
        <v>Total CHC / FNC Savings - Current Plan</v>
      </c>
      <c r="BZ135" s="1293">
        <f>' Table Z Net Exp Profiles'!C135</f>
        <v>0</v>
      </c>
      <c r="CA135" s="1294">
        <f>' Table Z Net Exp Profiles'!D135</f>
        <v>0</v>
      </c>
      <c r="CB135" s="1294">
        <f>' Table Z Net Exp Profiles'!E135</f>
        <v>0</v>
      </c>
      <c r="CC135" s="1294">
        <f>' Table Z Net Exp Profiles'!F135</f>
        <v>0</v>
      </c>
      <c r="CD135" s="1294">
        <f>' Table Z Net Exp Profiles'!G135</f>
        <v>0</v>
      </c>
      <c r="CE135" s="1294">
        <f>' Table Z Net Exp Profiles'!H135</f>
        <v>0</v>
      </c>
      <c r="CF135" s="1294">
        <f>' Table Z Net Exp Profiles'!I135</f>
        <v>0</v>
      </c>
      <c r="CG135" s="1294">
        <f>' Table Z Net Exp Profiles'!J135</f>
        <v>0</v>
      </c>
      <c r="CH135" s="1294">
        <f>' Table Z Net Exp Profiles'!K135</f>
        <v>0</v>
      </c>
      <c r="CI135" s="1294">
        <f>' Table Z Net Exp Profiles'!L135</f>
        <v>0</v>
      </c>
      <c r="CJ135" s="1294">
        <f>' Table Z Net Exp Profiles'!M135</f>
        <v>0</v>
      </c>
      <c r="CK135" s="1295">
        <f>' Table Z Net Exp Profiles'!N135</f>
        <v>0</v>
      </c>
      <c r="CL135" s="1232">
        <f>' Table Z Net Exp Profiles'!O135</f>
        <v>0</v>
      </c>
      <c r="CM135" s="1101">
        <f>' Table Z Net Exp Profiles'!P135</f>
        <v>0</v>
      </c>
      <c r="DF135" s="2730" t="str">
        <f>'B3 - COVID-19'!A135</f>
        <v>Nosocomial, PPE, Long Covid &amp; Other - Funding/Income</v>
      </c>
      <c r="DG135" s="2819"/>
      <c r="DH135" s="1918"/>
      <c r="DI135" s="1918"/>
      <c r="DJ135" s="1918"/>
      <c r="DK135" s="1918"/>
      <c r="DL135" s="1918"/>
      <c r="DM135" s="1918"/>
      <c r="DN135" s="1918"/>
      <c r="DO135" s="1918"/>
      <c r="DP135" s="1918"/>
      <c r="DQ135" s="1918"/>
      <c r="DR135" s="1918"/>
      <c r="DS135" s="1918"/>
      <c r="DT135" s="1918"/>
      <c r="DU135" s="1918"/>
      <c r="DV135" s="608"/>
      <c r="DW135" s="1116"/>
      <c r="DY135" s="2095">
        <f>'C, C1, C2&amp; C3 - Savings Schemes'!A135</f>
        <v>26</v>
      </c>
      <c r="DZ135" s="3039"/>
      <c r="EA135" s="90" t="str">
        <f>'C, C1, C2&amp; C3 - Savings Schemes'!C135</f>
        <v>Actual/F'cast</v>
      </c>
      <c r="EB135" s="2643">
        <f>'C, C1, C2&amp; C3 - Savings Schemes'!D135</f>
        <v>0</v>
      </c>
      <c r="EC135" s="2643">
        <f>'C, C1, C2&amp; C3 - Savings Schemes'!E135</f>
        <v>0</v>
      </c>
      <c r="ED135" s="2643">
        <f>'C, C1, C2&amp; C3 - Savings Schemes'!F135</f>
        <v>0</v>
      </c>
      <c r="EE135" s="2643">
        <f>'C, C1, C2&amp; C3 - Savings Schemes'!G135</f>
        <v>0</v>
      </c>
      <c r="EF135" s="2643">
        <f>'C, C1, C2&amp; C3 - Savings Schemes'!H135</f>
        <v>0</v>
      </c>
      <c r="EG135" s="2643">
        <f>'C, C1, C2&amp; C3 - Savings Schemes'!I135</f>
        <v>0</v>
      </c>
      <c r="EH135" s="2643">
        <f>'C, C1, C2&amp; C3 - Savings Schemes'!J135</f>
        <v>0</v>
      </c>
      <c r="EI135" s="2643">
        <f>'C, C1, C2&amp; C3 - Savings Schemes'!K135</f>
        <v>0</v>
      </c>
      <c r="EJ135" s="2643">
        <f>'C, C1, C2&amp; C3 - Savings Schemes'!L135</f>
        <v>0</v>
      </c>
      <c r="EK135" s="2643">
        <f>'C, C1, C2&amp; C3 - Savings Schemes'!M135</f>
        <v>0</v>
      </c>
      <c r="EL135" s="2643">
        <f>'C, C1, C2&amp; C3 - Savings Schemes'!N135</f>
        <v>0</v>
      </c>
      <c r="EM135" s="2643">
        <f>'C, C1, C2&amp; C3 - Savings Schemes'!O135</f>
        <v>0</v>
      </c>
      <c r="EN135" s="2644">
        <f>'C, C1, C2&amp; C3 - Savings Schemes'!P135</f>
        <v>0</v>
      </c>
      <c r="EO135" s="2644">
        <f>'C, C1, C2&amp; C3 - Savings Schemes'!Q135</f>
        <v>0</v>
      </c>
      <c r="JD135" s="1745"/>
      <c r="JE135" s="1745"/>
      <c r="JF135" s="1745"/>
      <c r="JG135" s="1745"/>
      <c r="JH135" s="1745"/>
      <c r="JI135" s="2087"/>
      <c r="JJ135" s="1745"/>
      <c r="JK135" s="1745"/>
      <c r="JL135" s="1745"/>
      <c r="JM135" s="1944"/>
      <c r="JN135" s="1944"/>
      <c r="JO135" s="1944"/>
      <c r="LL135" s="814"/>
      <c r="LM135" s="2197">
        <f>'M - Aged Debtors'!B135</f>
        <v>0</v>
      </c>
      <c r="LN135" s="2198">
        <f>'M - Aged Debtors'!C135</f>
        <v>0</v>
      </c>
      <c r="LO135" s="2199">
        <f>'M - Aged Debtors'!D135</f>
        <v>0</v>
      </c>
      <c r="LP135" s="2200">
        <f>'M - Aged Debtors'!E135</f>
        <v>0</v>
      </c>
      <c r="LQ135" s="2201">
        <f>'M - Aged Debtors'!F135</f>
        <v>0</v>
      </c>
      <c r="LR135" s="832" t="str">
        <f>'M - Aged Debtors'!G135</f>
        <v/>
      </c>
      <c r="LS135" s="829" t="str">
        <f>'M - Aged Debtors'!H135</f>
        <v/>
      </c>
      <c r="LT135" s="829" t="str">
        <f>'M - Aged Debtors'!I135</f>
        <v/>
      </c>
      <c r="LU135" s="830" t="str">
        <f>'M - Aged Debtors'!J135</f>
        <v/>
      </c>
      <c r="LV135" s="1830">
        <f>'M - Aged Debtors'!K135</f>
        <v>0</v>
      </c>
      <c r="LX135" s="462" t="str">
        <f>'N - GMS'!A135</f>
        <v>Locum Allowances consists of adoptive, paternity &amp; maternity</v>
      </c>
      <c r="LY135" s="518"/>
      <c r="LZ135" s="461">
        <f>'N - GMS'!C135</f>
        <v>98</v>
      </c>
      <c r="MA135" s="2230">
        <f>'N - GMS'!D135</f>
        <v>0</v>
      </c>
      <c r="MB135" s="2230">
        <f>'N - GMS'!E135</f>
        <v>0</v>
      </c>
      <c r="MC135" s="2230">
        <f>'N - GMS'!F135</f>
        <v>0</v>
      </c>
      <c r="MD135" s="2230">
        <f>'N - GMS'!G135</f>
        <v>0</v>
      </c>
      <c r="ME135" s="1170"/>
      <c r="MF135" s="2459">
        <f>'N - GMS'!I135</f>
        <v>0</v>
      </c>
      <c r="MR135" s="684"/>
      <c r="MS135" s="684"/>
      <c r="MT135" s="684"/>
      <c r="MU135" s="684"/>
      <c r="MV135" s="684"/>
      <c r="MW135" s="684"/>
      <c r="MX135" s="684"/>
      <c r="MY135" s="684"/>
      <c r="MZ135" s="684"/>
      <c r="NA135" s="684"/>
      <c r="NB135" s="684"/>
      <c r="NC135" s="684"/>
      <c r="ND135" s="684"/>
      <c r="NE135" s="684"/>
      <c r="NF135" s="684"/>
      <c r="NG135" s="684"/>
      <c r="NH135" s="684"/>
      <c r="NI135" s="684"/>
      <c r="NJ135" s="684"/>
      <c r="NK135" s="684"/>
    </row>
    <row r="136" spans="57:375" ht="20.149999999999999" customHeight="1" thickBot="1">
      <c r="BX136" s="1191">
        <f>' Table Z Net Exp Profiles'!A136</f>
        <v>99</v>
      </c>
      <c r="BY136" s="1271" t="str">
        <f>' Table Z Net Exp Profiles'!B136</f>
        <v>CHC / FNC Savings - Actual/Forecast</v>
      </c>
      <c r="BZ136" s="1296">
        <f>' Table Z Net Exp Profiles'!C136</f>
        <v>0</v>
      </c>
      <c r="CA136" s="1297">
        <f>' Table Z Net Exp Profiles'!D136</f>
        <v>0</v>
      </c>
      <c r="CB136" s="1297">
        <f>' Table Z Net Exp Profiles'!E136</f>
        <v>0</v>
      </c>
      <c r="CC136" s="1297">
        <f>' Table Z Net Exp Profiles'!F136</f>
        <v>0</v>
      </c>
      <c r="CD136" s="1297">
        <f>' Table Z Net Exp Profiles'!G136</f>
        <v>0</v>
      </c>
      <c r="CE136" s="1297">
        <f>' Table Z Net Exp Profiles'!H136</f>
        <v>0</v>
      </c>
      <c r="CF136" s="1297">
        <f>' Table Z Net Exp Profiles'!I136</f>
        <v>0</v>
      </c>
      <c r="CG136" s="1297">
        <f>' Table Z Net Exp Profiles'!J136</f>
        <v>0</v>
      </c>
      <c r="CH136" s="1297">
        <f>' Table Z Net Exp Profiles'!K136</f>
        <v>0</v>
      </c>
      <c r="CI136" s="1297">
        <f>' Table Z Net Exp Profiles'!L136</f>
        <v>0</v>
      </c>
      <c r="CJ136" s="1297">
        <f>' Table Z Net Exp Profiles'!M136</f>
        <v>0</v>
      </c>
      <c r="CK136" s="1298">
        <f>' Table Z Net Exp Profiles'!N136</f>
        <v>0</v>
      </c>
      <c r="CL136" s="1233">
        <f>' Table Z Net Exp Profiles'!O136</f>
        <v>0</v>
      </c>
      <c r="CM136" s="1215">
        <f>' Table Z Net Exp Profiles'!P136</f>
        <v>0</v>
      </c>
      <c r="DF136" s="1308"/>
      <c r="DG136" s="2819"/>
      <c r="DH136" s="1918"/>
      <c r="DI136" s="1918"/>
      <c r="DJ136" s="1918"/>
      <c r="DK136" s="1918"/>
      <c r="DL136" s="1918"/>
      <c r="DM136" s="1918"/>
      <c r="DN136" s="1918"/>
      <c r="DO136" s="1918"/>
      <c r="DP136" s="1918"/>
      <c r="DQ136" s="1918"/>
      <c r="DR136" s="1918"/>
      <c r="DS136" s="1918"/>
      <c r="DT136" s="1918"/>
      <c r="DU136" s="1918"/>
      <c r="DV136" s="608"/>
      <c r="DW136" s="1116"/>
      <c r="DY136" s="2095">
        <f>'C, C1, C2&amp; C3 - Savings Schemes'!A136</f>
        <v>27</v>
      </c>
      <c r="DZ136" s="3040"/>
      <c r="EA136" s="92" t="str">
        <f>'C, C1, C2&amp; C3 - Savings Schemes'!C136</f>
        <v>Variance</v>
      </c>
      <c r="EB136" s="2644">
        <f>'C, C1, C2&amp; C3 - Savings Schemes'!D136</f>
        <v>0</v>
      </c>
      <c r="EC136" s="2644">
        <f>'C, C1, C2&amp; C3 - Savings Schemes'!E136</f>
        <v>0</v>
      </c>
      <c r="ED136" s="2644">
        <f>'C, C1, C2&amp; C3 - Savings Schemes'!F136</f>
        <v>0</v>
      </c>
      <c r="EE136" s="2644">
        <f>'C, C1, C2&amp; C3 - Savings Schemes'!G136</f>
        <v>0</v>
      </c>
      <c r="EF136" s="2644">
        <f>'C, C1, C2&amp; C3 - Savings Schemes'!H136</f>
        <v>0</v>
      </c>
      <c r="EG136" s="2644">
        <f>'C, C1, C2&amp; C3 - Savings Schemes'!I136</f>
        <v>0</v>
      </c>
      <c r="EH136" s="2644">
        <f>'C, C1, C2&amp; C3 - Savings Schemes'!J136</f>
        <v>0</v>
      </c>
      <c r="EI136" s="2644">
        <f>'C, C1, C2&amp; C3 - Savings Schemes'!K136</f>
        <v>0</v>
      </c>
      <c r="EJ136" s="2644">
        <f>'C, C1, C2&amp; C3 - Savings Schemes'!L136</f>
        <v>0</v>
      </c>
      <c r="EK136" s="2644">
        <f>'C, C1, C2&amp; C3 - Savings Schemes'!M136</f>
        <v>0</v>
      </c>
      <c r="EL136" s="2644">
        <f>'C, C1, C2&amp; C3 - Savings Schemes'!N136</f>
        <v>0</v>
      </c>
      <c r="EM136" s="2644">
        <f>'C, C1, C2&amp; C3 - Savings Schemes'!O136</f>
        <v>0</v>
      </c>
      <c r="EN136" s="2644">
        <f>'C, C1, C2&amp; C3 - Savings Schemes'!P136</f>
        <v>0</v>
      </c>
      <c r="EO136" s="2644">
        <f>'C, C1, C2&amp; C3 - Savings Schemes'!Q136</f>
        <v>0</v>
      </c>
      <c r="JD136" s="1745"/>
      <c r="JE136" s="1745"/>
      <c r="JF136" s="1745"/>
      <c r="JG136" s="1745"/>
      <c r="JH136" s="1745"/>
      <c r="JI136" s="2087"/>
      <c r="JJ136" s="1745"/>
      <c r="JK136" s="1745"/>
      <c r="JL136" s="1745"/>
      <c r="JM136" s="1944"/>
      <c r="JN136" s="1944"/>
      <c r="JO136" s="1944"/>
      <c r="LL136" s="814"/>
      <c r="LM136" s="2197">
        <f>'M - Aged Debtors'!B136</f>
        <v>0</v>
      </c>
      <c r="LN136" s="2198">
        <f>'M - Aged Debtors'!C136</f>
        <v>0</v>
      </c>
      <c r="LO136" s="2199">
        <f>'M - Aged Debtors'!D136</f>
        <v>0</v>
      </c>
      <c r="LP136" s="2200">
        <f>'M - Aged Debtors'!E136</f>
        <v>0</v>
      </c>
      <c r="LQ136" s="2201">
        <f>'M - Aged Debtors'!F136</f>
        <v>0</v>
      </c>
      <c r="LR136" s="832" t="str">
        <f>'M - Aged Debtors'!G136</f>
        <v/>
      </c>
      <c r="LS136" s="829" t="str">
        <f>'M - Aged Debtors'!H136</f>
        <v/>
      </c>
      <c r="LT136" s="829" t="str">
        <f>'M - Aged Debtors'!I136</f>
        <v/>
      </c>
      <c r="LU136" s="830" t="str">
        <f>'M - Aged Debtors'!J136</f>
        <v/>
      </c>
      <c r="LV136" s="1830">
        <f>'M - Aged Debtors'!K136</f>
        <v>0</v>
      </c>
      <c r="LX136" s="459" t="str">
        <f>'N - GMS'!A136</f>
        <v>Locum Allowances : Cover for Sick Leave</v>
      </c>
      <c r="LY136" s="518"/>
      <c r="LZ136" s="461">
        <f>'N - GMS'!C136</f>
        <v>99</v>
      </c>
      <c r="MA136" s="2230">
        <f>'N - GMS'!D136</f>
        <v>0</v>
      </c>
      <c r="MB136" s="2230">
        <f>'N - GMS'!E136</f>
        <v>0</v>
      </c>
      <c r="MC136" s="2230">
        <f>'N - GMS'!F136</f>
        <v>0</v>
      </c>
      <c r="MD136" s="2230">
        <f>'N - GMS'!G136</f>
        <v>0</v>
      </c>
      <c r="ME136" s="1170"/>
      <c r="MF136" s="2459">
        <f>'N - GMS'!I136</f>
        <v>0</v>
      </c>
      <c r="MR136" s="684"/>
      <c r="MS136" s="684"/>
      <c r="MT136" s="684"/>
      <c r="MU136" s="684"/>
      <c r="MV136" s="684"/>
      <c r="MW136" s="684"/>
      <c r="MX136" s="684"/>
      <c r="MY136" s="684"/>
      <c r="MZ136" s="684"/>
      <c r="NA136" s="684"/>
      <c r="NB136" s="684"/>
      <c r="NC136" s="684"/>
      <c r="ND136" s="684"/>
      <c r="NE136" s="684"/>
      <c r="NF136" s="684"/>
      <c r="NG136" s="684"/>
      <c r="NH136" s="684"/>
      <c r="NI136" s="684"/>
      <c r="NJ136" s="684"/>
      <c r="NK136" s="684"/>
    </row>
    <row r="137" spans="57:375" ht="20.149999999999999" customHeight="1" thickBot="1">
      <c r="BX137" s="1191">
        <f>' Table Z Net Exp Profiles'!A137</f>
        <v>100</v>
      </c>
      <c r="BY137" s="2500" t="str">
        <f>' Table Z Net Exp Profiles'!B137</f>
        <v>Non Delivery of Finalised (M1) CHC / FNC Savings due to Covid-19 - Actual/Forecast (Negative Values)</v>
      </c>
      <c r="BZ137" s="2501">
        <f>' Table Z Net Exp Profiles'!C137</f>
        <v>0</v>
      </c>
      <c r="CA137" s="1189">
        <f>' Table Z Net Exp Profiles'!D137</f>
        <v>0</v>
      </c>
      <c r="CB137" s="1189">
        <f>' Table Z Net Exp Profiles'!E137</f>
        <v>0</v>
      </c>
      <c r="CC137" s="1189">
        <f>' Table Z Net Exp Profiles'!F137</f>
        <v>0</v>
      </c>
      <c r="CD137" s="1189">
        <f>' Table Z Net Exp Profiles'!G137</f>
        <v>0</v>
      </c>
      <c r="CE137" s="1189">
        <f>' Table Z Net Exp Profiles'!H137</f>
        <v>0</v>
      </c>
      <c r="CF137" s="1189">
        <f>' Table Z Net Exp Profiles'!I137</f>
        <v>0</v>
      </c>
      <c r="CG137" s="1189">
        <f>' Table Z Net Exp Profiles'!J137</f>
        <v>0</v>
      </c>
      <c r="CH137" s="1189">
        <f>' Table Z Net Exp Profiles'!K137</f>
        <v>0</v>
      </c>
      <c r="CI137" s="1189">
        <f>' Table Z Net Exp Profiles'!L137</f>
        <v>0</v>
      </c>
      <c r="CJ137" s="1189">
        <f>' Table Z Net Exp Profiles'!M137</f>
        <v>0</v>
      </c>
      <c r="CK137" s="1189">
        <f>' Table Z Net Exp Profiles'!N137</f>
        <v>0</v>
      </c>
      <c r="CL137" s="1692">
        <f>' Table Z Net Exp Profiles'!O137</f>
        <v>0</v>
      </c>
      <c r="CM137" s="1692">
        <f>' Table Z Net Exp Profiles'!P137</f>
        <v>0</v>
      </c>
      <c r="DF137" s="1910">
        <f>'B3 - COVID-19'!A137</f>
        <v>102</v>
      </c>
      <c r="DG137" s="2821" t="str">
        <f>'B3 - COVID-19'!B137</f>
        <v>Planned Funding</v>
      </c>
      <c r="DH137" s="2489">
        <f>'B3 - COVID-19'!C137</f>
        <v>0</v>
      </c>
      <c r="DI137" s="2490">
        <f>'B3 - COVID-19'!D137</f>
        <v>0</v>
      </c>
      <c r="DJ137" s="2490">
        <f>'B3 - COVID-19'!E137</f>
        <v>0</v>
      </c>
      <c r="DK137" s="2490">
        <f>'B3 - COVID-19'!F137</f>
        <v>0</v>
      </c>
      <c r="DL137" s="2490">
        <f>'B3 - COVID-19'!G137</f>
        <v>0</v>
      </c>
      <c r="DM137" s="2490">
        <f>'B3 - COVID-19'!H137</f>
        <v>0</v>
      </c>
      <c r="DN137" s="2490">
        <f>'B3 - COVID-19'!I137</f>
        <v>0</v>
      </c>
      <c r="DO137" s="2490">
        <f>'B3 - COVID-19'!J137</f>
        <v>0</v>
      </c>
      <c r="DP137" s="2490">
        <f>'B3 - COVID-19'!K137</f>
        <v>0</v>
      </c>
      <c r="DQ137" s="2490">
        <f>'B3 - COVID-19'!L137</f>
        <v>0</v>
      </c>
      <c r="DR137" s="2490">
        <f>'B3 - COVID-19'!M137</f>
        <v>0</v>
      </c>
      <c r="DS137" s="2491">
        <f>'B3 - COVID-19'!N137</f>
        <v>0</v>
      </c>
      <c r="DT137" s="2797">
        <f>'B3 - COVID-19'!O137</f>
        <v>0</v>
      </c>
      <c r="DU137" s="2794">
        <f>'B3 - COVID-19'!P137</f>
        <v>0</v>
      </c>
      <c r="DV137" s="608"/>
      <c r="DW137" s="1116"/>
      <c r="DY137" s="2111">
        <f>'C, C1, C2&amp; C3 - Savings Schemes'!A137</f>
        <v>28</v>
      </c>
      <c r="DZ137" s="3038" t="str">
        <f>'C, C1, C2&amp; C3 - Savings Schemes'!B137</f>
        <v>Total</v>
      </c>
      <c r="EA137" s="87" t="str">
        <f>'C, C1, C2&amp; C3 - Savings Schemes'!C137</f>
        <v>Budget/Plan</v>
      </c>
      <c r="EB137" s="2644">
        <f>'C, C1, C2&amp; C3 - Savings Schemes'!D137</f>
        <v>1244.4166666666665</v>
      </c>
      <c r="EC137" s="2644">
        <f>'C, C1, C2&amp; C3 - Savings Schemes'!E137</f>
        <v>175.41666666666666</v>
      </c>
      <c r="ED137" s="2644">
        <f>'C, C1, C2&amp; C3 - Savings Schemes'!F137</f>
        <v>175.41666666666666</v>
      </c>
      <c r="EE137" s="2644">
        <f>'C, C1, C2&amp; C3 - Savings Schemes'!G137</f>
        <v>175.41666666666666</v>
      </c>
      <c r="EF137" s="2644">
        <f>'C, C1, C2&amp; C3 - Savings Schemes'!H137</f>
        <v>175.41666666666666</v>
      </c>
      <c r="EG137" s="2644">
        <f>'C, C1, C2&amp; C3 - Savings Schemes'!I137</f>
        <v>175.41666666666666</v>
      </c>
      <c r="EH137" s="2644">
        <f>'C, C1, C2&amp; C3 - Savings Schemes'!J137</f>
        <v>175.41666666666666</v>
      </c>
      <c r="EI137" s="2644">
        <f>'C, C1, C2&amp; C3 - Savings Schemes'!K137</f>
        <v>175.41666666666666</v>
      </c>
      <c r="EJ137" s="2644">
        <f>'C, C1, C2&amp; C3 - Savings Schemes'!L137</f>
        <v>175.41666666666666</v>
      </c>
      <c r="EK137" s="2644">
        <f>'C, C1, C2&amp; C3 - Savings Schemes'!M137</f>
        <v>175.41666666666666</v>
      </c>
      <c r="EL137" s="2644">
        <f>'C, C1, C2&amp; C3 - Savings Schemes'!N137</f>
        <v>175.41666666666666</v>
      </c>
      <c r="EM137" s="2644">
        <f>'C, C1, C2&amp; C3 - Savings Schemes'!O137</f>
        <v>175.41666666666666</v>
      </c>
      <c r="EN137" s="2644">
        <f>'C, C1, C2&amp; C3 - Savings Schemes'!P137</f>
        <v>1244.4166666666665</v>
      </c>
      <c r="EO137" s="2644">
        <f>'C, C1, C2&amp; C3 - Savings Schemes'!Q137</f>
        <v>3173.9999999999991</v>
      </c>
      <c r="LL137" s="814"/>
      <c r="LM137" s="2197">
        <f>'M - Aged Debtors'!B137</f>
        <v>0</v>
      </c>
      <c r="LN137" s="2198">
        <f>'M - Aged Debtors'!C137</f>
        <v>0</v>
      </c>
      <c r="LO137" s="2199">
        <f>'M - Aged Debtors'!D137</f>
        <v>0</v>
      </c>
      <c r="LP137" s="2200">
        <f>'M - Aged Debtors'!E137</f>
        <v>0</v>
      </c>
      <c r="LQ137" s="2201">
        <f>'M - Aged Debtors'!F137</f>
        <v>0</v>
      </c>
      <c r="LR137" s="832" t="str">
        <f>'M - Aged Debtors'!G137</f>
        <v/>
      </c>
      <c r="LS137" s="829" t="str">
        <f>'M - Aged Debtors'!H137</f>
        <v/>
      </c>
      <c r="LT137" s="829" t="str">
        <f>'M - Aged Debtors'!I137</f>
        <v/>
      </c>
      <c r="LU137" s="830" t="str">
        <f>'M - Aged Debtors'!J137</f>
        <v/>
      </c>
      <c r="LV137" s="1830">
        <f>'M - Aged Debtors'!K137</f>
        <v>0</v>
      </c>
      <c r="LX137" s="459" t="str">
        <f>'N - GMS'!A137</f>
        <v>Locum Allowances : Cover For Suspended Doctors</v>
      </c>
      <c r="LY137" s="518"/>
      <c r="LZ137" s="461">
        <f>'N - GMS'!C137</f>
        <v>100</v>
      </c>
      <c r="MA137" s="2230">
        <f>'N - GMS'!D137</f>
        <v>0</v>
      </c>
      <c r="MB137" s="2230">
        <f>'N - GMS'!E137</f>
        <v>0</v>
      </c>
      <c r="MC137" s="2230">
        <f>'N - GMS'!F137</f>
        <v>0</v>
      </c>
      <c r="MD137" s="2230">
        <f>'N - GMS'!G137</f>
        <v>0</v>
      </c>
      <c r="ME137" s="1170"/>
      <c r="MF137" s="1780">
        <f>'N - GMS'!I137</f>
        <v>0</v>
      </c>
      <c r="MR137" s="684"/>
      <c r="MS137" s="684"/>
      <c r="MT137" s="684"/>
      <c r="MU137" s="684"/>
      <c r="MV137" s="684"/>
      <c r="MW137" s="684"/>
      <c r="MX137" s="684"/>
      <c r="MY137" s="684"/>
      <c r="MZ137" s="684"/>
      <c r="NA137" s="684"/>
      <c r="NB137" s="684"/>
      <c r="NC137" s="684"/>
      <c r="ND137" s="684"/>
      <c r="NE137" s="684"/>
      <c r="NF137" s="684"/>
      <c r="NG137" s="684"/>
      <c r="NH137" s="684"/>
      <c r="NI137" s="684"/>
      <c r="NJ137" s="684"/>
      <c r="NK137" s="684"/>
    </row>
    <row r="138" spans="57:375" ht="20.149999999999999" customHeight="1" thickBot="1">
      <c r="BX138" s="144">
        <f>' Table Z Net Exp Profiles'!A138</f>
        <v>101</v>
      </c>
      <c r="BY138" s="1272" t="str">
        <f>' Table Z Net Exp Profiles'!B138</f>
        <v>CHC / FNC Savings Movement Not due to Covid-19</v>
      </c>
      <c r="BZ138" s="1218">
        <f>' Table Z Net Exp Profiles'!C138</f>
        <v>0</v>
      </c>
      <c r="CA138" s="1219">
        <f>' Table Z Net Exp Profiles'!D138</f>
        <v>0</v>
      </c>
      <c r="CB138" s="1219">
        <f>' Table Z Net Exp Profiles'!E138</f>
        <v>0</v>
      </c>
      <c r="CC138" s="1219">
        <f>' Table Z Net Exp Profiles'!F138</f>
        <v>0</v>
      </c>
      <c r="CD138" s="1219">
        <f>' Table Z Net Exp Profiles'!G138</f>
        <v>0</v>
      </c>
      <c r="CE138" s="1219">
        <f>' Table Z Net Exp Profiles'!H138</f>
        <v>0</v>
      </c>
      <c r="CF138" s="1219">
        <f>' Table Z Net Exp Profiles'!I138</f>
        <v>0</v>
      </c>
      <c r="CG138" s="1219">
        <f>' Table Z Net Exp Profiles'!J138</f>
        <v>0</v>
      </c>
      <c r="CH138" s="1219">
        <f>' Table Z Net Exp Profiles'!K138</f>
        <v>0</v>
      </c>
      <c r="CI138" s="1219">
        <f>' Table Z Net Exp Profiles'!L138</f>
        <v>0</v>
      </c>
      <c r="CJ138" s="1219">
        <f>' Table Z Net Exp Profiles'!M138</f>
        <v>0</v>
      </c>
      <c r="CK138" s="1362">
        <f>' Table Z Net Exp Profiles'!N138</f>
        <v>0</v>
      </c>
      <c r="CL138" s="1101">
        <f>' Table Z Net Exp Profiles'!O138</f>
        <v>0</v>
      </c>
      <c r="CM138" s="1101">
        <f>' Table Z Net Exp Profiles'!P138</f>
        <v>0</v>
      </c>
      <c r="DF138" s="2748">
        <f>'B3 - COVID-19'!A138</f>
        <v>103</v>
      </c>
      <c r="DG138" s="2834" t="str">
        <f>'B3 - COVID-19'!B138</f>
        <v>Actual/Forecast Funding for C19 Nosocomial, PPE, Long Covid &amp; Other</v>
      </c>
      <c r="DH138" s="1331">
        <f>'B3 - COVID-19'!C138</f>
        <v>0</v>
      </c>
      <c r="DI138" s="1326">
        <f>'B3 - COVID-19'!D138</f>
        <v>0</v>
      </c>
      <c r="DJ138" s="1326">
        <f>'B3 - COVID-19'!E138</f>
        <v>0</v>
      </c>
      <c r="DK138" s="1326">
        <f>'B3 - COVID-19'!F138</f>
        <v>0</v>
      </c>
      <c r="DL138" s="1326">
        <f>'B3 - COVID-19'!G138</f>
        <v>0</v>
      </c>
      <c r="DM138" s="1326">
        <f>'B3 - COVID-19'!H138</f>
        <v>0</v>
      </c>
      <c r="DN138" s="1326">
        <f>'B3 - COVID-19'!I138</f>
        <v>0</v>
      </c>
      <c r="DO138" s="1326">
        <f>'B3 - COVID-19'!J138</f>
        <v>0</v>
      </c>
      <c r="DP138" s="1326">
        <f>'B3 - COVID-19'!K138</f>
        <v>0</v>
      </c>
      <c r="DQ138" s="1326">
        <f>'B3 - COVID-19'!L138</f>
        <v>0</v>
      </c>
      <c r="DR138" s="1326">
        <f>'B3 - COVID-19'!M138</f>
        <v>0</v>
      </c>
      <c r="DS138" s="1335">
        <f>'B3 - COVID-19'!N138</f>
        <v>0</v>
      </c>
      <c r="DT138" s="2754">
        <f>'B3 - COVID-19'!O138</f>
        <v>0</v>
      </c>
      <c r="DU138" s="2756">
        <f>'B3 - COVID-19'!P138</f>
        <v>0</v>
      </c>
      <c r="DV138" s="608"/>
      <c r="DW138" s="1116"/>
      <c r="DY138" s="2095">
        <f>'C, C1, C2&amp; C3 - Savings Schemes'!A138</f>
        <v>29</v>
      </c>
      <c r="DZ138" s="3039"/>
      <c r="EA138" s="90" t="str">
        <f>'C, C1, C2&amp; C3 - Savings Schemes'!C138</f>
        <v>Actual/F'cast</v>
      </c>
      <c r="EB138" s="2644">
        <f>'C, C1, C2&amp; C3 - Savings Schemes'!D138</f>
        <v>1244.4166666666665</v>
      </c>
      <c r="EC138" s="2644">
        <f>'C, C1, C2&amp; C3 - Savings Schemes'!E138</f>
        <v>175.41666666666666</v>
      </c>
      <c r="ED138" s="2644">
        <f>'C, C1, C2&amp; C3 - Savings Schemes'!F138</f>
        <v>175.41666666666666</v>
      </c>
      <c r="EE138" s="2644">
        <f>'C, C1, C2&amp; C3 - Savings Schemes'!G138</f>
        <v>175.41666666666666</v>
      </c>
      <c r="EF138" s="2644">
        <f>'C, C1, C2&amp; C3 - Savings Schemes'!H138</f>
        <v>175.41666666666666</v>
      </c>
      <c r="EG138" s="2644">
        <f>'C, C1, C2&amp; C3 - Savings Schemes'!I138</f>
        <v>175.41666666666666</v>
      </c>
      <c r="EH138" s="2644">
        <f>'C, C1, C2&amp; C3 - Savings Schemes'!J138</f>
        <v>175.41666666666666</v>
      </c>
      <c r="EI138" s="2644">
        <f>'C, C1, C2&amp; C3 - Savings Schemes'!K138</f>
        <v>175.41666666666666</v>
      </c>
      <c r="EJ138" s="2644">
        <f>'C, C1, C2&amp; C3 - Savings Schemes'!L138</f>
        <v>175.41666666666666</v>
      </c>
      <c r="EK138" s="2644">
        <f>'C, C1, C2&amp; C3 - Savings Schemes'!M138</f>
        <v>175.41666666666666</v>
      </c>
      <c r="EL138" s="2644">
        <f>'C, C1, C2&amp; C3 - Savings Schemes'!N138</f>
        <v>175.41666666666666</v>
      </c>
      <c r="EM138" s="2644">
        <f>'C, C1, C2&amp; C3 - Savings Schemes'!O138</f>
        <v>175.41666666666666</v>
      </c>
      <c r="EN138" s="2644">
        <f>'C, C1, C2&amp; C3 - Savings Schemes'!P138</f>
        <v>1244.4166666666665</v>
      </c>
      <c r="EO138" s="2644">
        <f>'C, C1, C2&amp; C3 - Savings Schemes'!Q138</f>
        <v>3173.9999999999991</v>
      </c>
      <c r="LL138" s="814"/>
      <c r="LM138" s="2197">
        <f>'M - Aged Debtors'!B138</f>
        <v>0</v>
      </c>
      <c r="LN138" s="2198">
        <f>'M - Aged Debtors'!C138</f>
        <v>0</v>
      </c>
      <c r="LO138" s="2199">
        <f>'M - Aged Debtors'!D138</f>
        <v>0</v>
      </c>
      <c r="LP138" s="2200">
        <f>'M - Aged Debtors'!E138</f>
        <v>0</v>
      </c>
      <c r="LQ138" s="2201">
        <f>'M - Aged Debtors'!F138</f>
        <v>0</v>
      </c>
      <c r="LR138" s="832" t="str">
        <f>'M - Aged Debtors'!G138</f>
        <v/>
      </c>
      <c r="LS138" s="829" t="str">
        <f>'M - Aged Debtors'!H138</f>
        <v/>
      </c>
      <c r="LT138" s="829" t="str">
        <f>'M - Aged Debtors'!I138</f>
        <v/>
      </c>
      <c r="LU138" s="830" t="str">
        <f>'M - Aged Debtors'!J138</f>
        <v/>
      </c>
      <c r="LV138" s="1830">
        <f>'M - Aged Debtors'!K138</f>
        <v>0</v>
      </c>
      <c r="LX138" s="459" t="str">
        <f>'N - GMS'!A138</f>
        <v>Prolonged Study Leave</v>
      </c>
      <c r="LY138" s="518"/>
      <c r="LZ138" s="461">
        <f>'N - GMS'!C138</f>
        <v>101</v>
      </c>
      <c r="MA138" s="2230">
        <f>'N - GMS'!D138</f>
        <v>0</v>
      </c>
      <c r="MB138" s="2230">
        <f>'N - GMS'!E138</f>
        <v>0</v>
      </c>
      <c r="MC138" s="2230">
        <f>'N - GMS'!F138</f>
        <v>0</v>
      </c>
      <c r="MD138" s="2230">
        <f>'N - GMS'!G138</f>
        <v>0</v>
      </c>
      <c r="ME138" s="1170"/>
      <c r="MF138" s="2459">
        <f>'N - GMS'!I138</f>
        <v>0</v>
      </c>
      <c r="MR138" s="684"/>
      <c r="MS138" s="684"/>
      <c r="MT138" s="684"/>
      <c r="MU138" s="684"/>
      <c r="MV138" s="684"/>
      <c r="MW138" s="684"/>
      <c r="MX138" s="684"/>
      <c r="MY138" s="684"/>
      <c r="MZ138" s="684"/>
      <c r="NA138" s="684"/>
      <c r="NB138" s="684"/>
      <c r="NC138" s="684"/>
      <c r="ND138" s="684"/>
      <c r="NE138" s="684"/>
      <c r="NF138" s="684"/>
      <c r="NG138" s="684"/>
      <c r="NH138" s="684"/>
      <c r="NI138" s="684"/>
      <c r="NJ138" s="684"/>
      <c r="NK138" s="684"/>
    </row>
    <row r="139" spans="57:375" ht="20.149999999999999" customHeight="1" thickBot="1">
      <c r="BX139" s="91">
        <f>' Table Z Net Exp Profiles'!A139</f>
        <v>102</v>
      </c>
      <c r="BY139" s="92" t="str">
        <f>' Table Z Net Exp Profiles'!B139</f>
        <v>CHC / FNC Accountancy Gains - Actual/Forecast</v>
      </c>
      <c r="BZ139" s="1290">
        <f>' Table Z Net Exp Profiles'!C139</f>
        <v>0</v>
      </c>
      <c r="CA139" s="1291">
        <f>' Table Z Net Exp Profiles'!D139</f>
        <v>0</v>
      </c>
      <c r="CB139" s="1291">
        <f>' Table Z Net Exp Profiles'!E139</f>
        <v>0</v>
      </c>
      <c r="CC139" s="1291">
        <f>' Table Z Net Exp Profiles'!F139</f>
        <v>0</v>
      </c>
      <c r="CD139" s="1291">
        <f>' Table Z Net Exp Profiles'!G139</f>
        <v>0</v>
      </c>
      <c r="CE139" s="1291">
        <f>' Table Z Net Exp Profiles'!H139</f>
        <v>0</v>
      </c>
      <c r="CF139" s="1291">
        <f>' Table Z Net Exp Profiles'!I139</f>
        <v>0</v>
      </c>
      <c r="CG139" s="1291">
        <f>' Table Z Net Exp Profiles'!J139</f>
        <v>0</v>
      </c>
      <c r="CH139" s="1291">
        <f>' Table Z Net Exp Profiles'!K139</f>
        <v>0</v>
      </c>
      <c r="CI139" s="1291">
        <f>' Table Z Net Exp Profiles'!L139</f>
        <v>0</v>
      </c>
      <c r="CJ139" s="1291">
        <f>' Table Z Net Exp Profiles'!M139</f>
        <v>0</v>
      </c>
      <c r="CK139" s="1292">
        <f>' Table Z Net Exp Profiles'!N139</f>
        <v>0</v>
      </c>
      <c r="CL139" s="1215">
        <f>' Table Z Net Exp Profiles'!O139</f>
        <v>0</v>
      </c>
      <c r="CM139" s="1215">
        <f>' Table Z Net Exp Profiles'!P139</f>
        <v>0</v>
      </c>
      <c r="DF139" s="2748">
        <f>'B3 - COVID-19'!A139</f>
        <v>104</v>
      </c>
      <c r="DG139" s="2834" t="str">
        <f>'B3 - COVID-19'!B139</f>
        <v>Internal budget Virement into Covid-19 Nosocomial, PPE, Long Covid &amp; Other - Additional costs due to C19 (incl pay awards)</v>
      </c>
      <c r="DH139" s="1331">
        <f>'B3 - COVID-19'!C139</f>
        <v>0</v>
      </c>
      <c r="DI139" s="1326">
        <f>'B3 - COVID-19'!D139</f>
        <v>0</v>
      </c>
      <c r="DJ139" s="1326">
        <f>'B3 - COVID-19'!E139</f>
        <v>0</v>
      </c>
      <c r="DK139" s="1326">
        <f>'B3 - COVID-19'!F139</f>
        <v>0</v>
      </c>
      <c r="DL139" s="1326">
        <f>'B3 - COVID-19'!G139</f>
        <v>0</v>
      </c>
      <c r="DM139" s="1326">
        <f>'B3 - COVID-19'!H139</f>
        <v>0</v>
      </c>
      <c r="DN139" s="1326">
        <f>'B3 - COVID-19'!I139</f>
        <v>0</v>
      </c>
      <c r="DO139" s="1326">
        <f>'B3 - COVID-19'!J139</f>
        <v>0</v>
      </c>
      <c r="DP139" s="1326">
        <f>'B3 - COVID-19'!K139</f>
        <v>0</v>
      </c>
      <c r="DQ139" s="1326">
        <f>'B3 - COVID-19'!L139</f>
        <v>0</v>
      </c>
      <c r="DR139" s="1326">
        <f>'B3 - COVID-19'!M139</f>
        <v>0</v>
      </c>
      <c r="DS139" s="1335">
        <f>'B3 - COVID-19'!N139</f>
        <v>0</v>
      </c>
      <c r="DT139" s="2754">
        <f>'B3 - COVID-19'!O139</f>
        <v>0</v>
      </c>
      <c r="DU139" s="2756">
        <f>'B3 - COVID-19'!P139</f>
        <v>0</v>
      </c>
      <c r="DV139" s="608"/>
      <c r="DW139" s="1116"/>
      <c r="DY139" s="2095">
        <f>'C, C1, C2&amp; C3 - Savings Schemes'!A139</f>
        <v>30</v>
      </c>
      <c r="DZ139" s="3040"/>
      <c r="EA139" s="92" t="str">
        <f>'C, C1, C2&amp; C3 - Savings Schemes'!C139</f>
        <v>Variance</v>
      </c>
      <c r="EB139" s="2645">
        <f>'C, C1, C2&amp; C3 - Savings Schemes'!D139</f>
        <v>0</v>
      </c>
      <c r="EC139" s="2645">
        <f>'C, C1, C2&amp; C3 - Savings Schemes'!E139</f>
        <v>0</v>
      </c>
      <c r="ED139" s="2645">
        <f>'C, C1, C2&amp; C3 - Savings Schemes'!F139</f>
        <v>0</v>
      </c>
      <c r="EE139" s="2645">
        <f>'C, C1, C2&amp; C3 - Savings Schemes'!G139</f>
        <v>0</v>
      </c>
      <c r="EF139" s="2645">
        <f>'C, C1, C2&amp; C3 - Savings Schemes'!H139</f>
        <v>0</v>
      </c>
      <c r="EG139" s="2645">
        <f>'C, C1, C2&amp; C3 - Savings Schemes'!I139</f>
        <v>0</v>
      </c>
      <c r="EH139" s="2645">
        <f>'C, C1, C2&amp; C3 - Savings Schemes'!J139</f>
        <v>0</v>
      </c>
      <c r="EI139" s="2645">
        <f>'C, C1, C2&amp; C3 - Savings Schemes'!K139</f>
        <v>0</v>
      </c>
      <c r="EJ139" s="2645">
        <f>'C, C1, C2&amp; C3 - Savings Schemes'!L139</f>
        <v>0</v>
      </c>
      <c r="EK139" s="2645">
        <f>'C, C1, C2&amp; C3 - Savings Schemes'!M139</f>
        <v>0</v>
      </c>
      <c r="EL139" s="2645">
        <f>'C, C1, C2&amp; C3 - Savings Schemes'!N139</f>
        <v>0</v>
      </c>
      <c r="EM139" s="2645">
        <f>'C, C1, C2&amp; C3 - Savings Schemes'!O139</f>
        <v>0</v>
      </c>
      <c r="EN139" s="2645">
        <f>'C, C1, C2&amp; C3 - Savings Schemes'!P139</f>
        <v>0</v>
      </c>
      <c r="EO139" s="2645">
        <f>'C, C1, C2&amp; C3 - Savings Schemes'!Q139</f>
        <v>0</v>
      </c>
      <c r="LL139" s="814"/>
      <c r="LM139" s="2197">
        <f>'M - Aged Debtors'!B139</f>
        <v>0</v>
      </c>
      <c r="LN139" s="2198">
        <f>'M - Aged Debtors'!C139</f>
        <v>0</v>
      </c>
      <c r="LO139" s="2199">
        <f>'M - Aged Debtors'!D139</f>
        <v>0</v>
      </c>
      <c r="LP139" s="2200">
        <f>'M - Aged Debtors'!E139</f>
        <v>0</v>
      </c>
      <c r="LQ139" s="2201">
        <f>'M - Aged Debtors'!F139</f>
        <v>0</v>
      </c>
      <c r="LR139" s="832" t="str">
        <f>'M - Aged Debtors'!G139</f>
        <v/>
      </c>
      <c r="LS139" s="829" t="str">
        <f>'M - Aged Debtors'!H139</f>
        <v/>
      </c>
      <c r="LT139" s="829" t="str">
        <f>'M - Aged Debtors'!I139</f>
        <v/>
      </c>
      <c r="LU139" s="830" t="str">
        <f>'M - Aged Debtors'!J139</f>
        <v/>
      </c>
      <c r="LV139" s="1830">
        <f>'M - Aged Debtors'!K139</f>
        <v>0</v>
      </c>
      <c r="LX139" s="459" t="str">
        <f>'N - GMS'!A139</f>
        <v>Recruitment and Retention (including Golden Hello)</v>
      </c>
      <c r="LY139" s="518"/>
      <c r="LZ139" s="461">
        <f>'N - GMS'!C139</f>
        <v>102</v>
      </c>
      <c r="MA139" s="2230">
        <f>'N - GMS'!D139</f>
        <v>0</v>
      </c>
      <c r="MB139" s="2230">
        <f>'N - GMS'!E139</f>
        <v>0</v>
      </c>
      <c r="MC139" s="2230">
        <f>'N - GMS'!F139</f>
        <v>0</v>
      </c>
      <c r="MD139" s="2230">
        <f>'N - GMS'!G139</f>
        <v>0</v>
      </c>
      <c r="ME139" s="1170"/>
      <c r="MF139" s="2459">
        <f>'N - GMS'!I139</f>
        <v>0</v>
      </c>
      <c r="MR139" s="684"/>
      <c r="MS139" s="684"/>
      <c r="MT139" s="684"/>
      <c r="MU139" s="684"/>
      <c r="MV139" s="684"/>
      <c r="MW139" s="684"/>
      <c r="MX139" s="684"/>
      <c r="MY139" s="684"/>
      <c r="MZ139" s="684"/>
      <c r="NA139" s="684"/>
      <c r="NB139" s="684"/>
      <c r="NC139" s="684"/>
      <c r="ND139" s="684"/>
      <c r="NE139" s="684"/>
      <c r="NF139" s="684"/>
      <c r="NG139" s="684"/>
      <c r="NH139" s="684"/>
      <c r="NI139" s="684"/>
      <c r="NJ139" s="684"/>
      <c r="NK139" s="684"/>
    </row>
    <row r="140" spans="57:375" ht="20.149999999999999" customHeight="1" thickBot="1">
      <c r="BX140" s="144">
        <f>' Table Z Net Exp Profiles'!A140</f>
        <v>103</v>
      </c>
      <c r="BY140" s="2519" t="str">
        <f>' Table Z Net Exp Profiles'!B140</f>
        <v>In Year Operational CHC / FNC Expenditure Cost Reduction Due To C19 (Positive Values)</v>
      </c>
      <c r="BZ140" s="2503">
        <f>' Table Z Net Exp Profiles'!C140</f>
        <v>0</v>
      </c>
      <c r="CA140" s="2504">
        <f>' Table Z Net Exp Profiles'!D140</f>
        <v>0</v>
      </c>
      <c r="CB140" s="2504">
        <f>' Table Z Net Exp Profiles'!E140</f>
        <v>0</v>
      </c>
      <c r="CC140" s="2504">
        <f>' Table Z Net Exp Profiles'!F140</f>
        <v>0</v>
      </c>
      <c r="CD140" s="2504">
        <f>' Table Z Net Exp Profiles'!G140</f>
        <v>0</v>
      </c>
      <c r="CE140" s="2504">
        <f>' Table Z Net Exp Profiles'!H140</f>
        <v>0</v>
      </c>
      <c r="CF140" s="2504">
        <f>' Table Z Net Exp Profiles'!I140</f>
        <v>0</v>
      </c>
      <c r="CG140" s="2504">
        <f>' Table Z Net Exp Profiles'!J140</f>
        <v>0</v>
      </c>
      <c r="CH140" s="2504">
        <f>' Table Z Net Exp Profiles'!K140</f>
        <v>0</v>
      </c>
      <c r="CI140" s="2504">
        <f>' Table Z Net Exp Profiles'!L140</f>
        <v>0</v>
      </c>
      <c r="CJ140" s="2504">
        <f>' Table Z Net Exp Profiles'!M140</f>
        <v>0</v>
      </c>
      <c r="CK140" s="2505">
        <f>' Table Z Net Exp Profiles'!N140</f>
        <v>0</v>
      </c>
      <c r="CL140" s="1692">
        <f>' Table Z Net Exp Profiles'!O140</f>
        <v>0</v>
      </c>
      <c r="CM140" s="1692">
        <f>' Table Z Net Exp Profiles'!P140</f>
        <v>0</v>
      </c>
      <c r="DF140" s="2748">
        <f>'B3 - COVID-19'!A140</f>
        <v>105</v>
      </c>
      <c r="DG140" s="2834" t="str">
        <f>'B3 - COVID-19'!B140</f>
        <v>Total Actual/Forecast Funding</v>
      </c>
      <c r="DH140" s="2831">
        <f>'B3 - COVID-19'!C140</f>
        <v>0</v>
      </c>
      <c r="DI140" s="2755">
        <f>'B3 - COVID-19'!D140</f>
        <v>0</v>
      </c>
      <c r="DJ140" s="2755">
        <f>'B3 - COVID-19'!E140</f>
        <v>0</v>
      </c>
      <c r="DK140" s="2755">
        <f>'B3 - COVID-19'!F140</f>
        <v>0</v>
      </c>
      <c r="DL140" s="2755">
        <f>'B3 - COVID-19'!G140</f>
        <v>0</v>
      </c>
      <c r="DM140" s="2755">
        <f>'B3 - COVID-19'!H140</f>
        <v>0</v>
      </c>
      <c r="DN140" s="2755">
        <f>'B3 - COVID-19'!I140</f>
        <v>0</v>
      </c>
      <c r="DO140" s="2755">
        <f>'B3 - COVID-19'!J140</f>
        <v>0</v>
      </c>
      <c r="DP140" s="2755">
        <f>'B3 - COVID-19'!K140</f>
        <v>0</v>
      </c>
      <c r="DQ140" s="2755">
        <f>'B3 - COVID-19'!L140</f>
        <v>0</v>
      </c>
      <c r="DR140" s="2755">
        <f>'B3 - COVID-19'!M140</f>
        <v>0</v>
      </c>
      <c r="DS140" s="2796">
        <f>'B3 - COVID-19'!N140</f>
        <v>0</v>
      </c>
      <c r="DT140" s="2754">
        <f>'B3 - COVID-19'!O140</f>
        <v>0</v>
      </c>
      <c r="DU140" s="2756">
        <f>'B3 - COVID-19'!P140</f>
        <v>0</v>
      </c>
      <c r="DV140" s="608"/>
      <c r="DW140" s="1116"/>
      <c r="DY140" s="80"/>
      <c r="DZ140" s="80"/>
      <c r="EA140" s="80"/>
      <c r="EB140" s="99"/>
      <c r="EC140" s="99"/>
      <c r="ED140" s="99"/>
      <c r="EE140" s="99"/>
      <c r="EF140" s="99"/>
      <c r="EG140" s="100"/>
      <c r="EH140" s="99"/>
      <c r="EI140" s="99"/>
      <c r="EJ140" s="99"/>
      <c r="EK140" s="99"/>
      <c r="EL140" s="99"/>
      <c r="EM140" s="99"/>
      <c r="EN140" s="99"/>
      <c r="EO140" s="137"/>
      <c r="LL140" s="814"/>
      <c r="LM140" s="2197">
        <f>'M - Aged Debtors'!B140</f>
        <v>0</v>
      </c>
      <c r="LN140" s="2198">
        <f>'M - Aged Debtors'!C140</f>
        <v>0</v>
      </c>
      <c r="LO140" s="2199">
        <f>'M - Aged Debtors'!D140</f>
        <v>0</v>
      </c>
      <c r="LP140" s="2200">
        <f>'M - Aged Debtors'!E140</f>
        <v>0</v>
      </c>
      <c r="LQ140" s="2201">
        <f>'M - Aged Debtors'!F140</f>
        <v>0</v>
      </c>
      <c r="LR140" s="832" t="str">
        <f>'M - Aged Debtors'!G140</f>
        <v/>
      </c>
      <c r="LS140" s="829" t="str">
        <f>'M - Aged Debtors'!H140</f>
        <v/>
      </c>
      <c r="LT140" s="829" t="str">
        <f>'M - Aged Debtors'!I140</f>
        <v/>
      </c>
      <c r="LU140" s="830" t="str">
        <f>'M - Aged Debtors'!J140</f>
        <v/>
      </c>
      <c r="LV140" s="1830">
        <f>'M - Aged Debtors'!K140</f>
        <v>0</v>
      </c>
      <c r="LX140" s="459" t="str">
        <f>'N - GMS'!A140</f>
        <v>Appraisal - Appraiser Costs</v>
      </c>
      <c r="LY140" s="518"/>
      <c r="LZ140" s="461">
        <f>'N - GMS'!C140</f>
        <v>103</v>
      </c>
      <c r="MA140" s="2230">
        <f>'N - GMS'!D140</f>
        <v>0</v>
      </c>
      <c r="MB140" s="2230">
        <f>'N - GMS'!E140</f>
        <v>0</v>
      </c>
      <c r="MC140" s="2230">
        <f>'N - GMS'!F140</f>
        <v>0</v>
      </c>
      <c r="MD140" s="2230">
        <f>'N - GMS'!G140</f>
        <v>0</v>
      </c>
      <c r="ME140" s="1170"/>
      <c r="MF140" s="2459">
        <f>'N - GMS'!I140</f>
        <v>0</v>
      </c>
      <c r="MR140" s="684"/>
      <c r="MS140" s="684"/>
      <c r="MT140" s="684"/>
      <c r="MU140" s="684"/>
      <c r="MV140" s="684"/>
      <c r="MW140" s="684"/>
      <c r="MX140" s="684"/>
      <c r="MY140" s="684"/>
      <c r="MZ140" s="684"/>
      <c r="NA140" s="684"/>
      <c r="NB140" s="684"/>
      <c r="NC140" s="684"/>
      <c r="ND140" s="684"/>
      <c r="NE140" s="684"/>
      <c r="NF140" s="684"/>
      <c r="NG140" s="684"/>
      <c r="NH140" s="684"/>
      <c r="NI140" s="684"/>
      <c r="NJ140" s="684"/>
      <c r="NK140" s="684"/>
    </row>
    <row r="141" spans="57:375" ht="20.149999999999999" customHeight="1" thickBot="1">
      <c r="BX141" s="144">
        <f>' Table Z Net Exp Profiles'!A141</f>
        <v>104</v>
      </c>
      <c r="BY141" s="1075" t="str">
        <f>' Table Z Net Exp Profiles'!B141</f>
        <v>In Year Slippage on Current Planned CHC / FNC Investments/Repurposing of Developmental Initiatives due to C19 (Positive Values)</v>
      </c>
      <c r="BZ141" s="2506">
        <f>' Table Z Net Exp Profiles'!C141</f>
        <v>0</v>
      </c>
      <c r="CA141" s="2502">
        <f>' Table Z Net Exp Profiles'!D141</f>
        <v>0</v>
      </c>
      <c r="CB141" s="2502">
        <f>' Table Z Net Exp Profiles'!E141</f>
        <v>0</v>
      </c>
      <c r="CC141" s="2502">
        <f>' Table Z Net Exp Profiles'!F141</f>
        <v>0</v>
      </c>
      <c r="CD141" s="2502">
        <f>' Table Z Net Exp Profiles'!G141</f>
        <v>0</v>
      </c>
      <c r="CE141" s="2502">
        <f>' Table Z Net Exp Profiles'!H141</f>
        <v>0</v>
      </c>
      <c r="CF141" s="2502">
        <f>' Table Z Net Exp Profiles'!I141</f>
        <v>0</v>
      </c>
      <c r="CG141" s="2502">
        <f>' Table Z Net Exp Profiles'!J141</f>
        <v>0</v>
      </c>
      <c r="CH141" s="2502">
        <f>' Table Z Net Exp Profiles'!K141</f>
        <v>0</v>
      </c>
      <c r="CI141" s="2502">
        <f>' Table Z Net Exp Profiles'!L141</f>
        <v>0</v>
      </c>
      <c r="CJ141" s="2502">
        <f>' Table Z Net Exp Profiles'!M141</f>
        <v>0</v>
      </c>
      <c r="CK141" s="2502">
        <f>' Table Z Net Exp Profiles'!N141</f>
        <v>0</v>
      </c>
      <c r="CL141" s="1101">
        <f>' Table Z Net Exp Profiles'!O141</f>
        <v>0</v>
      </c>
      <c r="CM141" s="1101">
        <f>' Table Z Net Exp Profiles'!P141</f>
        <v>0</v>
      </c>
      <c r="DF141" s="2757">
        <f>'B3 - COVID-19'!A141</f>
        <v>106</v>
      </c>
      <c r="DG141" s="2835" t="str">
        <f>'B3 - COVID-19'!B141</f>
        <v>Movement from Plan</v>
      </c>
      <c r="DH141" s="2836">
        <f>'B3 - COVID-19'!C141</f>
        <v>0</v>
      </c>
      <c r="DI141" s="2735">
        <f>'B3 - COVID-19'!D141</f>
        <v>0</v>
      </c>
      <c r="DJ141" s="2735">
        <f>'B3 - COVID-19'!E141</f>
        <v>0</v>
      </c>
      <c r="DK141" s="2735">
        <f>'B3 - COVID-19'!F141</f>
        <v>0</v>
      </c>
      <c r="DL141" s="2735">
        <f>'B3 - COVID-19'!G141</f>
        <v>0</v>
      </c>
      <c r="DM141" s="2735">
        <f>'B3 - COVID-19'!H141</f>
        <v>0</v>
      </c>
      <c r="DN141" s="2735">
        <f>'B3 - COVID-19'!I141</f>
        <v>0</v>
      </c>
      <c r="DO141" s="2735">
        <f>'B3 - COVID-19'!J141</f>
        <v>0</v>
      </c>
      <c r="DP141" s="2735">
        <f>'B3 - COVID-19'!K141</f>
        <v>0</v>
      </c>
      <c r="DQ141" s="2735">
        <f>'B3 - COVID-19'!L141</f>
        <v>0</v>
      </c>
      <c r="DR141" s="2735">
        <f>'B3 - COVID-19'!M141</f>
        <v>0</v>
      </c>
      <c r="DS141" s="2765">
        <f>'B3 - COVID-19'!N141</f>
        <v>0</v>
      </c>
      <c r="DT141" s="2809">
        <f>'B3 - COVID-19'!O141</f>
        <v>0</v>
      </c>
      <c r="DU141" s="2736">
        <f>'B3 - COVID-19'!P141</f>
        <v>0</v>
      </c>
      <c r="DV141" s="608"/>
      <c r="DW141" s="1116"/>
      <c r="LL141" s="814"/>
      <c r="LM141" s="2197">
        <f>'M - Aged Debtors'!B141</f>
        <v>0</v>
      </c>
      <c r="LN141" s="2198">
        <f>'M - Aged Debtors'!C141</f>
        <v>0</v>
      </c>
      <c r="LO141" s="2199">
        <f>'M - Aged Debtors'!D141</f>
        <v>0</v>
      </c>
      <c r="LP141" s="2200">
        <f>'M - Aged Debtors'!E141</f>
        <v>0</v>
      </c>
      <c r="LQ141" s="2201">
        <f>'M - Aged Debtors'!F141</f>
        <v>0</v>
      </c>
      <c r="LR141" s="832" t="str">
        <f>'M - Aged Debtors'!G141</f>
        <v/>
      </c>
      <c r="LS141" s="829" t="str">
        <f>'M - Aged Debtors'!H141</f>
        <v/>
      </c>
      <c r="LT141" s="829" t="str">
        <f>'M - Aged Debtors'!I141</f>
        <v/>
      </c>
      <c r="LU141" s="830" t="str">
        <f>'M - Aged Debtors'!J141</f>
        <v/>
      </c>
      <c r="LV141" s="1830">
        <f>'M - Aged Debtors'!K141</f>
        <v>0</v>
      </c>
      <c r="LX141" s="459" t="str">
        <f>'N - GMS'!A141</f>
        <v>Primary Care Development Scheme</v>
      </c>
      <c r="LY141" s="518"/>
      <c r="LZ141" s="461">
        <f>'N - GMS'!C141</f>
        <v>104</v>
      </c>
      <c r="MA141" s="2230">
        <f>'N - GMS'!D141</f>
        <v>0</v>
      </c>
      <c r="MB141" s="2230">
        <f>'N - GMS'!E141</f>
        <v>0</v>
      </c>
      <c r="MC141" s="2230">
        <f>'N - GMS'!F141</f>
        <v>0</v>
      </c>
      <c r="MD141" s="2230">
        <f>'N - GMS'!G141</f>
        <v>0</v>
      </c>
      <c r="ME141" s="1170"/>
      <c r="MF141" s="1780">
        <f>'N - GMS'!I141</f>
        <v>0</v>
      </c>
      <c r="MR141" s="684"/>
      <c r="MS141" s="684"/>
      <c r="MT141" s="684"/>
      <c r="MU141" s="684"/>
      <c r="MV141" s="684"/>
      <c r="MW141" s="684"/>
      <c r="MX141" s="684"/>
      <c r="MY141" s="684"/>
      <c r="MZ141" s="684"/>
      <c r="NA141" s="684"/>
      <c r="NB141" s="684"/>
      <c r="NC141" s="684"/>
      <c r="ND141" s="684"/>
      <c r="NE141" s="684"/>
      <c r="NF141" s="684"/>
      <c r="NG141" s="684"/>
      <c r="NH141" s="684"/>
      <c r="NI141" s="684"/>
      <c r="NJ141" s="684"/>
      <c r="NK141" s="684"/>
    </row>
    <row r="142" spans="57:375" ht="20.149999999999999" customHeight="1" thickBot="1">
      <c r="BX142" s="84"/>
      <c r="BY142" s="3049"/>
      <c r="BZ142" s="3049"/>
      <c r="CA142" s="3049"/>
      <c r="CB142" s="3049"/>
      <c r="CC142" s="3049"/>
      <c r="CD142" s="3049"/>
      <c r="CE142" s="3049"/>
      <c r="CF142" s="3049"/>
      <c r="CG142" s="3049"/>
      <c r="CH142" s="3049"/>
      <c r="CI142" s="3049"/>
      <c r="CJ142" s="3049"/>
      <c r="CK142" s="3049"/>
      <c r="CL142" s="3049"/>
      <c r="CM142" s="3049"/>
      <c r="DF142" s="2486"/>
      <c r="DG142" s="2819"/>
      <c r="DH142" s="1918"/>
      <c r="DI142" s="1918"/>
      <c r="DJ142" s="1918"/>
      <c r="DK142" s="1918"/>
      <c r="DL142" s="1918"/>
      <c r="DM142" s="1918"/>
      <c r="DN142" s="1918"/>
      <c r="DO142" s="1918"/>
      <c r="DP142" s="1918"/>
      <c r="DQ142" s="1918"/>
      <c r="DR142" s="1918"/>
      <c r="DS142" s="1918"/>
      <c r="DT142" s="1918"/>
      <c r="DU142" s="1918"/>
      <c r="DV142" s="608"/>
      <c r="DW142" s="1116"/>
      <c r="LL142" s="814"/>
      <c r="LM142" s="2197">
        <f>'M - Aged Debtors'!B142</f>
        <v>0</v>
      </c>
      <c r="LN142" s="2198">
        <f>'M - Aged Debtors'!C142</f>
        <v>0</v>
      </c>
      <c r="LO142" s="2199">
        <f>'M - Aged Debtors'!D142</f>
        <v>0</v>
      </c>
      <c r="LP142" s="2200">
        <f>'M - Aged Debtors'!E142</f>
        <v>0</v>
      </c>
      <c r="LQ142" s="2201">
        <f>'M - Aged Debtors'!F142</f>
        <v>0</v>
      </c>
      <c r="LR142" s="832" t="str">
        <f>'M - Aged Debtors'!G142</f>
        <v/>
      </c>
      <c r="LS142" s="829" t="str">
        <f>'M - Aged Debtors'!H142</f>
        <v/>
      </c>
      <c r="LT142" s="829" t="str">
        <f>'M - Aged Debtors'!I142</f>
        <v/>
      </c>
      <c r="LU142" s="830" t="str">
        <f>'M - Aged Debtors'!J142</f>
        <v/>
      </c>
      <c r="LV142" s="1830">
        <f>'M - Aged Debtors'!K142</f>
        <v>0</v>
      </c>
      <c r="LX142" s="459" t="str">
        <f>'N - GMS'!A142</f>
        <v>Partnership Premium - GP partners</v>
      </c>
      <c r="LY142" s="519"/>
      <c r="LZ142" s="461">
        <f>'N - GMS'!C142</f>
        <v>105</v>
      </c>
      <c r="MA142" s="2230">
        <f>'N - GMS'!D142</f>
        <v>0</v>
      </c>
      <c r="MB142" s="2230">
        <f>'N - GMS'!E142</f>
        <v>0</v>
      </c>
      <c r="MC142" s="2230">
        <f>'N - GMS'!F142</f>
        <v>0</v>
      </c>
      <c r="MD142" s="2230">
        <f>'N - GMS'!G142</f>
        <v>0</v>
      </c>
      <c r="ME142" s="1170"/>
      <c r="MF142" s="2459">
        <f>'N - GMS'!I142</f>
        <v>0</v>
      </c>
      <c r="MR142" s="684"/>
      <c r="MS142" s="684"/>
      <c r="MT142" s="684"/>
      <c r="MU142" s="684"/>
      <c r="MV142" s="684"/>
      <c r="MW142" s="684"/>
      <c r="MX142" s="684"/>
      <c r="MY142" s="684"/>
      <c r="MZ142" s="684"/>
      <c r="NA142" s="684"/>
      <c r="NB142" s="684"/>
      <c r="NC142" s="684"/>
      <c r="ND142" s="684"/>
      <c r="NE142" s="684"/>
      <c r="NF142" s="684"/>
      <c r="NG142" s="684"/>
      <c r="NH142" s="684"/>
      <c r="NI142" s="684"/>
      <c r="NJ142" s="684"/>
      <c r="NK142" s="684"/>
    </row>
    <row r="143" spans="57:375" ht="20.149999999999999" customHeight="1" thickBot="1">
      <c r="BX143" s="1696">
        <f>' Table Z Net Exp Profiles'!A143</f>
        <v>105</v>
      </c>
      <c r="BY143" s="1270" t="str">
        <f>' Table Z Net Exp Profiles'!B143</f>
        <v>Net CHC / FNC Expenditure - Current Plan</v>
      </c>
      <c r="BZ143" s="1110">
        <f>' Table Z Net Exp Profiles'!C143</f>
        <v>0</v>
      </c>
      <c r="CA143" s="1110">
        <f>' Table Z Net Exp Profiles'!D143</f>
        <v>0</v>
      </c>
      <c r="CB143" s="1110">
        <f>' Table Z Net Exp Profiles'!E143</f>
        <v>0</v>
      </c>
      <c r="CC143" s="1110">
        <f>' Table Z Net Exp Profiles'!F143</f>
        <v>0</v>
      </c>
      <c r="CD143" s="1110">
        <f>' Table Z Net Exp Profiles'!G143</f>
        <v>0</v>
      </c>
      <c r="CE143" s="1110">
        <f>' Table Z Net Exp Profiles'!H143</f>
        <v>0</v>
      </c>
      <c r="CF143" s="1110">
        <f>' Table Z Net Exp Profiles'!I143</f>
        <v>0</v>
      </c>
      <c r="CG143" s="1110">
        <f>' Table Z Net Exp Profiles'!J143</f>
        <v>0</v>
      </c>
      <c r="CH143" s="1110">
        <f>' Table Z Net Exp Profiles'!K143</f>
        <v>0</v>
      </c>
      <c r="CI143" s="1110">
        <f>' Table Z Net Exp Profiles'!L143</f>
        <v>0</v>
      </c>
      <c r="CJ143" s="1110">
        <f>' Table Z Net Exp Profiles'!M143</f>
        <v>0</v>
      </c>
      <c r="CK143" s="1110">
        <f>' Table Z Net Exp Profiles'!N143</f>
        <v>0</v>
      </c>
      <c r="CL143" s="1110">
        <f>' Table Z Net Exp Profiles'!O143</f>
        <v>0</v>
      </c>
      <c r="CM143" s="1110">
        <f>' Table Z Net Exp Profiles'!P143</f>
        <v>0</v>
      </c>
      <c r="DF143" s="1353">
        <f>'B3 - COVID-19'!A143</f>
        <v>107</v>
      </c>
      <c r="DG143" s="2820" t="str">
        <f>'B3 - COVID-19'!B143</f>
        <v>Actual / Forecast Net Outturn - Nosocomial, PPE, Long Covid &amp; Other - Additional costs due to C19</v>
      </c>
      <c r="DH143" s="1341">
        <f>'B3 - COVID-19'!C143</f>
        <v>0</v>
      </c>
      <c r="DI143" s="1341">
        <f>'B3 - COVID-19'!D143</f>
        <v>0</v>
      </c>
      <c r="DJ143" s="1341">
        <f>'B3 - COVID-19'!E143</f>
        <v>0</v>
      </c>
      <c r="DK143" s="1341">
        <f>'B3 - COVID-19'!F143</f>
        <v>0</v>
      </c>
      <c r="DL143" s="1341">
        <f>'B3 - COVID-19'!G143</f>
        <v>0</v>
      </c>
      <c r="DM143" s="1341">
        <f>'B3 - COVID-19'!H143</f>
        <v>0</v>
      </c>
      <c r="DN143" s="1341">
        <f>'B3 - COVID-19'!I143</f>
        <v>0</v>
      </c>
      <c r="DO143" s="1341">
        <f>'B3 - COVID-19'!J143</f>
        <v>0</v>
      </c>
      <c r="DP143" s="1341">
        <f>'B3 - COVID-19'!K143</f>
        <v>0</v>
      </c>
      <c r="DQ143" s="1341">
        <f>'B3 - COVID-19'!L143</f>
        <v>0</v>
      </c>
      <c r="DR143" s="1341">
        <f>'B3 - COVID-19'!M143</f>
        <v>0</v>
      </c>
      <c r="DS143" s="1341">
        <f>'B3 - COVID-19'!N143</f>
        <v>0</v>
      </c>
      <c r="DT143" s="1341">
        <f>'B3 - COVID-19'!O143</f>
        <v>0</v>
      </c>
      <c r="DU143" s="1341">
        <f>'B3 - COVID-19'!P143</f>
        <v>0</v>
      </c>
      <c r="DV143" s="608"/>
      <c r="DW143" s="1116"/>
      <c r="LL143" s="814"/>
      <c r="LM143" s="2197">
        <f>'M - Aged Debtors'!B143</f>
        <v>0</v>
      </c>
      <c r="LN143" s="2198">
        <f>'M - Aged Debtors'!C143</f>
        <v>0</v>
      </c>
      <c r="LO143" s="2199">
        <f>'M - Aged Debtors'!D143</f>
        <v>0</v>
      </c>
      <c r="LP143" s="2200">
        <f>'M - Aged Debtors'!E143</f>
        <v>0</v>
      </c>
      <c r="LQ143" s="2201">
        <f>'M - Aged Debtors'!F143</f>
        <v>0</v>
      </c>
      <c r="LR143" s="832" t="str">
        <f>'M - Aged Debtors'!G143</f>
        <v/>
      </c>
      <c r="LS143" s="829" t="str">
        <f>'M - Aged Debtors'!H143</f>
        <v/>
      </c>
      <c r="LT143" s="829" t="str">
        <f>'M - Aged Debtors'!I143</f>
        <v/>
      </c>
      <c r="LU143" s="830" t="str">
        <f>'M - Aged Debtors'!J143</f>
        <v/>
      </c>
      <c r="LV143" s="1830">
        <f>'M - Aged Debtors'!K143</f>
        <v>0</v>
      </c>
      <c r="LX143" s="451" t="str">
        <f>'N - GMS'!A143</f>
        <v>Partnership Premium - Non GP Partners</v>
      </c>
      <c r="LY143" s="520"/>
      <c r="LZ143" s="461">
        <f>'N - GMS'!C143</f>
        <v>106</v>
      </c>
      <c r="MA143" s="2230">
        <f>'N - GMS'!D143</f>
        <v>0</v>
      </c>
      <c r="MB143" s="2230">
        <f>'N - GMS'!E143</f>
        <v>0</v>
      </c>
      <c r="MC143" s="2230">
        <f>'N - GMS'!F143</f>
        <v>0</v>
      </c>
      <c r="MD143" s="2230">
        <f>'N - GMS'!G143</f>
        <v>0</v>
      </c>
      <c r="ME143" s="1170"/>
      <c r="MF143" s="2459">
        <f>'N - GMS'!I143</f>
        <v>0</v>
      </c>
      <c r="MR143" s="684"/>
      <c r="MS143" s="684"/>
      <c r="MT143" s="684"/>
      <c r="MU143" s="684"/>
      <c r="MV143" s="684"/>
      <c r="MW143" s="684"/>
      <c r="MX143" s="684"/>
      <c r="MY143" s="684"/>
      <c r="MZ143" s="684"/>
      <c r="NA143" s="684"/>
      <c r="NB143" s="684"/>
      <c r="NC143" s="684"/>
      <c r="ND143" s="684"/>
      <c r="NE143" s="684"/>
      <c r="NF143" s="684"/>
      <c r="NG143" s="684"/>
      <c r="NH143" s="684"/>
      <c r="NI143" s="684"/>
      <c r="NJ143" s="684"/>
      <c r="NK143" s="684"/>
    </row>
    <row r="144" spans="57:375" ht="20.149999999999999" customHeight="1" thickBot="1">
      <c r="BX144" s="144">
        <f>' Table Z Net Exp Profiles'!A144</f>
        <v>106</v>
      </c>
      <c r="BY144" s="1270" t="str">
        <f>' Table Z Net Exp Profiles'!B144</f>
        <v>Net CHC / FNC Expenditure - Actual/Forecast (as per Table B)</v>
      </c>
      <c r="BZ144" s="1110">
        <f>' Table Z Net Exp Profiles'!C144</f>
        <v>0</v>
      </c>
      <c r="CA144" s="1110">
        <f>' Table Z Net Exp Profiles'!D144</f>
        <v>0</v>
      </c>
      <c r="CB144" s="1110">
        <f>' Table Z Net Exp Profiles'!E144</f>
        <v>0</v>
      </c>
      <c r="CC144" s="1110">
        <f>' Table Z Net Exp Profiles'!F144</f>
        <v>0</v>
      </c>
      <c r="CD144" s="1110">
        <f>' Table Z Net Exp Profiles'!G144</f>
        <v>0</v>
      </c>
      <c r="CE144" s="1110">
        <f>' Table Z Net Exp Profiles'!H144</f>
        <v>0</v>
      </c>
      <c r="CF144" s="1110">
        <f>' Table Z Net Exp Profiles'!I144</f>
        <v>0</v>
      </c>
      <c r="CG144" s="1110">
        <f>' Table Z Net Exp Profiles'!J144</f>
        <v>0</v>
      </c>
      <c r="CH144" s="1110">
        <f>' Table Z Net Exp Profiles'!K144</f>
        <v>0</v>
      </c>
      <c r="CI144" s="1110">
        <f>' Table Z Net Exp Profiles'!L144</f>
        <v>0</v>
      </c>
      <c r="CJ144" s="1110">
        <f>' Table Z Net Exp Profiles'!M144</f>
        <v>0</v>
      </c>
      <c r="CK144" s="1110">
        <f>' Table Z Net Exp Profiles'!N144</f>
        <v>0</v>
      </c>
      <c r="CL144" s="1110">
        <f>' Table Z Net Exp Profiles'!O144</f>
        <v>0</v>
      </c>
      <c r="CM144" s="1110">
        <f>' Table Z Net Exp Profiles'!P144</f>
        <v>0</v>
      </c>
      <c r="DF144" s="2486"/>
      <c r="DG144" s="1116"/>
      <c r="DH144" s="1918"/>
      <c r="DI144" s="1918"/>
      <c r="DJ144" s="1918"/>
      <c r="DK144" s="1918"/>
      <c r="DL144" s="1918"/>
      <c r="DM144" s="1918"/>
      <c r="DN144" s="1918"/>
      <c r="DO144" s="1918"/>
      <c r="DP144" s="1918"/>
      <c r="DQ144" s="1918"/>
      <c r="DR144" s="1918"/>
      <c r="DS144" s="1918"/>
      <c r="DT144" s="1918"/>
      <c r="DU144" s="1918"/>
      <c r="DV144" s="608"/>
      <c r="DW144" s="1116"/>
      <c r="LL144" s="814"/>
      <c r="LM144" s="2197">
        <f>'M - Aged Debtors'!B144</f>
        <v>0</v>
      </c>
      <c r="LN144" s="2198">
        <f>'M - Aged Debtors'!C144</f>
        <v>0</v>
      </c>
      <c r="LO144" s="2199">
        <f>'M - Aged Debtors'!D144</f>
        <v>0</v>
      </c>
      <c r="LP144" s="2200">
        <f>'M - Aged Debtors'!E144</f>
        <v>0</v>
      </c>
      <c r="LQ144" s="2201">
        <f>'M - Aged Debtors'!F144</f>
        <v>0</v>
      </c>
      <c r="LR144" s="832" t="str">
        <f>'M - Aged Debtors'!G144</f>
        <v/>
      </c>
      <c r="LS144" s="829" t="str">
        <f>'M - Aged Debtors'!H144</f>
        <v/>
      </c>
      <c r="LT144" s="829" t="str">
        <f>'M - Aged Debtors'!I144</f>
        <v/>
      </c>
      <c r="LU144" s="830" t="str">
        <f>'M - Aged Debtors'!J144</f>
        <v/>
      </c>
      <c r="LV144" s="1830">
        <f>'M - Aged Debtors'!K144</f>
        <v>0</v>
      </c>
      <c r="LX144" s="451" t="str">
        <f>'N - GMS'!A144</f>
        <v>Supply of syringes &amp; needles</v>
      </c>
      <c r="LY144" s="520"/>
      <c r="LZ144" s="461">
        <f>'N - GMS'!C144</f>
        <v>107</v>
      </c>
      <c r="MA144" s="2230">
        <f>'N - GMS'!D144</f>
        <v>0</v>
      </c>
      <c r="MB144" s="2230">
        <f>'N - GMS'!E144</f>
        <v>0</v>
      </c>
      <c r="MC144" s="2230">
        <f>'N - GMS'!F144</f>
        <v>0</v>
      </c>
      <c r="MD144" s="2230">
        <f>'N - GMS'!G144</f>
        <v>0</v>
      </c>
      <c r="ME144" s="1170"/>
      <c r="MF144" s="2459">
        <f>'N - GMS'!I144</f>
        <v>0</v>
      </c>
      <c r="MR144" s="684"/>
      <c r="MS144" s="684"/>
      <c r="MT144" s="684"/>
      <c r="MU144" s="684"/>
      <c r="MV144" s="684"/>
      <c r="MW144" s="684"/>
      <c r="MX144" s="684"/>
      <c r="MY144" s="684"/>
      <c r="MZ144" s="684"/>
      <c r="NA144" s="684"/>
      <c r="NB144" s="684"/>
      <c r="NC144" s="684"/>
      <c r="ND144" s="684"/>
      <c r="NE144" s="684"/>
      <c r="NF144" s="684"/>
      <c r="NG144" s="684"/>
      <c r="NH144" s="684"/>
      <c r="NI144" s="684"/>
      <c r="NJ144" s="684"/>
      <c r="NK144" s="684"/>
    </row>
    <row r="145" spans="76:375" ht="20.149999999999999" customHeight="1" thickBot="1">
      <c r="BX145" s="1107">
        <f>' Table Z Net Exp Profiles'!A145</f>
        <v>107</v>
      </c>
      <c r="BY145" s="1270" t="str">
        <f>' Table Z Net Exp Profiles'!B145</f>
        <v>Net CHC / FNC Expenditure - Movement</v>
      </c>
      <c r="BZ145" s="1110">
        <f>' Table Z Net Exp Profiles'!C145</f>
        <v>0</v>
      </c>
      <c r="CA145" s="1110">
        <f>' Table Z Net Exp Profiles'!D145</f>
        <v>0</v>
      </c>
      <c r="CB145" s="1110">
        <f>' Table Z Net Exp Profiles'!E145</f>
        <v>0</v>
      </c>
      <c r="CC145" s="1110">
        <f>' Table Z Net Exp Profiles'!F145</f>
        <v>0</v>
      </c>
      <c r="CD145" s="1110">
        <f>' Table Z Net Exp Profiles'!G145</f>
        <v>0</v>
      </c>
      <c r="CE145" s="1110">
        <f>' Table Z Net Exp Profiles'!H145</f>
        <v>0</v>
      </c>
      <c r="CF145" s="1110">
        <f>' Table Z Net Exp Profiles'!I145</f>
        <v>0</v>
      </c>
      <c r="CG145" s="1110">
        <f>' Table Z Net Exp Profiles'!J145</f>
        <v>0</v>
      </c>
      <c r="CH145" s="1110">
        <f>' Table Z Net Exp Profiles'!K145</f>
        <v>0</v>
      </c>
      <c r="CI145" s="1110">
        <f>' Table Z Net Exp Profiles'!L145</f>
        <v>0</v>
      </c>
      <c r="CJ145" s="1110">
        <f>' Table Z Net Exp Profiles'!M145</f>
        <v>0</v>
      </c>
      <c r="CK145" s="1110">
        <f>' Table Z Net Exp Profiles'!N145</f>
        <v>0</v>
      </c>
      <c r="CL145" s="1110">
        <f>' Table Z Net Exp Profiles'!O145</f>
        <v>0</v>
      </c>
      <c r="CM145" s="1101">
        <f>' Table Z Net Exp Profiles'!P145</f>
        <v>0</v>
      </c>
      <c r="DF145" s="2730" t="str">
        <f>'B3 - COVID-19'!A145</f>
        <v>Overall Covid-19 Position</v>
      </c>
      <c r="DG145" s="1116"/>
      <c r="DH145" s="1918"/>
      <c r="DI145" s="1918"/>
      <c r="DJ145" s="1918"/>
      <c r="DK145" s="1918"/>
      <c r="DL145" s="1918"/>
      <c r="DM145" s="1918"/>
      <c r="DN145" s="1918"/>
      <c r="DO145" s="1918"/>
      <c r="DP145" s="1918"/>
      <c r="DQ145" s="1918"/>
      <c r="DR145" s="1918"/>
      <c r="DS145" s="1918"/>
      <c r="DT145" s="1918"/>
      <c r="DU145" s="1918"/>
      <c r="DV145" s="608"/>
      <c r="DW145" s="1116"/>
      <c r="LL145" s="814"/>
      <c r="LM145" s="2197">
        <f>'M - Aged Debtors'!B145</f>
        <v>0</v>
      </c>
      <c r="LN145" s="2198">
        <f>'M - Aged Debtors'!C145</f>
        <v>0</v>
      </c>
      <c r="LO145" s="2199">
        <f>'M - Aged Debtors'!D145</f>
        <v>0</v>
      </c>
      <c r="LP145" s="2200">
        <f>'M - Aged Debtors'!E145</f>
        <v>0</v>
      </c>
      <c r="LQ145" s="2201">
        <f>'M - Aged Debtors'!F145</f>
        <v>0</v>
      </c>
      <c r="LR145" s="832" t="str">
        <f>'M - Aged Debtors'!G145</f>
        <v/>
      </c>
      <c r="LS145" s="829" t="str">
        <f>'M - Aged Debtors'!H145</f>
        <v/>
      </c>
      <c r="LT145" s="829" t="str">
        <f>'M - Aged Debtors'!I145</f>
        <v/>
      </c>
      <c r="LU145" s="830" t="str">
        <f>'M - Aged Debtors'!J145</f>
        <v/>
      </c>
      <c r="LV145" s="1830">
        <f>'M - Aged Debtors'!K145</f>
        <v>0</v>
      </c>
      <c r="LX145" s="3150" t="str">
        <f>'N - GMS'!A145</f>
        <v>Other (please provide detail below, this should reconcile to line 128)</v>
      </c>
      <c r="LY145" s="3151"/>
      <c r="LZ145" s="461">
        <f>'N - GMS'!C145</f>
        <v>108</v>
      </c>
      <c r="MA145" s="2230">
        <f>'N - GMS'!D145</f>
        <v>0</v>
      </c>
      <c r="MB145" s="2230">
        <f>'N - GMS'!E145</f>
        <v>0</v>
      </c>
      <c r="MC145" s="2230">
        <f>'N - GMS'!F145</f>
        <v>0</v>
      </c>
      <c r="MD145" s="2230">
        <f>'N - GMS'!G145</f>
        <v>0</v>
      </c>
      <c r="ME145" s="1170"/>
      <c r="MF145" s="2459">
        <f>'N - GMS'!I145</f>
        <v>0</v>
      </c>
      <c r="MR145" s="684"/>
      <c r="MS145" s="684"/>
      <c r="MT145" s="684"/>
      <c r="MU145" s="684"/>
      <c r="MV145" s="684"/>
      <c r="MW145" s="684"/>
      <c r="MX145" s="684"/>
      <c r="MY145" s="684"/>
      <c r="MZ145" s="684"/>
      <c r="NA145" s="684"/>
      <c r="NB145" s="684"/>
      <c r="NC145" s="684"/>
      <c r="ND145" s="684"/>
      <c r="NE145" s="684"/>
      <c r="NF145" s="684"/>
      <c r="NG145" s="684"/>
      <c r="NH145" s="684"/>
      <c r="NI145" s="684"/>
      <c r="NJ145" s="684"/>
      <c r="NK145" s="684"/>
    </row>
    <row r="146" spans="76:375" ht="20.149999999999999" customHeight="1" thickBot="1">
      <c r="BX146" s="1107">
        <f>' Table Z Net Exp Profiles'!A146</f>
        <v>108</v>
      </c>
      <c r="BY146" s="1270" t="str">
        <f>' Table Z Net Exp Profiles'!B146</f>
        <v>Net CHC / FNC Expenditure - Movement due to Covid-19</v>
      </c>
      <c r="BZ146" s="1110">
        <f>' Table Z Net Exp Profiles'!C146</f>
        <v>0</v>
      </c>
      <c r="CA146" s="1110">
        <f>' Table Z Net Exp Profiles'!D146</f>
        <v>0</v>
      </c>
      <c r="CB146" s="1110">
        <f>' Table Z Net Exp Profiles'!E146</f>
        <v>0</v>
      </c>
      <c r="CC146" s="1110">
        <f>' Table Z Net Exp Profiles'!F146</f>
        <v>0</v>
      </c>
      <c r="CD146" s="1110">
        <f>' Table Z Net Exp Profiles'!G146</f>
        <v>0</v>
      </c>
      <c r="CE146" s="1110">
        <f>' Table Z Net Exp Profiles'!H146</f>
        <v>0</v>
      </c>
      <c r="CF146" s="1110">
        <f>' Table Z Net Exp Profiles'!I146</f>
        <v>0</v>
      </c>
      <c r="CG146" s="1110">
        <f>' Table Z Net Exp Profiles'!J146</f>
        <v>0</v>
      </c>
      <c r="CH146" s="1110">
        <f>' Table Z Net Exp Profiles'!K146</f>
        <v>0</v>
      </c>
      <c r="CI146" s="1110">
        <f>' Table Z Net Exp Profiles'!L146</f>
        <v>0</v>
      </c>
      <c r="CJ146" s="1110">
        <f>' Table Z Net Exp Profiles'!M146</f>
        <v>0</v>
      </c>
      <c r="CK146" s="1110">
        <f>' Table Z Net Exp Profiles'!N146</f>
        <v>0</v>
      </c>
      <c r="CL146" s="1110">
        <f>' Table Z Net Exp Profiles'!O146</f>
        <v>0</v>
      </c>
      <c r="CM146" s="1110">
        <f>' Table Z Net Exp Profiles'!P146</f>
        <v>0</v>
      </c>
      <c r="DF146" s="2486"/>
      <c r="DG146" s="1116"/>
      <c r="DH146" s="1918"/>
      <c r="DI146" s="1918"/>
      <c r="DJ146" s="1918"/>
      <c r="DK146" s="1918"/>
      <c r="DL146" s="1918"/>
      <c r="DM146" s="1918"/>
      <c r="DN146" s="1918"/>
      <c r="DO146" s="1918"/>
      <c r="DP146" s="1918"/>
      <c r="DQ146" s="1918"/>
      <c r="DR146" s="1918"/>
      <c r="DS146" s="1918"/>
      <c r="DT146" s="1918"/>
      <c r="DU146" s="1918"/>
      <c r="DV146" s="608"/>
      <c r="DW146" s="1116"/>
      <c r="LL146" s="814"/>
      <c r="LM146" s="2197">
        <f>'M - Aged Debtors'!B146</f>
        <v>0</v>
      </c>
      <c r="LN146" s="2198">
        <f>'M - Aged Debtors'!C146</f>
        <v>0</v>
      </c>
      <c r="LO146" s="2199">
        <f>'M - Aged Debtors'!D146</f>
        <v>0</v>
      </c>
      <c r="LP146" s="2200">
        <f>'M - Aged Debtors'!E146</f>
        <v>0</v>
      </c>
      <c r="LQ146" s="2201">
        <f>'M - Aged Debtors'!F146</f>
        <v>0</v>
      </c>
      <c r="LR146" s="832" t="str">
        <f>'M - Aged Debtors'!G146</f>
        <v/>
      </c>
      <c r="LS146" s="829" t="str">
        <f>'M - Aged Debtors'!H146</f>
        <v/>
      </c>
      <c r="LT146" s="829" t="str">
        <f>'M - Aged Debtors'!I146</f>
        <v/>
      </c>
      <c r="LU146" s="830" t="str">
        <f>'M - Aged Debtors'!J146</f>
        <v/>
      </c>
      <c r="LV146" s="1830">
        <f>'M - Aged Debtors'!K146</f>
        <v>0</v>
      </c>
      <c r="LX146" s="2460">
        <f>'N - GMS'!A146</f>
        <v>0</v>
      </c>
      <c r="LY146" s="2460"/>
      <c r="LZ146" s="2461"/>
      <c r="MA146" s="2462"/>
      <c r="MB146" s="2462"/>
      <c r="MC146" s="2462"/>
      <c r="MD146" s="2462"/>
      <c r="ME146" s="213"/>
      <c r="MF146" s="238"/>
      <c r="MR146" s="684"/>
      <c r="MS146" s="684"/>
      <c r="MT146" s="684"/>
      <c r="MU146" s="684"/>
      <c r="MV146" s="684"/>
      <c r="MW146" s="684"/>
      <c r="MX146" s="684"/>
      <c r="MY146" s="684"/>
      <c r="MZ146" s="684"/>
      <c r="NA146" s="684"/>
      <c r="NB146" s="684"/>
      <c r="NC146" s="684"/>
      <c r="ND146" s="684"/>
      <c r="NE146" s="684"/>
      <c r="NF146" s="684"/>
      <c r="NG146" s="684"/>
      <c r="NH146" s="684"/>
      <c r="NI146" s="684"/>
      <c r="NJ146" s="684"/>
      <c r="NK146" s="684"/>
    </row>
    <row r="147" spans="76:375" ht="20.149999999999999" customHeight="1" thickTop="1" thickBot="1">
      <c r="BX147" s="1107">
        <f>' Table Z Net Exp Profiles'!A147</f>
        <v>109</v>
      </c>
      <c r="BY147" s="1270" t="str">
        <f>' Table Z Net Exp Profiles'!B147</f>
        <v>Net CHC / FNC Expenditure - Movement Other</v>
      </c>
      <c r="BZ147" s="1110">
        <f>' Table Z Net Exp Profiles'!C147</f>
        <v>0</v>
      </c>
      <c r="CA147" s="1110">
        <f>' Table Z Net Exp Profiles'!D147</f>
        <v>0</v>
      </c>
      <c r="CB147" s="1110">
        <f>' Table Z Net Exp Profiles'!E147</f>
        <v>0</v>
      </c>
      <c r="CC147" s="1110">
        <f>' Table Z Net Exp Profiles'!F147</f>
        <v>0</v>
      </c>
      <c r="CD147" s="1110">
        <f>' Table Z Net Exp Profiles'!G147</f>
        <v>0</v>
      </c>
      <c r="CE147" s="1110">
        <f>' Table Z Net Exp Profiles'!H147</f>
        <v>0</v>
      </c>
      <c r="CF147" s="1110">
        <f>' Table Z Net Exp Profiles'!I147</f>
        <v>0</v>
      </c>
      <c r="CG147" s="1110">
        <f>' Table Z Net Exp Profiles'!J147</f>
        <v>0</v>
      </c>
      <c r="CH147" s="1110">
        <f>' Table Z Net Exp Profiles'!K147</f>
        <v>0</v>
      </c>
      <c r="CI147" s="1110">
        <f>' Table Z Net Exp Profiles'!L147</f>
        <v>0</v>
      </c>
      <c r="CJ147" s="1110">
        <f>' Table Z Net Exp Profiles'!M147</f>
        <v>0</v>
      </c>
      <c r="CK147" s="1110">
        <f>' Table Z Net Exp Profiles'!N147</f>
        <v>0</v>
      </c>
      <c r="CL147" s="1110">
        <f>' Table Z Net Exp Profiles'!O147</f>
        <v>0</v>
      </c>
      <c r="CM147" s="1110">
        <f>' Table Z Net Exp Profiles'!P147</f>
        <v>0</v>
      </c>
      <c r="DF147" s="1910">
        <f>'B3 - COVID-19'!A147</f>
        <v>108</v>
      </c>
      <c r="DG147" s="2832" t="str">
        <f>'B3 - COVID-19'!B147</f>
        <v>Total Planned COVID-19 Expenditure</v>
      </c>
      <c r="DH147" s="2745">
        <f>'B3 - COVID-19'!C147</f>
        <v>984.98719000000006</v>
      </c>
      <c r="DI147" s="2746">
        <f>'B3 - COVID-19'!D147</f>
        <v>1046.9339092508944</v>
      </c>
      <c r="DJ147" s="2746">
        <f>'B3 - COVID-19'!E147</f>
        <v>1570.2463429260856</v>
      </c>
      <c r="DK147" s="2746">
        <f>'B3 - COVID-19'!F147</f>
        <v>1144.7442342508946</v>
      </c>
      <c r="DL147" s="2746">
        <f>'B3 - COVID-19'!G147</f>
        <v>1135.2442342508946</v>
      </c>
      <c r="DM147" s="2746">
        <f>'B3 - COVID-19'!H147</f>
        <v>1651.787351259419</v>
      </c>
      <c r="DN147" s="2746">
        <f>'B3 - COVID-19'!I147</f>
        <v>1438.7479469858174</v>
      </c>
      <c r="DO147" s="2746">
        <f>'B3 - COVID-19'!J147</f>
        <v>1383.9683758416022</v>
      </c>
      <c r="DP147" s="2746">
        <f>'B3 - COVID-19'!K147</f>
        <v>1908.3053386524839</v>
      </c>
      <c r="DQ147" s="2746">
        <f>'B3 - COVID-19'!L147</f>
        <v>1416.7479469858174</v>
      </c>
      <c r="DR147" s="2746">
        <f>'B3 - COVID-19'!M147</f>
        <v>1364.7229546973872</v>
      </c>
      <c r="DS147" s="2746">
        <f>'B3 - COVID-19'!N147</f>
        <v>1883.5641758747061</v>
      </c>
      <c r="DT147" s="2793">
        <f>'B3 - COVID-19'!O147</f>
        <v>984.98719000000006</v>
      </c>
      <c r="DU147" s="2794">
        <f>'B3 - COVID-19'!P147</f>
        <v>16930.000000976004</v>
      </c>
      <c r="DV147" s="608"/>
      <c r="DW147" s="1116"/>
      <c r="LL147" s="814"/>
      <c r="LM147" s="2197">
        <f>'M - Aged Debtors'!B147</f>
        <v>0</v>
      </c>
      <c r="LN147" s="2198">
        <f>'M - Aged Debtors'!C147</f>
        <v>0</v>
      </c>
      <c r="LO147" s="2199">
        <f>'M - Aged Debtors'!D147</f>
        <v>0</v>
      </c>
      <c r="LP147" s="2200">
        <f>'M - Aged Debtors'!E147</f>
        <v>0</v>
      </c>
      <c r="LQ147" s="2201">
        <f>'M - Aged Debtors'!F147</f>
        <v>0</v>
      </c>
      <c r="LR147" s="832" t="str">
        <f>'M - Aged Debtors'!G147</f>
        <v/>
      </c>
      <c r="LS147" s="829" t="str">
        <f>'M - Aged Debtors'!H147</f>
        <v/>
      </c>
      <c r="LT147" s="829" t="str">
        <f>'M - Aged Debtors'!I147</f>
        <v/>
      </c>
      <c r="LU147" s="830" t="str">
        <f>'M - Aged Debtors'!J147</f>
        <v/>
      </c>
      <c r="LV147" s="1830">
        <f>'M - Aged Debtors'!K147</f>
        <v>0</v>
      </c>
      <c r="LX147" s="230" t="str">
        <f>'N - GMS'!A147</f>
        <v>TOTAL LHB Administered (must equal line 12)</v>
      </c>
      <c r="LY147" s="523"/>
      <c r="LZ147" s="524">
        <f>'N - GMS'!C147</f>
        <v>109</v>
      </c>
      <c r="MA147" s="1851">
        <f>'N - GMS'!D147</f>
        <v>0</v>
      </c>
      <c r="MB147" s="1852">
        <f>'N - GMS'!E147</f>
        <v>0</v>
      </c>
      <c r="MC147" s="1853">
        <f>'N - GMS'!F147</f>
        <v>0</v>
      </c>
      <c r="MD147" s="457">
        <f>'N - GMS'!G147</f>
        <v>0</v>
      </c>
      <c r="ME147" s="213"/>
      <c r="MF147" s="458">
        <f>'N - GMS'!I147</f>
        <v>0</v>
      </c>
      <c r="MR147" s="684"/>
      <c r="MS147" s="684"/>
      <c r="MT147" s="684"/>
      <c r="MU147" s="684"/>
      <c r="MV147" s="684"/>
      <c r="MW147" s="684"/>
      <c r="MX147" s="684"/>
      <c r="MY147" s="684"/>
      <c r="MZ147" s="684"/>
      <c r="NA147" s="684"/>
      <c r="NB147" s="684"/>
      <c r="NC147" s="684"/>
      <c r="ND147" s="684"/>
      <c r="NE147" s="684"/>
      <c r="NF147" s="684"/>
      <c r="NG147" s="684"/>
      <c r="NH147" s="684"/>
      <c r="NI147" s="684"/>
      <c r="NJ147" s="684"/>
      <c r="NK147" s="684"/>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8">
        <f>'B3 - COVID-19'!A148</f>
        <v>109</v>
      </c>
      <c r="DG148" s="2833" t="str">
        <f>'B3 - COVID-19'!B148</f>
        <v>Total Actual/Forecast COVID-19 Expenditure</v>
      </c>
      <c r="DH148" s="2750">
        <f>'B3 - COVID-19'!C148</f>
        <v>984.98719000000006</v>
      </c>
      <c r="DI148" s="2751">
        <f>'B3 - COVID-19'!D148</f>
        <v>1046.9339092508944</v>
      </c>
      <c r="DJ148" s="2751">
        <f>'B3 - COVID-19'!E148</f>
        <v>1570.2463429260858</v>
      </c>
      <c r="DK148" s="2751">
        <f>'B3 - COVID-19'!F148</f>
        <v>1144.7442342508946</v>
      </c>
      <c r="DL148" s="2751">
        <f>'B3 - COVID-19'!G148</f>
        <v>1135.2442342508946</v>
      </c>
      <c r="DM148" s="2751">
        <f>'B3 - COVID-19'!H148</f>
        <v>1651.7873512594192</v>
      </c>
      <c r="DN148" s="2751">
        <f>'B3 - COVID-19'!I148</f>
        <v>1438.7479469858172</v>
      </c>
      <c r="DO148" s="2751">
        <f>'B3 - COVID-19'!J148</f>
        <v>1383.9683758416022</v>
      </c>
      <c r="DP148" s="2751">
        <f>'B3 - COVID-19'!K148</f>
        <v>1908.3053386524839</v>
      </c>
      <c r="DQ148" s="2751">
        <f>'B3 - COVID-19'!L148</f>
        <v>1416.7479469858172</v>
      </c>
      <c r="DR148" s="2751">
        <f>'B3 - COVID-19'!M148</f>
        <v>1364.7229546973872</v>
      </c>
      <c r="DS148" s="2751">
        <f>'B3 - COVID-19'!N148</f>
        <v>1883.5641758747061</v>
      </c>
      <c r="DT148" s="2755">
        <f>'B3 - COVID-19'!O148</f>
        <v>984.98719000000006</v>
      </c>
      <c r="DU148" s="2756">
        <f>'B3 - COVID-19'!P148</f>
        <v>16930.000000976004</v>
      </c>
      <c r="DV148" s="608"/>
      <c r="DW148" s="1116"/>
      <c r="LL148" s="814"/>
      <c r="LM148" s="2197">
        <f>'M - Aged Debtors'!B148</f>
        <v>0</v>
      </c>
      <c r="LN148" s="2198">
        <f>'M - Aged Debtors'!C148</f>
        <v>0</v>
      </c>
      <c r="LO148" s="2199">
        <f>'M - Aged Debtors'!D148</f>
        <v>0</v>
      </c>
      <c r="LP148" s="2200">
        <f>'M - Aged Debtors'!E148</f>
        <v>0</v>
      </c>
      <c r="LQ148" s="2201">
        <f>'M - Aged Debtors'!F148</f>
        <v>0</v>
      </c>
      <c r="LR148" s="832" t="str">
        <f>'M - Aged Debtors'!G148</f>
        <v/>
      </c>
      <c r="LS148" s="829" t="str">
        <f>'M - Aged Debtors'!H148</f>
        <v/>
      </c>
      <c r="LT148" s="829" t="str">
        <f>'M - Aged Debtors'!I148</f>
        <v/>
      </c>
      <c r="LU148" s="830" t="str">
        <f>'M - Aged Debtors'!J148</f>
        <v/>
      </c>
      <c r="LV148" s="1830">
        <f>'M - Aged Debtors'!K148</f>
        <v>0</v>
      </c>
      <c r="LX148" s="430"/>
      <c r="LY148" s="430"/>
      <c r="LZ148" s="430"/>
      <c r="MA148" s="241"/>
      <c r="MB148" s="241"/>
      <c r="MC148" s="500"/>
      <c r="MD148" s="239"/>
      <c r="ME148" s="239"/>
      <c r="MF148" s="239"/>
      <c r="MR148" s="684"/>
      <c r="MS148" s="684"/>
      <c r="MT148" s="684"/>
      <c r="MU148" s="684"/>
      <c r="MV148" s="684"/>
      <c r="MW148" s="684"/>
      <c r="MX148" s="684"/>
      <c r="MY148" s="684"/>
      <c r="MZ148" s="684"/>
      <c r="NA148" s="684"/>
      <c r="NB148" s="684"/>
      <c r="NC148" s="684"/>
      <c r="ND148" s="684"/>
      <c r="NE148" s="684"/>
      <c r="NF148" s="684"/>
      <c r="NG148" s="684"/>
      <c r="NH148" s="684"/>
      <c r="NI148" s="684"/>
      <c r="NJ148" s="684"/>
      <c r="NK148" s="684"/>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8">
        <f>'B3 - COVID-19'!A149</f>
        <v>110</v>
      </c>
      <c r="DG149" s="2833" t="str">
        <f>'B3 - COVID-19'!B149</f>
        <v>Movement from Planned Expenditure</v>
      </c>
      <c r="DH149" s="2754">
        <f>'B3 - COVID-19'!C149</f>
        <v>0</v>
      </c>
      <c r="DI149" s="2755">
        <f>'B3 - COVID-19'!D149</f>
        <v>0</v>
      </c>
      <c r="DJ149" s="2755">
        <f>'B3 - COVID-19'!E149</f>
        <v>0</v>
      </c>
      <c r="DK149" s="2755">
        <f>'B3 - COVID-19'!F149</f>
        <v>0</v>
      </c>
      <c r="DL149" s="2755">
        <f>'B3 - COVID-19'!G149</f>
        <v>0</v>
      </c>
      <c r="DM149" s="2755">
        <f>'B3 - COVID-19'!H149</f>
        <v>0</v>
      </c>
      <c r="DN149" s="2755">
        <f>'B3 - COVID-19'!I149</f>
        <v>0</v>
      </c>
      <c r="DO149" s="2755">
        <f>'B3 - COVID-19'!J149</f>
        <v>0</v>
      </c>
      <c r="DP149" s="2755">
        <f>'B3 - COVID-19'!K149</f>
        <v>0</v>
      </c>
      <c r="DQ149" s="2755">
        <f>'B3 - COVID-19'!L149</f>
        <v>0</v>
      </c>
      <c r="DR149" s="2755">
        <f>'B3 - COVID-19'!M149</f>
        <v>0</v>
      </c>
      <c r="DS149" s="2755">
        <f>'B3 - COVID-19'!N149</f>
        <v>0</v>
      </c>
      <c r="DT149" s="2755">
        <f>'B3 - COVID-19'!O149</f>
        <v>0</v>
      </c>
      <c r="DU149" s="2756">
        <f>'B3 - COVID-19'!P149</f>
        <v>0</v>
      </c>
      <c r="DV149" s="608"/>
      <c r="DW149" s="1116"/>
      <c r="LL149" s="814"/>
      <c r="LM149" s="2197">
        <f>'M - Aged Debtors'!B149</f>
        <v>0</v>
      </c>
      <c r="LN149" s="2198">
        <f>'M - Aged Debtors'!C149</f>
        <v>0</v>
      </c>
      <c r="LO149" s="2199">
        <f>'M - Aged Debtors'!D149</f>
        <v>0</v>
      </c>
      <c r="LP149" s="2200">
        <f>'M - Aged Debtors'!E149</f>
        <v>0</v>
      </c>
      <c r="LQ149" s="2201">
        <f>'M - Aged Debtors'!F149</f>
        <v>0</v>
      </c>
      <c r="LR149" s="832" t="str">
        <f>'M - Aged Debtors'!G149</f>
        <v/>
      </c>
      <c r="LS149" s="829" t="str">
        <f>'M - Aged Debtors'!H149</f>
        <v/>
      </c>
      <c r="LT149" s="829" t="str">
        <f>'M - Aged Debtors'!I149</f>
        <v/>
      </c>
      <c r="LU149" s="830" t="str">
        <f>'M - Aged Debtors'!J149</f>
        <v/>
      </c>
      <c r="LV149" s="1830">
        <f>'M - Aged Debtors'!K149</f>
        <v>0</v>
      </c>
      <c r="LX149" s="430"/>
      <c r="LY149" s="430"/>
      <c r="LZ149" s="430"/>
      <c r="MA149" s="241"/>
      <c r="MB149" s="241"/>
      <c r="MC149" s="500"/>
      <c r="MD149" s="239"/>
      <c r="ME149" s="239"/>
      <c r="MF149" s="239"/>
      <c r="MR149" s="684"/>
      <c r="MS149" s="684"/>
      <c r="MT149" s="684"/>
      <c r="MU149" s="684"/>
      <c r="MV149" s="684"/>
      <c r="MW149" s="684"/>
      <c r="MX149" s="684"/>
      <c r="MY149" s="684"/>
      <c r="MZ149" s="684"/>
      <c r="NA149" s="684"/>
      <c r="NB149" s="684"/>
      <c r="NC149" s="684"/>
      <c r="ND149" s="684"/>
      <c r="NE149" s="684"/>
      <c r="NF149" s="684"/>
      <c r="NG149" s="684"/>
      <c r="NH149" s="684"/>
      <c r="NI149" s="684"/>
      <c r="NJ149" s="684"/>
      <c r="NK149" s="684"/>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30"/>
      <c r="DG150" s="2834"/>
      <c r="DH150" s="2795"/>
      <c r="DI150" s="2791"/>
      <c r="DJ150" s="2791"/>
      <c r="DK150" s="2791"/>
      <c r="DL150" s="2791"/>
      <c r="DM150" s="2791"/>
      <c r="DN150" s="2791"/>
      <c r="DO150" s="2791"/>
      <c r="DP150" s="2791"/>
      <c r="DQ150" s="2791"/>
      <c r="DR150" s="2791"/>
      <c r="DS150" s="2791"/>
      <c r="DT150" s="2792"/>
      <c r="DU150" s="2777"/>
      <c r="DV150" s="608"/>
      <c r="DW150" s="1116"/>
      <c r="LL150" s="814"/>
      <c r="LM150" s="2197">
        <f>'M - Aged Debtors'!B150</f>
        <v>0</v>
      </c>
      <c r="LN150" s="2198">
        <f>'M - Aged Debtors'!C150</f>
        <v>0</v>
      </c>
      <c r="LO150" s="2199">
        <f>'M - Aged Debtors'!D150</f>
        <v>0</v>
      </c>
      <c r="LP150" s="2200">
        <f>'M - Aged Debtors'!E150</f>
        <v>0</v>
      </c>
      <c r="LQ150" s="2201">
        <f>'M - Aged Debtors'!F150</f>
        <v>0</v>
      </c>
      <c r="LR150" s="832" t="str">
        <f>'M - Aged Debtors'!G150</f>
        <v/>
      </c>
      <c r="LS150" s="829" t="str">
        <f>'M - Aged Debtors'!H150</f>
        <v/>
      </c>
      <c r="LT150" s="829" t="str">
        <f>'M - Aged Debtors'!I150</f>
        <v/>
      </c>
      <c r="LU150" s="830" t="str">
        <f>'M - Aged Debtors'!J150</f>
        <v/>
      </c>
      <c r="LV150" s="1830">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4"/>
      <c r="MS150" s="684"/>
      <c r="MT150" s="684"/>
      <c r="MU150" s="684"/>
      <c r="MV150" s="684"/>
      <c r="MW150" s="684"/>
      <c r="MX150" s="684"/>
      <c r="MY150" s="684"/>
      <c r="MZ150" s="684"/>
      <c r="NA150" s="684"/>
      <c r="NB150" s="684"/>
      <c r="NC150" s="684"/>
      <c r="ND150" s="684"/>
      <c r="NE150" s="684"/>
      <c r="NF150" s="684"/>
      <c r="NG150" s="684"/>
      <c r="NH150" s="684"/>
      <c r="NI150" s="684"/>
      <c r="NJ150" s="684"/>
      <c r="NK150" s="684"/>
    </row>
    <row r="151" spans="76:375" ht="20.149999999999999" customHeight="1" thickBot="1">
      <c r="BX151" s="84"/>
      <c r="BY151" s="1209"/>
      <c r="BZ151" s="1221">
        <f>' Table Z Net Exp Profiles'!C151</f>
        <v>1</v>
      </c>
      <c r="CA151" s="1222">
        <f>' Table Z Net Exp Profiles'!D151</f>
        <v>2</v>
      </c>
      <c r="CB151" s="1222">
        <f>' Table Z Net Exp Profiles'!E151</f>
        <v>3</v>
      </c>
      <c r="CC151" s="1222">
        <f>' Table Z Net Exp Profiles'!F151</f>
        <v>4</v>
      </c>
      <c r="CD151" s="1222">
        <f>' Table Z Net Exp Profiles'!G151</f>
        <v>5</v>
      </c>
      <c r="CE151" s="1222">
        <f>' Table Z Net Exp Profiles'!H151</f>
        <v>6</v>
      </c>
      <c r="CF151" s="1222">
        <f>' Table Z Net Exp Profiles'!I151</f>
        <v>7</v>
      </c>
      <c r="CG151" s="1222">
        <f>' Table Z Net Exp Profiles'!J151</f>
        <v>8</v>
      </c>
      <c r="CH151" s="1222">
        <f>' Table Z Net Exp Profiles'!K151</f>
        <v>9</v>
      </c>
      <c r="CI151" s="1222">
        <f>' Table Z Net Exp Profiles'!L151</f>
        <v>10</v>
      </c>
      <c r="CJ151" s="1222">
        <f>' Table Z Net Exp Profiles'!M151</f>
        <v>11</v>
      </c>
      <c r="CK151" s="1223">
        <f>' Table Z Net Exp Profiles'!N151</f>
        <v>12</v>
      </c>
      <c r="CL151" s="1210"/>
      <c r="CM151" s="1211"/>
      <c r="DF151" s="2748">
        <f>'B3 - COVID-19'!A151</f>
        <v>111</v>
      </c>
      <c r="DG151" s="2834" t="str">
        <f>'B3 - COVID-19'!B151</f>
        <v>Total Planned Funding</v>
      </c>
      <c r="DH151" s="2750">
        <f>'B3 - COVID-19'!C151</f>
        <v>984.98699999999997</v>
      </c>
      <c r="DI151" s="2751">
        <f>'B3 - COVID-19'!D151</f>
        <v>1046.9339092508944</v>
      </c>
      <c r="DJ151" s="2751">
        <f>'B3 - COVID-19'!E151</f>
        <v>1570.2463429260856</v>
      </c>
      <c r="DK151" s="2751">
        <f>'B3 - COVID-19'!F151</f>
        <v>1144.7442342508946</v>
      </c>
      <c r="DL151" s="2751">
        <f>'B3 - COVID-19'!G151</f>
        <v>1135.2442342508946</v>
      </c>
      <c r="DM151" s="2751">
        <f>'B3 - COVID-19'!H151</f>
        <v>1651.787351259419</v>
      </c>
      <c r="DN151" s="2751">
        <f>'B3 - COVID-19'!I151</f>
        <v>1438.7479469858174</v>
      </c>
      <c r="DO151" s="2751">
        <f>'B3 - COVID-19'!J151</f>
        <v>1383.9683758416022</v>
      </c>
      <c r="DP151" s="2751">
        <f>'B3 - COVID-19'!K151</f>
        <v>1908.3053386524839</v>
      </c>
      <c r="DQ151" s="2751">
        <f>'B3 - COVID-19'!L151</f>
        <v>1416.7479469858174</v>
      </c>
      <c r="DR151" s="2751">
        <f>'B3 - COVID-19'!M151</f>
        <v>1364.7229546973872</v>
      </c>
      <c r="DS151" s="2751">
        <f>'B3 - COVID-19'!N151</f>
        <v>1883.5641758747061</v>
      </c>
      <c r="DT151" s="2755">
        <f>'B3 - COVID-19'!O151</f>
        <v>984.98699999999997</v>
      </c>
      <c r="DU151" s="2756">
        <f>'B3 - COVID-19'!P151</f>
        <v>16929.999810976002</v>
      </c>
      <c r="DV151" s="608"/>
      <c r="DW151" s="1116"/>
      <c r="LL151" s="814"/>
      <c r="LM151" s="641"/>
      <c r="LN151" s="642"/>
      <c r="LO151" s="643"/>
      <c r="LP151" s="834">
        <f>'M - Aged Debtors'!E151</f>
        <v>10862.34</v>
      </c>
      <c r="LQ151" s="834">
        <f>'M - Aged Debtors'!F151</f>
        <v>10862.34</v>
      </c>
      <c r="LR151" s="644"/>
      <c r="LS151" s="835">
        <f>'M - Aged Debtors'!H151</f>
        <v>10862.34</v>
      </c>
      <c r="LT151" s="835">
        <f>'M - Aged Debtors'!I151</f>
        <v>0</v>
      </c>
      <c r="LU151" s="645"/>
      <c r="LV151" s="641"/>
      <c r="LX151" s="3154"/>
      <c r="LY151" s="3155"/>
      <c r="LZ151" s="3157"/>
      <c r="MA151" s="3159"/>
      <c r="MB151" s="3159"/>
      <c r="MC151" s="3159"/>
      <c r="MD151" s="3159"/>
      <c r="ME151" s="526"/>
      <c r="MF151" s="3159"/>
      <c r="MR151" s="684"/>
      <c r="MS151" s="684"/>
      <c r="MT151" s="684"/>
      <c r="MU151" s="684"/>
      <c r="MV151" s="684"/>
      <c r="MW151" s="684"/>
      <c r="MX151" s="684"/>
      <c r="MY151" s="684"/>
      <c r="MZ151" s="684"/>
      <c r="NA151" s="684"/>
      <c r="NB151" s="684"/>
      <c r="NC151" s="684"/>
      <c r="ND151" s="684"/>
      <c r="NE151" s="684"/>
      <c r="NF151" s="684"/>
      <c r="NG151" s="684"/>
      <c r="NH151" s="684"/>
      <c r="NI151" s="684"/>
      <c r="NJ151" s="684"/>
      <c r="NK151" s="684"/>
    </row>
    <row r="152" spans="76:375" ht="20.149999999999999" customHeight="1">
      <c r="BX152" s="84"/>
      <c r="BY152" s="1212" t="str">
        <f>' Table Z Net Exp Profiles'!B152</f>
        <v>Commissioned Services - Expenditure Profiles</v>
      </c>
      <c r="BZ152" s="1224" t="str">
        <f>' Table Z Net Exp Profiles'!C152</f>
        <v>Apr</v>
      </c>
      <c r="CA152" s="1225" t="str">
        <f>' Table Z Net Exp Profiles'!D152</f>
        <v>May</v>
      </c>
      <c r="CB152" s="1225" t="str">
        <f>' Table Z Net Exp Profiles'!E152</f>
        <v>Jun</v>
      </c>
      <c r="CC152" s="1225" t="str">
        <f>' Table Z Net Exp Profiles'!F152</f>
        <v>Jul</v>
      </c>
      <c r="CD152" s="1225" t="str">
        <f>' Table Z Net Exp Profiles'!G152</f>
        <v>Aug</v>
      </c>
      <c r="CE152" s="1225" t="str">
        <f>' Table Z Net Exp Profiles'!H152</f>
        <v>Sep</v>
      </c>
      <c r="CF152" s="1225" t="str">
        <f>' Table Z Net Exp Profiles'!I152</f>
        <v>Oct</v>
      </c>
      <c r="CG152" s="1225" t="str">
        <f>' Table Z Net Exp Profiles'!J152</f>
        <v>Nov</v>
      </c>
      <c r="CH152" s="1225" t="str">
        <f>' Table Z Net Exp Profiles'!K152</f>
        <v>Dec</v>
      </c>
      <c r="CI152" s="1225" t="str">
        <f>' Table Z Net Exp Profiles'!L152</f>
        <v>Jan</v>
      </c>
      <c r="CJ152" s="1225" t="str">
        <f>' Table Z Net Exp Profiles'!M152</f>
        <v>Feb</v>
      </c>
      <c r="CK152" s="1226" t="str">
        <f>' Table Z Net Exp Profiles'!N152</f>
        <v>Mar</v>
      </c>
      <c r="CL152" s="1227" t="str">
        <f>' Table Z Net Exp Profiles'!O152</f>
        <v>Total YTD</v>
      </c>
      <c r="CM152" s="1227" t="str">
        <f>' Table Z Net Exp Profiles'!P152</f>
        <v>Forecast year-end position</v>
      </c>
      <c r="DF152" s="2748">
        <f>'B3 - COVID-19'!A152</f>
        <v>112</v>
      </c>
      <c r="DG152" s="2834" t="str">
        <f>'B3 - COVID-19'!B152</f>
        <v>Total Actual/Forecast COVID-19 Funding excluding Virements</v>
      </c>
      <c r="DH152" s="2750">
        <f>'B3 - COVID-19'!C152</f>
        <v>984.98699999999997</v>
      </c>
      <c r="DI152" s="2751">
        <f>'B3 - COVID-19'!D152</f>
        <v>1046.9339092508944</v>
      </c>
      <c r="DJ152" s="2751">
        <f>'B3 - COVID-19'!E152</f>
        <v>1570.2463429260856</v>
      </c>
      <c r="DK152" s="2751">
        <f>'B3 - COVID-19'!F152</f>
        <v>1144.7442342508946</v>
      </c>
      <c r="DL152" s="2751">
        <f>'B3 - COVID-19'!G152</f>
        <v>1135.2442342508946</v>
      </c>
      <c r="DM152" s="2751">
        <f>'B3 - COVID-19'!H152</f>
        <v>1651.787351259419</v>
      </c>
      <c r="DN152" s="2751">
        <f>'B3 - COVID-19'!I152</f>
        <v>1438.7479469858174</v>
      </c>
      <c r="DO152" s="2751">
        <f>'B3 - COVID-19'!J152</f>
        <v>1383.9683758416022</v>
      </c>
      <c r="DP152" s="2751">
        <f>'B3 - COVID-19'!K152</f>
        <v>1908.3053386524839</v>
      </c>
      <c r="DQ152" s="2751">
        <f>'B3 - COVID-19'!L152</f>
        <v>1416.7479469858174</v>
      </c>
      <c r="DR152" s="2751">
        <f>'B3 - COVID-19'!M152</f>
        <v>1364.7229546973872</v>
      </c>
      <c r="DS152" s="2751">
        <f>'B3 - COVID-19'!N152</f>
        <v>1883.5641758747061</v>
      </c>
      <c r="DT152" s="2755">
        <f>'B3 - COVID-19'!O152</f>
        <v>984.98699999999997</v>
      </c>
      <c r="DU152" s="2756">
        <f>'B3 - COVID-19'!P152</f>
        <v>16929.999810976002</v>
      </c>
      <c r="DV152" s="608"/>
      <c r="DW152" s="1116"/>
      <c r="LL152" s="814"/>
      <c r="LM152" s="819"/>
      <c r="LN152" s="820"/>
      <c r="LO152" s="821"/>
      <c r="LP152" s="821"/>
      <c r="LQ152" s="822"/>
      <c r="LR152" s="821"/>
      <c r="LS152" s="823"/>
      <c r="LT152" s="823"/>
      <c r="LU152" s="814"/>
      <c r="LV152" s="814"/>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70"/>
      <c r="MF152" s="1028">
        <f>'N - GMS'!I152</f>
        <v>0</v>
      </c>
      <c r="MR152" s="684"/>
      <c r="MS152" s="684"/>
      <c r="MT152" s="684"/>
      <c r="MU152" s="684"/>
      <c r="MV152" s="684"/>
      <c r="MW152" s="684"/>
      <c r="MX152" s="684"/>
      <c r="MY152" s="684"/>
      <c r="MZ152" s="684"/>
      <c r="NA152" s="684"/>
      <c r="NB152" s="684"/>
      <c r="NC152" s="684"/>
      <c r="ND152" s="684"/>
      <c r="NE152" s="684"/>
      <c r="NF152" s="684"/>
      <c r="NG152" s="684"/>
      <c r="NH152" s="684"/>
      <c r="NI152" s="684"/>
      <c r="NJ152" s="684"/>
      <c r="NK152" s="684"/>
    </row>
    <row r="153" spans="76:375" ht="20.149999999999999" customHeight="1" thickBot="1">
      <c r="BX153" s="84"/>
      <c r="BY153" s="1213"/>
      <c r="BZ153" s="1228" t="str">
        <f>' Table Z Net Exp Profiles'!C153</f>
        <v>£'000</v>
      </c>
      <c r="CA153" s="1229" t="str">
        <f>' Table Z Net Exp Profiles'!D153</f>
        <v>£'000</v>
      </c>
      <c r="CB153" s="1229" t="str">
        <f>' Table Z Net Exp Profiles'!E153</f>
        <v>£'000</v>
      </c>
      <c r="CC153" s="1229" t="str">
        <f>' Table Z Net Exp Profiles'!F153</f>
        <v>£'000</v>
      </c>
      <c r="CD153" s="1229" t="str">
        <f>' Table Z Net Exp Profiles'!G153</f>
        <v>£'000</v>
      </c>
      <c r="CE153" s="1229" t="str">
        <f>' Table Z Net Exp Profiles'!H153</f>
        <v>£'000</v>
      </c>
      <c r="CF153" s="1229" t="str">
        <f>' Table Z Net Exp Profiles'!I153</f>
        <v>£'000</v>
      </c>
      <c r="CG153" s="1229" t="str">
        <f>' Table Z Net Exp Profiles'!J153</f>
        <v>£'000</v>
      </c>
      <c r="CH153" s="1229" t="str">
        <f>' Table Z Net Exp Profiles'!K153</f>
        <v>£'000</v>
      </c>
      <c r="CI153" s="1229" t="str">
        <f>' Table Z Net Exp Profiles'!L153</f>
        <v>£'000</v>
      </c>
      <c r="CJ153" s="1229" t="str">
        <f>' Table Z Net Exp Profiles'!M153</f>
        <v>£'000</v>
      </c>
      <c r="CK153" s="1230" t="str">
        <f>' Table Z Net Exp Profiles'!N153</f>
        <v>£'000</v>
      </c>
      <c r="CL153" s="1231" t="str">
        <f>' Table Z Net Exp Profiles'!O153</f>
        <v>£'000</v>
      </c>
      <c r="CM153" s="1231" t="str">
        <f>' Table Z Net Exp Profiles'!P153</f>
        <v>£'000</v>
      </c>
      <c r="DF153" s="2748">
        <f>'B3 - COVID-19'!A153</f>
        <v>113</v>
      </c>
      <c r="DG153" s="2834" t="str">
        <f>'B3 - COVID-19'!B153</f>
        <v>Total Actual/Forecast COVID-19  Virements</v>
      </c>
      <c r="DH153" s="2750">
        <f>'B3 - COVID-19'!C153</f>
        <v>0</v>
      </c>
      <c r="DI153" s="2751">
        <f>'B3 - COVID-19'!D153</f>
        <v>0</v>
      </c>
      <c r="DJ153" s="2751">
        <f>'B3 - COVID-19'!E153</f>
        <v>0</v>
      </c>
      <c r="DK153" s="2751">
        <f>'B3 - COVID-19'!F153</f>
        <v>0</v>
      </c>
      <c r="DL153" s="2751">
        <f>'B3 - COVID-19'!G153</f>
        <v>0</v>
      </c>
      <c r="DM153" s="2751">
        <f>'B3 - COVID-19'!H153</f>
        <v>0</v>
      </c>
      <c r="DN153" s="2751">
        <f>'B3 - COVID-19'!I153</f>
        <v>0</v>
      </c>
      <c r="DO153" s="2751">
        <f>'B3 - COVID-19'!J153</f>
        <v>0</v>
      </c>
      <c r="DP153" s="2751">
        <f>'B3 - COVID-19'!K153</f>
        <v>0</v>
      </c>
      <c r="DQ153" s="2751">
        <f>'B3 - COVID-19'!L153</f>
        <v>0</v>
      </c>
      <c r="DR153" s="2751">
        <f>'B3 - COVID-19'!M153</f>
        <v>0</v>
      </c>
      <c r="DS153" s="2751">
        <f>'B3 - COVID-19'!N153</f>
        <v>0</v>
      </c>
      <c r="DT153" s="2755">
        <f>'B3 - COVID-19'!O153</f>
        <v>0</v>
      </c>
      <c r="DU153" s="2756">
        <f>'B3 - COVID-19'!P153</f>
        <v>0</v>
      </c>
      <c r="DV153" s="608"/>
      <c r="DW153" s="1116"/>
      <c r="LL153" s="814"/>
      <c r="LM153" s="819"/>
      <c r="LN153" s="820"/>
      <c r="LO153" s="821"/>
      <c r="LP153" s="821"/>
      <c r="LQ153" s="822"/>
      <c r="LR153" s="821"/>
      <c r="LS153" s="823"/>
      <c r="LT153" s="823"/>
      <c r="LU153" s="814"/>
      <c r="LV153" s="814"/>
      <c r="LX153" s="1670" t="str">
        <f>'N - GMS'!A153</f>
        <v>CRB checks</v>
      </c>
      <c r="LY153" s="1671"/>
      <c r="LZ153" s="527">
        <f>'N - GMS'!C153</f>
        <v>111</v>
      </c>
      <c r="MA153" s="67">
        <f>'N - GMS'!D153</f>
        <v>0</v>
      </c>
      <c r="MB153" s="67">
        <f>'N - GMS'!E153</f>
        <v>0</v>
      </c>
      <c r="MC153" s="67">
        <f>'N - GMS'!F153</f>
        <v>0</v>
      </c>
      <c r="MD153" s="67">
        <f>'N - GMS'!G153</f>
        <v>0</v>
      </c>
      <c r="ME153" s="1170"/>
      <c r="MF153" s="1854">
        <f>'N - GMS'!I153</f>
        <v>0</v>
      </c>
      <c r="MR153" s="684"/>
      <c r="MS153" s="684"/>
      <c r="MT153" s="684"/>
      <c r="MU153" s="684"/>
      <c r="MV153" s="684"/>
      <c r="MW153" s="684"/>
      <c r="MX153" s="684"/>
      <c r="MY153" s="684"/>
      <c r="MZ153" s="684"/>
      <c r="NA153" s="684"/>
      <c r="NB153" s="684"/>
      <c r="NC153" s="684"/>
      <c r="ND153" s="684"/>
      <c r="NE153" s="684"/>
      <c r="NF153" s="684"/>
      <c r="NG153" s="684"/>
      <c r="NH153" s="684"/>
      <c r="NI153" s="684"/>
      <c r="NJ153" s="684"/>
      <c r="NK153" s="684"/>
    </row>
    <row r="154" spans="76:375" ht="20.149999999999999" customHeight="1">
      <c r="BX154" s="86">
        <f>' Table Z Net Exp Profiles'!A154</f>
        <v>110</v>
      </c>
      <c r="BY154" s="1263" t="str">
        <f>' Table Z Net Exp Profiles'!B154</f>
        <v>Gross Commissioned Services Expenditure - Non Covid-19 - Current Plan</v>
      </c>
      <c r="BZ154" s="1217">
        <f>' Table Z Net Exp Profiles'!C154</f>
        <v>0</v>
      </c>
      <c r="CA154" s="1189">
        <f>' Table Z Net Exp Profiles'!D154</f>
        <v>0</v>
      </c>
      <c r="CB154" s="1189">
        <f>' Table Z Net Exp Profiles'!E154</f>
        <v>0</v>
      </c>
      <c r="CC154" s="1189">
        <f>' Table Z Net Exp Profiles'!F154</f>
        <v>0</v>
      </c>
      <c r="CD154" s="1189">
        <f>' Table Z Net Exp Profiles'!G154</f>
        <v>0</v>
      </c>
      <c r="CE154" s="1189">
        <f>' Table Z Net Exp Profiles'!H154</f>
        <v>0</v>
      </c>
      <c r="CF154" s="1189">
        <f>' Table Z Net Exp Profiles'!I154</f>
        <v>0</v>
      </c>
      <c r="CG154" s="1189">
        <f>' Table Z Net Exp Profiles'!J154</f>
        <v>0</v>
      </c>
      <c r="CH154" s="1189">
        <f>' Table Z Net Exp Profiles'!K154</f>
        <v>0</v>
      </c>
      <c r="CI154" s="1189">
        <f>' Table Z Net Exp Profiles'!L154</f>
        <v>0</v>
      </c>
      <c r="CJ154" s="1189">
        <f>' Table Z Net Exp Profiles'!M154</f>
        <v>0</v>
      </c>
      <c r="CK154" s="1189">
        <f>' Table Z Net Exp Profiles'!N154</f>
        <v>0</v>
      </c>
      <c r="CL154" s="1215">
        <f>' Table Z Net Exp Profiles'!O154</f>
        <v>0</v>
      </c>
      <c r="CM154" s="1215">
        <f>' Table Z Net Exp Profiles'!P154</f>
        <v>0</v>
      </c>
      <c r="DF154" s="2748">
        <f>'B3 - COVID-19'!A154</f>
        <v>114</v>
      </c>
      <c r="DG154" s="2834" t="str">
        <f>'B3 - COVID-19'!B154</f>
        <v xml:space="preserve">Total Actual/Forecast Funding </v>
      </c>
      <c r="DH154" s="2754">
        <f>'B3 - COVID-19'!C154</f>
        <v>984.98699999999997</v>
      </c>
      <c r="DI154" s="2755">
        <f>'B3 - COVID-19'!D154</f>
        <v>1046.9339092508944</v>
      </c>
      <c r="DJ154" s="2755">
        <f>'B3 - COVID-19'!E154</f>
        <v>1570.2463429260856</v>
      </c>
      <c r="DK154" s="2755">
        <f>'B3 - COVID-19'!F154</f>
        <v>1144.7442342508946</v>
      </c>
      <c r="DL154" s="2755">
        <f>'B3 - COVID-19'!G154</f>
        <v>1135.2442342508946</v>
      </c>
      <c r="DM154" s="2755">
        <f>'B3 - COVID-19'!H154</f>
        <v>1651.787351259419</v>
      </c>
      <c r="DN154" s="2755">
        <f>'B3 - COVID-19'!I154</f>
        <v>1438.7479469858174</v>
      </c>
      <c r="DO154" s="2755">
        <f>'B3 - COVID-19'!J154</f>
        <v>1383.9683758416022</v>
      </c>
      <c r="DP154" s="2755">
        <f>'B3 - COVID-19'!K154</f>
        <v>1908.3053386524839</v>
      </c>
      <c r="DQ154" s="2755">
        <f>'B3 - COVID-19'!L154</f>
        <v>1416.7479469858174</v>
      </c>
      <c r="DR154" s="2755">
        <f>'B3 - COVID-19'!M154</f>
        <v>1364.7229546973872</v>
      </c>
      <c r="DS154" s="2755">
        <f>'B3 - COVID-19'!N154</f>
        <v>1883.5641758747061</v>
      </c>
      <c r="DT154" s="2755">
        <f>'B3 - COVID-19'!O154</f>
        <v>984.98699999999997</v>
      </c>
      <c r="DU154" s="2756">
        <f>'B3 - COVID-19'!P154</f>
        <v>16929.999810976002</v>
      </c>
      <c r="DV154" s="608"/>
      <c r="DW154" s="1116"/>
      <c r="LL154" s="814"/>
      <c r="LM154" s="819"/>
      <c r="LN154" s="820"/>
      <c r="LO154" s="821"/>
      <c r="LP154" s="1158"/>
      <c r="LQ154" s="822"/>
      <c r="LR154" s="1158" t="str">
        <f>'M - Aged Debtors'!G154</f>
        <v>Invoices paid since the end of the month</v>
      </c>
      <c r="LS154" s="1855">
        <f>'M - Aged Debtors'!H154</f>
        <v>0</v>
      </c>
      <c r="LT154" s="1855">
        <f>'M - Aged Debtors'!I154</f>
        <v>0</v>
      </c>
      <c r="LU154" s="814"/>
      <c r="LV154" s="814"/>
      <c r="LX154" s="1670" t="str">
        <f>'N - GMS'!A154</f>
        <v>GP Locum payments</v>
      </c>
      <c r="LY154" s="1671"/>
      <c r="LZ154" s="527">
        <f>'N - GMS'!C154</f>
        <v>112</v>
      </c>
      <c r="MA154" s="67">
        <f>'N - GMS'!D154</f>
        <v>0</v>
      </c>
      <c r="MB154" s="67">
        <f>'N - GMS'!E154</f>
        <v>0</v>
      </c>
      <c r="MC154" s="67">
        <f>'N - GMS'!F154</f>
        <v>0</v>
      </c>
      <c r="MD154" s="67">
        <f>'N - GMS'!G154</f>
        <v>0</v>
      </c>
      <c r="ME154" s="1170"/>
      <c r="MF154" s="1854">
        <f>'N - GMS'!I154</f>
        <v>0</v>
      </c>
      <c r="MR154" s="684"/>
      <c r="MS154" s="684"/>
      <c r="MT154" s="684"/>
      <c r="MU154" s="684"/>
      <c r="MV154" s="684"/>
      <c r="MW154" s="684"/>
      <c r="MX154" s="684"/>
      <c r="MY154" s="684"/>
      <c r="MZ154" s="684"/>
      <c r="NA154" s="684"/>
      <c r="NB154" s="684"/>
      <c r="NC154" s="684"/>
      <c r="ND154" s="684"/>
      <c r="NE154" s="684"/>
      <c r="NF154" s="684"/>
      <c r="NG154" s="684"/>
      <c r="NH154" s="684"/>
      <c r="NI154" s="684"/>
      <c r="NJ154" s="684"/>
      <c r="NK154" s="684"/>
    </row>
    <row r="155" spans="76:375" ht="20.149999999999999" customHeight="1" thickBot="1">
      <c r="BX155" s="1191">
        <f>' Table Z Net Exp Profiles'!A155</f>
        <v>111</v>
      </c>
      <c r="BY155" s="2500" t="str">
        <f>' Table Z Net Exp Profiles'!B155</f>
        <v>Gross Commissioned Services Expenditure - Covid-19 - Current Plan</v>
      </c>
      <c r="BZ155" s="2501">
        <f>' Table Z Net Exp Profiles'!C155</f>
        <v>0</v>
      </c>
      <c r="CA155" s="1189">
        <f>' Table Z Net Exp Profiles'!D155</f>
        <v>0</v>
      </c>
      <c r="CB155" s="1189">
        <f>' Table Z Net Exp Profiles'!E155</f>
        <v>0</v>
      </c>
      <c r="CC155" s="1189">
        <f>' Table Z Net Exp Profiles'!F155</f>
        <v>0</v>
      </c>
      <c r="CD155" s="1189">
        <f>' Table Z Net Exp Profiles'!G155</f>
        <v>0</v>
      </c>
      <c r="CE155" s="1189">
        <f>' Table Z Net Exp Profiles'!H155</f>
        <v>0</v>
      </c>
      <c r="CF155" s="1189">
        <f>' Table Z Net Exp Profiles'!I155</f>
        <v>0</v>
      </c>
      <c r="CG155" s="1189">
        <f>' Table Z Net Exp Profiles'!J155</f>
        <v>0</v>
      </c>
      <c r="CH155" s="1189">
        <f>' Table Z Net Exp Profiles'!K155</f>
        <v>0</v>
      </c>
      <c r="CI155" s="1189">
        <f>' Table Z Net Exp Profiles'!L155</f>
        <v>0</v>
      </c>
      <c r="CJ155" s="1189">
        <f>' Table Z Net Exp Profiles'!M155</f>
        <v>0</v>
      </c>
      <c r="CK155" s="1189">
        <f>' Table Z Net Exp Profiles'!N155</f>
        <v>0</v>
      </c>
      <c r="CL155" s="1215">
        <f>' Table Z Net Exp Profiles'!O155</f>
        <v>0</v>
      </c>
      <c r="CM155" s="1215">
        <f>' Table Z Net Exp Profiles'!P155</f>
        <v>0</v>
      </c>
      <c r="DF155" s="2757">
        <f>'B3 - COVID-19'!A155</f>
        <v>115</v>
      </c>
      <c r="DG155" s="2835" t="str">
        <f>'B3 - COVID-19'!B155</f>
        <v>Movement from Planned Funding</v>
      </c>
      <c r="DH155" s="2759">
        <f>'B3 - COVID-19'!C155</f>
        <v>0</v>
      </c>
      <c r="DI155" s="2760">
        <f>'B3 - COVID-19'!D155</f>
        <v>0</v>
      </c>
      <c r="DJ155" s="2760">
        <f>'B3 - COVID-19'!E155</f>
        <v>0</v>
      </c>
      <c r="DK155" s="2760">
        <f>'B3 - COVID-19'!F155</f>
        <v>0</v>
      </c>
      <c r="DL155" s="2760">
        <f>'B3 - COVID-19'!G155</f>
        <v>0</v>
      </c>
      <c r="DM155" s="2760">
        <f>'B3 - COVID-19'!H155</f>
        <v>0</v>
      </c>
      <c r="DN155" s="2760">
        <f>'B3 - COVID-19'!I155</f>
        <v>0</v>
      </c>
      <c r="DO155" s="2760">
        <f>'B3 - COVID-19'!J155</f>
        <v>0</v>
      </c>
      <c r="DP155" s="2760">
        <f>'B3 - COVID-19'!K155</f>
        <v>0</v>
      </c>
      <c r="DQ155" s="2760">
        <f>'B3 - COVID-19'!L155</f>
        <v>0</v>
      </c>
      <c r="DR155" s="2760">
        <f>'B3 - COVID-19'!M155</f>
        <v>0</v>
      </c>
      <c r="DS155" s="2760">
        <f>'B3 - COVID-19'!N155</f>
        <v>0</v>
      </c>
      <c r="DT155" s="2760">
        <f>'B3 - COVID-19'!O155</f>
        <v>0</v>
      </c>
      <c r="DU155" s="2761">
        <f>'B3 - COVID-19'!P155</f>
        <v>0</v>
      </c>
      <c r="DV155" s="608"/>
      <c r="DW155" s="1116"/>
      <c r="LL155" s="814"/>
      <c r="LM155" s="819"/>
      <c r="LN155" s="820"/>
      <c r="LO155" s="821"/>
      <c r="LP155" s="821"/>
      <c r="LQ155" s="822"/>
      <c r="LR155" s="821"/>
      <c r="LS155" s="823"/>
      <c r="LT155" s="823"/>
      <c r="LU155" s="814"/>
      <c r="LV155" s="814"/>
      <c r="LX155" s="3160" t="str">
        <f>'N - GMS'!A155</f>
        <v>LHB Locality group costs</v>
      </c>
      <c r="LY155" s="3161"/>
      <c r="LZ155" s="527">
        <f>'N - GMS'!C155</f>
        <v>113</v>
      </c>
      <c r="MA155" s="67">
        <f>'N - GMS'!D155</f>
        <v>0</v>
      </c>
      <c r="MB155" s="67">
        <f>'N - GMS'!E155</f>
        <v>0</v>
      </c>
      <c r="MC155" s="67">
        <f>'N - GMS'!F155</f>
        <v>0</v>
      </c>
      <c r="MD155" s="67">
        <f>'N - GMS'!G155</f>
        <v>0</v>
      </c>
      <c r="ME155" s="1170"/>
      <c r="MF155" s="1854">
        <f>'N - GMS'!I155</f>
        <v>0</v>
      </c>
      <c r="MR155" s="684"/>
      <c r="MS155" s="684"/>
      <c r="MT155" s="684"/>
      <c r="MU155" s="684"/>
      <c r="MV155" s="684"/>
      <c r="MW155" s="684"/>
      <c r="MX155" s="684"/>
      <c r="MY155" s="684"/>
      <c r="MZ155" s="684"/>
      <c r="NA155" s="684"/>
      <c r="NB155" s="684"/>
      <c r="NC155" s="684"/>
      <c r="ND155" s="684"/>
      <c r="NE155" s="684"/>
      <c r="NF155" s="684"/>
      <c r="NG155" s="684"/>
      <c r="NH155" s="684"/>
      <c r="NI155" s="684"/>
      <c r="NJ155" s="684"/>
      <c r="NK155" s="684"/>
    </row>
    <row r="156" spans="76:375" ht="20.149999999999999" customHeight="1" thickBot="1">
      <c r="BX156" s="91">
        <f>' Table Z Net Exp Profiles'!A156</f>
        <v>112</v>
      </c>
      <c r="BY156" s="1264" t="str">
        <f>' Table Z Net Exp Profiles'!B156</f>
        <v>Planning Assumptions still to be finalised at Month 1 Allocated to Commissioned Services - (ENTER AS NEGATIVE)</v>
      </c>
      <c r="BZ156" s="1217">
        <f>' Table Z Net Exp Profiles'!C156</f>
        <v>0</v>
      </c>
      <c r="CA156" s="1189">
        <f>' Table Z Net Exp Profiles'!D156</f>
        <v>0</v>
      </c>
      <c r="CB156" s="1189">
        <f>' Table Z Net Exp Profiles'!E156</f>
        <v>0</v>
      </c>
      <c r="CC156" s="1189">
        <f>' Table Z Net Exp Profiles'!F156</f>
        <v>0</v>
      </c>
      <c r="CD156" s="1189">
        <f>' Table Z Net Exp Profiles'!G156</f>
        <v>0</v>
      </c>
      <c r="CE156" s="1189">
        <f>' Table Z Net Exp Profiles'!H156</f>
        <v>0</v>
      </c>
      <c r="CF156" s="1189">
        <f>' Table Z Net Exp Profiles'!I156</f>
        <v>0</v>
      </c>
      <c r="CG156" s="1189">
        <f>' Table Z Net Exp Profiles'!J156</f>
        <v>0</v>
      </c>
      <c r="CH156" s="1189">
        <f>' Table Z Net Exp Profiles'!K156</f>
        <v>0</v>
      </c>
      <c r="CI156" s="1189">
        <f>' Table Z Net Exp Profiles'!L156</f>
        <v>0</v>
      </c>
      <c r="CJ156" s="1189">
        <f>' Table Z Net Exp Profiles'!M156</f>
        <v>0</v>
      </c>
      <c r="CK156" s="1189">
        <f>' Table Z Net Exp Profiles'!N156</f>
        <v>0</v>
      </c>
      <c r="CL156" s="1215">
        <f>' Table Z Net Exp Profiles'!O156</f>
        <v>0</v>
      </c>
      <c r="CM156" s="1215">
        <f>' Table Z Net Exp Profiles'!P156</f>
        <v>0</v>
      </c>
      <c r="DF156" s="2486"/>
      <c r="DG156" s="1116"/>
      <c r="DH156" s="1918"/>
      <c r="DI156" s="1918"/>
      <c r="DJ156" s="1918"/>
      <c r="DK156" s="1918"/>
      <c r="DL156" s="1918"/>
      <c r="DM156" s="1918"/>
      <c r="DN156" s="1918"/>
      <c r="DO156" s="1918"/>
      <c r="DP156" s="1918"/>
      <c r="DQ156" s="1918"/>
      <c r="DR156" s="1918"/>
      <c r="DS156" s="1918"/>
      <c r="DT156" s="1918"/>
      <c r="DU156" s="1918"/>
      <c r="DV156" s="608"/>
      <c r="DW156" s="1116"/>
      <c r="LL156" s="814"/>
      <c r="LM156" s="819"/>
      <c r="LN156" s="820"/>
      <c r="LO156" s="821"/>
      <c r="LP156" s="821"/>
      <c r="LQ156" s="822"/>
      <c r="LR156" s="821"/>
      <c r="LS156" s="823"/>
      <c r="LT156" s="823"/>
      <c r="LU156" s="814"/>
      <c r="LV156" s="814"/>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70"/>
      <c r="MF156" s="2463">
        <f>'N - GMS'!I156</f>
        <v>0</v>
      </c>
      <c r="MR156" s="684"/>
      <c r="MS156" s="684"/>
      <c r="MT156" s="684"/>
      <c r="MU156" s="684"/>
      <c r="MV156" s="684"/>
      <c r="MW156" s="684"/>
      <c r="MX156" s="684"/>
      <c r="MY156" s="684"/>
      <c r="MZ156" s="684"/>
      <c r="NA156" s="684"/>
      <c r="NB156" s="684"/>
      <c r="NC156" s="684"/>
      <c r="ND156" s="684"/>
      <c r="NE156" s="684"/>
      <c r="NF156" s="684"/>
      <c r="NG156" s="684"/>
      <c r="NH156" s="684"/>
      <c r="NI156" s="684"/>
      <c r="NJ156" s="684"/>
      <c r="NK156" s="684"/>
    </row>
    <row r="157" spans="76:375" ht="20.149999999999999" customHeight="1" thickBot="1">
      <c r="BX157" s="144">
        <f>' Table Z Net Exp Profiles'!A157</f>
        <v>113</v>
      </c>
      <c r="BY157" s="1280" t="str">
        <f>' Table Z Net Exp Profiles'!B157</f>
        <v>Total Gross Commissioned Services Expenditure - Current Plan</v>
      </c>
      <c r="BZ157" s="1110">
        <f>' Table Z Net Exp Profiles'!C157</f>
        <v>0</v>
      </c>
      <c r="CA157" s="1219">
        <f>' Table Z Net Exp Profiles'!D157</f>
        <v>0</v>
      </c>
      <c r="CB157" s="1219">
        <f>' Table Z Net Exp Profiles'!E157</f>
        <v>0</v>
      </c>
      <c r="CC157" s="1219">
        <f>' Table Z Net Exp Profiles'!F157</f>
        <v>0</v>
      </c>
      <c r="CD157" s="1219">
        <f>' Table Z Net Exp Profiles'!G157</f>
        <v>0</v>
      </c>
      <c r="CE157" s="1219">
        <f>' Table Z Net Exp Profiles'!H157</f>
        <v>0</v>
      </c>
      <c r="CF157" s="1219">
        <f>' Table Z Net Exp Profiles'!I157</f>
        <v>0</v>
      </c>
      <c r="CG157" s="1219">
        <f>' Table Z Net Exp Profiles'!J157</f>
        <v>0</v>
      </c>
      <c r="CH157" s="1219">
        <f>' Table Z Net Exp Profiles'!K157</f>
        <v>0</v>
      </c>
      <c r="CI157" s="1219">
        <f>' Table Z Net Exp Profiles'!L157</f>
        <v>0</v>
      </c>
      <c r="CJ157" s="1219">
        <f>' Table Z Net Exp Profiles'!M157</f>
        <v>0</v>
      </c>
      <c r="CK157" s="1220">
        <f>' Table Z Net Exp Profiles'!N157</f>
        <v>0</v>
      </c>
      <c r="CL157" s="1101">
        <f>' Table Z Net Exp Profiles'!O157</f>
        <v>0</v>
      </c>
      <c r="CM157" s="1232">
        <f>' Table Z Net Exp Profiles'!P157</f>
        <v>0</v>
      </c>
      <c r="DF157" s="1910">
        <f>'B3 - COVID-19'!A157</f>
        <v>116</v>
      </c>
      <c r="DG157" s="2614" t="str">
        <f>'B3 - COVID-19'!B157</f>
        <v>Net Planned Position</v>
      </c>
      <c r="DH157" s="2745">
        <f>'B3 - COVID-19'!C157</f>
        <v>-1.900000000887303E-4</v>
      </c>
      <c r="DI157" s="2746">
        <f>'B3 - COVID-19'!D157</f>
        <v>0</v>
      </c>
      <c r="DJ157" s="2746">
        <f>'B3 - COVID-19'!E157</f>
        <v>0</v>
      </c>
      <c r="DK157" s="2746">
        <f>'B3 - COVID-19'!F157</f>
        <v>0</v>
      </c>
      <c r="DL157" s="2746">
        <f>'B3 - COVID-19'!G157</f>
        <v>0</v>
      </c>
      <c r="DM157" s="2746">
        <f>'B3 - COVID-19'!H157</f>
        <v>0</v>
      </c>
      <c r="DN157" s="2746">
        <f>'B3 - COVID-19'!I157</f>
        <v>0</v>
      </c>
      <c r="DO157" s="2746">
        <f>'B3 - COVID-19'!J157</f>
        <v>0</v>
      </c>
      <c r="DP157" s="2746">
        <f>'B3 - COVID-19'!K157</f>
        <v>0</v>
      </c>
      <c r="DQ157" s="2746">
        <f>'B3 - COVID-19'!L157</f>
        <v>0</v>
      </c>
      <c r="DR157" s="2746">
        <f>'B3 - COVID-19'!M157</f>
        <v>0</v>
      </c>
      <c r="DS157" s="2747">
        <f>'B3 - COVID-19'!N157</f>
        <v>0</v>
      </c>
      <c r="DT157" s="2797">
        <f>'B3 - COVID-19'!O157</f>
        <v>-1.900000000887303E-4</v>
      </c>
      <c r="DU157" s="2794">
        <f>'B3 - COVID-19'!P157</f>
        <v>-1.900000000887303E-4</v>
      </c>
      <c r="DV157" s="608"/>
      <c r="DW157" s="1116"/>
      <c r="LL157" s="814"/>
      <c r="LM157" s="819"/>
      <c r="LN157" s="820"/>
      <c r="LO157" s="821"/>
      <c r="LP157" s="821"/>
      <c r="LQ157" s="822"/>
      <c r="LR157" s="1159" t="str">
        <f>'M - Aged Debtors'!G157</f>
        <v>Total outstanding as per MR submission date</v>
      </c>
      <c r="LS157" s="1026">
        <f>'M - Aged Debtors'!H157</f>
        <v>10862.34</v>
      </c>
      <c r="LT157" s="1026">
        <f>'M - Aged Debtors'!I157</f>
        <v>0</v>
      </c>
      <c r="LU157" s="814"/>
      <c r="LV157" s="814"/>
      <c r="LX157" s="3160" t="str">
        <f>'N - GMS'!A157</f>
        <v>Primary Care Initiatives</v>
      </c>
      <c r="LY157" s="3161"/>
      <c r="LZ157" s="527">
        <f>'N - GMS'!C157</f>
        <v>115</v>
      </c>
      <c r="MA157" s="2230">
        <f>'N - GMS'!D157</f>
        <v>0</v>
      </c>
      <c r="MB157" s="2230">
        <f>'N - GMS'!E157</f>
        <v>0</v>
      </c>
      <c r="MC157" s="2230">
        <f>'N - GMS'!F157</f>
        <v>0</v>
      </c>
      <c r="MD157" s="67">
        <f>'N - GMS'!G157</f>
        <v>0</v>
      </c>
      <c r="ME157" s="1170"/>
      <c r="MF157" s="1028">
        <f>'N - GMS'!I157</f>
        <v>0</v>
      </c>
      <c r="MR157" s="684"/>
      <c r="MS157" s="684"/>
      <c r="MT157" s="684"/>
      <c r="MU157" s="684"/>
      <c r="MV157" s="684"/>
      <c r="MW157" s="684"/>
      <c r="MX157" s="684"/>
      <c r="MY157" s="684"/>
      <c r="MZ157" s="684"/>
      <c r="NA157" s="684"/>
      <c r="NB157" s="684"/>
      <c r="NC157" s="684"/>
      <c r="ND157" s="684"/>
      <c r="NE157" s="684"/>
      <c r="NF157" s="684"/>
      <c r="NG157" s="684"/>
      <c r="NH157" s="684"/>
      <c r="NI157" s="684"/>
      <c r="NJ157" s="684"/>
      <c r="NK157" s="684"/>
    </row>
    <row r="158" spans="76:375" ht="20.149999999999999" customHeight="1" thickBot="1">
      <c r="BX158" s="890">
        <f>' Table Z Net Exp Profiles'!A158</f>
        <v>114</v>
      </c>
      <c r="BY158" s="1260" t="str">
        <f>' Table Z Net Exp Profiles'!B158</f>
        <v>HealthCare Services Provided by Other NHS Bodies - Actual/Forecast Gross</v>
      </c>
      <c r="BZ158" s="1214">
        <f>' Table Z Net Exp Profiles'!C158</f>
        <v>0</v>
      </c>
      <c r="CA158" s="964">
        <f>' Table Z Net Exp Profiles'!D158</f>
        <v>0</v>
      </c>
      <c r="CB158" s="964">
        <f>' Table Z Net Exp Profiles'!E158</f>
        <v>0</v>
      </c>
      <c r="CC158" s="964">
        <f>' Table Z Net Exp Profiles'!F158</f>
        <v>0</v>
      </c>
      <c r="CD158" s="964">
        <f>' Table Z Net Exp Profiles'!G158</f>
        <v>0</v>
      </c>
      <c r="CE158" s="964">
        <f>' Table Z Net Exp Profiles'!H158</f>
        <v>0</v>
      </c>
      <c r="CF158" s="964">
        <f>' Table Z Net Exp Profiles'!I158</f>
        <v>0</v>
      </c>
      <c r="CG158" s="964">
        <f>' Table Z Net Exp Profiles'!J158</f>
        <v>0</v>
      </c>
      <c r="CH158" s="964">
        <f>' Table Z Net Exp Profiles'!K158</f>
        <v>0</v>
      </c>
      <c r="CI158" s="964">
        <f>' Table Z Net Exp Profiles'!L158</f>
        <v>0</v>
      </c>
      <c r="CJ158" s="964">
        <f>' Table Z Net Exp Profiles'!M158</f>
        <v>0</v>
      </c>
      <c r="CK158" s="964">
        <f>' Table Z Net Exp Profiles'!N158</f>
        <v>0</v>
      </c>
      <c r="CL158" s="1215">
        <f>' Table Z Net Exp Profiles'!O158</f>
        <v>0</v>
      </c>
      <c r="CM158" s="1215">
        <f>' Table Z Net Exp Profiles'!P158</f>
        <v>0</v>
      </c>
      <c r="DF158" s="1910">
        <f>'B3 - COVID-19'!A158</f>
        <v>117</v>
      </c>
      <c r="DG158" s="2614" t="str">
        <f>'B3 - COVID-19'!B158</f>
        <v>Actual / Forecast  Net Impact on overall Financial Position due to Covid-19</v>
      </c>
      <c r="DH158" s="2750">
        <f>'B3 - COVID-19'!C158</f>
        <v>-1.900000000887303E-4</v>
      </c>
      <c r="DI158" s="2751">
        <f>'B3 - COVID-19'!D158</f>
        <v>0</v>
      </c>
      <c r="DJ158" s="2751">
        <f>'B3 - COVID-19'!E158</f>
        <v>0</v>
      </c>
      <c r="DK158" s="2751">
        <f>'B3 - COVID-19'!F158</f>
        <v>0</v>
      </c>
      <c r="DL158" s="2751">
        <f>'B3 - COVID-19'!G158</f>
        <v>0</v>
      </c>
      <c r="DM158" s="2751">
        <f>'B3 - COVID-19'!H158</f>
        <v>0</v>
      </c>
      <c r="DN158" s="2751">
        <f>'B3 - COVID-19'!I158</f>
        <v>0</v>
      </c>
      <c r="DO158" s="2751">
        <f>'B3 - COVID-19'!J158</f>
        <v>0</v>
      </c>
      <c r="DP158" s="2751">
        <f>'B3 - COVID-19'!K158</f>
        <v>0</v>
      </c>
      <c r="DQ158" s="2751">
        <f>'B3 - COVID-19'!L158</f>
        <v>0</v>
      </c>
      <c r="DR158" s="2751">
        <f>'B3 - COVID-19'!M158</f>
        <v>0</v>
      </c>
      <c r="DS158" s="2752">
        <f>'B3 - COVID-19'!N158</f>
        <v>0</v>
      </c>
      <c r="DT158" s="2754">
        <f>'B3 - COVID-19'!O158</f>
        <v>-1.900000000887303E-4</v>
      </c>
      <c r="DU158" s="2756">
        <f>'B3 - COVID-19'!P158</f>
        <v>-1.900000000887303E-4</v>
      </c>
      <c r="DV158" s="608"/>
      <c r="DW158" s="1116"/>
      <c r="LL158" s="814"/>
      <c r="LM158" s="819"/>
      <c r="LN158" s="820"/>
      <c r="LO158" s="821"/>
      <c r="LP158" s="821"/>
      <c r="LQ158" s="822"/>
      <c r="LR158" s="821"/>
      <c r="LS158" s="823"/>
      <c r="LT158" s="823"/>
      <c r="LU158" s="814"/>
      <c r="LV158" s="814"/>
      <c r="LX158" s="3160" t="str">
        <f>'N - GMS'!A158</f>
        <v>Salaried GP costs</v>
      </c>
      <c r="LY158" s="3161"/>
      <c r="LZ158" s="527">
        <f>'N - GMS'!C158</f>
        <v>116</v>
      </c>
      <c r="MA158" s="2230">
        <f>'N - GMS'!D158</f>
        <v>0</v>
      </c>
      <c r="MB158" s="2230">
        <f>'N - GMS'!E158</f>
        <v>0</v>
      </c>
      <c r="MC158" s="2230">
        <f>'N - GMS'!F158</f>
        <v>0</v>
      </c>
      <c r="MD158" s="67">
        <f>'N - GMS'!G158</f>
        <v>0</v>
      </c>
      <c r="ME158" s="1170"/>
      <c r="MF158" s="1854">
        <f>'N - GMS'!I158</f>
        <v>0</v>
      </c>
      <c r="MR158" s="684"/>
      <c r="MS158" s="684"/>
      <c r="MT158" s="684"/>
      <c r="MU158" s="684"/>
      <c r="MV158" s="684"/>
      <c r="MW158" s="684"/>
      <c r="MX158" s="684"/>
      <c r="MY158" s="684"/>
      <c r="MZ158" s="684"/>
      <c r="NA158" s="684"/>
      <c r="NB158" s="684"/>
      <c r="NC158" s="684"/>
      <c r="ND158" s="684"/>
      <c r="NE158" s="684"/>
      <c r="NF158" s="684"/>
      <c r="NG158" s="684"/>
      <c r="NH158" s="684"/>
      <c r="NI158" s="684"/>
      <c r="NJ158" s="684"/>
      <c r="NK158" s="684"/>
    </row>
    <row r="159" spans="76:375" ht="20.149999999999999" customHeight="1" thickBot="1">
      <c r="BX159" s="88">
        <f>' Table Z Net Exp Profiles'!A159</f>
        <v>115</v>
      </c>
      <c r="BY159" s="1261" t="str">
        <f>' Table Z Net Exp Profiles'!B159</f>
        <v>Non HealthCare Services Provided by Other NHS Bodies - Actual/Forecast Gross</v>
      </c>
      <c r="BZ159" s="1216">
        <f>' Table Z Net Exp Profiles'!C159</f>
        <v>0</v>
      </c>
      <c r="CA159" s="892">
        <f>' Table Z Net Exp Profiles'!D159</f>
        <v>0</v>
      </c>
      <c r="CB159" s="892">
        <f>' Table Z Net Exp Profiles'!E159</f>
        <v>0</v>
      </c>
      <c r="CC159" s="892">
        <f>' Table Z Net Exp Profiles'!F159</f>
        <v>0</v>
      </c>
      <c r="CD159" s="892">
        <f>' Table Z Net Exp Profiles'!G159</f>
        <v>0</v>
      </c>
      <c r="CE159" s="892">
        <f>' Table Z Net Exp Profiles'!H159</f>
        <v>0</v>
      </c>
      <c r="CF159" s="892">
        <f>' Table Z Net Exp Profiles'!I159</f>
        <v>0</v>
      </c>
      <c r="CG159" s="892">
        <f>' Table Z Net Exp Profiles'!J159</f>
        <v>0</v>
      </c>
      <c r="CH159" s="892">
        <f>' Table Z Net Exp Profiles'!K159</f>
        <v>0</v>
      </c>
      <c r="CI159" s="892">
        <f>' Table Z Net Exp Profiles'!L159</f>
        <v>0</v>
      </c>
      <c r="CJ159" s="892">
        <f>' Table Z Net Exp Profiles'!M159</f>
        <v>0</v>
      </c>
      <c r="CK159" s="892">
        <f>' Table Z Net Exp Profiles'!N159</f>
        <v>0</v>
      </c>
      <c r="CL159" s="1215">
        <f>' Table Z Net Exp Profiles'!O159</f>
        <v>0</v>
      </c>
      <c r="CM159" s="1215">
        <f>' Table Z Net Exp Profiles'!P159</f>
        <v>0</v>
      </c>
      <c r="DF159" s="1919">
        <f>'B3 - COVID-19'!A159</f>
        <v>118</v>
      </c>
      <c r="DG159" s="2823" t="str">
        <f>'B3 - COVID-19'!B159</f>
        <v>Net Movement from Plan</v>
      </c>
      <c r="DH159" s="2759">
        <f>'B3 - COVID-19'!C159</f>
        <v>0</v>
      </c>
      <c r="DI159" s="2760">
        <f>'B3 - COVID-19'!D159</f>
        <v>0</v>
      </c>
      <c r="DJ159" s="2760">
        <f>'B3 - COVID-19'!E159</f>
        <v>0</v>
      </c>
      <c r="DK159" s="2760">
        <f>'B3 - COVID-19'!F159</f>
        <v>0</v>
      </c>
      <c r="DL159" s="2760">
        <f>'B3 - COVID-19'!G159</f>
        <v>0</v>
      </c>
      <c r="DM159" s="2760">
        <f>'B3 - COVID-19'!H159</f>
        <v>0</v>
      </c>
      <c r="DN159" s="2760">
        <f>'B3 - COVID-19'!I159</f>
        <v>0</v>
      </c>
      <c r="DO159" s="2760">
        <f>'B3 - COVID-19'!J159</f>
        <v>0</v>
      </c>
      <c r="DP159" s="2760">
        <f>'B3 - COVID-19'!K159</f>
        <v>0</v>
      </c>
      <c r="DQ159" s="2760">
        <f>'B3 - COVID-19'!L159</f>
        <v>0</v>
      </c>
      <c r="DR159" s="2760">
        <f>'B3 - COVID-19'!M159</f>
        <v>0</v>
      </c>
      <c r="DS159" s="2761">
        <f>'B3 - COVID-19'!N159</f>
        <v>0</v>
      </c>
      <c r="DT159" s="2759">
        <f>'B3 - COVID-19'!O159</f>
        <v>0</v>
      </c>
      <c r="DU159" s="2761">
        <f>'B3 - COVID-19'!P159</f>
        <v>0</v>
      </c>
      <c r="DV159" s="608"/>
      <c r="DW159" s="1116"/>
      <c r="LL159" s="814"/>
      <c r="LM159" s="819"/>
      <c r="LN159" s="820"/>
      <c r="LO159" s="821"/>
      <c r="LP159" s="821"/>
      <c r="LQ159" s="822"/>
      <c r="LR159" s="821"/>
      <c r="LS159" s="823"/>
      <c r="LT159" s="823"/>
      <c r="LU159" s="814"/>
      <c r="LV159" s="814"/>
      <c r="LX159" s="1670" t="str">
        <f>'N - GMS'!A159</f>
        <v>Stationery &amp; Distribution</v>
      </c>
      <c r="LY159" s="617"/>
      <c r="LZ159" s="527">
        <f>'N - GMS'!C159</f>
        <v>117</v>
      </c>
      <c r="MA159" s="2230">
        <f>'N - GMS'!D159</f>
        <v>0</v>
      </c>
      <c r="MB159" s="2230">
        <f>'N - GMS'!E159</f>
        <v>0</v>
      </c>
      <c r="MC159" s="2230">
        <f>'N - GMS'!F159</f>
        <v>0</v>
      </c>
      <c r="MD159" s="67">
        <f>'N - GMS'!G159</f>
        <v>0</v>
      </c>
      <c r="ME159" s="1170"/>
      <c r="MF159" s="1854">
        <f>'N - GMS'!I159</f>
        <v>0</v>
      </c>
      <c r="MR159" s="684"/>
      <c r="MS159" s="684"/>
      <c r="MT159" s="684"/>
      <c r="MU159" s="684"/>
      <c r="MV159" s="684"/>
      <c r="MW159" s="684"/>
      <c r="MX159" s="684"/>
      <c r="MY159" s="684"/>
      <c r="MZ159" s="684"/>
      <c r="NA159" s="684"/>
      <c r="NB159" s="684"/>
      <c r="NC159" s="684"/>
      <c r="ND159" s="684"/>
      <c r="NE159" s="684"/>
      <c r="NF159" s="684"/>
      <c r="NG159" s="684"/>
      <c r="NH159" s="684"/>
      <c r="NI159" s="684"/>
      <c r="NJ159" s="684"/>
      <c r="NK159" s="684"/>
    </row>
    <row r="160" spans="76:375" ht="20.149999999999999" customHeight="1">
      <c r="BX160" s="88">
        <f>' Table Z Net Exp Profiles'!A160</f>
        <v>116</v>
      </c>
      <c r="BY160" s="1262" t="str">
        <f>' Table Z Net Exp Profiles'!B160</f>
        <v>Other Private &amp; Voluntary - Actual/Forecast Gross</v>
      </c>
      <c r="BZ160" s="1216">
        <f>' Table Z Net Exp Profiles'!C160</f>
        <v>0</v>
      </c>
      <c r="CA160" s="892">
        <f>' Table Z Net Exp Profiles'!D160</f>
        <v>0</v>
      </c>
      <c r="CB160" s="892">
        <f>' Table Z Net Exp Profiles'!E160</f>
        <v>0</v>
      </c>
      <c r="CC160" s="892">
        <f>' Table Z Net Exp Profiles'!F160</f>
        <v>0</v>
      </c>
      <c r="CD160" s="892">
        <f>' Table Z Net Exp Profiles'!G160</f>
        <v>0</v>
      </c>
      <c r="CE160" s="892">
        <f>' Table Z Net Exp Profiles'!H160</f>
        <v>0</v>
      </c>
      <c r="CF160" s="892">
        <f>' Table Z Net Exp Profiles'!I160</f>
        <v>0</v>
      </c>
      <c r="CG160" s="892">
        <f>' Table Z Net Exp Profiles'!J160</f>
        <v>0</v>
      </c>
      <c r="CH160" s="892">
        <f>' Table Z Net Exp Profiles'!K160</f>
        <v>0</v>
      </c>
      <c r="CI160" s="892">
        <f>' Table Z Net Exp Profiles'!L160</f>
        <v>0</v>
      </c>
      <c r="CJ160" s="892">
        <f>' Table Z Net Exp Profiles'!M160</f>
        <v>0</v>
      </c>
      <c r="CK160" s="892">
        <f>' Table Z Net Exp Profiles'!N160</f>
        <v>0</v>
      </c>
      <c r="CL160" s="1215">
        <f>' Table Z Net Exp Profiles'!O160</f>
        <v>0</v>
      </c>
      <c r="CM160" s="1215">
        <f>' Table Z Net Exp Profiles'!P160</f>
        <v>0</v>
      </c>
      <c r="DF160" s="1914"/>
      <c r="DG160" s="1116"/>
      <c r="DH160" s="1918"/>
      <c r="DI160" s="1915"/>
      <c r="DJ160" s="1915"/>
      <c r="DK160" s="1915"/>
      <c r="DL160" s="1915"/>
      <c r="DM160" s="1915"/>
      <c r="DN160" s="1915"/>
      <c r="DO160" s="1915"/>
      <c r="DP160" s="1915"/>
      <c r="DQ160" s="1915"/>
      <c r="DR160" s="1915"/>
      <c r="DS160" s="1915"/>
      <c r="DT160" s="1915"/>
      <c r="DU160" s="1917"/>
      <c r="DV160" s="1144"/>
      <c r="DW160" s="1116"/>
      <c r="LL160" s="814"/>
      <c r="LM160" s="819"/>
      <c r="LN160" s="820"/>
      <c r="LO160" s="821"/>
      <c r="LP160" s="821"/>
      <c r="LQ160" s="822"/>
      <c r="LR160" s="821"/>
      <c r="LS160" s="823"/>
      <c r="LT160" s="823"/>
      <c r="LU160" s="814"/>
      <c r="LV160" s="814"/>
      <c r="LX160" s="3160" t="str">
        <f>'N - GMS'!A160</f>
        <v>Training</v>
      </c>
      <c r="LY160" s="3161"/>
      <c r="LZ160" s="527">
        <f>'N - GMS'!C160</f>
        <v>118</v>
      </c>
      <c r="MA160" s="2230">
        <f>'N - GMS'!D160</f>
        <v>0</v>
      </c>
      <c r="MB160" s="2230">
        <f>'N - GMS'!E160</f>
        <v>0</v>
      </c>
      <c r="MC160" s="2230">
        <f>'N - GMS'!F160</f>
        <v>0</v>
      </c>
      <c r="MD160" s="67">
        <f>'N - GMS'!G160</f>
        <v>0</v>
      </c>
      <c r="ME160" s="1170"/>
      <c r="MF160" s="2463">
        <f>'N - GMS'!I160</f>
        <v>0</v>
      </c>
      <c r="MR160" s="684"/>
      <c r="MS160" s="684"/>
      <c r="MT160" s="684"/>
      <c r="MU160" s="684"/>
      <c r="MV160" s="684"/>
      <c r="MW160" s="684"/>
      <c r="MX160" s="684"/>
      <c r="MY160" s="684"/>
      <c r="MZ160" s="684"/>
      <c r="NA160" s="684"/>
      <c r="NB160" s="684"/>
      <c r="NC160" s="684"/>
      <c r="ND160" s="684"/>
      <c r="NE160" s="684"/>
      <c r="NF160" s="684"/>
      <c r="NG160" s="684"/>
      <c r="NH160" s="684"/>
      <c r="NI160" s="684"/>
      <c r="NJ160" s="684"/>
      <c r="NK160" s="684"/>
    </row>
    <row r="161" spans="76:375" ht="20.149999999999999" customHeight="1">
      <c r="BX161" s="88">
        <f>' Table Z Net Exp Profiles'!A161</f>
        <v>117</v>
      </c>
      <c r="BY161" s="1262" t="str">
        <f>' Table Z Net Exp Profiles'!B161</f>
        <v>Joint Financing &amp; Other - Actual/Forecast Gross</v>
      </c>
      <c r="BZ161" s="1217">
        <f>' Table Z Net Exp Profiles'!C161</f>
        <v>0</v>
      </c>
      <c r="CA161" s="1189">
        <f>' Table Z Net Exp Profiles'!D161</f>
        <v>0</v>
      </c>
      <c r="CB161" s="1189">
        <f>' Table Z Net Exp Profiles'!E161</f>
        <v>0</v>
      </c>
      <c r="CC161" s="1189">
        <f>' Table Z Net Exp Profiles'!F161</f>
        <v>0</v>
      </c>
      <c r="CD161" s="1189">
        <f>' Table Z Net Exp Profiles'!G161</f>
        <v>0</v>
      </c>
      <c r="CE161" s="1189">
        <f>' Table Z Net Exp Profiles'!H161</f>
        <v>0</v>
      </c>
      <c r="CF161" s="1189">
        <f>' Table Z Net Exp Profiles'!I161</f>
        <v>0</v>
      </c>
      <c r="CG161" s="1189">
        <f>' Table Z Net Exp Profiles'!J161</f>
        <v>0</v>
      </c>
      <c r="CH161" s="1189">
        <f>' Table Z Net Exp Profiles'!K161</f>
        <v>0</v>
      </c>
      <c r="CI161" s="1189">
        <f>' Table Z Net Exp Profiles'!L161</f>
        <v>0</v>
      </c>
      <c r="CJ161" s="1189">
        <f>' Table Z Net Exp Profiles'!M161</f>
        <v>0</v>
      </c>
      <c r="CK161" s="1189">
        <f>' Table Z Net Exp Profiles'!N161</f>
        <v>0</v>
      </c>
      <c r="CL161" s="1215">
        <f>' Table Z Net Exp Profiles'!O161</f>
        <v>0</v>
      </c>
      <c r="CM161" s="1215">
        <f>' Table Z Net Exp Profiles'!P161</f>
        <v>0</v>
      </c>
      <c r="DF161" s="1914"/>
      <c r="DG161" s="1116"/>
      <c r="DH161" s="1918"/>
      <c r="DI161" s="1918"/>
      <c r="DJ161" s="1918"/>
      <c r="DK161" s="1918"/>
      <c r="DL161" s="1918"/>
      <c r="DM161" s="1918"/>
      <c r="DN161" s="1918"/>
      <c r="DO161" s="1918"/>
      <c r="DP161" s="1918"/>
      <c r="DQ161" s="1918"/>
      <c r="DR161" s="1918"/>
      <c r="DS161" s="1918"/>
      <c r="DT161" s="1918"/>
      <c r="DU161" s="1918"/>
      <c r="DV161" s="1116"/>
      <c r="DW161" s="1116"/>
      <c r="LL161" s="814"/>
      <c r="LM161" s="819"/>
      <c r="LN161" s="820"/>
      <c r="LO161" s="821"/>
      <c r="LP161" s="821"/>
      <c r="LQ161" s="822"/>
      <c r="LR161" s="821"/>
      <c r="LS161" s="823"/>
      <c r="LT161" s="823"/>
      <c r="LU161" s="814"/>
      <c r="LV161" s="814"/>
      <c r="LX161" s="3160" t="str">
        <f>'N - GMS'!A161</f>
        <v>Translation fees</v>
      </c>
      <c r="LY161" s="3161"/>
      <c r="LZ161" s="527">
        <f>'N - GMS'!C161</f>
        <v>119</v>
      </c>
      <c r="MA161" s="2230">
        <f>'N - GMS'!D161</f>
        <v>0</v>
      </c>
      <c r="MB161" s="2230">
        <f>'N - GMS'!E161</f>
        <v>0</v>
      </c>
      <c r="MC161" s="2230">
        <f>'N - GMS'!F161</f>
        <v>0</v>
      </c>
      <c r="MD161" s="67">
        <f>'N - GMS'!G161</f>
        <v>0</v>
      </c>
      <c r="ME161" s="1170"/>
      <c r="MF161" s="1028">
        <f>'N - GMS'!I161</f>
        <v>0</v>
      </c>
      <c r="MR161" s="684"/>
      <c r="MS161" s="684"/>
      <c r="MT161" s="684"/>
      <c r="MU161" s="684"/>
      <c r="MV161" s="684"/>
      <c r="MW161" s="684"/>
      <c r="MX161" s="684"/>
      <c r="MY161" s="684"/>
      <c r="MZ161" s="684"/>
      <c r="NA161" s="684"/>
      <c r="NB161" s="684"/>
      <c r="NC161" s="684"/>
      <c r="ND161" s="684"/>
      <c r="NE161" s="684"/>
      <c r="NF161" s="684"/>
      <c r="NG161" s="684"/>
      <c r="NH161" s="684"/>
      <c r="NI161" s="684"/>
      <c r="NJ161" s="684"/>
      <c r="NK161" s="684"/>
    </row>
    <row r="162" spans="76:375" ht="20.149999999999999" customHeight="1" thickBot="1">
      <c r="BX162" s="91">
        <f>' Table Z Net Exp Profiles'!A162</f>
        <v>118</v>
      </c>
      <c r="BY162" s="1275" t="str">
        <f>' Table Z Net Exp Profiles'!B162</f>
        <v xml:space="preserve">Additional Other Costs due to Covid-19 - Actual/Forecast </v>
      </c>
      <c r="BZ162" s="2501">
        <f>' Table Z Net Exp Profiles'!C162</f>
        <v>0</v>
      </c>
      <c r="CA162" s="1189">
        <f>' Table Z Net Exp Profiles'!D162</f>
        <v>0</v>
      </c>
      <c r="CB162" s="1189">
        <f>' Table Z Net Exp Profiles'!E162</f>
        <v>0</v>
      </c>
      <c r="CC162" s="1189">
        <f>' Table Z Net Exp Profiles'!F162</f>
        <v>0</v>
      </c>
      <c r="CD162" s="1189">
        <f>' Table Z Net Exp Profiles'!G162</f>
        <v>0</v>
      </c>
      <c r="CE162" s="1189">
        <f>' Table Z Net Exp Profiles'!H162</f>
        <v>0</v>
      </c>
      <c r="CF162" s="1189">
        <f>' Table Z Net Exp Profiles'!I162</f>
        <v>0</v>
      </c>
      <c r="CG162" s="1189">
        <f>' Table Z Net Exp Profiles'!J162</f>
        <v>0</v>
      </c>
      <c r="CH162" s="1189">
        <f>' Table Z Net Exp Profiles'!K162</f>
        <v>0</v>
      </c>
      <c r="CI162" s="1189">
        <f>' Table Z Net Exp Profiles'!L162</f>
        <v>0</v>
      </c>
      <c r="CJ162" s="1189">
        <f>' Table Z Net Exp Profiles'!M162</f>
        <v>0</v>
      </c>
      <c r="CK162" s="1189">
        <f>' Table Z Net Exp Profiles'!N162</f>
        <v>0</v>
      </c>
      <c r="CL162" s="1215">
        <f>' Table Z Net Exp Profiles'!O162</f>
        <v>0</v>
      </c>
      <c r="CM162" s="1215">
        <f>' Table Z Net Exp Profiles'!P162</f>
        <v>0</v>
      </c>
      <c r="DF162" s="1914"/>
      <c r="DG162" s="1116"/>
      <c r="DH162" s="1918"/>
      <c r="DI162" s="1918"/>
      <c r="DJ162" s="1918"/>
      <c r="DK162" s="1918"/>
      <c r="DL162" s="1918"/>
      <c r="DM162" s="1918"/>
      <c r="DN162" s="1918"/>
      <c r="DO162" s="1918"/>
      <c r="DP162" s="1918"/>
      <c r="DQ162" s="1918"/>
      <c r="DR162" s="1918"/>
      <c r="DS162" s="1918"/>
      <c r="DT162" s="1918"/>
      <c r="DU162" s="1918"/>
      <c r="DV162" s="1116"/>
      <c r="DW162" s="1116"/>
      <c r="LL162" s="814"/>
      <c r="LM162" s="819"/>
      <c r="LN162" s="820"/>
      <c r="LO162" s="821"/>
      <c r="LP162" s="821"/>
      <c r="LQ162" s="822"/>
      <c r="LR162" s="821"/>
      <c r="LS162" s="823"/>
      <c r="LT162" s="823"/>
      <c r="LU162" s="814"/>
      <c r="LV162" s="814"/>
      <c r="LX162" s="3162" t="str">
        <f>'N - GMS'!A162</f>
        <v>COVID vaccination payments to GP practices</v>
      </c>
      <c r="LY162" s="3163"/>
      <c r="LZ162" s="527">
        <f>'N - GMS'!C162</f>
        <v>120</v>
      </c>
      <c r="MA162" s="2230">
        <f>'N - GMS'!D162</f>
        <v>0</v>
      </c>
      <c r="MB162" s="2230">
        <f>'N - GMS'!E162</f>
        <v>0</v>
      </c>
      <c r="MC162" s="2230">
        <f>'N - GMS'!F162</f>
        <v>0</v>
      </c>
      <c r="MD162" s="67">
        <f>'N - GMS'!G162</f>
        <v>0</v>
      </c>
      <c r="ME162" s="1170"/>
      <c r="MF162" s="1854">
        <f>'N - GMS'!I162</f>
        <v>0</v>
      </c>
      <c r="MR162" s="684"/>
      <c r="MS162" s="684"/>
      <c r="MT162" s="684"/>
      <c r="MU162" s="684"/>
      <c r="MV162" s="684"/>
      <c r="MW162" s="684"/>
      <c r="MX162" s="684"/>
      <c r="MY162" s="684"/>
      <c r="MZ162" s="684"/>
      <c r="NA162" s="684"/>
      <c r="NB162" s="684"/>
      <c r="NC162" s="684"/>
      <c r="ND162" s="684"/>
      <c r="NE162" s="684"/>
      <c r="NF162" s="684"/>
      <c r="NG162" s="684"/>
      <c r="NH162" s="684"/>
      <c r="NI162" s="684"/>
      <c r="NJ162" s="684"/>
      <c r="NK162" s="684"/>
    </row>
    <row r="163" spans="76:375" ht="20.149999999999999" customHeight="1" thickBot="1">
      <c r="BX163" s="91">
        <f>' Table Z Net Exp Profiles'!A163</f>
        <v>119</v>
      </c>
      <c r="BY163" s="1262" t="str">
        <f>' Table Z Net Exp Profiles'!B163</f>
        <v>Committed Reserves - Other - Forecast</v>
      </c>
      <c r="BZ163" s="1217">
        <f>' Table Z Net Exp Profiles'!C163</f>
        <v>0</v>
      </c>
      <c r="CA163" s="1189">
        <f>' Table Z Net Exp Profiles'!D163</f>
        <v>0</v>
      </c>
      <c r="CB163" s="1189">
        <f>' Table Z Net Exp Profiles'!E163</f>
        <v>0</v>
      </c>
      <c r="CC163" s="1189">
        <f>' Table Z Net Exp Profiles'!F163</f>
        <v>0</v>
      </c>
      <c r="CD163" s="1189">
        <f>' Table Z Net Exp Profiles'!G163</f>
        <v>0</v>
      </c>
      <c r="CE163" s="1189">
        <f>' Table Z Net Exp Profiles'!H163</f>
        <v>0</v>
      </c>
      <c r="CF163" s="1189">
        <f>' Table Z Net Exp Profiles'!I163</f>
        <v>0</v>
      </c>
      <c r="CG163" s="1189">
        <f>' Table Z Net Exp Profiles'!J163</f>
        <v>0</v>
      </c>
      <c r="CH163" s="1189">
        <f>' Table Z Net Exp Profiles'!K163</f>
        <v>0</v>
      </c>
      <c r="CI163" s="1189">
        <f>' Table Z Net Exp Profiles'!L163</f>
        <v>0</v>
      </c>
      <c r="CJ163" s="1189">
        <f>' Table Z Net Exp Profiles'!M163</f>
        <v>0</v>
      </c>
      <c r="CK163" s="1189">
        <f>' Table Z Net Exp Profiles'!N163</f>
        <v>0</v>
      </c>
      <c r="CL163" s="1215">
        <f>' Table Z Net Exp Profiles'!O163</f>
        <v>0</v>
      </c>
      <c r="CM163" s="1215">
        <f>' Table Z Net Exp Profiles'!P163</f>
        <v>0</v>
      </c>
      <c r="DF163" s="1914"/>
      <c r="DG163" s="3014" t="s">
        <v>1317</v>
      </c>
      <c r="DH163" s="2719" t="str">
        <f>'B3 - COVID-19'!S19</f>
        <v>Apr</v>
      </c>
      <c r="DI163" s="2719" t="str">
        <f>'B3 - COVID-19'!T19</f>
        <v>May</v>
      </c>
      <c r="DJ163" s="2719" t="str">
        <f>'B3 - COVID-19'!U19</f>
        <v>Jun</v>
      </c>
      <c r="DK163" s="2719" t="str">
        <f>'B3 - COVID-19'!V19</f>
        <v>Jul</v>
      </c>
      <c r="DL163" s="2719" t="str">
        <f>'B3 - COVID-19'!W19</f>
        <v>Aug</v>
      </c>
      <c r="DM163" s="2719" t="str">
        <f>'B3 - COVID-19'!X19</f>
        <v>Sep</v>
      </c>
      <c r="DN163" s="2719" t="str">
        <f>'B3 - COVID-19'!Y19</f>
        <v>Oct</v>
      </c>
      <c r="DO163" s="2719" t="str">
        <f>'B3 - COVID-19'!Z19</f>
        <v>Nov</v>
      </c>
      <c r="DP163" s="2719" t="str">
        <f>'B3 - COVID-19'!AA19</f>
        <v>Dec</v>
      </c>
      <c r="DQ163" s="2719" t="str">
        <f>'B3 - COVID-19'!AB19</f>
        <v>Jan</v>
      </c>
      <c r="DR163" s="2719" t="str">
        <f>'B3 - COVID-19'!AC19</f>
        <v>Feb</v>
      </c>
      <c r="DS163" s="2719" t="str">
        <f>'B3 - COVID-19'!AD19</f>
        <v>Mar</v>
      </c>
      <c r="DT163" s="2719" t="str">
        <f>'B3 - COVID-19'!AE19</f>
        <v>Total YTD</v>
      </c>
      <c r="DU163" s="2719" t="str">
        <f>'B3 - COVID-19'!AF19</f>
        <v>Forecast year-end position</v>
      </c>
      <c r="DV163" s="1116"/>
      <c r="DW163" s="1116"/>
      <c r="LL163" s="814"/>
      <c r="LM163" s="819"/>
      <c r="LN163" s="820"/>
      <c r="LO163" s="821"/>
      <c r="LP163" s="821"/>
      <c r="LQ163" s="822"/>
      <c r="LR163" s="821"/>
      <c r="LS163" s="823"/>
      <c r="LT163" s="823"/>
      <c r="LU163" s="814"/>
      <c r="LV163" s="814"/>
      <c r="LX163" s="3162">
        <f>'N - GMS'!A163</f>
        <v>0</v>
      </c>
      <c r="LY163" s="3163"/>
      <c r="LZ163" s="527">
        <f>'N - GMS'!C163</f>
        <v>121</v>
      </c>
      <c r="MA163" s="2230">
        <f>'N - GMS'!D163</f>
        <v>0</v>
      </c>
      <c r="MB163" s="2230">
        <f>'N - GMS'!E163</f>
        <v>0</v>
      </c>
      <c r="MC163" s="2230">
        <f>'N - GMS'!F163</f>
        <v>0</v>
      </c>
      <c r="MD163" s="67">
        <f>'N - GMS'!G163</f>
        <v>0</v>
      </c>
      <c r="ME163" s="1170"/>
      <c r="MF163" s="1854">
        <f>'N - GMS'!I163</f>
        <v>0</v>
      </c>
      <c r="MR163" s="684"/>
      <c r="MS163" s="684"/>
      <c r="MT163" s="684"/>
      <c r="MU163" s="684"/>
      <c r="MV163" s="684"/>
      <c r="MW163" s="684"/>
      <c r="MX163" s="684"/>
      <c r="MY163" s="684"/>
      <c r="MZ163" s="684"/>
      <c r="NA163" s="684"/>
      <c r="NB163" s="684"/>
      <c r="NC163" s="684"/>
      <c r="ND163" s="684"/>
      <c r="NE163" s="684"/>
      <c r="NF163" s="684"/>
      <c r="NG163" s="684"/>
      <c r="NH163" s="684"/>
      <c r="NI163" s="684"/>
      <c r="NJ163" s="684"/>
      <c r="NK163" s="684"/>
    </row>
    <row r="164" spans="76:375" ht="20.149999999999999" customHeight="1" thickBot="1">
      <c r="BX164" s="144">
        <f>' Table Z Net Exp Profiles'!A164</f>
        <v>120</v>
      </c>
      <c r="BY164" s="1281" t="str">
        <f>' Table Z Net Exp Profiles'!B164</f>
        <v>Total Gross Commissioned Services Expenditure - Actual/Forecast</v>
      </c>
      <c r="BZ164" s="1218">
        <f>' Table Z Net Exp Profiles'!C164</f>
        <v>0</v>
      </c>
      <c r="CA164" s="1219">
        <f>' Table Z Net Exp Profiles'!D164</f>
        <v>0</v>
      </c>
      <c r="CB164" s="1219">
        <f>' Table Z Net Exp Profiles'!E164</f>
        <v>0</v>
      </c>
      <c r="CC164" s="1219">
        <f>' Table Z Net Exp Profiles'!F164</f>
        <v>0</v>
      </c>
      <c r="CD164" s="1219">
        <f>' Table Z Net Exp Profiles'!G164</f>
        <v>0</v>
      </c>
      <c r="CE164" s="1219">
        <f>' Table Z Net Exp Profiles'!H164</f>
        <v>0</v>
      </c>
      <c r="CF164" s="1219">
        <f>' Table Z Net Exp Profiles'!I164</f>
        <v>0</v>
      </c>
      <c r="CG164" s="1219">
        <f>' Table Z Net Exp Profiles'!J164</f>
        <v>0</v>
      </c>
      <c r="CH164" s="1219">
        <f>' Table Z Net Exp Profiles'!K164</f>
        <v>0</v>
      </c>
      <c r="CI164" s="1219">
        <f>' Table Z Net Exp Profiles'!L164</f>
        <v>0</v>
      </c>
      <c r="CJ164" s="1219">
        <f>' Table Z Net Exp Profiles'!M164</f>
        <v>0</v>
      </c>
      <c r="CK164" s="1219">
        <f>' Table Z Net Exp Profiles'!N164</f>
        <v>0</v>
      </c>
      <c r="CL164" s="1219">
        <f>' Table Z Net Exp Profiles'!O164</f>
        <v>0</v>
      </c>
      <c r="CM164" s="1220">
        <f>' Table Z Net Exp Profiles'!P164</f>
        <v>0</v>
      </c>
      <c r="DF164" s="1914"/>
      <c r="DG164" s="3015"/>
      <c r="DH164" s="2719" t="str">
        <f>'B3 - COVID-19'!S20</f>
        <v>£'000</v>
      </c>
      <c r="DI164" s="2719" t="str">
        <f>'B3 - COVID-19'!T20</f>
        <v>£'000</v>
      </c>
      <c r="DJ164" s="2719" t="str">
        <f>'B3 - COVID-19'!U20</f>
        <v>£'000</v>
      </c>
      <c r="DK164" s="2719" t="str">
        <f>'B3 - COVID-19'!V20</f>
        <v>£'000</v>
      </c>
      <c r="DL164" s="2719" t="str">
        <f>'B3 - COVID-19'!W20</f>
        <v>£'000</v>
      </c>
      <c r="DM164" s="2719" t="str">
        <f>'B3 - COVID-19'!X20</f>
        <v>£'000</v>
      </c>
      <c r="DN164" s="2719" t="str">
        <f>'B3 - COVID-19'!Y20</f>
        <v>£'000</v>
      </c>
      <c r="DO164" s="2719" t="str">
        <f>'B3 - COVID-19'!Z20</f>
        <v>£'000</v>
      </c>
      <c r="DP164" s="2719" t="str">
        <f>'B3 - COVID-19'!AA20</f>
        <v>£'000</v>
      </c>
      <c r="DQ164" s="2719" t="str">
        <f>'B3 - COVID-19'!AB20</f>
        <v>£'000</v>
      </c>
      <c r="DR164" s="2719" t="str">
        <f>'B3 - COVID-19'!AC20</f>
        <v>£'000</v>
      </c>
      <c r="DS164" s="2719" t="str">
        <f>'B3 - COVID-19'!AD20</f>
        <v>£'000</v>
      </c>
      <c r="DT164" s="2719" t="str">
        <f>'B3 - COVID-19'!AE20</f>
        <v>£'000</v>
      </c>
      <c r="DU164" s="2719" t="str">
        <f>'B3 - COVID-19'!AF20</f>
        <v>£'000</v>
      </c>
      <c r="DV164" s="1116"/>
      <c r="DW164" s="1116"/>
      <c r="LL164" s="814"/>
      <c r="LM164" s="819"/>
      <c r="LN164" s="820"/>
      <c r="LO164" s="821"/>
      <c r="LP164" s="821"/>
      <c r="LQ164" s="822"/>
      <c r="LR164" s="821"/>
      <c r="LS164" s="823"/>
      <c r="LT164" s="823"/>
      <c r="LU164" s="814"/>
      <c r="LV164" s="814"/>
      <c r="LX164" s="3162">
        <f>'N - GMS'!A164</f>
        <v>0</v>
      </c>
      <c r="LY164" s="3163"/>
      <c r="LZ164" s="527">
        <f>'N - GMS'!C164</f>
        <v>122</v>
      </c>
      <c r="MA164" s="2230">
        <f>'N - GMS'!D164</f>
        <v>0</v>
      </c>
      <c r="MB164" s="2230">
        <f>'N - GMS'!E164</f>
        <v>0</v>
      </c>
      <c r="MC164" s="2230">
        <f>'N - GMS'!F164</f>
        <v>0</v>
      </c>
      <c r="MD164" s="67">
        <f>'N - GMS'!G164</f>
        <v>0</v>
      </c>
      <c r="ME164" s="1170"/>
      <c r="MF164" s="1854">
        <f>'N - GMS'!I164</f>
        <v>0</v>
      </c>
      <c r="MR164" s="684"/>
      <c r="MS164" s="684"/>
      <c r="MT164" s="684"/>
      <c r="MU164" s="684"/>
      <c r="MV164" s="684"/>
      <c r="MW164" s="684"/>
      <c r="MX164" s="684"/>
      <c r="MY164" s="684"/>
      <c r="MZ164" s="684"/>
      <c r="NA164" s="684"/>
      <c r="NB164" s="684"/>
      <c r="NC164" s="684"/>
      <c r="ND164" s="684"/>
      <c r="NE164" s="684"/>
      <c r="NF164" s="684"/>
      <c r="NG164" s="684"/>
      <c r="NH164" s="684"/>
      <c r="NI164" s="684"/>
      <c r="NJ164" s="684"/>
      <c r="NK164" s="684"/>
    </row>
    <row r="165" spans="76:375" ht="20.149999999999999" customHeight="1" thickBot="1">
      <c r="BX165" s="1191">
        <f>' Table Z Net Exp Profiles'!A165</f>
        <v>121</v>
      </c>
      <c r="BY165" s="1266" t="str">
        <f>' Table Z Net Exp Profiles'!B165</f>
        <v>Gross Commissioned Services Expenditure Movement</v>
      </c>
      <c r="BZ165" s="1218">
        <f>' Table Z Net Exp Profiles'!C165</f>
        <v>0</v>
      </c>
      <c r="CA165" s="1219">
        <f>' Table Z Net Exp Profiles'!D165</f>
        <v>0</v>
      </c>
      <c r="CB165" s="1219">
        <f>' Table Z Net Exp Profiles'!E165</f>
        <v>0</v>
      </c>
      <c r="CC165" s="1219">
        <f>' Table Z Net Exp Profiles'!F165</f>
        <v>0</v>
      </c>
      <c r="CD165" s="1219">
        <f>' Table Z Net Exp Profiles'!G165</f>
        <v>0</v>
      </c>
      <c r="CE165" s="1219">
        <f>' Table Z Net Exp Profiles'!H165</f>
        <v>0</v>
      </c>
      <c r="CF165" s="1219">
        <f>' Table Z Net Exp Profiles'!I165</f>
        <v>0</v>
      </c>
      <c r="CG165" s="1219">
        <f>' Table Z Net Exp Profiles'!J165</f>
        <v>0</v>
      </c>
      <c r="CH165" s="1219">
        <f>' Table Z Net Exp Profiles'!K165</f>
        <v>0</v>
      </c>
      <c r="CI165" s="1219">
        <f>' Table Z Net Exp Profiles'!L165</f>
        <v>0</v>
      </c>
      <c r="CJ165" s="1219">
        <f>' Table Z Net Exp Profiles'!M165</f>
        <v>0</v>
      </c>
      <c r="CK165" s="1219">
        <f>' Table Z Net Exp Profiles'!N165</f>
        <v>0</v>
      </c>
      <c r="CL165" s="1219">
        <f>' Table Z Net Exp Profiles'!O165</f>
        <v>0</v>
      </c>
      <c r="CM165" s="1220">
        <f>' Table Z Net Exp Profiles'!P165</f>
        <v>0</v>
      </c>
      <c r="DF165" s="1914"/>
      <c r="DG165" s="2717" t="str">
        <f>'B3 - COVID-19'!R21</f>
        <v>Point of Care  - Tests Costs</v>
      </c>
      <c r="DH165" s="2717">
        <f>'B3 - COVID-19'!S21</f>
        <v>0</v>
      </c>
      <c r="DI165" s="2717">
        <f>'B3 - COVID-19'!T21</f>
        <v>0</v>
      </c>
      <c r="DJ165" s="2717">
        <f>'B3 - COVID-19'!U21</f>
        <v>0</v>
      </c>
      <c r="DK165" s="2717">
        <f>'B3 - COVID-19'!V21</f>
        <v>0</v>
      </c>
      <c r="DL165" s="2717">
        <f>'B3 - COVID-19'!W21</f>
        <v>0</v>
      </c>
      <c r="DM165" s="2717">
        <f>'B3 - COVID-19'!X21</f>
        <v>0</v>
      </c>
      <c r="DN165" s="2717">
        <f>'B3 - COVID-19'!Y21</f>
        <v>0</v>
      </c>
      <c r="DO165" s="2717">
        <f>'B3 - COVID-19'!Z21</f>
        <v>0</v>
      </c>
      <c r="DP165" s="2717">
        <f>'B3 - COVID-19'!AA21</f>
        <v>0</v>
      </c>
      <c r="DQ165" s="2717">
        <f>'B3 - COVID-19'!AB21</f>
        <v>0</v>
      </c>
      <c r="DR165" s="2717">
        <f>'B3 - COVID-19'!AC21</f>
        <v>0</v>
      </c>
      <c r="DS165" s="2717">
        <f>'B3 - COVID-19'!AD21</f>
        <v>0</v>
      </c>
      <c r="DT165" s="1863">
        <f>'B3 - COVID-19'!AE21</f>
        <v>0</v>
      </c>
      <c r="DU165" s="1863">
        <f>'B3 - COVID-19'!AF21</f>
        <v>0</v>
      </c>
      <c r="DV165" s="1116"/>
      <c r="DW165" s="1116"/>
      <c r="LL165" s="814"/>
      <c r="LM165" s="819"/>
      <c r="LN165" s="820"/>
      <c r="LO165" s="821"/>
      <c r="LP165" s="821"/>
      <c r="LQ165" s="822"/>
      <c r="LR165" s="821"/>
      <c r="LS165" s="823"/>
      <c r="LT165" s="823"/>
      <c r="LU165" s="814"/>
      <c r="LV165" s="814"/>
      <c r="LX165" s="3162">
        <f>'N - GMS'!A165</f>
        <v>0</v>
      </c>
      <c r="LY165" s="3163"/>
      <c r="LZ165" s="527">
        <f>'N - GMS'!C165</f>
        <v>123</v>
      </c>
      <c r="MA165" s="2230">
        <f>'N - GMS'!D165</f>
        <v>0</v>
      </c>
      <c r="MB165" s="2230">
        <f>'N - GMS'!E165</f>
        <v>0</v>
      </c>
      <c r="MC165" s="2230">
        <f>'N - GMS'!F165</f>
        <v>0</v>
      </c>
      <c r="MD165" s="67">
        <f>'N - GMS'!G165</f>
        <v>0</v>
      </c>
      <c r="ME165" s="1170"/>
      <c r="MF165" s="1854">
        <f>'N - GMS'!I165</f>
        <v>0</v>
      </c>
      <c r="MR165" s="684"/>
      <c r="MS165" s="684"/>
      <c r="MT165" s="684"/>
      <c r="MU165" s="684"/>
      <c r="MV165" s="684"/>
      <c r="MW165" s="684"/>
      <c r="MX165" s="684"/>
      <c r="MY165" s="684"/>
      <c r="MZ165" s="684"/>
      <c r="NA165" s="684"/>
      <c r="NB165" s="684"/>
      <c r="NC165" s="684"/>
      <c r="ND165" s="684"/>
      <c r="NE165" s="684"/>
      <c r="NF165" s="684"/>
      <c r="NG165" s="684"/>
      <c r="NH165" s="684"/>
      <c r="NI165" s="684"/>
      <c r="NJ165" s="684"/>
      <c r="NK165" s="684"/>
    </row>
    <row r="166" spans="76:375" ht="20.149999999999999" customHeight="1" thickBot="1">
      <c r="BX166" s="144">
        <f>' Table Z Net Exp Profiles'!A166</f>
        <v>122</v>
      </c>
      <c r="BY166" s="1267" t="str">
        <f>' Table Z Net Exp Profiles'!B166</f>
        <v>Total Commissioned Services - Current Plan</v>
      </c>
      <c r="BZ166" s="1283">
        <f>' Table Z Net Exp Profiles'!C166</f>
        <v>0</v>
      </c>
      <c r="CA166" s="1284">
        <f>' Table Z Net Exp Profiles'!D166</f>
        <v>0</v>
      </c>
      <c r="CB166" s="1284">
        <f>' Table Z Net Exp Profiles'!E166</f>
        <v>0</v>
      </c>
      <c r="CC166" s="1284">
        <f>' Table Z Net Exp Profiles'!F166</f>
        <v>0</v>
      </c>
      <c r="CD166" s="1284">
        <f>' Table Z Net Exp Profiles'!G166</f>
        <v>0</v>
      </c>
      <c r="CE166" s="1284">
        <f>' Table Z Net Exp Profiles'!H166</f>
        <v>0</v>
      </c>
      <c r="CF166" s="1284">
        <f>' Table Z Net Exp Profiles'!I166</f>
        <v>0</v>
      </c>
      <c r="CG166" s="1284">
        <f>' Table Z Net Exp Profiles'!J166</f>
        <v>0</v>
      </c>
      <c r="CH166" s="1284">
        <f>' Table Z Net Exp Profiles'!K166</f>
        <v>0</v>
      </c>
      <c r="CI166" s="1284">
        <f>' Table Z Net Exp Profiles'!L166</f>
        <v>0</v>
      </c>
      <c r="CJ166" s="1284">
        <f>' Table Z Net Exp Profiles'!M166</f>
        <v>0</v>
      </c>
      <c r="CK166" s="1285">
        <f>' Table Z Net Exp Profiles'!N166</f>
        <v>0</v>
      </c>
      <c r="CL166" s="1232">
        <f>' Table Z Net Exp Profiles'!O166</f>
        <v>0</v>
      </c>
      <c r="CM166" s="1101">
        <f>' Table Z Net Exp Profiles'!P166</f>
        <v>0</v>
      </c>
      <c r="DF166" s="1914"/>
      <c r="DG166" s="2717" t="str">
        <f>'B3 - COVID-19'!R22</f>
        <v>Point of Care  - Equipment Costs</v>
      </c>
      <c r="DH166" s="2717">
        <f>'B3 - COVID-19'!S22</f>
        <v>0</v>
      </c>
      <c r="DI166" s="2717">
        <f>'B3 - COVID-19'!T22</f>
        <v>0</v>
      </c>
      <c r="DJ166" s="2717">
        <f>'B3 - COVID-19'!U22</f>
        <v>0</v>
      </c>
      <c r="DK166" s="2717">
        <f>'B3 - COVID-19'!V22</f>
        <v>0</v>
      </c>
      <c r="DL166" s="2717">
        <f>'B3 - COVID-19'!W22</f>
        <v>0</v>
      </c>
      <c r="DM166" s="2717">
        <f>'B3 - COVID-19'!X22</f>
        <v>0</v>
      </c>
      <c r="DN166" s="2717">
        <f>'B3 - COVID-19'!Y22</f>
        <v>0</v>
      </c>
      <c r="DO166" s="2717">
        <f>'B3 - COVID-19'!Z22</f>
        <v>0</v>
      </c>
      <c r="DP166" s="2717">
        <f>'B3 - COVID-19'!AA22</f>
        <v>0</v>
      </c>
      <c r="DQ166" s="2717">
        <f>'B3 - COVID-19'!AB22</f>
        <v>0</v>
      </c>
      <c r="DR166" s="2717">
        <f>'B3 - COVID-19'!AC22</f>
        <v>0</v>
      </c>
      <c r="DS166" s="2717">
        <f>'B3 - COVID-19'!AD22</f>
        <v>0</v>
      </c>
      <c r="DT166" s="1863">
        <f>'B3 - COVID-19'!AE22</f>
        <v>0</v>
      </c>
      <c r="DU166" s="1863">
        <f>'B3 - COVID-19'!AF22</f>
        <v>0</v>
      </c>
      <c r="DV166" s="1116"/>
      <c r="DW166" s="1116"/>
      <c r="LL166" s="814"/>
      <c r="LM166" s="819"/>
      <c r="LN166" s="820"/>
      <c r="LO166" s="821"/>
      <c r="LP166" s="821"/>
      <c r="LQ166" s="822"/>
      <c r="LR166" s="821"/>
      <c r="LS166" s="823"/>
      <c r="LT166" s="823"/>
      <c r="LU166" s="814"/>
      <c r="LV166" s="814"/>
      <c r="LX166" s="3162">
        <f>'N - GMS'!A166</f>
        <v>0</v>
      </c>
      <c r="LY166" s="3163"/>
      <c r="LZ166" s="527">
        <f>'N - GMS'!C166</f>
        <v>124</v>
      </c>
      <c r="MA166" s="2230">
        <f>'N - GMS'!D166</f>
        <v>0</v>
      </c>
      <c r="MB166" s="2230">
        <f>'N - GMS'!E166</f>
        <v>0</v>
      </c>
      <c r="MC166" s="2230">
        <f>'N - GMS'!F166</f>
        <v>0</v>
      </c>
      <c r="MD166" s="67">
        <f>'N - GMS'!G166</f>
        <v>0</v>
      </c>
      <c r="ME166" s="1170"/>
      <c r="MF166" s="1854">
        <f>'N - GMS'!I166</f>
        <v>0</v>
      </c>
      <c r="MR166" s="684"/>
      <c r="MS166" s="684"/>
      <c r="MT166" s="684"/>
      <c r="MU166" s="684"/>
      <c r="MV166" s="684"/>
      <c r="MW166" s="684"/>
      <c r="MX166" s="684"/>
      <c r="MY166" s="684"/>
      <c r="MZ166" s="684"/>
      <c r="NA166" s="684"/>
      <c r="NB166" s="684"/>
      <c r="NC166" s="684"/>
      <c r="ND166" s="684"/>
      <c r="NE166" s="684"/>
      <c r="NF166" s="684"/>
      <c r="NG166" s="684"/>
      <c r="NH166" s="684"/>
      <c r="NI166" s="684"/>
      <c r="NJ166" s="684"/>
      <c r="NK166" s="684"/>
    </row>
    <row r="167" spans="76:375" ht="20.149999999999999" customHeight="1">
      <c r="BX167" s="1191">
        <f>' Table Z Net Exp Profiles'!A167</f>
        <v>123</v>
      </c>
      <c r="BY167" s="1268" t="str">
        <f>' Table Z Net Exp Profiles'!B167</f>
        <v>Commissioned Services Savings - Actual/Forecast</v>
      </c>
      <c r="BZ167" s="1286">
        <f>' Table Z Net Exp Profiles'!C167</f>
        <v>0</v>
      </c>
      <c r="CA167" s="1287">
        <f>' Table Z Net Exp Profiles'!D167</f>
        <v>0</v>
      </c>
      <c r="CB167" s="1287">
        <f>' Table Z Net Exp Profiles'!E167</f>
        <v>0</v>
      </c>
      <c r="CC167" s="1287">
        <f>' Table Z Net Exp Profiles'!F167</f>
        <v>0</v>
      </c>
      <c r="CD167" s="1287">
        <f>' Table Z Net Exp Profiles'!G167</f>
        <v>0</v>
      </c>
      <c r="CE167" s="1287">
        <f>' Table Z Net Exp Profiles'!H167</f>
        <v>0</v>
      </c>
      <c r="CF167" s="1287">
        <f>' Table Z Net Exp Profiles'!I167</f>
        <v>0</v>
      </c>
      <c r="CG167" s="1287">
        <f>' Table Z Net Exp Profiles'!J167</f>
        <v>0</v>
      </c>
      <c r="CH167" s="1287">
        <f>' Table Z Net Exp Profiles'!K167</f>
        <v>0</v>
      </c>
      <c r="CI167" s="1287">
        <f>' Table Z Net Exp Profiles'!L167</f>
        <v>0</v>
      </c>
      <c r="CJ167" s="1287">
        <f>' Table Z Net Exp Profiles'!M167</f>
        <v>0</v>
      </c>
      <c r="CK167" s="1288">
        <f>' Table Z Net Exp Profiles'!N167</f>
        <v>0</v>
      </c>
      <c r="CL167" s="1233">
        <f>' Table Z Net Exp Profiles'!O167</f>
        <v>0</v>
      </c>
      <c r="CM167" s="1215">
        <f>' Table Z Net Exp Profiles'!P167</f>
        <v>0</v>
      </c>
      <c r="DF167" s="2788"/>
      <c r="DG167" s="2717" t="str">
        <f>'B3 - COVID-19'!R23</f>
        <v>Point of Care  - Maintenance Costs</v>
      </c>
      <c r="DH167" s="2717">
        <f>'B3 - COVID-19'!S23</f>
        <v>41.723300000000002</v>
      </c>
      <c r="DI167" s="2717">
        <f>'B3 - COVID-19'!T23</f>
        <v>41.723309999999998</v>
      </c>
      <c r="DJ167" s="2717">
        <f>'B3 - COVID-19'!U23</f>
        <v>41.723309999999998</v>
      </c>
      <c r="DK167" s="2717">
        <f>'B3 - COVID-19'!V23</f>
        <v>41.723309999999998</v>
      </c>
      <c r="DL167" s="2717">
        <f>'B3 - COVID-19'!W23</f>
        <v>41.723309999999998</v>
      </c>
      <c r="DM167" s="2717">
        <f>'B3 - COVID-19'!X23</f>
        <v>41.723309999999998</v>
      </c>
      <c r="DN167" s="2717">
        <f>'B3 - COVID-19'!Y23</f>
        <v>41.723309999999998</v>
      </c>
      <c r="DO167" s="2717">
        <f>'B3 - COVID-19'!Z23</f>
        <v>41.723309999999998</v>
      </c>
      <c r="DP167" s="2717">
        <f>'B3 - COVID-19'!AA23</f>
        <v>41.723309999999998</v>
      </c>
      <c r="DQ167" s="2717">
        <f>'B3 - COVID-19'!AB23</f>
        <v>41.723309999999998</v>
      </c>
      <c r="DR167" s="2717">
        <f>'B3 - COVID-19'!AC23</f>
        <v>41.723309999999998</v>
      </c>
      <c r="DS167" s="2717">
        <f>'B3 - COVID-19'!AD23</f>
        <v>41.723309999999998</v>
      </c>
      <c r="DT167" s="1863">
        <f>'B3 - COVID-19'!AE23</f>
        <v>41.723300000000002</v>
      </c>
      <c r="DU167" s="1863">
        <f>'B3 - COVID-19'!AF23</f>
        <v>500.67970999999989</v>
      </c>
      <c r="DV167" s="1116"/>
      <c r="DW167" s="1116"/>
      <c r="LL167" s="814"/>
      <c r="LM167" s="819"/>
      <c r="LN167" s="820"/>
      <c r="LO167" s="821"/>
      <c r="LP167" s="821"/>
      <c r="LQ167" s="822"/>
      <c r="LR167" s="821"/>
      <c r="LS167" s="823"/>
      <c r="LT167" s="823"/>
      <c r="LU167" s="814"/>
      <c r="LV167" s="814"/>
      <c r="LX167" s="3162">
        <f>'N - GMS'!A167</f>
        <v>0</v>
      </c>
      <c r="LY167" s="3163"/>
      <c r="LZ167" s="527">
        <f>'N - GMS'!C167</f>
        <v>125</v>
      </c>
      <c r="MA167" s="2230">
        <f>'N - GMS'!D167</f>
        <v>0</v>
      </c>
      <c r="MB167" s="2230">
        <f>'N - GMS'!E167</f>
        <v>0</v>
      </c>
      <c r="MC167" s="2230">
        <f>'N - GMS'!F167</f>
        <v>0</v>
      </c>
      <c r="MD167" s="67">
        <f>'N - GMS'!G167</f>
        <v>0</v>
      </c>
      <c r="ME167" s="1170"/>
      <c r="MF167" s="1854">
        <f>'N - GMS'!I167</f>
        <v>0</v>
      </c>
      <c r="MR167" s="684"/>
      <c r="MS167" s="684"/>
      <c r="MT167" s="684"/>
      <c r="MU167" s="684"/>
      <c r="MV167" s="684"/>
      <c r="MW167" s="684"/>
      <c r="MX167" s="684"/>
      <c r="MY167" s="684"/>
      <c r="MZ167" s="684"/>
      <c r="NA167" s="684"/>
      <c r="NB167" s="684"/>
      <c r="NC167" s="684"/>
      <c r="ND167" s="684"/>
      <c r="NE167" s="684"/>
      <c r="NF167" s="684"/>
      <c r="NG167" s="684"/>
      <c r="NH167" s="684"/>
      <c r="NI167" s="684"/>
      <c r="NJ167" s="684"/>
      <c r="NK167" s="684"/>
    </row>
    <row r="168" spans="76:375" ht="20.149999999999999" customHeight="1" thickBot="1">
      <c r="BX168" s="1191">
        <f>' Table Z Net Exp Profiles'!A168</f>
        <v>124</v>
      </c>
      <c r="BY168" s="2500" t="str">
        <f>' Table Z Net Exp Profiles'!B168</f>
        <v>Non Delivery of Finalised (M1) Commissioned Services Savings due to Covid-19 - Actual/Forecast (Negative Values)</v>
      </c>
      <c r="BZ168" s="2501">
        <f>' Table Z Net Exp Profiles'!C168</f>
        <v>0</v>
      </c>
      <c r="CA168" s="1189">
        <f>' Table Z Net Exp Profiles'!D168</f>
        <v>0</v>
      </c>
      <c r="CB168" s="1189">
        <f>' Table Z Net Exp Profiles'!E168</f>
        <v>0</v>
      </c>
      <c r="CC168" s="1189">
        <f>' Table Z Net Exp Profiles'!F168</f>
        <v>0</v>
      </c>
      <c r="CD168" s="1189">
        <f>' Table Z Net Exp Profiles'!G168</f>
        <v>0</v>
      </c>
      <c r="CE168" s="1189">
        <f>' Table Z Net Exp Profiles'!H168</f>
        <v>0</v>
      </c>
      <c r="CF168" s="1189">
        <f>' Table Z Net Exp Profiles'!I168</f>
        <v>0</v>
      </c>
      <c r="CG168" s="1189">
        <f>' Table Z Net Exp Profiles'!J168</f>
        <v>0</v>
      </c>
      <c r="CH168" s="1189">
        <f>' Table Z Net Exp Profiles'!K168</f>
        <v>0</v>
      </c>
      <c r="CI168" s="1189">
        <f>' Table Z Net Exp Profiles'!L168</f>
        <v>0</v>
      </c>
      <c r="CJ168" s="1189">
        <f>' Table Z Net Exp Profiles'!M168</f>
        <v>0</v>
      </c>
      <c r="CK168" s="1189">
        <f>' Table Z Net Exp Profiles'!N168</f>
        <v>0</v>
      </c>
      <c r="CL168" s="1692">
        <f>' Table Z Net Exp Profiles'!O168</f>
        <v>0</v>
      </c>
      <c r="CM168" s="1692">
        <f>' Table Z Net Exp Profiles'!P168</f>
        <v>0</v>
      </c>
      <c r="DF168" s="1914"/>
      <c r="DG168" s="2717" t="str">
        <f>'B3 - COVID-19'!R24</f>
        <v>Covid Testing</v>
      </c>
      <c r="DH168" s="2717">
        <f>'B3 - COVID-19'!S24</f>
        <v>703.2559</v>
      </c>
      <c r="DI168" s="2717">
        <f>'B3 - COVID-19'!T24</f>
        <v>569.81143162841522</v>
      </c>
      <c r="DJ168" s="2717">
        <f>'B3 - COVID-19'!U24</f>
        <v>551.43041770491811</v>
      </c>
      <c r="DK168" s="2717">
        <f>'B3 - COVID-19'!V24</f>
        <v>569.81143162841522</v>
      </c>
      <c r="DL168" s="2717">
        <f>'B3 - COVID-19'!W24</f>
        <v>569.81143162841522</v>
      </c>
      <c r="DM168" s="2717">
        <f>'B3 - COVID-19'!X24</f>
        <v>551.43041770491811</v>
      </c>
      <c r="DN168" s="2717">
        <f>'B3 - COVID-19'!Y24</f>
        <v>782.2788301530054</v>
      </c>
      <c r="DO168" s="2717">
        <f>'B3 - COVID-19'!Z24</f>
        <v>757.04402918032781</v>
      </c>
      <c r="DP168" s="2717">
        <f>'B3 - COVID-19'!AA24</f>
        <v>782.2788301530054</v>
      </c>
      <c r="DQ168" s="2717">
        <f>'B3 - COVID-19'!AB24</f>
        <v>782.2788301530054</v>
      </c>
      <c r="DR168" s="2717">
        <f>'B3 - COVID-19'!AC24</f>
        <v>731.80922820765022</v>
      </c>
      <c r="DS168" s="2717">
        <f>'B3 - COVID-19'!AD24</f>
        <v>782.2788301530054</v>
      </c>
      <c r="DT168" s="1863">
        <f>'B3 - COVID-19'!AE24</f>
        <v>703.2559</v>
      </c>
      <c r="DU168" s="1863">
        <f>'B3 - COVID-19'!AF24</f>
        <v>8133.5196082950815</v>
      </c>
      <c r="DV168" s="1116"/>
      <c r="DW168" s="1116"/>
      <c r="LL168" s="814"/>
      <c r="LM168" s="819"/>
      <c r="LN168" s="820"/>
      <c r="LO168" s="821"/>
      <c r="LP168" s="821"/>
      <c r="LQ168" s="822"/>
      <c r="LR168" s="821"/>
      <c r="LS168" s="823"/>
      <c r="LT168" s="823"/>
      <c r="LU168" s="814"/>
      <c r="LV168" s="814"/>
      <c r="LX168" s="3162">
        <f>'N - GMS'!A168</f>
        <v>0</v>
      </c>
      <c r="LY168" s="3163"/>
      <c r="LZ168" s="527">
        <f>'N - GMS'!C168</f>
        <v>126</v>
      </c>
      <c r="MA168" s="2230">
        <f>'N - GMS'!D168</f>
        <v>0</v>
      </c>
      <c r="MB168" s="2230">
        <f>'N - GMS'!E168</f>
        <v>0</v>
      </c>
      <c r="MC168" s="2230">
        <f>'N - GMS'!F168</f>
        <v>0</v>
      </c>
      <c r="MD168" s="67">
        <f>'N - GMS'!G168</f>
        <v>0</v>
      </c>
      <c r="ME168" s="1170"/>
      <c r="MF168" s="1854">
        <f>'N - GMS'!I168</f>
        <v>0</v>
      </c>
      <c r="MR168" s="684"/>
      <c r="MS168" s="684"/>
      <c r="MT168" s="684"/>
      <c r="MU168" s="684"/>
      <c r="MV168" s="684"/>
      <c r="MW168" s="684"/>
      <c r="MX168" s="684"/>
      <c r="MY168" s="684"/>
      <c r="MZ168" s="684"/>
      <c r="NA168" s="684"/>
      <c r="NB168" s="684"/>
      <c r="NC168" s="684"/>
      <c r="ND168" s="684"/>
      <c r="NE168" s="684"/>
      <c r="NF168" s="684"/>
      <c r="NG168" s="684"/>
      <c r="NH168" s="684"/>
      <c r="NI168" s="684"/>
      <c r="NJ168" s="684"/>
      <c r="NK168" s="684"/>
    </row>
    <row r="169" spans="76:375" ht="20.149999999999999" customHeight="1" thickBot="1">
      <c r="BX169" s="144">
        <f>' Table Z Net Exp Profiles'!A169</f>
        <v>125</v>
      </c>
      <c r="BY169" s="1269" t="str">
        <f>' Table Z Net Exp Profiles'!B169</f>
        <v>Commissioned Services Savings Movement Not due to Covid-19</v>
      </c>
      <c r="BZ169" s="1110">
        <f>' Table Z Net Exp Profiles'!C169</f>
        <v>0</v>
      </c>
      <c r="CA169" s="1219">
        <f>' Table Z Net Exp Profiles'!D169</f>
        <v>0</v>
      </c>
      <c r="CB169" s="1219">
        <f>' Table Z Net Exp Profiles'!E169</f>
        <v>0</v>
      </c>
      <c r="CC169" s="1219">
        <f>' Table Z Net Exp Profiles'!F169</f>
        <v>0</v>
      </c>
      <c r="CD169" s="1219">
        <f>' Table Z Net Exp Profiles'!G169</f>
        <v>0</v>
      </c>
      <c r="CE169" s="1219">
        <f>' Table Z Net Exp Profiles'!H169</f>
        <v>0</v>
      </c>
      <c r="CF169" s="1219">
        <f>' Table Z Net Exp Profiles'!I169</f>
        <v>0</v>
      </c>
      <c r="CG169" s="1219">
        <f>' Table Z Net Exp Profiles'!J169</f>
        <v>0</v>
      </c>
      <c r="CH169" s="1219">
        <f>' Table Z Net Exp Profiles'!K169</f>
        <v>0</v>
      </c>
      <c r="CI169" s="1219">
        <f>' Table Z Net Exp Profiles'!L169</f>
        <v>0</v>
      </c>
      <c r="CJ169" s="1219">
        <f>' Table Z Net Exp Profiles'!M169</f>
        <v>0</v>
      </c>
      <c r="CK169" s="1220">
        <f>' Table Z Net Exp Profiles'!N169</f>
        <v>0</v>
      </c>
      <c r="CL169" s="1101">
        <f>' Table Z Net Exp Profiles'!O169</f>
        <v>0</v>
      </c>
      <c r="CM169" s="1101">
        <f>' Table Z Net Exp Profiles'!P169</f>
        <v>0</v>
      </c>
      <c r="DF169" s="1914"/>
      <c r="DG169" s="2717" t="str">
        <f>'B3 - COVID-19'!R25</f>
        <v>Courier Costs</v>
      </c>
      <c r="DH169" s="2717">
        <f>'B3 - COVID-19'!S25</f>
        <v>5.5058199999999999</v>
      </c>
      <c r="DI169" s="2717">
        <f>'B3 - COVID-19'!T25</f>
        <v>10</v>
      </c>
      <c r="DJ169" s="2717">
        <f>'B3 - COVID-19'!U25</f>
        <v>10</v>
      </c>
      <c r="DK169" s="2717">
        <f>'B3 - COVID-19'!V25</f>
        <v>10</v>
      </c>
      <c r="DL169" s="2717">
        <f>'B3 - COVID-19'!W25</f>
        <v>10</v>
      </c>
      <c r="DM169" s="2717">
        <f>'B3 - COVID-19'!X25</f>
        <v>10</v>
      </c>
      <c r="DN169" s="2717">
        <f>'B3 - COVID-19'!Y25</f>
        <v>15</v>
      </c>
      <c r="DO169" s="2717">
        <f>'B3 - COVID-19'!Z25</f>
        <v>15</v>
      </c>
      <c r="DP169" s="2717">
        <f>'B3 - COVID-19'!AA25</f>
        <v>15</v>
      </c>
      <c r="DQ169" s="2717">
        <f>'B3 - COVID-19'!AB25</f>
        <v>15</v>
      </c>
      <c r="DR169" s="2717">
        <f>'B3 - COVID-19'!AC25</f>
        <v>15</v>
      </c>
      <c r="DS169" s="2717">
        <f>'B3 - COVID-19'!AD25</f>
        <v>14.758389999999999</v>
      </c>
      <c r="DT169" s="1863">
        <f>'B3 - COVID-19'!AE25</f>
        <v>5.5058199999999999</v>
      </c>
      <c r="DU169" s="1863">
        <f>'B3 - COVID-19'!AF25</f>
        <v>145.26420999999999</v>
      </c>
      <c r="DV169" s="2594"/>
      <c r="DW169" s="2594"/>
      <c r="LL169" s="814"/>
      <c r="LM169" s="819"/>
      <c r="LN169" s="820"/>
      <c r="LO169" s="821"/>
      <c r="LP169" s="821"/>
      <c r="LQ169" s="822"/>
      <c r="LR169" s="821"/>
      <c r="LS169" s="823"/>
      <c r="LT169" s="823"/>
      <c r="LU169" s="814"/>
      <c r="LV169" s="814"/>
      <c r="LX169" s="3162">
        <f>'N - GMS'!A169</f>
        <v>0</v>
      </c>
      <c r="LY169" s="3163"/>
      <c r="LZ169" s="527">
        <f>'N - GMS'!C169</f>
        <v>127</v>
      </c>
      <c r="MA169" s="2230">
        <f>'N - GMS'!D169</f>
        <v>0</v>
      </c>
      <c r="MB169" s="2230">
        <f>'N - GMS'!E169</f>
        <v>0</v>
      </c>
      <c r="MC169" s="2230">
        <f>'N - GMS'!F169</f>
        <v>0</v>
      </c>
      <c r="MD169" s="67">
        <f>'N - GMS'!G169</f>
        <v>0</v>
      </c>
      <c r="ME169" s="1170"/>
      <c r="MF169" s="1854">
        <f>'N - GMS'!I169</f>
        <v>0</v>
      </c>
      <c r="MR169" s="684"/>
      <c r="MS169" s="684"/>
      <c r="MT169" s="684"/>
      <c r="MU169" s="684"/>
      <c r="MV169" s="684"/>
      <c r="MW169" s="684"/>
      <c r="MX169" s="684"/>
      <c r="MY169" s="684"/>
      <c r="MZ169" s="684"/>
      <c r="NA169" s="684"/>
      <c r="NB169" s="684"/>
      <c r="NC169" s="684"/>
      <c r="ND169" s="684"/>
      <c r="NE169" s="684"/>
      <c r="NF169" s="684"/>
      <c r="NG169" s="684"/>
      <c r="NH169" s="684"/>
      <c r="NI169" s="684"/>
      <c r="NJ169" s="684"/>
      <c r="NK169" s="684"/>
    </row>
    <row r="170" spans="76:375" ht="20.149999999999999" customHeight="1" thickTop="1" thickBot="1">
      <c r="BX170" s="91">
        <f>' Table Z Net Exp Profiles'!A170</f>
        <v>126</v>
      </c>
      <c r="BY170" s="92" t="str">
        <f>' Table Z Net Exp Profiles'!B170</f>
        <v>Commissioned Services Accountancy Gains - Actual/Forecast</v>
      </c>
      <c r="BZ170" s="1290">
        <f>' Table Z Net Exp Profiles'!C170</f>
        <v>0</v>
      </c>
      <c r="CA170" s="1291">
        <f>' Table Z Net Exp Profiles'!D170</f>
        <v>0</v>
      </c>
      <c r="CB170" s="1291">
        <f>' Table Z Net Exp Profiles'!E170</f>
        <v>0</v>
      </c>
      <c r="CC170" s="1291">
        <f>' Table Z Net Exp Profiles'!F170</f>
        <v>0</v>
      </c>
      <c r="CD170" s="1291">
        <f>' Table Z Net Exp Profiles'!G170</f>
        <v>0</v>
      </c>
      <c r="CE170" s="1291">
        <f>' Table Z Net Exp Profiles'!H170</f>
        <v>0</v>
      </c>
      <c r="CF170" s="1291">
        <f>' Table Z Net Exp Profiles'!I170</f>
        <v>0</v>
      </c>
      <c r="CG170" s="1291">
        <f>' Table Z Net Exp Profiles'!J170</f>
        <v>0</v>
      </c>
      <c r="CH170" s="1291">
        <f>' Table Z Net Exp Profiles'!K170</f>
        <v>0</v>
      </c>
      <c r="CI170" s="1291">
        <f>' Table Z Net Exp Profiles'!L170</f>
        <v>0</v>
      </c>
      <c r="CJ170" s="1291">
        <f>' Table Z Net Exp Profiles'!M170</f>
        <v>0</v>
      </c>
      <c r="CK170" s="1292">
        <f>' Table Z Net Exp Profiles'!N170</f>
        <v>0</v>
      </c>
      <c r="CL170" s="1215">
        <f>' Table Z Net Exp Profiles'!O170</f>
        <v>0</v>
      </c>
      <c r="CM170" s="1215">
        <f>' Table Z Net Exp Profiles'!P170</f>
        <v>0</v>
      </c>
      <c r="DF170" s="1914"/>
      <c r="DG170" s="2717" t="str">
        <f>'B3 - COVID-19'!R26</f>
        <v>Results Service</v>
      </c>
      <c r="DH170" s="2717">
        <f>'B3 - COVID-19'!S26</f>
        <v>6.4827500000000002</v>
      </c>
      <c r="DI170" s="2717">
        <f>'B3 - COVID-19'!T26</f>
        <v>0.58990730732785679</v>
      </c>
      <c r="DJ170" s="2717">
        <f>'B3 - COVID-19'!U26</f>
        <v>0.57087803934953885</v>
      </c>
      <c r="DK170" s="2717">
        <f>'B3 - COVID-19'!V26</f>
        <v>0.58990730732785679</v>
      </c>
      <c r="DL170" s="2717">
        <f>'B3 - COVID-19'!W26</f>
        <v>0.58990730732785679</v>
      </c>
      <c r="DM170" s="2717">
        <f>'B3 - COVID-19'!X26</f>
        <v>0.57087803934953885</v>
      </c>
      <c r="DN170" s="2717">
        <f>'B3 - COVID-19'!Y26</f>
        <v>0.80926651766035362</v>
      </c>
      <c r="DO170" s="2717">
        <f>'B3 - COVID-19'!Z26</f>
        <v>0.78316114612292287</v>
      </c>
      <c r="DP170" s="2717">
        <f>'B3 - COVID-19'!AA26</f>
        <v>0.80926651766035362</v>
      </c>
      <c r="DQ170" s="2717">
        <f>'B3 - COVID-19'!AB26</f>
        <v>0.80926651766035362</v>
      </c>
      <c r="DR170" s="2717">
        <f>'B3 - COVID-19'!AC26</f>
        <v>0.75705577458549211</v>
      </c>
      <c r="DS170" s="2717">
        <f>'B3 - COVID-19'!AD26</f>
        <v>0.80926651766035362</v>
      </c>
      <c r="DT170" s="1863">
        <f>'B3 - COVID-19'!AE26</f>
        <v>6.4827500000000002</v>
      </c>
      <c r="DU170" s="1863">
        <f>'B3 - COVID-19'!AF26</f>
        <v>14.171510992032477</v>
      </c>
      <c r="DV170" s="2594"/>
      <c r="DW170" s="2594"/>
      <c r="LL170" s="814"/>
      <c r="LM170" s="819"/>
      <c r="LN170" s="820"/>
      <c r="LO170" s="821"/>
      <c r="LP170" s="821"/>
      <c r="LQ170" s="822"/>
      <c r="LR170" s="821"/>
      <c r="LS170" s="823"/>
      <c r="LT170" s="823"/>
      <c r="LU170" s="814"/>
      <c r="LV170" s="814"/>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4"/>
      <c r="MS170" s="684"/>
      <c r="MT170" s="684"/>
      <c r="MU170" s="684"/>
      <c r="MV170" s="684"/>
      <c r="MW170" s="684"/>
      <c r="MX170" s="684"/>
      <c r="MY170" s="684"/>
      <c r="MZ170" s="684"/>
      <c r="NA170" s="684"/>
      <c r="NB170" s="684"/>
      <c r="NC170" s="684"/>
      <c r="ND170" s="684"/>
      <c r="NE170" s="684"/>
      <c r="NF170" s="684"/>
      <c r="NG170" s="684"/>
      <c r="NH170" s="684"/>
      <c r="NI170" s="684"/>
      <c r="NJ170" s="684"/>
      <c r="NK170" s="684"/>
    </row>
    <row r="171" spans="76:375" ht="20.149999999999999" customHeight="1" thickBot="1">
      <c r="BX171" s="144">
        <f>' Table Z Net Exp Profiles'!A171</f>
        <v>127</v>
      </c>
      <c r="BY171" s="2519" t="str">
        <f>' Table Z Net Exp Profiles'!B171</f>
        <v>In Year Operational Commissioned Services Expenditure Cost Reduction Due To C19 (Positive Values)</v>
      </c>
      <c r="BZ171" s="2503">
        <f>' Table Z Net Exp Profiles'!C171</f>
        <v>0</v>
      </c>
      <c r="CA171" s="2504">
        <f>' Table Z Net Exp Profiles'!D171</f>
        <v>0</v>
      </c>
      <c r="CB171" s="2504">
        <f>' Table Z Net Exp Profiles'!E171</f>
        <v>0</v>
      </c>
      <c r="CC171" s="2504">
        <f>' Table Z Net Exp Profiles'!F171</f>
        <v>0</v>
      </c>
      <c r="CD171" s="2504">
        <f>' Table Z Net Exp Profiles'!G171</f>
        <v>0</v>
      </c>
      <c r="CE171" s="2504">
        <f>' Table Z Net Exp Profiles'!H171</f>
        <v>0</v>
      </c>
      <c r="CF171" s="2504">
        <f>' Table Z Net Exp Profiles'!I171</f>
        <v>0</v>
      </c>
      <c r="CG171" s="2504">
        <f>' Table Z Net Exp Profiles'!J171</f>
        <v>0</v>
      </c>
      <c r="CH171" s="2504">
        <f>' Table Z Net Exp Profiles'!K171</f>
        <v>0</v>
      </c>
      <c r="CI171" s="2504">
        <f>' Table Z Net Exp Profiles'!L171</f>
        <v>0</v>
      </c>
      <c r="CJ171" s="2504">
        <f>' Table Z Net Exp Profiles'!M171</f>
        <v>0</v>
      </c>
      <c r="CK171" s="2505">
        <f>' Table Z Net Exp Profiles'!N171</f>
        <v>0</v>
      </c>
      <c r="CL171" s="1692">
        <f>' Table Z Net Exp Profiles'!O171</f>
        <v>0</v>
      </c>
      <c r="CM171" s="1692">
        <f>' Table Z Net Exp Profiles'!P171</f>
        <v>0</v>
      </c>
      <c r="DF171" s="1914"/>
      <c r="DG171" s="2717" t="str">
        <f>'B3 - COVID-19'!R27</f>
        <v>Non-Covid Rapid Testing</v>
      </c>
      <c r="DH171" s="2717">
        <f>'B3 - COVID-19'!S27</f>
        <v>73.731660000000005</v>
      </c>
      <c r="DI171" s="2717">
        <f>'B3 - COVID-19'!T27</f>
        <v>233.07860880000001</v>
      </c>
      <c r="DJ171" s="2717">
        <f>'B3 - COVID-19'!U27</f>
        <v>225.55994400000003</v>
      </c>
      <c r="DK171" s="2717">
        <f>'B3 - COVID-19'!V27</f>
        <v>233.07860880000001</v>
      </c>
      <c r="DL171" s="2717">
        <f>'B3 - COVID-19'!W27</f>
        <v>233.07860880000001</v>
      </c>
      <c r="DM171" s="2717">
        <f>'B3 - COVID-19'!X27</f>
        <v>225.55994400000003</v>
      </c>
      <c r="DN171" s="2717">
        <f>'B3 - COVID-19'!Y27</f>
        <v>233.07860880000001</v>
      </c>
      <c r="DO171" s="2717">
        <f>'B3 - COVID-19'!Z27</f>
        <v>225.55994400000003</v>
      </c>
      <c r="DP171" s="2717">
        <f>'B3 - COVID-19'!AA27</f>
        <v>233.07860880000001</v>
      </c>
      <c r="DQ171" s="2717">
        <f>'B3 - COVID-19'!AB27</f>
        <v>233.07860880000001</v>
      </c>
      <c r="DR171" s="2717">
        <f>'B3 - COVID-19'!AC27</f>
        <v>218.04127919999996</v>
      </c>
      <c r="DS171" s="2717">
        <f>'B3 - COVID-19'!AD27</f>
        <v>233.07860880000001</v>
      </c>
      <c r="DT171" s="1863">
        <f>'B3 - COVID-19'!AE27</f>
        <v>73.731660000000005</v>
      </c>
      <c r="DU171" s="1863">
        <f>'B3 - COVID-19'!AF27</f>
        <v>2600.0030327999998</v>
      </c>
      <c r="DV171" s="2594"/>
      <c r="DW171" s="2594"/>
      <c r="LL171" s="814"/>
      <c r="LM171" s="819"/>
      <c r="LN171" s="820"/>
      <c r="LO171" s="821"/>
      <c r="LP171" s="821"/>
      <c r="LQ171" s="822"/>
      <c r="LR171" s="821"/>
      <c r="LS171" s="823"/>
      <c r="LT171" s="823"/>
      <c r="LU171" s="814"/>
      <c r="LV171" s="814"/>
      <c r="LX171" s="430" t="str">
        <f>'N - GMS'!A171</f>
        <v/>
      </c>
      <c r="LY171" s="430"/>
      <c r="LZ171" s="430"/>
      <c r="MA171" s="241"/>
      <c r="MB171" s="241"/>
      <c r="MC171" s="239"/>
      <c r="MD171" s="239"/>
      <c r="ME171" s="239"/>
      <c r="MF171" s="529"/>
      <c r="MR171" s="684"/>
      <c r="MS171" s="684"/>
      <c r="MT171" s="684"/>
      <c r="MU171" s="684"/>
      <c r="MV171" s="684"/>
      <c r="MW171" s="684"/>
      <c r="MX171" s="684"/>
      <c r="MY171" s="684"/>
      <c r="MZ171" s="684"/>
      <c r="NA171" s="684"/>
      <c r="NB171" s="684"/>
      <c r="NC171" s="684"/>
      <c r="ND171" s="684"/>
      <c r="NE171" s="684"/>
      <c r="NF171" s="684"/>
      <c r="NG171" s="684"/>
      <c r="NH171" s="684"/>
      <c r="NI171" s="684"/>
      <c r="NJ171" s="684"/>
      <c r="NK171" s="684"/>
    </row>
    <row r="172" spans="76:375" ht="20.149999999999999" customHeight="1" thickBot="1">
      <c r="BX172" s="144">
        <f>' Table Z Net Exp Profiles'!A172</f>
        <v>128</v>
      </c>
      <c r="BY172" s="1075" t="str">
        <f>' Table Z Net Exp Profiles'!B172</f>
        <v>In Year Slippage on Current Planned Commissioned Services Investments/Repurposing of Developmental Initiatives due to C19 (Positive Values)</v>
      </c>
      <c r="BZ172" s="2506">
        <f>' Table Z Net Exp Profiles'!C172</f>
        <v>0</v>
      </c>
      <c r="CA172" s="2502">
        <f>' Table Z Net Exp Profiles'!D172</f>
        <v>0</v>
      </c>
      <c r="CB172" s="2502">
        <f>' Table Z Net Exp Profiles'!E172</f>
        <v>0</v>
      </c>
      <c r="CC172" s="2502">
        <f>' Table Z Net Exp Profiles'!F172</f>
        <v>0</v>
      </c>
      <c r="CD172" s="2502">
        <f>' Table Z Net Exp Profiles'!G172</f>
        <v>0</v>
      </c>
      <c r="CE172" s="2502">
        <f>' Table Z Net Exp Profiles'!H172</f>
        <v>0</v>
      </c>
      <c r="CF172" s="2502">
        <f>' Table Z Net Exp Profiles'!I172</f>
        <v>0</v>
      </c>
      <c r="CG172" s="2502">
        <f>' Table Z Net Exp Profiles'!J172</f>
        <v>0</v>
      </c>
      <c r="CH172" s="2502">
        <f>' Table Z Net Exp Profiles'!K172</f>
        <v>0</v>
      </c>
      <c r="CI172" s="2502">
        <f>' Table Z Net Exp Profiles'!L172</f>
        <v>0</v>
      </c>
      <c r="CJ172" s="2502">
        <f>' Table Z Net Exp Profiles'!M172</f>
        <v>0</v>
      </c>
      <c r="CK172" s="2502">
        <f>' Table Z Net Exp Profiles'!N172</f>
        <v>0</v>
      </c>
      <c r="CL172" s="1101">
        <f>' Table Z Net Exp Profiles'!O172</f>
        <v>0</v>
      </c>
      <c r="CM172" s="1101">
        <f>' Table Z Net Exp Profiles'!P172</f>
        <v>0</v>
      </c>
      <c r="DF172" s="1914"/>
      <c r="DG172" s="2717" t="str">
        <f>'B3 - COVID-19'!R28</f>
        <v>Covid Related Pathogen Genomics</v>
      </c>
      <c r="DH172" s="2717">
        <f>'B3 - COVID-19'!S28</f>
        <v>28.349</v>
      </c>
      <c r="DI172" s="2717">
        <f>'B3 - COVID-19'!T28</f>
        <v>38</v>
      </c>
      <c r="DJ172" s="2717">
        <f>'B3 - COVID-19'!U28</f>
        <v>38</v>
      </c>
      <c r="DK172" s="2717">
        <f>'B3 - COVID-19'!V28</f>
        <v>28.5</v>
      </c>
      <c r="DL172" s="2717">
        <f>'B3 - COVID-19'!W28</f>
        <v>19</v>
      </c>
      <c r="DM172" s="2717">
        <f>'B3 - COVID-19'!X28</f>
        <v>28.5</v>
      </c>
      <c r="DN172" s="2717">
        <f>'B3 - COVID-19'!Y28</f>
        <v>38</v>
      </c>
      <c r="DO172" s="2717">
        <f>'B3 - COVID-19'!Z28</f>
        <v>76</v>
      </c>
      <c r="DP172" s="2717">
        <f>'B3 - COVID-19'!AA28</f>
        <v>95</v>
      </c>
      <c r="DQ172" s="2717">
        <f>'B3 - COVID-19'!AB28</f>
        <v>76</v>
      </c>
      <c r="DR172" s="2717">
        <f>'B3 - COVID-19'!AC28</f>
        <v>57</v>
      </c>
      <c r="DS172" s="2717">
        <f>'B3 - COVID-19'!AD28</f>
        <v>38</v>
      </c>
      <c r="DT172" s="1863">
        <f>'B3 - COVID-19'!AE28</f>
        <v>28.349</v>
      </c>
      <c r="DU172" s="1863">
        <f>'B3 - COVID-19'!AF28</f>
        <v>560.34899999999993</v>
      </c>
      <c r="DV172" s="2594"/>
      <c r="DW172" s="2594"/>
      <c r="LL172" s="814"/>
      <c r="LM172" s="819"/>
      <c r="LN172" s="820"/>
      <c r="LO172" s="821"/>
      <c r="LP172" s="821"/>
      <c r="LQ172" s="822"/>
      <c r="LR172" s="821"/>
      <c r="LS172" s="823"/>
      <c r="LT172" s="823"/>
      <c r="LU172" s="814"/>
      <c r="LV172" s="814"/>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4"/>
      <c r="MS172" s="684"/>
      <c r="MT172" s="684"/>
      <c r="MU172" s="684"/>
      <c r="MV172" s="684"/>
      <c r="MW172" s="684"/>
      <c r="MX172" s="684"/>
      <c r="MY172" s="684"/>
      <c r="MZ172" s="684"/>
      <c r="NA172" s="684"/>
      <c r="NB172" s="684"/>
      <c r="NC172" s="684"/>
      <c r="ND172" s="684"/>
      <c r="NE172" s="684"/>
      <c r="NF172" s="684"/>
      <c r="NG172" s="684"/>
      <c r="NH172" s="684"/>
      <c r="NI172" s="684"/>
      <c r="NJ172" s="684"/>
      <c r="NK172" s="684"/>
    </row>
    <row r="173" spans="76:375" ht="20.149999999999999" customHeight="1" thickBot="1">
      <c r="BX173" s="84"/>
      <c r="BY173" s="3049"/>
      <c r="BZ173" s="3049"/>
      <c r="CA173" s="3049"/>
      <c r="CB173" s="3049"/>
      <c r="CC173" s="3049"/>
      <c r="CD173" s="3049"/>
      <c r="CE173" s="3049"/>
      <c r="CF173" s="3049"/>
      <c r="CG173" s="3049"/>
      <c r="CH173" s="3049"/>
      <c r="CI173" s="3049"/>
      <c r="CJ173" s="3049"/>
      <c r="CK173" s="3049"/>
      <c r="CL173" s="3049"/>
      <c r="CM173" s="3049"/>
      <c r="DF173" s="1914"/>
      <c r="DG173" s="2717" t="str">
        <f>'B3 - COVID-19'!R29</f>
        <v>Integrated Surveillance</v>
      </c>
      <c r="DH173" s="2717">
        <f>'B3 - COVID-19'!S29</f>
        <v>0</v>
      </c>
      <c r="DI173" s="2717">
        <f>'B3 - COVID-19'!T29</f>
        <v>0</v>
      </c>
      <c r="DJ173" s="2717">
        <f>'B3 - COVID-19'!U29</f>
        <v>433.520625</v>
      </c>
      <c r="DK173" s="2717">
        <f>'B3 - COVID-19'!V29</f>
        <v>0</v>
      </c>
      <c r="DL173" s="2717">
        <f>'B3 - COVID-19'!W29</f>
        <v>0</v>
      </c>
      <c r="DM173" s="2717">
        <f>'B3 - COVID-19'!X29</f>
        <v>433.520625</v>
      </c>
      <c r="DN173" s="2717">
        <f>'B3 - COVID-19'!Y29</f>
        <v>0</v>
      </c>
      <c r="DO173" s="2717">
        <f>'B3 - COVID-19'!Z29</f>
        <v>0</v>
      </c>
      <c r="DP173" s="2717">
        <f>'B3 - COVID-19'!AA29</f>
        <v>433.520625</v>
      </c>
      <c r="DQ173" s="2717">
        <f>'B3 - COVID-19'!AB29</f>
        <v>0</v>
      </c>
      <c r="DR173" s="2717">
        <f>'B3 - COVID-19'!AC29</f>
        <v>0</v>
      </c>
      <c r="DS173" s="2717">
        <f>'B3 - COVID-19'!AD29</f>
        <v>433.520625</v>
      </c>
      <c r="DT173" s="1863">
        <f>'B3 - COVID-19'!AE29</f>
        <v>0</v>
      </c>
      <c r="DU173" s="1863">
        <f>'B3 - COVID-19'!AF29</f>
        <v>1734.0825</v>
      </c>
      <c r="DV173" s="2594"/>
      <c r="DW173" s="2594"/>
      <c r="LL173" s="814"/>
      <c r="LM173" s="819"/>
      <c r="LN173" s="820"/>
      <c r="LO173" s="821"/>
      <c r="LP173" s="821"/>
      <c r="LQ173" s="822"/>
      <c r="LR173" s="821"/>
      <c r="LS173" s="823"/>
      <c r="LT173" s="823"/>
      <c r="LU173" s="814"/>
      <c r="LV173" s="814"/>
      <c r="LX173" s="459" t="str">
        <f>'N - GMS'!A173</f>
        <v>Notional Rents</v>
      </c>
      <c r="LY173" s="518"/>
      <c r="LZ173" s="461">
        <f>'N - GMS'!C173</f>
        <v>129</v>
      </c>
      <c r="MA173" s="2230">
        <f>'N - GMS'!D173</f>
        <v>0</v>
      </c>
      <c r="MB173" s="2230">
        <f>'N - GMS'!E173</f>
        <v>0</v>
      </c>
      <c r="MC173" s="2230">
        <f>'N - GMS'!F173</f>
        <v>0</v>
      </c>
      <c r="MD173" s="2230">
        <f>'N - GMS'!G173</f>
        <v>0</v>
      </c>
      <c r="ME173" s="1170"/>
      <c r="MF173" s="1028">
        <f>'N - GMS'!I173</f>
        <v>0</v>
      </c>
      <c r="MR173" s="684"/>
      <c r="MS173" s="684"/>
      <c r="MT173" s="684"/>
      <c r="MU173" s="684"/>
      <c r="MV173" s="684"/>
      <c r="MW173" s="684"/>
      <c r="MX173" s="684"/>
      <c r="MY173" s="684"/>
      <c r="MZ173" s="684"/>
      <c r="NA173" s="684"/>
      <c r="NB173" s="684"/>
      <c r="NC173" s="684"/>
      <c r="ND173" s="684"/>
      <c r="NE173" s="684"/>
      <c r="NF173" s="684"/>
      <c r="NG173" s="684"/>
      <c r="NH173" s="684"/>
      <c r="NI173" s="684"/>
      <c r="NJ173" s="684"/>
      <c r="NK173" s="684"/>
    </row>
    <row r="174" spans="76:375" ht="20.149999999999999" customHeight="1" thickBot="1">
      <c r="BX174" s="1696">
        <f>' Table Z Net Exp Profiles'!A174</f>
        <v>129</v>
      </c>
      <c r="BY174" s="1270" t="str">
        <f>' Table Z Net Exp Profiles'!B174</f>
        <v>Net Commissioned Services Expenditure - Current Plan</v>
      </c>
      <c r="BZ174" s="1110">
        <f>' Table Z Net Exp Profiles'!C174</f>
        <v>0</v>
      </c>
      <c r="CA174" s="1110">
        <f>' Table Z Net Exp Profiles'!D174</f>
        <v>0</v>
      </c>
      <c r="CB174" s="1110">
        <f>' Table Z Net Exp Profiles'!E174</f>
        <v>0</v>
      </c>
      <c r="CC174" s="1110">
        <f>' Table Z Net Exp Profiles'!F174</f>
        <v>0</v>
      </c>
      <c r="CD174" s="1110">
        <f>' Table Z Net Exp Profiles'!G174</f>
        <v>0</v>
      </c>
      <c r="CE174" s="1110">
        <f>' Table Z Net Exp Profiles'!H174</f>
        <v>0</v>
      </c>
      <c r="CF174" s="1110">
        <f>' Table Z Net Exp Profiles'!I174</f>
        <v>0</v>
      </c>
      <c r="CG174" s="1110">
        <f>' Table Z Net Exp Profiles'!J174</f>
        <v>0</v>
      </c>
      <c r="CH174" s="1110">
        <f>' Table Z Net Exp Profiles'!K174</f>
        <v>0</v>
      </c>
      <c r="CI174" s="1110">
        <f>' Table Z Net Exp Profiles'!L174</f>
        <v>0</v>
      </c>
      <c r="CJ174" s="1110">
        <f>' Table Z Net Exp Profiles'!M174</f>
        <v>0</v>
      </c>
      <c r="CK174" s="1110">
        <f>' Table Z Net Exp Profiles'!N174</f>
        <v>0</v>
      </c>
      <c r="CL174" s="1110">
        <f>' Table Z Net Exp Profiles'!O174</f>
        <v>0</v>
      </c>
      <c r="CM174" s="1110">
        <f>' Table Z Net Exp Profiles'!P174</f>
        <v>0</v>
      </c>
      <c r="DF174" s="1914"/>
      <c r="DG174" s="2717">
        <f>'B3 - COVID-19'!R30</f>
        <v>0</v>
      </c>
      <c r="DH174" s="2717">
        <f>'B3 - COVID-19'!S30</f>
        <v>0</v>
      </c>
      <c r="DI174" s="2717">
        <f>'B3 - COVID-19'!T30</f>
        <v>0</v>
      </c>
      <c r="DJ174" s="2717">
        <f>'B3 - COVID-19'!U30</f>
        <v>0</v>
      </c>
      <c r="DK174" s="2717">
        <f>'B3 - COVID-19'!V30</f>
        <v>0</v>
      </c>
      <c r="DL174" s="2717">
        <f>'B3 - COVID-19'!W30</f>
        <v>0</v>
      </c>
      <c r="DM174" s="2717">
        <f>'B3 - COVID-19'!X30</f>
        <v>0</v>
      </c>
      <c r="DN174" s="2717">
        <f>'B3 - COVID-19'!Y30</f>
        <v>0</v>
      </c>
      <c r="DO174" s="2717">
        <f>'B3 - COVID-19'!Z30</f>
        <v>0</v>
      </c>
      <c r="DP174" s="2717">
        <f>'B3 - COVID-19'!AA30</f>
        <v>0</v>
      </c>
      <c r="DQ174" s="2717">
        <f>'B3 - COVID-19'!AB30</f>
        <v>0</v>
      </c>
      <c r="DR174" s="2717">
        <f>'B3 - COVID-19'!AC30</f>
        <v>0</v>
      </c>
      <c r="DS174" s="2717">
        <f>'B3 - COVID-19'!AD30</f>
        <v>0</v>
      </c>
      <c r="DT174" s="1863">
        <f>'B3 - COVID-19'!AE30</f>
        <v>0</v>
      </c>
      <c r="DU174" s="1863">
        <f>'B3 - COVID-19'!AF30</f>
        <v>0</v>
      </c>
      <c r="DV174" s="2594"/>
      <c r="DW174" s="2594"/>
      <c r="LL174" s="814"/>
      <c r="LM174" s="819"/>
      <c r="LN174" s="820"/>
      <c r="LO174" s="821"/>
      <c r="LP174" s="821"/>
      <c r="LQ174" s="822"/>
      <c r="LR174" s="821"/>
      <c r="LS174" s="823"/>
      <c r="LT174" s="823"/>
      <c r="LU174" s="814"/>
      <c r="LV174" s="814"/>
      <c r="LX174" s="459" t="str">
        <f>'N - GMS'!A174</f>
        <v>Actual Rents: Health Centres</v>
      </c>
      <c r="LY174" s="518"/>
      <c r="LZ174" s="461">
        <f>'N - GMS'!C174</f>
        <v>130</v>
      </c>
      <c r="MA174" s="2230">
        <f>'N - GMS'!D174</f>
        <v>0</v>
      </c>
      <c r="MB174" s="2230">
        <f>'N - GMS'!E174</f>
        <v>0</v>
      </c>
      <c r="MC174" s="2230">
        <f>'N - GMS'!F174</f>
        <v>0</v>
      </c>
      <c r="MD174" s="2230">
        <f>'N - GMS'!G174</f>
        <v>0</v>
      </c>
      <c r="ME174" s="1170"/>
      <c r="MF174" s="1028">
        <f>'N - GMS'!I174</f>
        <v>0</v>
      </c>
      <c r="MR174" s="684"/>
      <c r="MS174" s="684"/>
      <c r="MT174" s="684"/>
      <c r="MU174" s="684"/>
      <c r="MV174" s="684"/>
      <c r="MW174" s="684"/>
      <c r="MX174" s="684"/>
      <c r="MY174" s="684"/>
      <c r="MZ174" s="684"/>
      <c r="NA174" s="684"/>
      <c r="NB174" s="684"/>
      <c r="NC174" s="684"/>
      <c r="ND174" s="684"/>
      <c r="NE174" s="684"/>
      <c r="NF174" s="684"/>
      <c r="NG174" s="684"/>
      <c r="NH174" s="684"/>
      <c r="NI174" s="684"/>
      <c r="NJ174" s="684"/>
      <c r="NK174" s="684"/>
    </row>
    <row r="175" spans="76:375" ht="20.149999999999999" customHeight="1" thickBot="1">
      <c r="BX175" s="144">
        <f>' Table Z Net Exp Profiles'!A175</f>
        <v>130</v>
      </c>
      <c r="BY175" s="1270" t="str">
        <f>' Table Z Net Exp Profiles'!B175</f>
        <v>Net Commissioned Services Expenditure - Actual/Forecast (as per Table B)</v>
      </c>
      <c r="BZ175" s="1110">
        <f>' Table Z Net Exp Profiles'!C175</f>
        <v>0</v>
      </c>
      <c r="CA175" s="1110">
        <f>' Table Z Net Exp Profiles'!D175</f>
        <v>0</v>
      </c>
      <c r="CB175" s="1110">
        <f>' Table Z Net Exp Profiles'!E175</f>
        <v>0</v>
      </c>
      <c r="CC175" s="1110">
        <f>' Table Z Net Exp Profiles'!F175</f>
        <v>0</v>
      </c>
      <c r="CD175" s="1110">
        <f>' Table Z Net Exp Profiles'!G175</f>
        <v>0</v>
      </c>
      <c r="CE175" s="1110">
        <f>' Table Z Net Exp Profiles'!H175</f>
        <v>0</v>
      </c>
      <c r="CF175" s="1110">
        <f>' Table Z Net Exp Profiles'!I175</f>
        <v>0</v>
      </c>
      <c r="CG175" s="1110">
        <f>' Table Z Net Exp Profiles'!J175</f>
        <v>0</v>
      </c>
      <c r="CH175" s="1110">
        <f>' Table Z Net Exp Profiles'!K175</f>
        <v>0</v>
      </c>
      <c r="CI175" s="1110">
        <f>' Table Z Net Exp Profiles'!L175</f>
        <v>0</v>
      </c>
      <c r="CJ175" s="1110">
        <f>' Table Z Net Exp Profiles'!M175</f>
        <v>0</v>
      </c>
      <c r="CK175" s="1110">
        <f>' Table Z Net Exp Profiles'!N175</f>
        <v>0</v>
      </c>
      <c r="CL175" s="1110">
        <f>' Table Z Net Exp Profiles'!O175</f>
        <v>0</v>
      </c>
      <c r="CM175" s="1110">
        <f>' Table Z Net Exp Profiles'!P175</f>
        <v>0</v>
      </c>
      <c r="DF175" s="1914"/>
      <c r="DG175" s="2717">
        <f>'B3 - COVID-19'!R31</f>
        <v>0</v>
      </c>
      <c r="DH175" s="2717">
        <f>'B3 - COVID-19'!S31</f>
        <v>0</v>
      </c>
      <c r="DI175" s="2717">
        <f>'B3 - COVID-19'!T31</f>
        <v>0</v>
      </c>
      <c r="DJ175" s="2717">
        <f>'B3 - COVID-19'!U31</f>
        <v>0</v>
      </c>
      <c r="DK175" s="2717">
        <f>'B3 - COVID-19'!V31</f>
        <v>0</v>
      </c>
      <c r="DL175" s="2717">
        <f>'B3 - COVID-19'!W31</f>
        <v>0</v>
      </c>
      <c r="DM175" s="2717">
        <f>'B3 - COVID-19'!X31</f>
        <v>0</v>
      </c>
      <c r="DN175" s="2717">
        <f>'B3 - COVID-19'!Y31</f>
        <v>0</v>
      </c>
      <c r="DO175" s="2717">
        <f>'B3 - COVID-19'!Z31</f>
        <v>0</v>
      </c>
      <c r="DP175" s="2717">
        <f>'B3 - COVID-19'!AA31</f>
        <v>0</v>
      </c>
      <c r="DQ175" s="2717">
        <f>'B3 - COVID-19'!AB31</f>
        <v>0</v>
      </c>
      <c r="DR175" s="2717">
        <f>'B3 - COVID-19'!AC31</f>
        <v>0</v>
      </c>
      <c r="DS175" s="2717">
        <f>'B3 - COVID-19'!AD31</f>
        <v>0</v>
      </c>
      <c r="DT175" s="1863">
        <f>'B3 - COVID-19'!AE31</f>
        <v>0</v>
      </c>
      <c r="DU175" s="1863">
        <f>'B3 - COVID-19'!AF31</f>
        <v>0</v>
      </c>
      <c r="DV175" s="2594"/>
      <c r="DW175" s="2594"/>
      <c r="LL175" s="814"/>
      <c r="LM175" s="819"/>
      <c r="LN175" s="820"/>
      <c r="LO175" s="821"/>
      <c r="LP175" s="821"/>
      <c r="LQ175" s="822"/>
      <c r="LR175" s="821"/>
      <c r="LS175" s="823"/>
      <c r="LT175" s="823"/>
      <c r="LU175" s="814"/>
      <c r="LV175" s="814"/>
      <c r="LX175" s="459" t="str">
        <f>'N - GMS'!A175</f>
        <v>Actual Rents: Others</v>
      </c>
      <c r="LY175" s="518"/>
      <c r="LZ175" s="461">
        <f>'N - GMS'!C175</f>
        <v>131</v>
      </c>
      <c r="MA175" s="2230">
        <f>'N - GMS'!D175</f>
        <v>0</v>
      </c>
      <c r="MB175" s="2230">
        <f>'N - GMS'!E175</f>
        <v>0</v>
      </c>
      <c r="MC175" s="2230">
        <f>'N - GMS'!F175</f>
        <v>0</v>
      </c>
      <c r="MD175" s="2230">
        <f>'N - GMS'!G175</f>
        <v>0</v>
      </c>
      <c r="ME175" s="1170"/>
      <c r="MF175" s="1028">
        <f>'N - GMS'!I175</f>
        <v>0</v>
      </c>
      <c r="MR175" s="684"/>
      <c r="MS175" s="684"/>
      <c r="MT175" s="684"/>
      <c r="MU175" s="684"/>
      <c r="MV175" s="684"/>
      <c r="MW175" s="684"/>
      <c r="MX175" s="684"/>
      <c r="MY175" s="684"/>
      <c r="MZ175" s="684"/>
      <c r="NA175" s="684"/>
      <c r="NB175" s="684"/>
      <c r="NC175" s="684"/>
      <c r="ND175" s="684"/>
      <c r="NE175" s="684"/>
      <c r="NF175" s="684"/>
      <c r="NG175" s="684"/>
      <c r="NH175" s="684"/>
      <c r="NI175" s="684"/>
      <c r="NJ175" s="684"/>
      <c r="NK175" s="684"/>
    </row>
    <row r="176" spans="76:375" ht="20.149999999999999" customHeight="1" thickBot="1">
      <c r="BX176" s="1107">
        <f>' Table Z Net Exp Profiles'!A176</f>
        <v>131</v>
      </c>
      <c r="BY176" s="1270" t="str">
        <f>' Table Z Net Exp Profiles'!B176</f>
        <v>Net Commissioned Services Expenditure - Movement</v>
      </c>
      <c r="BZ176" s="1110">
        <f>' Table Z Net Exp Profiles'!C176</f>
        <v>0</v>
      </c>
      <c r="CA176" s="1110">
        <f>' Table Z Net Exp Profiles'!D176</f>
        <v>0</v>
      </c>
      <c r="CB176" s="1110">
        <f>' Table Z Net Exp Profiles'!E176</f>
        <v>0</v>
      </c>
      <c r="CC176" s="1110">
        <f>' Table Z Net Exp Profiles'!F176</f>
        <v>0</v>
      </c>
      <c r="CD176" s="1110">
        <f>' Table Z Net Exp Profiles'!G176</f>
        <v>0</v>
      </c>
      <c r="CE176" s="1110">
        <f>' Table Z Net Exp Profiles'!H176</f>
        <v>0</v>
      </c>
      <c r="CF176" s="1110">
        <f>' Table Z Net Exp Profiles'!I176</f>
        <v>0</v>
      </c>
      <c r="CG176" s="1110">
        <f>' Table Z Net Exp Profiles'!J176</f>
        <v>0</v>
      </c>
      <c r="CH176" s="1110">
        <f>' Table Z Net Exp Profiles'!K176</f>
        <v>0</v>
      </c>
      <c r="CI176" s="1110">
        <f>' Table Z Net Exp Profiles'!L176</f>
        <v>0</v>
      </c>
      <c r="CJ176" s="1110">
        <f>' Table Z Net Exp Profiles'!M176</f>
        <v>0</v>
      </c>
      <c r="CK176" s="1110">
        <f>' Table Z Net Exp Profiles'!N176</f>
        <v>0</v>
      </c>
      <c r="CL176" s="1110">
        <f>' Table Z Net Exp Profiles'!O176</f>
        <v>0</v>
      </c>
      <c r="CM176" s="1101">
        <f>' Table Z Net Exp Profiles'!P176</f>
        <v>0</v>
      </c>
      <c r="DF176" s="1914"/>
      <c r="DG176" s="2717">
        <f>'B3 - COVID-19'!R32</f>
        <v>0</v>
      </c>
      <c r="DH176" s="2717">
        <f>'B3 - COVID-19'!S32</f>
        <v>0</v>
      </c>
      <c r="DI176" s="2717">
        <f>'B3 - COVID-19'!T32</f>
        <v>0</v>
      </c>
      <c r="DJ176" s="2717">
        <f>'B3 - COVID-19'!U32</f>
        <v>0</v>
      </c>
      <c r="DK176" s="2717">
        <f>'B3 - COVID-19'!V32</f>
        <v>0</v>
      </c>
      <c r="DL176" s="2717">
        <f>'B3 - COVID-19'!W32</f>
        <v>0</v>
      </c>
      <c r="DM176" s="2717">
        <f>'B3 - COVID-19'!X32</f>
        <v>0</v>
      </c>
      <c r="DN176" s="2717">
        <f>'B3 - COVID-19'!Y32</f>
        <v>0</v>
      </c>
      <c r="DO176" s="2717">
        <f>'B3 - COVID-19'!Z32</f>
        <v>0</v>
      </c>
      <c r="DP176" s="2717">
        <f>'B3 - COVID-19'!AA32</f>
        <v>0</v>
      </c>
      <c r="DQ176" s="2717">
        <f>'B3 - COVID-19'!AB32</f>
        <v>0</v>
      </c>
      <c r="DR176" s="2717">
        <f>'B3 - COVID-19'!AC32</f>
        <v>0</v>
      </c>
      <c r="DS176" s="2717">
        <f>'B3 - COVID-19'!AD32</f>
        <v>0</v>
      </c>
      <c r="DT176" s="1863">
        <f>'B3 - COVID-19'!AE32</f>
        <v>0</v>
      </c>
      <c r="DU176" s="1863">
        <f>'B3 - COVID-19'!AF32</f>
        <v>0</v>
      </c>
      <c r="DV176" s="2594"/>
      <c r="DW176" s="2594"/>
      <c r="LL176" s="814"/>
      <c r="LM176" s="819"/>
      <c r="LN176" s="820"/>
      <c r="LO176" s="821"/>
      <c r="LP176" s="821"/>
      <c r="LQ176" s="822"/>
      <c r="LR176" s="821"/>
      <c r="LS176" s="823"/>
      <c r="LT176" s="823"/>
      <c r="LU176" s="814"/>
      <c r="LV176" s="814"/>
      <c r="LX176" s="459" t="str">
        <f>'N - GMS'!A176</f>
        <v>Cost Rent</v>
      </c>
      <c r="LY176" s="518"/>
      <c r="LZ176" s="461">
        <f>'N - GMS'!C176</f>
        <v>132</v>
      </c>
      <c r="MA176" s="2230">
        <f>'N - GMS'!D176</f>
        <v>0</v>
      </c>
      <c r="MB176" s="2230">
        <f>'N - GMS'!E176</f>
        <v>0</v>
      </c>
      <c r="MC176" s="2230">
        <f>'N - GMS'!F176</f>
        <v>0</v>
      </c>
      <c r="MD176" s="2230">
        <f>'N - GMS'!G176</f>
        <v>0</v>
      </c>
      <c r="ME176" s="1170"/>
      <c r="MF176" s="1028">
        <f>'N - GMS'!I176</f>
        <v>0</v>
      </c>
      <c r="MR176" s="684"/>
      <c r="MS176" s="684"/>
      <c r="MT176" s="684"/>
      <c r="MU176" s="684"/>
      <c r="MV176" s="684"/>
      <c r="MW176" s="684"/>
      <c r="MX176" s="684"/>
      <c r="MY176" s="684"/>
      <c r="MZ176" s="684"/>
      <c r="NA176" s="684"/>
      <c r="NB176" s="684"/>
      <c r="NC176" s="684"/>
      <c r="ND176" s="684"/>
      <c r="NE176" s="684"/>
      <c r="NF176" s="684"/>
      <c r="NG176" s="684"/>
      <c r="NH176" s="684"/>
      <c r="NI176" s="684"/>
      <c r="NJ176" s="684"/>
      <c r="NK176" s="684"/>
    </row>
    <row r="177" spans="76:375" ht="20.149999999999999" customHeight="1" thickBot="1">
      <c r="BX177" s="1107">
        <f>' Table Z Net Exp Profiles'!A177</f>
        <v>132</v>
      </c>
      <c r="BY177" s="1270" t="str">
        <f>' Table Z Net Exp Profiles'!B177</f>
        <v>Net Commissioned Services Expenditure - Movement due to Covid-19</v>
      </c>
      <c r="BZ177" s="1110">
        <f>' Table Z Net Exp Profiles'!C177</f>
        <v>0</v>
      </c>
      <c r="CA177" s="1110">
        <f>' Table Z Net Exp Profiles'!D177</f>
        <v>0</v>
      </c>
      <c r="CB177" s="1110">
        <f>' Table Z Net Exp Profiles'!E177</f>
        <v>0</v>
      </c>
      <c r="CC177" s="1110">
        <f>' Table Z Net Exp Profiles'!F177</f>
        <v>0</v>
      </c>
      <c r="CD177" s="1110">
        <f>' Table Z Net Exp Profiles'!G177</f>
        <v>0</v>
      </c>
      <c r="CE177" s="1110">
        <f>' Table Z Net Exp Profiles'!H177</f>
        <v>0</v>
      </c>
      <c r="CF177" s="1110">
        <f>' Table Z Net Exp Profiles'!I177</f>
        <v>0</v>
      </c>
      <c r="CG177" s="1110">
        <f>' Table Z Net Exp Profiles'!J177</f>
        <v>0</v>
      </c>
      <c r="CH177" s="1110">
        <f>' Table Z Net Exp Profiles'!K177</f>
        <v>0</v>
      </c>
      <c r="CI177" s="1110">
        <f>' Table Z Net Exp Profiles'!L177</f>
        <v>0</v>
      </c>
      <c r="CJ177" s="1110">
        <f>' Table Z Net Exp Profiles'!M177</f>
        <v>0</v>
      </c>
      <c r="CK177" s="1110">
        <f>' Table Z Net Exp Profiles'!N177</f>
        <v>0</v>
      </c>
      <c r="CL177" s="1110">
        <f>' Table Z Net Exp Profiles'!O177</f>
        <v>0</v>
      </c>
      <c r="CM177" s="1101">
        <f>' Table Z Net Exp Profiles'!P177</f>
        <v>0</v>
      </c>
      <c r="DF177" s="1914"/>
      <c r="DG177" s="2717">
        <f>'B3 - COVID-19'!R33</f>
        <v>0</v>
      </c>
      <c r="DH177" s="2717">
        <f>'B3 - COVID-19'!S33</f>
        <v>0</v>
      </c>
      <c r="DI177" s="2717">
        <f>'B3 - COVID-19'!T33</f>
        <v>0</v>
      </c>
      <c r="DJ177" s="2717">
        <f>'B3 - COVID-19'!U33</f>
        <v>0</v>
      </c>
      <c r="DK177" s="2717">
        <f>'B3 - COVID-19'!V33</f>
        <v>0</v>
      </c>
      <c r="DL177" s="2717">
        <f>'B3 - COVID-19'!W33</f>
        <v>0</v>
      </c>
      <c r="DM177" s="2717">
        <f>'B3 - COVID-19'!X33</f>
        <v>0</v>
      </c>
      <c r="DN177" s="2717">
        <f>'B3 - COVID-19'!Y33</f>
        <v>0</v>
      </c>
      <c r="DO177" s="2717">
        <f>'B3 - COVID-19'!Z33</f>
        <v>0</v>
      </c>
      <c r="DP177" s="2717">
        <f>'B3 - COVID-19'!AA33</f>
        <v>0</v>
      </c>
      <c r="DQ177" s="2717">
        <f>'B3 - COVID-19'!AB33</f>
        <v>0</v>
      </c>
      <c r="DR177" s="2717">
        <f>'B3 - COVID-19'!AC33</f>
        <v>0</v>
      </c>
      <c r="DS177" s="2717">
        <f>'B3 - COVID-19'!AD33</f>
        <v>0</v>
      </c>
      <c r="DT177" s="1863">
        <f>'B3 - COVID-19'!AE33</f>
        <v>0</v>
      </c>
      <c r="DU177" s="1863">
        <f>'B3 - COVID-19'!AF33</f>
        <v>0</v>
      </c>
      <c r="DV177" s="2594"/>
      <c r="DW177" s="2594"/>
      <c r="LL177" s="814"/>
      <c r="LM177" s="819"/>
      <c r="LN177" s="820"/>
      <c r="LO177" s="821"/>
      <c r="LP177" s="821"/>
      <c r="LQ177" s="822"/>
      <c r="LR177" s="821"/>
      <c r="LS177" s="823"/>
      <c r="LT177" s="823"/>
      <c r="LU177" s="814"/>
      <c r="LV177" s="814"/>
      <c r="LX177" s="459" t="str">
        <f>'N - GMS'!A177</f>
        <v>Clinical Waste/ Trade Refuse</v>
      </c>
      <c r="LY177" s="518"/>
      <c r="LZ177" s="461">
        <f>'N - GMS'!C177</f>
        <v>133</v>
      </c>
      <c r="MA177" s="2230">
        <f>'N - GMS'!D177</f>
        <v>0</v>
      </c>
      <c r="MB177" s="2230">
        <f>'N - GMS'!E177</f>
        <v>0</v>
      </c>
      <c r="MC177" s="2230">
        <f>'N - GMS'!F177</f>
        <v>0</v>
      </c>
      <c r="MD177" s="2230">
        <f>'N - GMS'!G177</f>
        <v>0</v>
      </c>
      <c r="ME177" s="1170"/>
      <c r="MF177" s="1028">
        <f>'N - GMS'!I177</f>
        <v>0</v>
      </c>
      <c r="MR177" s="684"/>
      <c r="MS177" s="684"/>
      <c r="MT177" s="684"/>
      <c r="MU177" s="684"/>
      <c r="MV177" s="684"/>
      <c r="MW177" s="684"/>
      <c r="MX177" s="684"/>
      <c r="MY177" s="684"/>
      <c r="MZ177" s="684"/>
      <c r="NA177" s="684"/>
      <c r="NB177" s="684"/>
      <c r="NC177" s="684"/>
      <c r="ND177" s="684"/>
      <c r="NE177" s="684"/>
      <c r="NF177" s="684"/>
      <c r="NG177" s="684"/>
      <c r="NH177" s="684"/>
      <c r="NI177" s="684"/>
      <c r="NJ177" s="684"/>
      <c r="NK177" s="684"/>
    </row>
    <row r="178" spans="76:375" ht="20.149999999999999" customHeight="1" thickBot="1">
      <c r="BX178" s="1107">
        <f>' Table Z Net Exp Profiles'!A178</f>
        <v>133</v>
      </c>
      <c r="BY178" s="1270" t="str">
        <f>' Table Z Net Exp Profiles'!B178</f>
        <v>Net Commissioned Services Expenditure - Movement Other</v>
      </c>
      <c r="BZ178" s="1110">
        <f>' Table Z Net Exp Profiles'!C178</f>
        <v>0</v>
      </c>
      <c r="CA178" s="1110">
        <f>' Table Z Net Exp Profiles'!D178</f>
        <v>0</v>
      </c>
      <c r="CB178" s="1110">
        <f>' Table Z Net Exp Profiles'!E178</f>
        <v>0</v>
      </c>
      <c r="CC178" s="1110">
        <f>' Table Z Net Exp Profiles'!F178</f>
        <v>0</v>
      </c>
      <c r="CD178" s="1110">
        <f>' Table Z Net Exp Profiles'!G178</f>
        <v>0</v>
      </c>
      <c r="CE178" s="1110">
        <f>' Table Z Net Exp Profiles'!H178</f>
        <v>0</v>
      </c>
      <c r="CF178" s="1110">
        <f>' Table Z Net Exp Profiles'!I178</f>
        <v>0</v>
      </c>
      <c r="CG178" s="1110">
        <f>' Table Z Net Exp Profiles'!J178</f>
        <v>0</v>
      </c>
      <c r="CH178" s="1110">
        <f>' Table Z Net Exp Profiles'!K178</f>
        <v>0</v>
      </c>
      <c r="CI178" s="1110">
        <f>' Table Z Net Exp Profiles'!L178</f>
        <v>0</v>
      </c>
      <c r="CJ178" s="1110">
        <f>' Table Z Net Exp Profiles'!M178</f>
        <v>0</v>
      </c>
      <c r="CK178" s="1110">
        <f>' Table Z Net Exp Profiles'!N178</f>
        <v>0</v>
      </c>
      <c r="CL178" s="1110">
        <f>' Table Z Net Exp Profiles'!O178</f>
        <v>0</v>
      </c>
      <c r="CM178" s="1101">
        <f>' Table Z Net Exp Profiles'!P178</f>
        <v>0</v>
      </c>
      <c r="DF178" s="1914"/>
      <c r="DG178" s="2718" t="str">
        <f>'B3 - COVID-19'!R34</f>
        <v xml:space="preserve">Total  </v>
      </c>
      <c r="DH178" s="2718">
        <f>'B3 - COVID-19'!S34</f>
        <v>859.04843000000005</v>
      </c>
      <c r="DI178" s="2718">
        <f>'B3 - COVID-19'!T34</f>
        <v>893.20325773574302</v>
      </c>
      <c r="DJ178" s="2718">
        <f>'B3 - COVID-19'!U34</f>
        <v>1300.8051747442678</v>
      </c>
      <c r="DK178" s="2718">
        <f>'B3 - COVID-19'!V34</f>
        <v>883.70325773574302</v>
      </c>
      <c r="DL178" s="2718">
        <f>'B3 - COVID-19'!W34</f>
        <v>874.20325773574302</v>
      </c>
      <c r="DM178" s="2718">
        <f>'B3 - COVID-19'!X34</f>
        <v>1291.3051747442678</v>
      </c>
      <c r="DN178" s="2718">
        <f>'B3 - COVID-19'!Y34</f>
        <v>1110.8900154706657</v>
      </c>
      <c r="DO178" s="2718">
        <f>'B3 - COVID-19'!Z34</f>
        <v>1116.1104443264508</v>
      </c>
      <c r="DP178" s="2718">
        <f>'B3 - COVID-19'!AA34</f>
        <v>1601.4106404706658</v>
      </c>
      <c r="DQ178" s="2718">
        <f>'B3 - COVID-19'!AB34</f>
        <v>1148.8900154706657</v>
      </c>
      <c r="DR178" s="2718">
        <f>'B3 - COVID-19'!AC34</f>
        <v>1064.3308731822358</v>
      </c>
      <c r="DS178" s="2718">
        <f>'B3 - COVID-19'!AD34</f>
        <v>1544.1690304706658</v>
      </c>
      <c r="DT178" s="2718">
        <f>'B3 - COVID-19'!AE34</f>
        <v>859.04843000000005</v>
      </c>
      <c r="DU178" s="2718">
        <f>'B3 - COVID-19'!AF34</f>
        <v>13688.069572087114</v>
      </c>
      <c r="DV178" s="2594"/>
      <c r="DW178" s="2594"/>
      <c r="LL178" s="814"/>
      <c r="LM178" s="819"/>
      <c r="LN178" s="820"/>
      <c r="LO178" s="821"/>
      <c r="LP178" s="821"/>
      <c r="LQ178" s="822"/>
      <c r="LR178" s="821"/>
      <c r="LS178" s="823"/>
      <c r="LT178" s="823"/>
      <c r="LU178" s="814"/>
      <c r="LV178" s="814"/>
      <c r="LX178" s="459" t="str">
        <f>'N - GMS'!A178</f>
        <v>Rates, Water, sewerage etc</v>
      </c>
      <c r="LY178" s="518"/>
      <c r="LZ178" s="461">
        <f>'N - GMS'!C178</f>
        <v>134</v>
      </c>
      <c r="MA178" s="2230">
        <f>'N - GMS'!D178</f>
        <v>0</v>
      </c>
      <c r="MB178" s="2230">
        <f>'N - GMS'!E178</f>
        <v>0</v>
      </c>
      <c r="MC178" s="2230">
        <f>'N - GMS'!F178</f>
        <v>0</v>
      </c>
      <c r="MD178" s="2230">
        <f>'N - GMS'!G178</f>
        <v>0</v>
      </c>
      <c r="ME178" s="1170"/>
      <c r="MF178" s="1028">
        <f>'N - GMS'!I178</f>
        <v>0</v>
      </c>
      <c r="MR178" s="684"/>
      <c r="MS178" s="684"/>
      <c r="MT178" s="684"/>
      <c r="MU178" s="684"/>
      <c r="MV178" s="684"/>
      <c r="MW178" s="684"/>
      <c r="MX178" s="684"/>
      <c r="MY178" s="684"/>
      <c r="MZ178" s="684"/>
      <c r="NA178" s="684"/>
      <c r="NB178" s="684"/>
      <c r="NC178" s="684"/>
      <c r="ND178" s="684"/>
      <c r="NE178" s="684"/>
      <c r="NF178" s="684"/>
      <c r="NG178" s="684"/>
      <c r="NH178" s="684"/>
      <c r="NI178" s="684"/>
      <c r="NJ178" s="684"/>
      <c r="NK178" s="684"/>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4"/>
      <c r="DG179" s="2787"/>
      <c r="DH179" s="2786"/>
      <c r="DI179" s="2786"/>
      <c r="DJ179" s="2786"/>
      <c r="DK179" s="2786"/>
      <c r="DL179" s="2786"/>
      <c r="DM179" s="2786"/>
      <c r="DN179" s="2786"/>
      <c r="DO179" s="2786"/>
      <c r="DP179" s="2786"/>
      <c r="DQ179" s="2786"/>
      <c r="DR179" s="2786"/>
      <c r="DS179" s="2786"/>
      <c r="DT179" s="1917"/>
      <c r="DU179" s="1917"/>
      <c r="DV179" s="2594"/>
      <c r="DW179" s="2594"/>
      <c r="LL179" s="814"/>
      <c r="LM179" s="819"/>
      <c r="LN179" s="820"/>
      <c r="LO179" s="821"/>
      <c r="LP179" s="821"/>
      <c r="LQ179" s="822"/>
      <c r="LR179" s="821"/>
      <c r="LS179" s="823"/>
      <c r="LT179" s="823"/>
      <c r="LU179" s="814"/>
      <c r="LV179" s="814"/>
      <c r="LX179" s="1011" t="str">
        <f>'N - GMS'!A179</f>
        <v>Health Centre Charges</v>
      </c>
      <c r="LY179" s="1006"/>
      <c r="LZ179" s="461">
        <f>'N - GMS'!C179</f>
        <v>135</v>
      </c>
      <c r="MA179" s="2230">
        <f>'N - GMS'!D179</f>
        <v>0</v>
      </c>
      <c r="MB179" s="2230">
        <f>'N - GMS'!E179</f>
        <v>0</v>
      </c>
      <c r="MC179" s="2230">
        <f>'N - GMS'!F179</f>
        <v>0</v>
      </c>
      <c r="MD179" s="2230">
        <f>'N - GMS'!G179</f>
        <v>0</v>
      </c>
      <c r="ME179" s="1170"/>
      <c r="MF179" s="1780">
        <f>'N - GMS'!I179</f>
        <v>0</v>
      </c>
      <c r="MR179" s="684"/>
      <c r="MS179" s="684"/>
      <c r="MT179" s="684"/>
      <c r="MU179" s="684"/>
      <c r="MV179" s="684"/>
      <c r="MW179" s="684"/>
      <c r="MX179" s="684"/>
      <c r="MY179" s="684"/>
      <c r="MZ179" s="684"/>
      <c r="NA179" s="684"/>
      <c r="NB179" s="684"/>
      <c r="NC179" s="684"/>
      <c r="ND179" s="684"/>
      <c r="NE179" s="684"/>
      <c r="NF179" s="684"/>
      <c r="NG179" s="684"/>
      <c r="NH179" s="684"/>
      <c r="NI179" s="684"/>
      <c r="NJ179" s="684"/>
      <c r="NK179" s="684"/>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4"/>
      <c r="DG180" s="2787"/>
      <c r="DH180" s="2786"/>
      <c r="DI180" s="2786"/>
      <c r="DJ180" s="2786"/>
      <c r="DK180" s="2786"/>
      <c r="DL180" s="2786"/>
      <c r="DM180" s="2786"/>
      <c r="DN180" s="2786"/>
      <c r="DO180" s="2786"/>
      <c r="DP180" s="2786"/>
      <c r="DQ180" s="2786"/>
      <c r="DR180" s="2786"/>
      <c r="DS180" s="2786"/>
      <c r="DT180" s="1917"/>
      <c r="DU180" s="1917"/>
      <c r="DV180" s="2594"/>
      <c r="DW180" s="2594"/>
      <c r="LL180" s="814"/>
      <c r="LM180" s="819"/>
      <c r="LN180" s="820"/>
      <c r="LO180" s="821"/>
      <c r="LP180" s="821"/>
      <c r="LQ180" s="822"/>
      <c r="LR180" s="821"/>
      <c r="LS180" s="823"/>
      <c r="LT180" s="823"/>
      <c r="LU180" s="814"/>
      <c r="LV180" s="814"/>
      <c r="LX180" s="1012" t="str">
        <f>'N - GMS'!A180</f>
        <v>Improvement Grants</v>
      </c>
      <c r="LY180" s="518"/>
      <c r="LZ180" s="461">
        <f>'N - GMS'!C180</f>
        <v>136</v>
      </c>
      <c r="MA180" s="2230">
        <f>'N - GMS'!D180</f>
        <v>0</v>
      </c>
      <c r="MB180" s="2230">
        <f>'N - GMS'!E180</f>
        <v>0</v>
      </c>
      <c r="MC180" s="2230">
        <f>'N - GMS'!F180</f>
        <v>0</v>
      </c>
      <c r="MD180" s="2230">
        <f>'N - GMS'!G180</f>
        <v>0</v>
      </c>
      <c r="ME180" s="1170"/>
      <c r="MF180" s="1780">
        <f>'N - GMS'!I180</f>
        <v>0</v>
      </c>
      <c r="MR180" s="684"/>
      <c r="MS180" s="684"/>
      <c r="MT180" s="684"/>
      <c r="MU180" s="684"/>
      <c r="MV180" s="684"/>
      <c r="MW180" s="684"/>
      <c r="MX180" s="684"/>
      <c r="MY180" s="684"/>
      <c r="MZ180" s="684"/>
      <c r="NA180" s="684"/>
      <c r="NB180" s="684"/>
      <c r="NC180" s="684"/>
      <c r="ND180" s="684"/>
      <c r="NE180" s="684"/>
      <c r="NF180" s="684"/>
      <c r="NG180" s="684"/>
      <c r="NH180" s="684"/>
      <c r="NI180" s="684"/>
      <c r="NJ180" s="684"/>
      <c r="NK180" s="684"/>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4"/>
      <c r="DG181" s="2787"/>
      <c r="DH181" s="2786"/>
      <c r="DI181" s="2786"/>
      <c r="DJ181" s="2786"/>
      <c r="DK181" s="2786"/>
      <c r="DL181" s="2786"/>
      <c r="DM181" s="2786"/>
      <c r="DN181" s="2786"/>
      <c r="DO181" s="2786"/>
      <c r="DP181" s="2786"/>
      <c r="DQ181" s="2786"/>
      <c r="DR181" s="2786"/>
      <c r="DS181" s="2786"/>
      <c r="DT181" s="1917"/>
      <c r="DU181" s="1917"/>
      <c r="DV181" s="2594"/>
      <c r="DW181" s="2594"/>
      <c r="LL181" s="814"/>
      <c r="LM181" s="819"/>
      <c r="LN181" s="820"/>
      <c r="LO181" s="821"/>
      <c r="LP181" s="821"/>
      <c r="LQ181" s="822"/>
      <c r="LR181" s="821"/>
      <c r="LS181" s="823"/>
      <c r="LT181" s="823"/>
      <c r="LU181" s="814"/>
      <c r="LV181" s="814"/>
      <c r="LX181" s="3170" t="str">
        <f>'N - GMS'!A181</f>
        <v>All other Premises (please detail below which should reconcile to line 146)</v>
      </c>
      <c r="LY181" s="3171"/>
      <c r="LZ181" s="461">
        <f>'N - GMS'!C181</f>
        <v>137</v>
      </c>
      <c r="MA181" s="2464">
        <f>'N - GMS'!D181</f>
        <v>0</v>
      </c>
      <c r="MB181" s="2465">
        <f>'N - GMS'!E181</f>
        <v>0</v>
      </c>
      <c r="MC181" s="2465">
        <f>'N - GMS'!F181</f>
        <v>0</v>
      </c>
      <c r="MD181" s="2465">
        <f>'N - GMS'!G181</f>
        <v>0</v>
      </c>
      <c r="ME181" s="1170"/>
      <c r="MF181" s="1780">
        <f>'N - GMS'!I181</f>
        <v>0</v>
      </c>
      <c r="MR181" s="684"/>
      <c r="MS181" s="684"/>
      <c r="MT181" s="684"/>
      <c r="MU181" s="684"/>
      <c r="MV181" s="684"/>
      <c r="MW181" s="684"/>
      <c r="MX181" s="684"/>
      <c r="MY181" s="684"/>
      <c r="MZ181" s="684"/>
      <c r="NA181" s="684"/>
      <c r="NB181" s="684"/>
      <c r="NC181" s="684"/>
      <c r="ND181" s="684"/>
      <c r="NE181" s="684"/>
      <c r="NF181" s="684"/>
      <c r="NG181" s="684"/>
      <c r="NH181" s="684"/>
      <c r="NI181" s="684"/>
      <c r="NJ181" s="684"/>
      <c r="NK181" s="684"/>
    </row>
    <row r="182" spans="76:375" ht="20.149999999999999" customHeight="1" thickTop="1" thickBot="1">
      <c r="BX182" s="84"/>
      <c r="BY182" s="1209"/>
      <c r="BZ182" s="1221">
        <f>' Table Z Net Exp Profiles'!C182</f>
        <v>1</v>
      </c>
      <c r="CA182" s="1222">
        <f>' Table Z Net Exp Profiles'!D182</f>
        <v>2</v>
      </c>
      <c r="CB182" s="1222">
        <f>' Table Z Net Exp Profiles'!E182</f>
        <v>3</v>
      </c>
      <c r="CC182" s="1222">
        <f>' Table Z Net Exp Profiles'!F182</f>
        <v>4</v>
      </c>
      <c r="CD182" s="1222">
        <f>' Table Z Net Exp Profiles'!G182</f>
        <v>5</v>
      </c>
      <c r="CE182" s="1222">
        <f>' Table Z Net Exp Profiles'!H182</f>
        <v>6</v>
      </c>
      <c r="CF182" s="1222">
        <f>' Table Z Net Exp Profiles'!I182</f>
        <v>7</v>
      </c>
      <c r="CG182" s="1222">
        <f>' Table Z Net Exp Profiles'!J182</f>
        <v>8</v>
      </c>
      <c r="CH182" s="1222">
        <f>' Table Z Net Exp Profiles'!K182</f>
        <v>9</v>
      </c>
      <c r="CI182" s="1222">
        <f>' Table Z Net Exp Profiles'!L182</f>
        <v>10</v>
      </c>
      <c r="CJ182" s="1222">
        <f>' Table Z Net Exp Profiles'!M182</f>
        <v>11</v>
      </c>
      <c r="CK182" s="1223">
        <f>' Table Z Net Exp Profiles'!N182</f>
        <v>12</v>
      </c>
      <c r="CL182" s="1210"/>
      <c r="CM182" s="1211"/>
      <c r="DF182" s="1914"/>
      <c r="DG182" s="2787"/>
      <c r="DH182" s="2786"/>
      <c r="DI182" s="2786"/>
      <c r="DJ182" s="2786"/>
      <c r="DK182" s="2786"/>
      <c r="DL182" s="2786"/>
      <c r="DM182" s="2786"/>
      <c r="DN182" s="2786"/>
      <c r="DO182" s="2786"/>
      <c r="DP182" s="2786"/>
      <c r="DQ182" s="2786"/>
      <c r="DR182" s="2786"/>
      <c r="DS182" s="2786"/>
      <c r="DT182" s="1917"/>
      <c r="DU182" s="1917"/>
      <c r="DV182" s="2594"/>
      <c r="DW182" s="2594"/>
      <c r="LL182" s="814"/>
      <c r="LM182" s="819"/>
      <c r="LN182" s="820"/>
      <c r="LO182" s="821"/>
      <c r="LP182" s="821"/>
      <c r="LQ182" s="822"/>
      <c r="LR182" s="821"/>
      <c r="LS182" s="823"/>
      <c r="LT182" s="823"/>
      <c r="LU182" s="814"/>
      <c r="LV182" s="814"/>
      <c r="LX182" s="532" t="str">
        <f>'N - GMS'!A182</f>
        <v>TOTAL Premises (must equal line 13)</v>
      </c>
      <c r="LY182" s="523"/>
      <c r="LZ182" s="524">
        <f>'N - GMS'!C182</f>
        <v>138</v>
      </c>
      <c r="MA182" s="1856">
        <f>'N - GMS'!D182</f>
        <v>0</v>
      </c>
      <c r="MB182" s="1856">
        <f>'N - GMS'!E182</f>
        <v>0</v>
      </c>
      <c r="MC182" s="1856">
        <f>'N - GMS'!F182</f>
        <v>0</v>
      </c>
      <c r="MD182" s="457">
        <f>'N - GMS'!G182</f>
        <v>0</v>
      </c>
      <c r="ME182" s="213"/>
      <c r="MF182" s="533">
        <f>'N - GMS'!I182</f>
        <v>0</v>
      </c>
      <c r="MR182" s="684"/>
      <c r="MS182" s="684"/>
      <c r="MT182" s="684"/>
      <c r="MU182" s="684"/>
      <c r="MV182" s="684"/>
      <c r="MW182" s="684"/>
      <c r="MX182" s="684"/>
      <c r="MY182" s="684"/>
      <c r="MZ182" s="684"/>
      <c r="NA182" s="684"/>
      <c r="NB182" s="684"/>
      <c r="NC182" s="684"/>
      <c r="ND182" s="684"/>
      <c r="NE182" s="684"/>
      <c r="NF182" s="684"/>
      <c r="NG182" s="684"/>
      <c r="NH182" s="684"/>
      <c r="NI182" s="684"/>
      <c r="NJ182" s="684"/>
      <c r="NK182" s="684"/>
    </row>
    <row r="183" spans="76:375" ht="20.149999999999999" customHeight="1" thickTop="1">
      <c r="BX183" s="84"/>
      <c r="BY183" s="1212" t="str">
        <f>' Table Z Net Exp Profiles'!B183</f>
        <v>Total Net Expenditure Profiles</v>
      </c>
      <c r="BZ183" s="1224" t="str">
        <f>' Table Z Net Exp Profiles'!C183</f>
        <v>Apr</v>
      </c>
      <c r="CA183" s="1225" t="str">
        <f>' Table Z Net Exp Profiles'!D183</f>
        <v>May</v>
      </c>
      <c r="CB183" s="1225" t="str">
        <f>' Table Z Net Exp Profiles'!E183</f>
        <v>Jun</v>
      </c>
      <c r="CC183" s="1225" t="str">
        <f>' Table Z Net Exp Profiles'!F183</f>
        <v>Jul</v>
      </c>
      <c r="CD183" s="1225" t="str">
        <f>' Table Z Net Exp Profiles'!G183</f>
        <v>Aug</v>
      </c>
      <c r="CE183" s="1225" t="str">
        <f>' Table Z Net Exp Profiles'!H183</f>
        <v>Sep</v>
      </c>
      <c r="CF183" s="1225" t="str">
        <f>' Table Z Net Exp Profiles'!I183</f>
        <v>Oct</v>
      </c>
      <c r="CG183" s="1225" t="str">
        <f>' Table Z Net Exp Profiles'!J183</f>
        <v>Nov</v>
      </c>
      <c r="CH183" s="1225" t="str">
        <f>' Table Z Net Exp Profiles'!K183</f>
        <v>Dec</v>
      </c>
      <c r="CI183" s="1225" t="str">
        <f>' Table Z Net Exp Profiles'!L183</f>
        <v>Jan</v>
      </c>
      <c r="CJ183" s="1225" t="str">
        <f>' Table Z Net Exp Profiles'!M183</f>
        <v>Feb</v>
      </c>
      <c r="CK183" s="1226" t="str">
        <f>' Table Z Net Exp Profiles'!N183</f>
        <v>Mar</v>
      </c>
      <c r="CL183" s="1227" t="str">
        <f>' Table Z Net Exp Profiles'!O183</f>
        <v>Total YTD</v>
      </c>
      <c r="CM183" s="1227" t="str">
        <f>' Table Z Net Exp Profiles'!P183</f>
        <v>Forecast year-end position</v>
      </c>
      <c r="DF183" s="1914"/>
      <c r="DG183" s="2787"/>
      <c r="DH183" s="2786"/>
      <c r="DI183" s="2786"/>
      <c r="DJ183" s="2786"/>
      <c r="DK183" s="2786"/>
      <c r="DL183" s="2786"/>
      <c r="DM183" s="2786"/>
      <c r="DN183" s="2786"/>
      <c r="DO183" s="2786"/>
      <c r="DP183" s="2786"/>
      <c r="DQ183" s="2786"/>
      <c r="DR183" s="2786"/>
      <c r="DS183" s="2786"/>
      <c r="DT183" s="1917"/>
      <c r="DU183" s="1917"/>
      <c r="DV183" s="2594"/>
      <c r="DW183" s="2594"/>
      <c r="LL183" s="814"/>
      <c r="LM183" s="819"/>
      <c r="LN183" s="820"/>
      <c r="LO183" s="821"/>
      <c r="LP183" s="821"/>
      <c r="LQ183" s="822"/>
      <c r="LR183" s="821"/>
      <c r="LS183" s="823"/>
      <c r="LT183" s="823"/>
      <c r="LU183" s="814"/>
      <c r="LV183" s="814"/>
      <c r="LX183" s="430" t="str">
        <f>'N - GMS'!A183</f>
        <v/>
      </c>
      <c r="LY183" s="430"/>
      <c r="LZ183" s="430"/>
      <c r="MA183" s="241"/>
      <c r="MB183" s="241"/>
      <c r="MC183" s="500"/>
      <c r="MD183" s="239"/>
      <c r="ME183" s="239"/>
      <c r="MF183" s="239"/>
      <c r="MR183" s="684"/>
      <c r="MS183" s="684"/>
      <c r="MT183" s="684"/>
      <c r="MU183" s="684"/>
      <c r="MV183" s="684"/>
      <c r="MW183" s="684"/>
      <c r="MX183" s="684"/>
      <c r="MY183" s="684"/>
      <c r="MZ183" s="684"/>
      <c r="NA183" s="684"/>
      <c r="NB183" s="684"/>
      <c r="NC183" s="684"/>
      <c r="ND183" s="684"/>
      <c r="NE183" s="684"/>
      <c r="NF183" s="684"/>
      <c r="NG183" s="684"/>
      <c r="NH183" s="684"/>
      <c r="NI183" s="684"/>
      <c r="NJ183" s="684"/>
      <c r="NK183" s="684"/>
    </row>
    <row r="184" spans="76:375" ht="20.149999999999999" customHeight="1" thickBot="1">
      <c r="BX184" s="84"/>
      <c r="BY184" s="1213"/>
      <c r="BZ184" s="1228" t="str">
        <f>' Table Z Net Exp Profiles'!C184</f>
        <v>£'000</v>
      </c>
      <c r="CA184" s="1229" t="str">
        <f>' Table Z Net Exp Profiles'!D184</f>
        <v>£'000</v>
      </c>
      <c r="CB184" s="1229" t="str">
        <f>' Table Z Net Exp Profiles'!E184</f>
        <v>£'000</v>
      </c>
      <c r="CC184" s="1229" t="str">
        <f>' Table Z Net Exp Profiles'!F184</f>
        <v>£'000</v>
      </c>
      <c r="CD184" s="1229" t="str">
        <f>' Table Z Net Exp Profiles'!G184</f>
        <v>£'000</v>
      </c>
      <c r="CE184" s="1229" t="str">
        <f>' Table Z Net Exp Profiles'!H184</f>
        <v>£'000</v>
      </c>
      <c r="CF184" s="1229" t="str">
        <f>' Table Z Net Exp Profiles'!I184</f>
        <v>£'000</v>
      </c>
      <c r="CG184" s="1229" t="str">
        <f>' Table Z Net Exp Profiles'!J184</f>
        <v>£'000</v>
      </c>
      <c r="CH184" s="1229" t="str">
        <f>' Table Z Net Exp Profiles'!K184</f>
        <v>£'000</v>
      </c>
      <c r="CI184" s="1229" t="str">
        <f>' Table Z Net Exp Profiles'!L184</f>
        <v>£'000</v>
      </c>
      <c r="CJ184" s="1229" t="str">
        <f>' Table Z Net Exp Profiles'!M184</f>
        <v>£'000</v>
      </c>
      <c r="CK184" s="1230" t="str">
        <f>' Table Z Net Exp Profiles'!N184</f>
        <v>£'000</v>
      </c>
      <c r="CL184" s="1231" t="str">
        <f>' Table Z Net Exp Profiles'!O184</f>
        <v>£'000</v>
      </c>
      <c r="CM184" s="1231" t="str">
        <f>' Table Z Net Exp Profiles'!P184</f>
        <v>£'000</v>
      </c>
      <c r="DF184" s="1914"/>
      <c r="DG184" s="2787"/>
      <c r="DH184" s="2786"/>
      <c r="DI184" s="2786"/>
      <c r="DJ184" s="2786"/>
      <c r="DK184" s="2786"/>
      <c r="DL184" s="2786"/>
      <c r="DM184" s="2786"/>
      <c r="DN184" s="2786"/>
      <c r="DO184" s="2786"/>
      <c r="DP184" s="2786"/>
      <c r="DQ184" s="2786"/>
      <c r="DR184" s="2786"/>
      <c r="DS184" s="2786"/>
      <c r="DT184" s="1917"/>
      <c r="DU184" s="1917"/>
      <c r="DV184" s="2594"/>
      <c r="DW184" s="2594"/>
      <c r="LL184" s="814"/>
      <c r="LM184" s="819"/>
      <c r="LN184" s="820"/>
      <c r="LO184" s="821"/>
      <c r="LP184" s="821"/>
      <c r="LQ184" s="822"/>
      <c r="LR184" s="821"/>
      <c r="LS184" s="823"/>
      <c r="LT184" s="823"/>
      <c r="LU184" s="814"/>
      <c r="LV184" s="814"/>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4"/>
      <c r="MS184" s="684"/>
      <c r="MT184" s="684"/>
      <c r="MU184" s="684"/>
      <c r="MV184" s="684"/>
      <c r="MW184" s="684"/>
      <c r="MX184" s="684"/>
      <c r="MY184" s="684"/>
      <c r="MZ184" s="684"/>
      <c r="NA184" s="684"/>
      <c r="NB184" s="684"/>
      <c r="NC184" s="684"/>
      <c r="ND184" s="684"/>
      <c r="NE184" s="684"/>
      <c r="NF184" s="684"/>
      <c r="NG184" s="684"/>
      <c r="NH184" s="684"/>
      <c r="NI184" s="684"/>
      <c r="NJ184" s="684"/>
      <c r="NK184" s="684"/>
    </row>
    <row r="185" spans="76:375" ht="20.149999999999999" customHeight="1">
      <c r="BX185" s="86">
        <f>' Table Z Net Exp Profiles'!A185</f>
        <v>134</v>
      </c>
      <c r="BY185" s="1263" t="str">
        <f>' Table Z Net Exp Profiles'!B185</f>
        <v>Gross Expenditure - Non Covid-19 - Current Plan</v>
      </c>
      <c r="BZ185" s="1286">
        <f>' Table Z Net Exp Profiles'!C185</f>
        <v>0</v>
      </c>
      <c r="CA185" s="1286">
        <f>' Table Z Net Exp Profiles'!D185</f>
        <v>0</v>
      </c>
      <c r="CB185" s="1286">
        <f>' Table Z Net Exp Profiles'!E185</f>
        <v>0</v>
      </c>
      <c r="CC185" s="1286">
        <f>' Table Z Net Exp Profiles'!F185</f>
        <v>0</v>
      </c>
      <c r="CD185" s="1286">
        <f>' Table Z Net Exp Profiles'!G185</f>
        <v>0</v>
      </c>
      <c r="CE185" s="1286">
        <f>' Table Z Net Exp Profiles'!H185</f>
        <v>0</v>
      </c>
      <c r="CF185" s="1286">
        <f>' Table Z Net Exp Profiles'!I185</f>
        <v>0</v>
      </c>
      <c r="CG185" s="1286">
        <f>' Table Z Net Exp Profiles'!J185</f>
        <v>0</v>
      </c>
      <c r="CH185" s="1286">
        <f>' Table Z Net Exp Profiles'!K185</f>
        <v>0</v>
      </c>
      <c r="CI185" s="1286">
        <f>' Table Z Net Exp Profiles'!L185</f>
        <v>0</v>
      </c>
      <c r="CJ185" s="1286">
        <f>' Table Z Net Exp Profiles'!M185</f>
        <v>0</v>
      </c>
      <c r="CK185" s="1286">
        <f>' Table Z Net Exp Profiles'!N185</f>
        <v>0</v>
      </c>
      <c r="CL185" s="1215">
        <f>' Table Z Net Exp Profiles'!O185</f>
        <v>0</v>
      </c>
      <c r="CM185" s="1215">
        <f>' Table Z Net Exp Profiles'!P185</f>
        <v>0</v>
      </c>
      <c r="DF185" s="1914"/>
      <c r="DG185" s="2787"/>
      <c r="DH185" s="2786"/>
      <c r="DI185" s="2786"/>
      <c r="DJ185" s="2786"/>
      <c r="DK185" s="2786"/>
      <c r="DL185" s="2786"/>
      <c r="DM185" s="2786"/>
      <c r="DN185" s="2786"/>
      <c r="DO185" s="2786"/>
      <c r="DP185" s="2786"/>
      <c r="DQ185" s="2786"/>
      <c r="DR185" s="2786"/>
      <c r="DS185" s="2786"/>
      <c r="DT185" s="1917"/>
      <c r="DU185" s="1917"/>
      <c r="DV185" s="2594"/>
      <c r="DW185" s="2594"/>
      <c r="LL185" s="814"/>
      <c r="LM185" s="819"/>
      <c r="LN185" s="820"/>
      <c r="LO185" s="821"/>
      <c r="LP185" s="821"/>
      <c r="LQ185" s="822"/>
      <c r="LR185" s="821"/>
      <c r="LS185" s="823"/>
      <c r="LT185" s="823"/>
      <c r="LU185" s="814"/>
      <c r="LV185" s="814"/>
      <c r="LX185" s="3164">
        <f>'N - GMS'!A185</f>
        <v>0</v>
      </c>
      <c r="LY185" s="3165"/>
      <c r="LZ185" s="527">
        <f>'N - GMS'!C185</f>
        <v>139</v>
      </c>
      <c r="MA185" s="2230">
        <f>'N - GMS'!D185</f>
        <v>0</v>
      </c>
      <c r="MB185" s="2230">
        <f>'N - GMS'!E185</f>
        <v>0</v>
      </c>
      <c r="MC185" s="2230">
        <f>'N - GMS'!F185</f>
        <v>0</v>
      </c>
      <c r="MD185" s="2230">
        <f>'N - GMS'!G185</f>
        <v>0</v>
      </c>
      <c r="ME185" s="1170"/>
      <c r="MF185" s="2463">
        <f>'N - GMS'!I185</f>
        <v>0</v>
      </c>
      <c r="MR185" s="684"/>
      <c r="MS185" s="684"/>
      <c r="MT185" s="684"/>
      <c r="MU185" s="684"/>
      <c r="MV185" s="684"/>
      <c r="MW185" s="684"/>
      <c r="MX185" s="684"/>
      <c r="MY185" s="684"/>
      <c r="MZ185" s="684"/>
      <c r="NA185" s="684"/>
      <c r="NB185" s="684"/>
      <c r="NC185" s="684"/>
      <c r="ND185" s="684"/>
      <c r="NE185" s="684"/>
      <c r="NF185" s="684"/>
      <c r="NG185" s="684"/>
      <c r="NH185" s="684"/>
      <c r="NI185" s="684"/>
      <c r="NJ185" s="684"/>
      <c r="NK185" s="684"/>
    </row>
    <row r="186" spans="76:375" ht="20.149999999999999" customHeight="1">
      <c r="BX186" s="1191">
        <f>' Table Z Net Exp Profiles'!A186</f>
        <v>135</v>
      </c>
      <c r="BY186" s="1263" t="str">
        <f>' Table Z Net Exp Profiles'!B186</f>
        <v>Gross Expenditure - Covid-19 - Current Plan</v>
      </c>
      <c r="BZ186" s="2509">
        <f>' Table Z Net Exp Profiles'!C186</f>
        <v>0</v>
      </c>
      <c r="CA186" s="2509">
        <f>' Table Z Net Exp Profiles'!D186</f>
        <v>0</v>
      </c>
      <c r="CB186" s="2509">
        <f>' Table Z Net Exp Profiles'!E186</f>
        <v>0</v>
      </c>
      <c r="CC186" s="2509">
        <f>' Table Z Net Exp Profiles'!F186</f>
        <v>0</v>
      </c>
      <c r="CD186" s="2509">
        <f>' Table Z Net Exp Profiles'!G186</f>
        <v>0</v>
      </c>
      <c r="CE186" s="2509">
        <f>' Table Z Net Exp Profiles'!H186</f>
        <v>0</v>
      </c>
      <c r="CF186" s="2509">
        <f>' Table Z Net Exp Profiles'!I186</f>
        <v>0</v>
      </c>
      <c r="CG186" s="2509">
        <f>' Table Z Net Exp Profiles'!J186</f>
        <v>0</v>
      </c>
      <c r="CH186" s="2509">
        <f>' Table Z Net Exp Profiles'!K186</f>
        <v>0</v>
      </c>
      <c r="CI186" s="2509">
        <f>' Table Z Net Exp Profiles'!L186</f>
        <v>0</v>
      </c>
      <c r="CJ186" s="2509">
        <f>' Table Z Net Exp Profiles'!M186</f>
        <v>0</v>
      </c>
      <c r="CK186" s="2509">
        <f>' Table Z Net Exp Profiles'!N186</f>
        <v>0</v>
      </c>
      <c r="CL186" s="1215">
        <f>' Table Z Net Exp Profiles'!O186</f>
        <v>0</v>
      </c>
      <c r="CM186" s="1215">
        <f>' Table Z Net Exp Profiles'!P186</f>
        <v>0</v>
      </c>
      <c r="DF186" s="1914"/>
      <c r="DG186" s="2787"/>
      <c r="DH186" s="2786"/>
      <c r="DI186" s="2786"/>
      <c r="DJ186" s="2786"/>
      <c r="DK186" s="2786"/>
      <c r="DL186" s="2786"/>
      <c r="DM186" s="2786"/>
      <c r="DN186" s="2786"/>
      <c r="DO186" s="2786"/>
      <c r="DP186" s="2786"/>
      <c r="DQ186" s="2786"/>
      <c r="DR186" s="2786"/>
      <c r="DS186" s="2786"/>
      <c r="DT186" s="1917"/>
      <c r="DU186" s="1917"/>
      <c r="DV186" s="2594"/>
      <c r="DW186" s="2594"/>
      <c r="LL186" s="814"/>
      <c r="LM186" s="819"/>
      <c r="LN186" s="820"/>
      <c r="LO186" s="821"/>
      <c r="LP186" s="821"/>
      <c r="LQ186" s="822"/>
      <c r="LR186" s="821"/>
      <c r="LS186" s="823"/>
      <c r="LT186" s="823"/>
      <c r="LU186" s="814"/>
      <c r="LV186" s="814"/>
      <c r="LX186" s="3164">
        <f>'N - GMS'!A186</f>
        <v>0</v>
      </c>
      <c r="LY186" s="3165"/>
      <c r="LZ186" s="527">
        <f>'N - GMS'!C186</f>
        <v>140</v>
      </c>
      <c r="MA186" s="2230">
        <f>'N - GMS'!D186</f>
        <v>0</v>
      </c>
      <c r="MB186" s="2230">
        <f>'N - GMS'!E186</f>
        <v>0</v>
      </c>
      <c r="MC186" s="2230">
        <f>'N - GMS'!F186</f>
        <v>0</v>
      </c>
      <c r="MD186" s="2230">
        <f>'N - GMS'!G186</f>
        <v>0</v>
      </c>
      <c r="ME186" s="1170"/>
      <c r="MF186" s="2463">
        <f>'N - GMS'!I186</f>
        <v>0</v>
      </c>
      <c r="MR186" s="684"/>
      <c r="MS186" s="684"/>
      <c r="MT186" s="684"/>
      <c r="MU186" s="684"/>
      <c r="MV186" s="684"/>
      <c r="MW186" s="684"/>
      <c r="MX186" s="684"/>
      <c r="MY186" s="684"/>
      <c r="MZ186" s="684"/>
      <c r="NA186" s="684"/>
      <c r="NB186" s="684"/>
      <c r="NC186" s="684"/>
      <c r="ND186" s="684"/>
      <c r="NE186" s="684"/>
      <c r="NF186" s="684"/>
      <c r="NG186" s="684"/>
      <c r="NH186" s="684"/>
      <c r="NI186" s="684"/>
      <c r="NJ186" s="684"/>
      <c r="NK186" s="684"/>
    </row>
    <row r="187" spans="76:375" ht="20.149999999999999" customHeight="1" thickBot="1">
      <c r="BX187" s="91">
        <f>' Table Z Net Exp Profiles'!A187</f>
        <v>136</v>
      </c>
      <c r="BY187" s="1264" t="str">
        <f>' Table Z Net Exp Profiles'!B187</f>
        <v>Planning Assumptions still to be finalised at Month 1</v>
      </c>
      <c r="BZ187" s="1290">
        <f>' Table Z Net Exp Profiles'!C187</f>
        <v>0</v>
      </c>
      <c r="CA187" s="1290">
        <f>' Table Z Net Exp Profiles'!D187</f>
        <v>0</v>
      </c>
      <c r="CB187" s="1290">
        <f>' Table Z Net Exp Profiles'!E187</f>
        <v>0</v>
      </c>
      <c r="CC187" s="1290">
        <f>' Table Z Net Exp Profiles'!F187</f>
        <v>0</v>
      </c>
      <c r="CD187" s="1290">
        <f>' Table Z Net Exp Profiles'!G187</f>
        <v>0</v>
      </c>
      <c r="CE187" s="1290">
        <f>' Table Z Net Exp Profiles'!H187</f>
        <v>0</v>
      </c>
      <c r="CF187" s="1290">
        <f>' Table Z Net Exp Profiles'!I187</f>
        <v>0</v>
      </c>
      <c r="CG187" s="1290">
        <f>' Table Z Net Exp Profiles'!J187</f>
        <v>0</v>
      </c>
      <c r="CH187" s="1290">
        <f>' Table Z Net Exp Profiles'!K187</f>
        <v>0</v>
      </c>
      <c r="CI187" s="1290">
        <f>' Table Z Net Exp Profiles'!L187</f>
        <v>0</v>
      </c>
      <c r="CJ187" s="1290">
        <f>' Table Z Net Exp Profiles'!M187</f>
        <v>0</v>
      </c>
      <c r="CK187" s="1290">
        <f>' Table Z Net Exp Profiles'!N187</f>
        <v>0</v>
      </c>
      <c r="CL187" s="1215">
        <f>' Table Z Net Exp Profiles'!O187</f>
        <v>0</v>
      </c>
      <c r="CM187" s="1215">
        <f>' Table Z Net Exp Profiles'!P187</f>
        <v>0</v>
      </c>
      <c r="DF187" s="1914"/>
      <c r="DG187" s="2787"/>
      <c r="DH187" s="2786"/>
      <c r="DI187" s="2786"/>
      <c r="DJ187" s="2786"/>
      <c r="DK187" s="2786"/>
      <c r="DL187" s="2786"/>
      <c r="DM187" s="2786"/>
      <c r="DN187" s="2786"/>
      <c r="DO187" s="2786"/>
      <c r="DP187" s="2786"/>
      <c r="DQ187" s="2786"/>
      <c r="DR187" s="2786"/>
      <c r="DS187" s="2786"/>
      <c r="DT187" s="1917"/>
      <c r="DU187" s="1917"/>
      <c r="DV187" s="2594"/>
      <c r="DW187" s="2594"/>
      <c r="LL187" s="814"/>
      <c r="LM187" s="819"/>
      <c r="LN187" s="820"/>
      <c r="LO187" s="821"/>
      <c r="LP187" s="821"/>
      <c r="LQ187" s="822"/>
      <c r="LR187" s="821"/>
      <c r="LS187" s="823"/>
      <c r="LT187" s="823"/>
      <c r="LU187" s="814"/>
      <c r="LV187" s="814"/>
      <c r="LX187" s="3164">
        <f>'N - GMS'!A187</f>
        <v>0</v>
      </c>
      <c r="LY187" s="3165"/>
      <c r="LZ187" s="527">
        <f>'N - GMS'!C187</f>
        <v>141</v>
      </c>
      <c r="MA187" s="2230">
        <f>'N - GMS'!D187</f>
        <v>0</v>
      </c>
      <c r="MB187" s="2230">
        <f>'N - GMS'!E187</f>
        <v>0</v>
      </c>
      <c r="MC187" s="2230">
        <f>'N - GMS'!F187</f>
        <v>0</v>
      </c>
      <c r="MD187" s="2230">
        <f>'N - GMS'!G187</f>
        <v>0</v>
      </c>
      <c r="ME187" s="1170"/>
      <c r="MF187" s="2463">
        <f>'N - GMS'!I187</f>
        <v>0</v>
      </c>
      <c r="MR187" s="684"/>
      <c r="MS187" s="684"/>
      <c r="MT187" s="684"/>
      <c r="MU187" s="684"/>
      <c r="MV187" s="684"/>
      <c r="MW187" s="684"/>
      <c r="MX187" s="684"/>
      <c r="MY187" s="684"/>
      <c r="MZ187" s="684"/>
      <c r="NA187" s="684"/>
      <c r="NB187" s="684"/>
      <c r="NC187" s="684"/>
      <c r="ND187" s="684"/>
      <c r="NE187" s="684"/>
      <c r="NF187" s="684"/>
      <c r="NG187" s="684"/>
      <c r="NH187" s="684"/>
      <c r="NI187" s="684"/>
      <c r="NJ187" s="684"/>
      <c r="NK187" s="684"/>
    </row>
    <row r="188" spans="76:375" ht="20.149999999999999" customHeight="1" thickBot="1">
      <c r="BX188" s="144">
        <f>' Table Z Net Exp Profiles'!A188</f>
        <v>137</v>
      </c>
      <c r="BY188" s="1100" t="str">
        <f>' Table Z Net Exp Profiles'!B188</f>
        <v>Total Gross Expenditure - Current Plan</v>
      </c>
      <c r="BZ188" s="1283">
        <f>' Table Z Net Exp Profiles'!C188</f>
        <v>0</v>
      </c>
      <c r="CA188" s="1283">
        <f>' Table Z Net Exp Profiles'!D188</f>
        <v>0</v>
      </c>
      <c r="CB188" s="1283">
        <f>' Table Z Net Exp Profiles'!E188</f>
        <v>0</v>
      </c>
      <c r="CC188" s="1283">
        <f>' Table Z Net Exp Profiles'!F188</f>
        <v>0</v>
      </c>
      <c r="CD188" s="1283">
        <f>' Table Z Net Exp Profiles'!G188</f>
        <v>0</v>
      </c>
      <c r="CE188" s="1283">
        <f>' Table Z Net Exp Profiles'!H188</f>
        <v>0</v>
      </c>
      <c r="CF188" s="1283">
        <f>' Table Z Net Exp Profiles'!I188</f>
        <v>0</v>
      </c>
      <c r="CG188" s="1283">
        <f>' Table Z Net Exp Profiles'!J188</f>
        <v>0</v>
      </c>
      <c r="CH188" s="1283">
        <f>' Table Z Net Exp Profiles'!K188</f>
        <v>0</v>
      </c>
      <c r="CI188" s="1283">
        <f>' Table Z Net Exp Profiles'!L188</f>
        <v>0</v>
      </c>
      <c r="CJ188" s="1283">
        <f>' Table Z Net Exp Profiles'!M188</f>
        <v>0</v>
      </c>
      <c r="CK188" s="1283">
        <f>' Table Z Net Exp Profiles'!N188</f>
        <v>0</v>
      </c>
      <c r="CL188" s="1101">
        <f>' Table Z Net Exp Profiles'!O188</f>
        <v>0</v>
      </c>
      <c r="CM188" s="1101">
        <f>' Table Z Net Exp Profiles'!P188</f>
        <v>0</v>
      </c>
      <c r="DF188" s="1914"/>
      <c r="DG188" s="2787"/>
      <c r="DH188" s="2786"/>
      <c r="DI188" s="2786"/>
      <c r="DJ188" s="2786"/>
      <c r="DK188" s="2786"/>
      <c r="DL188" s="2786"/>
      <c r="DM188" s="2786"/>
      <c r="DN188" s="2786"/>
      <c r="DO188" s="2786"/>
      <c r="DP188" s="2786"/>
      <c r="DQ188" s="2786"/>
      <c r="DR188" s="2786"/>
      <c r="DS188" s="2786"/>
      <c r="DT188" s="1917"/>
      <c r="DU188" s="1917"/>
      <c r="DV188" s="2594"/>
      <c r="DW188" s="2594"/>
      <c r="LL188" s="814"/>
      <c r="LM188" s="819"/>
      <c r="LN188" s="820"/>
      <c r="LO188" s="821"/>
      <c r="LP188" s="821"/>
      <c r="LQ188" s="822"/>
      <c r="LR188" s="821"/>
      <c r="LS188" s="823"/>
      <c r="LT188" s="823"/>
      <c r="LU188" s="814"/>
      <c r="LV188" s="814"/>
      <c r="LX188" s="3164">
        <f>'N - GMS'!A188</f>
        <v>0</v>
      </c>
      <c r="LY188" s="3165"/>
      <c r="LZ188" s="527">
        <f>'N - GMS'!C188</f>
        <v>142</v>
      </c>
      <c r="MA188" s="2230">
        <f>'N - GMS'!D188</f>
        <v>0</v>
      </c>
      <c r="MB188" s="2230">
        <f>'N - GMS'!E188</f>
        <v>0</v>
      </c>
      <c r="MC188" s="2230">
        <f>'N - GMS'!F188</f>
        <v>0</v>
      </c>
      <c r="MD188" s="2230">
        <f>'N - GMS'!G188</f>
        <v>0</v>
      </c>
      <c r="ME188" s="1170"/>
      <c r="MF188" s="2463">
        <f>'N - GMS'!I188</f>
        <v>0</v>
      </c>
      <c r="MR188" s="684"/>
      <c r="MS188" s="684"/>
      <c r="MT188" s="684"/>
      <c r="MU188" s="684"/>
      <c r="MV188" s="684"/>
      <c r="MW188" s="684"/>
      <c r="MX188" s="684"/>
      <c r="MY188" s="684"/>
      <c r="MZ188" s="684"/>
      <c r="NA188" s="684"/>
      <c r="NB188" s="684"/>
      <c r="NC188" s="684"/>
      <c r="ND188" s="684"/>
      <c r="NE188" s="684"/>
      <c r="NF188" s="684"/>
      <c r="NG188" s="684"/>
      <c r="NH188" s="684"/>
      <c r="NI188" s="684"/>
      <c r="NJ188" s="684"/>
      <c r="NK188" s="684"/>
    </row>
    <row r="189" spans="76:375" ht="20.149999999999999" customHeight="1">
      <c r="BX189" s="890">
        <f>' Table Z Net Exp Profiles'!A189</f>
        <v>138</v>
      </c>
      <c r="BY189" s="1278" t="str">
        <f>' Table Z Net Exp Profiles'!B189</f>
        <v>Total Expenditure - Actual/Forecast Gross</v>
      </c>
      <c r="BZ189" s="1286" t="e">
        <f>' Table Z Net Exp Profiles'!C189</f>
        <v>#REF!</v>
      </c>
      <c r="CA189" s="1286" t="e">
        <f>' Table Z Net Exp Profiles'!D189</f>
        <v>#REF!</v>
      </c>
      <c r="CB189" s="1286" t="e">
        <f>' Table Z Net Exp Profiles'!E189</f>
        <v>#REF!</v>
      </c>
      <c r="CC189" s="1286" t="e">
        <f>' Table Z Net Exp Profiles'!F189</f>
        <v>#REF!</v>
      </c>
      <c r="CD189" s="1286" t="e">
        <f>' Table Z Net Exp Profiles'!G189</f>
        <v>#REF!</v>
      </c>
      <c r="CE189" s="1286" t="e">
        <f>' Table Z Net Exp Profiles'!H189</f>
        <v>#REF!</v>
      </c>
      <c r="CF189" s="1286" t="e">
        <f>' Table Z Net Exp Profiles'!I189</f>
        <v>#REF!</v>
      </c>
      <c r="CG189" s="1286" t="e">
        <f>' Table Z Net Exp Profiles'!J189</f>
        <v>#REF!</v>
      </c>
      <c r="CH189" s="1286" t="e">
        <f>' Table Z Net Exp Profiles'!K189</f>
        <v>#REF!</v>
      </c>
      <c r="CI189" s="1286" t="e">
        <f>' Table Z Net Exp Profiles'!L189</f>
        <v>#REF!</v>
      </c>
      <c r="CJ189" s="1286" t="e">
        <f>' Table Z Net Exp Profiles'!M189</f>
        <v>#REF!</v>
      </c>
      <c r="CK189" s="1286" t="e">
        <f>' Table Z Net Exp Profiles'!N189</f>
        <v>#REF!</v>
      </c>
      <c r="CL189" s="1215" t="e">
        <f>' Table Z Net Exp Profiles'!O189</f>
        <v>#REF!</v>
      </c>
      <c r="CM189" s="1215" t="e">
        <f>' Table Z Net Exp Profiles'!P189</f>
        <v>#REF!</v>
      </c>
      <c r="DF189" s="1914"/>
      <c r="DG189" s="2787"/>
      <c r="DH189" s="2786"/>
      <c r="DI189" s="2786"/>
      <c r="DJ189" s="2786"/>
      <c r="DK189" s="2786"/>
      <c r="DL189" s="2786"/>
      <c r="DM189" s="2786"/>
      <c r="DN189" s="2786"/>
      <c r="DO189" s="2786"/>
      <c r="DP189" s="2786"/>
      <c r="DQ189" s="2786"/>
      <c r="DR189" s="2786"/>
      <c r="DS189" s="2786"/>
      <c r="DT189" s="1917"/>
      <c r="DU189" s="1917"/>
      <c r="DV189" s="2594"/>
      <c r="DW189" s="2594"/>
      <c r="LL189" s="814"/>
      <c r="LM189" s="819"/>
      <c r="LN189" s="820"/>
      <c r="LO189" s="821"/>
      <c r="LP189" s="821"/>
      <c r="LQ189" s="822"/>
      <c r="LR189" s="821"/>
      <c r="LS189" s="823"/>
      <c r="LT189" s="823"/>
      <c r="LU189" s="814"/>
      <c r="LV189" s="814"/>
      <c r="LX189" s="3164">
        <f>'N - GMS'!A189</f>
        <v>0</v>
      </c>
      <c r="LY189" s="3165"/>
      <c r="LZ189" s="527">
        <f>'N - GMS'!C189</f>
        <v>143</v>
      </c>
      <c r="MA189" s="2230">
        <f>'N - GMS'!D189</f>
        <v>0</v>
      </c>
      <c r="MB189" s="2230">
        <f>'N - GMS'!E189</f>
        <v>0</v>
      </c>
      <c r="MC189" s="2230">
        <f>'N - GMS'!F189</f>
        <v>0</v>
      </c>
      <c r="MD189" s="2230">
        <f>'N - GMS'!G189</f>
        <v>0</v>
      </c>
      <c r="ME189" s="1170"/>
      <c r="MF189" s="2463">
        <f>'N - GMS'!I189</f>
        <v>0</v>
      </c>
      <c r="MR189" s="684"/>
      <c r="MS189" s="684"/>
      <c r="MT189" s="684"/>
      <c r="MU189" s="684"/>
      <c r="MV189" s="684"/>
      <c r="MW189" s="684"/>
      <c r="MX189" s="684"/>
      <c r="MY189" s="684"/>
      <c r="MZ189" s="684"/>
      <c r="NA189" s="684"/>
      <c r="NB189" s="684"/>
      <c r="NC189" s="684"/>
      <c r="ND189" s="684"/>
      <c r="NE189" s="684"/>
      <c r="NF189" s="684"/>
      <c r="NG189" s="684"/>
      <c r="NH189" s="684"/>
      <c r="NI189" s="684"/>
      <c r="NJ189" s="684"/>
      <c r="NK189" s="684"/>
    </row>
    <row r="190" spans="76:375" ht="20.149999999999999" customHeight="1">
      <c r="BX190" s="1191">
        <f>' Table Z Net Exp Profiles'!A190</f>
        <v>139</v>
      </c>
      <c r="BY190" s="1275" t="str">
        <f>' Table Z Net Exp Profiles'!B190</f>
        <v xml:space="preserve">Total Additional Costs due to Covid-19 - Actual/Forecast </v>
      </c>
      <c r="BZ190" s="2509" t="e">
        <f>' Table Z Net Exp Profiles'!C190</f>
        <v>#REF!</v>
      </c>
      <c r="CA190" s="2509" t="e">
        <f>' Table Z Net Exp Profiles'!D190</f>
        <v>#REF!</v>
      </c>
      <c r="CB190" s="2509" t="e">
        <f>' Table Z Net Exp Profiles'!E190</f>
        <v>#REF!</v>
      </c>
      <c r="CC190" s="2509" t="e">
        <f>' Table Z Net Exp Profiles'!F190</f>
        <v>#REF!</v>
      </c>
      <c r="CD190" s="2509" t="e">
        <f>' Table Z Net Exp Profiles'!G190</f>
        <v>#REF!</v>
      </c>
      <c r="CE190" s="2509" t="e">
        <f>' Table Z Net Exp Profiles'!H190</f>
        <v>#REF!</v>
      </c>
      <c r="CF190" s="2509" t="e">
        <f>' Table Z Net Exp Profiles'!I190</f>
        <v>#REF!</v>
      </c>
      <c r="CG190" s="2509" t="e">
        <f>' Table Z Net Exp Profiles'!J190</f>
        <v>#REF!</v>
      </c>
      <c r="CH190" s="2509" t="e">
        <f>' Table Z Net Exp Profiles'!K190</f>
        <v>#REF!</v>
      </c>
      <c r="CI190" s="2509" t="e">
        <f>' Table Z Net Exp Profiles'!L190</f>
        <v>#REF!</v>
      </c>
      <c r="CJ190" s="2509" t="e">
        <f>' Table Z Net Exp Profiles'!M190</f>
        <v>#REF!</v>
      </c>
      <c r="CK190" s="2509" t="e">
        <f>' Table Z Net Exp Profiles'!N190</f>
        <v>#REF!</v>
      </c>
      <c r="CL190" s="1215" t="e">
        <f>' Table Z Net Exp Profiles'!O190</f>
        <v>#REF!</v>
      </c>
      <c r="CM190" s="1215" t="e">
        <f>' Table Z Net Exp Profiles'!P190</f>
        <v>#REF!</v>
      </c>
      <c r="DF190" s="1914"/>
      <c r="DG190" s="2787"/>
      <c r="DH190" s="2786"/>
      <c r="DI190" s="2786"/>
      <c r="DJ190" s="2786"/>
      <c r="DK190" s="2786"/>
      <c r="DL190" s="2786"/>
      <c r="DM190" s="2786"/>
      <c r="DN190" s="2786"/>
      <c r="DO190" s="2786"/>
      <c r="DP190" s="2786"/>
      <c r="DQ190" s="2786"/>
      <c r="DR190" s="2786"/>
      <c r="DS190" s="2786"/>
      <c r="DT190" s="1917"/>
      <c r="DU190" s="1917"/>
      <c r="DV190" s="2594"/>
      <c r="DW190" s="2594"/>
      <c r="LL190" s="814"/>
      <c r="LM190" s="819"/>
      <c r="LN190" s="820"/>
      <c r="LO190" s="821"/>
      <c r="LP190" s="821"/>
      <c r="LQ190" s="822"/>
      <c r="LR190" s="821"/>
      <c r="LS190" s="823"/>
      <c r="LT190" s="823"/>
      <c r="LU190" s="814"/>
      <c r="LV190" s="814"/>
      <c r="LX190" s="3164">
        <f>'N - GMS'!A190</f>
        <v>0</v>
      </c>
      <c r="LY190" s="3165"/>
      <c r="LZ190" s="527">
        <f>'N - GMS'!C190</f>
        <v>144</v>
      </c>
      <c r="MA190" s="2230">
        <f>'N - GMS'!D190</f>
        <v>0</v>
      </c>
      <c r="MB190" s="2230">
        <f>'N - GMS'!E190</f>
        <v>0</v>
      </c>
      <c r="MC190" s="2230">
        <f>'N - GMS'!F190</f>
        <v>0</v>
      </c>
      <c r="MD190" s="68">
        <f>'N - GMS'!G190</f>
        <v>0</v>
      </c>
      <c r="ME190" s="1170"/>
      <c r="MF190" s="2463">
        <f>'N - GMS'!I190</f>
        <v>0</v>
      </c>
      <c r="MR190" s="684"/>
      <c r="MS190" s="684"/>
      <c r="MT190" s="684"/>
      <c r="MU190" s="684"/>
      <c r="MV190" s="684"/>
      <c r="MW190" s="684"/>
      <c r="MX190" s="684"/>
      <c r="MY190" s="684"/>
      <c r="MZ190" s="684"/>
      <c r="NA190" s="684"/>
      <c r="NB190" s="684"/>
      <c r="NC190" s="684"/>
      <c r="ND190" s="684"/>
      <c r="NE190" s="684"/>
      <c r="NF190" s="684"/>
      <c r="NG190" s="684"/>
      <c r="NH190" s="684"/>
      <c r="NI190" s="684"/>
      <c r="NJ190" s="684"/>
      <c r="NK190" s="684"/>
    </row>
    <row r="191" spans="76:375" ht="20.149999999999999" customHeight="1" thickBot="1">
      <c r="BX191" s="91">
        <f>' Table Z Net Exp Profiles'!A191</f>
        <v>140</v>
      </c>
      <c r="BY191" s="1279" t="str">
        <f>' Table Z Net Exp Profiles'!B191</f>
        <v>Total Committed Reserves - Forecast</v>
      </c>
      <c r="BZ191" s="1290">
        <f>' Table Z Net Exp Profiles'!C191</f>
        <v>0</v>
      </c>
      <c r="CA191" s="1290">
        <f>' Table Z Net Exp Profiles'!D191</f>
        <v>0</v>
      </c>
      <c r="CB191" s="1290">
        <f>' Table Z Net Exp Profiles'!E191</f>
        <v>0</v>
      </c>
      <c r="CC191" s="1290">
        <f>' Table Z Net Exp Profiles'!F191</f>
        <v>0</v>
      </c>
      <c r="CD191" s="1290">
        <f>' Table Z Net Exp Profiles'!G191</f>
        <v>0</v>
      </c>
      <c r="CE191" s="1290">
        <f>' Table Z Net Exp Profiles'!H191</f>
        <v>0</v>
      </c>
      <c r="CF191" s="1290">
        <f>' Table Z Net Exp Profiles'!I191</f>
        <v>0</v>
      </c>
      <c r="CG191" s="1290">
        <f>' Table Z Net Exp Profiles'!J191</f>
        <v>0</v>
      </c>
      <c r="CH191" s="1290">
        <f>' Table Z Net Exp Profiles'!K191</f>
        <v>0</v>
      </c>
      <c r="CI191" s="1290">
        <f>' Table Z Net Exp Profiles'!L191</f>
        <v>0</v>
      </c>
      <c r="CJ191" s="1290">
        <f>' Table Z Net Exp Profiles'!M191</f>
        <v>0</v>
      </c>
      <c r="CK191" s="1290">
        <f>' Table Z Net Exp Profiles'!N191</f>
        <v>0</v>
      </c>
      <c r="CL191" s="1215">
        <f>' Table Z Net Exp Profiles'!O191</f>
        <v>0</v>
      </c>
      <c r="CM191" s="1215">
        <f>' Table Z Net Exp Profiles'!P191</f>
        <v>0</v>
      </c>
      <c r="DF191" s="1914"/>
      <c r="DG191" s="2787"/>
      <c r="DH191" s="2786"/>
      <c r="DI191" s="2786"/>
      <c r="DJ191" s="2786"/>
      <c r="DK191" s="2786"/>
      <c r="DL191" s="2786"/>
      <c r="DM191" s="2786"/>
      <c r="DN191" s="2786"/>
      <c r="DO191" s="2786"/>
      <c r="DP191" s="2786"/>
      <c r="DQ191" s="2786"/>
      <c r="DR191" s="2786"/>
      <c r="DS191" s="2786"/>
      <c r="DT191" s="1917"/>
      <c r="DU191" s="1917"/>
      <c r="DV191" s="2594"/>
      <c r="DW191" s="2594"/>
      <c r="LL191" s="814"/>
      <c r="LM191" s="819"/>
      <c r="LN191" s="820"/>
      <c r="LO191" s="821"/>
      <c r="LP191" s="821"/>
      <c r="LQ191" s="822"/>
      <c r="LR191" s="821"/>
      <c r="LS191" s="823"/>
      <c r="LT191" s="823"/>
      <c r="LU191" s="814"/>
      <c r="LV191" s="814"/>
      <c r="LX191" s="3166">
        <f>'N - GMS'!A191</f>
        <v>0</v>
      </c>
      <c r="LY191" s="3167"/>
      <c r="LZ191" s="527">
        <f>'N - GMS'!C191</f>
        <v>145</v>
      </c>
      <c r="MA191" s="2230">
        <f>'N - GMS'!D191</f>
        <v>0</v>
      </c>
      <c r="MB191" s="2230">
        <f>'N - GMS'!E191</f>
        <v>0</v>
      </c>
      <c r="MC191" s="2230">
        <f>'N - GMS'!F191</f>
        <v>0</v>
      </c>
      <c r="MD191" s="221">
        <f>'N - GMS'!G191</f>
        <v>0</v>
      </c>
      <c r="ME191" s="1170"/>
      <c r="MF191" s="2463">
        <f>'N - GMS'!I191</f>
        <v>0</v>
      </c>
      <c r="MR191" s="684"/>
      <c r="MS191" s="684"/>
      <c r="MT191" s="684"/>
      <c r="MU191" s="684"/>
      <c r="MV191" s="684"/>
      <c r="MW191" s="684"/>
      <c r="MX191" s="684"/>
      <c r="MY191" s="684"/>
      <c r="MZ191" s="684"/>
      <c r="NA191" s="684"/>
      <c r="NB191" s="684"/>
      <c r="NC191" s="684"/>
      <c r="ND191" s="684"/>
      <c r="NE191" s="684"/>
      <c r="NF191" s="684"/>
      <c r="NG191" s="684"/>
      <c r="NH191" s="684"/>
      <c r="NI191" s="684"/>
      <c r="NJ191" s="684"/>
      <c r="NK191" s="684"/>
    </row>
    <row r="192" spans="76:375" ht="20.149999999999999" customHeight="1" thickTop="1" thickBot="1">
      <c r="BX192" s="144">
        <f>' Table Z Net Exp Profiles'!A192</f>
        <v>141</v>
      </c>
      <c r="BY192" s="1272" t="str">
        <f>' Table Z Net Exp Profiles'!B192</f>
        <v>Total Gross Expenditure - Actual/Forecast</v>
      </c>
      <c r="BZ192" s="1218" t="e">
        <f>' Table Z Net Exp Profiles'!C192</f>
        <v>#REF!</v>
      </c>
      <c r="CA192" s="1218" t="e">
        <f>' Table Z Net Exp Profiles'!D192</f>
        <v>#REF!</v>
      </c>
      <c r="CB192" s="1218" t="e">
        <f>' Table Z Net Exp Profiles'!E192</f>
        <v>#REF!</v>
      </c>
      <c r="CC192" s="1218" t="e">
        <f>' Table Z Net Exp Profiles'!F192</f>
        <v>#REF!</v>
      </c>
      <c r="CD192" s="1218" t="e">
        <f>' Table Z Net Exp Profiles'!G192</f>
        <v>#REF!</v>
      </c>
      <c r="CE192" s="1218" t="e">
        <f>' Table Z Net Exp Profiles'!H192</f>
        <v>#REF!</v>
      </c>
      <c r="CF192" s="1218" t="e">
        <f>' Table Z Net Exp Profiles'!I192</f>
        <v>#REF!</v>
      </c>
      <c r="CG192" s="1218" t="e">
        <f>' Table Z Net Exp Profiles'!J192</f>
        <v>#REF!</v>
      </c>
      <c r="CH192" s="1218" t="e">
        <f>' Table Z Net Exp Profiles'!K192</f>
        <v>#REF!</v>
      </c>
      <c r="CI192" s="1218" t="e">
        <f>' Table Z Net Exp Profiles'!L192</f>
        <v>#REF!</v>
      </c>
      <c r="CJ192" s="1218" t="e">
        <f>' Table Z Net Exp Profiles'!M192</f>
        <v>#REF!</v>
      </c>
      <c r="CK192" s="1299" t="e">
        <f>' Table Z Net Exp Profiles'!N192</f>
        <v>#REF!</v>
      </c>
      <c r="CL192" s="1101" t="e">
        <f>' Table Z Net Exp Profiles'!O192</f>
        <v>#REF!</v>
      </c>
      <c r="CM192" s="1101" t="e">
        <f>' Table Z Net Exp Profiles'!P192</f>
        <v>#REF!</v>
      </c>
      <c r="DF192" s="1914"/>
      <c r="DG192" s="1116"/>
      <c r="DH192" s="1918"/>
      <c r="DI192" s="1918"/>
      <c r="DJ192" s="1918"/>
      <c r="DK192" s="1918"/>
      <c r="DL192" s="1918"/>
      <c r="DM192" s="1918"/>
      <c r="DN192" s="1918"/>
      <c r="DO192" s="1918"/>
      <c r="DP192" s="1918"/>
      <c r="DQ192" s="1918"/>
      <c r="DR192" s="1918"/>
      <c r="DS192" s="1918"/>
      <c r="DT192" s="1918"/>
      <c r="DU192" s="1918"/>
      <c r="DV192" s="2594"/>
      <c r="DW192" s="2594"/>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4"/>
      <c r="MS192" s="684"/>
      <c r="MT192" s="684"/>
      <c r="MU192" s="684"/>
      <c r="MV192" s="684"/>
      <c r="MW192" s="684"/>
      <c r="MX192" s="684"/>
      <c r="MY192" s="684"/>
      <c r="MZ192" s="684"/>
      <c r="NA192" s="684"/>
      <c r="NB192" s="684"/>
      <c r="NC192" s="684"/>
      <c r="ND192" s="684"/>
      <c r="NE192" s="684"/>
      <c r="NF192" s="684"/>
      <c r="NG192" s="684"/>
      <c r="NH192" s="684"/>
      <c r="NI192" s="684"/>
      <c r="NJ192" s="684"/>
      <c r="NK192" s="684"/>
    </row>
    <row r="193" spans="76:375" ht="20.149999999999999" customHeight="1" thickBot="1">
      <c r="BX193" s="144">
        <f>' Table Z Net Exp Profiles'!A193</f>
        <v>142</v>
      </c>
      <c r="BY193" s="1272" t="str">
        <f>' Table Z Net Exp Profiles'!B193</f>
        <v>Gross Expenditure Movement</v>
      </c>
      <c r="BZ193" s="1245" t="e">
        <f>' Table Z Net Exp Profiles'!C193</f>
        <v>#REF!</v>
      </c>
      <c r="CA193" s="1245" t="e">
        <f>' Table Z Net Exp Profiles'!D193</f>
        <v>#REF!</v>
      </c>
      <c r="CB193" s="1245" t="e">
        <f>' Table Z Net Exp Profiles'!E193</f>
        <v>#REF!</v>
      </c>
      <c r="CC193" s="1245" t="e">
        <f>' Table Z Net Exp Profiles'!F193</f>
        <v>#REF!</v>
      </c>
      <c r="CD193" s="1245" t="e">
        <f>' Table Z Net Exp Profiles'!G193</f>
        <v>#REF!</v>
      </c>
      <c r="CE193" s="1245" t="e">
        <f>' Table Z Net Exp Profiles'!H193</f>
        <v>#REF!</v>
      </c>
      <c r="CF193" s="1245" t="e">
        <f>' Table Z Net Exp Profiles'!I193</f>
        <v>#REF!</v>
      </c>
      <c r="CG193" s="1245" t="e">
        <f>' Table Z Net Exp Profiles'!J193</f>
        <v>#REF!</v>
      </c>
      <c r="CH193" s="1245" t="e">
        <f>' Table Z Net Exp Profiles'!K193</f>
        <v>#REF!</v>
      </c>
      <c r="CI193" s="1245" t="e">
        <f>' Table Z Net Exp Profiles'!L193</f>
        <v>#REF!</v>
      </c>
      <c r="CJ193" s="1245" t="e">
        <f>' Table Z Net Exp Profiles'!M193</f>
        <v>#REF!</v>
      </c>
      <c r="CK193" s="1365" t="e">
        <f>' Table Z Net Exp Profiles'!N193</f>
        <v>#REF!</v>
      </c>
      <c r="CL193" s="1101" t="e">
        <f>' Table Z Net Exp Profiles'!O193</f>
        <v>#REF!</v>
      </c>
      <c r="CM193" s="1101" t="e">
        <f>' Table Z Net Exp Profiles'!P193</f>
        <v>#REF!</v>
      </c>
      <c r="DF193" s="1914"/>
      <c r="DG193" s="1116"/>
      <c r="DH193" s="1918"/>
      <c r="DI193" s="1918"/>
      <c r="DJ193" s="1918"/>
      <c r="DK193" s="1918"/>
      <c r="DL193" s="1918"/>
      <c r="DM193" s="1918"/>
      <c r="DN193" s="1918"/>
      <c r="DO193" s="1918"/>
      <c r="DP193" s="1918"/>
      <c r="DQ193" s="1918"/>
      <c r="DR193" s="1918"/>
      <c r="DS193" s="1918"/>
      <c r="DT193" s="1918"/>
      <c r="DU193" s="1918"/>
      <c r="DV193" s="2594"/>
      <c r="DW193" s="2594"/>
      <c r="LX193" s="430"/>
      <c r="LY193" s="430"/>
      <c r="LZ193" s="501"/>
      <c r="MA193" s="239"/>
      <c r="MB193" s="239"/>
      <c r="MC193" s="239"/>
      <c r="MD193" s="239"/>
      <c r="ME193" s="239"/>
      <c r="MF193" s="239"/>
      <c r="MR193" s="684"/>
      <c r="MS193" s="684"/>
      <c r="MT193" s="684"/>
      <c r="MU193" s="684"/>
      <c r="MV193" s="684"/>
      <c r="MW193" s="684"/>
      <c r="MX193" s="684"/>
      <c r="MY193" s="684"/>
      <c r="MZ193" s="684"/>
      <c r="NA193" s="684"/>
      <c r="NB193" s="684"/>
      <c r="NC193" s="684"/>
      <c r="ND193" s="684"/>
      <c r="NE193" s="684"/>
      <c r="NF193" s="684"/>
      <c r="NG193" s="684"/>
      <c r="NH193" s="684"/>
      <c r="NI193" s="684"/>
      <c r="NJ193" s="684"/>
      <c r="NK193" s="684"/>
    </row>
    <row r="194" spans="76:375" ht="20.149999999999999" customHeight="1" thickBot="1">
      <c r="BX194" s="890">
        <f>' Table Z Net Exp Profiles'!A194</f>
        <v>143</v>
      </c>
      <c r="BY194" s="1273" t="str">
        <f>' Table Z Net Exp Profiles'!B194</f>
        <v>Total Savings - Current Plan</v>
      </c>
      <c r="BZ194" s="1283">
        <f>' Table Z Net Exp Profiles'!C194</f>
        <v>1244.4166666666665</v>
      </c>
      <c r="CA194" s="1284">
        <f>' Table Z Net Exp Profiles'!D194</f>
        <v>175.41666666666666</v>
      </c>
      <c r="CB194" s="1284">
        <f>' Table Z Net Exp Profiles'!E194</f>
        <v>175.41666666666666</v>
      </c>
      <c r="CC194" s="1284">
        <f>' Table Z Net Exp Profiles'!F194</f>
        <v>175.41666666666666</v>
      </c>
      <c r="CD194" s="1284">
        <f>' Table Z Net Exp Profiles'!G194</f>
        <v>175.41666666666666</v>
      </c>
      <c r="CE194" s="1284">
        <f>' Table Z Net Exp Profiles'!H194</f>
        <v>175.41666666666666</v>
      </c>
      <c r="CF194" s="1284">
        <f>' Table Z Net Exp Profiles'!I194</f>
        <v>175.41666666666666</v>
      </c>
      <c r="CG194" s="1284">
        <f>' Table Z Net Exp Profiles'!J194</f>
        <v>175.41666666666666</v>
      </c>
      <c r="CH194" s="1284">
        <f>' Table Z Net Exp Profiles'!K194</f>
        <v>175.41666666666666</v>
      </c>
      <c r="CI194" s="1284">
        <f>' Table Z Net Exp Profiles'!L194</f>
        <v>175.41666666666666</v>
      </c>
      <c r="CJ194" s="1284">
        <f>' Table Z Net Exp Profiles'!M194</f>
        <v>175.41666666666666</v>
      </c>
      <c r="CK194" s="1285">
        <f>' Table Z Net Exp Profiles'!N194</f>
        <v>175.41666666666666</v>
      </c>
      <c r="CL194" s="2515">
        <f>' Table Z Net Exp Profiles'!O194</f>
        <v>1244.4166666666665</v>
      </c>
      <c r="CM194" s="1560">
        <f>' Table Z Net Exp Profiles'!P194</f>
        <v>3173.9999999999991</v>
      </c>
      <c r="DF194" s="1914"/>
      <c r="DG194" s="1116"/>
      <c r="DH194" s="1918"/>
      <c r="DI194" s="1918"/>
      <c r="DJ194" s="1918"/>
      <c r="DK194" s="1918"/>
      <c r="DL194" s="1918"/>
      <c r="DM194" s="1918"/>
      <c r="DN194" s="1918"/>
      <c r="DO194" s="1918"/>
      <c r="DP194" s="1918"/>
      <c r="DQ194" s="1918"/>
      <c r="DR194" s="1918"/>
      <c r="DS194" s="1918"/>
      <c r="DT194" s="1918"/>
      <c r="DU194" s="1918"/>
      <c r="DV194" s="2594"/>
      <c r="DW194" s="2594"/>
      <c r="LX194" s="188" t="str">
        <f>'N - GMS'!A194</f>
        <v>Memorandum item</v>
      </c>
      <c r="LY194" s="501"/>
      <c r="LZ194" s="501"/>
      <c r="MA194" s="500"/>
      <c r="MB194" s="500"/>
      <c r="MC194" s="500"/>
      <c r="MD194" s="500"/>
      <c r="ME194" s="500"/>
      <c r="MF194" s="500"/>
      <c r="MR194" s="684"/>
      <c r="MS194" s="684"/>
      <c r="MT194" s="684"/>
      <c r="MU194" s="684"/>
      <c r="MV194" s="684"/>
      <c r="MW194" s="684"/>
      <c r="MX194" s="684"/>
      <c r="MY194" s="684"/>
      <c r="MZ194" s="684"/>
      <c r="NA194" s="684"/>
      <c r="NB194" s="684"/>
      <c r="NC194" s="684"/>
      <c r="ND194" s="684"/>
      <c r="NE194" s="684"/>
      <c r="NF194" s="684"/>
      <c r="NG194" s="684"/>
      <c r="NH194" s="684"/>
      <c r="NI194" s="684"/>
      <c r="NJ194" s="684"/>
      <c r="NK194" s="684"/>
    </row>
    <row r="195" spans="76:375" ht="20.149999999999999" customHeight="1">
      <c r="BX195" s="91">
        <f>' Table Z Net Exp Profiles'!A195</f>
        <v>144</v>
      </c>
      <c r="BY195" s="1271" t="str">
        <f>' Table Z Net Exp Profiles'!B195</f>
        <v>Total Savings - Actual/Forecast</v>
      </c>
      <c r="BZ195" s="1286">
        <f>' Table Z Net Exp Profiles'!C195</f>
        <v>1244.4166666666665</v>
      </c>
      <c r="CA195" s="1287">
        <f>' Table Z Net Exp Profiles'!D195</f>
        <v>175.41666666666666</v>
      </c>
      <c r="CB195" s="1287">
        <f>' Table Z Net Exp Profiles'!E195</f>
        <v>175.41666666666666</v>
      </c>
      <c r="CC195" s="1287">
        <f>' Table Z Net Exp Profiles'!F195</f>
        <v>175.41666666666666</v>
      </c>
      <c r="CD195" s="1287">
        <f>' Table Z Net Exp Profiles'!G195</f>
        <v>175.41666666666666</v>
      </c>
      <c r="CE195" s="1287">
        <f>' Table Z Net Exp Profiles'!H195</f>
        <v>175.41666666666666</v>
      </c>
      <c r="CF195" s="1287">
        <f>' Table Z Net Exp Profiles'!I195</f>
        <v>175.41666666666666</v>
      </c>
      <c r="CG195" s="1287">
        <f>' Table Z Net Exp Profiles'!J195</f>
        <v>175.41666666666666</v>
      </c>
      <c r="CH195" s="1287">
        <f>' Table Z Net Exp Profiles'!K195</f>
        <v>175.41666666666666</v>
      </c>
      <c r="CI195" s="1287">
        <f>' Table Z Net Exp Profiles'!L195</f>
        <v>175.41666666666666</v>
      </c>
      <c r="CJ195" s="1287">
        <f>' Table Z Net Exp Profiles'!M195</f>
        <v>175.41666666666666</v>
      </c>
      <c r="CK195" s="1287">
        <f>' Table Z Net Exp Profiles'!N195</f>
        <v>175.41666666666666</v>
      </c>
      <c r="CL195" s="2511">
        <f>' Table Z Net Exp Profiles'!O195</f>
        <v>1244.4166666666665</v>
      </c>
      <c r="CM195" s="1323">
        <f>' Table Z Net Exp Profiles'!P195</f>
        <v>3173.9999999999991</v>
      </c>
      <c r="DF195" s="1914"/>
      <c r="DG195" s="1116"/>
      <c r="DH195" s="2786"/>
      <c r="DI195" s="2786"/>
      <c r="DJ195" s="2786"/>
      <c r="DK195" s="2786"/>
      <c r="DL195" s="2786"/>
      <c r="DM195" s="2786"/>
      <c r="DN195" s="2786"/>
      <c r="DO195" s="2786"/>
      <c r="DP195" s="2786"/>
      <c r="DQ195" s="2786"/>
      <c r="DR195" s="2786"/>
      <c r="DS195" s="2786"/>
      <c r="DT195" s="1917"/>
      <c r="DU195" s="1917"/>
      <c r="DV195" s="2594"/>
      <c r="DW195" s="2594"/>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70"/>
      <c r="MF195" s="2463">
        <f>'N - GMS'!I195</f>
        <v>0</v>
      </c>
      <c r="MR195" s="684"/>
      <c r="MS195" s="684"/>
      <c r="MT195" s="684"/>
      <c r="MU195" s="684"/>
      <c r="MV195" s="684"/>
      <c r="MW195" s="684"/>
      <c r="MX195" s="684"/>
      <c r="MY195" s="684"/>
      <c r="MZ195" s="684"/>
      <c r="NA195" s="684"/>
      <c r="NB195" s="684"/>
      <c r="NC195" s="684"/>
      <c r="ND195" s="684"/>
      <c r="NE195" s="684"/>
      <c r="NF195" s="684"/>
      <c r="NG195" s="684"/>
      <c r="NH195" s="684"/>
      <c r="NI195" s="684"/>
      <c r="NJ195" s="684"/>
      <c r="NK195" s="684"/>
    </row>
    <row r="196" spans="76:375" ht="20.149999999999999" customHeight="1" thickBot="1">
      <c r="BX196" s="1191">
        <f>' Table Z Net Exp Profiles'!A196</f>
        <v>145</v>
      </c>
      <c r="BY196" s="2514" t="str">
        <f>' Table Z Net Exp Profiles'!B196</f>
        <v>Total Non Delivery of Finalised (M1) Savings due to Covid-19 - Actual/Forecast (Negative Values)</v>
      </c>
      <c r="BZ196" s="1290">
        <f>' Table Z Net Exp Profiles'!C196</f>
        <v>0</v>
      </c>
      <c r="CA196" s="1291">
        <f>' Table Z Net Exp Profiles'!D196</f>
        <v>0</v>
      </c>
      <c r="CB196" s="1291">
        <f>' Table Z Net Exp Profiles'!E196</f>
        <v>0</v>
      </c>
      <c r="CC196" s="1291">
        <f>' Table Z Net Exp Profiles'!F196</f>
        <v>0</v>
      </c>
      <c r="CD196" s="1291">
        <f>' Table Z Net Exp Profiles'!G196</f>
        <v>0</v>
      </c>
      <c r="CE196" s="1291">
        <f>' Table Z Net Exp Profiles'!H196</f>
        <v>0</v>
      </c>
      <c r="CF196" s="1291">
        <f>' Table Z Net Exp Profiles'!I196</f>
        <v>0</v>
      </c>
      <c r="CG196" s="1291">
        <f>' Table Z Net Exp Profiles'!J196</f>
        <v>0</v>
      </c>
      <c r="CH196" s="1291">
        <f>' Table Z Net Exp Profiles'!K196</f>
        <v>0</v>
      </c>
      <c r="CI196" s="1291">
        <f>' Table Z Net Exp Profiles'!L196</f>
        <v>0</v>
      </c>
      <c r="CJ196" s="1291">
        <f>' Table Z Net Exp Profiles'!M196</f>
        <v>0</v>
      </c>
      <c r="CK196" s="1291">
        <f>' Table Z Net Exp Profiles'!N196</f>
        <v>0</v>
      </c>
      <c r="CL196" s="2513">
        <f>' Table Z Net Exp Profiles'!O196</f>
        <v>0</v>
      </c>
      <c r="CM196" s="1368">
        <f>' Table Z Net Exp Profiles'!P196</f>
        <v>0</v>
      </c>
      <c r="DF196" s="1914"/>
      <c r="DG196" s="1116"/>
      <c r="DH196" s="1918"/>
      <c r="DI196" s="1918"/>
      <c r="DJ196" s="1918"/>
      <c r="DK196" s="1918"/>
      <c r="DL196" s="1918"/>
      <c r="DM196" s="1918"/>
      <c r="DN196" s="1918"/>
      <c r="DO196" s="1918"/>
      <c r="DP196" s="1918"/>
      <c r="DQ196" s="1918"/>
      <c r="DR196" s="1918"/>
      <c r="DS196" s="1918"/>
      <c r="DT196" s="1918"/>
      <c r="DU196" s="1918"/>
      <c r="DV196" s="2594"/>
      <c r="DW196" s="2594"/>
      <c r="LX196" s="538" t="str">
        <f>'N - GMS'!A196</f>
        <v xml:space="preserve">Enhanced Services included above but not yet formally agreed LMC     </v>
      </c>
      <c r="LY196" s="539">
        <f>'N - GMS'!B196</f>
        <v>0</v>
      </c>
      <c r="LZ196" s="527">
        <f>'N - GMS'!C196</f>
        <v>148</v>
      </c>
      <c r="MA196" s="540">
        <f>'N - GMS'!D196</f>
        <v>0</v>
      </c>
      <c r="MB196" s="541">
        <f>'N - GMS'!E196</f>
        <v>0</v>
      </c>
      <c r="MC196" s="1028">
        <f>'N - GMS'!F196</f>
        <v>0</v>
      </c>
      <c r="MD196" s="67">
        <f>'N - GMS'!G196</f>
        <v>0</v>
      </c>
      <c r="ME196" s="1170"/>
      <c r="MF196" s="213"/>
      <c r="MR196" s="684"/>
      <c r="MS196" s="684"/>
      <c r="MT196" s="684"/>
      <c r="MU196" s="684"/>
      <c r="MV196" s="684"/>
      <c r="MW196" s="684"/>
      <c r="MX196" s="684"/>
      <c r="MY196" s="684"/>
      <c r="MZ196" s="684"/>
      <c r="NA196" s="684"/>
      <c r="NB196" s="684"/>
      <c r="NC196" s="684"/>
      <c r="ND196" s="684"/>
      <c r="NE196" s="684"/>
      <c r="NF196" s="684"/>
      <c r="NG196" s="684"/>
      <c r="NH196" s="684"/>
      <c r="NI196" s="684"/>
      <c r="NJ196" s="684"/>
      <c r="NK196" s="684"/>
    </row>
    <row r="197" spans="76:375" ht="20.149999999999999" customHeight="1" thickBot="1">
      <c r="BX197" s="144">
        <f>' Table Z Net Exp Profiles'!A197</f>
        <v>146</v>
      </c>
      <c r="BY197" s="1272" t="str">
        <f>' Table Z Net Exp Profiles'!B197</f>
        <v>Total Savings Movement Not due to Covid-19</v>
      </c>
      <c r="BZ197" s="2516">
        <f>' Table Z Net Exp Profiles'!C197</f>
        <v>0</v>
      </c>
      <c r="CA197" s="1684">
        <f>' Table Z Net Exp Profiles'!D197</f>
        <v>0</v>
      </c>
      <c r="CB197" s="1684">
        <f>' Table Z Net Exp Profiles'!E197</f>
        <v>0</v>
      </c>
      <c r="CC197" s="1684">
        <f>' Table Z Net Exp Profiles'!F197</f>
        <v>0</v>
      </c>
      <c r="CD197" s="1684">
        <f>' Table Z Net Exp Profiles'!G197</f>
        <v>0</v>
      </c>
      <c r="CE197" s="1684">
        <f>' Table Z Net Exp Profiles'!H197</f>
        <v>0</v>
      </c>
      <c r="CF197" s="1684">
        <f>' Table Z Net Exp Profiles'!I197</f>
        <v>0</v>
      </c>
      <c r="CG197" s="1684">
        <f>' Table Z Net Exp Profiles'!J197</f>
        <v>0</v>
      </c>
      <c r="CH197" s="1684">
        <f>' Table Z Net Exp Profiles'!K197</f>
        <v>0</v>
      </c>
      <c r="CI197" s="1684">
        <f>' Table Z Net Exp Profiles'!L197</f>
        <v>0</v>
      </c>
      <c r="CJ197" s="1684">
        <f>' Table Z Net Exp Profiles'!M197</f>
        <v>0</v>
      </c>
      <c r="CK197" s="2517">
        <f>' Table Z Net Exp Profiles'!N197</f>
        <v>0</v>
      </c>
      <c r="CL197" s="1685">
        <f>' Table Z Net Exp Profiles'!O197</f>
        <v>0</v>
      </c>
      <c r="CM197" s="1692">
        <f>' Table Z Net Exp Profiles'!P197</f>
        <v>0</v>
      </c>
      <c r="DF197" s="1914"/>
      <c r="DG197" s="1116"/>
      <c r="DH197" s="1918"/>
      <c r="DI197" s="1918"/>
      <c r="DJ197" s="1918"/>
      <c r="DK197" s="1918"/>
      <c r="DL197" s="1918"/>
      <c r="DM197" s="1918"/>
      <c r="DN197" s="1918"/>
      <c r="DO197" s="1918"/>
      <c r="DP197" s="1918"/>
      <c r="DQ197" s="1918"/>
      <c r="DR197" s="1918"/>
      <c r="DS197" s="1918"/>
      <c r="DT197" s="1918"/>
      <c r="DU197" s="1918"/>
      <c r="DV197" s="2594"/>
      <c r="DW197" s="2594"/>
      <c r="LX197" s="542"/>
      <c r="LY197" s="543"/>
      <c r="LZ197" s="544"/>
      <c r="MA197" s="229"/>
      <c r="MB197" s="229"/>
      <c r="MC197" s="229"/>
      <c r="MD197" s="229"/>
      <c r="ME197" s="229"/>
      <c r="MF197" s="229"/>
      <c r="MR197" s="684"/>
      <c r="MS197" s="684"/>
      <c r="MT197" s="684"/>
      <c r="MU197" s="684"/>
      <c r="MV197" s="684"/>
      <c r="MW197" s="684"/>
      <c r="MX197" s="684"/>
      <c r="MY197" s="684"/>
      <c r="MZ197" s="684"/>
      <c r="NA197" s="684"/>
      <c r="NB197" s="684"/>
      <c r="NC197" s="684"/>
      <c r="ND197" s="684"/>
      <c r="NE197" s="684"/>
      <c r="NF197" s="684"/>
      <c r="NG197" s="684"/>
      <c r="NH197" s="684"/>
      <c r="NI197" s="684"/>
      <c r="NJ197" s="684"/>
      <c r="NK197" s="684"/>
    </row>
    <row r="198" spans="76:375" ht="20.149999999999999" customHeight="1" thickBot="1">
      <c r="BX198" s="91">
        <f>' Table Z Net Exp Profiles'!A198</f>
        <v>147</v>
      </c>
      <c r="BY198" s="82" t="str">
        <f>' Table Z Net Exp Profiles'!B198</f>
        <v>Total Accountancy Gains - Actual/Forecast</v>
      </c>
      <c r="BZ198" s="1283">
        <f>' Table Z Net Exp Profiles'!C198</f>
        <v>0</v>
      </c>
      <c r="CA198" s="1284">
        <f>' Table Z Net Exp Profiles'!D198</f>
        <v>0</v>
      </c>
      <c r="CB198" s="1284">
        <f>' Table Z Net Exp Profiles'!E198</f>
        <v>0</v>
      </c>
      <c r="CC198" s="1284">
        <f>' Table Z Net Exp Profiles'!F198</f>
        <v>0</v>
      </c>
      <c r="CD198" s="1284">
        <f>' Table Z Net Exp Profiles'!G198</f>
        <v>0</v>
      </c>
      <c r="CE198" s="1284">
        <f>' Table Z Net Exp Profiles'!H198</f>
        <v>0</v>
      </c>
      <c r="CF198" s="1284">
        <f>' Table Z Net Exp Profiles'!I198</f>
        <v>0</v>
      </c>
      <c r="CG198" s="1284">
        <f>' Table Z Net Exp Profiles'!J198</f>
        <v>0</v>
      </c>
      <c r="CH198" s="1284">
        <f>' Table Z Net Exp Profiles'!K198</f>
        <v>0</v>
      </c>
      <c r="CI198" s="1284">
        <f>' Table Z Net Exp Profiles'!L198</f>
        <v>0</v>
      </c>
      <c r="CJ198" s="1284">
        <f>' Table Z Net Exp Profiles'!M198</f>
        <v>0</v>
      </c>
      <c r="CK198" s="1284">
        <f>' Table Z Net Exp Profiles'!N198</f>
        <v>0</v>
      </c>
      <c r="CL198" s="1255">
        <f>' Table Z Net Exp Profiles'!O198</f>
        <v>0</v>
      </c>
      <c r="CM198" s="2510">
        <f>' Table Z Net Exp Profiles'!P198</f>
        <v>0</v>
      </c>
      <c r="DF198" s="2788"/>
      <c r="DG198" s="2824"/>
      <c r="DH198" s="2784"/>
      <c r="DI198" s="2784"/>
      <c r="DJ198" s="2784"/>
      <c r="DK198" s="2784"/>
      <c r="DL198" s="2784"/>
      <c r="DM198" s="2784"/>
      <c r="DN198" s="2784"/>
      <c r="DO198" s="2784"/>
      <c r="DP198" s="2784"/>
      <c r="DQ198" s="2784"/>
      <c r="DR198" s="2784"/>
      <c r="DS198" s="2784"/>
      <c r="DT198" s="2784"/>
      <c r="DU198" s="2784"/>
      <c r="DV198" s="2594"/>
      <c r="DW198" s="2594"/>
      <c r="LX198" s="501"/>
      <c r="LY198" s="501"/>
      <c r="LZ198" s="501"/>
      <c r="MA198" s="500"/>
      <c r="MB198" s="500"/>
      <c r="MC198" s="500"/>
      <c r="MD198" s="502"/>
      <c r="ME198" s="502"/>
      <c r="MF198" s="217"/>
      <c r="MR198" s="684"/>
      <c r="MS198" s="684"/>
      <c r="MT198" s="684"/>
      <c r="MU198" s="684"/>
      <c r="MV198" s="684"/>
      <c r="MW198" s="684"/>
      <c r="MX198" s="684"/>
      <c r="MY198" s="684"/>
      <c r="MZ198" s="684"/>
      <c r="NA198" s="684"/>
      <c r="NB198" s="684"/>
      <c r="NC198" s="684"/>
      <c r="ND198" s="684"/>
      <c r="NE198" s="684"/>
      <c r="NF198" s="684"/>
      <c r="NG198" s="684"/>
      <c r="NH198" s="684"/>
      <c r="NI198" s="684"/>
      <c r="NJ198" s="684"/>
      <c r="NK198" s="684"/>
    </row>
    <row r="199" spans="76:375" ht="20.149999999999999" customHeight="1" thickBot="1">
      <c r="BX199" s="144">
        <f>' Table Z Net Exp Profiles'!A199</f>
        <v>148</v>
      </c>
      <c r="BY199" s="1700" t="str">
        <f>' Table Z Net Exp Profiles'!B199</f>
        <v>Total In Year Operational Expenditure Cost Reduction Due To C19 (Positive Values)</v>
      </c>
      <c r="BZ199" s="1293">
        <f>' Table Z Net Exp Profiles'!C199</f>
        <v>0</v>
      </c>
      <c r="CA199" s="1294">
        <f>' Table Z Net Exp Profiles'!D199</f>
        <v>0</v>
      </c>
      <c r="CB199" s="1294">
        <f>' Table Z Net Exp Profiles'!E199</f>
        <v>0</v>
      </c>
      <c r="CC199" s="1294">
        <f>' Table Z Net Exp Profiles'!F199</f>
        <v>0</v>
      </c>
      <c r="CD199" s="1294">
        <f>' Table Z Net Exp Profiles'!G199</f>
        <v>0</v>
      </c>
      <c r="CE199" s="1294">
        <f>' Table Z Net Exp Profiles'!H199</f>
        <v>0</v>
      </c>
      <c r="CF199" s="1294">
        <f>' Table Z Net Exp Profiles'!I199</f>
        <v>0</v>
      </c>
      <c r="CG199" s="1294">
        <f>' Table Z Net Exp Profiles'!J199</f>
        <v>0</v>
      </c>
      <c r="CH199" s="1294">
        <f>' Table Z Net Exp Profiles'!K199</f>
        <v>0</v>
      </c>
      <c r="CI199" s="1294">
        <f>' Table Z Net Exp Profiles'!L199</f>
        <v>0</v>
      </c>
      <c r="CJ199" s="1294">
        <f>' Table Z Net Exp Profiles'!M199</f>
        <v>0</v>
      </c>
      <c r="CK199" s="1294">
        <f>' Table Z Net Exp Profiles'!N199</f>
        <v>0</v>
      </c>
      <c r="CL199" s="1219">
        <f>' Table Z Net Exp Profiles'!O199</f>
        <v>0</v>
      </c>
      <c r="CM199" s="1220">
        <f>' Table Z Net Exp Profiles'!P199</f>
        <v>0</v>
      </c>
      <c r="DF199" s="1914"/>
      <c r="DG199" s="2787"/>
      <c r="DH199" s="2786"/>
      <c r="DI199" s="2786"/>
      <c r="DJ199" s="2786"/>
      <c r="DK199" s="2786"/>
      <c r="DL199" s="2786"/>
      <c r="DM199" s="2786"/>
      <c r="DN199" s="2786"/>
      <c r="DO199" s="2786"/>
      <c r="DP199" s="2786"/>
      <c r="DQ199" s="2786"/>
      <c r="DR199" s="2786"/>
      <c r="DS199" s="2786"/>
      <c r="DT199" s="1917"/>
      <c r="DU199" s="1917"/>
      <c r="DV199" s="2594"/>
      <c r="DW199" s="2594"/>
      <c r="LX199" s="3168"/>
      <c r="LY199" s="3168"/>
      <c r="LZ199" s="232"/>
      <c r="MA199" s="239"/>
      <c r="MB199" s="239"/>
      <c r="MC199" s="239"/>
      <c r="MD199" s="239"/>
      <c r="ME199" s="239"/>
      <c r="MF199" s="239"/>
      <c r="MR199" s="684"/>
      <c r="MS199" s="684"/>
      <c r="MT199" s="684"/>
      <c r="MU199" s="684"/>
      <c r="MV199" s="684"/>
      <c r="MW199" s="684"/>
      <c r="MX199" s="684"/>
      <c r="MY199" s="684"/>
      <c r="MZ199" s="684"/>
      <c r="NA199" s="684"/>
      <c r="NB199" s="684"/>
      <c r="NC199" s="684"/>
      <c r="ND199" s="684"/>
      <c r="NE199" s="684"/>
      <c r="NF199" s="684"/>
      <c r="NG199" s="684"/>
      <c r="NH199" s="684"/>
      <c r="NI199" s="684"/>
      <c r="NJ199" s="684"/>
      <c r="NK199" s="684"/>
    </row>
    <row r="200" spans="76:375" ht="20.149999999999999" customHeight="1" thickBot="1">
      <c r="BX200" s="144">
        <f>' Table Z Net Exp Profiles'!A200</f>
        <v>149</v>
      </c>
      <c r="BY200" s="1371" t="str">
        <f>' Table Z Net Exp Profiles'!B200</f>
        <v>Total In Year Slippage on Current Planned Investments/Repurposing of Developmental Initiatives due to C19 (Positive Values)</v>
      </c>
      <c r="BZ200" s="1296">
        <f>' Table Z Net Exp Profiles'!C200</f>
        <v>0</v>
      </c>
      <c r="CA200" s="1297">
        <f>' Table Z Net Exp Profiles'!D200</f>
        <v>0</v>
      </c>
      <c r="CB200" s="1297">
        <f>' Table Z Net Exp Profiles'!E200</f>
        <v>0</v>
      </c>
      <c r="CC200" s="1297">
        <f>' Table Z Net Exp Profiles'!F200</f>
        <v>0</v>
      </c>
      <c r="CD200" s="1297">
        <f>' Table Z Net Exp Profiles'!G200</f>
        <v>0</v>
      </c>
      <c r="CE200" s="1297">
        <f>' Table Z Net Exp Profiles'!H200</f>
        <v>0</v>
      </c>
      <c r="CF200" s="1297">
        <f>' Table Z Net Exp Profiles'!I200</f>
        <v>0</v>
      </c>
      <c r="CG200" s="1297">
        <f>' Table Z Net Exp Profiles'!J200</f>
        <v>0</v>
      </c>
      <c r="CH200" s="1297">
        <f>' Table Z Net Exp Profiles'!K200</f>
        <v>0</v>
      </c>
      <c r="CI200" s="1297">
        <f>' Table Z Net Exp Profiles'!L200</f>
        <v>0</v>
      </c>
      <c r="CJ200" s="1297">
        <f>' Table Z Net Exp Profiles'!M200</f>
        <v>0</v>
      </c>
      <c r="CK200" s="1297">
        <f>' Table Z Net Exp Profiles'!N200</f>
        <v>0</v>
      </c>
      <c r="CL200" s="1234">
        <f>' Table Z Net Exp Profiles'!O200</f>
        <v>0</v>
      </c>
      <c r="CM200" s="2518">
        <f>' Table Z Net Exp Profiles'!P200</f>
        <v>0</v>
      </c>
      <c r="DF200" s="1914"/>
      <c r="DG200" s="2787"/>
      <c r="DH200" s="2786"/>
      <c r="DI200" s="2786"/>
      <c r="DJ200" s="2786"/>
      <c r="DK200" s="2786"/>
      <c r="DL200" s="2786"/>
      <c r="DM200" s="2786"/>
      <c r="DN200" s="2786"/>
      <c r="DO200" s="2786"/>
      <c r="DP200" s="2786"/>
      <c r="DQ200" s="2786"/>
      <c r="DR200" s="2786"/>
      <c r="DS200" s="2786"/>
      <c r="DT200" s="1917"/>
      <c r="DU200" s="1917"/>
      <c r="DV200" s="2594"/>
      <c r="DW200" s="2594"/>
      <c r="LX200" s="3169" t="str">
        <f>'N - GMS'!A200</f>
        <v xml:space="preserve">GENERAL MEDICAL SERVICES </v>
      </c>
      <c r="LY200" s="3169"/>
      <c r="LZ200" s="149"/>
      <c r="MA200" s="235"/>
      <c r="MB200" s="235"/>
      <c r="MC200" s="235"/>
      <c r="MD200" s="235"/>
      <c r="ME200" s="235"/>
      <c r="MF200" s="235"/>
      <c r="MR200" s="684"/>
      <c r="MS200" s="684"/>
      <c r="MT200" s="684"/>
      <c r="MU200" s="684"/>
      <c r="MV200" s="684"/>
      <c r="MW200" s="684"/>
      <c r="MX200" s="684"/>
      <c r="MY200" s="684"/>
      <c r="MZ200" s="684"/>
      <c r="NA200" s="684"/>
      <c r="NB200" s="684"/>
      <c r="NC200" s="684"/>
      <c r="ND200" s="684"/>
      <c r="NE200" s="684"/>
      <c r="NF200" s="684"/>
      <c r="NG200" s="684"/>
      <c r="NH200" s="684"/>
      <c r="NI200" s="684"/>
      <c r="NJ200" s="684"/>
      <c r="NK200" s="684"/>
    </row>
    <row r="201" spans="76:375" ht="20.149999999999999"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4"/>
      <c r="DG201" s="2787"/>
      <c r="DH201" s="2786"/>
      <c r="DI201" s="2786"/>
      <c r="DJ201" s="2786"/>
      <c r="DK201" s="2786"/>
      <c r="DL201" s="2786"/>
      <c r="DM201" s="2786"/>
      <c r="DN201" s="2786"/>
      <c r="DO201" s="2786"/>
      <c r="DP201" s="2786"/>
      <c r="DQ201" s="2786"/>
      <c r="DR201" s="2786"/>
      <c r="DS201" s="2786"/>
      <c r="DT201" s="1917"/>
      <c r="DU201" s="1917"/>
      <c r="DV201" s="2594"/>
      <c r="DW201" s="2594"/>
      <c r="LX201" s="3169" t="str">
        <f>'N - GMS'!A201</f>
        <v xml:space="preserve">Dispensing </v>
      </c>
      <c r="LY201" s="3169"/>
      <c r="LZ201" s="232"/>
      <c r="MA201" s="239"/>
      <c r="MB201" s="239"/>
      <c r="MC201" s="239"/>
      <c r="MD201" s="239"/>
      <c r="ME201" s="239"/>
      <c r="MF201" s="239"/>
      <c r="MR201" s="684"/>
      <c r="MS201" s="684"/>
      <c r="MT201" s="684"/>
      <c r="MU201" s="684"/>
      <c r="MV201" s="684"/>
      <c r="MW201" s="684"/>
      <c r="MX201" s="684"/>
      <c r="MY201" s="684"/>
      <c r="MZ201" s="684"/>
      <c r="NA201" s="684"/>
      <c r="NB201" s="684"/>
      <c r="NC201" s="684"/>
      <c r="ND201" s="684"/>
      <c r="NE201" s="684"/>
      <c r="NF201" s="684"/>
      <c r="NG201" s="684"/>
      <c r="NH201" s="684"/>
      <c r="NI201" s="684"/>
      <c r="NJ201" s="684"/>
      <c r="NK201" s="684"/>
    </row>
    <row r="202" spans="76:375" ht="20.149999999999999" customHeight="1" thickBot="1">
      <c r="BX202" s="86">
        <f>' Table Z Net Exp Profiles'!A202</f>
        <v>150</v>
      </c>
      <c r="BY202" s="1267" t="str">
        <f>' Table Z Net Exp Profiles'!B202</f>
        <v>Net Expenditure analysed above (Sections A to F) - Current Plan</v>
      </c>
      <c r="BZ202" s="1283">
        <f>' Table Z Net Exp Profiles'!C202</f>
        <v>-1244.4166666666665</v>
      </c>
      <c r="CA202" s="1284">
        <f>' Table Z Net Exp Profiles'!D202</f>
        <v>-175.41666666666666</v>
      </c>
      <c r="CB202" s="1284">
        <f>' Table Z Net Exp Profiles'!E202</f>
        <v>-175.41666666666666</v>
      </c>
      <c r="CC202" s="1284">
        <f>' Table Z Net Exp Profiles'!F202</f>
        <v>-175.41666666666666</v>
      </c>
      <c r="CD202" s="1284">
        <f>' Table Z Net Exp Profiles'!G202</f>
        <v>-175.41666666666666</v>
      </c>
      <c r="CE202" s="1284">
        <f>' Table Z Net Exp Profiles'!H202</f>
        <v>-175.41666666666666</v>
      </c>
      <c r="CF202" s="1284">
        <f>' Table Z Net Exp Profiles'!I202</f>
        <v>-175.41666666666666</v>
      </c>
      <c r="CG202" s="1284">
        <f>' Table Z Net Exp Profiles'!J202</f>
        <v>-175.41666666666666</v>
      </c>
      <c r="CH202" s="1284">
        <f>' Table Z Net Exp Profiles'!K202</f>
        <v>-175.41666666666666</v>
      </c>
      <c r="CI202" s="1284">
        <f>' Table Z Net Exp Profiles'!L202</f>
        <v>-175.41666666666666</v>
      </c>
      <c r="CJ202" s="1284">
        <f>' Table Z Net Exp Profiles'!M202</f>
        <v>-175.41666666666666</v>
      </c>
      <c r="CK202" s="1285">
        <f>' Table Z Net Exp Profiles'!N202</f>
        <v>-175.41666666666666</v>
      </c>
      <c r="CL202" s="1232">
        <f>' Table Z Net Exp Profiles'!O202</f>
        <v>-1244.4166666666665</v>
      </c>
      <c r="CM202" s="1101">
        <f>' Table Z Net Exp Profiles'!P202</f>
        <v>-3173.9999999999991</v>
      </c>
      <c r="DF202" s="1914"/>
      <c r="DG202" s="2787"/>
      <c r="DH202" s="2786"/>
      <c r="DI202" s="2786"/>
      <c r="DJ202" s="2786"/>
      <c r="DK202" s="2786"/>
      <c r="DL202" s="2786"/>
      <c r="DM202" s="2786"/>
      <c r="DN202" s="2786"/>
      <c r="DO202" s="2786"/>
      <c r="DP202" s="2786"/>
      <c r="DQ202" s="2786"/>
      <c r="DR202" s="2786"/>
      <c r="DS202" s="2786"/>
      <c r="DT202" s="1917"/>
      <c r="DU202" s="1917"/>
      <c r="DV202" s="2594"/>
      <c r="DW202" s="2594"/>
      <c r="LX202" s="3168"/>
      <c r="LY202" s="3168"/>
      <c r="LZ202" s="149"/>
      <c r="MA202" s="235"/>
      <c r="MB202" s="235"/>
      <c r="MC202" s="235"/>
      <c r="MD202" s="235"/>
      <c r="ME202" s="235"/>
      <c r="MF202" s="235"/>
      <c r="MR202" s="684"/>
      <c r="MS202" s="684"/>
      <c r="MT202" s="684"/>
      <c r="MU202" s="684"/>
      <c r="MV202" s="684"/>
      <c r="MW202" s="684"/>
      <c r="MX202" s="684"/>
      <c r="MY202" s="684"/>
      <c r="MZ202" s="684"/>
      <c r="NA202" s="684"/>
      <c r="NB202" s="684"/>
      <c r="NC202" s="684"/>
      <c r="ND202" s="684"/>
      <c r="NE202" s="684"/>
      <c r="NF202" s="684"/>
      <c r="NG202" s="684"/>
      <c r="NH202" s="684"/>
      <c r="NI202" s="684"/>
      <c r="NJ202" s="684"/>
      <c r="NK202" s="684"/>
    </row>
    <row r="203" spans="76:375" ht="20.149999999999999" customHeight="1" thickBot="1">
      <c r="BX203" s="91">
        <f>' Table Z Net Exp Profiles'!A203</f>
        <v>151</v>
      </c>
      <c r="BY203" s="1561" t="str">
        <f>' Table Z Net Exp Profiles'!B203</f>
        <v>Net Expenditure not analysed above (Rows 18 - 21, 24 &amp; 25 of Table B) - Current Plan</v>
      </c>
      <c r="BZ203" s="983">
        <f>' Table Z Net Exp Profiles'!C203</f>
        <v>0</v>
      </c>
      <c r="CA203" s="984">
        <f>' Table Z Net Exp Profiles'!D203</f>
        <v>0</v>
      </c>
      <c r="CB203" s="984">
        <f>' Table Z Net Exp Profiles'!E203</f>
        <v>0</v>
      </c>
      <c r="CC203" s="984">
        <f>' Table Z Net Exp Profiles'!F203</f>
        <v>0</v>
      </c>
      <c r="CD203" s="984">
        <f>' Table Z Net Exp Profiles'!G203</f>
        <v>0</v>
      </c>
      <c r="CE203" s="984">
        <f>' Table Z Net Exp Profiles'!H203</f>
        <v>0</v>
      </c>
      <c r="CF203" s="984">
        <f>' Table Z Net Exp Profiles'!I203</f>
        <v>0</v>
      </c>
      <c r="CG203" s="984">
        <f>' Table Z Net Exp Profiles'!J203</f>
        <v>0</v>
      </c>
      <c r="CH203" s="984">
        <f>' Table Z Net Exp Profiles'!K203</f>
        <v>0</v>
      </c>
      <c r="CI203" s="984">
        <f>' Table Z Net Exp Profiles'!L203</f>
        <v>0</v>
      </c>
      <c r="CJ203" s="984">
        <f>' Table Z Net Exp Profiles'!M203</f>
        <v>0</v>
      </c>
      <c r="CK203" s="1562">
        <f>' Table Z Net Exp Profiles'!N203</f>
        <v>0</v>
      </c>
      <c r="CL203" s="1058">
        <f>' Table Z Net Exp Profiles'!O203</f>
        <v>0</v>
      </c>
      <c r="CM203" s="1058">
        <f>' Table Z Net Exp Profiles'!P203</f>
        <v>0</v>
      </c>
      <c r="DF203" s="1914"/>
      <c r="DG203" s="2787"/>
      <c r="DH203" s="2786"/>
      <c r="DI203" s="2786"/>
      <c r="DJ203" s="2786"/>
      <c r="DK203" s="2786"/>
      <c r="DL203" s="2786"/>
      <c r="DM203" s="2786"/>
      <c r="DN203" s="2786"/>
      <c r="DO203" s="2786"/>
      <c r="DP203" s="2786"/>
      <c r="DQ203" s="2786"/>
      <c r="DR203" s="2786"/>
      <c r="DS203" s="2786"/>
      <c r="DT203" s="1917"/>
      <c r="DU203" s="1917"/>
      <c r="DV203" s="2594"/>
      <c r="DW203" s="2594"/>
      <c r="LX203" s="153"/>
      <c r="LY203" s="153"/>
      <c r="LZ203" s="153"/>
      <c r="MA203" s="3148"/>
      <c r="MB203" s="3148"/>
      <c r="MC203" s="3148"/>
      <c r="MD203" s="3148"/>
      <c r="ME203" s="3149"/>
      <c r="MF203" s="3148"/>
      <c r="MR203" s="684"/>
      <c r="MS203" s="684"/>
      <c r="MT203" s="684"/>
      <c r="MU203" s="684"/>
      <c r="MV203" s="684"/>
      <c r="MW203" s="684"/>
      <c r="MX203" s="684"/>
      <c r="MY203" s="684"/>
      <c r="MZ203" s="684"/>
      <c r="NA203" s="684"/>
      <c r="NB203" s="684"/>
      <c r="NC203" s="684"/>
      <c r="ND203" s="684"/>
      <c r="NE203" s="684"/>
      <c r="NF203" s="684"/>
      <c r="NG203" s="684"/>
      <c r="NH203" s="684"/>
      <c r="NI203" s="684"/>
      <c r="NJ203" s="684"/>
      <c r="NK203" s="684"/>
    </row>
    <row r="204" spans="76:375" ht="20.149999999999999" customHeight="1" thickBot="1">
      <c r="BX204" s="144">
        <f>' Table Z Net Exp Profiles'!A204</f>
        <v>152</v>
      </c>
      <c r="BY204" s="1270" t="str">
        <f>' Table Z Net Exp Profiles'!B204</f>
        <v>Total Net Expenditure - Current Plan</v>
      </c>
      <c r="BZ204" s="1110">
        <f>' Table Z Net Exp Profiles'!C204</f>
        <v>-1244.4166666666665</v>
      </c>
      <c r="CA204" s="1110">
        <f>' Table Z Net Exp Profiles'!D204</f>
        <v>-175.41666666666666</v>
      </c>
      <c r="CB204" s="1110">
        <f>' Table Z Net Exp Profiles'!E204</f>
        <v>-175.41666666666666</v>
      </c>
      <c r="CC204" s="1110">
        <f>' Table Z Net Exp Profiles'!F204</f>
        <v>-175.41666666666666</v>
      </c>
      <c r="CD204" s="1110">
        <f>' Table Z Net Exp Profiles'!G204</f>
        <v>-175.41666666666666</v>
      </c>
      <c r="CE204" s="1110">
        <f>' Table Z Net Exp Profiles'!H204</f>
        <v>-175.41666666666666</v>
      </c>
      <c r="CF204" s="1110">
        <f>' Table Z Net Exp Profiles'!I204</f>
        <v>-175.41666666666666</v>
      </c>
      <c r="CG204" s="1110">
        <f>' Table Z Net Exp Profiles'!J204</f>
        <v>-175.41666666666666</v>
      </c>
      <c r="CH204" s="1110">
        <f>' Table Z Net Exp Profiles'!K204</f>
        <v>-175.41666666666666</v>
      </c>
      <c r="CI204" s="1110">
        <f>' Table Z Net Exp Profiles'!L204</f>
        <v>-175.41666666666666</v>
      </c>
      <c r="CJ204" s="1110">
        <f>' Table Z Net Exp Profiles'!M204</f>
        <v>-175.41666666666666</v>
      </c>
      <c r="CK204" s="1110">
        <f>' Table Z Net Exp Profiles'!N204</f>
        <v>-175.41666666666666</v>
      </c>
      <c r="CL204" s="1110">
        <f>' Table Z Net Exp Profiles'!O204</f>
        <v>-1244.4166666666665</v>
      </c>
      <c r="CM204" s="1101">
        <f>' Table Z Net Exp Profiles'!P204</f>
        <v>-3173.9999999999991</v>
      </c>
      <c r="DF204" s="1914"/>
      <c r="DG204" s="2787"/>
      <c r="DH204" s="2786"/>
      <c r="DI204" s="2786"/>
      <c r="DJ204" s="2786"/>
      <c r="DK204" s="2786"/>
      <c r="DL204" s="2786"/>
      <c r="DM204" s="2786"/>
      <c r="DN204" s="2786"/>
      <c r="DO204" s="2786"/>
      <c r="DP204" s="2786"/>
      <c r="DQ204" s="2786"/>
      <c r="DR204" s="2786"/>
      <c r="DS204" s="2786"/>
      <c r="DT204" s="1917"/>
      <c r="DU204" s="1917"/>
      <c r="DV204" s="2594"/>
      <c r="DW204" s="2594"/>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4"/>
      <c r="MS204" s="684"/>
      <c r="MT204" s="684"/>
      <c r="MU204" s="684"/>
      <c r="MV204" s="684"/>
      <c r="MW204" s="684"/>
      <c r="MX204" s="684"/>
      <c r="MY204" s="684"/>
      <c r="MZ204" s="684"/>
      <c r="NA204" s="684"/>
      <c r="NB204" s="684"/>
      <c r="NC204" s="684"/>
      <c r="ND204" s="684"/>
      <c r="NE204" s="684"/>
      <c r="NF204" s="684"/>
      <c r="NG204" s="684"/>
      <c r="NH204" s="684"/>
      <c r="NI204" s="684"/>
      <c r="NJ204" s="684"/>
      <c r="NK204" s="684"/>
    </row>
    <row r="205" spans="76:375" ht="20.149999999999999" customHeight="1" thickBot="1">
      <c r="BX205" s="890">
        <f>' Table Z Net Exp Profiles'!A205</f>
        <v>153</v>
      </c>
      <c r="BY205" s="1267" t="str">
        <f>' Table Z Net Exp Profiles'!B205</f>
        <v>Net Expenditure analysed above (Sections A to F) - Actual/Forecast</v>
      </c>
      <c r="BZ205" s="1283" t="e">
        <f>' Table Z Net Exp Profiles'!C205</f>
        <v>#REF!</v>
      </c>
      <c r="CA205" s="1284" t="e">
        <f>' Table Z Net Exp Profiles'!D205</f>
        <v>#REF!</v>
      </c>
      <c r="CB205" s="1284" t="e">
        <f>' Table Z Net Exp Profiles'!E205</f>
        <v>#REF!</v>
      </c>
      <c r="CC205" s="1284" t="e">
        <f>' Table Z Net Exp Profiles'!F205</f>
        <v>#REF!</v>
      </c>
      <c r="CD205" s="1284" t="e">
        <f>' Table Z Net Exp Profiles'!G205</f>
        <v>#REF!</v>
      </c>
      <c r="CE205" s="1284" t="e">
        <f>' Table Z Net Exp Profiles'!H205</f>
        <v>#REF!</v>
      </c>
      <c r="CF205" s="1284" t="e">
        <f>' Table Z Net Exp Profiles'!I205</f>
        <v>#REF!</v>
      </c>
      <c r="CG205" s="1284" t="e">
        <f>' Table Z Net Exp Profiles'!J205</f>
        <v>#REF!</v>
      </c>
      <c r="CH205" s="1284" t="e">
        <f>' Table Z Net Exp Profiles'!K205</f>
        <v>#REF!</v>
      </c>
      <c r="CI205" s="1284" t="e">
        <f>' Table Z Net Exp Profiles'!L205</f>
        <v>#REF!</v>
      </c>
      <c r="CJ205" s="1284" t="e">
        <f>' Table Z Net Exp Profiles'!M205</f>
        <v>#REF!</v>
      </c>
      <c r="CK205" s="1285" t="e">
        <f>' Table Z Net Exp Profiles'!N205</f>
        <v>#REF!</v>
      </c>
      <c r="CL205" s="1232" t="e">
        <f>' Table Z Net Exp Profiles'!O205</f>
        <v>#REF!</v>
      </c>
      <c r="CM205" s="1101" t="e">
        <f>' Table Z Net Exp Profiles'!P205</f>
        <v>#REF!</v>
      </c>
      <c r="DF205" s="1914"/>
      <c r="DG205" s="2787"/>
      <c r="DH205" s="2786"/>
      <c r="DI205" s="2786"/>
      <c r="DJ205" s="2786"/>
      <c r="DK205" s="2786"/>
      <c r="DL205" s="2786"/>
      <c r="DM205" s="2786"/>
      <c r="DN205" s="2786"/>
      <c r="DO205" s="2786"/>
      <c r="DP205" s="2786"/>
      <c r="DQ205" s="2786"/>
      <c r="DR205" s="2786"/>
      <c r="DS205" s="2786"/>
      <c r="DT205" s="1917"/>
      <c r="DU205" s="1917"/>
      <c r="DV205" s="2594"/>
      <c r="DW205" s="2594"/>
      <c r="LX205" s="545" t="str">
        <f>'N - GMS'!A205</f>
        <v>Dispensing Data</v>
      </c>
      <c r="LY205" s="546"/>
      <c r="LZ205" s="2466" t="str">
        <f>'N - GMS'!C205</f>
        <v>LINE NO.</v>
      </c>
      <c r="MA205" s="548" t="str">
        <f>'N - GMS'!D205</f>
        <v>£000's</v>
      </c>
      <c r="MB205" s="548" t="str">
        <f>'N - GMS'!E205</f>
        <v>£000's</v>
      </c>
      <c r="MC205" s="548" t="str">
        <f>'N - GMS'!F205</f>
        <v>£000's</v>
      </c>
      <c r="MD205" s="513" t="str">
        <f>'N - GMS'!G205</f>
        <v>£000's</v>
      </c>
      <c r="ME205" s="213"/>
      <c r="MF205" s="473" t="str">
        <f>'N - GMS'!I205</f>
        <v>£000's</v>
      </c>
      <c r="MR205" s="684"/>
      <c r="MS205" s="684"/>
      <c r="MT205" s="684"/>
      <c r="MU205" s="684"/>
      <c r="MV205" s="684"/>
      <c r="MW205" s="684"/>
      <c r="MX205" s="684"/>
      <c r="MY205" s="684"/>
      <c r="MZ205" s="684"/>
      <c r="NA205" s="684"/>
      <c r="NB205" s="684"/>
      <c r="NC205" s="684"/>
      <c r="ND205" s="684"/>
      <c r="NE205" s="684"/>
      <c r="NF205" s="684"/>
      <c r="NG205" s="684"/>
      <c r="NH205" s="684"/>
      <c r="NI205" s="684"/>
      <c r="NJ205" s="684"/>
      <c r="NK205" s="684"/>
    </row>
    <row r="206" spans="76:375" ht="20.149999999999999" customHeight="1" thickBot="1">
      <c r="BX206" s="91">
        <f>' Table Z Net Exp Profiles'!A206</f>
        <v>154</v>
      </c>
      <c r="BY206" s="1561" t="str">
        <f>' Table Z Net Exp Profiles'!B206</f>
        <v>Net Expenditure not analysed above (Rows 18 - 21, 24 &amp; 25 of Table B) - Actual/Forecast</v>
      </c>
      <c r="BZ206" s="1283">
        <f>' Table Z Net Exp Profiles'!C206</f>
        <v>0</v>
      </c>
      <c r="CA206" s="1284">
        <f>' Table Z Net Exp Profiles'!D206</f>
        <v>0</v>
      </c>
      <c r="CB206" s="1284">
        <f>' Table Z Net Exp Profiles'!E206</f>
        <v>0</v>
      </c>
      <c r="CC206" s="1284">
        <f>' Table Z Net Exp Profiles'!F206</f>
        <v>0</v>
      </c>
      <c r="CD206" s="1284">
        <f>' Table Z Net Exp Profiles'!G206</f>
        <v>0</v>
      </c>
      <c r="CE206" s="1284">
        <f>' Table Z Net Exp Profiles'!H206</f>
        <v>0</v>
      </c>
      <c r="CF206" s="1284">
        <f>' Table Z Net Exp Profiles'!I206</f>
        <v>0</v>
      </c>
      <c r="CG206" s="1284">
        <f>' Table Z Net Exp Profiles'!J206</f>
        <v>0</v>
      </c>
      <c r="CH206" s="1284">
        <f>' Table Z Net Exp Profiles'!K206</f>
        <v>0</v>
      </c>
      <c r="CI206" s="1284">
        <f>' Table Z Net Exp Profiles'!L206</f>
        <v>0</v>
      </c>
      <c r="CJ206" s="1284">
        <f>' Table Z Net Exp Profiles'!M206</f>
        <v>0</v>
      </c>
      <c r="CK206" s="1285">
        <f>' Table Z Net Exp Profiles'!N206</f>
        <v>0</v>
      </c>
      <c r="CL206" s="1232">
        <f>' Table Z Net Exp Profiles'!O206</f>
        <v>0</v>
      </c>
      <c r="CM206" s="1101">
        <f>' Table Z Net Exp Profiles'!P206</f>
        <v>0</v>
      </c>
      <c r="DF206" s="1914"/>
      <c r="DG206" s="2787"/>
      <c r="DH206" s="2786"/>
      <c r="DI206" s="2786"/>
      <c r="DJ206" s="2786"/>
      <c r="DK206" s="2786"/>
      <c r="DL206" s="2786"/>
      <c r="DM206" s="2786"/>
      <c r="DN206" s="2786"/>
      <c r="DO206" s="2786"/>
      <c r="DP206" s="2786"/>
      <c r="DQ206" s="2786"/>
      <c r="DR206" s="2786"/>
      <c r="DS206" s="2786"/>
      <c r="DT206" s="1917"/>
      <c r="DU206" s="1917"/>
      <c r="DV206" s="2594"/>
      <c r="DW206" s="2594"/>
      <c r="LX206" s="514">
        <f>'N - GMS'!A206</f>
        <v>0</v>
      </c>
      <c r="LY206" s="2457"/>
      <c r="LZ206" s="2457"/>
      <c r="MA206" s="2458"/>
      <c r="MB206" s="2458"/>
      <c r="MC206" s="2458"/>
      <c r="MD206" s="2458"/>
      <c r="ME206" s="1170"/>
      <c r="MF206" s="2458"/>
      <c r="MR206" s="684"/>
      <c r="MS206" s="684"/>
      <c r="MT206" s="684"/>
      <c r="MU206" s="684"/>
      <c r="MV206" s="684"/>
      <c r="MW206" s="684"/>
      <c r="MX206" s="684"/>
      <c r="MY206" s="684"/>
      <c r="MZ206" s="684"/>
      <c r="NA206" s="684"/>
      <c r="NB206" s="684"/>
      <c r="NC206" s="684"/>
      <c r="ND206" s="684"/>
      <c r="NE206" s="684"/>
      <c r="NF206" s="684"/>
      <c r="NG206" s="684"/>
      <c r="NH206" s="684"/>
      <c r="NI206" s="684"/>
      <c r="NJ206" s="684"/>
      <c r="NK206" s="684"/>
    </row>
    <row r="207" spans="76:375" ht="20.149999999999999" customHeight="1" thickBot="1">
      <c r="BX207" s="144">
        <f>' Table Z Net Exp Profiles'!A207</f>
        <v>155</v>
      </c>
      <c r="BY207" s="1270" t="str">
        <f>' Table Z Net Exp Profiles'!B207</f>
        <v>Total Net Expenditure - Actual/Forecast (as per Table B)</v>
      </c>
      <c r="BZ207" s="1110" t="e">
        <f>' Table Z Net Exp Profiles'!C207</f>
        <v>#REF!</v>
      </c>
      <c r="CA207" s="1110" t="e">
        <f>' Table Z Net Exp Profiles'!D207</f>
        <v>#REF!</v>
      </c>
      <c r="CB207" s="1110" t="e">
        <f>' Table Z Net Exp Profiles'!E207</f>
        <v>#REF!</v>
      </c>
      <c r="CC207" s="1110" t="e">
        <f>' Table Z Net Exp Profiles'!F207</f>
        <v>#REF!</v>
      </c>
      <c r="CD207" s="1110" t="e">
        <f>' Table Z Net Exp Profiles'!G207</f>
        <v>#REF!</v>
      </c>
      <c r="CE207" s="1110" t="e">
        <f>' Table Z Net Exp Profiles'!H207</f>
        <v>#REF!</v>
      </c>
      <c r="CF207" s="1110" t="e">
        <f>' Table Z Net Exp Profiles'!I207</f>
        <v>#REF!</v>
      </c>
      <c r="CG207" s="1110" t="e">
        <f>' Table Z Net Exp Profiles'!J207</f>
        <v>#REF!</v>
      </c>
      <c r="CH207" s="1110" t="e">
        <f>' Table Z Net Exp Profiles'!K207</f>
        <v>#REF!</v>
      </c>
      <c r="CI207" s="1110" t="e">
        <f>' Table Z Net Exp Profiles'!L207</f>
        <v>#REF!</v>
      </c>
      <c r="CJ207" s="1110" t="e">
        <f>' Table Z Net Exp Profiles'!M207</f>
        <v>#REF!</v>
      </c>
      <c r="CK207" s="1110" t="e">
        <f>' Table Z Net Exp Profiles'!N207</f>
        <v>#REF!</v>
      </c>
      <c r="CL207" s="1110" t="e">
        <f>' Table Z Net Exp Profiles'!O207</f>
        <v>#REF!</v>
      </c>
      <c r="CM207" s="1101" t="e">
        <f>' Table Z Net Exp Profiles'!P207</f>
        <v>#REF!</v>
      </c>
      <c r="DF207" s="1914"/>
      <c r="DG207" s="2787"/>
      <c r="DH207" s="2786"/>
      <c r="DI207" s="2786"/>
      <c r="DJ207" s="2786"/>
      <c r="DK207" s="2786"/>
      <c r="DL207" s="2786"/>
      <c r="DM207" s="2786"/>
      <c r="DN207" s="2786"/>
      <c r="DO207" s="2786"/>
      <c r="DP207" s="2786"/>
      <c r="DQ207" s="2786"/>
      <c r="DR207" s="2786"/>
      <c r="DS207" s="2786"/>
      <c r="DT207" s="1917"/>
      <c r="DU207" s="1917"/>
      <c r="DV207" s="2594"/>
      <c r="DW207" s="2594"/>
      <c r="LX207" s="1676" t="str">
        <f>'N - GMS'!A207</f>
        <v>Cost of Drugs and Appliances, after discounts and plus container allowance (and plus VAT where applicable)</v>
      </c>
      <c r="LY207" s="719"/>
      <c r="LZ207" s="719"/>
      <c r="MA207" s="720"/>
      <c r="MB207" s="720"/>
      <c r="MC207" s="720"/>
      <c r="MD207" s="720"/>
      <c r="ME207" s="721"/>
      <c r="MF207" s="720"/>
      <c r="MR207" s="684"/>
      <c r="MS207" s="684"/>
      <c r="MT207" s="684"/>
      <c r="MU207" s="684"/>
      <c r="MV207" s="684"/>
      <c r="MW207" s="684"/>
      <c r="MX207" s="684"/>
      <c r="MY207" s="684"/>
      <c r="MZ207" s="684"/>
      <c r="NA207" s="684"/>
      <c r="NB207" s="684"/>
      <c r="NC207" s="684"/>
      <c r="ND207" s="684"/>
      <c r="NE207" s="684"/>
      <c r="NF207" s="684"/>
      <c r="NG207" s="684"/>
      <c r="NH207" s="684"/>
      <c r="NI207" s="684"/>
      <c r="NJ207" s="684"/>
      <c r="NK207" s="684"/>
    </row>
    <row r="208" spans="76:375" ht="20.149999999999999" customHeight="1" thickBot="1">
      <c r="BX208" s="1107">
        <f>' Table Z Net Exp Profiles'!A208</f>
        <v>156</v>
      </c>
      <c r="BY208" s="1270" t="str">
        <f>' Table Z Net Exp Profiles'!B208</f>
        <v>Total Net Expenditure - Movement</v>
      </c>
      <c r="BZ208" s="1110" t="e">
        <f>' Table Z Net Exp Profiles'!C208</f>
        <v>#REF!</v>
      </c>
      <c r="CA208" s="1110" t="e">
        <f>' Table Z Net Exp Profiles'!D208</f>
        <v>#REF!</v>
      </c>
      <c r="CB208" s="1110" t="e">
        <f>' Table Z Net Exp Profiles'!E208</f>
        <v>#REF!</v>
      </c>
      <c r="CC208" s="1110" t="e">
        <f>' Table Z Net Exp Profiles'!F208</f>
        <v>#REF!</v>
      </c>
      <c r="CD208" s="1110" t="e">
        <f>' Table Z Net Exp Profiles'!G208</f>
        <v>#REF!</v>
      </c>
      <c r="CE208" s="1110" t="e">
        <f>' Table Z Net Exp Profiles'!H208</f>
        <v>#REF!</v>
      </c>
      <c r="CF208" s="1110" t="e">
        <f>' Table Z Net Exp Profiles'!I208</f>
        <v>#REF!</v>
      </c>
      <c r="CG208" s="1110" t="e">
        <f>' Table Z Net Exp Profiles'!J208</f>
        <v>#REF!</v>
      </c>
      <c r="CH208" s="1110" t="e">
        <f>' Table Z Net Exp Profiles'!K208</f>
        <v>#REF!</v>
      </c>
      <c r="CI208" s="1110" t="e">
        <f>' Table Z Net Exp Profiles'!L208</f>
        <v>#REF!</v>
      </c>
      <c r="CJ208" s="1110" t="e">
        <f>' Table Z Net Exp Profiles'!M208</f>
        <v>#REF!</v>
      </c>
      <c r="CK208" s="1110" t="e">
        <f>' Table Z Net Exp Profiles'!N208</f>
        <v>#REF!</v>
      </c>
      <c r="CL208" s="1110" t="e">
        <f>' Table Z Net Exp Profiles'!O208</f>
        <v>#REF!</v>
      </c>
      <c r="CM208" s="1101" t="e">
        <f>' Table Z Net Exp Profiles'!P208</f>
        <v>#REF!</v>
      </c>
      <c r="DF208" s="1914"/>
      <c r="DG208" s="2787"/>
      <c r="DH208" s="2786"/>
      <c r="DI208" s="2786"/>
      <c r="DJ208" s="2786"/>
      <c r="DK208" s="2786"/>
      <c r="DL208" s="2786"/>
      <c r="DM208" s="2786"/>
      <c r="DN208" s="2786"/>
      <c r="DO208" s="2786"/>
      <c r="DP208" s="2786"/>
      <c r="DQ208" s="2786"/>
      <c r="DR208" s="2786"/>
      <c r="DS208" s="2786"/>
      <c r="DT208" s="1917"/>
      <c r="DU208" s="1917"/>
      <c r="DV208" s="2594"/>
      <c r="DW208" s="2594"/>
      <c r="LX208" s="538" t="str">
        <f>'N - GMS'!A208</f>
        <v>Dispensing Doctors</v>
      </c>
      <c r="LY208" s="549"/>
      <c r="LZ208" s="461">
        <f>'N - GMS'!C208</f>
        <v>149</v>
      </c>
      <c r="MA208" s="242">
        <f>'N - GMS'!D208</f>
        <v>0</v>
      </c>
      <c r="MB208" s="219">
        <f>'N - GMS'!E208</f>
        <v>0</v>
      </c>
      <c r="MC208" s="219">
        <f>'N - GMS'!F208</f>
        <v>0</v>
      </c>
      <c r="MD208" s="219">
        <f>'N - GMS'!G208</f>
        <v>0</v>
      </c>
      <c r="ME208" s="1183"/>
      <c r="MF208" s="1857">
        <f>'N - GMS'!I208</f>
        <v>0</v>
      </c>
      <c r="MR208" s="684"/>
      <c r="MS208" s="684"/>
      <c r="MT208" s="684"/>
      <c r="MU208" s="684"/>
      <c r="MV208" s="684"/>
      <c r="MW208" s="684"/>
      <c r="MX208" s="684"/>
      <c r="MY208" s="684"/>
      <c r="MZ208" s="684"/>
      <c r="NA208" s="684"/>
      <c r="NB208" s="684"/>
      <c r="NC208" s="684"/>
      <c r="ND208" s="684"/>
      <c r="NE208" s="684"/>
      <c r="NF208" s="684"/>
      <c r="NG208" s="684"/>
      <c r="NH208" s="684"/>
      <c r="NI208" s="684"/>
      <c r="NJ208" s="684"/>
      <c r="NK208" s="684"/>
    </row>
    <row r="209" spans="76:375" ht="20.149999999999999" customHeight="1" thickBot="1">
      <c r="BX209" s="1107">
        <f>' Table Z Net Exp Profiles'!A209</f>
        <v>157</v>
      </c>
      <c r="BY209" s="1270" t="str">
        <f>' Table Z Net Exp Profiles'!B209</f>
        <v>Net Commissioned Services Expenditure - Movement due to Covid-19</v>
      </c>
      <c r="BZ209" s="1110" t="e">
        <f>' Table Z Net Exp Profiles'!C209</f>
        <v>#REF!</v>
      </c>
      <c r="CA209" s="1110" t="e">
        <f>' Table Z Net Exp Profiles'!D209</f>
        <v>#REF!</v>
      </c>
      <c r="CB209" s="1110" t="e">
        <f>' Table Z Net Exp Profiles'!E209</f>
        <v>#REF!</v>
      </c>
      <c r="CC209" s="1110" t="e">
        <f>' Table Z Net Exp Profiles'!F209</f>
        <v>#REF!</v>
      </c>
      <c r="CD209" s="1110" t="e">
        <f>' Table Z Net Exp Profiles'!G209</f>
        <v>#REF!</v>
      </c>
      <c r="CE209" s="1110" t="e">
        <f>' Table Z Net Exp Profiles'!H209</f>
        <v>#REF!</v>
      </c>
      <c r="CF209" s="1110" t="e">
        <f>' Table Z Net Exp Profiles'!I209</f>
        <v>#REF!</v>
      </c>
      <c r="CG209" s="1110" t="e">
        <f>' Table Z Net Exp Profiles'!J209</f>
        <v>#REF!</v>
      </c>
      <c r="CH209" s="1110" t="e">
        <f>' Table Z Net Exp Profiles'!K209</f>
        <v>#REF!</v>
      </c>
      <c r="CI209" s="1110" t="e">
        <f>' Table Z Net Exp Profiles'!L209</f>
        <v>#REF!</v>
      </c>
      <c r="CJ209" s="1110" t="e">
        <f>' Table Z Net Exp Profiles'!M209</f>
        <v>#REF!</v>
      </c>
      <c r="CK209" s="1110" t="e">
        <f>' Table Z Net Exp Profiles'!N209</f>
        <v>#REF!</v>
      </c>
      <c r="CL209" s="1110" t="e">
        <f>' Table Z Net Exp Profiles'!O209</f>
        <v>#REF!</v>
      </c>
      <c r="CM209" s="1101" t="e">
        <f>' Table Z Net Exp Profiles'!P209</f>
        <v>#REF!</v>
      </c>
      <c r="DF209" s="1914"/>
      <c r="DG209" s="2787"/>
      <c r="DH209" s="2786"/>
      <c r="DI209" s="2786"/>
      <c r="DJ209" s="2786"/>
      <c r="DK209" s="2786"/>
      <c r="DL209" s="2786"/>
      <c r="DM209" s="2786"/>
      <c r="DN209" s="2786"/>
      <c r="DO209" s="2786"/>
      <c r="DP209" s="2786"/>
      <c r="DQ209" s="2786"/>
      <c r="DR209" s="2786"/>
      <c r="DS209" s="2786"/>
      <c r="DT209" s="1917"/>
      <c r="DU209" s="1917"/>
      <c r="DV209" s="2594"/>
      <c r="DW209" s="2594"/>
      <c r="LX209" s="3176" t="str">
        <f>'N - GMS'!A209</f>
        <v>Prescribing  Medical  Practitioners - Personal Administration</v>
      </c>
      <c r="LY209" s="3177"/>
      <c r="LZ209" s="461">
        <f>'N - GMS'!C209</f>
        <v>150</v>
      </c>
      <c r="MA209" s="67">
        <f>'N - GMS'!D209</f>
        <v>0</v>
      </c>
      <c r="MB209" s="67">
        <f>'N - GMS'!E209</f>
        <v>0</v>
      </c>
      <c r="MC209" s="2230">
        <f>'N - GMS'!F209</f>
        <v>0</v>
      </c>
      <c r="MD209" s="2230">
        <f>'N - GMS'!G209</f>
        <v>0</v>
      </c>
      <c r="ME209" s="1170"/>
      <c r="MF209" s="1028">
        <f>'N - GMS'!I209</f>
        <v>0</v>
      </c>
      <c r="MR209" s="684"/>
      <c r="MS209" s="684"/>
      <c r="MT209" s="684"/>
      <c r="MU209" s="684"/>
      <c r="MV209" s="684"/>
      <c r="MW209" s="684"/>
      <c r="MX209" s="684"/>
      <c r="MY209" s="684"/>
      <c r="MZ209" s="684"/>
      <c r="NA209" s="684"/>
      <c r="NB209" s="684"/>
      <c r="NC209" s="684"/>
      <c r="ND209" s="684"/>
      <c r="NE209" s="684"/>
      <c r="NF209" s="684"/>
      <c r="NG209" s="684"/>
      <c r="NH209" s="684"/>
      <c r="NI209" s="684"/>
      <c r="NJ209" s="684"/>
      <c r="NK209" s="684"/>
    </row>
    <row r="210" spans="76:375" ht="20.149999999999999" customHeight="1" thickBot="1">
      <c r="BX210" s="1107">
        <f>' Table Z Net Exp Profiles'!A210</f>
        <v>158</v>
      </c>
      <c r="BY210" s="1270" t="str">
        <f>' Table Z Net Exp Profiles'!B210</f>
        <v>Net Commissioned Services Expenditure - Movement Other</v>
      </c>
      <c r="BZ210" s="1110" t="e">
        <f>' Table Z Net Exp Profiles'!C210</f>
        <v>#REF!</v>
      </c>
      <c r="CA210" s="1110" t="e">
        <f>' Table Z Net Exp Profiles'!D210</f>
        <v>#REF!</v>
      </c>
      <c r="CB210" s="1110" t="e">
        <f>' Table Z Net Exp Profiles'!E210</f>
        <v>#REF!</v>
      </c>
      <c r="CC210" s="1110" t="e">
        <f>' Table Z Net Exp Profiles'!F210</f>
        <v>#REF!</v>
      </c>
      <c r="CD210" s="1110" t="e">
        <f>' Table Z Net Exp Profiles'!G210</f>
        <v>#REF!</v>
      </c>
      <c r="CE210" s="1110" t="e">
        <f>' Table Z Net Exp Profiles'!H210</f>
        <v>#REF!</v>
      </c>
      <c r="CF210" s="1110" t="e">
        <f>' Table Z Net Exp Profiles'!I210</f>
        <v>#REF!</v>
      </c>
      <c r="CG210" s="1110" t="e">
        <f>' Table Z Net Exp Profiles'!J210</f>
        <v>#REF!</v>
      </c>
      <c r="CH210" s="1110" t="e">
        <f>' Table Z Net Exp Profiles'!K210</f>
        <v>#REF!</v>
      </c>
      <c r="CI210" s="1110" t="e">
        <f>' Table Z Net Exp Profiles'!L210</f>
        <v>#REF!</v>
      </c>
      <c r="CJ210" s="1110" t="e">
        <f>' Table Z Net Exp Profiles'!M210</f>
        <v>#REF!</v>
      </c>
      <c r="CK210" s="1110" t="e">
        <f>' Table Z Net Exp Profiles'!N210</f>
        <v>#REF!</v>
      </c>
      <c r="CL210" s="1110" t="e">
        <f>' Table Z Net Exp Profiles'!O210</f>
        <v>#REF!</v>
      </c>
      <c r="CM210" s="1101" t="e">
        <f>' Table Z Net Exp Profiles'!P210</f>
        <v>#REF!</v>
      </c>
      <c r="DF210" s="1914"/>
      <c r="DG210" s="2789"/>
      <c r="DH210" s="2786"/>
      <c r="DI210" s="2786"/>
      <c r="DJ210" s="2786"/>
      <c r="DK210" s="2786"/>
      <c r="DL210" s="2786"/>
      <c r="DM210" s="2786"/>
      <c r="DN210" s="2786"/>
      <c r="DO210" s="2786"/>
      <c r="DP210" s="2786"/>
      <c r="DQ210" s="2786"/>
      <c r="DR210" s="2786"/>
      <c r="DS210" s="2786"/>
      <c r="DT210" s="1917"/>
      <c r="DU210" s="1917"/>
      <c r="DV210" s="2594"/>
      <c r="DW210" s="2594"/>
      <c r="LX210" s="1882" t="str">
        <f>'N - GMS'!A210</f>
        <v>Dispensing Service Quality Payment</v>
      </c>
      <c r="LY210" s="1883"/>
      <c r="LZ210" s="461">
        <f>'N - GMS'!C210</f>
        <v>151</v>
      </c>
      <c r="MA210" s="67">
        <f>'N - GMS'!D210</f>
        <v>0</v>
      </c>
      <c r="MB210" s="67">
        <f>'N - GMS'!E210</f>
        <v>0</v>
      </c>
      <c r="MC210" s="2230">
        <f>'N - GMS'!F210</f>
        <v>0</v>
      </c>
      <c r="MD210" s="2230">
        <f>'N - GMS'!G210</f>
        <v>0</v>
      </c>
      <c r="ME210" s="1170"/>
      <c r="MF210" s="1028">
        <f>'N - GMS'!I210</f>
        <v>0</v>
      </c>
      <c r="MR210" s="684"/>
      <c r="MS210" s="684"/>
      <c r="MT210" s="684"/>
      <c r="MU210" s="684"/>
      <c r="MV210" s="684"/>
      <c r="MW210" s="684"/>
      <c r="MX210" s="684"/>
      <c r="MY210" s="684"/>
      <c r="MZ210" s="684"/>
      <c r="NA210" s="684"/>
      <c r="NB210" s="684"/>
      <c r="NC210" s="684"/>
      <c r="ND210" s="684"/>
      <c r="NE210" s="684"/>
      <c r="NF210" s="684"/>
      <c r="NG210" s="684"/>
      <c r="NH210" s="684"/>
      <c r="NI210" s="684"/>
      <c r="NJ210" s="684"/>
      <c r="NK210" s="684"/>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4"/>
      <c r="DG211" s="2789"/>
      <c r="DH211" s="2786"/>
      <c r="DI211" s="2786"/>
      <c r="DJ211" s="2786"/>
      <c r="DK211" s="2786"/>
      <c r="DL211" s="2786"/>
      <c r="DM211" s="2786"/>
      <c r="DN211" s="2786"/>
      <c r="DO211" s="2786"/>
      <c r="DP211" s="2786"/>
      <c r="DQ211" s="2786"/>
      <c r="DR211" s="2786"/>
      <c r="DS211" s="2786"/>
      <c r="DT211" s="1917"/>
      <c r="DU211" s="1917"/>
      <c r="DV211" s="2594"/>
      <c r="DW211" s="2594"/>
      <c r="LX211" s="538" t="str">
        <f>'N - GMS'!A211</f>
        <v xml:space="preserve">Professional Fees and on-cost </v>
      </c>
      <c r="LY211" s="549"/>
      <c r="LZ211" s="551"/>
      <c r="MA211" s="552"/>
      <c r="MB211" s="552"/>
      <c r="MC211" s="552"/>
      <c r="MD211" s="552"/>
      <c r="ME211" s="235"/>
      <c r="MF211" s="552"/>
      <c r="MR211" s="684"/>
      <c r="MS211" s="684"/>
      <c r="MT211" s="684"/>
      <c r="MU211" s="684"/>
      <c r="MV211" s="684"/>
      <c r="MW211" s="684"/>
      <c r="MX211" s="684"/>
      <c r="MY211" s="684"/>
      <c r="MZ211" s="684"/>
      <c r="NA211" s="684"/>
      <c r="NB211" s="684"/>
      <c r="NC211" s="684"/>
      <c r="ND211" s="684"/>
      <c r="NE211" s="684"/>
      <c r="NF211" s="684"/>
      <c r="NG211" s="684"/>
      <c r="NH211" s="684"/>
      <c r="NI211" s="684"/>
      <c r="NJ211" s="684"/>
      <c r="NK211" s="684"/>
    </row>
    <row r="212" spans="76:375" ht="20.149999999999999" customHeight="1" thickBot="1">
      <c r="BX212" s="144">
        <f>' Table Z Net Exp Profiles'!A212</f>
        <v>159</v>
      </c>
      <c r="BY212" s="1270" t="str">
        <f>' Table Z Net Exp Profiles'!B212</f>
        <v>Total Non Cash Expenditure (DEL &amp; AME)</v>
      </c>
      <c r="BZ212" s="1110">
        <f>' Table Z Net Exp Profiles'!C212</f>
        <v>283.82100000000003</v>
      </c>
      <c r="CA212" s="1110">
        <f>' Table Z Net Exp Profiles'!D212</f>
        <v>283.82100000000003</v>
      </c>
      <c r="CB212" s="1110">
        <f>' Table Z Net Exp Profiles'!E212</f>
        <v>283.82100000000003</v>
      </c>
      <c r="CC212" s="1110">
        <f>' Table Z Net Exp Profiles'!F212</f>
        <v>283.82100000000003</v>
      </c>
      <c r="CD212" s="1110">
        <f>' Table Z Net Exp Profiles'!G212</f>
        <v>283.82100000000003</v>
      </c>
      <c r="CE212" s="1110">
        <f>' Table Z Net Exp Profiles'!H212</f>
        <v>283.82100000000003</v>
      </c>
      <c r="CF212" s="1110">
        <f>' Table Z Net Exp Profiles'!I212</f>
        <v>283.82100000000003</v>
      </c>
      <c r="CG212" s="1110">
        <f>' Table Z Net Exp Profiles'!J212</f>
        <v>283.82100000000003</v>
      </c>
      <c r="CH212" s="1110">
        <f>' Table Z Net Exp Profiles'!K212</f>
        <v>283.82100000000003</v>
      </c>
      <c r="CI212" s="1110">
        <f>' Table Z Net Exp Profiles'!L212</f>
        <v>283.82100000000003</v>
      </c>
      <c r="CJ212" s="1110">
        <f>' Table Z Net Exp Profiles'!M212</f>
        <v>283.82100000000003</v>
      </c>
      <c r="CK212" s="1110">
        <f>' Table Z Net Exp Profiles'!N212</f>
        <v>283.82100000000003</v>
      </c>
      <c r="CL212" s="1110">
        <f>' Table Z Net Exp Profiles'!O212</f>
        <v>283.82100000000003</v>
      </c>
      <c r="CM212" s="1101">
        <f>' Table Z Net Exp Profiles'!P212</f>
        <v>3405.8519999999994</v>
      </c>
      <c r="DF212" s="1914"/>
      <c r="DG212" s="2789"/>
      <c r="DH212" s="2786"/>
      <c r="DI212" s="2786"/>
      <c r="DJ212" s="2786"/>
      <c r="DK212" s="2786"/>
      <c r="DL212" s="2786"/>
      <c r="DM212" s="2786"/>
      <c r="DN212" s="2786"/>
      <c r="DO212" s="2786"/>
      <c r="DP212" s="2786"/>
      <c r="DQ212" s="2786"/>
      <c r="DR212" s="2786"/>
      <c r="DS212" s="2786"/>
      <c r="DT212" s="1917"/>
      <c r="DU212" s="1917"/>
      <c r="DV212" s="2594"/>
      <c r="DW212" s="2594"/>
      <c r="LX212" s="538" t="str">
        <f>'N - GMS'!A212</f>
        <v>Dispensing Doctors</v>
      </c>
      <c r="LY212" s="553"/>
      <c r="LZ212" s="544">
        <f>'N - GMS'!C212</f>
        <v>152</v>
      </c>
      <c r="MA212" s="242">
        <f>'N - GMS'!D212</f>
        <v>0</v>
      </c>
      <c r="MB212" s="219">
        <f>'N - GMS'!E212</f>
        <v>0</v>
      </c>
      <c r="MC212" s="219">
        <f>'N - GMS'!F212</f>
        <v>0</v>
      </c>
      <c r="MD212" s="219">
        <f>'N - GMS'!G212</f>
        <v>0</v>
      </c>
      <c r="ME212" s="1170"/>
      <c r="MF212" s="1857">
        <f>'N - GMS'!I212</f>
        <v>0</v>
      </c>
      <c r="MR212" s="684"/>
      <c r="MS212" s="684"/>
      <c r="MT212" s="684"/>
      <c r="MU212" s="684"/>
      <c r="MV212" s="684"/>
      <c r="MW212" s="684"/>
      <c r="MX212" s="684"/>
      <c r="MY212" s="684"/>
      <c r="MZ212" s="684"/>
      <c r="NA212" s="684"/>
      <c r="NB212" s="684"/>
      <c r="NC212" s="684"/>
      <c r="ND212" s="684"/>
      <c r="NE212" s="684"/>
      <c r="NF212" s="684"/>
      <c r="NG212" s="684"/>
      <c r="NH212" s="684"/>
      <c r="NI212" s="684"/>
      <c r="NJ212" s="684"/>
      <c r="NK212" s="684"/>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4"/>
      <c r="DG213" s="1116"/>
      <c r="DH213" s="1918"/>
      <c r="DI213" s="1918"/>
      <c r="DJ213" s="1918"/>
      <c r="DK213" s="1918"/>
      <c r="DL213" s="1918"/>
      <c r="DM213" s="1918"/>
      <c r="DN213" s="1918"/>
      <c r="DO213" s="1918"/>
      <c r="DP213" s="1918"/>
      <c r="DQ213" s="1918"/>
      <c r="DR213" s="1918"/>
      <c r="DS213" s="1918"/>
      <c r="DT213" s="1918"/>
      <c r="DU213" s="1918"/>
      <c r="DV213" s="2594"/>
      <c r="DW213" s="2594"/>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70"/>
      <c r="MF213" s="1028">
        <f>'N - GMS'!I213</f>
        <v>0</v>
      </c>
      <c r="MR213" s="684"/>
      <c r="MS213" s="684"/>
      <c r="MT213" s="684"/>
      <c r="MU213" s="684"/>
      <c r="MV213" s="684"/>
      <c r="MW213" s="684"/>
      <c r="MX213" s="684"/>
      <c r="MY213" s="684"/>
      <c r="MZ213" s="684"/>
      <c r="NA213" s="684"/>
      <c r="NB213" s="684"/>
      <c r="NC213" s="684"/>
      <c r="ND213" s="684"/>
      <c r="NE213" s="684"/>
      <c r="NF213" s="684"/>
      <c r="NG213" s="684"/>
      <c r="NH213" s="684"/>
      <c r="NI213" s="684"/>
      <c r="NJ213" s="684"/>
      <c r="NK213" s="684"/>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4"/>
      <c r="DG214" s="2787"/>
      <c r="DH214" s="2786"/>
      <c r="DI214" s="2786"/>
      <c r="DJ214" s="2786"/>
      <c r="DK214" s="2786"/>
      <c r="DL214" s="2786"/>
      <c r="DM214" s="2786"/>
      <c r="DN214" s="2786"/>
      <c r="DO214" s="2786"/>
      <c r="DP214" s="2786"/>
      <c r="DQ214" s="2786"/>
      <c r="DR214" s="2786"/>
      <c r="DS214" s="2786"/>
      <c r="DT214" s="1917"/>
      <c r="DU214" s="1917"/>
      <c r="DV214" s="2594"/>
      <c r="DW214" s="2594"/>
      <c r="LX214" s="2467"/>
      <c r="LY214" s="2467"/>
      <c r="LZ214" s="554"/>
      <c r="MA214" s="556"/>
      <c r="MB214" s="556"/>
      <c r="MC214" s="556"/>
      <c r="MD214" s="556"/>
      <c r="ME214" s="1170"/>
      <c r="MF214" s="213"/>
      <c r="MR214" s="684"/>
      <c r="MS214" s="684"/>
      <c r="MT214" s="684"/>
      <c r="MU214" s="684"/>
      <c r="MV214" s="684"/>
      <c r="MW214" s="684"/>
      <c r="MX214" s="684"/>
      <c r="MY214" s="684"/>
      <c r="MZ214" s="684"/>
      <c r="NA214" s="684"/>
      <c r="NB214" s="684"/>
      <c r="NC214" s="684"/>
      <c r="ND214" s="684"/>
      <c r="NE214" s="684"/>
      <c r="NF214" s="684"/>
      <c r="NG214" s="684"/>
      <c r="NH214" s="684"/>
      <c r="NI214" s="684"/>
      <c r="NJ214" s="684"/>
      <c r="NK214" s="684"/>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4"/>
      <c r="DG215" s="2787"/>
      <c r="DH215" s="2786"/>
      <c r="DI215" s="2786"/>
      <c r="DJ215" s="2786"/>
      <c r="DK215" s="2786"/>
      <c r="DL215" s="2786"/>
      <c r="DM215" s="2786"/>
      <c r="DN215" s="2786"/>
      <c r="DO215" s="2786"/>
      <c r="DP215" s="2786"/>
      <c r="DQ215" s="2786"/>
      <c r="DR215" s="2786"/>
      <c r="DS215" s="2786"/>
      <c r="DT215" s="1917"/>
      <c r="DU215" s="1917"/>
      <c r="DV215" s="2594"/>
      <c r="DW215" s="2594"/>
      <c r="LX215" s="230" t="str">
        <f>'N - GMS'!A215</f>
        <v>TOTAL DISPENSING DATA (must equal line 16)</v>
      </c>
      <c r="LY215" s="455"/>
      <c r="LZ215" s="456">
        <f>'N - GMS'!C215</f>
        <v>154</v>
      </c>
      <c r="MA215" s="1793">
        <f>'N - GMS'!D215</f>
        <v>0</v>
      </c>
      <c r="MB215" s="1793">
        <f>'N - GMS'!E215</f>
        <v>0</v>
      </c>
      <c r="MC215" s="1793">
        <f>'N - GMS'!F215</f>
        <v>0</v>
      </c>
      <c r="MD215" s="457">
        <f>'N - GMS'!G215</f>
        <v>0</v>
      </c>
      <c r="ME215" s="1170"/>
      <c r="MF215" s="458">
        <f>'N - GMS'!I215</f>
        <v>0</v>
      </c>
      <c r="MR215" s="684"/>
      <c r="MS215" s="684"/>
      <c r="MT215" s="684"/>
      <c r="MU215" s="684"/>
      <c r="MV215" s="684"/>
      <c r="MW215" s="684"/>
      <c r="MX215" s="684"/>
      <c r="MY215" s="684"/>
      <c r="MZ215" s="684"/>
      <c r="NA215" s="684"/>
      <c r="NB215" s="684"/>
      <c r="NC215" s="684"/>
      <c r="ND215" s="684"/>
      <c r="NE215" s="684"/>
      <c r="NF215" s="684"/>
      <c r="NG215" s="684"/>
      <c r="NH215" s="684"/>
      <c r="NI215" s="684"/>
      <c r="NJ215" s="684"/>
      <c r="NK215" s="684"/>
    </row>
    <row r="216" spans="76:375" ht="20.149999999999999" customHeight="1" thickTop="1" thickBot="1">
      <c r="BX216" s="84"/>
      <c r="BY216" s="1209"/>
      <c r="BZ216" s="1221">
        <f>' Table Z Net Exp Profiles'!C216</f>
        <v>1</v>
      </c>
      <c r="CA216" s="1222">
        <f>' Table Z Net Exp Profiles'!D216</f>
        <v>2</v>
      </c>
      <c r="CB216" s="1222">
        <f>' Table Z Net Exp Profiles'!E216</f>
        <v>3</v>
      </c>
      <c r="CC216" s="1222">
        <f>' Table Z Net Exp Profiles'!F216</f>
        <v>4</v>
      </c>
      <c r="CD216" s="1222">
        <f>' Table Z Net Exp Profiles'!G216</f>
        <v>5</v>
      </c>
      <c r="CE216" s="1222">
        <f>' Table Z Net Exp Profiles'!H216</f>
        <v>6</v>
      </c>
      <c r="CF216" s="1222">
        <f>' Table Z Net Exp Profiles'!I216</f>
        <v>7</v>
      </c>
      <c r="CG216" s="1222">
        <f>' Table Z Net Exp Profiles'!J216</f>
        <v>8</v>
      </c>
      <c r="CH216" s="1222">
        <f>' Table Z Net Exp Profiles'!K216</f>
        <v>9</v>
      </c>
      <c r="CI216" s="1222">
        <f>' Table Z Net Exp Profiles'!L216</f>
        <v>10</v>
      </c>
      <c r="CJ216" s="1222">
        <f>' Table Z Net Exp Profiles'!M216</f>
        <v>11</v>
      </c>
      <c r="CK216" s="1223">
        <f>' Table Z Net Exp Profiles'!N216</f>
        <v>12</v>
      </c>
      <c r="CL216" s="1210"/>
      <c r="CM216" s="1211"/>
      <c r="DF216" s="1914"/>
      <c r="DG216" s="2787"/>
      <c r="DH216" s="2786"/>
      <c r="DI216" s="2786"/>
      <c r="DJ216" s="2786"/>
      <c r="DK216" s="2786"/>
      <c r="DL216" s="2786"/>
      <c r="DM216" s="2786"/>
      <c r="DN216" s="2786"/>
      <c r="DO216" s="2786"/>
      <c r="DP216" s="2786"/>
      <c r="DQ216" s="2786"/>
      <c r="DR216" s="2786"/>
      <c r="DS216" s="2786"/>
      <c r="DT216" s="1917"/>
      <c r="DU216" s="1917"/>
      <c r="DV216" s="2594"/>
      <c r="DW216" s="2594"/>
      <c r="LX216" s="557" t="str">
        <f>'N - GMS'!A216</f>
        <v/>
      </c>
      <c r="LY216" s="558"/>
      <c r="LZ216" s="544"/>
      <c r="MA216" s="213"/>
      <c r="MB216" s="213"/>
      <c r="MC216" s="559"/>
      <c r="MD216" s="229"/>
      <c r="ME216" s="213"/>
      <c r="MF216" s="213"/>
      <c r="MR216" s="684"/>
      <c r="MS216" s="684"/>
      <c r="MT216" s="684"/>
      <c r="MU216" s="684"/>
      <c r="MV216" s="684"/>
      <c r="MW216" s="684"/>
      <c r="MX216" s="684"/>
      <c r="MY216" s="684"/>
      <c r="MZ216" s="684"/>
      <c r="NA216" s="684"/>
      <c r="NB216" s="684"/>
      <c r="NC216" s="684"/>
      <c r="ND216" s="684"/>
      <c r="NE216" s="684"/>
      <c r="NF216" s="684"/>
      <c r="NG216" s="684"/>
      <c r="NH216" s="684"/>
      <c r="NI216" s="684"/>
      <c r="NJ216" s="684"/>
      <c r="NK216" s="684"/>
    </row>
    <row r="217" spans="76:375" ht="20.149999999999999" customHeight="1">
      <c r="BX217" s="84"/>
      <c r="BY217" s="1212" t="str">
        <f>' Table Z Net Exp Profiles'!B217</f>
        <v>Total Income Profiles</v>
      </c>
      <c r="BZ217" s="1224" t="str">
        <f>' Table Z Net Exp Profiles'!C217</f>
        <v>Apr</v>
      </c>
      <c r="CA217" s="1225" t="str">
        <f>' Table Z Net Exp Profiles'!D217</f>
        <v>May</v>
      </c>
      <c r="CB217" s="1225" t="str">
        <f>' Table Z Net Exp Profiles'!E217</f>
        <v>Jun</v>
      </c>
      <c r="CC217" s="1225" t="str">
        <f>' Table Z Net Exp Profiles'!F217</f>
        <v>Jul</v>
      </c>
      <c r="CD217" s="1225" t="str">
        <f>' Table Z Net Exp Profiles'!G217</f>
        <v>Aug</v>
      </c>
      <c r="CE217" s="1225" t="str">
        <f>' Table Z Net Exp Profiles'!H217</f>
        <v>Sep</v>
      </c>
      <c r="CF217" s="1225" t="str">
        <f>' Table Z Net Exp Profiles'!I217</f>
        <v>Oct</v>
      </c>
      <c r="CG217" s="1225" t="str">
        <f>' Table Z Net Exp Profiles'!J217</f>
        <v>Nov</v>
      </c>
      <c r="CH217" s="1225" t="str">
        <f>' Table Z Net Exp Profiles'!K217</f>
        <v>Dec</v>
      </c>
      <c r="CI217" s="1225" t="str">
        <f>' Table Z Net Exp Profiles'!L217</f>
        <v>Jan</v>
      </c>
      <c r="CJ217" s="1225" t="str">
        <f>' Table Z Net Exp Profiles'!M217</f>
        <v>Feb</v>
      </c>
      <c r="CK217" s="1226" t="str">
        <f>' Table Z Net Exp Profiles'!N217</f>
        <v>Mar</v>
      </c>
      <c r="CL217" s="1227" t="str">
        <f>' Table Z Net Exp Profiles'!O217</f>
        <v>Total YTD</v>
      </c>
      <c r="CM217" s="1227" t="str">
        <f>' Table Z Net Exp Profiles'!P217</f>
        <v>Forecast year-end position</v>
      </c>
      <c r="DF217" s="1914"/>
      <c r="DG217" s="2787"/>
      <c r="DH217" s="2786"/>
      <c r="DI217" s="2786"/>
      <c r="DJ217" s="2786"/>
      <c r="DK217" s="2786"/>
      <c r="DL217" s="2786"/>
      <c r="DM217" s="2786"/>
      <c r="DN217" s="2786"/>
      <c r="DO217" s="2786"/>
      <c r="DP217" s="2786"/>
      <c r="DQ217" s="2786"/>
      <c r="DR217" s="2786"/>
      <c r="DS217" s="2786"/>
      <c r="DT217" s="1917"/>
      <c r="DU217" s="1917"/>
      <c r="DV217" s="2594"/>
      <c r="DW217" s="2594"/>
      <c r="LX217" s="1007">
        <f>'N - GMS'!A217</f>
        <v>0</v>
      </c>
      <c r="LY217" s="1008"/>
      <c r="LZ217" s="1009"/>
      <c r="MA217" s="560">
        <f>'N - GMS'!D217</f>
        <v>0</v>
      </c>
      <c r="MB217" s="561">
        <f>'N - GMS'!E217</f>
        <v>0</v>
      </c>
      <c r="MC217" s="559"/>
      <c r="MD217" s="229"/>
      <c r="ME217" s="213"/>
      <c r="MF217" s="213"/>
      <c r="MR217" s="684"/>
      <c r="MS217" s="684"/>
      <c r="MT217" s="684"/>
      <c r="MU217" s="684"/>
      <c r="MV217" s="684"/>
      <c r="MW217" s="684"/>
      <c r="MX217" s="684"/>
      <c r="MY217" s="684"/>
      <c r="MZ217" s="684"/>
      <c r="NA217" s="684"/>
      <c r="NB217" s="684"/>
      <c r="NC217" s="684"/>
      <c r="ND217" s="684"/>
      <c r="NE217" s="684"/>
      <c r="NF217" s="684"/>
      <c r="NG217" s="684"/>
      <c r="NH217" s="684"/>
      <c r="NI217" s="684"/>
      <c r="NJ217" s="684"/>
      <c r="NK217" s="684"/>
    </row>
    <row r="218" spans="76:375" ht="20.149999999999999" customHeight="1" thickBot="1">
      <c r="BX218" s="84"/>
      <c r="BY218" s="1213"/>
      <c r="BZ218" s="1228" t="str">
        <f>' Table Z Net Exp Profiles'!C218</f>
        <v>£'000</v>
      </c>
      <c r="CA218" s="1229" t="str">
        <f>' Table Z Net Exp Profiles'!D218</f>
        <v>£'000</v>
      </c>
      <c r="CB218" s="1229" t="str">
        <f>' Table Z Net Exp Profiles'!E218</f>
        <v>£'000</v>
      </c>
      <c r="CC218" s="1229" t="str">
        <f>' Table Z Net Exp Profiles'!F218</f>
        <v>£'000</v>
      </c>
      <c r="CD218" s="1229" t="str">
        <f>' Table Z Net Exp Profiles'!G218</f>
        <v>£'000</v>
      </c>
      <c r="CE218" s="1229" t="str">
        <f>' Table Z Net Exp Profiles'!H218</f>
        <v>£'000</v>
      </c>
      <c r="CF218" s="1229" t="str">
        <f>' Table Z Net Exp Profiles'!I218</f>
        <v>£'000</v>
      </c>
      <c r="CG218" s="1229" t="str">
        <f>' Table Z Net Exp Profiles'!J218</f>
        <v>£'000</v>
      </c>
      <c r="CH218" s="1229" t="str">
        <f>' Table Z Net Exp Profiles'!K218</f>
        <v>£'000</v>
      </c>
      <c r="CI218" s="1229" t="str">
        <f>' Table Z Net Exp Profiles'!L218</f>
        <v>£'000</v>
      </c>
      <c r="CJ218" s="1229" t="str">
        <f>' Table Z Net Exp Profiles'!M218</f>
        <v>£'000</v>
      </c>
      <c r="CK218" s="1230" t="str">
        <f>' Table Z Net Exp Profiles'!N218</f>
        <v>£'000</v>
      </c>
      <c r="CL218" s="1231" t="str">
        <f>' Table Z Net Exp Profiles'!O218</f>
        <v>£'000</v>
      </c>
      <c r="CM218" s="1231" t="str">
        <f>' Table Z Net Exp Profiles'!P218</f>
        <v>£'000</v>
      </c>
      <c r="DF218" s="1914"/>
      <c r="DG218" s="2787"/>
      <c r="DH218" s="2786"/>
      <c r="DI218" s="2786"/>
      <c r="DJ218" s="2786"/>
      <c r="DK218" s="2786"/>
      <c r="DL218" s="2786"/>
      <c r="DM218" s="2786"/>
      <c r="DN218" s="2786"/>
      <c r="DO218" s="2786"/>
      <c r="DP218" s="2786"/>
      <c r="DQ218" s="2786"/>
      <c r="DR218" s="2786"/>
      <c r="DS218" s="2786"/>
      <c r="DT218" s="1917"/>
      <c r="DU218" s="1917"/>
      <c r="DV218" s="2594"/>
      <c r="DW218" s="2594"/>
      <c r="LX218" s="562">
        <f>'N - GMS'!A218</f>
        <v>0</v>
      </c>
      <c r="LY218" s="503"/>
      <c r="LZ218" s="649">
        <f>'N - GMS'!C218</f>
        <v>0</v>
      </c>
      <c r="MA218" s="1858"/>
      <c r="MB218" s="1859"/>
      <c r="MC218" s="323"/>
      <c r="MD218" s="243"/>
      <c r="ME218" s="243"/>
      <c r="MF218" s="243"/>
      <c r="MR218" s="684"/>
      <c r="MS218" s="684"/>
      <c r="MT218" s="684"/>
      <c r="MU218" s="684"/>
      <c r="MV218" s="684"/>
      <c r="MW218" s="684"/>
      <c r="MX218" s="684"/>
      <c r="MY218" s="684"/>
      <c r="MZ218" s="684"/>
      <c r="NA218" s="684"/>
      <c r="NB218" s="684"/>
      <c r="NC218" s="684"/>
      <c r="ND218" s="684"/>
      <c r="NE218" s="684"/>
      <c r="NF218" s="684"/>
      <c r="NG218" s="684"/>
      <c r="NH218" s="684"/>
      <c r="NI218" s="684"/>
      <c r="NJ218" s="684"/>
      <c r="NK218" s="684"/>
    </row>
    <row r="219" spans="76:375" ht="20.149999999999999" customHeight="1" thickBot="1">
      <c r="BX219" s="1696">
        <f>' Table Z Net Exp Profiles'!A219</f>
        <v>160</v>
      </c>
      <c r="BY219" s="1561" t="str">
        <f>' Table Z Net Exp Profiles'!B219</f>
        <v>Revenue Resource Limit (Inc Non Cash) / Income - Current Plan</v>
      </c>
      <c r="BZ219" s="983">
        <f>' Table Z Net Exp Profiles'!C219</f>
        <v>0</v>
      </c>
      <c r="CA219" s="984">
        <f>' Table Z Net Exp Profiles'!D219</f>
        <v>0</v>
      </c>
      <c r="CB219" s="984">
        <f>' Table Z Net Exp Profiles'!E219</f>
        <v>0</v>
      </c>
      <c r="CC219" s="984">
        <f>' Table Z Net Exp Profiles'!F219</f>
        <v>0</v>
      </c>
      <c r="CD219" s="984">
        <f>' Table Z Net Exp Profiles'!G219</f>
        <v>0</v>
      </c>
      <c r="CE219" s="984">
        <f>' Table Z Net Exp Profiles'!H219</f>
        <v>0</v>
      </c>
      <c r="CF219" s="984">
        <f>' Table Z Net Exp Profiles'!I219</f>
        <v>0</v>
      </c>
      <c r="CG219" s="984">
        <f>' Table Z Net Exp Profiles'!J219</f>
        <v>0</v>
      </c>
      <c r="CH219" s="984">
        <f>' Table Z Net Exp Profiles'!K219</f>
        <v>0</v>
      </c>
      <c r="CI219" s="984">
        <f>' Table Z Net Exp Profiles'!L219</f>
        <v>0</v>
      </c>
      <c r="CJ219" s="984">
        <f>' Table Z Net Exp Profiles'!M219</f>
        <v>0</v>
      </c>
      <c r="CK219" s="1562">
        <f>' Table Z Net Exp Profiles'!N219</f>
        <v>0</v>
      </c>
      <c r="CL219" s="1058">
        <f>' Table Z Net Exp Profiles'!O219</f>
        <v>0</v>
      </c>
      <c r="CM219" s="1101">
        <f>' Table Z Net Exp Profiles'!P219</f>
        <v>0</v>
      </c>
      <c r="DF219" s="1914"/>
      <c r="DG219" s="2787"/>
      <c r="DH219" s="2786"/>
      <c r="DI219" s="2786"/>
      <c r="DJ219" s="2786"/>
      <c r="DK219" s="2786"/>
      <c r="DL219" s="2786"/>
      <c r="DM219" s="2786"/>
      <c r="DN219" s="2786"/>
      <c r="DO219" s="2786"/>
      <c r="DP219" s="2786"/>
      <c r="DQ219" s="2786"/>
      <c r="DR219" s="2786"/>
      <c r="DS219" s="2786"/>
      <c r="DT219" s="1917"/>
      <c r="DU219" s="1917"/>
      <c r="DV219" s="2594"/>
      <c r="DW219" s="2594"/>
      <c r="LX219" s="564">
        <f>'N - GMS'!A219</f>
        <v>0</v>
      </c>
      <c r="LY219" s="565"/>
      <c r="LZ219" s="1010"/>
      <c r="MA219" s="3179">
        <f>'N - GMS'!D219</f>
        <v>0</v>
      </c>
      <c r="MB219" s="3180"/>
      <c r="MC219" s="566"/>
      <c r="MD219" s="567"/>
      <c r="ME219" s="567"/>
      <c r="MF219" s="243"/>
      <c r="MR219" s="684"/>
      <c r="MS219" s="684"/>
      <c r="MT219" s="684"/>
      <c r="MU219" s="684"/>
      <c r="MV219" s="684"/>
      <c r="MW219" s="684"/>
      <c r="MX219" s="684"/>
      <c r="MY219" s="684"/>
      <c r="MZ219" s="684"/>
      <c r="NA219" s="684"/>
      <c r="NB219" s="684"/>
      <c r="NC219" s="684"/>
      <c r="ND219" s="684"/>
      <c r="NE219" s="684"/>
      <c r="NF219" s="684"/>
      <c r="NG219" s="684"/>
      <c r="NH219" s="684"/>
      <c r="NI219" s="684"/>
      <c r="NJ219" s="684"/>
      <c r="NK219" s="684"/>
    </row>
    <row r="220" spans="76:375" ht="20.149999999999999" customHeight="1" thickBot="1">
      <c r="BX220" s="1696">
        <f>' Table Z Net Exp Profiles'!A220</f>
        <v>161</v>
      </c>
      <c r="BY220" s="1561" t="str">
        <f>' Table Z Net Exp Profiles'!B220</f>
        <v>Revenue Resource Limit / Income for Covid-19 - Current Plan</v>
      </c>
      <c r="BZ220" s="1283" t="e">
        <f>' Table Z Net Exp Profiles'!C220</f>
        <v>#REF!</v>
      </c>
      <c r="CA220" s="1283" t="e">
        <f>' Table Z Net Exp Profiles'!D220</f>
        <v>#REF!</v>
      </c>
      <c r="CB220" s="1283" t="e">
        <f>' Table Z Net Exp Profiles'!E220</f>
        <v>#REF!</v>
      </c>
      <c r="CC220" s="1283" t="e">
        <f>' Table Z Net Exp Profiles'!F220</f>
        <v>#REF!</v>
      </c>
      <c r="CD220" s="1283" t="e">
        <f>' Table Z Net Exp Profiles'!G220</f>
        <v>#REF!</v>
      </c>
      <c r="CE220" s="1283" t="e">
        <f>' Table Z Net Exp Profiles'!H220</f>
        <v>#REF!</v>
      </c>
      <c r="CF220" s="1283" t="e">
        <f>' Table Z Net Exp Profiles'!I220</f>
        <v>#REF!</v>
      </c>
      <c r="CG220" s="1283" t="e">
        <f>' Table Z Net Exp Profiles'!J220</f>
        <v>#REF!</v>
      </c>
      <c r="CH220" s="1283" t="e">
        <f>' Table Z Net Exp Profiles'!K220</f>
        <v>#REF!</v>
      </c>
      <c r="CI220" s="1283" t="e">
        <f>' Table Z Net Exp Profiles'!L220</f>
        <v>#REF!</v>
      </c>
      <c r="CJ220" s="1283" t="e">
        <f>' Table Z Net Exp Profiles'!M220</f>
        <v>#REF!</v>
      </c>
      <c r="CK220" s="1283" t="e">
        <f>' Table Z Net Exp Profiles'!N220</f>
        <v>#REF!</v>
      </c>
      <c r="CL220" s="1058" t="e">
        <f>' Table Z Net Exp Profiles'!O220</f>
        <v>#REF!</v>
      </c>
      <c r="CM220" s="1101" t="e">
        <f>' Table Z Net Exp Profiles'!P220</f>
        <v>#REF!</v>
      </c>
      <c r="DF220" s="1914"/>
      <c r="DG220" s="2787"/>
      <c r="DH220" s="2786"/>
      <c r="DI220" s="2786"/>
      <c r="DJ220" s="2786"/>
      <c r="DK220" s="2786"/>
      <c r="DL220" s="2786"/>
      <c r="DM220" s="2786"/>
      <c r="DN220" s="2786"/>
      <c r="DO220" s="2786"/>
      <c r="DP220" s="2786"/>
      <c r="DQ220" s="2786"/>
      <c r="DR220" s="2786"/>
      <c r="DS220" s="2786"/>
      <c r="DT220" s="1917"/>
      <c r="DU220" s="1917"/>
      <c r="DV220" s="2594"/>
      <c r="DW220" s="2594"/>
      <c r="LX220" s="3172">
        <f>'N - GMS'!A220</f>
        <v>0</v>
      </c>
      <c r="LY220" s="3173"/>
      <c r="LZ220" s="650">
        <f>'N - GMS'!C220</f>
        <v>0</v>
      </c>
      <c r="MA220" s="1860">
        <f>'N - GMS'!D220</f>
        <v>0</v>
      </c>
      <c r="MB220" s="1860">
        <f>'N - GMS'!E220</f>
        <v>0</v>
      </c>
      <c r="MC220" s="323"/>
      <c r="MD220" s="567"/>
      <c r="ME220" s="567"/>
      <c r="MF220" s="244"/>
      <c r="MR220" s="684"/>
      <c r="MS220" s="684"/>
      <c r="MT220" s="684"/>
      <c r="MU220" s="684"/>
      <c r="MV220" s="684"/>
      <c r="MW220" s="684"/>
      <c r="MX220" s="684"/>
      <c r="MY220" s="684"/>
      <c r="MZ220" s="684"/>
      <c r="NA220" s="684"/>
      <c r="NB220" s="684"/>
      <c r="NC220" s="684"/>
      <c r="ND220" s="684"/>
      <c r="NE220" s="684"/>
      <c r="NF220" s="684"/>
      <c r="NG220" s="684"/>
      <c r="NH220" s="684"/>
      <c r="NI220" s="684"/>
      <c r="NJ220" s="684"/>
      <c r="NK220" s="684"/>
    </row>
    <row r="221" spans="76:375" ht="20.149999999999999" customHeight="1" thickBot="1">
      <c r="BX221" s="144">
        <f>' Table Z Net Exp Profiles'!A221</f>
        <v>162</v>
      </c>
      <c r="BY221" s="1561" t="str">
        <f>' Table Z Net Exp Profiles'!B221</f>
        <v>Other Income - Current Plan</v>
      </c>
      <c r="BZ221" s="983">
        <f>' Table Z Net Exp Profiles'!C221</f>
        <v>0</v>
      </c>
      <c r="CA221" s="984">
        <f>' Table Z Net Exp Profiles'!D221</f>
        <v>0</v>
      </c>
      <c r="CB221" s="984">
        <f>' Table Z Net Exp Profiles'!E221</f>
        <v>0</v>
      </c>
      <c r="CC221" s="984">
        <f>' Table Z Net Exp Profiles'!F221</f>
        <v>0</v>
      </c>
      <c r="CD221" s="984">
        <f>' Table Z Net Exp Profiles'!G221</f>
        <v>0</v>
      </c>
      <c r="CE221" s="984">
        <f>' Table Z Net Exp Profiles'!H221</f>
        <v>0</v>
      </c>
      <c r="CF221" s="984">
        <f>' Table Z Net Exp Profiles'!I221</f>
        <v>0</v>
      </c>
      <c r="CG221" s="984">
        <f>' Table Z Net Exp Profiles'!J221</f>
        <v>0</v>
      </c>
      <c r="CH221" s="984">
        <f>' Table Z Net Exp Profiles'!K221</f>
        <v>0</v>
      </c>
      <c r="CI221" s="984">
        <f>' Table Z Net Exp Profiles'!L221</f>
        <v>0</v>
      </c>
      <c r="CJ221" s="984">
        <f>' Table Z Net Exp Profiles'!M221</f>
        <v>0</v>
      </c>
      <c r="CK221" s="1562">
        <f>' Table Z Net Exp Profiles'!N221</f>
        <v>0</v>
      </c>
      <c r="CL221" s="1058">
        <f>' Table Z Net Exp Profiles'!O221</f>
        <v>0</v>
      </c>
      <c r="CM221" s="1058">
        <f>' Table Z Net Exp Profiles'!P221</f>
        <v>0</v>
      </c>
      <c r="DF221" s="1914"/>
      <c r="DG221" s="2787"/>
      <c r="DH221" s="2786"/>
      <c r="DI221" s="2786"/>
      <c r="DJ221" s="2786"/>
      <c r="DK221" s="2786"/>
      <c r="DL221" s="2786"/>
      <c r="DM221" s="2786"/>
      <c r="DN221" s="2786"/>
      <c r="DO221" s="2786"/>
      <c r="DP221" s="2786"/>
      <c r="DQ221" s="2786"/>
      <c r="DR221" s="2786"/>
      <c r="DS221" s="2786"/>
      <c r="DT221" s="1917"/>
      <c r="DU221" s="1917"/>
      <c r="DV221" s="2594"/>
      <c r="DW221" s="2594"/>
      <c r="LX221" s="3172">
        <f>'N - GMS'!A221</f>
        <v>0</v>
      </c>
      <c r="LY221" s="3173"/>
      <c r="LZ221" s="650">
        <f>'N - GMS'!C221</f>
        <v>0</v>
      </c>
      <c r="MA221" s="1860">
        <f>'N - GMS'!D221</f>
        <v>0</v>
      </c>
      <c r="MB221" s="1860">
        <f>'N - GMS'!E221</f>
        <v>0</v>
      </c>
      <c r="MC221" s="323"/>
      <c r="MD221" s="567"/>
      <c r="ME221" s="567"/>
      <c r="MF221" s="244"/>
      <c r="MR221" s="684"/>
      <c r="MS221" s="684"/>
      <c r="MT221" s="684"/>
      <c r="MU221" s="684"/>
      <c r="MV221" s="684"/>
      <c r="MW221" s="684"/>
      <c r="MX221" s="684"/>
      <c r="MY221" s="684"/>
      <c r="MZ221" s="684"/>
      <c r="NA221" s="684"/>
      <c r="NB221" s="684"/>
      <c r="NC221" s="684"/>
      <c r="ND221" s="684"/>
      <c r="NE221" s="684"/>
      <c r="NF221" s="684"/>
      <c r="NG221" s="684"/>
      <c r="NH221" s="684"/>
      <c r="NI221" s="684"/>
      <c r="NJ221" s="684"/>
      <c r="NK221" s="684"/>
    </row>
    <row r="222" spans="76:375" ht="20.149999999999999" customHeight="1" thickBot="1">
      <c r="BX222" s="144">
        <f>' Table Z Net Exp Profiles'!A222</f>
        <v>163</v>
      </c>
      <c r="BY222" s="1682" t="str">
        <f>' Table Z Net Exp Profiles'!B222</f>
        <v>Net Income Generation Schemes - Current Plan</v>
      </c>
      <c r="BZ222" s="1283">
        <f>' Table Z Net Exp Profiles'!C222</f>
        <v>0</v>
      </c>
      <c r="CA222" s="1283">
        <f>' Table Z Net Exp Profiles'!D222</f>
        <v>0</v>
      </c>
      <c r="CB222" s="1283">
        <f>' Table Z Net Exp Profiles'!E222</f>
        <v>0</v>
      </c>
      <c r="CC222" s="1283">
        <f>' Table Z Net Exp Profiles'!F222</f>
        <v>0</v>
      </c>
      <c r="CD222" s="1283">
        <f>' Table Z Net Exp Profiles'!G222</f>
        <v>0</v>
      </c>
      <c r="CE222" s="1283">
        <f>' Table Z Net Exp Profiles'!H222</f>
        <v>0</v>
      </c>
      <c r="CF222" s="1283">
        <f>' Table Z Net Exp Profiles'!I222</f>
        <v>0</v>
      </c>
      <c r="CG222" s="1283">
        <f>' Table Z Net Exp Profiles'!J222</f>
        <v>0</v>
      </c>
      <c r="CH222" s="1283">
        <f>' Table Z Net Exp Profiles'!K222</f>
        <v>0</v>
      </c>
      <c r="CI222" s="1283">
        <f>' Table Z Net Exp Profiles'!L222</f>
        <v>0</v>
      </c>
      <c r="CJ222" s="1283">
        <f>' Table Z Net Exp Profiles'!M222</f>
        <v>0</v>
      </c>
      <c r="CK222" s="1283">
        <f>' Table Z Net Exp Profiles'!N222</f>
        <v>0</v>
      </c>
      <c r="CL222" s="1058">
        <f>' Table Z Net Exp Profiles'!O222</f>
        <v>0</v>
      </c>
      <c r="CM222" s="1058">
        <f>' Table Z Net Exp Profiles'!P222</f>
        <v>0</v>
      </c>
      <c r="DF222" s="1914"/>
      <c r="DG222" s="2787"/>
      <c r="DH222" s="2786"/>
      <c r="DI222" s="2786"/>
      <c r="DJ222" s="2786"/>
      <c r="DK222" s="2786"/>
      <c r="DL222" s="2786"/>
      <c r="DM222" s="2786"/>
      <c r="DN222" s="2786"/>
      <c r="DO222" s="2786"/>
      <c r="DP222" s="2786"/>
      <c r="DQ222" s="2786"/>
      <c r="DR222" s="2786"/>
      <c r="DS222" s="2786"/>
      <c r="DT222" s="1917"/>
      <c r="DU222" s="1917"/>
      <c r="DV222" s="2594"/>
      <c r="DW222" s="2594"/>
      <c r="LX222" s="3172">
        <f>'N - GMS'!A222</f>
        <v>0</v>
      </c>
      <c r="LY222" s="3173"/>
      <c r="LZ222" s="650">
        <f>'N - GMS'!C222</f>
        <v>0</v>
      </c>
      <c r="MA222" s="1860">
        <f>'N - GMS'!D222</f>
        <v>0</v>
      </c>
      <c r="MB222" s="1860">
        <f>'N - GMS'!E222</f>
        <v>0</v>
      </c>
      <c r="MC222" s="323"/>
      <c r="MD222" s="244"/>
      <c r="ME222" s="244"/>
      <c r="MF222" s="244"/>
      <c r="MR222" s="684"/>
      <c r="MS222" s="684"/>
      <c r="MT222" s="684"/>
      <c r="MU222" s="684"/>
      <c r="MV222" s="684"/>
      <c r="MW222" s="684"/>
      <c r="MX222" s="684"/>
      <c r="MY222" s="684"/>
      <c r="MZ222" s="684"/>
      <c r="NA222" s="684"/>
      <c r="NB222" s="684"/>
      <c r="NC222" s="684"/>
      <c r="ND222" s="684"/>
      <c r="NE222" s="684"/>
      <c r="NF222" s="684"/>
      <c r="NG222" s="684"/>
      <c r="NH222" s="684"/>
      <c r="NI222" s="684"/>
      <c r="NJ222" s="684"/>
      <c r="NK222" s="684"/>
    </row>
    <row r="223" spans="76:375" ht="20.149999999999999" customHeight="1" thickBot="1">
      <c r="BX223" s="144">
        <f>' Table Z Net Exp Profiles'!A223</f>
        <v>164</v>
      </c>
      <c r="BY223" s="1270" t="str">
        <f>' Table Z Net Exp Profiles'!B223</f>
        <v>Total Income - Current Plan</v>
      </c>
      <c r="BZ223" s="1110" t="e">
        <f>' Table Z Net Exp Profiles'!C223</f>
        <v>#REF!</v>
      </c>
      <c r="CA223" s="1110" t="e">
        <f>' Table Z Net Exp Profiles'!D223</f>
        <v>#REF!</v>
      </c>
      <c r="CB223" s="1110" t="e">
        <f>' Table Z Net Exp Profiles'!E223</f>
        <v>#REF!</v>
      </c>
      <c r="CC223" s="1110" t="e">
        <f>' Table Z Net Exp Profiles'!F223</f>
        <v>#REF!</v>
      </c>
      <c r="CD223" s="1110" t="e">
        <f>' Table Z Net Exp Profiles'!G223</f>
        <v>#REF!</v>
      </c>
      <c r="CE223" s="1110" t="e">
        <f>' Table Z Net Exp Profiles'!H223</f>
        <v>#REF!</v>
      </c>
      <c r="CF223" s="1110" t="e">
        <f>' Table Z Net Exp Profiles'!I223</f>
        <v>#REF!</v>
      </c>
      <c r="CG223" s="1110" t="e">
        <f>' Table Z Net Exp Profiles'!J223</f>
        <v>#REF!</v>
      </c>
      <c r="CH223" s="1110" t="e">
        <f>' Table Z Net Exp Profiles'!K223</f>
        <v>#REF!</v>
      </c>
      <c r="CI223" s="1110" t="e">
        <f>' Table Z Net Exp Profiles'!L223</f>
        <v>#REF!</v>
      </c>
      <c r="CJ223" s="1110" t="e">
        <f>' Table Z Net Exp Profiles'!M223</f>
        <v>#REF!</v>
      </c>
      <c r="CK223" s="1110" t="e">
        <f>' Table Z Net Exp Profiles'!N223</f>
        <v>#REF!</v>
      </c>
      <c r="CL223" s="1110" t="e">
        <f>' Table Z Net Exp Profiles'!O223</f>
        <v>#REF!</v>
      </c>
      <c r="CM223" s="1101" t="e">
        <f>' Table Z Net Exp Profiles'!P223</f>
        <v>#REF!</v>
      </c>
      <c r="DF223" s="1914"/>
      <c r="DG223" s="2787"/>
      <c r="DH223" s="2786"/>
      <c r="DI223" s="2786"/>
      <c r="DJ223" s="2786"/>
      <c r="DK223" s="2786"/>
      <c r="DL223" s="2786"/>
      <c r="DM223" s="2786"/>
      <c r="DN223" s="2786"/>
      <c r="DO223" s="2786"/>
      <c r="DP223" s="2786"/>
      <c r="DQ223" s="2786"/>
      <c r="DR223" s="2786"/>
      <c r="DS223" s="2786"/>
      <c r="DT223" s="1917"/>
      <c r="DU223" s="1917"/>
      <c r="DV223" s="2594"/>
      <c r="DW223" s="2594"/>
      <c r="LX223" s="3172">
        <f>'N - GMS'!A223</f>
        <v>0</v>
      </c>
      <c r="LY223" s="3173"/>
      <c r="LZ223" s="650">
        <f>'N - GMS'!C223</f>
        <v>0</v>
      </c>
      <c r="MA223" s="1860">
        <f>'N - GMS'!D223</f>
        <v>0</v>
      </c>
      <c r="MB223" s="1860">
        <f>'N - GMS'!E223</f>
        <v>0</v>
      </c>
      <c r="MC223" s="323"/>
      <c r="MD223" s="243"/>
      <c r="ME223" s="243"/>
      <c r="MF223" s="243"/>
      <c r="MR223" s="684"/>
      <c r="MS223" s="684"/>
      <c r="MT223" s="684"/>
      <c r="MU223" s="684"/>
      <c r="MV223" s="684"/>
      <c r="MW223" s="684"/>
      <c r="MX223" s="684"/>
      <c r="MY223" s="684"/>
      <c r="MZ223" s="684"/>
      <c r="NA223" s="684"/>
      <c r="NB223" s="684"/>
      <c r="NC223" s="684"/>
      <c r="ND223" s="684"/>
      <c r="NE223" s="684"/>
      <c r="NF223" s="684"/>
      <c r="NG223" s="684"/>
      <c r="NH223" s="684"/>
      <c r="NI223" s="684"/>
      <c r="NJ223" s="684"/>
      <c r="NK223" s="684"/>
    </row>
    <row r="224" spans="76:375" ht="20.149999999999999" customHeight="1" thickBot="1">
      <c r="BX224" s="144">
        <f>' Table Z Net Exp Profiles'!A224</f>
        <v>165</v>
      </c>
      <c r="BY224" s="1267" t="str">
        <f>' Table Z Net Exp Profiles'!B224</f>
        <v>Revenue Resource Limit (Inc Non Cash) / Income - Actual/Forecast (as per Table B)</v>
      </c>
      <c r="BZ224" s="1283" t="e">
        <f>' Table Z Net Exp Profiles'!C224</f>
        <v>#REF!</v>
      </c>
      <c r="CA224" s="1283" t="e">
        <f>' Table Z Net Exp Profiles'!D224</f>
        <v>#REF!</v>
      </c>
      <c r="CB224" s="1283" t="e">
        <f>' Table Z Net Exp Profiles'!E224</f>
        <v>#REF!</v>
      </c>
      <c r="CC224" s="1283" t="e">
        <f>' Table Z Net Exp Profiles'!F224</f>
        <v>#REF!</v>
      </c>
      <c r="CD224" s="1283" t="e">
        <f>' Table Z Net Exp Profiles'!G224</f>
        <v>#REF!</v>
      </c>
      <c r="CE224" s="1283" t="e">
        <f>' Table Z Net Exp Profiles'!H224</f>
        <v>#REF!</v>
      </c>
      <c r="CF224" s="1283" t="e">
        <f>' Table Z Net Exp Profiles'!I224</f>
        <v>#REF!</v>
      </c>
      <c r="CG224" s="1283" t="e">
        <f>' Table Z Net Exp Profiles'!J224</f>
        <v>#REF!</v>
      </c>
      <c r="CH224" s="1283" t="e">
        <f>' Table Z Net Exp Profiles'!K224</f>
        <v>#REF!</v>
      </c>
      <c r="CI224" s="1283" t="e">
        <f>' Table Z Net Exp Profiles'!L224</f>
        <v>#REF!</v>
      </c>
      <c r="CJ224" s="1283" t="e">
        <f>' Table Z Net Exp Profiles'!M224</f>
        <v>#REF!</v>
      </c>
      <c r="CK224" s="1283" t="e">
        <f>' Table Z Net Exp Profiles'!N224</f>
        <v>#REF!</v>
      </c>
      <c r="CL224" s="1232" t="e">
        <f>' Table Z Net Exp Profiles'!O224</f>
        <v>#REF!</v>
      </c>
      <c r="CM224" s="1101" t="e">
        <f>' Table Z Net Exp Profiles'!P224</f>
        <v>#REF!</v>
      </c>
      <c r="DF224" s="1914"/>
      <c r="DG224" s="2787"/>
      <c r="DH224" s="2786"/>
      <c r="DI224" s="2786"/>
      <c r="DJ224" s="2786"/>
      <c r="DK224" s="2786"/>
      <c r="DL224" s="2786"/>
      <c r="DM224" s="2786"/>
      <c r="DN224" s="2786"/>
      <c r="DO224" s="2786"/>
      <c r="DP224" s="2786"/>
      <c r="DQ224" s="2786"/>
      <c r="DR224" s="2786"/>
      <c r="DS224" s="2786"/>
      <c r="DT224" s="1917"/>
      <c r="DU224" s="1917"/>
      <c r="DV224" s="2594"/>
      <c r="DW224" s="2594"/>
      <c r="LX224" s="3172">
        <f>'N - GMS'!A224</f>
        <v>0</v>
      </c>
      <c r="LY224" s="3173"/>
      <c r="LZ224" s="650">
        <f>'N - GMS'!C224</f>
        <v>0</v>
      </c>
      <c r="MA224" s="1860">
        <f>'N - GMS'!D224</f>
        <v>0</v>
      </c>
      <c r="MB224" s="1860">
        <f>'N - GMS'!E224</f>
        <v>0</v>
      </c>
      <c r="MC224" s="323"/>
      <c r="MD224" s="243"/>
      <c r="ME224" s="243"/>
      <c r="MF224" s="243"/>
      <c r="MR224" s="684"/>
      <c r="MS224" s="684"/>
      <c r="MT224" s="684"/>
      <c r="MU224" s="684"/>
      <c r="MV224" s="684"/>
      <c r="MW224" s="684"/>
      <c r="MX224" s="684"/>
      <c r="MY224" s="684"/>
      <c r="MZ224" s="684"/>
      <c r="NA224" s="684"/>
      <c r="NB224" s="684"/>
      <c r="NC224" s="684"/>
      <c r="ND224" s="684"/>
      <c r="NE224" s="684"/>
      <c r="NF224" s="684"/>
      <c r="NG224" s="684"/>
      <c r="NH224" s="684"/>
      <c r="NI224" s="684"/>
      <c r="NJ224" s="684"/>
      <c r="NK224" s="684"/>
    </row>
    <row r="225" spans="76:375" ht="20.149999999999999" customHeight="1" thickBot="1">
      <c r="BX225" s="144">
        <f>' Table Z Net Exp Profiles'!A225</f>
        <v>166</v>
      </c>
      <c r="BY225" s="1267" t="str">
        <f>' Table Z Net Exp Profiles'!B225</f>
        <v>Revenue Resource Limit / Income for Covid-19 - Actual/Forecast (as per Table A)</v>
      </c>
      <c r="BZ225" s="1283" t="e">
        <f>' Table Z Net Exp Profiles'!C225</f>
        <v>#REF!</v>
      </c>
      <c r="CA225" s="1283" t="e">
        <f>' Table Z Net Exp Profiles'!D225</f>
        <v>#REF!</v>
      </c>
      <c r="CB225" s="1283" t="e">
        <f>' Table Z Net Exp Profiles'!E225</f>
        <v>#REF!</v>
      </c>
      <c r="CC225" s="1283" t="e">
        <f>' Table Z Net Exp Profiles'!F225</f>
        <v>#REF!</v>
      </c>
      <c r="CD225" s="1283" t="e">
        <f>' Table Z Net Exp Profiles'!G225</f>
        <v>#REF!</v>
      </c>
      <c r="CE225" s="1283" t="e">
        <f>' Table Z Net Exp Profiles'!H225</f>
        <v>#REF!</v>
      </c>
      <c r="CF225" s="1283" t="e">
        <f>' Table Z Net Exp Profiles'!I225</f>
        <v>#REF!</v>
      </c>
      <c r="CG225" s="1283" t="e">
        <f>' Table Z Net Exp Profiles'!J225</f>
        <v>#REF!</v>
      </c>
      <c r="CH225" s="1283" t="e">
        <f>' Table Z Net Exp Profiles'!K225</f>
        <v>#REF!</v>
      </c>
      <c r="CI225" s="1283" t="e">
        <f>' Table Z Net Exp Profiles'!L225</f>
        <v>#REF!</v>
      </c>
      <c r="CJ225" s="1283" t="e">
        <f>' Table Z Net Exp Profiles'!M225</f>
        <v>#REF!</v>
      </c>
      <c r="CK225" s="1283" t="e">
        <f>' Table Z Net Exp Profiles'!N225</f>
        <v>#REF!</v>
      </c>
      <c r="CL225" s="1232" t="e">
        <f>' Table Z Net Exp Profiles'!O225</f>
        <v>#REF!</v>
      </c>
      <c r="CM225" s="1101" t="e">
        <f>' Table Z Net Exp Profiles'!P225</f>
        <v>#REF!</v>
      </c>
      <c r="DF225" s="1914"/>
      <c r="DG225" s="2787"/>
      <c r="DH225" s="2786"/>
      <c r="DI225" s="2786"/>
      <c r="DJ225" s="2786"/>
      <c r="DK225" s="2786"/>
      <c r="DL225" s="2786"/>
      <c r="DM225" s="2786"/>
      <c r="DN225" s="2786"/>
      <c r="DO225" s="2786"/>
      <c r="DP225" s="2786"/>
      <c r="DQ225" s="2786"/>
      <c r="DR225" s="2786"/>
      <c r="DS225" s="2786"/>
      <c r="DT225" s="1917"/>
      <c r="DU225" s="1917"/>
      <c r="DV225" s="2594"/>
      <c r="DW225" s="2594"/>
      <c r="LX225" s="3172">
        <f>'N - GMS'!A225</f>
        <v>0</v>
      </c>
      <c r="LY225" s="3173"/>
      <c r="LZ225" s="650">
        <f>'N - GMS'!C225</f>
        <v>0</v>
      </c>
      <c r="MA225" s="1860">
        <f>'N - GMS'!D225</f>
        <v>0</v>
      </c>
      <c r="MB225" s="1860">
        <f>'N - GMS'!E225</f>
        <v>0</v>
      </c>
      <c r="MC225" s="323"/>
      <c r="MD225" s="243"/>
      <c r="ME225" s="243"/>
      <c r="MF225" s="243"/>
      <c r="MR225" s="684"/>
      <c r="MS225" s="684"/>
      <c r="MT225" s="684"/>
      <c r="MU225" s="684"/>
      <c r="MV225" s="684"/>
      <c r="MW225" s="684"/>
      <c r="MX225" s="684"/>
      <c r="MY225" s="684"/>
      <c r="MZ225" s="684"/>
      <c r="NA225" s="684"/>
      <c r="NB225" s="684"/>
      <c r="NC225" s="684"/>
      <c r="ND225" s="684"/>
      <c r="NE225" s="684"/>
      <c r="NF225" s="684"/>
      <c r="NG225" s="684"/>
      <c r="NH225" s="684"/>
      <c r="NI225" s="684"/>
      <c r="NJ225" s="684"/>
      <c r="NK225" s="684"/>
    </row>
    <row r="226" spans="76:375" ht="20.149999999999999" customHeight="1" thickBot="1">
      <c r="BX226" s="144">
        <f>' Table Z Net Exp Profiles'!A226</f>
        <v>167</v>
      </c>
      <c r="BY226" s="1561" t="str">
        <f>' Table Z Net Exp Profiles'!B226</f>
        <v>Other Income - Actual/Forecast (as per Table B)</v>
      </c>
      <c r="BZ226" s="1283">
        <f>' Table Z Net Exp Profiles'!C226</f>
        <v>18197</v>
      </c>
      <c r="CA226" s="1283">
        <f>' Table Z Net Exp Profiles'!D226</f>
        <v>18011.933909250896</v>
      </c>
      <c r="CB226" s="1283">
        <f>' Table Z Net Exp Profiles'!E226</f>
        <v>18400.246342926086</v>
      </c>
      <c r="CC226" s="1283">
        <f>' Table Z Net Exp Profiles'!F226</f>
        <v>18052.744234250895</v>
      </c>
      <c r="CD226" s="1283">
        <f>' Table Z Net Exp Profiles'!G226</f>
        <v>18014.244234250895</v>
      </c>
      <c r="CE226" s="1283">
        <f>' Table Z Net Exp Profiles'!H226</f>
        <v>18553.78735125942</v>
      </c>
      <c r="CF226" s="1283">
        <f>' Table Z Net Exp Profiles'!I226</f>
        <v>18313.747946985815</v>
      </c>
      <c r="CG226" s="1283">
        <f>' Table Z Net Exp Profiles'!J226</f>
        <v>18229.968375841603</v>
      </c>
      <c r="CH226" s="1283">
        <f>' Table Z Net Exp Profiles'!K226</f>
        <v>18741.305338652484</v>
      </c>
      <c r="CI226" s="1283">
        <f>' Table Z Net Exp Profiles'!L226</f>
        <v>18262.747946985815</v>
      </c>
      <c r="CJ226" s="1283">
        <f>' Table Z Net Exp Profiles'!M226</f>
        <v>18230.722954697387</v>
      </c>
      <c r="CK226" s="1283">
        <f>' Table Z Net Exp Profiles'!N226</f>
        <v>19288.564175874708</v>
      </c>
      <c r="CL226" s="1232">
        <f>' Table Z Net Exp Profiles'!O226</f>
        <v>18197</v>
      </c>
      <c r="CM226" s="1101">
        <f>' Table Z Net Exp Profiles'!P226</f>
        <v>220297.01281097601</v>
      </c>
      <c r="DF226" s="1914"/>
      <c r="DG226" s="2787"/>
      <c r="DH226" s="2786"/>
      <c r="DI226" s="2786"/>
      <c r="DJ226" s="2786"/>
      <c r="DK226" s="2786"/>
      <c r="DL226" s="2786"/>
      <c r="DM226" s="2786"/>
      <c r="DN226" s="2786"/>
      <c r="DO226" s="2786"/>
      <c r="DP226" s="2786"/>
      <c r="DQ226" s="2786"/>
      <c r="DR226" s="2786"/>
      <c r="DS226" s="2786"/>
      <c r="DT226" s="1917"/>
      <c r="DU226" s="1917"/>
      <c r="DV226" s="2594"/>
      <c r="DW226" s="2594"/>
      <c r="LX226" s="3172">
        <f>'N - GMS'!A226</f>
        <v>0</v>
      </c>
      <c r="LY226" s="3173"/>
      <c r="LZ226" s="650">
        <f>'N - GMS'!C226</f>
        <v>0</v>
      </c>
      <c r="MA226" s="1860">
        <f>'N - GMS'!D226</f>
        <v>0</v>
      </c>
      <c r="MB226" s="1860">
        <f>'N - GMS'!E226</f>
        <v>0</v>
      </c>
      <c r="MC226" s="323"/>
      <c r="MD226" s="243"/>
      <c r="ME226" s="243"/>
      <c r="MF226" s="243"/>
      <c r="MR226" s="684"/>
      <c r="MS226" s="684"/>
      <c r="MT226" s="684"/>
      <c r="MU226" s="684"/>
      <c r="MV226" s="684"/>
      <c r="MW226" s="684"/>
      <c r="MX226" s="684"/>
      <c r="MY226" s="684"/>
      <c r="MZ226" s="684"/>
      <c r="NA226" s="684"/>
      <c r="NB226" s="684"/>
      <c r="NC226" s="684"/>
      <c r="ND226" s="684"/>
      <c r="NE226" s="684"/>
      <c r="NF226" s="684"/>
      <c r="NG226" s="684"/>
      <c r="NH226" s="684"/>
      <c r="NI226" s="684"/>
      <c r="NJ226" s="684"/>
      <c r="NK226" s="684"/>
    </row>
    <row r="227" spans="76:375" ht="20.149999999999999" customHeight="1" thickBot="1">
      <c r="BX227" s="144">
        <f>' Table Z Net Exp Profiles'!A227</f>
        <v>168</v>
      </c>
      <c r="BY227" s="1682" t="str">
        <f>' Table Z Net Exp Profiles'!B227</f>
        <v>Net Income Generation Schemes- Actual/Forecast (as per Table C3)</v>
      </c>
      <c r="BZ227" s="1283">
        <f>' Table Z Net Exp Profiles'!C227</f>
        <v>0</v>
      </c>
      <c r="CA227" s="1283">
        <f>' Table Z Net Exp Profiles'!D227</f>
        <v>0</v>
      </c>
      <c r="CB227" s="1283">
        <f>' Table Z Net Exp Profiles'!E227</f>
        <v>0</v>
      </c>
      <c r="CC227" s="1283">
        <f>' Table Z Net Exp Profiles'!F227</f>
        <v>0</v>
      </c>
      <c r="CD227" s="1283">
        <f>' Table Z Net Exp Profiles'!G227</f>
        <v>0</v>
      </c>
      <c r="CE227" s="1283">
        <f>' Table Z Net Exp Profiles'!H227</f>
        <v>0</v>
      </c>
      <c r="CF227" s="1283">
        <f>' Table Z Net Exp Profiles'!I227</f>
        <v>0</v>
      </c>
      <c r="CG227" s="1283">
        <f>' Table Z Net Exp Profiles'!J227</f>
        <v>0</v>
      </c>
      <c r="CH227" s="1283">
        <f>' Table Z Net Exp Profiles'!K227</f>
        <v>0</v>
      </c>
      <c r="CI227" s="1283">
        <f>' Table Z Net Exp Profiles'!L227</f>
        <v>0</v>
      </c>
      <c r="CJ227" s="1283">
        <f>' Table Z Net Exp Profiles'!M227</f>
        <v>0</v>
      </c>
      <c r="CK227" s="1283">
        <f>' Table Z Net Exp Profiles'!N227</f>
        <v>0</v>
      </c>
      <c r="CL227" s="1232">
        <f>' Table Z Net Exp Profiles'!O227</f>
        <v>0</v>
      </c>
      <c r="CM227" s="1101">
        <f>' Table Z Net Exp Profiles'!P227</f>
        <v>0</v>
      </c>
      <c r="DF227" s="1914"/>
      <c r="DG227" s="2787"/>
      <c r="DH227" s="2786"/>
      <c r="DI227" s="2786"/>
      <c r="DJ227" s="2786"/>
      <c r="DK227" s="2786"/>
      <c r="DL227" s="2786"/>
      <c r="DM227" s="2786"/>
      <c r="DN227" s="2786"/>
      <c r="DO227" s="2786"/>
      <c r="DP227" s="2786"/>
      <c r="DQ227" s="2786"/>
      <c r="DR227" s="2786"/>
      <c r="DS227" s="2786"/>
      <c r="DT227" s="1917"/>
      <c r="DU227" s="1917"/>
      <c r="DV227" s="2594"/>
      <c r="DW227" s="2594"/>
      <c r="LX227" s="3172">
        <f>'N - GMS'!A227</f>
        <v>0</v>
      </c>
      <c r="LY227" s="3173"/>
      <c r="LZ227" s="650">
        <f>'N - GMS'!C227</f>
        <v>0</v>
      </c>
      <c r="MA227" s="1860">
        <f>'N - GMS'!D227</f>
        <v>0</v>
      </c>
      <c r="MB227" s="1860">
        <f>'N - GMS'!E227</f>
        <v>0</v>
      </c>
      <c r="MC227" s="323"/>
      <c r="MD227" s="243"/>
      <c r="ME227" s="243"/>
      <c r="MF227" s="243"/>
      <c r="MR227" s="684"/>
      <c r="MS227" s="684"/>
      <c r="MT227" s="684"/>
      <c r="MU227" s="684"/>
      <c r="MV227" s="684"/>
      <c r="MW227" s="684"/>
      <c r="MX227" s="684"/>
      <c r="MY227" s="684"/>
      <c r="MZ227" s="684"/>
      <c r="NA227" s="684"/>
      <c r="NB227" s="684"/>
      <c r="NC227" s="684"/>
      <c r="ND227" s="684"/>
      <c r="NE227" s="684"/>
      <c r="NF227" s="684"/>
      <c r="NG227" s="684"/>
      <c r="NH227" s="684"/>
      <c r="NI227" s="684"/>
      <c r="NJ227" s="684"/>
      <c r="NK227" s="684"/>
    </row>
    <row r="228" spans="76:375" ht="20.149999999999999" customHeight="1" thickBot="1">
      <c r="BX228" s="144">
        <f>' Table Z Net Exp Profiles'!A228</f>
        <v>169</v>
      </c>
      <c r="BY228" s="1270" t="str">
        <f>' Table Z Net Exp Profiles'!B228</f>
        <v>Total Income - Actual/Forecast (as per Table B)</v>
      </c>
      <c r="BZ228" s="1110" t="e">
        <f>' Table Z Net Exp Profiles'!C228</f>
        <v>#REF!</v>
      </c>
      <c r="CA228" s="1110" t="e">
        <f>' Table Z Net Exp Profiles'!D228</f>
        <v>#REF!</v>
      </c>
      <c r="CB228" s="1110" t="e">
        <f>' Table Z Net Exp Profiles'!E228</f>
        <v>#REF!</v>
      </c>
      <c r="CC228" s="1110" t="e">
        <f>' Table Z Net Exp Profiles'!F228</f>
        <v>#REF!</v>
      </c>
      <c r="CD228" s="1110" t="e">
        <f>' Table Z Net Exp Profiles'!G228</f>
        <v>#REF!</v>
      </c>
      <c r="CE228" s="1110" t="e">
        <f>' Table Z Net Exp Profiles'!H228</f>
        <v>#REF!</v>
      </c>
      <c r="CF228" s="1110" t="e">
        <f>' Table Z Net Exp Profiles'!I228</f>
        <v>#REF!</v>
      </c>
      <c r="CG228" s="1110" t="e">
        <f>' Table Z Net Exp Profiles'!J228</f>
        <v>#REF!</v>
      </c>
      <c r="CH228" s="1110" t="e">
        <f>' Table Z Net Exp Profiles'!K228</f>
        <v>#REF!</v>
      </c>
      <c r="CI228" s="1110" t="e">
        <f>' Table Z Net Exp Profiles'!L228</f>
        <v>#REF!</v>
      </c>
      <c r="CJ228" s="1110" t="e">
        <f>' Table Z Net Exp Profiles'!M228</f>
        <v>#REF!</v>
      </c>
      <c r="CK228" s="1110" t="e">
        <f>' Table Z Net Exp Profiles'!N228</f>
        <v>#REF!</v>
      </c>
      <c r="CL228" s="1110" t="e">
        <f>' Table Z Net Exp Profiles'!O228</f>
        <v>#REF!</v>
      </c>
      <c r="CM228" s="1101" t="e">
        <f>' Table Z Net Exp Profiles'!P228</f>
        <v>#REF!</v>
      </c>
      <c r="DF228" s="1914"/>
      <c r="DG228" s="2787"/>
      <c r="DH228" s="2786"/>
      <c r="DI228" s="2786"/>
      <c r="DJ228" s="2786"/>
      <c r="DK228" s="2786"/>
      <c r="DL228" s="2786"/>
      <c r="DM228" s="2786"/>
      <c r="DN228" s="2786"/>
      <c r="DO228" s="2786"/>
      <c r="DP228" s="2786"/>
      <c r="DQ228" s="2786"/>
      <c r="DR228" s="2786"/>
      <c r="DS228" s="2786"/>
      <c r="DT228" s="1917"/>
      <c r="DU228" s="1917"/>
      <c r="DV228" s="2594"/>
      <c r="DW228" s="2594"/>
      <c r="LX228" s="3172">
        <f>'N - GMS'!A228</f>
        <v>0</v>
      </c>
      <c r="LY228" s="3173"/>
      <c r="LZ228" s="650">
        <f>'N - GMS'!C228</f>
        <v>0</v>
      </c>
      <c r="MA228" s="1860">
        <f>'N - GMS'!D228</f>
        <v>0</v>
      </c>
      <c r="MB228" s="1860">
        <f>'N - GMS'!E228</f>
        <v>0</v>
      </c>
      <c r="MC228" s="323"/>
      <c r="MD228" s="243"/>
      <c r="ME228" s="243"/>
      <c r="MF228" s="243"/>
      <c r="MR228" s="684"/>
      <c r="MS228" s="684"/>
      <c r="MT228" s="684"/>
      <c r="MU228" s="684"/>
      <c r="MV228" s="684"/>
      <c r="MW228" s="684"/>
      <c r="MX228" s="684"/>
      <c r="MY228" s="684"/>
      <c r="MZ228" s="684"/>
      <c r="NA228" s="684"/>
      <c r="NB228" s="684"/>
      <c r="NC228" s="684"/>
      <c r="ND228" s="684"/>
      <c r="NE228" s="684"/>
      <c r="NF228" s="684"/>
      <c r="NG228" s="684"/>
      <c r="NH228" s="684"/>
      <c r="NI228" s="684"/>
      <c r="NJ228" s="684"/>
      <c r="NK228" s="684"/>
    </row>
    <row r="229" spans="76:375" ht="20.149999999999999" customHeight="1" thickBot="1">
      <c r="BX229" s="1107">
        <f>' Table Z Net Exp Profiles'!A229</f>
        <v>170</v>
      </c>
      <c r="BY229" s="1270" t="str">
        <f>' Table Z Net Exp Profiles'!B229</f>
        <v>Total Income - Movement</v>
      </c>
      <c r="BZ229" s="1110" t="e">
        <f>' Table Z Net Exp Profiles'!C229</f>
        <v>#REF!</v>
      </c>
      <c r="CA229" s="1110" t="e">
        <f>' Table Z Net Exp Profiles'!D229</f>
        <v>#REF!</v>
      </c>
      <c r="CB229" s="1110" t="e">
        <f>' Table Z Net Exp Profiles'!E229</f>
        <v>#REF!</v>
      </c>
      <c r="CC229" s="1110" t="e">
        <f>' Table Z Net Exp Profiles'!F229</f>
        <v>#REF!</v>
      </c>
      <c r="CD229" s="1110" t="e">
        <f>' Table Z Net Exp Profiles'!G229</f>
        <v>#REF!</v>
      </c>
      <c r="CE229" s="1110" t="e">
        <f>' Table Z Net Exp Profiles'!H229</f>
        <v>#REF!</v>
      </c>
      <c r="CF229" s="1110" t="e">
        <f>' Table Z Net Exp Profiles'!I229</f>
        <v>#REF!</v>
      </c>
      <c r="CG229" s="1110" t="e">
        <f>' Table Z Net Exp Profiles'!J229</f>
        <v>#REF!</v>
      </c>
      <c r="CH229" s="1110" t="e">
        <f>' Table Z Net Exp Profiles'!K229</f>
        <v>#REF!</v>
      </c>
      <c r="CI229" s="1110" t="e">
        <f>' Table Z Net Exp Profiles'!L229</f>
        <v>#REF!</v>
      </c>
      <c r="CJ229" s="1110" t="e">
        <f>' Table Z Net Exp Profiles'!M229</f>
        <v>#REF!</v>
      </c>
      <c r="CK229" s="1110" t="e">
        <f>' Table Z Net Exp Profiles'!N229</f>
        <v>#REF!</v>
      </c>
      <c r="CL229" s="1110" t="e">
        <f>' Table Z Net Exp Profiles'!O229</f>
        <v>#REF!</v>
      </c>
      <c r="CM229" s="1101" t="e">
        <f>' Table Z Net Exp Profiles'!P229</f>
        <v>#REF!</v>
      </c>
      <c r="DF229" s="1914"/>
      <c r="DG229" s="2789"/>
      <c r="DH229" s="2786"/>
      <c r="DI229" s="2786"/>
      <c r="DJ229" s="2786"/>
      <c r="DK229" s="2786"/>
      <c r="DL229" s="2786"/>
      <c r="DM229" s="2786"/>
      <c r="DN229" s="2786"/>
      <c r="DO229" s="2786"/>
      <c r="DP229" s="2786"/>
      <c r="DQ229" s="2786"/>
      <c r="DR229" s="2786"/>
      <c r="DS229" s="2786"/>
      <c r="DT229" s="1917"/>
      <c r="DU229" s="1917"/>
      <c r="DV229" s="2594"/>
      <c r="DW229" s="2594"/>
      <c r="LX229" s="3172">
        <f>'N - GMS'!A229</f>
        <v>0</v>
      </c>
      <c r="LY229" s="3173"/>
      <c r="LZ229" s="650">
        <f>'N - GMS'!C229</f>
        <v>0</v>
      </c>
      <c r="MA229" s="1860">
        <f>'N - GMS'!D229</f>
        <v>0</v>
      </c>
      <c r="MB229" s="1860">
        <f>'N - GMS'!E229</f>
        <v>0</v>
      </c>
      <c r="MC229" s="323"/>
      <c r="MD229" s="243"/>
      <c r="ME229" s="243"/>
      <c r="MF229" s="243"/>
      <c r="MR229" s="684"/>
      <c r="MS229" s="684"/>
      <c r="MT229" s="684"/>
      <c r="MU229" s="684"/>
      <c r="MV229" s="684"/>
      <c r="MW229" s="684"/>
      <c r="MX229" s="684"/>
      <c r="MY229" s="684"/>
      <c r="MZ229" s="684"/>
      <c r="NA229" s="684"/>
      <c r="NB229" s="684"/>
      <c r="NC229" s="684"/>
      <c r="ND229" s="684"/>
      <c r="NE229" s="684"/>
      <c r="NF229" s="684"/>
      <c r="NG229" s="684"/>
      <c r="NH229" s="684"/>
      <c r="NI229" s="684"/>
      <c r="NJ229" s="684"/>
      <c r="NK229" s="684"/>
    </row>
    <row r="230" spans="76:375" ht="20.149999999999999" customHeight="1" thickBot="1">
      <c r="BX230" s="1107">
        <f>' Table Z Net Exp Profiles'!A230</f>
        <v>171</v>
      </c>
      <c r="BY230" s="1270" t="str">
        <f>' Table Z Net Exp Profiles'!B230</f>
        <v xml:space="preserve">Total Income - Movement due to Covid-19 </v>
      </c>
      <c r="BZ230" s="1110" t="e">
        <f>' Table Z Net Exp Profiles'!C230</f>
        <v>#REF!</v>
      </c>
      <c r="CA230" s="1110" t="e">
        <f>' Table Z Net Exp Profiles'!D230</f>
        <v>#REF!</v>
      </c>
      <c r="CB230" s="1110" t="e">
        <f>' Table Z Net Exp Profiles'!E230</f>
        <v>#REF!</v>
      </c>
      <c r="CC230" s="1110" t="e">
        <f>' Table Z Net Exp Profiles'!F230</f>
        <v>#REF!</v>
      </c>
      <c r="CD230" s="1110" t="e">
        <f>' Table Z Net Exp Profiles'!G230</f>
        <v>#REF!</v>
      </c>
      <c r="CE230" s="1110" t="e">
        <f>' Table Z Net Exp Profiles'!H230</f>
        <v>#REF!</v>
      </c>
      <c r="CF230" s="1110" t="e">
        <f>' Table Z Net Exp Profiles'!I230</f>
        <v>#REF!</v>
      </c>
      <c r="CG230" s="1110" t="e">
        <f>' Table Z Net Exp Profiles'!J230</f>
        <v>#REF!</v>
      </c>
      <c r="CH230" s="1110" t="e">
        <f>' Table Z Net Exp Profiles'!K230</f>
        <v>#REF!</v>
      </c>
      <c r="CI230" s="1110" t="e">
        <f>' Table Z Net Exp Profiles'!L230</f>
        <v>#REF!</v>
      </c>
      <c r="CJ230" s="1110" t="e">
        <f>' Table Z Net Exp Profiles'!M230</f>
        <v>#REF!</v>
      </c>
      <c r="CK230" s="1110" t="e">
        <f>' Table Z Net Exp Profiles'!N230</f>
        <v>#REF!</v>
      </c>
      <c r="CL230" s="1110" t="e">
        <f>' Table Z Net Exp Profiles'!O230</f>
        <v>#REF!</v>
      </c>
      <c r="CM230" s="1101" t="e">
        <f>' Table Z Net Exp Profiles'!P230</f>
        <v>#REF!</v>
      </c>
      <c r="DF230" s="1914"/>
      <c r="DG230" s="2789"/>
      <c r="DH230" s="2786"/>
      <c r="DI230" s="2786"/>
      <c r="DJ230" s="2786"/>
      <c r="DK230" s="2786"/>
      <c r="DL230" s="2786"/>
      <c r="DM230" s="2786"/>
      <c r="DN230" s="2786"/>
      <c r="DO230" s="2786"/>
      <c r="DP230" s="2786"/>
      <c r="DQ230" s="2786"/>
      <c r="DR230" s="2786"/>
      <c r="DS230" s="2786"/>
      <c r="DT230" s="1917"/>
      <c r="DU230" s="1917"/>
      <c r="DV230" s="2594"/>
      <c r="DW230" s="2594"/>
      <c r="LX230" s="3172">
        <f>'N - GMS'!A230</f>
        <v>0</v>
      </c>
      <c r="LY230" s="3173"/>
      <c r="LZ230" s="650">
        <f>'N - GMS'!C230</f>
        <v>0</v>
      </c>
      <c r="MA230" s="1860">
        <f>'N - GMS'!D230</f>
        <v>0</v>
      </c>
      <c r="MB230" s="1860">
        <f>'N - GMS'!E230</f>
        <v>0</v>
      </c>
      <c r="MC230" s="323"/>
      <c r="MD230" s="243"/>
      <c r="ME230" s="243"/>
      <c r="MF230" s="243"/>
      <c r="MR230" s="684"/>
      <c r="MS230" s="684"/>
      <c r="MT230" s="684"/>
      <c r="MU230" s="684"/>
      <c r="MV230" s="684"/>
      <c r="MW230" s="684"/>
      <c r="MX230" s="684"/>
      <c r="MY230" s="684"/>
      <c r="MZ230" s="684"/>
      <c r="NA230" s="684"/>
      <c r="NB230" s="684"/>
      <c r="NC230" s="684"/>
      <c r="ND230" s="684"/>
      <c r="NE230" s="684"/>
      <c r="NF230" s="684"/>
      <c r="NG230" s="684"/>
      <c r="NH230" s="684"/>
      <c r="NI230" s="684"/>
      <c r="NJ230" s="684"/>
      <c r="NK230" s="684"/>
    </row>
    <row r="231" spans="76:375" ht="20.149999999999999" customHeight="1" thickBot="1">
      <c r="BX231" s="1107">
        <f>' Table Z Net Exp Profiles'!A231</f>
        <v>172</v>
      </c>
      <c r="BY231" s="1270" t="str">
        <f>' Table Z Net Exp Profiles'!B231</f>
        <v>Total Income - Movement Other</v>
      </c>
      <c r="BZ231" s="1110" t="e">
        <f>' Table Z Net Exp Profiles'!C231</f>
        <v>#REF!</v>
      </c>
      <c r="CA231" s="1110" t="e">
        <f>' Table Z Net Exp Profiles'!D231</f>
        <v>#REF!</v>
      </c>
      <c r="CB231" s="1110" t="e">
        <f>' Table Z Net Exp Profiles'!E231</f>
        <v>#REF!</v>
      </c>
      <c r="CC231" s="1110" t="e">
        <f>' Table Z Net Exp Profiles'!F231</f>
        <v>#REF!</v>
      </c>
      <c r="CD231" s="1110" t="e">
        <f>' Table Z Net Exp Profiles'!G231</f>
        <v>#REF!</v>
      </c>
      <c r="CE231" s="1110" t="e">
        <f>' Table Z Net Exp Profiles'!H231</f>
        <v>#REF!</v>
      </c>
      <c r="CF231" s="1110" t="e">
        <f>' Table Z Net Exp Profiles'!I231</f>
        <v>#REF!</v>
      </c>
      <c r="CG231" s="1110" t="e">
        <f>' Table Z Net Exp Profiles'!J231</f>
        <v>#REF!</v>
      </c>
      <c r="CH231" s="1110" t="e">
        <f>' Table Z Net Exp Profiles'!K231</f>
        <v>#REF!</v>
      </c>
      <c r="CI231" s="1110" t="e">
        <f>' Table Z Net Exp Profiles'!L231</f>
        <v>#REF!</v>
      </c>
      <c r="CJ231" s="1110" t="e">
        <f>' Table Z Net Exp Profiles'!M231</f>
        <v>#REF!</v>
      </c>
      <c r="CK231" s="1110" t="e">
        <f>' Table Z Net Exp Profiles'!N231</f>
        <v>#REF!</v>
      </c>
      <c r="CL231" s="1110" t="e">
        <f>' Table Z Net Exp Profiles'!O231</f>
        <v>#REF!</v>
      </c>
      <c r="CM231" s="1101" t="e">
        <f>' Table Z Net Exp Profiles'!P231</f>
        <v>#REF!</v>
      </c>
      <c r="DF231" s="1914"/>
      <c r="DG231" s="2789"/>
      <c r="DH231" s="2786"/>
      <c r="DI231" s="2786"/>
      <c r="DJ231" s="2786"/>
      <c r="DK231" s="2786"/>
      <c r="DL231" s="2786"/>
      <c r="DM231" s="2786"/>
      <c r="DN231" s="2786"/>
      <c r="DO231" s="2786"/>
      <c r="DP231" s="2786"/>
      <c r="DQ231" s="2786"/>
      <c r="DR231" s="2786"/>
      <c r="DS231" s="2786"/>
      <c r="DT231" s="1917"/>
      <c r="DU231" s="1917"/>
      <c r="DV231" s="2594"/>
      <c r="DW231" s="2594"/>
      <c r="LX231" s="3172">
        <f>'N - GMS'!A231</f>
        <v>0</v>
      </c>
      <c r="LY231" s="3173"/>
      <c r="LZ231" s="650">
        <f>'N - GMS'!C231</f>
        <v>0</v>
      </c>
      <c r="MA231" s="1860">
        <f>'N - GMS'!D231</f>
        <v>0</v>
      </c>
      <c r="MB231" s="1860">
        <f>'N - GMS'!E231</f>
        <v>0</v>
      </c>
      <c r="MC231" s="323"/>
      <c r="MD231" s="243"/>
      <c r="ME231" s="243"/>
      <c r="MF231" s="243"/>
      <c r="MR231" s="684"/>
      <c r="MS231" s="684"/>
      <c r="MT231" s="684"/>
      <c r="MU231" s="684"/>
      <c r="MV231" s="684"/>
      <c r="MW231" s="684"/>
      <c r="MX231" s="684"/>
      <c r="MY231" s="684"/>
      <c r="MZ231" s="684"/>
      <c r="NA231" s="684"/>
      <c r="NB231" s="684"/>
      <c r="NC231" s="684"/>
      <c r="ND231" s="684"/>
      <c r="NE231" s="684"/>
      <c r="NF231" s="684"/>
      <c r="NG231" s="684"/>
      <c r="NH231" s="684"/>
      <c r="NI231" s="684"/>
      <c r="NJ231" s="684"/>
      <c r="NK231" s="684"/>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4"/>
      <c r="DG232" s="2789"/>
      <c r="DH232" s="2786"/>
      <c r="DI232" s="2786"/>
      <c r="DJ232" s="2786"/>
      <c r="DK232" s="2786"/>
      <c r="DL232" s="2786"/>
      <c r="DM232" s="2786"/>
      <c r="DN232" s="2786"/>
      <c r="DO232" s="2786"/>
      <c r="DP232" s="2786"/>
      <c r="DQ232" s="2786"/>
      <c r="DR232" s="2786"/>
      <c r="DS232" s="2786"/>
      <c r="DT232" s="1917"/>
      <c r="DU232" s="1917"/>
      <c r="DV232" s="2594"/>
      <c r="DW232" s="2594"/>
      <c r="LX232" s="3172">
        <f>'N - GMS'!A232</f>
        <v>0</v>
      </c>
      <c r="LY232" s="3173"/>
      <c r="LZ232" s="650">
        <f>'N - GMS'!C232</f>
        <v>0</v>
      </c>
      <c r="MA232" s="1860">
        <f>'N - GMS'!D232</f>
        <v>0</v>
      </c>
      <c r="MB232" s="1860">
        <f>'N - GMS'!E232</f>
        <v>0</v>
      </c>
      <c r="MC232" s="323"/>
      <c r="MD232" s="243"/>
      <c r="ME232" s="243"/>
      <c r="MF232" s="243"/>
      <c r="MR232" s="684"/>
      <c r="MS232" s="684"/>
      <c r="MT232" s="684"/>
      <c r="MU232" s="684"/>
      <c r="MV232" s="684"/>
      <c r="MW232" s="684"/>
      <c r="MX232" s="684"/>
      <c r="MY232" s="684"/>
      <c r="MZ232" s="684"/>
      <c r="NA232" s="684"/>
      <c r="NB232" s="684"/>
      <c r="NC232" s="684"/>
      <c r="ND232" s="684"/>
      <c r="NE232" s="684"/>
      <c r="NF232" s="684"/>
      <c r="NG232" s="684"/>
      <c r="NH232" s="684"/>
      <c r="NI232" s="684"/>
      <c r="NJ232" s="684"/>
      <c r="NK232" s="684"/>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4"/>
      <c r="DG233" s="1116"/>
      <c r="DH233" s="1918"/>
      <c r="DI233" s="1918"/>
      <c r="DJ233" s="1918"/>
      <c r="DK233" s="1918"/>
      <c r="DL233" s="1918"/>
      <c r="DM233" s="1918"/>
      <c r="DN233" s="1918"/>
      <c r="DO233" s="1918"/>
      <c r="DP233" s="1918"/>
      <c r="DQ233" s="1918"/>
      <c r="DR233" s="1918"/>
      <c r="DS233" s="1918"/>
      <c r="DT233" s="1918"/>
      <c r="DU233" s="1918"/>
      <c r="DV233" s="2594"/>
      <c r="DW233" s="2594"/>
      <c r="LX233" s="3172">
        <f>'N - GMS'!A233</f>
        <v>0</v>
      </c>
      <c r="LY233" s="3173"/>
      <c r="LZ233" s="650">
        <f>'N - GMS'!C233</f>
        <v>0</v>
      </c>
      <c r="MA233" s="1860">
        <f>'N - GMS'!D233</f>
        <v>0</v>
      </c>
      <c r="MB233" s="1860">
        <f>'N - GMS'!E233</f>
        <v>0</v>
      </c>
      <c r="MC233" s="323"/>
      <c r="MD233" s="243"/>
      <c r="ME233" s="243"/>
      <c r="MF233" s="243"/>
      <c r="MR233" s="684"/>
      <c r="MS233" s="684"/>
      <c r="MT233" s="684"/>
      <c r="MU233" s="684"/>
      <c r="MV233" s="684"/>
      <c r="MW233" s="684"/>
      <c r="MX233" s="684"/>
      <c r="MY233" s="684"/>
      <c r="MZ233" s="684"/>
      <c r="NA233" s="684"/>
      <c r="NB233" s="684"/>
      <c r="NC233" s="684"/>
      <c r="ND233" s="684"/>
      <c r="NE233" s="684"/>
      <c r="NF233" s="684"/>
      <c r="NG233" s="684"/>
      <c r="NH233" s="684"/>
      <c r="NI233" s="684"/>
      <c r="NJ233" s="684"/>
      <c r="NK233" s="684"/>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4"/>
      <c r="DG234" s="1116"/>
      <c r="DH234" s="1918"/>
      <c r="DI234" s="1918"/>
      <c r="DJ234" s="1918"/>
      <c r="DK234" s="1918"/>
      <c r="DL234" s="1918"/>
      <c r="DM234" s="1918"/>
      <c r="DN234" s="1918"/>
      <c r="DO234" s="1918"/>
      <c r="DP234" s="1918"/>
      <c r="DQ234" s="1918"/>
      <c r="DR234" s="1918"/>
      <c r="DS234" s="1918"/>
      <c r="DT234" s="1918"/>
      <c r="DU234" s="1918"/>
      <c r="DV234" s="2594"/>
      <c r="DW234" s="2594"/>
      <c r="LX234" s="3172">
        <f>'N - GMS'!A234</f>
        <v>0</v>
      </c>
      <c r="LY234" s="3173"/>
      <c r="LZ234" s="650">
        <f>'N - GMS'!C234</f>
        <v>0</v>
      </c>
      <c r="MA234" s="1860">
        <f>'N - GMS'!D234</f>
        <v>0</v>
      </c>
      <c r="MB234" s="1860">
        <f>'N - GMS'!E234</f>
        <v>0</v>
      </c>
      <c r="MC234" s="323"/>
      <c r="MD234" s="243"/>
      <c r="ME234" s="243"/>
      <c r="MF234" s="243"/>
      <c r="MR234" s="684"/>
      <c r="MS234" s="684"/>
      <c r="MT234" s="684"/>
      <c r="MU234" s="684"/>
      <c r="MV234" s="684"/>
      <c r="MW234" s="684"/>
      <c r="MX234" s="684"/>
      <c r="MY234" s="684"/>
      <c r="MZ234" s="684"/>
      <c r="NA234" s="684"/>
      <c r="NB234" s="684"/>
      <c r="NC234" s="684"/>
      <c r="ND234" s="684"/>
      <c r="NE234" s="684"/>
      <c r="NF234" s="684"/>
      <c r="NG234" s="684"/>
      <c r="NH234" s="684"/>
      <c r="NI234" s="684"/>
      <c r="NJ234" s="684"/>
      <c r="NK234" s="684"/>
    </row>
    <row r="235" spans="76:375" ht="20.149999999999999" customHeight="1" thickBot="1">
      <c r="BX235" s="84"/>
      <c r="BY235" s="1209"/>
      <c r="BZ235" s="1221">
        <f>' Table Z Net Exp Profiles'!C235</f>
        <v>1</v>
      </c>
      <c r="CA235" s="1222">
        <f>' Table Z Net Exp Profiles'!D235</f>
        <v>2</v>
      </c>
      <c r="CB235" s="1222">
        <f>' Table Z Net Exp Profiles'!E235</f>
        <v>3</v>
      </c>
      <c r="CC235" s="1222">
        <f>' Table Z Net Exp Profiles'!F235</f>
        <v>4</v>
      </c>
      <c r="CD235" s="1222">
        <f>' Table Z Net Exp Profiles'!G235</f>
        <v>5</v>
      </c>
      <c r="CE235" s="1222">
        <f>' Table Z Net Exp Profiles'!H235</f>
        <v>6</v>
      </c>
      <c r="CF235" s="1222">
        <f>' Table Z Net Exp Profiles'!I235</f>
        <v>7</v>
      </c>
      <c r="CG235" s="1222">
        <f>' Table Z Net Exp Profiles'!J235</f>
        <v>8</v>
      </c>
      <c r="CH235" s="1222">
        <f>' Table Z Net Exp Profiles'!K235</f>
        <v>9</v>
      </c>
      <c r="CI235" s="1222">
        <f>' Table Z Net Exp Profiles'!L235</f>
        <v>10</v>
      </c>
      <c r="CJ235" s="1222">
        <f>' Table Z Net Exp Profiles'!M235</f>
        <v>11</v>
      </c>
      <c r="CK235" s="1223">
        <f>' Table Z Net Exp Profiles'!N235</f>
        <v>12</v>
      </c>
      <c r="CL235" s="1210"/>
      <c r="CM235" s="1211"/>
      <c r="DF235" s="1914"/>
      <c r="DG235" s="1116"/>
      <c r="DH235" s="1918"/>
      <c r="DI235" s="1918"/>
      <c r="DJ235" s="1918"/>
      <c r="DK235" s="1918"/>
      <c r="DL235" s="1918"/>
      <c r="DM235" s="1918"/>
      <c r="DN235" s="1918"/>
      <c r="DO235" s="1918"/>
      <c r="DP235" s="1918"/>
      <c r="DQ235" s="1918"/>
      <c r="DR235" s="1918"/>
      <c r="DS235" s="1918"/>
      <c r="DT235" s="1918"/>
      <c r="DU235" s="1918"/>
      <c r="DV235" s="2594"/>
      <c r="DW235" s="2594"/>
      <c r="LX235" s="3172">
        <f>'N - GMS'!A235</f>
        <v>0</v>
      </c>
      <c r="LY235" s="3173"/>
      <c r="LZ235" s="650">
        <f>'N - GMS'!C235</f>
        <v>0</v>
      </c>
      <c r="MA235" s="1860">
        <f>'N - GMS'!D235</f>
        <v>0</v>
      </c>
      <c r="MB235" s="1860">
        <f>'N - GMS'!E235</f>
        <v>0</v>
      </c>
      <c r="MC235" s="323"/>
      <c r="MD235" s="243"/>
      <c r="ME235" s="243"/>
      <c r="MF235" s="243"/>
      <c r="MR235" s="684"/>
      <c r="MS235" s="684"/>
      <c r="MT235" s="684"/>
      <c r="MU235" s="684"/>
      <c r="MV235" s="684"/>
      <c r="MW235" s="684"/>
      <c r="MX235" s="684"/>
      <c r="MY235" s="684"/>
      <c r="MZ235" s="684"/>
      <c r="NA235" s="684"/>
      <c r="NB235" s="684"/>
      <c r="NC235" s="684"/>
      <c r="ND235" s="684"/>
      <c r="NE235" s="684"/>
      <c r="NF235" s="684"/>
      <c r="NG235" s="684"/>
      <c r="NH235" s="684"/>
      <c r="NI235" s="684"/>
      <c r="NJ235" s="684"/>
      <c r="NK235" s="684"/>
    </row>
    <row r="236" spans="76:375" ht="20.149999999999999" customHeight="1" thickBot="1">
      <c r="BX236" s="84"/>
      <c r="BY236" s="1212" t="str">
        <f>' Table Z Net Exp Profiles'!B236</f>
        <v>Net Surplus/(Deficit) Profiles</v>
      </c>
      <c r="BZ236" s="1224" t="str">
        <f>' Table Z Net Exp Profiles'!C236</f>
        <v>Apr</v>
      </c>
      <c r="CA236" s="1225" t="str">
        <f>' Table Z Net Exp Profiles'!D236</f>
        <v>May</v>
      </c>
      <c r="CB236" s="1225" t="str">
        <f>' Table Z Net Exp Profiles'!E236</f>
        <v>Jun</v>
      </c>
      <c r="CC236" s="1225" t="str">
        <f>' Table Z Net Exp Profiles'!F236</f>
        <v>Jul</v>
      </c>
      <c r="CD236" s="1225" t="str">
        <f>' Table Z Net Exp Profiles'!G236</f>
        <v>Aug</v>
      </c>
      <c r="CE236" s="1225" t="str">
        <f>' Table Z Net Exp Profiles'!H236</f>
        <v>Sep</v>
      </c>
      <c r="CF236" s="1225" t="str">
        <f>' Table Z Net Exp Profiles'!I236</f>
        <v>Oct</v>
      </c>
      <c r="CG236" s="1225" t="str">
        <f>' Table Z Net Exp Profiles'!J236</f>
        <v>Nov</v>
      </c>
      <c r="CH236" s="1225" t="str">
        <f>' Table Z Net Exp Profiles'!K236</f>
        <v>Dec</v>
      </c>
      <c r="CI236" s="1225" t="str">
        <f>' Table Z Net Exp Profiles'!L236</f>
        <v>Jan</v>
      </c>
      <c r="CJ236" s="1225" t="str">
        <f>' Table Z Net Exp Profiles'!M236</f>
        <v>Feb</v>
      </c>
      <c r="CK236" s="1226" t="str">
        <f>' Table Z Net Exp Profiles'!N236</f>
        <v>Mar</v>
      </c>
      <c r="CL236" s="1227" t="str">
        <f>' Table Z Net Exp Profiles'!O236</f>
        <v>Total YTD</v>
      </c>
      <c r="CM236" s="1227" t="str">
        <f>' Table Z Net Exp Profiles'!P236</f>
        <v>Forecast year-end position</v>
      </c>
      <c r="DF236" s="1914"/>
      <c r="DG236" s="1116"/>
      <c r="DH236" s="2786"/>
      <c r="DI236" s="2786"/>
      <c r="DJ236" s="2786"/>
      <c r="DK236" s="2786"/>
      <c r="DL236" s="2786"/>
      <c r="DM236" s="2786"/>
      <c r="DN236" s="2786"/>
      <c r="DO236" s="2786"/>
      <c r="DP236" s="2786"/>
      <c r="DQ236" s="2786"/>
      <c r="DR236" s="2786"/>
      <c r="DS236" s="2786"/>
      <c r="DT236" s="1917"/>
      <c r="DU236" s="1917"/>
      <c r="DV236" s="2594"/>
      <c r="DW236" s="2594"/>
      <c r="LX236" s="3174">
        <f>'N - GMS'!A236</f>
        <v>0</v>
      </c>
      <c r="LY236" s="3175"/>
      <c r="LZ236" s="651">
        <f>'N - GMS'!C236</f>
        <v>0</v>
      </c>
      <c r="MA236" s="1861">
        <f>'N - GMS'!D236</f>
        <v>0</v>
      </c>
      <c r="MB236" s="1861">
        <f>'N - GMS'!E236</f>
        <v>0</v>
      </c>
      <c r="MC236" s="323"/>
      <c r="MD236" s="243"/>
      <c r="ME236" s="243"/>
      <c r="MF236" s="243"/>
      <c r="MR236" s="684"/>
      <c r="MS236" s="684"/>
      <c r="MT236" s="684"/>
      <c r="MU236" s="684"/>
      <c r="MV236" s="684"/>
      <c r="MW236" s="684"/>
      <c r="MX236" s="684"/>
      <c r="MY236" s="684"/>
      <c r="MZ236" s="684"/>
      <c r="NA236" s="684"/>
      <c r="NB236" s="684"/>
      <c r="NC236" s="684"/>
      <c r="ND236" s="684"/>
      <c r="NE236" s="684"/>
      <c r="NF236" s="684"/>
      <c r="NG236" s="684"/>
      <c r="NH236" s="684"/>
      <c r="NI236" s="684"/>
      <c r="NJ236" s="684"/>
      <c r="NK236" s="684"/>
    </row>
    <row r="237" spans="76:375" ht="20.149999999999999" customHeight="1" thickBot="1">
      <c r="BX237" s="84"/>
      <c r="BY237" s="1213"/>
      <c r="BZ237" s="1228" t="str">
        <f>' Table Z Net Exp Profiles'!C237</f>
        <v>£'000</v>
      </c>
      <c r="CA237" s="1229" t="str">
        <f>' Table Z Net Exp Profiles'!D237</f>
        <v>£'000</v>
      </c>
      <c r="CB237" s="1229" t="str">
        <f>' Table Z Net Exp Profiles'!E237</f>
        <v>£'000</v>
      </c>
      <c r="CC237" s="1229" t="str">
        <f>' Table Z Net Exp Profiles'!F237</f>
        <v>£'000</v>
      </c>
      <c r="CD237" s="1229" t="str">
        <f>' Table Z Net Exp Profiles'!G237</f>
        <v>£'000</v>
      </c>
      <c r="CE237" s="1229" t="str">
        <f>' Table Z Net Exp Profiles'!H237</f>
        <v>£'000</v>
      </c>
      <c r="CF237" s="1229" t="str">
        <f>' Table Z Net Exp Profiles'!I237</f>
        <v>£'000</v>
      </c>
      <c r="CG237" s="1229" t="str">
        <f>' Table Z Net Exp Profiles'!J237</f>
        <v>£'000</v>
      </c>
      <c r="CH237" s="1229" t="str">
        <f>' Table Z Net Exp Profiles'!K237</f>
        <v>£'000</v>
      </c>
      <c r="CI237" s="1229" t="str">
        <f>' Table Z Net Exp Profiles'!L237</f>
        <v>£'000</v>
      </c>
      <c r="CJ237" s="1229" t="str">
        <f>' Table Z Net Exp Profiles'!M237</f>
        <v>£'000</v>
      </c>
      <c r="CK237" s="1230" t="str">
        <f>' Table Z Net Exp Profiles'!N237</f>
        <v>£'000</v>
      </c>
      <c r="CL237" s="1231" t="str">
        <f>' Table Z Net Exp Profiles'!O237</f>
        <v>£'000</v>
      </c>
      <c r="CM237" s="1231" t="str">
        <f>' Table Z Net Exp Profiles'!P237</f>
        <v>£'000</v>
      </c>
      <c r="DF237" s="1914"/>
      <c r="DG237" s="1116"/>
      <c r="DH237" s="1918"/>
      <c r="DI237" s="1918"/>
      <c r="DJ237" s="1918"/>
      <c r="DK237" s="1918"/>
      <c r="DL237" s="1918"/>
      <c r="DM237" s="1918"/>
      <c r="DN237" s="1918"/>
      <c r="DO237" s="1918"/>
      <c r="DP237" s="1918"/>
      <c r="DQ237" s="1918"/>
      <c r="DR237" s="1918"/>
      <c r="DS237" s="1918"/>
      <c r="DT237" s="1918"/>
      <c r="DU237" s="1918"/>
      <c r="DV237" s="2594"/>
      <c r="DW237" s="2594"/>
      <c r="MR237" s="684"/>
      <c r="MS237" s="684"/>
      <c r="MT237" s="684"/>
      <c r="MU237" s="684"/>
      <c r="MV237" s="684"/>
      <c r="MW237" s="684"/>
      <c r="MX237" s="684"/>
      <c r="MY237" s="684"/>
      <c r="MZ237" s="684"/>
      <c r="NA237" s="684"/>
      <c r="NB237" s="684"/>
      <c r="NC237" s="684"/>
      <c r="ND237" s="684"/>
      <c r="NE237" s="684"/>
      <c r="NF237" s="684"/>
      <c r="NG237" s="684"/>
      <c r="NH237" s="684"/>
      <c r="NI237" s="684"/>
      <c r="NJ237" s="684"/>
      <c r="NK237" s="684"/>
    </row>
    <row r="238" spans="76:375" ht="20.149999999999999" customHeight="1" thickBot="1">
      <c r="BX238" s="1696">
        <f>' Table Z Net Exp Profiles'!A238</f>
        <v>173</v>
      </c>
      <c r="BY238" s="1270" t="str">
        <f>' Table Z Net Exp Profiles'!B238</f>
        <v>Net Surplus/(Deficit) - Current Plan</v>
      </c>
      <c r="BZ238" s="1110" t="e">
        <f>' Table Z Net Exp Profiles'!C238</f>
        <v>#REF!</v>
      </c>
      <c r="CA238" s="1110" t="e">
        <f>' Table Z Net Exp Profiles'!D238</f>
        <v>#REF!</v>
      </c>
      <c r="CB238" s="1110" t="e">
        <f>' Table Z Net Exp Profiles'!E238</f>
        <v>#REF!</v>
      </c>
      <c r="CC238" s="1110" t="e">
        <f>' Table Z Net Exp Profiles'!F238</f>
        <v>#REF!</v>
      </c>
      <c r="CD238" s="1110" t="e">
        <f>' Table Z Net Exp Profiles'!G238</f>
        <v>#REF!</v>
      </c>
      <c r="CE238" s="1110" t="e">
        <f>' Table Z Net Exp Profiles'!H238</f>
        <v>#REF!</v>
      </c>
      <c r="CF238" s="1110" t="e">
        <f>' Table Z Net Exp Profiles'!I238</f>
        <v>#REF!</v>
      </c>
      <c r="CG238" s="1110" t="e">
        <f>' Table Z Net Exp Profiles'!J238</f>
        <v>#REF!</v>
      </c>
      <c r="CH238" s="1110" t="e">
        <f>' Table Z Net Exp Profiles'!K238</f>
        <v>#REF!</v>
      </c>
      <c r="CI238" s="1110" t="e">
        <f>' Table Z Net Exp Profiles'!L238</f>
        <v>#REF!</v>
      </c>
      <c r="CJ238" s="1110" t="e">
        <f>' Table Z Net Exp Profiles'!M238</f>
        <v>#REF!</v>
      </c>
      <c r="CK238" s="1110" t="e">
        <f>' Table Z Net Exp Profiles'!N238</f>
        <v>#REF!</v>
      </c>
      <c r="CL238" s="1110" t="e">
        <f>' Table Z Net Exp Profiles'!O238</f>
        <v>#REF!</v>
      </c>
      <c r="CM238" s="1101" t="e">
        <f>' Table Z Net Exp Profiles'!P238</f>
        <v>#REF!</v>
      </c>
      <c r="DF238" s="1914"/>
      <c r="DG238" s="1116"/>
      <c r="DH238" s="1918"/>
      <c r="DI238" s="1918"/>
      <c r="DJ238" s="1918"/>
      <c r="DK238" s="1918"/>
      <c r="DL238" s="1918"/>
      <c r="DM238" s="1918"/>
      <c r="DN238" s="1918"/>
      <c r="DO238" s="1918"/>
      <c r="DP238" s="1918"/>
      <c r="DQ238" s="1918"/>
      <c r="DR238" s="1918"/>
      <c r="DS238" s="1918"/>
      <c r="DT238" s="1918"/>
      <c r="DU238" s="1918"/>
      <c r="DV238" s="2594"/>
      <c r="DW238" s="2594"/>
      <c r="MR238" s="684"/>
      <c r="MS238" s="684"/>
      <c r="MT238" s="684"/>
      <c r="MU238" s="684"/>
      <c r="MV238" s="684"/>
      <c r="MW238" s="684"/>
      <c r="MX238" s="684"/>
      <c r="MY238" s="684"/>
      <c r="MZ238" s="684"/>
      <c r="NA238" s="684"/>
      <c r="NB238" s="684"/>
      <c r="NC238" s="684"/>
      <c r="ND238" s="684"/>
      <c r="NE238" s="684"/>
      <c r="NF238" s="684"/>
      <c r="NG238" s="684"/>
      <c r="NH238" s="684"/>
      <c r="NI238" s="684"/>
      <c r="NJ238" s="684"/>
      <c r="NK238" s="684"/>
    </row>
    <row r="239" spans="76:375" ht="20.149999999999999" customHeight="1" thickBot="1">
      <c r="BX239" s="144">
        <f>' Table Z Net Exp Profiles'!A239</f>
        <v>174</v>
      </c>
      <c r="BY239" s="1270" t="str">
        <f>' Table Z Net Exp Profiles'!B239</f>
        <v>Net Surplus/(Deficit) - Actual/Forecast (as per Table B)</v>
      </c>
      <c r="BZ239" s="1110" t="e">
        <f>' Table Z Net Exp Profiles'!C239</f>
        <v>#REF!</v>
      </c>
      <c r="CA239" s="1110" t="e">
        <f>' Table Z Net Exp Profiles'!D239</f>
        <v>#REF!</v>
      </c>
      <c r="CB239" s="1110" t="e">
        <f>' Table Z Net Exp Profiles'!E239</f>
        <v>#REF!</v>
      </c>
      <c r="CC239" s="1110" t="e">
        <f>' Table Z Net Exp Profiles'!F239</f>
        <v>#REF!</v>
      </c>
      <c r="CD239" s="1110" t="e">
        <f>' Table Z Net Exp Profiles'!G239</f>
        <v>#REF!</v>
      </c>
      <c r="CE239" s="1110" t="e">
        <f>' Table Z Net Exp Profiles'!H239</f>
        <v>#REF!</v>
      </c>
      <c r="CF239" s="1110" t="e">
        <f>' Table Z Net Exp Profiles'!I239</f>
        <v>#REF!</v>
      </c>
      <c r="CG239" s="1110" t="e">
        <f>' Table Z Net Exp Profiles'!J239</f>
        <v>#REF!</v>
      </c>
      <c r="CH239" s="1110" t="e">
        <f>' Table Z Net Exp Profiles'!K239</f>
        <v>#REF!</v>
      </c>
      <c r="CI239" s="1110" t="e">
        <f>' Table Z Net Exp Profiles'!L239</f>
        <v>#REF!</v>
      </c>
      <c r="CJ239" s="1110" t="e">
        <f>' Table Z Net Exp Profiles'!M239</f>
        <v>#REF!</v>
      </c>
      <c r="CK239" s="1110" t="e">
        <f>' Table Z Net Exp Profiles'!N239</f>
        <v>#REF!</v>
      </c>
      <c r="CL239" s="1110" t="e">
        <f>' Table Z Net Exp Profiles'!O239</f>
        <v>#REF!</v>
      </c>
      <c r="CM239" s="1101" t="e">
        <f>' Table Z Net Exp Profiles'!P239</f>
        <v>#REF!</v>
      </c>
      <c r="DF239" s="1914"/>
      <c r="DG239" s="1116"/>
      <c r="DH239" s="1918"/>
      <c r="DI239" s="1918"/>
      <c r="DJ239" s="1918"/>
      <c r="DK239" s="1918"/>
      <c r="DL239" s="1918"/>
      <c r="DM239" s="1918"/>
      <c r="DN239" s="1918"/>
      <c r="DO239" s="1918"/>
      <c r="DP239" s="1918"/>
      <c r="DQ239" s="1918"/>
      <c r="DR239" s="1918"/>
      <c r="DS239" s="1918"/>
      <c r="DT239" s="1918"/>
      <c r="DU239" s="1918"/>
      <c r="DV239" s="2594"/>
      <c r="DW239" s="2594"/>
      <c r="MR239" s="684"/>
      <c r="MS239" s="684"/>
      <c r="MT239" s="684"/>
      <c r="MU239" s="684"/>
      <c r="MV239" s="684"/>
      <c r="MW239" s="684"/>
      <c r="MX239" s="684"/>
      <c r="MY239" s="684"/>
      <c r="MZ239" s="684"/>
      <c r="NA239" s="684"/>
      <c r="NB239" s="684"/>
      <c r="NC239" s="684"/>
      <c r="ND239" s="684"/>
      <c r="NE239" s="684"/>
      <c r="NF239" s="684"/>
      <c r="NG239" s="684"/>
      <c r="NH239" s="684"/>
      <c r="NI239" s="684"/>
      <c r="NJ239" s="684"/>
      <c r="NK239" s="684"/>
    </row>
    <row r="240" spans="76:375" ht="20.149999999999999" customHeight="1" thickBot="1">
      <c r="BX240" s="1107">
        <f>' Table Z Net Exp Profiles'!A240</f>
        <v>175</v>
      </c>
      <c r="BY240" s="1270" t="str">
        <f>' Table Z Net Exp Profiles'!B240</f>
        <v>Net Surplus/(Deficit) - Movement</v>
      </c>
      <c r="BZ240" s="1110" t="e">
        <f>' Table Z Net Exp Profiles'!C240</f>
        <v>#REF!</v>
      </c>
      <c r="CA240" s="1110" t="e">
        <f>' Table Z Net Exp Profiles'!D240</f>
        <v>#REF!</v>
      </c>
      <c r="CB240" s="1110" t="e">
        <f>' Table Z Net Exp Profiles'!E240</f>
        <v>#REF!</v>
      </c>
      <c r="CC240" s="1110" t="e">
        <f>' Table Z Net Exp Profiles'!F240</f>
        <v>#REF!</v>
      </c>
      <c r="CD240" s="1110" t="e">
        <f>' Table Z Net Exp Profiles'!G240</f>
        <v>#REF!</v>
      </c>
      <c r="CE240" s="1110" t="e">
        <f>' Table Z Net Exp Profiles'!H240</f>
        <v>#REF!</v>
      </c>
      <c r="CF240" s="1110" t="e">
        <f>' Table Z Net Exp Profiles'!I240</f>
        <v>#REF!</v>
      </c>
      <c r="CG240" s="1110" t="e">
        <f>' Table Z Net Exp Profiles'!J240</f>
        <v>#REF!</v>
      </c>
      <c r="CH240" s="1110" t="e">
        <f>' Table Z Net Exp Profiles'!K240</f>
        <v>#REF!</v>
      </c>
      <c r="CI240" s="1110" t="e">
        <f>' Table Z Net Exp Profiles'!L240</f>
        <v>#REF!</v>
      </c>
      <c r="CJ240" s="1110" t="e">
        <f>' Table Z Net Exp Profiles'!M240</f>
        <v>#REF!</v>
      </c>
      <c r="CK240" s="1110" t="e">
        <f>' Table Z Net Exp Profiles'!N240</f>
        <v>#REF!</v>
      </c>
      <c r="CL240" s="1110" t="e">
        <f>' Table Z Net Exp Profiles'!O240</f>
        <v>#REF!</v>
      </c>
      <c r="CM240" s="1101" t="e">
        <f>' Table Z Net Exp Profiles'!P240</f>
        <v>#REF!</v>
      </c>
      <c r="DF240" s="1914"/>
      <c r="DG240" s="1116"/>
      <c r="DH240" s="1918"/>
      <c r="DI240" s="1918"/>
      <c r="DJ240" s="1918"/>
      <c r="DK240" s="1918"/>
      <c r="DL240" s="1918"/>
      <c r="DM240" s="1918"/>
      <c r="DN240" s="1918"/>
      <c r="DO240" s="1918"/>
      <c r="DP240" s="1918"/>
      <c r="DQ240" s="1918"/>
      <c r="DR240" s="1918"/>
      <c r="DS240" s="1918"/>
      <c r="DT240" s="1918"/>
      <c r="DU240" s="1918"/>
      <c r="DV240" s="2594"/>
      <c r="DW240" s="2594"/>
      <c r="MR240" s="684"/>
      <c r="MS240" s="684"/>
      <c r="MT240" s="684"/>
      <c r="MU240" s="684"/>
      <c r="MV240" s="684"/>
      <c r="MW240" s="684"/>
      <c r="MX240" s="684"/>
      <c r="MY240" s="684"/>
      <c r="MZ240" s="684"/>
      <c r="NA240" s="684"/>
      <c r="NB240" s="684"/>
      <c r="NC240" s="684"/>
      <c r="ND240" s="684"/>
      <c r="NE240" s="684"/>
      <c r="NF240" s="684"/>
      <c r="NG240" s="684"/>
      <c r="NH240" s="684"/>
      <c r="NI240" s="684"/>
      <c r="NJ240" s="684"/>
      <c r="NK240" s="684"/>
    </row>
    <row r="241" spans="76:375" ht="20.149999999999999" customHeight="1" thickBot="1">
      <c r="BX241" s="1107">
        <f>' Table Z Net Exp Profiles'!A241</f>
        <v>176</v>
      </c>
      <c r="BY241" s="1270" t="str">
        <f>' Table Z Net Exp Profiles'!B241</f>
        <v>Net Surplus/(Deficit) - Movement due to Covid-19</v>
      </c>
      <c r="BZ241" s="1110" t="e">
        <f>' Table Z Net Exp Profiles'!C241</f>
        <v>#REF!</v>
      </c>
      <c r="CA241" s="1110" t="e">
        <f>' Table Z Net Exp Profiles'!D241</f>
        <v>#REF!</v>
      </c>
      <c r="CB241" s="1110" t="e">
        <f>' Table Z Net Exp Profiles'!E241</f>
        <v>#REF!</v>
      </c>
      <c r="CC241" s="1110" t="e">
        <f>' Table Z Net Exp Profiles'!F241</f>
        <v>#REF!</v>
      </c>
      <c r="CD241" s="1110" t="e">
        <f>' Table Z Net Exp Profiles'!G241</f>
        <v>#REF!</v>
      </c>
      <c r="CE241" s="1110" t="e">
        <f>' Table Z Net Exp Profiles'!H241</f>
        <v>#REF!</v>
      </c>
      <c r="CF241" s="1110" t="e">
        <f>' Table Z Net Exp Profiles'!I241</f>
        <v>#REF!</v>
      </c>
      <c r="CG241" s="1110" t="e">
        <f>' Table Z Net Exp Profiles'!J241</f>
        <v>#REF!</v>
      </c>
      <c r="CH241" s="1110" t="e">
        <f>' Table Z Net Exp Profiles'!K241</f>
        <v>#REF!</v>
      </c>
      <c r="CI241" s="1110" t="e">
        <f>' Table Z Net Exp Profiles'!L241</f>
        <v>#REF!</v>
      </c>
      <c r="CJ241" s="1110" t="e">
        <f>' Table Z Net Exp Profiles'!M241</f>
        <v>#REF!</v>
      </c>
      <c r="CK241" s="1110" t="e">
        <f>' Table Z Net Exp Profiles'!N241</f>
        <v>#REF!</v>
      </c>
      <c r="CL241" s="1110" t="e">
        <f>' Table Z Net Exp Profiles'!O241</f>
        <v>#REF!</v>
      </c>
      <c r="CM241" s="1101" t="e">
        <f>' Table Z Net Exp Profiles'!P241</f>
        <v>#REF!</v>
      </c>
      <c r="DF241" s="1914"/>
      <c r="DG241" s="1116"/>
      <c r="DH241" s="1918"/>
      <c r="DI241" s="1918"/>
      <c r="DJ241" s="1918"/>
      <c r="DK241" s="1918"/>
      <c r="DL241" s="1918"/>
      <c r="DM241" s="1918"/>
      <c r="DN241" s="1918"/>
      <c r="DO241" s="1918"/>
      <c r="DP241" s="1918"/>
      <c r="DQ241" s="1918"/>
      <c r="DR241" s="1918"/>
      <c r="DS241" s="1918"/>
      <c r="DT241" s="1918"/>
      <c r="DU241" s="1918"/>
      <c r="DV241" s="2594"/>
      <c r="DW241" s="2594"/>
      <c r="MR241" s="684"/>
      <c r="MS241" s="684"/>
      <c r="MT241" s="684"/>
      <c r="MU241" s="684"/>
      <c r="MV241" s="684"/>
      <c r="MW241" s="684"/>
      <c r="MX241" s="684"/>
      <c r="MY241" s="684"/>
      <c r="MZ241" s="684"/>
      <c r="NA241" s="684"/>
      <c r="NB241" s="684"/>
      <c r="NC241" s="684"/>
      <c r="ND241" s="684"/>
      <c r="NE241" s="684"/>
      <c r="NF241" s="684"/>
      <c r="NG241" s="684"/>
      <c r="NH241" s="684"/>
      <c r="NI241" s="684"/>
      <c r="NJ241" s="684"/>
      <c r="NK241" s="684"/>
    </row>
    <row r="242" spans="76:375" ht="20.149999999999999" customHeight="1" thickBot="1">
      <c r="BX242" s="1107">
        <f>' Table Z Net Exp Profiles'!A242</f>
        <v>177</v>
      </c>
      <c r="BY242" s="1270" t="str">
        <f>' Table Z Net Exp Profiles'!B242</f>
        <v>Net Surplus/(Deficit) - Movement Other</v>
      </c>
      <c r="BZ242" s="1110" t="e">
        <f>' Table Z Net Exp Profiles'!C242</f>
        <v>#REF!</v>
      </c>
      <c r="CA242" s="1110" t="e">
        <f>' Table Z Net Exp Profiles'!D242</f>
        <v>#REF!</v>
      </c>
      <c r="CB242" s="1110" t="e">
        <f>' Table Z Net Exp Profiles'!E242</f>
        <v>#REF!</v>
      </c>
      <c r="CC242" s="1110" t="e">
        <f>' Table Z Net Exp Profiles'!F242</f>
        <v>#REF!</v>
      </c>
      <c r="CD242" s="1110" t="e">
        <f>' Table Z Net Exp Profiles'!G242</f>
        <v>#REF!</v>
      </c>
      <c r="CE242" s="1110" t="e">
        <f>' Table Z Net Exp Profiles'!H242</f>
        <v>#REF!</v>
      </c>
      <c r="CF242" s="1110" t="e">
        <f>' Table Z Net Exp Profiles'!I242</f>
        <v>#REF!</v>
      </c>
      <c r="CG242" s="1110" t="e">
        <f>' Table Z Net Exp Profiles'!J242</f>
        <v>#REF!</v>
      </c>
      <c r="CH242" s="1110" t="e">
        <f>' Table Z Net Exp Profiles'!K242</f>
        <v>#REF!</v>
      </c>
      <c r="CI242" s="1110" t="e">
        <f>' Table Z Net Exp Profiles'!L242</f>
        <v>#REF!</v>
      </c>
      <c r="CJ242" s="1110" t="e">
        <f>' Table Z Net Exp Profiles'!M242</f>
        <v>#REF!</v>
      </c>
      <c r="CK242" s="1110" t="e">
        <f>' Table Z Net Exp Profiles'!N242</f>
        <v>#REF!</v>
      </c>
      <c r="CL242" s="1110" t="e">
        <f>' Table Z Net Exp Profiles'!O242</f>
        <v>#REF!</v>
      </c>
      <c r="CM242" s="1101" t="e">
        <f>' Table Z Net Exp Profiles'!P242</f>
        <v>#REF!</v>
      </c>
      <c r="DF242" s="1914"/>
      <c r="DG242" s="1116"/>
      <c r="DH242" s="1918"/>
      <c r="DI242" s="1918"/>
      <c r="DJ242" s="1918"/>
      <c r="DK242" s="1918"/>
      <c r="DL242" s="1918"/>
      <c r="DM242" s="1918"/>
      <c r="DN242" s="1918"/>
      <c r="DO242" s="1918"/>
      <c r="DP242" s="1918"/>
      <c r="DQ242" s="1918"/>
      <c r="DR242" s="1918"/>
      <c r="DS242" s="1918"/>
      <c r="DT242" s="1918"/>
      <c r="DU242" s="1918"/>
      <c r="DV242" s="2594"/>
      <c r="DW242" s="2594"/>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4"/>
      <c r="DG243" s="1116"/>
      <c r="DH243" s="1918"/>
      <c r="DI243" s="1915"/>
      <c r="DJ243" s="1915"/>
      <c r="DK243" s="1915"/>
      <c r="DL243" s="1915"/>
      <c r="DM243" s="1915"/>
      <c r="DN243" s="1915"/>
      <c r="DO243" s="1915"/>
      <c r="DP243" s="1915"/>
      <c r="DQ243" s="1915"/>
      <c r="DR243" s="1915"/>
      <c r="DS243" s="1915"/>
      <c r="DT243" s="1915"/>
      <c r="DU243" s="1917"/>
      <c r="DV243" s="2594"/>
      <c r="DW243" s="2594"/>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4"/>
      <c r="DG244" s="1116"/>
      <c r="DH244" s="1918"/>
      <c r="DI244" s="1918"/>
      <c r="DJ244" s="1918"/>
      <c r="DK244" s="1918"/>
      <c r="DL244" s="1918"/>
      <c r="DM244" s="1918"/>
      <c r="DN244" s="1918"/>
      <c r="DO244" s="1918"/>
      <c r="DP244" s="1918"/>
      <c r="DQ244" s="1918"/>
      <c r="DR244" s="1918"/>
      <c r="DS244" s="1918"/>
      <c r="DT244" s="1918"/>
      <c r="DU244" s="1918"/>
      <c r="DV244" s="2594"/>
      <c r="DW244" s="2594"/>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6"/>
      <c r="DG245" s="1116"/>
      <c r="DH245" s="1916"/>
      <c r="DI245" s="1916"/>
      <c r="DJ245" s="1916"/>
      <c r="DK245" s="1916"/>
      <c r="DL245" s="1916"/>
      <c r="DM245" s="1916"/>
      <c r="DN245" s="1916"/>
      <c r="DO245" s="1916"/>
      <c r="DP245" s="1916"/>
      <c r="DQ245" s="1916"/>
      <c r="DR245" s="1916"/>
      <c r="DS245" s="1916"/>
      <c r="DT245" s="1116"/>
      <c r="DU245" s="1144"/>
      <c r="DV245" s="2594"/>
      <c r="DW245" s="2594"/>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80"/>
      <c r="DG246" s="1116"/>
      <c r="DH246" s="1116"/>
      <c r="DI246" s="1116"/>
      <c r="DJ246" s="1116"/>
      <c r="DK246" s="1116"/>
      <c r="DL246" s="1116"/>
      <c r="DM246" s="1116"/>
      <c r="DN246" s="1116"/>
      <c r="DO246" s="1116"/>
      <c r="DP246" s="1116"/>
      <c r="DQ246" s="1116"/>
      <c r="DR246" s="1116"/>
      <c r="DS246" s="1116"/>
      <c r="DT246" s="1116"/>
      <c r="DU246" s="1144"/>
      <c r="DV246" s="2594"/>
      <c r="DW246" s="2594"/>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6"/>
      <c r="DG247" s="1116"/>
      <c r="DH247" s="2781"/>
      <c r="DI247" s="2781"/>
      <c r="DJ247" s="2781"/>
      <c r="DK247" s="2781"/>
      <c r="DL247" s="2781"/>
      <c r="DM247" s="2781"/>
      <c r="DN247" s="2781"/>
      <c r="DO247" s="2781"/>
      <c r="DP247" s="2781"/>
      <c r="DQ247" s="2781"/>
      <c r="DR247" s="2781"/>
      <c r="DS247" s="2781"/>
      <c r="DT247" s="2782"/>
      <c r="DU247" s="2783"/>
      <c r="DV247" s="2594"/>
      <c r="DW247" s="2594"/>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6"/>
      <c r="DG248" s="1116"/>
      <c r="DH248" s="2784"/>
      <c r="DI248" s="2784"/>
      <c r="DJ248" s="2784"/>
      <c r="DK248" s="2784"/>
      <c r="DL248" s="2784"/>
      <c r="DM248" s="2784"/>
      <c r="DN248" s="2784"/>
      <c r="DO248" s="2784"/>
      <c r="DP248" s="2784"/>
      <c r="DQ248" s="2784"/>
      <c r="DR248" s="2784"/>
      <c r="DS248" s="2784"/>
      <c r="DT248" s="2784"/>
      <c r="DU248" s="2784"/>
      <c r="DV248" s="2594"/>
      <c r="DW248" s="2594"/>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5"/>
      <c r="DG249" s="2825"/>
      <c r="DH249" s="2784"/>
      <c r="DI249" s="2784"/>
      <c r="DJ249" s="2784"/>
      <c r="DK249" s="2784"/>
      <c r="DL249" s="2784"/>
      <c r="DM249" s="2784"/>
      <c r="DN249" s="2784"/>
      <c r="DO249" s="2784"/>
      <c r="DP249" s="2784"/>
      <c r="DQ249" s="2784"/>
      <c r="DR249" s="2784"/>
      <c r="DS249" s="2784"/>
      <c r="DT249" s="2784"/>
      <c r="DU249" s="2784"/>
      <c r="DV249" s="2594"/>
      <c r="DW249" s="2594"/>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4"/>
      <c r="DG250" s="2819"/>
      <c r="DH250" s="2786"/>
      <c r="DI250" s="2786"/>
      <c r="DJ250" s="2786"/>
      <c r="DK250" s="2786"/>
      <c r="DL250" s="2786"/>
      <c r="DM250" s="2786"/>
      <c r="DN250" s="2786"/>
      <c r="DO250" s="2786"/>
      <c r="DP250" s="2786"/>
      <c r="DQ250" s="2786"/>
      <c r="DR250" s="2786"/>
      <c r="DS250" s="2786"/>
      <c r="DT250" s="1917"/>
      <c r="DU250" s="1917"/>
      <c r="DV250" s="2594"/>
      <c r="DW250" s="2594"/>
    </row>
    <row r="251" spans="76:375" ht="20.149999999999999" customHeight="1">
      <c r="DF251" s="1116"/>
      <c r="DG251" s="1116"/>
      <c r="DH251" s="1916"/>
      <c r="DI251" s="1916"/>
      <c r="DJ251" s="1916"/>
      <c r="DK251" s="1916"/>
      <c r="DL251" s="1916"/>
      <c r="DM251" s="1916"/>
      <c r="DN251" s="1916"/>
      <c r="DO251" s="1916"/>
      <c r="DP251" s="1916"/>
      <c r="DQ251" s="1916"/>
      <c r="DR251" s="1916"/>
      <c r="DS251" s="1916"/>
      <c r="DT251" s="1116"/>
      <c r="DU251" s="1144"/>
      <c r="DV251" s="2594"/>
      <c r="DW251" s="2594"/>
    </row>
    <row r="252" spans="76:375" ht="20.149999999999999" customHeight="1">
      <c r="DF252" s="1914"/>
      <c r="DG252" s="2819"/>
      <c r="DH252" s="1918"/>
      <c r="DI252" s="1918"/>
      <c r="DJ252" s="1918"/>
      <c r="DK252" s="1918"/>
      <c r="DL252" s="1918"/>
      <c r="DM252" s="1918"/>
      <c r="DN252" s="1918"/>
      <c r="DO252" s="1918"/>
      <c r="DP252" s="1918"/>
      <c r="DQ252" s="1918"/>
      <c r="DR252" s="1918"/>
      <c r="DS252" s="1918"/>
      <c r="DT252" s="1918"/>
      <c r="DU252" s="1918"/>
      <c r="DV252" s="2594"/>
      <c r="DW252" s="2594"/>
    </row>
    <row r="253" spans="76:375" ht="20.149999999999999" customHeight="1">
      <c r="DF253" s="1914"/>
      <c r="DG253" s="2819"/>
      <c r="DH253" s="2786"/>
      <c r="DI253" s="2786"/>
      <c r="DJ253" s="2786"/>
      <c r="DK253" s="2786"/>
      <c r="DL253" s="2786"/>
      <c r="DM253" s="2786"/>
      <c r="DN253" s="2786"/>
      <c r="DO253" s="2786"/>
      <c r="DP253" s="2786"/>
      <c r="DQ253" s="2786"/>
      <c r="DR253" s="2786"/>
      <c r="DS253" s="2786"/>
      <c r="DT253" s="1918"/>
      <c r="DU253" s="1918"/>
      <c r="DV253" s="2594"/>
      <c r="DW253" s="2594"/>
    </row>
    <row r="254" spans="76:375" ht="20.149999999999999" customHeight="1">
      <c r="DF254" s="1116"/>
      <c r="DG254" s="1116"/>
      <c r="DH254" s="1116"/>
      <c r="DI254" s="1116"/>
      <c r="DJ254" s="1116"/>
      <c r="DK254" s="1116"/>
      <c r="DL254" s="1116"/>
      <c r="DM254" s="1116"/>
      <c r="DN254" s="1116"/>
      <c r="DO254" s="1116"/>
      <c r="DP254" s="1116"/>
      <c r="DQ254" s="1116"/>
      <c r="DR254" s="1116"/>
      <c r="DS254" s="1116"/>
      <c r="DT254" s="1116"/>
      <c r="DU254" s="1144"/>
      <c r="DV254" s="2594"/>
      <c r="DW254" s="2594"/>
    </row>
    <row r="255" spans="76:375" ht="20.149999999999999" customHeight="1">
      <c r="DF255" s="1914"/>
      <c r="DG255" s="2819"/>
      <c r="DH255" s="1918"/>
      <c r="DI255" s="1918"/>
      <c r="DJ255" s="1918"/>
      <c r="DK255" s="1918"/>
      <c r="DL255" s="1918"/>
      <c r="DM255" s="1918"/>
      <c r="DN255" s="1918"/>
      <c r="DO255" s="1918"/>
      <c r="DP255" s="1918"/>
      <c r="DQ255" s="1918"/>
      <c r="DR255" s="1918"/>
      <c r="DS255" s="1918"/>
      <c r="DT255" s="1918"/>
      <c r="DU255" s="1918"/>
      <c r="DV255" s="2594"/>
      <c r="DW255" s="2594"/>
    </row>
    <row r="256" spans="76:375" ht="20.149999999999999" customHeight="1">
      <c r="DF256" s="2594"/>
      <c r="DG256" s="2826"/>
      <c r="DH256" s="2594"/>
      <c r="DI256" s="2594"/>
      <c r="DJ256" s="2594"/>
      <c r="DK256" s="2594"/>
      <c r="DL256" s="2594"/>
      <c r="DM256" s="2594"/>
      <c r="DN256" s="2594"/>
      <c r="DO256" s="2594"/>
      <c r="DP256" s="2594"/>
      <c r="DQ256" s="2594"/>
      <c r="DR256" s="2594"/>
      <c r="DS256" s="2594"/>
      <c r="DT256" s="2594"/>
      <c r="DU256" s="2594"/>
      <c r="DV256" s="2594"/>
      <c r="DW256" s="2594"/>
    </row>
    <row r="257" spans="110:127" ht="20.149999999999999" customHeight="1">
      <c r="DF257" s="2594"/>
      <c r="DG257" s="2826"/>
      <c r="DH257" s="2594"/>
      <c r="DI257" s="2594"/>
      <c r="DJ257" s="2594"/>
      <c r="DK257" s="2594"/>
      <c r="DL257" s="2594"/>
      <c r="DM257" s="2594"/>
      <c r="DN257" s="2594"/>
      <c r="DO257" s="2594"/>
      <c r="DP257" s="2594"/>
      <c r="DQ257" s="2594"/>
      <c r="DR257" s="2594"/>
      <c r="DS257" s="2594"/>
      <c r="DT257" s="2594"/>
      <c r="DU257" s="2594"/>
      <c r="DV257" s="2594"/>
      <c r="DW257" s="2594"/>
    </row>
    <row r="258" spans="110:127" ht="20.149999999999999" customHeight="1">
      <c r="DF258" s="2594"/>
      <c r="DG258" s="3016"/>
      <c r="DH258" s="2784"/>
      <c r="DI258" s="2784"/>
      <c r="DJ258" s="2784"/>
      <c r="DK258" s="2784"/>
      <c r="DL258" s="2784"/>
      <c r="DM258" s="2784"/>
      <c r="DN258" s="2784"/>
      <c r="DO258" s="2784"/>
      <c r="DP258" s="2784"/>
      <c r="DQ258" s="2784"/>
      <c r="DR258" s="2784"/>
      <c r="DS258" s="2784"/>
      <c r="DT258" s="2784"/>
      <c r="DU258" s="2784"/>
      <c r="DV258" s="2594"/>
      <c r="DW258" s="2594"/>
    </row>
    <row r="259" spans="110:127" ht="20.149999999999999" customHeight="1">
      <c r="DF259" s="2594"/>
      <c r="DG259" s="3017"/>
      <c r="DH259" s="2784"/>
      <c r="DI259" s="2784"/>
      <c r="DJ259" s="2784"/>
      <c r="DK259" s="2784"/>
      <c r="DL259" s="2784"/>
      <c r="DM259" s="2784"/>
      <c r="DN259" s="2784"/>
      <c r="DO259" s="2784"/>
      <c r="DP259" s="2784"/>
      <c r="DQ259" s="2784"/>
      <c r="DR259" s="2784"/>
      <c r="DS259" s="2784"/>
      <c r="DT259" s="2784"/>
      <c r="DU259" s="2784"/>
      <c r="DV259" s="2594"/>
      <c r="DW259" s="2594"/>
    </row>
    <row r="260" spans="110:127" ht="20.149999999999999" customHeight="1">
      <c r="DF260" s="2594"/>
      <c r="DG260" s="2789"/>
      <c r="DH260" s="2789"/>
      <c r="DI260" s="2789"/>
      <c r="DJ260" s="2789"/>
      <c r="DK260" s="2789"/>
      <c r="DL260" s="2789"/>
      <c r="DM260" s="2789"/>
      <c r="DN260" s="2789"/>
      <c r="DO260" s="2789"/>
      <c r="DP260" s="2789"/>
      <c r="DQ260" s="2789"/>
      <c r="DR260" s="2789"/>
      <c r="DS260" s="2789"/>
      <c r="DT260" s="1917"/>
      <c r="DU260" s="1917"/>
      <c r="DV260" s="2594"/>
      <c r="DW260" s="2594"/>
    </row>
    <row r="261" spans="110:127" ht="20.149999999999999" customHeight="1">
      <c r="DF261" s="2594"/>
      <c r="DG261" s="2789"/>
      <c r="DH261" s="2789"/>
      <c r="DI261" s="2789"/>
      <c r="DJ261" s="2789"/>
      <c r="DK261" s="2789"/>
      <c r="DL261" s="2789"/>
      <c r="DM261" s="2789"/>
      <c r="DN261" s="2789"/>
      <c r="DO261" s="2789"/>
      <c r="DP261" s="2789"/>
      <c r="DQ261" s="2789"/>
      <c r="DR261" s="2789"/>
      <c r="DS261" s="2789"/>
      <c r="DT261" s="1917"/>
      <c r="DU261" s="1917"/>
      <c r="DV261" s="2594"/>
      <c r="DW261" s="2594"/>
    </row>
    <row r="262" spans="110:127" ht="20.149999999999999" customHeight="1">
      <c r="DF262" s="2594"/>
      <c r="DG262" s="2789"/>
      <c r="DH262" s="2789"/>
      <c r="DI262" s="2789"/>
      <c r="DJ262" s="2789"/>
      <c r="DK262" s="2789"/>
      <c r="DL262" s="2789"/>
      <c r="DM262" s="2789"/>
      <c r="DN262" s="2789"/>
      <c r="DO262" s="2789"/>
      <c r="DP262" s="2789"/>
      <c r="DQ262" s="2789"/>
      <c r="DR262" s="2789"/>
      <c r="DS262" s="2789"/>
      <c r="DT262" s="1917"/>
      <c r="DU262" s="1917"/>
      <c r="DV262" s="2594"/>
      <c r="DW262" s="2594"/>
    </row>
    <row r="263" spans="110:127" ht="20.149999999999999" customHeight="1">
      <c r="DF263" s="2594"/>
      <c r="DG263" s="2789"/>
      <c r="DH263" s="2789"/>
      <c r="DI263" s="2789"/>
      <c r="DJ263" s="2789"/>
      <c r="DK263" s="2789"/>
      <c r="DL263" s="2789"/>
      <c r="DM263" s="2789"/>
      <c r="DN263" s="2789"/>
      <c r="DO263" s="2789"/>
      <c r="DP263" s="2789"/>
      <c r="DQ263" s="2789"/>
      <c r="DR263" s="2789"/>
      <c r="DS263" s="2789"/>
      <c r="DT263" s="1917"/>
      <c r="DU263" s="1917"/>
      <c r="DV263" s="2594"/>
      <c r="DW263" s="2594"/>
    </row>
    <row r="264" spans="110:127" ht="20.149999999999999" customHeight="1">
      <c r="DF264" s="2594"/>
      <c r="DG264" s="2789"/>
      <c r="DH264" s="2789"/>
      <c r="DI264" s="2789"/>
      <c r="DJ264" s="2789"/>
      <c r="DK264" s="2789"/>
      <c r="DL264" s="2789"/>
      <c r="DM264" s="2789"/>
      <c r="DN264" s="2789"/>
      <c r="DO264" s="2789"/>
      <c r="DP264" s="2789"/>
      <c r="DQ264" s="2789"/>
      <c r="DR264" s="2789"/>
      <c r="DS264" s="2789"/>
      <c r="DT264" s="1917"/>
      <c r="DU264" s="1917"/>
      <c r="DV264" s="2594"/>
      <c r="DW264" s="2594"/>
    </row>
    <row r="265" spans="110:127" ht="20.149999999999999" customHeight="1">
      <c r="DF265" s="2594"/>
      <c r="DG265" s="2789"/>
      <c r="DH265" s="2789"/>
      <c r="DI265" s="2789"/>
      <c r="DJ265" s="2789"/>
      <c r="DK265" s="2789"/>
      <c r="DL265" s="2789"/>
      <c r="DM265" s="2789"/>
      <c r="DN265" s="2789"/>
      <c r="DO265" s="2789"/>
      <c r="DP265" s="2789"/>
      <c r="DQ265" s="2789"/>
      <c r="DR265" s="2789"/>
      <c r="DS265" s="2789"/>
      <c r="DT265" s="1917"/>
      <c r="DU265" s="1917"/>
      <c r="DV265" s="2594"/>
      <c r="DW265" s="2594"/>
    </row>
    <row r="266" spans="110:127" ht="20.149999999999999" customHeight="1">
      <c r="DF266" s="2594"/>
      <c r="DG266" s="2789"/>
      <c r="DH266" s="2789"/>
      <c r="DI266" s="2789"/>
      <c r="DJ266" s="2789"/>
      <c r="DK266" s="2789"/>
      <c r="DL266" s="2789"/>
      <c r="DM266" s="2789"/>
      <c r="DN266" s="2789"/>
      <c r="DO266" s="2789"/>
      <c r="DP266" s="2789"/>
      <c r="DQ266" s="2789"/>
      <c r="DR266" s="2789"/>
      <c r="DS266" s="2789"/>
      <c r="DT266" s="1917"/>
      <c r="DU266" s="1917"/>
      <c r="DV266" s="2594"/>
      <c r="DW266" s="2594"/>
    </row>
    <row r="267" spans="110:127" ht="20.149999999999999" customHeight="1">
      <c r="DF267" s="2594"/>
      <c r="DG267" s="2789"/>
      <c r="DH267" s="2789"/>
      <c r="DI267" s="2789"/>
      <c r="DJ267" s="2789"/>
      <c r="DK267" s="2789"/>
      <c r="DL267" s="2789"/>
      <c r="DM267" s="2789"/>
      <c r="DN267" s="2789"/>
      <c r="DO267" s="2789"/>
      <c r="DP267" s="2789"/>
      <c r="DQ267" s="2789"/>
      <c r="DR267" s="2789"/>
      <c r="DS267" s="2789"/>
      <c r="DT267" s="1917"/>
      <c r="DU267" s="1917"/>
      <c r="DV267" s="2594"/>
      <c r="DW267" s="2594"/>
    </row>
    <row r="268" spans="110:127" ht="20.149999999999999" customHeight="1">
      <c r="DF268" s="2594"/>
      <c r="DG268" s="2789"/>
      <c r="DH268" s="2789"/>
      <c r="DI268" s="2789"/>
      <c r="DJ268" s="2789"/>
      <c r="DK268" s="2789"/>
      <c r="DL268" s="2789"/>
      <c r="DM268" s="2789"/>
      <c r="DN268" s="2789"/>
      <c r="DO268" s="2789"/>
      <c r="DP268" s="2789"/>
      <c r="DQ268" s="2789"/>
      <c r="DR268" s="2789"/>
      <c r="DS268" s="2789"/>
      <c r="DT268" s="1917"/>
      <c r="DU268" s="1917"/>
      <c r="DV268" s="2594"/>
      <c r="DW268" s="2594"/>
    </row>
    <row r="269" spans="110:127" ht="20.149999999999999" customHeight="1">
      <c r="DF269" s="2594"/>
      <c r="DG269" s="2789"/>
      <c r="DH269" s="2789"/>
      <c r="DI269" s="2789"/>
      <c r="DJ269" s="2789"/>
      <c r="DK269" s="2789"/>
      <c r="DL269" s="2789"/>
      <c r="DM269" s="2789"/>
      <c r="DN269" s="2789"/>
      <c r="DO269" s="2789"/>
      <c r="DP269" s="2789"/>
      <c r="DQ269" s="2789"/>
      <c r="DR269" s="2789"/>
      <c r="DS269" s="2789"/>
      <c r="DT269" s="1917"/>
      <c r="DU269" s="1917"/>
      <c r="DV269" s="2594"/>
      <c r="DW269" s="2594"/>
    </row>
    <row r="270" spans="110:127" ht="20.149999999999999" customHeight="1">
      <c r="DF270" s="2594"/>
      <c r="DG270" s="2789"/>
      <c r="DH270" s="2789"/>
      <c r="DI270" s="2789"/>
      <c r="DJ270" s="2789"/>
      <c r="DK270" s="2789"/>
      <c r="DL270" s="2789"/>
      <c r="DM270" s="2789"/>
      <c r="DN270" s="2789"/>
      <c r="DO270" s="2789"/>
      <c r="DP270" s="2789"/>
      <c r="DQ270" s="2789"/>
      <c r="DR270" s="2789"/>
      <c r="DS270" s="2789"/>
      <c r="DT270" s="1917"/>
      <c r="DU270" s="1917"/>
      <c r="DV270" s="2594"/>
      <c r="DW270" s="2594"/>
    </row>
    <row r="271" spans="110:127" ht="20.149999999999999" customHeight="1">
      <c r="DF271" s="2594"/>
      <c r="DG271" s="2789"/>
      <c r="DH271" s="2789"/>
      <c r="DI271" s="2789"/>
      <c r="DJ271" s="2789"/>
      <c r="DK271" s="2789"/>
      <c r="DL271" s="2789"/>
      <c r="DM271" s="2789"/>
      <c r="DN271" s="2789"/>
      <c r="DO271" s="2789"/>
      <c r="DP271" s="2789"/>
      <c r="DQ271" s="2789"/>
      <c r="DR271" s="2789"/>
      <c r="DS271" s="2789"/>
      <c r="DT271" s="1917"/>
      <c r="DU271" s="1917"/>
      <c r="DV271" s="2594"/>
      <c r="DW271" s="2594"/>
    </row>
    <row r="272" spans="110:127" ht="20.149999999999999" customHeight="1">
      <c r="DF272" s="2594"/>
      <c r="DG272" s="2789"/>
      <c r="DH272" s="2789"/>
      <c r="DI272" s="2789"/>
      <c r="DJ272" s="2789"/>
      <c r="DK272" s="2789"/>
      <c r="DL272" s="2789"/>
      <c r="DM272" s="2789"/>
      <c r="DN272" s="2789"/>
      <c r="DO272" s="2789"/>
      <c r="DP272" s="2789"/>
      <c r="DQ272" s="2789"/>
      <c r="DR272" s="2789"/>
      <c r="DS272" s="2789"/>
      <c r="DT272" s="1917"/>
      <c r="DU272" s="1917"/>
      <c r="DV272" s="2594"/>
      <c r="DW272" s="2594"/>
    </row>
    <row r="273" spans="110:127" ht="20.149999999999999" customHeight="1">
      <c r="DF273" s="2594"/>
      <c r="DG273" s="1116"/>
      <c r="DH273" s="1915"/>
      <c r="DI273" s="1915"/>
      <c r="DJ273" s="1915"/>
      <c r="DK273" s="1915"/>
      <c r="DL273" s="1915"/>
      <c r="DM273" s="1915"/>
      <c r="DN273" s="1915"/>
      <c r="DO273" s="1915"/>
      <c r="DP273" s="1915"/>
      <c r="DQ273" s="1915"/>
      <c r="DR273" s="1915"/>
      <c r="DS273" s="1915"/>
      <c r="DT273" s="1915"/>
      <c r="DU273" s="1915"/>
      <c r="DV273" s="2594"/>
      <c r="DW273" s="2594"/>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tabSelected="1" topLeftCell="H34" zoomScale="110" zoomScaleNormal="110" workbookViewId="0">
      <selection activeCell="C52" sqref="C52"/>
    </sheetView>
  </sheetViews>
  <sheetFormatPr defaultColWidth="8.921875" defaultRowHeight="12.5"/>
  <cols>
    <col min="1" max="1" width="5.921875" style="9" customWidth="1"/>
    <col min="2" max="2" width="47.61328125" style="9" customWidth="1"/>
    <col min="3" max="15" width="10.4609375" style="9" customWidth="1"/>
    <col min="16" max="17" width="8.921875" style="758"/>
    <col min="18" max="18" width="49" style="758" bestFit="1" customWidth="1"/>
    <col min="19" max="19" width="63.15234375" style="758" customWidth="1"/>
    <col min="20" max="16384" width="8.921875" style="9"/>
  </cols>
  <sheetData>
    <row r="1" spans="1:37" ht="37.5" customHeight="1">
      <c r="A1" s="1358" t="str">
        <f>+Summary!A1</f>
        <v>Public Health Wales Trust</v>
      </c>
      <c r="B1" s="373"/>
      <c r="C1" s="80"/>
      <c r="D1" s="373" t="s">
        <v>460</v>
      </c>
      <c r="E1" s="1304" t="str">
        <f>Summary!H1</f>
        <v>Apr 23</v>
      </c>
      <c r="F1" s="373"/>
      <c r="G1" s="1874"/>
      <c r="H1" s="80"/>
      <c r="I1" s="80"/>
      <c r="J1" s="80"/>
      <c r="K1" s="80"/>
      <c r="L1" s="80"/>
      <c r="M1" s="80"/>
      <c r="N1" s="80"/>
      <c r="O1" s="80"/>
      <c r="P1" s="608"/>
      <c r="Q1" s="608"/>
      <c r="R1" s="1305" t="s">
        <v>532</v>
      </c>
      <c r="S1" s="1306" t="str">
        <f>IF($T$11&gt;0," If there are any validation errors, you must include an explanation within your narrative","")</f>
        <v/>
      </c>
      <c r="T1" s="1307"/>
      <c r="U1" s="80"/>
      <c r="V1" s="80"/>
      <c r="W1" s="80"/>
      <c r="X1" s="80"/>
      <c r="Y1" s="80"/>
      <c r="Z1" s="80"/>
      <c r="AA1" s="80"/>
      <c r="AB1" s="80"/>
      <c r="AC1" s="80"/>
      <c r="AD1" s="80"/>
      <c r="AE1" s="80"/>
      <c r="AF1" s="80"/>
      <c r="AG1" s="80"/>
      <c r="AH1" s="80"/>
      <c r="AI1" s="80"/>
      <c r="AJ1" s="80"/>
      <c r="AK1" s="80"/>
    </row>
    <row r="2" spans="1:37" ht="18">
      <c r="A2" s="80"/>
      <c r="B2" s="80"/>
      <c r="C2" s="80"/>
      <c r="D2" s="80"/>
      <c r="E2" s="1257"/>
      <c r="F2" s="1257"/>
      <c r="G2" s="1257"/>
      <c r="H2" s="1257"/>
      <c r="I2" s="2556" t="s">
        <v>969</v>
      </c>
      <c r="J2" s="2556">
        <v>1</v>
      </c>
      <c r="K2" s="80"/>
      <c r="L2" s="80"/>
      <c r="M2" s="80"/>
      <c r="N2" s="80"/>
      <c r="O2" s="80"/>
      <c r="P2" s="608"/>
      <c r="Q2" s="608"/>
      <c r="R2" s="773"/>
      <c r="S2" s="773"/>
      <c r="T2" s="841"/>
      <c r="U2" s="80"/>
      <c r="V2" s="80"/>
      <c r="W2" s="80"/>
      <c r="X2" s="80"/>
      <c r="Y2" s="80"/>
      <c r="Z2" s="80"/>
      <c r="AA2" s="80"/>
      <c r="AB2" s="80"/>
      <c r="AC2" s="80"/>
      <c r="AD2" s="80"/>
      <c r="AE2" s="80"/>
      <c r="AF2" s="80"/>
      <c r="AG2" s="80"/>
      <c r="AH2" s="80"/>
      <c r="AI2" s="80"/>
      <c r="AJ2" s="80"/>
      <c r="AK2" s="80"/>
    </row>
    <row r="3" spans="1:37" ht="18">
      <c r="A3" s="1308"/>
      <c r="B3" s="1309"/>
      <c r="C3" s="1310" t="str">
        <f>"This Table is currently showing "&amp;$T$11&amp;" errors"</f>
        <v>This Table is currently showing 0 errors</v>
      </c>
      <c r="D3" s="773"/>
      <c r="E3" s="2557"/>
      <c r="F3" s="2558"/>
      <c r="G3" s="2557"/>
      <c r="H3" s="1257"/>
      <c r="I3" s="2556" t="s">
        <v>968</v>
      </c>
      <c r="J3" s="2556">
        <v>1</v>
      </c>
      <c r="K3" s="80"/>
      <c r="L3" s="80"/>
      <c r="M3" s="80"/>
      <c r="N3" s="80"/>
      <c r="O3" s="917"/>
      <c r="P3" s="608"/>
      <c r="Q3" s="608"/>
      <c r="R3" s="999" t="s">
        <v>529</v>
      </c>
      <c r="S3" s="1312" t="str">
        <f>IF($J$3&gt;Summary!$K$1,"Ok",IF(SUM(C27:N27)&lt;&gt;0,"Analysis of Section A does not agree to line ref 13","Ok"))</f>
        <v>Ok</v>
      </c>
      <c r="T3" s="840">
        <f>IF(S3="Ok",0,1)</f>
        <v>0</v>
      </c>
      <c r="U3" s="80"/>
      <c r="V3" s="80"/>
      <c r="W3" s="80"/>
      <c r="X3" s="80"/>
      <c r="Y3" s="80"/>
      <c r="Z3" s="80"/>
      <c r="AA3" s="80"/>
      <c r="AB3" s="80"/>
      <c r="AC3" s="80"/>
      <c r="AD3" s="80"/>
      <c r="AE3" s="80"/>
      <c r="AF3" s="80"/>
      <c r="AG3" s="80"/>
      <c r="AH3" s="80"/>
      <c r="AI3" s="80"/>
      <c r="AJ3" s="80"/>
      <c r="AK3" s="80"/>
    </row>
    <row r="4" spans="1:37" ht="13">
      <c r="A4" s="1313"/>
      <c r="B4" s="80"/>
      <c r="C4" s="773"/>
      <c r="D4" s="773"/>
      <c r="E4" s="773"/>
      <c r="F4" s="773"/>
      <c r="G4" s="773"/>
      <c r="H4" s="80"/>
      <c r="I4" s="80"/>
      <c r="J4" s="80"/>
      <c r="K4" s="80"/>
      <c r="L4" s="80"/>
      <c r="M4" s="373"/>
      <c r="N4" s="1314"/>
      <c r="O4" s="80"/>
      <c r="P4" s="608"/>
      <c r="Q4" s="608"/>
      <c r="R4" s="999" t="s">
        <v>530</v>
      </c>
      <c r="S4" s="1312" t="str">
        <f>IF($J$3&gt;Summary!$K$1,"Ok",IF(SUM(C66:N66)&lt;&gt;0,"Analysis of Section B does not agree to Section C","Ok"))</f>
        <v>Ok</v>
      </c>
      <c r="T4" s="840">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1</v>
      </c>
      <c r="D5" s="773"/>
      <c r="E5" s="773"/>
      <c r="F5" s="773"/>
      <c r="G5" s="773"/>
      <c r="H5" s="80"/>
      <c r="I5" s="80"/>
      <c r="J5" s="80"/>
      <c r="K5" s="80"/>
      <c r="L5" s="80"/>
      <c r="M5" s="373"/>
      <c r="N5" s="1314"/>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3"/>
      <c r="C6" s="107">
        <f t="shared" ref="C6:M6" si="0">IF(C7&lt;=$C$5,1,0)</f>
        <v>1</v>
      </c>
      <c r="D6" s="107">
        <f t="shared" si="0"/>
        <v>0</v>
      </c>
      <c r="E6" s="107">
        <f t="shared" si="0"/>
        <v>0</v>
      </c>
      <c r="F6" s="107">
        <f t="shared" si="0"/>
        <v>0</v>
      </c>
      <c r="G6" s="107">
        <f t="shared" si="0"/>
        <v>0</v>
      </c>
      <c r="H6" s="107">
        <f t="shared" si="0"/>
        <v>0</v>
      </c>
      <c r="I6" s="107">
        <f t="shared" si="0"/>
        <v>0</v>
      </c>
      <c r="J6" s="107">
        <f t="shared" si="0"/>
        <v>0</v>
      </c>
      <c r="K6" s="107">
        <f t="shared" si="0"/>
        <v>0</v>
      </c>
      <c r="L6" s="107">
        <f t="shared" si="0"/>
        <v>0</v>
      </c>
      <c r="M6" s="107">
        <f t="shared" si="0"/>
        <v>0</v>
      </c>
      <c r="N6" s="107">
        <f>IF(N7&lt;=$C$5,1,0)</f>
        <v>0</v>
      </c>
      <c r="O6" s="1315"/>
      <c r="P6" s="608"/>
      <c r="Q6" s="608"/>
      <c r="R6" s="608"/>
      <c r="S6" s="608"/>
      <c r="T6" s="840"/>
      <c r="U6" s="80"/>
      <c r="V6" s="80"/>
      <c r="W6" s="80"/>
      <c r="X6" s="80"/>
      <c r="Y6" s="80"/>
      <c r="Z6" s="80"/>
      <c r="AA6" s="80"/>
      <c r="AB6" s="80"/>
      <c r="AC6" s="80"/>
      <c r="AD6" s="80"/>
      <c r="AE6" s="80"/>
      <c r="AF6" s="80"/>
      <c r="AG6" s="80"/>
      <c r="AH6" s="80"/>
      <c r="AI6" s="80"/>
      <c r="AJ6" s="80"/>
      <c r="AK6" s="80"/>
    </row>
    <row r="7" spans="1:37" ht="13.5" thickBot="1">
      <c r="A7" s="1308" t="s">
        <v>526</v>
      </c>
      <c r="B7" s="80"/>
      <c r="C7" s="1236">
        <v>1</v>
      </c>
      <c r="D7" s="1222">
        <v>2</v>
      </c>
      <c r="E7" s="1222">
        <v>3</v>
      </c>
      <c r="F7" s="1222">
        <v>4</v>
      </c>
      <c r="G7" s="1222">
        <v>5</v>
      </c>
      <c r="H7" s="1222">
        <v>6</v>
      </c>
      <c r="I7" s="1222">
        <v>7</v>
      </c>
      <c r="J7" s="1222">
        <v>8</v>
      </c>
      <c r="K7" s="1222">
        <v>9</v>
      </c>
      <c r="L7" s="1222">
        <v>10</v>
      </c>
      <c r="M7" s="1222">
        <v>11</v>
      </c>
      <c r="N7" s="1223">
        <v>12</v>
      </c>
      <c r="O7" s="1210"/>
      <c r="P7" s="1211"/>
      <c r="Q7" s="608"/>
      <c r="R7" s="608"/>
      <c r="S7" s="608"/>
      <c r="T7" s="840"/>
      <c r="U7" s="80"/>
      <c r="V7" s="80"/>
      <c r="W7" s="80"/>
      <c r="X7" s="80"/>
      <c r="Y7" s="80"/>
      <c r="Z7" s="80"/>
      <c r="AA7" s="80"/>
      <c r="AB7" s="80"/>
      <c r="AC7" s="80"/>
      <c r="AD7" s="80"/>
      <c r="AE7" s="80"/>
      <c r="AF7" s="80"/>
      <c r="AG7" s="80"/>
      <c r="AH7" s="80"/>
      <c r="AI7" s="80"/>
      <c r="AJ7" s="80"/>
      <c r="AK7" s="80"/>
    </row>
    <row r="8" spans="1:37" ht="39.5" thickBot="1">
      <c r="A8" s="80"/>
      <c r="B8" s="373"/>
      <c r="C8" s="1238" t="s">
        <v>181</v>
      </c>
      <c r="D8" s="1302" t="s">
        <v>89</v>
      </c>
      <c r="E8" s="1302" t="s">
        <v>90</v>
      </c>
      <c r="F8" s="1302" t="s">
        <v>91</v>
      </c>
      <c r="G8" s="1302" t="s">
        <v>92</v>
      </c>
      <c r="H8" s="1302" t="s">
        <v>93</v>
      </c>
      <c r="I8" s="1302" t="s">
        <v>94</v>
      </c>
      <c r="J8" s="1302" t="s">
        <v>95</v>
      </c>
      <c r="K8" s="1302" t="s">
        <v>96</v>
      </c>
      <c r="L8" s="1302" t="s">
        <v>97</v>
      </c>
      <c r="M8" s="1302" t="s">
        <v>98</v>
      </c>
      <c r="N8" s="1251" t="s">
        <v>99</v>
      </c>
      <c r="O8" s="1227" t="s">
        <v>493</v>
      </c>
      <c r="P8" s="1227" t="s">
        <v>440</v>
      </c>
      <c r="Q8" s="608"/>
      <c r="R8" s="608"/>
      <c r="S8" s="608"/>
      <c r="T8" s="840"/>
      <c r="U8" s="80"/>
      <c r="V8" s="80"/>
      <c r="W8" s="80"/>
      <c r="X8" s="80"/>
      <c r="Y8" s="80"/>
      <c r="Z8" s="80"/>
      <c r="AA8" s="80"/>
      <c r="AB8" s="80"/>
      <c r="AC8" s="80"/>
      <c r="AD8" s="80"/>
      <c r="AE8" s="80"/>
      <c r="AF8" s="80"/>
      <c r="AG8" s="80"/>
      <c r="AH8" s="80"/>
      <c r="AI8" s="80"/>
      <c r="AJ8" s="80"/>
      <c r="AK8" s="80"/>
    </row>
    <row r="9" spans="1:37" ht="13.5" thickBot="1">
      <c r="A9" s="1316" t="s">
        <v>192</v>
      </c>
      <c r="B9" s="1317" t="s">
        <v>193</v>
      </c>
      <c r="C9" s="1303" t="s">
        <v>50</v>
      </c>
      <c r="D9" s="1240" t="s">
        <v>50</v>
      </c>
      <c r="E9" s="1240" t="s">
        <v>50</v>
      </c>
      <c r="F9" s="1240" t="s">
        <v>50</v>
      </c>
      <c r="G9" s="1240" t="s">
        <v>50</v>
      </c>
      <c r="H9" s="1240" t="s">
        <v>50</v>
      </c>
      <c r="I9" s="1240" t="s">
        <v>50</v>
      </c>
      <c r="J9" s="1240" t="s">
        <v>50</v>
      </c>
      <c r="K9" s="1240" t="s">
        <v>50</v>
      </c>
      <c r="L9" s="1240" t="s">
        <v>50</v>
      </c>
      <c r="M9" s="1240" t="s">
        <v>50</v>
      </c>
      <c r="N9" s="1253" t="s">
        <v>50</v>
      </c>
      <c r="O9" s="1301" t="s">
        <v>50</v>
      </c>
      <c r="P9" s="1301" t="s">
        <v>50</v>
      </c>
      <c r="Q9" s="608"/>
      <c r="R9" s="608"/>
      <c r="S9" s="608"/>
      <c r="T9" s="840"/>
      <c r="U9" s="80"/>
      <c r="V9" s="80"/>
      <c r="W9" s="80"/>
      <c r="X9" s="80"/>
      <c r="Y9" s="80"/>
      <c r="Z9" s="80"/>
      <c r="AA9" s="80"/>
      <c r="AB9" s="80"/>
      <c r="AC9" s="80"/>
      <c r="AD9" s="80"/>
      <c r="AE9" s="80"/>
      <c r="AF9" s="80"/>
      <c r="AG9" s="80"/>
      <c r="AH9" s="80"/>
      <c r="AI9" s="80"/>
      <c r="AJ9" s="80"/>
      <c r="AK9" s="80"/>
    </row>
    <row r="10" spans="1:37" ht="13">
      <c r="A10" s="1328">
        <v>1</v>
      </c>
      <c r="B10" s="1332" t="s">
        <v>425</v>
      </c>
      <c r="C10" s="1330">
        <f>5444+SUM($C33:C33)+1</f>
        <v>5594</v>
      </c>
      <c r="D10" s="1327">
        <f>('B3 - COVID-19'!D10+'B3 - COVID-19'!D53+'B3 - COVID-19'!D96)+5033+23</f>
        <v>5119.1366666666663</v>
      </c>
      <c r="E10" s="1327">
        <f>('B3 - COVID-19'!E10+'B3 - COVID-19'!E53+'B3 - COVID-19'!E96)+5023+22</f>
        <v>5146.5910333333331</v>
      </c>
      <c r="F10" s="1327">
        <f>('B3 - COVID-19'!F10+'B3 - COVID-19'!F53+'B3 - COVID-19'!F96)+5021+23</f>
        <v>5163.2390333333333</v>
      </c>
      <c r="G10" s="1327">
        <f>('B3 - COVID-19'!G10+'B3 - COVID-19'!G53+'B3 - COVID-19'!G96)+5014+23</f>
        <v>5156.2390333333333</v>
      </c>
      <c r="H10" s="1327">
        <f>('B3 - COVID-19'!H10+'B3 - COVID-19'!H53+'B3 - COVID-19'!H96)+5017+24</f>
        <v>5160.2390333333333</v>
      </c>
      <c r="I10" s="1327">
        <f>('B3 - COVID-19'!I10+'B3 - COVID-19'!I53+'B3 - COVID-19'!I96)+5005+17</f>
        <v>5160.5559883333335</v>
      </c>
      <c r="J10" s="1327">
        <f>('B3 - COVID-19'!J10+'B3 - COVID-19'!J53+'B3 - COVID-19'!J96)+5005+17</f>
        <v>5160.5559883333335</v>
      </c>
      <c r="K10" s="1327">
        <f>('B3 - COVID-19'!K10+'B3 - COVID-19'!K53+'B3 - COVID-19'!K96)+4995+16</f>
        <v>5149.5559883333335</v>
      </c>
      <c r="L10" s="1327">
        <f>('B3 - COVID-19'!L10+'B3 - COVID-19'!L53+'B3 - COVID-19'!L96)+4992+17</f>
        <v>5147.5559883333335</v>
      </c>
      <c r="M10" s="1327">
        <f>('B3 - COVID-19'!M10+'B3 - COVID-19'!M53+'B3 - COVID-19'!M96)+4992+17</f>
        <v>5128.2390333333333</v>
      </c>
      <c r="N10" s="1334">
        <f>('B3 - COVID-19'!N10+'B3 - COVID-19'!N53+'B3 - COVID-19'!N96)+5001+15</f>
        <v>5135.2390333333333</v>
      </c>
      <c r="O10" s="1132">
        <f>SUMPRODUCT($C$6:$N$6,C10:N10)</f>
        <v>5594</v>
      </c>
      <c r="P10" s="1323">
        <f>SUM(C10:N10)</f>
        <v>62221.146819999994</v>
      </c>
      <c r="Q10" s="608"/>
      <c r="R10" s="608"/>
      <c r="S10" s="608"/>
      <c r="T10" s="840"/>
      <c r="U10" s="80"/>
      <c r="V10" s="80"/>
      <c r="W10" s="80"/>
      <c r="X10" s="80"/>
      <c r="Y10" s="80"/>
      <c r="Z10" s="80"/>
      <c r="AA10" s="80"/>
      <c r="AB10" s="80"/>
      <c r="AC10" s="80"/>
      <c r="AD10" s="80"/>
      <c r="AE10" s="80"/>
      <c r="AF10" s="80"/>
      <c r="AG10" s="80"/>
      <c r="AH10" s="80"/>
      <c r="AI10" s="80"/>
      <c r="AJ10" s="80"/>
      <c r="AK10" s="80"/>
    </row>
    <row r="11" spans="1:37" ht="13">
      <c r="A11" s="1329">
        <v>2</v>
      </c>
      <c r="B11" s="1333" t="s">
        <v>419</v>
      </c>
      <c r="C11" s="1331">
        <f>1209+SUM($C34:C34)</f>
        <v>1225</v>
      </c>
      <c r="D11" s="1326">
        <f>1261</f>
        <v>1261</v>
      </c>
      <c r="E11" s="1326">
        <f>1261</f>
        <v>1261</v>
      </c>
      <c r="F11" s="1326">
        <f>1261</f>
        <v>1261</v>
      </c>
      <c r="G11" s="1326">
        <f>1261</f>
        <v>1261</v>
      </c>
      <c r="H11" s="1326">
        <f>1266</f>
        <v>1266</v>
      </c>
      <c r="I11" s="1326">
        <f>1261</f>
        <v>1261</v>
      </c>
      <c r="J11" s="1326">
        <f>1261</f>
        <v>1261</v>
      </c>
      <c r="K11" s="1326">
        <f>1261</f>
        <v>1261</v>
      </c>
      <c r="L11" s="1326">
        <f>1261</f>
        <v>1261</v>
      </c>
      <c r="M11" s="1326">
        <f>1261</f>
        <v>1261</v>
      </c>
      <c r="N11" s="1335">
        <f>1261</f>
        <v>1261</v>
      </c>
      <c r="O11" s="1324">
        <f t="shared" ref="O11:O18" si="1">SUMPRODUCT($C$6:$N$6,C11:N11)</f>
        <v>1225</v>
      </c>
      <c r="P11" s="1325">
        <f t="shared" ref="P11:P18" si="2">SUM(C11:N11)</f>
        <v>15101</v>
      </c>
      <c r="Q11" s="608"/>
      <c r="R11" s="608"/>
      <c r="S11" s="608"/>
      <c r="T11" s="840">
        <f>SUM(T2:T10)</f>
        <v>0</v>
      </c>
      <c r="U11" s="80"/>
      <c r="V11" s="80"/>
      <c r="W11" s="80"/>
      <c r="X11" s="80"/>
      <c r="Y11" s="80"/>
      <c r="Z11" s="80"/>
      <c r="AA11" s="80"/>
      <c r="AB11" s="80"/>
      <c r="AC11" s="80"/>
      <c r="AD11" s="80"/>
      <c r="AE11" s="80"/>
      <c r="AF11" s="80"/>
      <c r="AG11" s="80"/>
      <c r="AH11" s="80"/>
      <c r="AI11" s="80"/>
      <c r="AJ11" s="80"/>
      <c r="AK11" s="80"/>
    </row>
    <row r="12" spans="1:37" ht="13">
      <c r="A12" s="1329">
        <v>3</v>
      </c>
      <c r="B12" s="1333" t="s">
        <v>420</v>
      </c>
      <c r="C12" s="1331">
        <f>476+SUM($C35:C35)</f>
        <v>479</v>
      </c>
      <c r="D12" s="1326">
        <v>443</v>
      </c>
      <c r="E12" s="1326">
        <v>443</v>
      </c>
      <c r="F12" s="1326">
        <v>443</v>
      </c>
      <c r="G12" s="1326">
        <v>443</v>
      </c>
      <c r="H12" s="1326">
        <v>443</v>
      </c>
      <c r="I12" s="1326">
        <v>443</v>
      </c>
      <c r="J12" s="1326">
        <v>443</v>
      </c>
      <c r="K12" s="1326">
        <v>443</v>
      </c>
      <c r="L12" s="1326">
        <v>443</v>
      </c>
      <c r="M12" s="1326">
        <v>443</v>
      </c>
      <c r="N12" s="1335">
        <v>445</v>
      </c>
      <c r="O12" s="1324">
        <f t="shared" si="1"/>
        <v>479</v>
      </c>
      <c r="P12" s="1325">
        <f t="shared" si="2"/>
        <v>5354</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9">
        <v>4</v>
      </c>
      <c r="B13" s="1333" t="s">
        <v>421</v>
      </c>
      <c r="C13" s="1331"/>
      <c r="D13" s="1326"/>
      <c r="E13" s="1326"/>
      <c r="F13" s="1326"/>
      <c r="G13" s="1326"/>
      <c r="H13" s="1326"/>
      <c r="I13" s="1326"/>
      <c r="J13" s="1326"/>
      <c r="K13" s="1326"/>
      <c r="L13" s="1326"/>
      <c r="M13" s="1326"/>
      <c r="N13" s="1335"/>
      <c r="O13" s="1324">
        <f t="shared" si="1"/>
        <v>0</v>
      </c>
      <c r="P13" s="1325">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9">
        <v>5</v>
      </c>
      <c r="B14" s="1333" t="s">
        <v>422</v>
      </c>
      <c r="C14" s="1331">
        <f>273+SUM($C37:C37)</f>
        <v>290</v>
      </c>
      <c r="D14" s="1326">
        <f>('B3 - COVID-19'!D14)+268</f>
        <v>270.49183333333332</v>
      </c>
      <c r="E14" s="1326">
        <f>('B3 - COVID-19'!E14)+268</f>
        <v>270.49183333333332</v>
      </c>
      <c r="F14" s="1326">
        <f>('B3 - COVID-19'!F14)+268</f>
        <v>270.49183333333332</v>
      </c>
      <c r="G14" s="1326">
        <f>('B3 - COVID-19'!G14)+268</f>
        <v>270.49183333333332</v>
      </c>
      <c r="H14" s="1326">
        <f>('B3 - COVID-19'!H14)+268</f>
        <v>270.49183333333332</v>
      </c>
      <c r="I14" s="1326">
        <f>('B3 - COVID-19'!I14)+268</f>
        <v>270.49183333333332</v>
      </c>
      <c r="J14" s="1326">
        <f>('B3 - COVID-19'!J14)+268</f>
        <v>270.49183333333332</v>
      </c>
      <c r="K14" s="1326">
        <f>('B3 - COVID-19'!K14)+268</f>
        <v>270.49183333333332</v>
      </c>
      <c r="L14" s="1326">
        <f>('B3 - COVID-19'!L14)+268</f>
        <v>270.49183333333332</v>
      </c>
      <c r="M14" s="1326">
        <f>('B3 - COVID-19'!M14)+268</f>
        <v>270.49183333333332</v>
      </c>
      <c r="N14" s="1335">
        <f>('B3 - COVID-19'!N14)+268</f>
        <v>270.49183333333332</v>
      </c>
      <c r="O14" s="1324">
        <f t="shared" si="1"/>
        <v>290</v>
      </c>
      <c r="P14" s="1325">
        <f t="shared" si="2"/>
        <v>3265.410166666667</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9">
        <v>6</v>
      </c>
      <c r="B15" s="1333" t="s">
        <v>364</v>
      </c>
      <c r="C15" s="1331">
        <f>968+SUM($C38:C38)</f>
        <v>968</v>
      </c>
      <c r="D15" s="1326">
        <v>1170</v>
      </c>
      <c r="E15" s="1326">
        <v>1170</v>
      </c>
      <c r="F15" s="1326">
        <v>1170</v>
      </c>
      <c r="G15" s="1326">
        <v>1170</v>
      </c>
      <c r="H15" s="1326">
        <v>1170</v>
      </c>
      <c r="I15" s="1326">
        <v>1170</v>
      </c>
      <c r="J15" s="1326">
        <v>1170</v>
      </c>
      <c r="K15" s="1326">
        <v>1170</v>
      </c>
      <c r="L15" s="1326">
        <v>1170</v>
      </c>
      <c r="M15" s="1326">
        <v>1170</v>
      </c>
      <c r="N15" s="1335">
        <v>1171</v>
      </c>
      <c r="O15" s="1324">
        <f t="shared" si="1"/>
        <v>968</v>
      </c>
      <c r="P15" s="1325">
        <f t="shared" si="2"/>
        <v>13839</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9">
        <v>7</v>
      </c>
      <c r="B16" s="1333" t="s">
        <v>423</v>
      </c>
      <c r="C16" s="1331">
        <f>1501+SUM($C39:C39)</f>
        <v>1591</v>
      </c>
      <c r="D16" s="1326">
        <f>('B3 - COVID-19'!D16+'B3 - COVID-19'!D59)+1516</f>
        <v>1567.3203333333333</v>
      </c>
      <c r="E16" s="1326">
        <f>('B3 - COVID-19'!E16+'B3 - COVID-19'!E59)+1516</f>
        <v>1580.5764833333333</v>
      </c>
      <c r="F16" s="1326">
        <f>('B3 - COVID-19'!F16+'B3 - COVID-19'!F59)+1516</f>
        <v>1593.5282916666667</v>
      </c>
      <c r="G16" s="1326">
        <f>('B3 - COVID-19'!G16+'B3 - COVID-19'!G59)+1516</f>
        <v>1593.5282916666667</v>
      </c>
      <c r="H16" s="1326">
        <f>('B3 - COVID-19'!H16+'B3 - COVID-19'!H59)+1516</f>
        <v>1593.9694916666667</v>
      </c>
      <c r="I16" s="1326">
        <f>('B3 - COVID-19'!I16+'B3 - COVID-19'!I59)+1516</f>
        <v>1593.5282916666667</v>
      </c>
      <c r="J16" s="1326">
        <f>1516+('B3 - COVID-19'!J16+'B3 - COVID-19'!J59)</f>
        <v>1593.5282916666667</v>
      </c>
      <c r="K16" s="1326">
        <f>('B3 - COVID-19'!K16+'B3 - COVID-19'!K59)+1516</f>
        <v>1593.5650583333334</v>
      </c>
      <c r="L16" s="1326">
        <f>('B3 - COVID-19'!L16+'B3 - COVID-19'!L59)+1516</f>
        <v>1593.5282916666667</v>
      </c>
      <c r="M16" s="1326">
        <f>('B3 - COVID-19'!M16+'B3 - COVID-19'!M59)+1516</f>
        <v>1593.5282916666667</v>
      </c>
      <c r="N16" s="1335">
        <f>('B3 - COVID-19'!N16+'B3 - COVID-19'!N59)+1517</f>
        <v>1594.5313555555556</v>
      </c>
      <c r="O16" s="1324">
        <f t="shared" si="1"/>
        <v>1591</v>
      </c>
      <c r="P16" s="1325">
        <f t="shared" si="2"/>
        <v>19082.132472222223</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9">
        <v>8</v>
      </c>
      <c r="B17" s="1333" t="s">
        <v>536</v>
      </c>
      <c r="C17" s="1331">
        <f>1+SUM($C40:C40)</f>
        <v>4</v>
      </c>
      <c r="D17" s="1326">
        <v>1</v>
      </c>
      <c r="E17" s="1326">
        <v>1</v>
      </c>
      <c r="F17" s="1326">
        <v>1</v>
      </c>
      <c r="G17" s="1326">
        <v>1</v>
      </c>
      <c r="H17" s="1326">
        <v>1</v>
      </c>
      <c r="I17" s="1326">
        <v>1</v>
      </c>
      <c r="J17" s="1326">
        <v>1</v>
      </c>
      <c r="K17" s="1326">
        <v>1</v>
      </c>
      <c r="L17" s="1326">
        <v>1</v>
      </c>
      <c r="M17" s="1326">
        <v>1</v>
      </c>
      <c r="N17" s="1335">
        <v>1</v>
      </c>
      <c r="O17" s="1324">
        <f t="shared" si="1"/>
        <v>4</v>
      </c>
      <c r="P17" s="1325">
        <f t="shared" si="2"/>
        <v>15</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9">
        <v>9</v>
      </c>
      <c r="B18" s="1360" t="s">
        <v>424</v>
      </c>
      <c r="C18" s="1336"/>
      <c r="D18" s="1337"/>
      <c r="E18" s="1337"/>
      <c r="F18" s="1337"/>
      <c r="G18" s="1337"/>
      <c r="H18" s="1337"/>
      <c r="I18" s="1337"/>
      <c r="J18" s="1337"/>
      <c r="K18" s="1337"/>
      <c r="L18" s="1337"/>
      <c r="M18" s="1337"/>
      <c r="N18" s="1338"/>
      <c r="O18" s="1339">
        <f t="shared" si="1"/>
        <v>0</v>
      </c>
      <c r="P18" s="1340">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3">
        <v>10</v>
      </c>
      <c r="B19" s="1357" t="s">
        <v>194</v>
      </c>
      <c r="C19" s="1341">
        <f>SUM(C10:C18)</f>
        <v>10151</v>
      </c>
      <c r="D19" s="1342">
        <f t="shared" ref="D19:O19" si="3">SUM(D10:D18)</f>
        <v>9831.948833333332</v>
      </c>
      <c r="E19" s="1342">
        <f t="shared" si="3"/>
        <v>9872.6593500000017</v>
      </c>
      <c r="F19" s="1342">
        <f t="shared" si="3"/>
        <v>9902.2591583333342</v>
      </c>
      <c r="G19" s="1342">
        <f t="shared" si="3"/>
        <v>9895.2591583333342</v>
      </c>
      <c r="H19" s="1342">
        <f t="shared" si="3"/>
        <v>9904.7003583333335</v>
      </c>
      <c r="I19" s="1342">
        <f t="shared" si="3"/>
        <v>9899.5761133333344</v>
      </c>
      <c r="J19" s="1342">
        <f t="shared" si="3"/>
        <v>9899.5761133333344</v>
      </c>
      <c r="K19" s="1342">
        <f t="shared" si="3"/>
        <v>9888.6128800000006</v>
      </c>
      <c r="L19" s="1342">
        <f t="shared" si="3"/>
        <v>9886.5761133333344</v>
      </c>
      <c r="M19" s="1342">
        <f t="shared" si="3"/>
        <v>9867.2591583333342</v>
      </c>
      <c r="N19" s="1343">
        <f t="shared" si="3"/>
        <v>9878.2622222222217</v>
      </c>
      <c r="O19" s="1344">
        <f t="shared" si="3"/>
        <v>10151</v>
      </c>
      <c r="P19" s="1345">
        <f>SUM(P10:P18)</f>
        <v>118877.68945888888</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8"/>
      <c r="B20" s="1319"/>
      <c r="C20" s="1320"/>
      <c r="D20" s="1320"/>
      <c r="E20" s="1320"/>
      <c r="F20" s="1320"/>
      <c r="G20" s="1320"/>
      <c r="H20" s="1320"/>
      <c r="I20" s="1320"/>
      <c r="J20" s="1320"/>
      <c r="K20" s="1320"/>
      <c r="L20" s="1320"/>
      <c r="M20" s="1320"/>
      <c r="N20" s="1320"/>
      <c r="O20" s="1321"/>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7">
        <v>11</v>
      </c>
      <c r="B24" s="2468" t="s">
        <v>360</v>
      </c>
      <c r="C24" s="2478">
        <f>'B - Monthly Positions'!D20</f>
        <v>10151</v>
      </c>
      <c r="D24" s="1570">
        <f>'B - Monthly Positions'!E20</f>
        <v>9831.948833333332</v>
      </c>
      <c r="E24" s="1570">
        <f>'B - Monthly Positions'!F20</f>
        <v>9872.6593499999999</v>
      </c>
      <c r="F24" s="1570">
        <f>'B - Monthly Positions'!G20</f>
        <v>9902.2591583333324</v>
      </c>
      <c r="G24" s="1570">
        <f>'B - Monthly Positions'!H20</f>
        <v>9895.2591583333324</v>
      </c>
      <c r="H24" s="1570">
        <f>'B - Monthly Positions'!I20</f>
        <v>9904.7003583333335</v>
      </c>
      <c r="I24" s="1570">
        <f>'B - Monthly Positions'!J20</f>
        <v>9899.5761133333326</v>
      </c>
      <c r="J24" s="1570">
        <f>'B - Monthly Positions'!K20</f>
        <v>9899.5761133333326</v>
      </c>
      <c r="K24" s="1570">
        <f>'B - Monthly Positions'!L20</f>
        <v>9888.6128800000006</v>
      </c>
      <c r="L24" s="1570">
        <f>'B - Monthly Positions'!M20</f>
        <v>9886.5761133333326</v>
      </c>
      <c r="M24" s="1570">
        <f>'B - Monthly Positions'!N20</f>
        <v>9867.2591583333324</v>
      </c>
      <c r="N24" s="2479">
        <f>'B - Monthly Positions'!O20</f>
        <v>9878.2622222222217</v>
      </c>
      <c r="O24" s="1132">
        <f>SUMPRODUCT($C$6:$N$6,C24:N24)</f>
        <v>10151</v>
      </c>
      <c r="P24" s="1323">
        <f>SUM(C24:N24)</f>
        <v>118877.68945888888</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9">
        <v>12</v>
      </c>
      <c r="B25" s="2469" t="s">
        <v>452</v>
      </c>
      <c r="C25" s="2470"/>
      <c r="D25" s="2471"/>
      <c r="E25" s="2471"/>
      <c r="F25" s="2471"/>
      <c r="G25" s="2471"/>
      <c r="H25" s="2471"/>
      <c r="I25" s="2471"/>
      <c r="J25" s="2471"/>
      <c r="K25" s="2471"/>
      <c r="L25" s="2471"/>
      <c r="M25" s="2471"/>
      <c r="N25" s="2472"/>
      <c r="O25" s="1367">
        <f>SUMPRODUCT($C$6:$N$6,C25:N25)</f>
        <v>0</v>
      </c>
      <c r="P25" s="1368">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50">
        <v>13</v>
      </c>
      <c r="B26" s="1351" t="s">
        <v>361</v>
      </c>
      <c r="C26" s="1344">
        <f>SUM(C24:C25)</f>
        <v>10151</v>
      </c>
      <c r="D26" s="1346">
        <f t="shared" ref="D26:N26" si="4">SUM(D24:D25)</f>
        <v>9831.948833333332</v>
      </c>
      <c r="E26" s="1346">
        <f t="shared" si="4"/>
        <v>9872.6593499999999</v>
      </c>
      <c r="F26" s="1346">
        <f t="shared" si="4"/>
        <v>9902.2591583333324</v>
      </c>
      <c r="G26" s="1346">
        <f t="shared" si="4"/>
        <v>9895.2591583333324</v>
      </c>
      <c r="H26" s="1346">
        <f t="shared" si="4"/>
        <v>9904.7003583333335</v>
      </c>
      <c r="I26" s="1346">
        <f t="shared" si="4"/>
        <v>9899.5761133333326</v>
      </c>
      <c r="J26" s="1346">
        <f t="shared" si="4"/>
        <v>9899.5761133333326</v>
      </c>
      <c r="K26" s="1346">
        <f t="shared" si="4"/>
        <v>9888.6128800000006</v>
      </c>
      <c r="L26" s="1346">
        <f t="shared" si="4"/>
        <v>9886.5761133333326</v>
      </c>
      <c r="M26" s="1346">
        <f t="shared" si="4"/>
        <v>9867.2591583333324</v>
      </c>
      <c r="N26" s="1345">
        <f t="shared" si="4"/>
        <v>9878.2622222222217</v>
      </c>
      <c r="O26" s="1344">
        <f>SUM(O24:O25)</f>
        <v>10151</v>
      </c>
      <c r="P26" s="1345">
        <f>SUM(P24:P25)</f>
        <v>118877.68945888888</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3"/>
      <c r="C27" s="1361">
        <f>IF(ABS(C26-C19)&gt;1,1,0)</f>
        <v>0</v>
      </c>
      <c r="D27" s="1361">
        <f t="shared" ref="D27:M27" si="5">IF(ABS(D26-D19)&gt;1,1,0)</f>
        <v>0</v>
      </c>
      <c r="E27" s="1361">
        <f t="shared" si="5"/>
        <v>0</v>
      </c>
      <c r="F27" s="1361">
        <f t="shared" si="5"/>
        <v>0</v>
      </c>
      <c r="G27" s="1361">
        <f t="shared" si="5"/>
        <v>0</v>
      </c>
      <c r="H27" s="1361">
        <f t="shared" si="5"/>
        <v>0</v>
      </c>
      <c r="I27" s="1361">
        <f t="shared" si="5"/>
        <v>0</v>
      </c>
      <c r="J27" s="1361">
        <f t="shared" si="5"/>
        <v>0</v>
      </c>
      <c r="K27" s="1361">
        <f t="shared" si="5"/>
        <v>0</v>
      </c>
      <c r="L27" s="1361">
        <f t="shared" si="5"/>
        <v>0</v>
      </c>
      <c r="M27" s="1361">
        <f t="shared" si="5"/>
        <v>0</v>
      </c>
      <c r="N27" s="1361">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3"/>
      <c r="C28" s="1257"/>
      <c r="D28" s="1257"/>
      <c r="E28" s="1257"/>
      <c r="F28" s="1257"/>
      <c r="G28" s="1257"/>
      <c r="H28" s="1257"/>
      <c r="I28" s="1257"/>
      <c r="J28" s="1257"/>
      <c r="K28" s="1257"/>
      <c r="L28" s="1257"/>
      <c r="M28" s="1257"/>
      <c r="N28" s="1257"/>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8"/>
      <c r="B29" s="1313"/>
      <c r="C29" s="1315"/>
      <c r="D29" s="1315"/>
      <c r="E29" s="1315"/>
      <c r="F29" s="1315"/>
      <c r="G29" s="1315"/>
      <c r="H29" s="1315"/>
      <c r="I29" s="1315"/>
      <c r="J29" s="1315"/>
      <c r="K29" s="1315"/>
      <c r="L29" s="1315"/>
      <c r="M29" s="1315"/>
      <c r="N29" s="1315"/>
      <c r="O29" s="1315"/>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8" t="s">
        <v>923</v>
      </c>
      <c r="B30" s="80"/>
      <c r="C30" s="1236">
        <v>1</v>
      </c>
      <c r="D30" s="1222">
        <v>2</v>
      </c>
      <c r="E30" s="1222">
        <v>3</v>
      </c>
      <c r="F30" s="1222">
        <v>4</v>
      </c>
      <c r="G30" s="1222">
        <v>5</v>
      </c>
      <c r="H30" s="1222">
        <v>6</v>
      </c>
      <c r="I30" s="1222">
        <v>7</v>
      </c>
      <c r="J30" s="1222">
        <v>8</v>
      </c>
      <c r="K30" s="1222">
        <v>9</v>
      </c>
      <c r="L30" s="1222">
        <v>10</v>
      </c>
      <c r="M30" s="1222">
        <v>11</v>
      </c>
      <c r="N30" s="1223">
        <v>12</v>
      </c>
      <c r="O30" s="1210"/>
      <c r="P30" s="1211"/>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9" t="s">
        <v>533</v>
      </c>
      <c r="B31" s="373"/>
      <c r="C31" s="1238" t="s">
        <v>181</v>
      </c>
      <c r="D31" s="1302" t="s">
        <v>89</v>
      </c>
      <c r="E31" s="1302" t="s">
        <v>90</v>
      </c>
      <c r="F31" s="1302" t="s">
        <v>91</v>
      </c>
      <c r="G31" s="1302" t="s">
        <v>92</v>
      </c>
      <c r="H31" s="1302" t="s">
        <v>93</v>
      </c>
      <c r="I31" s="1302" t="s">
        <v>94</v>
      </c>
      <c r="J31" s="1302" t="s">
        <v>95</v>
      </c>
      <c r="K31" s="1302" t="s">
        <v>96</v>
      </c>
      <c r="L31" s="1302" t="s">
        <v>97</v>
      </c>
      <c r="M31" s="1302" t="s">
        <v>98</v>
      </c>
      <c r="N31" s="1251" t="s">
        <v>99</v>
      </c>
      <c r="O31" s="1227" t="s">
        <v>493</v>
      </c>
      <c r="P31" s="1227"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6" t="s">
        <v>192</v>
      </c>
      <c r="B32" s="1317" t="s">
        <v>193</v>
      </c>
      <c r="C32" s="1303" t="s">
        <v>50</v>
      </c>
      <c r="D32" s="1240" t="s">
        <v>50</v>
      </c>
      <c r="E32" s="1240" t="s">
        <v>50</v>
      </c>
      <c r="F32" s="1240" t="s">
        <v>50</v>
      </c>
      <c r="G32" s="1240" t="s">
        <v>50</v>
      </c>
      <c r="H32" s="1240" t="s">
        <v>50</v>
      </c>
      <c r="I32" s="1240" t="s">
        <v>50</v>
      </c>
      <c r="J32" s="1240" t="s">
        <v>50</v>
      </c>
      <c r="K32" s="1240" t="s">
        <v>50</v>
      </c>
      <c r="L32" s="1240" t="s">
        <v>50</v>
      </c>
      <c r="M32" s="1240" t="s">
        <v>50</v>
      </c>
      <c r="N32" s="1253" t="s">
        <v>50</v>
      </c>
      <c r="O32" s="1301" t="s">
        <v>50</v>
      </c>
      <c r="P32" s="1301"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8">
        <v>1</v>
      </c>
      <c r="B33" s="1332" t="s">
        <v>425</v>
      </c>
      <c r="C33" s="1330">
        <v>149</v>
      </c>
      <c r="D33" s="1327">
        <f t="shared" ref="D33:N33" si="6">C33</f>
        <v>149</v>
      </c>
      <c r="E33" s="1327">
        <f t="shared" si="6"/>
        <v>149</v>
      </c>
      <c r="F33" s="1327">
        <f t="shared" si="6"/>
        <v>149</v>
      </c>
      <c r="G33" s="1327">
        <f t="shared" si="6"/>
        <v>149</v>
      </c>
      <c r="H33" s="1327">
        <f t="shared" si="6"/>
        <v>149</v>
      </c>
      <c r="I33" s="1327">
        <f t="shared" si="6"/>
        <v>149</v>
      </c>
      <c r="J33" s="1327">
        <f t="shared" si="6"/>
        <v>149</v>
      </c>
      <c r="K33" s="1327">
        <f t="shared" si="6"/>
        <v>149</v>
      </c>
      <c r="L33" s="1327">
        <f t="shared" si="6"/>
        <v>149</v>
      </c>
      <c r="M33" s="1327">
        <f t="shared" si="6"/>
        <v>149</v>
      </c>
      <c r="N33" s="1327">
        <f t="shared" si="6"/>
        <v>149</v>
      </c>
      <c r="O33" s="1132">
        <f t="shared" ref="O33:O41" si="7">SUMPRODUCT($C$6:$N$6,C33:N33)</f>
        <v>149</v>
      </c>
      <c r="P33" s="1323">
        <f t="shared" ref="P33:P41" si="8">SUM(C33:N33)</f>
        <v>1788</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9">
        <v>2</v>
      </c>
      <c r="B34" s="1333" t="s">
        <v>419</v>
      </c>
      <c r="C34" s="1331">
        <v>16</v>
      </c>
      <c r="D34" s="1327">
        <f t="shared" ref="D34:N41" si="9">C34</f>
        <v>16</v>
      </c>
      <c r="E34" s="1327">
        <f t="shared" si="9"/>
        <v>16</v>
      </c>
      <c r="F34" s="1327">
        <f t="shared" si="9"/>
        <v>16</v>
      </c>
      <c r="G34" s="1327">
        <f t="shared" si="9"/>
        <v>16</v>
      </c>
      <c r="H34" s="1327">
        <f t="shared" si="9"/>
        <v>16</v>
      </c>
      <c r="I34" s="1327">
        <f t="shared" si="9"/>
        <v>16</v>
      </c>
      <c r="J34" s="1327">
        <f t="shared" si="9"/>
        <v>16</v>
      </c>
      <c r="K34" s="1327">
        <f t="shared" si="9"/>
        <v>16</v>
      </c>
      <c r="L34" s="1327">
        <f t="shared" si="9"/>
        <v>16</v>
      </c>
      <c r="M34" s="1327">
        <f t="shared" si="9"/>
        <v>16</v>
      </c>
      <c r="N34" s="1327">
        <f t="shared" si="9"/>
        <v>16</v>
      </c>
      <c r="O34" s="1324">
        <f t="shared" si="7"/>
        <v>16</v>
      </c>
      <c r="P34" s="1325">
        <f t="shared" si="8"/>
        <v>192</v>
      </c>
      <c r="Q34" s="608"/>
      <c r="R34" s="608"/>
      <c r="S34" s="608"/>
      <c r="T34" s="80"/>
      <c r="U34" s="80"/>
      <c r="V34" s="80"/>
      <c r="W34" s="80"/>
      <c r="X34" s="80"/>
      <c r="Y34" s="80"/>
      <c r="Z34" s="80"/>
      <c r="AA34" s="80"/>
      <c r="AB34" s="80"/>
      <c r="AC34" s="80"/>
      <c r="AD34" s="80"/>
      <c r="AE34" s="80"/>
      <c r="AF34" s="80"/>
      <c r="AG34" s="80"/>
      <c r="AH34" s="80"/>
      <c r="AI34" s="80"/>
      <c r="AJ34" s="80"/>
      <c r="AK34" s="80"/>
    </row>
    <row r="35" spans="1:37" ht="12.9" customHeight="1">
      <c r="A35" s="1329">
        <v>3</v>
      </c>
      <c r="B35" s="1333" t="s">
        <v>420</v>
      </c>
      <c r="C35" s="1331">
        <v>3</v>
      </c>
      <c r="D35" s="1327">
        <f t="shared" si="9"/>
        <v>3</v>
      </c>
      <c r="E35" s="1327">
        <f t="shared" si="9"/>
        <v>3</v>
      </c>
      <c r="F35" s="1327">
        <f t="shared" si="9"/>
        <v>3</v>
      </c>
      <c r="G35" s="1327">
        <f t="shared" si="9"/>
        <v>3</v>
      </c>
      <c r="H35" s="1327">
        <f t="shared" si="9"/>
        <v>3</v>
      </c>
      <c r="I35" s="1327">
        <f t="shared" si="9"/>
        <v>3</v>
      </c>
      <c r="J35" s="1327">
        <f t="shared" si="9"/>
        <v>3</v>
      </c>
      <c r="K35" s="1327">
        <f t="shared" si="9"/>
        <v>3</v>
      </c>
      <c r="L35" s="1327">
        <f t="shared" si="9"/>
        <v>3</v>
      </c>
      <c r="M35" s="1327">
        <f t="shared" si="9"/>
        <v>3</v>
      </c>
      <c r="N35" s="1327">
        <f t="shared" si="9"/>
        <v>3</v>
      </c>
      <c r="O35" s="1324">
        <f t="shared" si="7"/>
        <v>3</v>
      </c>
      <c r="P35" s="1325">
        <f t="shared" si="8"/>
        <v>36</v>
      </c>
      <c r="Q35" s="608"/>
      <c r="R35" s="608"/>
      <c r="S35" s="608"/>
      <c r="T35" s="80"/>
      <c r="U35" s="80"/>
      <c r="V35" s="80"/>
      <c r="W35" s="80"/>
      <c r="X35" s="80"/>
      <c r="Y35" s="80"/>
      <c r="Z35" s="80"/>
      <c r="AA35" s="80"/>
      <c r="AB35" s="80"/>
      <c r="AC35" s="80"/>
      <c r="AD35" s="80"/>
      <c r="AE35" s="80"/>
      <c r="AF35" s="80"/>
      <c r="AG35" s="80"/>
      <c r="AH35" s="80"/>
      <c r="AI35" s="80"/>
      <c r="AJ35" s="80"/>
      <c r="AK35" s="80"/>
    </row>
    <row r="36" spans="1:37" ht="12.9" customHeight="1">
      <c r="A36" s="1329">
        <v>4</v>
      </c>
      <c r="B36" s="1333" t="s">
        <v>421</v>
      </c>
      <c r="C36" s="1331"/>
      <c r="D36" s="1327">
        <f t="shared" si="9"/>
        <v>0</v>
      </c>
      <c r="E36" s="1327">
        <f t="shared" si="9"/>
        <v>0</v>
      </c>
      <c r="F36" s="1327">
        <f t="shared" si="9"/>
        <v>0</v>
      </c>
      <c r="G36" s="1327">
        <f t="shared" si="9"/>
        <v>0</v>
      </c>
      <c r="H36" s="1327">
        <f t="shared" si="9"/>
        <v>0</v>
      </c>
      <c r="I36" s="1327">
        <f t="shared" si="9"/>
        <v>0</v>
      </c>
      <c r="J36" s="1327">
        <f t="shared" si="9"/>
        <v>0</v>
      </c>
      <c r="K36" s="1327">
        <f t="shared" si="9"/>
        <v>0</v>
      </c>
      <c r="L36" s="1327">
        <f t="shared" si="9"/>
        <v>0</v>
      </c>
      <c r="M36" s="1327">
        <f t="shared" si="9"/>
        <v>0</v>
      </c>
      <c r="N36" s="1327">
        <f t="shared" si="9"/>
        <v>0</v>
      </c>
      <c r="O36" s="1324">
        <f t="shared" si="7"/>
        <v>0</v>
      </c>
      <c r="P36" s="1325">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2.9" customHeight="1">
      <c r="A37" s="1329">
        <v>5</v>
      </c>
      <c r="B37" s="1333" t="s">
        <v>422</v>
      </c>
      <c r="C37" s="1331">
        <v>17</v>
      </c>
      <c r="D37" s="1327">
        <f t="shared" si="9"/>
        <v>17</v>
      </c>
      <c r="E37" s="1327">
        <f t="shared" si="9"/>
        <v>17</v>
      </c>
      <c r="F37" s="1327">
        <f t="shared" si="9"/>
        <v>17</v>
      </c>
      <c r="G37" s="1327">
        <f t="shared" si="9"/>
        <v>17</v>
      </c>
      <c r="H37" s="1327">
        <f t="shared" si="9"/>
        <v>17</v>
      </c>
      <c r="I37" s="1327">
        <f t="shared" si="9"/>
        <v>17</v>
      </c>
      <c r="J37" s="1327">
        <f t="shared" si="9"/>
        <v>17</v>
      </c>
      <c r="K37" s="1327">
        <f t="shared" si="9"/>
        <v>17</v>
      </c>
      <c r="L37" s="1327">
        <f t="shared" si="9"/>
        <v>17</v>
      </c>
      <c r="M37" s="1327">
        <f t="shared" si="9"/>
        <v>17</v>
      </c>
      <c r="N37" s="1327">
        <f t="shared" si="9"/>
        <v>17</v>
      </c>
      <c r="O37" s="1324">
        <f t="shared" si="7"/>
        <v>17</v>
      </c>
      <c r="P37" s="1325">
        <f t="shared" si="8"/>
        <v>204</v>
      </c>
      <c r="Q37" s="608"/>
      <c r="R37" s="608"/>
      <c r="S37" s="608"/>
      <c r="T37" s="80"/>
      <c r="U37" s="80"/>
      <c r="V37" s="80"/>
      <c r="W37" s="80"/>
      <c r="X37" s="80"/>
      <c r="Y37" s="80"/>
      <c r="Z37" s="80"/>
      <c r="AA37" s="80"/>
      <c r="AB37" s="80"/>
      <c r="AC37" s="80"/>
      <c r="AD37" s="80"/>
      <c r="AE37" s="80"/>
      <c r="AF37" s="80"/>
      <c r="AG37" s="80"/>
      <c r="AH37" s="80"/>
      <c r="AI37" s="80"/>
      <c r="AJ37" s="80"/>
      <c r="AK37" s="80"/>
    </row>
    <row r="38" spans="1:37" ht="12.9" customHeight="1">
      <c r="A38" s="1329">
        <v>6</v>
      </c>
      <c r="B38" s="1333" t="s">
        <v>364</v>
      </c>
      <c r="C38" s="1331"/>
      <c r="D38" s="1327">
        <f t="shared" si="9"/>
        <v>0</v>
      </c>
      <c r="E38" s="1327">
        <f t="shared" si="9"/>
        <v>0</v>
      </c>
      <c r="F38" s="1327">
        <f t="shared" si="9"/>
        <v>0</v>
      </c>
      <c r="G38" s="1327">
        <f t="shared" si="9"/>
        <v>0</v>
      </c>
      <c r="H38" s="1327">
        <f t="shared" si="9"/>
        <v>0</v>
      </c>
      <c r="I38" s="1327">
        <f t="shared" si="9"/>
        <v>0</v>
      </c>
      <c r="J38" s="1327">
        <f t="shared" si="9"/>
        <v>0</v>
      </c>
      <c r="K38" s="1327">
        <f t="shared" si="9"/>
        <v>0</v>
      </c>
      <c r="L38" s="1327">
        <f t="shared" si="9"/>
        <v>0</v>
      </c>
      <c r="M38" s="1327">
        <f t="shared" si="9"/>
        <v>0</v>
      </c>
      <c r="N38" s="1327">
        <f t="shared" si="9"/>
        <v>0</v>
      </c>
      <c r="O38" s="1324">
        <f t="shared" si="7"/>
        <v>0</v>
      </c>
      <c r="P38" s="1325">
        <f t="shared" si="8"/>
        <v>0</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9">
        <v>7</v>
      </c>
      <c r="B39" s="1333" t="s">
        <v>423</v>
      </c>
      <c r="C39" s="1331">
        <v>90</v>
      </c>
      <c r="D39" s="1327">
        <f t="shared" si="9"/>
        <v>90</v>
      </c>
      <c r="E39" s="1327">
        <f t="shared" si="9"/>
        <v>90</v>
      </c>
      <c r="F39" s="1327">
        <f t="shared" si="9"/>
        <v>90</v>
      </c>
      <c r="G39" s="1327">
        <f t="shared" si="9"/>
        <v>90</v>
      </c>
      <c r="H39" s="1327">
        <f t="shared" si="9"/>
        <v>90</v>
      </c>
      <c r="I39" s="1327">
        <f t="shared" si="9"/>
        <v>90</v>
      </c>
      <c r="J39" s="1327">
        <f t="shared" si="9"/>
        <v>90</v>
      </c>
      <c r="K39" s="1327">
        <f t="shared" si="9"/>
        <v>90</v>
      </c>
      <c r="L39" s="1327">
        <f t="shared" si="9"/>
        <v>90</v>
      </c>
      <c r="M39" s="1327">
        <f t="shared" si="9"/>
        <v>90</v>
      </c>
      <c r="N39" s="1327">
        <f t="shared" si="9"/>
        <v>90</v>
      </c>
      <c r="O39" s="1324">
        <f t="shared" si="7"/>
        <v>90</v>
      </c>
      <c r="P39" s="1325">
        <f t="shared" si="8"/>
        <v>1080</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9">
        <v>8</v>
      </c>
      <c r="B40" s="1333" t="s">
        <v>536</v>
      </c>
      <c r="C40" s="1331">
        <v>3</v>
      </c>
      <c r="D40" s="1327">
        <f t="shared" si="9"/>
        <v>3</v>
      </c>
      <c r="E40" s="1327">
        <f t="shared" si="9"/>
        <v>3</v>
      </c>
      <c r="F40" s="1327">
        <f t="shared" si="9"/>
        <v>3</v>
      </c>
      <c r="G40" s="1327">
        <f t="shared" si="9"/>
        <v>3</v>
      </c>
      <c r="H40" s="1327">
        <f t="shared" si="9"/>
        <v>3</v>
      </c>
      <c r="I40" s="1327">
        <f t="shared" si="9"/>
        <v>3</v>
      </c>
      <c r="J40" s="1327">
        <f t="shared" si="9"/>
        <v>3</v>
      </c>
      <c r="K40" s="1327">
        <f t="shared" si="9"/>
        <v>3</v>
      </c>
      <c r="L40" s="1327">
        <f t="shared" si="9"/>
        <v>3</v>
      </c>
      <c r="M40" s="1327">
        <f t="shared" si="9"/>
        <v>3</v>
      </c>
      <c r="N40" s="1327">
        <f t="shared" si="9"/>
        <v>3</v>
      </c>
      <c r="O40" s="1324">
        <f t="shared" si="7"/>
        <v>3</v>
      </c>
      <c r="P40" s="1325">
        <f t="shared" si="8"/>
        <v>36</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9">
        <v>9</v>
      </c>
      <c r="B41" s="1360" t="s">
        <v>424</v>
      </c>
      <c r="C41" s="1336"/>
      <c r="D41" s="1327">
        <f t="shared" si="9"/>
        <v>0</v>
      </c>
      <c r="E41" s="1327">
        <f t="shared" si="9"/>
        <v>0</v>
      </c>
      <c r="F41" s="1327">
        <f t="shared" si="9"/>
        <v>0</v>
      </c>
      <c r="G41" s="1327">
        <f t="shared" si="9"/>
        <v>0</v>
      </c>
      <c r="H41" s="1327">
        <f t="shared" si="9"/>
        <v>0</v>
      </c>
      <c r="I41" s="1327">
        <f t="shared" si="9"/>
        <v>0</v>
      </c>
      <c r="J41" s="1327">
        <f t="shared" si="9"/>
        <v>0</v>
      </c>
      <c r="K41" s="1327">
        <f t="shared" si="9"/>
        <v>0</v>
      </c>
      <c r="L41" s="1327">
        <f t="shared" si="9"/>
        <v>0</v>
      </c>
      <c r="M41" s="1327">
        <f t="shared" si="9"/>
        <v>0</v>
      </c>
      <c r="N41" s="1327">
        <f t="shared" si="9"/>
        <v>0</v>
      </c>
      <c r="O41" s="1339">
        <f t="shared" si="7"/>
        <v>0</v>
      </c>
      <c r="P41" s="1340">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3">
        <v>10</v>
      </c>
      <c r="B42" s="1357" t="s">
        <v>528</v>
      </c>
      <c r="C42" s="1341">
        <f>SUM(C33:C41)</f>
        <v>278</v>
      </c>
      <c r="D42" s="1342">
        <f t="shared" ref="D42:P42" si="10">SUM(D33:D41)</f>
        <v>278</v>
      </c>
      <c r="E42" s="1342">
        <f t="shared" si="10"/>
        <v>278</v>
      </c>
      <c r="F42" s="1342">
        <f t="shared" si="10"/>
        <v>278</v>
      </c>
      <c r="G42" s="1342">
        <f t="shared" si="10"/>
        <v>278</v>
      </c>
      <c r="H42" s="1342">
        <f t="shared" si="10"/>
        <v>278</v>
      </c>
      <c r="I42" s="1342">
        <f t="shared" si="10"/>
        <v>278</v>
      </c>
      <c r="J42" s="1342">
        <f t="shared" si="10"/>
        <v>278</v>
      </c>
      <c r="K42" s="1342">
        <f t="shared" si="10"/>
        <v>278</v>
      </c>
      <c r="L42" s="1342">
        <f t="shared" si="10"/>
        <v>278</v>
      </c>
      <c r="M42" s="1342">
        <f t="shared" si="10"/>
        <v>278</v>
      </c>
      <c r="N42" s="1343">
        <f t="shared" si="10"/>
        <v>278</v>
      </c>
      <c r="O42" s="1344">
        <f t="shared" si="10"/>
        <v>278</v>
      </c>
      <c r="P42" s="1345">
        <f t="shared" si="10"/>
        <v>3336</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2"/>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3">
        <v>11</v>
      </c>
      <c r="B44" s="1357" t="s">
        <v>300</v>
      </c>
      <c r="C44" s="1356">
        <f t="shared" ref="C44:P44" si="11">C42/C19</f>
        <v>2.7386464387745051E-2</v>
      </c>
      <c r="D44" s="1354">
        <f t="shared" si="11"/>
        <v>2.8275167488412314E-2</v>
      </c>
      <c r="E44" s="1354">
        <f t="shared" si="11"/>
        <v>2.8158573100164744E-2</v>
      </c>
      <c r="F44" s="1354">
        <f t="shared" si="11"/>
        <v>2.8074401563813509E-2</v>
      </c>
      <c r="G44" s="1354">
        <f t="shared" si="11"/>
        <v>2.8094261661240183E-2</v>
      </c>
      <c r="H44" s="1354">
        <f t="shared" si="11"/>
        <v>2.8067482098648681E-2</v>
      </c>
      <c r="I44" s="1354">
        <f t="shared" si="11"/>
        <v>2.8082010463617038E-2</v>
      </c>
      <c r="J44" s="1354">
        <f t="shared" si="11"/>
        <v>2.8082010463617038E-2</v>
      </c>
      <c r="K44" s="1354">
        <f t="shared" si="11"/>
        <v>2.8113144216845909E-2</v>
      </c>
      <c r="L44" s="1354">
        <f t="shared" si="11"/>
        <v>2.8118935899869402E-2</v>
      </c>
      <c r="M44" s="1354">
        <f t="shared" si="11"/>
        <v>2.8173983832705637E-2</v>
      </c>
      <c r="N44" s="1354">
        <f t="shared" si="11"/>
        <v>2.8142601780160165E-2</v>
      </c>
      <c r="O44" s="1354">
        <f t="shared" si="11"/>
        <v>2.7386464387745051E-2</v>
      </c>
      <c r="P44" s="1355">
        <f t="shared" si="11"/>
        <v>2.8062456590340099E-2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1" t="e">
        <f>IF(ABS(C42-' Table Z Net Exp Profiles'!#REF!+' Table Z Net Exp Profiles'!#REF!-' Table Z Net Exp Profiles'!C102)&gt;2,1,0)</f>
        <v>#REF!</v>
      </c>
      <c r="D45" s="1361" t="e">
        <f>IF(ABS(D42-' Table Z Net Exp Profiles'!#REF!+' Table Z Net Exp Profiles'!#REF!-' Table Z Net Exp Profiles'!D102)&gt;2,1,0)</f>
        <v>#REF!</v>
      </c>
      <c r="E45" s="1361" t="e">
        <f>IF(ABS(E42-' Table Z Net Exp Profiles'!#REF!+' Table Z Net Exp Profiles'!#REF!-' Table Z Net Exp Profiles'!E102)&gt;2,1,0)</f>
        <v>#REF!</v>
      </c>
      <c r="F45" s="1361" t="e">
        <f>IF(ABS(F42-' Table Z Net Exp Profiles'!#REF!+' Table Z Net Exp Profiles'!#REF!-' Table Z Net Exp Profiles'!F102)&gt;2,1,0)</f>
        <v>#REF!</v>
      </c>
      <c r="G45" s="1361" t="e">
        <f>IF(ABS(G42-' Table Z Net Exp Profiles'!#REF!+' Table Z Net Exp Profiles'!#REF!-' Table Z Net Exp Profiles'!G102)&gt;2,1,0)</f>
        <v>#REF!</v>
      </c>
      <c r="H45" s="1361" t="e">
        <f>IF(ABS(H42-' Table Z Net Exp Profiles'!#REF!+' Table Z Net Exp Profiles'!#REF!-' Table Z Net Exp Profiles'!H102)&gt;2,1,0)</f>
        <v>#REF!</v>
      </c>
      <c r="I45" s="1361" t="e">
        <f>IF(ABS(I42-' Table Z Net Exp Profiles'!#REF!+' Table Z Net Exp Profiles'!#REF!-' Table Z Net Exp Profiles'!I102)&gt;2,1,0)</f>
        <v>#REF!</v>
      </c>
      <c r="J45" s="1361" t="e">
        <f>IF(ABS(J42-' Table Z Net Exp Profiles'!#REF!+' Table Z Net Exp Profiles'!#REF!-' Table Z Net Exp Profiles'!J102)&gt;2,1,0)</f>
        <v>#REF!</v>
      </c>
      <c r="K45" s="1361" t="e">
        <f>IF(ABS(K42-' Table Z Net Exp Profiles'!#REF!+' Table Z Net Exp Profiles'!#REF!-' Table Z Net Exp Profiles'!K102)&gt;2,1,0)</f>
        <v>#REF!</v>
      </c>
      <c r="L45" s="1361" t="e">
        <f>IF(ABS(L42-' Table Z Net Exp Profiles'!#REF!+' Table Z Net Exp Profiles'!#REF!-' Table Z Net Exp Profiles'!L102)&gt;2,1,0)</f>
        <v>#REF!</v>
      </c>
      <c r="M45" s="1361" t="e">
        <f>IF(ABS(M42-' Table Z Net Exp Profiles'!#REF!+' Table Z Net Exp Profiles'!#REF!-' Table Z Net Exp Profiles'!M102)&gt;2,1,0)</f>
        <v>#REF!</v>
      </c>
      <c r="N45" s="1361" t="e">
        <f>IF(ABS(N42-' Table Z Net Exp Profiles'!#REF!+' Table Z Net Exp Profiles'!#REF!-' Table Z Net Exp Profiles'!N102)&gt;2,1,0)</f>
        <v>#REF!</v>
      </c>
      <c r="O45" s="1361" t="e">
        <f>IF(ABS(O42-' Table Z Net Exp Profiles'!#REF!+' Table Z Net Exp Profiles'!#REF!-' Table Z Net Exp Profiles'!O102)&gt;2,1,0)</f>
        <v>#REF!</v>
      </c>
      <c r="P45" s="1361"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7"/>
      <c r="D46" s="1257"/>
      <c r="E46" s="1257"/>
      <c r="F46" s="1257"/>
      <c r="G46" s="1257"/>
      <c r="H46" s="1257"/>
      <c r="I46" s="1257"/>
      <c r="J46" s="1257"/>
      <c r="K46" s="1257"/>
      <c r="L46" s="1257"/>
      <c r="M46" s="1257"/>
      <c r="N46" s="1257"/>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8"/>
      <c r="B48" s="1313"/>
      <c r="C48" s="1315"/>
      <c r="D48" s="1315"/>
      <c r="E48" s="1315"/>
      <c r="F48" s="1315"/>
      <c r="G48" s="1315"/>
      <c r="H48" s="1315"/>
      <c r="I48" s="1315"/>
      <c r="J48" s="1315"/>
      <c r="K48" s="1315"/>
      <c r="L48" s="1315"/>
      <c r="M48" s="1315"/>
      <c r="N48" s="1315"/>
      <c r="O48" s="1315"/>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8" t="s">
        <v>527</v>
      </c>
      <c r="B49" s="80"/>
      <c r="C49" s="1236">
        <v>1</v>
      </c>
      <c r="D49" s="1222">
        <v>2</v>
      </c>
      <c r="E49" s="1222">
        <v>3</v>
      </c>
      <c r="F49" s="1222">
        <v>4</v>
      </c>
      <c r="G49" s="1222">
        <v>5</v>
      </c>
      <c r="H49" s="1222">
        <v>6</v>
      </c>
      <c r="I49" s="1222">
        <v>7</v>
      </c>
      <c r="J49" s="1222">
        <v>8</v>
      </c>
      <c r="K49" s="1222">
        <v>9</v>
      </c>
      <c r="L49" s="1222">
        <v>10</v>
      </c>
      <c r="M49" s="1222">
        <v>11</v>
      </c>
      <c r="N49" s="1223">
        <v>12</v>
      </c>
      <c r="O49" s="1210"/>
      <c r="P49" s="1211"/>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9" t="s">
        <v>534</v>
      </c>
      <c r="B50" s="373"/>
      <c r="C50" s="1238" t="s">
        <v>181</v>
      </c>
      <c r="D50" s="1302" t="s">
        <v>89</v>
      </c>
      <c r="E50" s="1302" t="s">
        <v>90</v>
      </c>
      <c r="F50" s="1302" t="s">
        <v>91</v>
      </c>
      <c r="G50" s="1302" t="s">
        <v>92</v>
      </c>
      <c r="H50" s="1302" t="s">
        <v>93</v>
      </c>
      <c r="I50" s="1302" t="s">
        <v>94</v>
      </c>
      <c r="J50" s="1302" t="s">
        <v>95</v>
      </c>
      <c r="K50" s="1302" t="s">
        <v>96</v>
      </c>
      <c r="L50" s="1302" t="s">
        <v>97</v>
      </c>
      <c r="M50" s="1302" t="s">
        <v>98</v>
      </c>
      <c r="N50" s="1251" t="s">
        <v>99</v>
      </c>
      <c r="O50" s="1227" t="s">
        <v>493</v>
      </c>
      <c r="P50" s="1227"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6" t="s">
        <v>192</v>
      </c>
      <c r="B51" s="1317" t="s">
        <v>535</v>
      </c>
      <c r="C51" s="1303" t="s">
        <v>50</v>
      </c>
      <c r="D51" s="1240" t="s">
        <v>50</v>
      </c>
      <c r="E51" s="1240" t="s">
        <v>50</v>
      </c>
      <c r="F51" s="1240" t="s">
        <v>50</v>
      </c>
      <c r="G51" s="1240" t="s">
        <v>50</v>
      </c>
      <c r="H51" s="1240" t="s">
        <v>50</v>
      </c>
      <c r="I51" s="1240" t="s">
        <v>50</v>
      </c>
      <c r="J51" s="1240" t="s">
        <v>50</v>
      </c>
      <c r="K51" s="1240" t="s">
        <v>50</v>
      </c>
      <c r="L51" s="1240" t="s">
        <v>50</v>
      </c>
      <c r="M51" s="1240" t="s">
        <v>50</v>
      </c>
      <c r="N51" s="1253" t="s">
        <v>50</v>
      </c>
      <c r="O51" s="1301" t="s">
        <v>50</v>
      </c>
      <c r="P51" s="1301"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8">
        <v>1</v>
      </c>
      <c r="B52" s="1332" t="s">
        <v>586</v>
      </c>
      <c r="C52" s="1330">
        <v>271</v>
      </c>
      <c r="D52" s="1327">
        <f>C52</f>
        <v>271</v>
      </c>
      <c r="E52" s="1327">
        <f t="shared" ref="E52:N52" si="12">D52</f>
        <v>271</v>
      </c>
      <c r="F52" s="1327">
        <f t="shared" si="12"/>
        <v>271</v>
      </c>
      <c r="G52" s="1327">
        <f t="shared" si="12"/>
        <v>271</v>
      </c>
      <c r="H52" s="1327">
        <f t="shared" si="12"/>
        <v>271</v>
      </c>
      <c r="I52" s="1327">
        <f t="shared" si="12"/>
        <v>271</v>
      </c>
      <c r="J52" s="1327">
        <f t="shared" si="12"/>
        <v>271</v>
      </c>
      <c r="K52" s="1327">
        <f t="shared" si="12"/>
        <v>271</v>
      </c>
      <c r="L52" s="1327">
        <f t="shared" si="12"/>
        <v>271</v>
      </c>
      <c r="M52" s="1327">
        <f t="shared" si="12"/>
        <v>271</v>
      </c>
      <c r="N52" s="1327">
        <f t="shared" si="12"/>
        <v>271</v>
      </c>
      <c r="O52" s="1132">
        <f>SUMPRODUCT($C$6:$N$6,C52:N52)</f>
        <v>271</v>
      </c>
      <c r="P52" s="1323">
        <f>SUM(C52:N52)</f>
        <v>3252</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9">
        <f>A52+1</f>
        <v>2</v>
      </c>
      <c r="B53" s="1333" t="s">
        <v>587</v>
      </c>
      <c r="C53" s="1331">
        <v>7</v>
      </c>
      <c r="D53" s="1326">
        <f>C53</f>
        <v>7</v>
      </c>
      <c r="E53" s="1326">
        <f t="shared" ref="E53:N53" si="13">D53</f>
        <v>7</v>
      </c>
      <c r="F53" s="1326">
        <f t="shared" si="13"/>
        <v>7</v>
      </c>
      <c r="G53" s="1326">
        <f t="shared" si="13"/>
        <v>7</v>
      </c>
      <c r="H53" s="1326">
        <f t="shared" si="13"/>
        <v>7</v>
      </c>
      <c r="I53" s="1326">
        <f t="shared" si="13"/>
        <v>7</v>
      </c>
      <c r="J53" s="1326">
        <f t="shared" si="13"/>
        <v>7</v>
      </c>
      <c r="K53" s="1326">
        <f t="shared" si="13"/>
        <v>7</v>
      </c>
      <c r="L53" s="1326">
        <f t="shared" si="13"/>
        <v>7</v>
      </c>
      <c r="M53" s="1326">
        <f t="shared" si="13"/>
        <v>7</v>
      </c>
      <c r="N53" s="1326">
        <f t="shared" si="13"/>
        <v>7</v>
      </c>
      <c r="O53" s="1324">
        <f t="shared" ref="O53:O64" si="14">SUMPRODUCT($C$6:$N$6,C53:N53)</f>
        <v>7</v>
      </c>
      <c r="P53" s="1325">
        <f t="shared" ref="P53:P64" si="15">SUM(C53:N53)</f>
        <v>84</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9">
        <f t="shared" ref="A54:A63" si="16">A53+1</f>
        <v>3</v>
      </c>
      <c r="B54" s="1333" t="s">
        <v>588</v>
      </c>
      <c r="C54" s="1331"/>
      <c r="D54" s="1326"/>
      <c r="E54" s="1326"/>
      <c r="F54" s="1326"/>
      <c r="G54" s="1326"/>
      <c r="H54" s="1326"/>
      <c r="I54" s="1326"/>
      <c r="J54" s="1326"/>
      <c r="K54" s="1326"/>
      <c r="L54" s="1326"/>
      <c r="M54" s="1326"/>
      <c r="N54" s="1335"/>
      <c r="O54" s="1324">
        <f t="shared" si="14"/>
        <v>0</v>
      </c>
      <c r="P54" s="1325">
        <f t="shared" si="15"/>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9">
        <f t="shared" si="16"/>
        <v>4</v>
      </c>
      <c r="B55" s="1333" t="s">
        <v>589</v>
      </c>
      <c r="C55" s="1331"/>
      <c r="D55" s="1326"/>
      <c r="E55" s="1326"/>
      <c r="F55" s="1326"/>
      <c r="G55" s="1326"/>
      <c r="H55" s="1326"/>
      <c r="I55" s="1326"/>
      <c r="J55" s="1326"/>
      <c r="K55" s="1326"/>
      <c r="L55" s="1326"/>
      <c r="M55" s="1326"/>
      <c r="N55" s="1335"/>
      <c r="O55" s="1324">
        <f t="shared" si="14"/>
        <v>0</v>
      </c>
      <c r="P55" s="1325">
        <f t="shared" si="15"/>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9">
        <f t="shared" si="16"/>
        <v>5</v>
      </c>
      <c r="B56" s="1333" t="s">
        <v>590</v>
      </c>
      <c r="C56" s="1331"/>
      <c r="D56" s="1326"/>
      <c r="E56" s="1326"/>
      <c r="F56" s="1326"/>
      <c r="G56" s="1326"/>
      <c r="H56" s="1326"/>
      <c r="I56" s="1326"/>
      <c r="J56" s="1326"/>
      <c r="K56" s="1326"/>
      <c r="L56" s="1326"/>
      <c r="M56" s="1326"/>
      <c r="N56" s="1335"/>
      <c r="O56" s="1324">
        <f t="shared" si="14"/>
        <v>0</v>
      </c>
      <c r="P56" s="1325">
        <f t="shared" si="15"/>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9">
        <f t="shared" si="16"/>
        <v>6</v>
      </c>
      <c r="B57" s="1333" t="s">
        <v>591</v>
      </c>
      <c r="C57" s="1331"/>
      <c r="D57" s="1326"/>
      <c r="E57" s="1326"/>
      <c r="F57" s="1326"/>
      <c r="G57" s="1326"/>
      <c r="H57" s="1326"/>
      <c r="I57" s="1326"/>
      <c r="J57" s="1326"/>
      <c r="K57" s="1326"/>
      <c r="L57" s="1326"/>
      <c r="M57" s="1326"/>
      <c r="N57" s="1335"/>
      <c r="O57" s="1324">
        <f t="shared" si="14"/>
        <v>0</v>
      </c>
      <c r="P57" s="1325">
        <f t="shared" si="15"/>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9">
        <f t="shared" si="16"/>
        <v>7</v>
      </c>
      <c r="B58" s="1333" t="s">
        <v>592</v>
      </c>
      <c r="C58" s="1331"/>
      <c r="D58" s="1326"/>
      <c r="E58" s="1326"/>
      <c r="F58" s="1326"/>
      <c r="G58" s="1326"/>
      <c r="H58" s="1326"/>
      <c r="I58" s="1326"/>
      <c r="J58" s="1326"/>
      <c r="K58" s="1326"/>
      <c r="L58" s="1326"/>
      <c r="M58" s="1326"/>
      <c r="N58" s="1335"/>
      <c r="O58" s="1324">
        <f t="shared" si="14"/>
        <v>0</v>
      </c>
      <c r="P58" s="1325">
        <f t="shared" si="15"/>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9">
        <f t="shared" si="16"/>
        <v>8</v>
      </c>
      <c r="B59" s="1333" t="s">
        <v>593</v>
      </c>
      <c r="C59" s="1331"/>
      <c r="D59" s="1326"/>
      <c r="E59" s="1326"/>
      <c r="F59" s="1326"/>
      <c r="G59" s="1326"/>
      <c r="H59" s="1326"/>
      <c r="I59" s="1326"/>
      <c r="J59" s="1326"/>
      <c r="K59" s="1326"/>
      <c r="L59" s="1326"/>
      <c r="M59" s="1326"/>
      <c r="N59" s="1335"/>
      <c r="O59" s="1324">
        <f t="shared" si="14"/>
        <v>0</v>
      </c>
      <c r="P59" s="1325">
        <f t="shared" si="15"/>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9">
        <f t="shared" si="16"/>
        <v>9</v>
      </c>
      <c r="B60" s="1333" t="s">
        <v>594</v>
      </c>
      <c r="C60" s="1331"/>
      <c r="D60" s="1326"/>
      <c r="E60" s="1326"/>
      <c r="F60" s="1326"/>
      <c r="G60" s="1326"/>
      <c r="H60" s="1326"/>
      <c r="I60" s="1326"/>
      <c r="J60" s="1326"/>
      <c r="K60" s="1326"/>
      <c r="L60" s="1326"/>
      <c r="M60" s="1326"/>
      <c r="N60" s="1335"/>
      <c r="O60" s="1324">
        <f t="shared" si="14"/>
        <v>0</v>
      </c>
      <c r="P60" s="1325">
        <f t="shared" si="15"/>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9">
        <f t="shared" si="16"/>
        <v>10</v>
      </c>
      <c r="B61" s="1333" t="s">
        <v>595</v>
      </c>
      <c r="C61" s="1331"/>
      <c r="D61" s="1326"/>
      <c r="E61" s="1326"/>
      <c r="F61" s="1326"/>
      <c r="G61" s="1326"/>
      <c r="H61" s="1326"/>
      <c r="I61" s="1326"/>
      <c r="J61" s="1326"/>
      <c r="K61" s="1326"/>
      <c r="L61" s="1326"/>
      <c r="M61" s="1326"/>
      <c r="N61" s="1335"/>
      <c r="O61" s="1324">
        <f t="shared" si="14"/>
        <v>0</v>
      </c>
      <c r="P61" s="1325">
        <f t="shared" si="15"/>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9">
        <f t="shared" si="16"/>
        <v>11</v>
      </c>
      <c r="B62" s="1333" t="s">
        <v>596</v>
      </c>
      <c r="C62" s="1331"/>
      <c r="D62" s="1326"/>
      <c r="E62" s="1326"/>
      <c r="F62" s="1326"/>
      <c r="G62" s="1326"/>
      <c r="H62" s="1326"/>
      <c r="I62" s="1326"/>
      <c r="J62" s="1326"/>
      <c r="K62" s="1326"/>
      <c r="L62" s="1326"/>
      <c r="M62" s="1326"/>
      <c r="N62" s="1335"/>
      <c r="O62" s="1324">
        <f t="shared" si="14"/>
        <v>0</v>
      </c>
      <c r="P62" s="1325">
        <f t="shared" si="15"/>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9">
        <f t="shared" si="16"/>
        <v>12</v>
      </c>
      <c r="B63" s="1360" t="s">
        <v>597</v>
      </c>
      <c r="C63" s="1336"/>
      <c r="D63" s="1337"/>
      <c r="E63" s="1337"/>
      <c r="F63" s="1337"/>
      <c r="G63" s="1337"/>
      <c r="H63" s="1337"/>
      <c r="I63" s="1337"/>
      <c r="J63" s="1337"/>
      <c r="K63" s="1337"/>
      <c r="L63" s="1337"/>
      <c r="M63" s="1337"/>
      <c r="N63" s="1338"/>
      <c r="O63" s="1339">
        <f>SUMPRODUCT($C$6:$N$6,C63:N63)</f>
        <v>0</v>
      </c>
      <c r="P63" s="1340">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9"/>
      <c r="B64" s="1360"/>
      <c r="C64" s="1336"/>
      <c r="D64" s="1337"/>
      <c r="E64" s="1337"/>
      <c r="F64" s="1337"/>
      <c r="G64" s="1337"/>
      <c r="H64" s="1337"/>
      <c r="I64" s="1337"/>
      <c r="J64" s="1337"/>
      <c r="K64" s="1337"/>
      <c r="L64" s="1337"/>
      <c r="M64" s="1337"/>
      <c r="N64" s="1338"/>
      <c r="O64" s="1339">
        <f t="shared" si="14"/>
        <v>0</v>
      </c>
      <c r="P64" s="1340">
        <f t="shared" si="15"/>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3">
        <f>A63+1</f>
        <v>13</v>
      </c>
      <c r="B65" s="1357" t="s">
        <v>528</v>
      </c>
      <c r="C65" s="1341">
        <f t="shared" ref="C65:P65" si="17">SUM(C52:C64)</f>
        <v>278</v>
      </c>
      <c r="D65" s="1342">
        <f t="shared" si="17"/>
        <v>278</v>
      </c>
      <c r="E65" s="1342">
        <f t="shared" si="17"/>
        <v>278</v>
      </c>
      <c r="F65" s="1342">
        <f t="shared" si="17"/>
        <v>278</v>
      </c>
      <c r="G65" s="1342">
        <f t="shared" si="17"/>
        <v>278</v>
      </c>
      <c r="H65" s="1342">
        <f t="shared" si="17"/>
        <v>278</v>
      </c>
      <c r="I65" s="1342">
        <f t="shared" si="17"/>
        <v>278</v>
      </c>
      <c r="J65" s="1342">
        <f t="shared" si="17"/>
        <v>278</v>
      </c>
      <c r="K65" s="1342">
        <f t="shared" si="17"/>
        <v>278</v>
      </c>
      <c r="L65" s="1342">
        <f t="shared" si="17"/>
        <v>278</v>
      </c>
      <c r="M65" s="1342">
        <f t="shared" si="17"/>
        <v>278</v>
      </c>
      <c r="N65" s="1343">
        <f t="shared" si="17"/>
        <v>278</v>
      </c>
      <c r="O65" s="1344">
        <f t="shared" si="17"/>
        <v>278</v>
      </c>
      <c r="P65" s="1345">
        <f t="shared" si="17"/>
        <v>3336</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6">
        <f t="shared" ref="C66:N66" si="18">IF(ABS(C65-C42)&gt;1,1,0)</f>
        <v>0</v>
      </c>
      <c r="D66" s="1366">
        <f t="shared" si="18"/>
        <v>0</v>
      </c>
      <c r="E66" s="1366">
        <f t="shared" si="18"/>
        <v>0</v>
      </c>
      <c r="F66" s="1366">
        <f t="shared" si="18"/>
        <v>0</v>
      </c>
      <c r="G66" s="1366">
        <f t="shared" si="18"/>
        <v>0</v>
      </c>
      <c r="H66" s="1366">
        <f t="shared" si="18"/>
        <v>0</v>
      </c>
      <c r="I66" s="1366">
        <f t="shared" si="18"/>
        <v>0</v>
      </c>
      <c r="J66" s="1366">
        <f t="shared" si="18"/>
        <v>0</v>
      </c>
      <c r="K66" s="1366">
        <f t="shared" si="18"/>
        <v>0</v>
      </c>
      <c r="L66" s="1366">
        <f t="shared" si="18"/>
        <v>0</v>
      </c>
      <c r="M66" s="1366">
        <f t="shared" si="18"/>
        <v>0</v>
      </c>
      <c r="N66" s="1366">
        <f t="shared" si="18"/>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zoomScaleNormal="100" workbookViewId="0">
      <selection activeCell="C25" sqref="C25"/>
    </sheetView>
  </sheetViews>
  <sheetFormatPr defaultColWidth="8.921875" defaultRowHeight="12.5"/>
  <cols>
    <col min="1" max="1" width="5.921875" style="9" customWidth="1"/>
    <col min="2" max="2" width="116.07421875" style="9" bestFit="1" customWidth="1"/>
    <col min="3" max="15" width="10.4609375" style="9" customWidth="1"/>
    <col min="16" max="17" width="8.921875" style="758"/>
    <col min="18" max="18" width="62.921875" style="758" customWidth="1"/>
    <col min="19" max="19" width="8.921875" style="758" customWidth="1"/>
    <col min="20" max="31" width="8.921875" style="9"/>
    <col min="32" max="32" width="11.07421875" style="9" customWidth="1"/>
    <col min="33" max="16384" width="8.921875" style="9"/>
  </cols>
  <sheetData>
    <row r="1" spans="1:36" ht="37.5" customHeight="1">
      <c r="A1" s="1358" t="str">
        <f>Summary!A1</f>
        <v>Public Health Wales Trust</v>
      </c>
      <c r="B1" s="373"/>
      <c r="C1" s="1874"/>
      <c r="D1" s="80"/>
      <c r="E1" s="80"/>
      <c r="F1" s="373"/>
      <c r="G1" s="80"/>
      <c r="H1" s="80"/>
      <c r="I1" s="80"/>
      <c r="J1" s="80"/>
      <c r="K1" s="80"/>
      <c r="L1" s="80"/>
      <c r="M1" s="80"/>
      <c r="N1" s="80"/>
      <c r="O1" s="373" t="s">
        <v>460</v>
      </c>
      <c r="P1" s="1304" t="str">
        <f>Summary!H1</f>
        <v>Apr 23</v>
      </c>
      <c r="Q1" s="608"/>
      <c r="R1" s="1305"/>
      <c r="S1" s="1305"/>
      <c r="T1" s="1307"/>
      <c r="U1" s="80"/>
      <c r="V1" s="80"/>
      <c r="W1" s="80"/>
      <c r="X1" s="80"/>
      <c r="Y1" s="80"/>
      <c r="Z1" s="80"/>
      <c r="AA1" s="80"/>
      <c r="AB1" s="80"/>
      <c r="AC1" s="80"/>
      <c r="AD1" s="80"/>
      <c r="AE1" s="80"/>
      <c r="AF1" s="80"/>
      <c r="AG1" s="80"/>
      <c r="AH1" s="80"/>
      <c r="AI1" s="80"/>
      <c r="AJ1" s="80"/>
    </row>
    <row r="2" spans="1:36" ht="25.5" customHeight="1">
      <c r="A2" s="1308"/>
      <c r="B2" s="1309"/>
      <c r="C2" s="1310" t="str">
        <f>"This Table is currently showing "&amp;$Y$5&amp;" errors"</f>
        <v>This Table is currently showing 0 errors</v>
      </c>
      <c r="D2" s="773"/>
      <c r="E2" s="773"/>
      <c r="F2" s="1311"/>
      <c r="G2" s="773"/>
      <c r="H2" s="80"/>
      <c r="I2" s="80"/>
      <c r="J2" s="80"/>
      <c r="K2" s="80"/>
      <c r="L2" s="80"/>
      <c r="M2" s="80"/>
      <c r="N2" s="80"/>
      <c r="O2" s="917"/>
      <c r="P2" s="608"/>
      <c r="Q2" s="608"/>
      <c r="R2" s="769" t="s">
        <v>1113</v>
      </c>
      <c r="S2" s="71"/>
      <c r="T2" s="841"/>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1</v>
      </c>
      <c r="D3" s="773"/>
      <c r="E3" s="773"/>
      <c r="F3" s="773"/>
      <c r="G3" s="773"/>
      <c r="H3" s="80"/>
      <c r="I3" s="80"/>
      <c r="J3" s="80"/>
      <c r="K3" s="80"/>
      <c r="L3" s="80"/>
      <c r="M3" s="373"/>
      <c r="N3" s="1314"/>
      <c r="O3" s="80"/>
      <c r="P3" s="608"/>
      <c r="Q3" s="608"/>
      <c r="R3" s="1306" t="str">
        <f>IF($Y$5&gt;0," If there are any validation errors, you must include an explanation within your narrative","")</f>
        <v/>
      </c>
      <c r="S3" s="71"/>
      <c r="T3" s="841"/>
      <c r="U3" s="80"/>
      <c r="V3" s="80"/>
      <c r="W3" s="80"/>
      <c r="X3" s="80"/>
      <c r="Y3" s="111"/>
      <c r="Z3" s="80"/>
      <c r="AA3" s="80"/>
      <c r="AB3" s="80"/>
      <c r="AC3" s="80"/>
      <c r="AD3" s="80"/>
      <c r="AE3" s="80"/>
      <c r="AF3" s="80"/>
      <c r="AG3" s="80"/>
      <c r="AH3" s="80"/>
      <c r="AI3" s="80"/>
      <c r="AJ3" s="80"/>
    </row>
    <row r="4" spans="1:36" ht="16" thickBot="1">
      <c r="A4" s="280"/>
      <c r="B4" s="1313"/>
      <c r="C4" s="107">
        <f t="shared" ref="C4:M4" si="0">IF(C5&lt;=$C$3,1,0)</f>
        <v>1</v>
      </c>
      <c r="D4" s="107">
        <f t="shared" si="0"/>
        <v>0</v>
      </c>
      <c r="E4" s="107">
        <f t="shared" si="0"/>
        <v>0</v>
      </c>
      <c r="F4" s="107">
        <f t="shared" si="0"/>
        <v>0</v>
      </c>
      <c r="G4" s="107">
        <f t="shared" si="0"/>
        <v>0</v>
      </c>
      <c r="H4" s="107">
        <f t="shared" si="0"/>
        <v>0</v>
      </c>
      <c r="I4" s="107">
        <f t="shared" si="0"/>
        <v>0</v>
      </c>
      <c r="J4" s="107">
        <f t="shared" si="0"/>
        <v>0</v>
      </c>
      <c r="K4" s="107">
        <f t="shared" si="0"/>
        <v>0</v>
      </c>
      <c r="L4" s="107">
        <f t="shared" si="0"/>
        <v>0</v>
      </c>
      <c r="M4" s="107">
        <f t="shared" si="0"/>
        <v>0</v>
      </c>
      <c r="N4" s="107">
        <f>IF(N5&lt;=$C$3,1,0)</f>
        <v>0</v>
      </c>
      <c r="O4" s="1315"/>
      <c r="P4" s="608"/>
      <c r="Q4" s="608"/>
      <c r="R4" s="2530"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5" thickBot="1">
      <c r="A5" s="1308" t="s">
        <v>1324</v>
      </c>
      <c r="B5" s="80"/>
      <c r="C5" s="1236">
        <v>1</v>
      </c>
      <c r="D5" s="1222">
        <v>2</v>
      </c>
      <c r="E5" s="1222">
        <v>3</v>
      </c>
      <c r="F5" s="1222">
        <v>4</v>
      </c>
      <c r="G5" s="1222">
        <v>5</v>
      </c>
      <c r="H5" s="1222">
        <v>6</v>
      </c>
      <c r="I5" s="1222">
        <v>7</v>
      </c>
      <c r="J5" s="1222">
        <v>8</v>
      </c>
      <c r="K5" s="1222">
        <v>9</v>
      </c>
      <c r="L5" s="1222">
        <v>10</v>
      </c>
      <c r="M5" s="1222">
        <v>11</v>
      </c>
      <c r="N5" s="1223">
        <v>12</v>
      </c>
      <c r="O5" s="1210"/>
      <c r="P5" s="1211"/>
      <c r="Q5" s="608"/>
      <c r="R5" s="608"/>
      <c r="S5" s="608"/>
      <c r="T5" s="608"/>
      <c r="U5" s="80"/>
      <c r="V5" s="80"/>
      <c r="W5" s="80"/>
      <c r="X5" s="80"/>
      <c r="Y5" s="840">
        <f>SUM(Y4)</f>
        <v>0</v>
      </c>
      <c r="Z5" s="80"/>
      <c r="AA5" s="80"/>
      <c r="AB5" s="80"/>
      <c r="AC5" s="80"/>
      <c r="AD5" s="80"/>
      <c r="AE5" s="80"/>
      <c r="AF5" s="80"/>
      <c r="AG5" s="80"/>
      <c r="AH5" s="80"/>
      <c r="AI5" s="80"/>
      <c r="AJ5" s="80"/>
    </row>
    <row r="6" spans="1:36" ht="39.5" thickBot="1">
      <c r="A6" s="80"/>
      <c r="B6" s="373"/>
      <c r="C6" s="1238" t="s">
        <v>181</v>
      </c>
      <c r="D6" s="1302" t="s">
        <v>89</v>
      </c>
      <c r="E6" s="1302" t="s">
        <v>90</v>
      </c>
      <c r="F6" s="1302" t="s">
        <v>91</v>
      </c>
      <c r="G6" s="1302" t="s">
        <v>92</v>
      </c>
      <c r="H6" s="1302" t="s">
        <v>93</v>
      </c>
      <c r="I6" s="1302" t="s">
        <v>94</v>
      </c>
      <c r="J6" s="1302" t="s">
        <v>95</v>
      </c>
      <c r="K6" s="1302" t="s">
        <v>96</v>
      </c>
      <c r="L6" s="1302" t="s">
        <v>97</v>
      </c>
      <c r="M6" s="1302" t="s">
        <v>98</v>
      </c>
      <c r="N6" s="1251" t="s">
        <v>99</v>
      </c>
      <c r="O6" s="1227" t="s">
        <v>493</v>
      </c>
      <c r="P6" s="1227" t="s">
        <v>440</v>
      </c>
      <c r="Q6" s="608"/>
      <c r="R6" s="608"/>
      <c r="S6" s="608"/>
      <c r="T6" s="840"/>
      <c r="U6" s="80"/>
      <c r="V6" s="80"/>
      <c r="W6" s="80"/>
      <c r="X6" s="80"/>
      <c r="Y6" s="80"/>
      <c r="Z6" s="80"/>
      <c r="AA6" s="80"/>
      <c r="AB6" s="80"/>
      <c r="AC6" s="80"/>
      <c r="AD6" s="80"/>
      <c r="AE6" s="80"/>
      <c r="AF6" s="80"/>
      <c r="AG6" s="80"/>
      <c r="AH6" s="80"/>
      <c r="AI6" s="80"/>
      <c r="AJ6" s="80"/>
    </row>
    <row r="7" spans="1:36" ht="13.5" thickBot="1">
      <c r="A7" s="1316" t="s">
        <v>1005</v>
      </c>
      <c r="B7" s="1317" t="s">
        <v>920</v>
      </c>
      <c r="C7" s="1228" t="s">
        <v>50</v>
      </c>
      <c r="D7" s="1229" t="s">
        <v>50</v>
      </c>
      <c r="E7" s="1229" t="s">
        <v>50</v>
      </c>
      <c r="F7" s="1229" t="s">
        <v>50</v>
      </c>
      <c r="G7" s="1229" t="s">
        <v>50</v>
      </c>
      <c r="H7" s="1229" t="s">
        <v>50</v>
      </c>
      <c r="I7" s="1229" t="s">
        <v>50</v>
      </c>
      <c r="J7" s="1229" t="s">
        <v>50</v>
      </c>
      <c r="K7" s="1229" t="s">
        <v>50</v>
      </c>
      <c r="L7" s="1229" t="s">
        <v>50</v>
      </c>
      <c r="M7" s="1229" t="s">
        <v>50</v>
      </c>
      <c r="N7" s="1866" t="s">
        <v>50</v>
      </c>
      <c r="O7" s="1301" t="s">
        <v>50</v>
      </c>
      <c r="P7" s="1301" t="s">
        <v>50</v>
      </c>
      <c r="Q7" s="608"/>
      <c r="R7" s="608"/>
      <c r="S7" s="608"/>
      <c r="T7" s="840"/>
      <c r="U7" s="80"/>
      <c r="V7" s="80"/>
      <c r="W7" s="80"/>
      <c r="X7" s="80"/>
      <c r="Y7" s="80"/>
      <c r="Z7" s="80"/>
      <c r="AA7" s="80"/>
      <c r="AB7" s="80"/>
      <c r="AC7" s="80"/>
      <c r="AD7" s="80"/>
      <c r="AE7" s="80"/>
      <c r="AF7" s="80"/>
      <c r="AG7" s="80"/>
      <c r="AH7" s="80"/>
      <c r="AI7" s="80"/>
      <c r="AJ7" s="80"/>
    </row>
    <row r="8" spans="1:36" ht="13.5" thickBot="1">
      <c r="A8" s="1894">
        <v>1</v>
      </c>
      <c r="B8" s="2714" t="s">
        <v>1401</v>
      </c>
      <c r="C8" s="1895" t="s">
        <v>289</v>
      </c>
      <c r="D8" s="1896"/>
      <c r="E8" s="1896"/>
      <c r="F8" s="1896"/>
      <c r="G8" s="1896"/>
      <c r="H8" s="1896"/>
      <c r="I8" s="1896"/>
      <c r="J8" s="1896"/>
      <c r="K8" s="1896"/>
      <c r="L8" s="1896"/>
      <c r="M8" s="1896"/>
      <c r="N8" s="1252"/>
      <c r="O8" s="1895"/>
      <c r="P8" s="1252"/>
      <c r="Q8" s="608"/>
      <c r="R8" s="608"/>
      <c r="S8" s="608"/>
      <c r="T8" s="840"/>
      <c r="U8" s="80"/>
      <c r="V8" s="80"/>
      <c r="W8" s="80"/>
      <c r="X8" s="80"/>
      <c r="Y8" s="80"/>
      <c r="Z8" s="80"/>
      <c r="AA8" s="80"/>
      <c r="AB8" s="80"/>
      <c r="AC8" s="80"/>
      <c r="AD8" s="80"/>
      <c r="AE8" s="80"/>
      <c r="AF8" s="80"/>
      <c r="AG8" s="80"/>
      <c r="AH8" s="80"/>
      <c r="AI8" s="80"/>
      <c r="AJ8" s="80"/>
    </row>
    <row r="9" spans="1:36" ht="13">
      <c r="A9" s="1897">
        <f>A8+1</f>
        <v>2</v>
      </c>
      <c r="B9" s="2475" t="s">
        <v>1003</v>
      </c>
      <c r="C9" s="1898"/>
      <c r="D9" s="1899"/>
      <c r="E9" s="1899"/>
      <c r="F9" s="1899"/>
      <c r="G9" s="1899"/>
      <c r="H9" s="1899"/>
      <c r="I9" s="1899"/>
      <c r="J9" s="1899"/>
      <c r="K9" s="1899"/>
      <c r="L9" s="1899"/>
      <c r="M9" s="1899"/>
      <c r="N9" s="1900"/>
      <c r="O9" s="1901"/>
      <c r="P9" s="1902"/>
      <c r="Q9" s="608"/>
      <c r="R9" s="608"/>
      <c r="S9" s="608"/>
      <c r="T9" s="840"/>
      <c r="U9" s="80"/>
      <c r="V9" s="80"/>
      <c r="W9" s="80"/>
      <c r="X9" s="80"/>
      <c r="Y9" s="80"/>
      <c r="Z9" s="80"/>
      <c r="AA9" s="80"/>
      <c r="AB9" s="80"/>
      <c r="AC9" s="80"/>
      <c r="AD9" s="80"/>
      <c r="AE9" s="80"/>
      <c r="AF9" s="80"/>
      <c r="AG9" s="80"/>
      <c r="AH9" s="80"/>
      <c r="AI9" s="80"/>
      <c r="AJ9" s="80"/>
    </row>
    <row r="10" spans="1:36" ht="13">
      <c r="A10" s="1897">
        <f t="shared" ref="A10:A113" si="1">A9+1</f>
        <v>3</v>
      </c>
      <c r="B10" s="1911" t="s">
        <v>425</v>
      </c>
      <c r="C10" s="1903">
        <v>14.46139</v>
      </c>
      <c r="D10" s="1904">
        <v>12.571000000000002</v>
      </c>
      <c r="E10" s="1904">
        <v>42.212166666666654</v>
      </c>
      <c r="F10" s="1904">
        <v>59.860166666666657</v>
      </c>
      <c r="G10" s="1904">
        <v>59.860166666666657</v>
      </c>
      <c r="H10" s="1904">
        <v>59.860166666666657</v>
      </c>
      <c r="I10" s="1904">
        <v>79.177121666666665</v>
      </c>
      <c r="J10" s="1904">
        <v>79.177121666666665</v>
      </c>
      <c r="K10" s="1904">
        <v>79.177121666666665</v>
      </c>
      <c r="L10" s="1904">
        <v>79.177121666666665</v>
      </c>
      <c r="M10" s="1904">
        <v>59.860166666666657</v>
      </c>
      <c r="N10" s="1905">
        <v>59.860166666666657</v>
      </c>
      <c r="O10" s="1863">
        <f t="shared" ref="O10:O18" si="2">SUMPRODUCT($C$4:$N$4,C10:N10)</f>
        <v>14.46139</v>
      </c>
      <c r="P10" s="1864">
        <f t="shared" ref="P10:P18" si="3">SUM(C10:N10)</f>
        <v>685.25387666666643</v>
      </c>
      <c r="Q10" s="608"/>
      <c r="R10" s="608"/>
      <c r="S10" s="608"/>
      <c r="T10" s="840"/>
      <c r="U10" s="80"/>
      <c r="V10" s="80"/>
      <c r="W10" s="80"/>
      <c r="X10" s="80"/>
      <c r="Y10" s="80"/>
      <c r="Z10" s="80"/>
      <c r="AA10" s="80"/>
      <c r="AB10" s="80"/>
      <c r="AC10" s="80"/>
      <c r="AD10" s="80"/>
      <c r="AE10" s="80"/>
      <c r="AF10" s="80"/>
      <c r="AG10" s="80"/>
      <c r="AH10" s="80"/>
      <c r="AI10" s="80"/>
      <c r="AJ10" s="80"/>
    </row>
    <row r="11" spans="1:36" ht="13">
      <c r="A11" s="1897">
        <f t="shared" si="1"/>
        <v>4</v>
      </c>
      <c r="B11" s="1906" t="s">
        <v>419</v>
      </c>
      <c r="C11" s="1330"/>
      <c r="D11" s="1327"/>
      <c r="E11" s="1327"/>
      <c r="F11" s="1327"/>
      <c r="G11" s="1327"/>
      <c r="H11" s="1327"/>
      <c r="I11" s="1327"/>
      <c r="J11" s="1327"/>
      <c r="K11" s="1327"/>
      <c r="L11" s="1327"/>
      <c r="M11" s="1327"/>
      <c r="N11" s="1334"/>
      <c r="O11" s="1863">
        <f t="shared" si="2"/>
        <v>0</v>
      </c>
      <c r="P11" s="1864">
        <f t="shared" si="3"/>
        <v>0</v>
      </c>
      <c r="Q11" s="608"/>
      <c r="R11" s="608"/>
      <c r="S11" s="608"/>
      <c r="T11" s="840"/>
      <c r="U11" s="80"/>
      <c r="V11" s="80"/>
      <c r="W11" s="80"/>
      <c r="X11" s="80"/>
      <c r="Y11" s="80"/>
      <c r="Z11" s="80"/>
      <c r="AA11" s="80"/>
      <c r="AB11" s="80"/>
      <c r="AC11" s="80"/>
      <c r="AD11" s="80"/>
      <c r="AE11" s="80"/>
      <c r="AF11" s="80"/>
      <c r="AG11" s="80"/>
      <c r="AH11" s="80"/>
      <c r="AI11" s="80"/>
      <c r="AJ11" s="80"/>
    </row>
    <row r="12" spans="1:36" ht="13">
      <c r="A12" s="1897">
        <f t="shared" si="1"/>
        <v>5</v>
      </c>
      <c r="B12" s="1906" t="s">
        <v>420</v>
      </c>
      <c r="C12" s="1330"/>
      <c r="D12" s="1327"/>
      <c r="E12" s="1327"/>
      <c r="F12" s="1327"/>
      <c r="G12" s="1327"/>
      <c r="H12" s="1327"/>
      <c r="I12" s="1327"/>
      <c r="J12" s="1327"/>
      <c r="K12" s="1327"/>
      <c r="L12" s="1327"/>
      <c r="M12" s="1327"/>
      <c r="N12" s="1334"/>
      <c r="O12" s="1863">
        <f t="shared" si="2"/>
        <v>0</v>
      </c>
      <c r="P12" s="1864">
        <f t="shared" si="3"/>
        <v>0</v>
      </c>
      <c r="Q12" s="608"/>
      <c r="R12" s="608"/>
      <c r="S12" s="608"/>
      <c r="T12" s="840"/>
      <c r="U12" s="80"/>
      <c r="V12" s="80"/>
      <c r="W12" s="80"/>
      <c r="X12" s="80"/>
      <c r="Y12" s="80"/>
      <c r="Z12" s="80"/>
      <c r="AA12" s="80"/>
      <c r="AB12" s="80"/>
      <c r="AC12" s="80"/>
      <c r="AD12" s="80"/>
      <c r="AE12" s="80"/>
      <c r="AF12" s="80"/>
      <c r="AG12" s="80"/>
      <c r="AH12" s="80"/>
      <c r="AI12" s="80"/>
      <c r="AJ12" s="80"/>
    </row>
    <row r="13" spans="1:36" ht="13">
      <c r="A13" s="1897">
        <f t="shared" si="1"/>
        <v>6</v>
      </c>
      <c r="B13" s="1906" t="s">
        <v>421</v>
      </c>
      <c r="C13" s="1330"/>
      <c r="D13" s="1327"/>
      <c r="E13" s="1327"/>
      <c r="F13" s="1327"/>
      <c r="G13" s="1327"/>
      <c r="H13" s="1327"/>
      <c r="I13" s="1327"/>
      <c r="J13" s="1327"/>
      <c r="K13" s="1327"/>
      <c r="L13" s="1327"/>
      <c r="M13" s="1327"/>
      <c r="N13" s="1334"/>
      <c r="O13" s="1863">
        <f t="shared" si="2"/>
        <v>0</v>
      </c>
      <c r="P13" s="1864">
        <f t="shared" si="3"/>
        <v>0</v>
      </c>
      <c r="Q13" s="608"/>
      <c r="R13" s="608"/>
      <c r="S13" s="608"/>
      <c r="T13" s="840"/>
      <c r="U13" s="80"/>
      <c r="V13" s="80"/>
      <c r="W13" s="80"/>
      <c r="X13" s="80"/>
      <c r="Y13" s="80"/>
      <c r="Z13" s="80"/>
      <c r="AA13" s="80"/>
      <c r="AB13" s="80"/>
      <c r="AC13" s="80"/>
      <c r="AD13" s="80"/>
      <c r="AE13" s="80"/>
      <c r="AF13" s="80"/>
      <c r="AG13" s="80"/>
      <c r="AH13" s="80"/>
      <c r="AI13" s="80"/>
      <c r="AJ13" s="80"/>
    </row>
    <row r="14" spans="1:36" ht="13">
      <c r="A14" s="1897">
        <f t="shared" si="1"/>
        <v>7</v>
      </c>
      <c r="B14" s="1906" t="s">
        <v>422</v>
      </c>
      <c r="C14" s="1330">
        <v>2.4549099999999999</v>
      </c>
      <c r="D14" s="1327">
        <v>2.4918333333333336</v>
      </c>
      <c r="E14" s="1327">
        <v>2.4918333333333336</v>
      </c>
      <c r="F14" s="1327">
        <v>2.4918333333333336</v>
      </c>
      <c r="G14" s="1327">
        <v>2.4918333333333336</v>
      </c>
      <c r="H14" s="1327">
        <v>2.4918333333333336</v>
      </c>
      <c r="I14" s="1327">
        <v>2.4918333333333336</v>
      </c>
      <c r="J14" s="1327">
        <v>2.4918333333333336</v>
      </c>
      <c r="K14" s="1327">
        <v>2.4918333333333336</v>
      </c>
      <c r="L14" s="1327">
        <v>2.4918333333333336</v>
      </c>
      <c r="M14" s="1327">
        <v>2.4918333333333336</v>
      </c>
      <c r="N14" s="1334">
        <v>2.4918333333333336</v>
      </c>
      <c r="O14" s="1863">
        <f t="shared" si="2"/>
        <v>2.4549099999999999</v>
      </c>
      <c r="P14" s="1864">
        <f t="shared" si="3"/>
        <v>29.865076666666663</v>
      </c>
      <c r="Q14" s="608"/>
      <c r="R14" s="608"/>
      <c r="S14" s="608"/>
      <c r="T14" s="840"/>
      <c r="U14" s="80"/>
      <c r="V14" s="80"/>
      <c r="W14" s="80"/>
      <c r="X14" s="80"/>
      <c r="Y14" s="80"/>
      <c r="Z14" s="80"/>
      <c r="AA14" s="80"/>
      <c r="AB14" s="80"/>
      <c r="AC14" s="80"/>
      <c r="AD14" s="80"/>
      <c r="AE14" s="80"/>
      <c r="AF14" s="80"/>
      <c r="AG14" s="80"/>
      <c r="AH14" s="80"/>
      <c r="AI14" s="80"/>
      <c r="AJ14" s="80"/>
    </row>
    <row r="15" spans="1:36" ht="13">
      <c r="A15" s="1897">
        <f t="shared" si="1"/>
        <v>8</v>
      </c>
      <c r="B15" s="1906" t="s">
        <v>364</v>
      </c>
      <c r="C15" s="1330"/>
      <c r="D15" s="1327"/>
      <c r="E15" s="1327"/>
      <c r="F15" s="1327"/>
      <c r="G15" s="1327"/>
      <c r="H15" s="1327"/>
      <c r="I15" s="1327"/>
      <c r="J15" s="1327"/>
      <c r="K15" s="1327"/>
      <c r="L15" s="1327"/>
      <c r="M15" s="1327"/>
      <c r="N15" s="1334"/>
      <c r="O15" s="1863">
        <f t="shared" si="2"/>
        <v>0</v>
      </c>
      <c r="P15" s="1864">
        <f t="shared" si="3"/>
        <v>0</v>
      </c>
      <c r="Q15" s="608"/>
      <c r="R15" s="608"/>
      <c r="S15" s="608"/>
      <c r="T15" s="840"/>
      <c r="U15" s="80"/>
      <c r="V15" s="80"/>
      <c r="W15" s="80"/>
      <c r="X15" s="80"/>
      <c r="Y15" s="80"/>
      <c r="Z15" s="80"/>
      <c r="AA15" s="80"/>
      <c r="AB15" s="80"/>
      <c r="AC15" s="80"/>
      <c r="AD15" s="80"/>
      <c r="AE15" s="80"/>
      <c r="AF15" s="80"/>
      <c r="AG15" s="80"/>
      <c r="AH15" s="80"/>
      <c r="AI15" s="80"/>
      <c r="AJ15" s="80"/>
    </row>
    <row r="16" spans="1:36" ht="13">
      <c r="A16" s="1897">
        <f t="shared" si="1"/>
        <v>9</v>
      </c>
      <c r="B16" s="1906" t="s">
        <v>423</v>
      </c>
      <c r="C16" s="1330">
        <v>30.110499999999998</v>
      </c>
      <c r="D16" s="1327">
        <v>34.353833333333327</v>
      </c>
      <c r="E16" s="1327">
        <v>47.609983333333332</v>
      </c>
      <c r="F16" s="1327">
        <v>60.561791666666657</v>
      </c>
      <c r="G16" s="1327">
        <v>60.561791666666657</v>
      </c>
      <c r="H16" s="1327">
        <v>61.002991666666659</v>
      </c>
      <c r="I16" s="1327">
        <v>60.561791666666657</v>
      </c>
      <c r="J16" s="1327">
        <v>60.561791666666657</v>
      </c>
      <c r="K16" s="1327">
        <v>60.59855833333333</v>
      </c>
      <c r="L16" s="1327">
        <v>60.561791666666657</v>
      </c>
      <c r="M16" s="1327">
        <v>60.561791666666657</v>
      </c>
      <c r="N16" s="1334">
        <v>60.564855555555553</v>
      </c>
      <c r="O16" s="1863">
        <f t="shared" si="2"/>
        <v>30.110499999999998</v>
      </c>
      <c r="P16" s="1864">
        <f t="shared" si="3"/>
        <v>657.61147222222212</v>
      </c>
      <c r="Q16" s="608"/>
      <c r="R16" s="608"/>
      <c r="S16" s="608"/>
      <c r="T16" s="840"/>
      <c r="U16" s="80"/>
      <c r="V16" s="80"/>
      <c r="W16" s="80"/>
      <c r="X16" s="80"/>
      <c r="Y16" s="80"/>
      <c r="Z16" s="80"/>
      <c r="AA16" s="80"/>
      <c r="AB16" s="80"/>
      <c r="AC16" s="80"/>
      <c r="AD16" s="80"/>
      <c r="AE16" s="80"/>
      <c r="AF16" s="80"/>
      <c r="AG16" s="80"/>
      <c r="AH16" s="80"/>
      <c r="AI16" s="80"/>
      <c r="AJ16" s="80"/>
    </row>
    <row r="17" spans="1:36" ht="13">
      <c r="A17" s="1897">
        <f t="shared" si="1"/>
        <v>10</v>
      </c>
      <c r="B17" s="1906" t="s">
        <v>536</v>
      </c>
      <c r="C17" s="1330"/>
      <c r="D17" s="1327"/>
      <c r="E17" s="1327"/>
      <c r="F17" s="1327"/>
      <c r="G17" s="1327"/>
      <c r="H17" s="1327"/>
      <c r="I17" s="1327"/>
      <c r="J17" s="1327"/>
      <c r="K17" s="1327"/>
      <c r="L17" s="1327"/>
      <c r="M17" s="1327"/>
      <c r="N17" s="1334"/>
      <c r="O17" s="1863">
        <f>SUMPRODUCT($C$4:$N$4,C17:N17)</f>
        <v>0</v>
      </c>
      <c r="P17" s="1864">
        <f>SUM(C17:N17)</f>
        <v>0</v>
      </c>
      <c r="Q17" s="608"/>
      <c r="R17" s="608"/>
      <c r="S17" s="608"/>
      <c r="T17" s="840"/>
      <c r="U17" s="80"/>
      <c r="V17" s="80"/>
      <c r="W17" s="80"/>
      <c r="X17" s="80"/>
      <c r="Y17" s="80"/>
      <c r="Z17" s="80"/>
      <c r="AA17" s="80"/>
      <c r="AB17" s="80"/>
      <c r="AC17" s="80"/>
      <c r="AD17" s="80"/>
      <c r="AE17" s="80"/>
      <c r="AF17" s="80"/>
      <c r="AG17" s="80"/>
      <c r="AH17" s="80"/>
      <c r="AI17" s="80"/>
      <c r="AJ17" s="80"/>
    </row>
    <row r="18" spans="1:36" ht="13.5" thickBot="1">
      <c r="A18" s="1897">
        <f t="shared" si="1"/>
        <v>11</v>
      </c>
      <c r="B18" s="1906" t="s">
        <v>1002</v>
      </c>
      <c r="C18" s="1330"/>
      <c r="D18" s="1327"/>
      <c r="E18" s="1327"/>
      <c r="F18" s="1327"/>
      <c r="G18" s="1327"/>
      <c r="H18" s="1327"/>
      <c r="I18" s="1327"/>
      <c r="J18" s="1327"/>
      <c r="K18" s="1327"/>
      <c r="L18" s="1327"/>
      <c r="M18" s="1327"/>
      <c r="N18" s="1334"/>
      <c r="O18" s="1863">
        <f t="shared" si="2"/>
        <v>0</v>
      </c>
      <c r="P18" s="1864">
        <f t="shared" si="3"/>
        <v>0</v>
      </c>
      <c r="Q18" s="608"/>
      <c r="R18" s="608"/>
      <c r="S18" s="608"/>
      <c r="T18" s="840"/>
      <c r="U18" s="80"/>
      <c r="V18" s="80"/>
      <c r="W18" s="80"/>
      <c r="X18" s="80"/>
      <c r="Y18" s="80"/>
      <c r="Z18" s="80"/>
      <c r="AA18" s="80"/>
      <c r="AB18" s="80"/>
      <c r="AC18" s="80"/>
      <c r="AD18" s="80"/>
      <c r="AE18" s="80"/>
      <c r="AF18" s="80"/>
      <c r="AG18" s="80"/>
      <c r="AH18" s="80"/>
      <c r="AI18" s="80"/>
      <c r="AJ18" s="80"/>
    </row>
    <row r="19" spans="1:36" ht="30.65" customHeight="1" thickBot="1">
      <c r="A19" s="1919">
        <f t="shared" si="1"/>
        <v>12</v>
      </c>
      <c r="B19" s="1907" t="s">
        <v>1402</v>
      </c>
      <c r="C19" s="1908">
        <f>SUM(C10:C18)</f>
        <v>47.026799999999994</v>
      </c>
      <c r="D19" s="1908">
        <f t="shared" ref="D19:P19" si="4">SUM(D10:D18)</f>
        <v>49.416666666666664</v>
      </c>
      <c r="E19" s="1908">
        <f t="shared" si="4"/>
        <v>92.313983333333312</v>
      </c>
      <c r="F19" s="1908">
        <f t="shared" si="4"/>
        <v>122.91379166666664</v>
      </c>
      <c r="G19" s="1908">
        <f t="shared" si="4"/>
        <v>122.91379166666664</v>
      </c>
      <c r="H19" s="1908">
        <f t="shared" si="4"/>
        <v>123.35499166666665</v>
      </c>
      <c r="I19" s="1908">
        <f t="shared" si="4"/>
        <v>142.23074666666665</v>
      </c>
      <c r="J19" s="1908">
        <f t="shared" si="4"/>
        <v>142.23074666666665</v>
      </c>
      <c r="K19" s="1908">
        <f t="shared" si="4"/>
        <v>142.26751333333334</v>
      </c>
      <c r="L19" s="1908">
        <f t="shared" si="4"/>
        <v>142.23074666666665</v>
      </c>
      <c r="M19" s="1908">
        <f t="shared" si="4"/>
        <v>122.91379166666664</v>
      </c>
      <c r="N19" s="1908">
        <f t="shared" si="4"/>
        <v>122.91685555555554</v>
      </c>
      <c r="O19" s="1908">
        <f>SUM(O10:O18)</f>
        <v>47.026799999999994</v>
      </c>
      <c r="P19" s="1909">
        <f t="shared" si="4"/>
        <v>1372.7304255555553</v>
      </c>
      <c r="Q19" s="1144"/>
      <c r="R19" s="3014" t="s">
        <v>1410</v>
      </c>
      <c r="S19" s="2719" t="s">
        <v>181</v>
      </c>
      <c r="T19" s="2720" t="s">
        <v>89</v>
      </c>
      <c r="U19" s="2720" t="s">
        <v>90</v>
      </c>
      <c r="V19" s="2720" t="s">
        <v>91</v>
      </c>
      <c r="W19" s="2720" t="s">
        <v>92</v>
      </c>
      <c r="X19" s="2720" t="s">
        <v>93</v>
      </c>
      <c r="Y19" s="2720" t="s">
        <v>94</v>
      </c>
      <c r="Z19" s="2720" t="s">
        <v>95</v>
      </c>
      <c r="AA19" s="2720" t="s">
        <v>96</v>
      </c>
      <c r="AB19" s="2720" t="s">
        <v>97</v>
      </c>
      <c r="AC19" s="2720" t="s">
        <v>98</v>
      </c>
      <c r="AD19" s="2721" t="s">
        <v>99</v>
      </c>
      <c r="AE19" s="2722" t="s">
        <v>493</v>
      </c>
      <c r="AF19" s="2722" t="s">
        <v>440</v>
      </c>
      <c r="AG19" s="80"/>
      <c r="AH19" s="80"/>
      <c r="AI19" s="80"/>
      <c r="AJ19" s="80"/>
    </row>
    <row r="20" spans="1:36" ht="13.5" thickBot="1">
      <c r="A20" s="1897">
        <f t="shared" si="1"/>
        <v>13</v>
      </c>
      <c r="B20" s="1911" t="s">
        <v>1012</v>
      </c>
      <c r="C20" s="1330"/>
      <c r="D20" s="1327"/>
      <c r="E20" s="1327"/>
      <c r="F20" s="1327"/>
      <c r="G20" s="1327"/>
      <c r="H20" s="1327"/>
      <c r="I20" s="1327"/>
      <c r="J20" s="1327"/>
      <c r="K20" s="1327"/>
      <c r="L20" s="1327"/>
      <c r="M20" s="1327"/>
      <c r="N20" s="1334"/>
      <c r="O20" s="1863">
        <f t="shared" ref="O20:O32" si="5">SUMPRODUCT($C$4:$N$4,C20:N20)</f>
        <v>0</v>
      </c>
      <c r="P20" s="1864">
        <f t="shared" ref="P20:P32" si="6">SUM(C20:N20)</f>
        <v>0</v>
      </c>
      <c r="Q20" s="608"/>
      <c r="R20" s="3015"/>
      <c r="S20" s="2719" t="s">
        <v>50</v>
      </c>
      <c r="T20" s="2720" t="s">
        <v>50</v>
      </c>
      <c r="U20" s="2720" t="s">
        <v>50</v>
      </c>
      <c r="V20" s="2720" t="s">
        <v>50</v>
      </c>
      <c r="W20" s="2720" t="s">
        <v>50</v>
      </c>
      <c r="X20" s="2720" t="s">
        <v>50</v>
      </c>
      <c r="Y20" s="2720" t="s">
        <v>50</v>
      </c>
      <c r="Z20" s="2720" t="s">
        <v>50</v>
      </c>
      <c r="AA20" s="2720" t="s">
        <v>50</v>
      </c>
      <c r="AB20" s="2720" t="s">
        <v>50</v>
      </c>
      <c r="AC20" s="2720" t="s">
        <v>50</v>
      </c>
      <c r="AD20" s="2721" t="s">
        <v>50</v>
      </c>
      <c r="AE20" s="2722" t="s">
        <v>50</v>
      </c>
      <c r="AF20" s="2722" t="s">
        <v>50</v>
      </c>
      <c r="AG20" s="80"/>
      <c r="AH20" s="80"/>
      <c r="AI20" s="80"/>
      <c r="AJ20" s="80"/>
    </row>
    <row r="21" spans="1:36" ht="13">
      <c r="A21" s="1897">
        <f t="shared" si="1"/>
        <v>14</v>
      </c>
      <c r="B21" s="1911" t="s">
        <v>1006</v>
      </c>
      <c r="C21" s="1330"/>
      <c r="D21" s="1327"/>
      <c r="E21" s="1327"/>
      <c r="F21" s="1327"/>
      <c r="G21" s="1327"/>
      <c r="H21" s="1327"/>
      <c r="I21" s="1327"/>
      <c r="J21" s="1327"/>
      <c r="K21" s="1327"/>
      <c r="L21" s="1327"/>
      <c r="M21" s="1327"/>
      <c r="N21" s="1334"/>
      <c r="O21" s="1863">
        <f t="shared" si="5"/>
        <v>0</v>
      </c>
      <c r="P21" s="1864">
        <f t="shared" si="6"/>
        <v>0</v>
      </c>
      <c r="Q21" s="608"/>
      <c r="R21" s="3006" t="s">
        <v>1411</v>
      </c>
      <c r="S21" s="1330"/>
      <c r="T21" s="1327"/>
      <c r="U21" s="1327"/>
      <c r="V21" s="1327"/>
      <c r="W21" s="1327"/>
      <c r="X21" s="1327"/>
      <c r="Y21" s="1327"/>
      <c r="Z21" s="1327"/>
      <c r="AA21" s="1327"/>
      <c r="AB21" s="1327"/>
      <c r="AC21" s="1327"/>
      <c r="AD21" s="1334"/>
      <c r="AE21" s="1863">
        <f t="shared" ref="AE21:AE33" si="7">SUMPRODUCT($C$4:$N$4,S21:AD21)</f>
        <v>0</v>
      </c>
      <c r="AF21" s="1864">
        <f t="shared" ref="AF21:AF33" si="8">SUM(S21:AD21)</f>
        <v>0</v>
      </c>
      <c r="AG21" s="80"/>
      <c r="AH21" s="80"/>
      <c r="AI21" s="80"/>
      <c r="AJ21" s="80"/>
    </row>
    <row r="22" spans="1:36" ht="13">
      <c r="A22" s="1897">
        <f t="shared" si="1"/>
        <v>15</v>
      </c>
      <c r="B22" s="1911" t="s">
        <v>442</v>
      </c>
      <c r="C22" s="1330"/>
      <c r="D22" s="1327"/>
      <c r="E22" s="1327"/>
      <c r="F22" s="1327"/>
      <c r="G22" s="1327"/>
      <c r="H22" s="1327"/>
      <c r="I22" s="1327"/>
      <c r="J22" s="1327"/>
      <c r="K22" s="1327"/>
      <c r="L22" s="1327"/>
      <c r="M22" s="1327"/>
      <c r="N22" s="1334"/>
      <c r="O22" s="1863">
        <f t="shared" si="5"/>
        <v>0</v>
      </c>
      <c r="P22" s="1864">
        <f t="shared" si="6"/>
        <v>0</v>
      </c>
      <c r="Q22" s="608"/>
      <c r="R22" s="3006" t="s">
        <v>1412</v>
      </c>
      <c r="S22" s="1330"/>
      <c r="T22" s="1327"/>
      <c r="U22" s="1327"/>
      <c r="V22" s="1327"/>
      <c r="W22" s="1327"/>
      <c r="X22" s="1327"/>
      <c r="Y22" s="1327"/>
      <c r="Z22" s="1327"/>
      <c r="AA22" s="1327"/>
      <c r="AB22" s="1327"/>
      <c r="AC22" s="1327"/>
      <c r="AD22" s="1334"/>
      <c r="AE22" s="1863">
        <f t="shared" si="7"/>
        <v>0</v>
      </c>
      <c r="AF22" s="1864">
        <f t="shared" si="8"/>
        <v>0</v>
      </c>
      <c r="AG22" s="80"/>
      <c r="AH22" s="80"/>
      <c r="AI22" s="80"/>
      <c r="AJ22" s="80"/>
    </row>
    <row r="23" spans="1:36" ht="13">
      <c r="A23" s="1897">
        <f t="shared" si="1"/>
        <v>16</v>
      </c>
      <c r="B23" s="1911" t="s">
        <v>1319</v>
      </c>
      <c r="C23" s="2900">
        <f>S34</f>
        <v>859.04843000000005</v>
      </c>
      <c r="D23" s="2900">
        <f t="shared" ref="D23:N23" si="9">T34</f>
        <v>893.20325773574302</v>
      </c>
      <c r="E23" s="2900">
        <f t="shared" si="9"/>
        <v>1300.8051747442678</v>
      </c>
      <c r="F23" s="2900">
        <f t="shared" si="9"/>
        <v>883.70325773574302</v>
      </c>
      <c r="G23" s="2900">
        <f t="shared" si="9"/>
        <v>874.20325773574302</v>
      </c>
      <c r="H23" s="2900">
        <f t="shared" si="9"/>
        <v>1291.3051747442678</v>
      </c>
      <c r="I23" s="2900">
        <f t="shared" si="9"/>
        <v>1110.8900154706657</v>
      </c>
      <c r="J23" s="2900">
        <f t="shared" si="9"/>
        <v>1116.1104443264508</v>
      </c>
      <c r="K23" s="2900">
        <f t="shared" si="9"/>
        <v>1601.4106404706658</v>
      </c>
      <c r="L23" s="2900">
        <f t="shared" si="9"/>
        <v>1148.8900154706657</v>
      </c>
      <c r="M23" s="2900">
        <f t="shared" si="9"/>
        <v>1064.3308731822358</v>
      </c>
      <c r="N23" s="2900">
        <f t="shared" si="9"/>
        <v>1544.1690304706658</v>
      </c>
      <c r="O23" s="1863">
        <f t="shared" si="5"/>
        <v>859.04843000000005</v>
      </c>
      <c r="P23" s="1864">
        <f t="shared" si="6"/>
        <v>13688.069572087115</v>
      </c>
      <c r="Q23" s="608"/>
      <c r="R23" s="3006" t="s">
        <v>1413</v>
      </c>
      <c r="S23" s="1330">
        <v>41.723300000000002</v>
      </c>
      <c r="T23" s="1327">
        <v>41.723309999999998</v>
      </c>
      <c r="U23" s="1327">
        <v>41.723309999999998</v>
      </c>
      <c r="V23" s="1327">
        <v>41.723309999999998</v>
      </c>
      <c r="W23" s="1327">
        <v>41.723309999999998</v>
      </c>
      <c r="X23" s="1327">
        <v>41.723309999999998</v>
      </c>
      <c r="Y23" s="1327">
        <v>41.723309999999998</v>
      </c>
      <c r="Z23" s="1327">
        <v>41.723309999999998</v>
      </c>
      <c r="AA23" s="1327">
        <v>41.723309999999998</v>
      </c>
      <c r="AB23" s="1327">
        <v>41.723309999999998</v>
      </c>
      <c r="AC23" s="1327">
        <v>41.723309999999998</v>
      </c>
      <c r="AD23" s="1334">
        <v>41.723309999999998</v>
      </c>
      <c r="AE23" s="1863">
        <f t="shared" si="7"/>
        <v>41.723300000000002</v>
      </c>
      <c r="AF23" s="1864">
        <f t="shared" si="8"/>
        <v>500.67970999999989</v>
      </c>
      <c r="AG23" s="80"/>
      <c r="AH23" s="80"/>
      <c r="AI23" s="80"/>
      <c r="AJ23" s="80"/>
    </row>
    <row r="24" spans="1:36" ht="13">
      <c r="A24" s="1897">
        <f t="shared" si="1"/>
        <v>17</v>
      </c>
      <c r="B24" s="1906" t="s">
        <v>464</v>
      </c>
      <c r="C24" s="1331">
        <v>18.600000000000001</v>
      </c>
      <c r="D24" s="1326">
        <v>18.600000000000001</v>
      </c>
      <c r="E24" s="1326">
        <v>57.6</v>
      </c>
      <c r="F24" s="1326">
        <v>18.600000000000001</v>
      </c>
      <c r="G24" s="1326">
        <v>18.600000000000001</v>
      </c>
      <c r="H24" s="1326">
        <v>57.6</v>
      </c>
      <c r="I24" s="1326">
        <v>18.600000000000001</v>
      </c>
      <c r="J24" s="1326">
        <v>18.600000000000001</v>
      </c>
      <c r="K24" s="1326">
        <v>57.6</v>
      </c>
      <c r="L24" s="1326">
        <v>18.600000000000001</v>
      </c>
      <c r="M24" s="1326">
        <v>18.600000000000001</v>
      </c>
      <c r="N24" s="1335">
        <v>57.6</v>
      </c>
      <c r="O24" s="1324">
        <f t="shared" si="5"/>
        <v>18.600000000000001</v>
      </c>
      <c r="P24" s="1325">
        <f t="shared" si="6"/>
        <v>379.20000000000005</v>
      </c>
      <c r="Q24" s="608"/>
      <c r="R24" s="2717" t="s">
        <v>1445</v>
      </c>
      <c r="S24" s="1330">
        <v>703.2559</v>
      </c>
      <c r="T24" s="1327">
        <v>569.81143162841522</v>
      </c>
      <c r="U24" s="1327">
        <v>551.43041770491811</v>
      </c>
      <c r="V24" s="1327">
        <v>569.81143162841522</v>
      </c>
      <c r="W24" s="1327">
        <v>569.81143162841522</v>
      </c>
      <c r="X24" s="1327">
        <v>551.43041770491811</v>
      </c>
      <c r="Y24" s="1327">
        <v>782.2788301530054</v>
      </c>
      <c r="Z24" s="1327">
        <v>757.04402918032781</v>
      </c>
      <c r="AA24" s="1327">
        <v>782.2788301530054</v>
      </c>
      <c r="AB24" s="1327">
        <v>782.2788301530054</v>
      </c>
      <c r="AC24" s="1327">
        <v>731.80922820765022</v>
      </c>
      <c r="AD24" s="1334">
        <v>782.2788301530054</v>
      </c>
      <c r="AE24" s="1863">
        <f t="shared" si="7"/>
        <v>703.2559</v>
      </c>
      <c r="AF24" s="1864">
        <f t="shared" si="8"/>
        <v>8133.5196082950815</v>
      </c>
      <c r="AG24" s="80"/>
      <c r="AH24" s="80"/>
      <c r="AI24" s="80"/>
      <c r="AJ24" s="80"/>
    </row>
    <row r="25" spans="1:36" ht="13">
      <c r="A25" s="1897">
        <f t="shared" si="1"/>
        <v>18</v>
      </c>
      <c r="B25" s="1906" t="s">
        <v>465</v>
      </c>
      <c r="C25" s="1331"/>
      <c r="D25" s="1326"/>
      <c r="E25" s="1326"/>
      <c r="F25" s="1326"/>
      <c r="G25" s="1326"/>
      <c r="H25" s="1326"/>
      <c r="I25" s="1326"/>
      <c r="J25" s="1326"/>
      <c r="K25" s="1326"/>
      <c r="L25" s="1326"/>
      <c r="M25" s="1326"/>
      <c r="N25" s="1335"/>
      <c r="O25" s="1324">
        <f t="shared" si="5"/>
        <v>0</v>
      </c>
      <c r="P25" s="1325">
        <f t="shared" si="6"/>
        <v>0</v>
      </c>
      <c r="Q25" s="608"/>
      <c r="R25" s="2717" t="s">
        <v>1446</v>
      </c>
      <c r="S25" s="1331">
        <v>5.5058199999999999</v>
      </c>
      <c r="T25" s="1326">
        <v>10</v>
      </c>
      <c r="U25" s="1326">
        <v>10</v>
      </c>
      <c r="V25" s="1326">
        <v>10</v>
      </c>
      <c r="W25" s="1326">
        <v>10</v>
      </c>
      <c r="X25" s="1326">
        <v>10</v>
      </c>
      <c r="Y25" s="1326">
        <v>15</v>
      </c>
      <c r="Z25" s="1326">
        <v>15</v>
      </c>
      <c r="AA25" s="1326">
        <v>15</v>
      </c>
      <c r="AB25" s="1326">
        <v>15</v>
      </c>
      <c r="AC25" s="1326">
        <v>15</v>
      </c>
      <c r="AD25" s="1335">
        <v>14.758389999999999</v>
      </c>
      <c r="AE25" s="1324">
        <f t="shared" si="7"/>
        <v>5.5058199999999999</v>
      </c>
      <c r="AF25" s="1325">
        <f t="shared" si="8"/>
        <v>145.26420999999999</v>
      </c>
      <c r="AG25" s="80"/>
      <c r="AH25" s="80"/>
      <c r="AI25" s="80"/>
      <c r="AJ25" s="80"/>
    </row>
    <row r="26" spans="1:36" ht="13">
      <c r="A26" s="1897">
        <f t="shared" si="1"/>
        <v>19</v>
      </c>
      <c r="B26" s="1906" t="s">
        <v>443</v>
      </c>
      <c r="C26" s="1331"/>
      <c r="D26" s="1326"/>
      <c r="E26" s="1326"/>
      <c r="F26" s="1326"/>
      <c r="G26" s="1326"/>
      <c r="H26" s="1326"/>
      <c r="I26" s="1326"/>
      <c r="J26" s="1326"/>
      <c r="K26" s="1326"/>
      <c r="L26" s="1326"/>
      <c r="M26" s="1326"/>
      <c r="N26" s="1335"/>
      <c r="O26" s="1324">
        <f t="shared" si="5"/>
        <v>0</v>
      </c>
      <c r="P26" s="1325">
        <f t="shared" si="6"/>
        <v>0</v>
      </c>
      <c r="Q26" s="608"/>
      <c r="R26" s="2717" t="s">
        <v>1447</v>
      </c>
      <c r="S26" s="1331">
        <v>6.4827500000000002</v>
      </c>
      <c r="T26" s="1326">
        <v>0.58990730732785679</v>
      </c>
      <c r="U26" s="1326">
        <v>0.57087803934953885</v>
      </c>
      <c r="V26" s="1326">
        <v>0.58990730732785679</v>
      </c>
      <c r="W26" s="1326">
        <v>0.58990730732785679</v>
      </c>
      <c r="X26" s="1326">
        <v>0.57087803934953885</v>
      </c>
      <c r="Y26" s="1326">
        <v>0.80926651766035362</v>
      </c>
      <c r="Z26" s="1326">
        <v>0.78316114612292287</v>
      </c>
      <c r="AA26" s="1326">
        <v>0.80926651766035362</v>
      </c>
      <c r="AB26" s="1326">
        <v>0.80926651766035362</v>
      </c>
      <c r="AC26" s="1326">
        <v>0.75705577458549211</v>
      </c>
      <c r="AD26" s="1335">
        <v>0.80926651766035362</v>
      </c>
      <c r="AE26" s="1324">
        <f t="shared" si="7"/>
        <v>6.4827500000000002</v>
      </c>
      <c r="AF26" s="1325">
        <f t="shared" si="8"/>
        <v>14.171510992032477</v>
      </c>
      <c r="AG26" s="80"/>
      <c r="AH26" s="80"/>
      <c r="AI26" s="80"/>
      <c r="AJ26" s="80"/>
    </row>
    <row r="27" spans="1:36" ht="13">
      <c r="A27" s="1897">
        <f t="shared" si="1"/>
        <v>20</v>
      </c>
      <c r="B27" s="1906" t="s">
        <v>444</v>
      </c>
      <c r="C27" s="1331"/>
      <c r="D27" s="1326"/>
      <c r="E27" s="1326"/>
      <c r="F27" s="1326"/>
      <c r="G27" s="1326"/>
      <c r="H27" s="1326"/>
      <c r="I27" s="1326"/>
      <c r="J27" s="1326"/>
      <c r="K27" s="1326"/>
      <c r="L27" s="1326"/>
      <c r="M27" s="1326"/>
      <c r="N27" s="1335"/>
      <c r="O27" s="1324">
        <f t="shared" si="5"/>
        <v>0</v>
      </c>
      <c r="P27" s="1325">
        <f t="shared" si="6"/>
        <v>0</v>
      </c>
      <c r="Q27" s="608"/>
      <c r="R27" s="2717" t="s">
        <v>1448</v>
      </c>
      <c r="S27" s="1331">
        <v>73.731660000000005</v>
      </c>
      <c r="T27" s="1326">
        <v>233.07860880000001</v>
      </c>
      <c r="U27" s="1326">
        <v>225.55994400000003</v>
      </c>
      <c r="V27" s="1326">
        <v>233.07860880000001</v>
      </c>
      <c r="W27" s="1326">
        <v>233.07860880000001</v>
      </c>
      <c r="X27" s="1326">
        <v>225.55994400000003</v>
      </c>
      <c r="Y27" s="1326">
        <v>233.07860880000001</v>
      </c>
      <c r="Z27" s="1326">
        <v>225.55994400000003</v>
      </c>
      <c r="AA27" s="1326">
        <v>233.07860880000001</v>
      </c>
      <c r="AB27" s="1326">
        <v>233.07860880000001</v>
      </c>
      <c r="AC27" s="1326">
        <v>218.04127919999996</v>
      </c>
      <c r="AD27" s="1335">
        <v>233.07860880000001</v>
      </c>
      <c r="AE27" s="1324">
        <f t="shared" si="7"/>
        <v>73.731660000000005</v>
      </c>
      <c r="AF27" s="1325">
        <f t="shared" si="8"/>
        <v>2600.0030327999998</v>
      </c>
      <c r="AG27" s="80"/>
      <c r="AH27" s="80"/>
      <c r="AI27" s="80"/>
      <c r="AJ27" s="80"/>
    </row>
    <row r="28" spans="1:36" ht="13">
      <c r="A28" s="1897">
        <f t="shared" si="1"/>
        <v>21</v>
      </c>
      <c r="B28" s="2493" t="s">
        <v>1007</v>
      </c>
      <c r="C28" s="2494"/>
      <c r="D28" s="2495"/>
      <c r="E28" s="2495"/>
      <c r="F28" s="2495"/>
      <c r="G28" s="2495"/>
      <c r="H28" s="2495"/>
      <c r="I28" s="2495"/>
      <c r="J28" s="2495"/>
      <c r="K28" s="2495"/>
      <c r="L28" s="2495"/>
      <c r="M28" s="2495"/>
      <c r="N28" s="2496"/>
      <c r="O28" s="2373">
        <f t="shared" si="5"/>
        <v>0</v>
      </c>
      <c r="P28" s="2497">
        <f t="shared" si="6"/>
        <v>0</v>
      </c>
      <c r="Q28" s="608"/>
      <c r="R28" s="2717" t="s">
        <v>1449</v>
      </c>
      <c r="S28" s="1331">
        <v>28.349</v>
      </c>
      <c r="T28" s="1326">
        <v>38</v>
      </c>
      <c r="U28" s="1326">
        <v>38</v>
      </c>
      <c r="V28" s="1326">
        <v>28.5</v>
      </c>
      <c r="W28" s="1326">
        <v>19</v>
      </c>
      <c r="X28" s="1326">
        <v>28.5</v>
      </c>
      <c r="Y28" s="1326">
        <v>38</v>
      </c>
      <c r="Z28" s="1326">
        <v>76</v>
      </c>
      <c r="AA28" s="1326">
        <v>95</v>
      </c>
      <c r="AB28" s="1326">
        <v>76</v>
      </c>
      <c r="AC28" s="1326">
        <v>57</v>
      </c>
      <c r="AD28" s="1335">
        <v>38</v>
      </c>
      <c r="AE28" s="1324">
        <f t="shared" si="7"/>
        <v>28.349</v>
      </c>
      <c r="AF28" s="1325">
        <f t="shared" si="8"/>
        <v>560.34899999999993</v>
      </c>
      <c r="AG28" s="80"/>
      <c r="AH28" s="80"/>
      <c r="AI28" s="80"/>
      <c r="AJ28" s="80"/>
    </row>
    <row r="29" spans="1:36" ht="13">
      <c r="A29" s="1897">
        <f t="shared" si="1"/>
        <v>22</v>
      </c>
      <c r="B29" s="2536" t="s">
        <v>1121</v>
      </c>
      <c r="C29" s="2494"/>
      <c r="D29" s="2495"/>
      <c r="E29" s="2495"/>
      <c r="F29" s="2495"/>
      <c r="G29" s="2495"/>
      <c r="H29" s="2495"/>
      <c r="I29" s="2495"/>
      <c r="J29" s="2495"/>
      <c r="K29" s="2495"/>
      <c r="L29" s="2495"/>
      <c r="M29" s="2495"/>
      <c r="N29" s="2496"/>
      <c r="O29" s="2373">
        <f t="shared" si="5"/>
        <v>0</v>
      </c>
      <c r="P29" s="2497">
        <f t="shared" si="6"/>
        <v>0</v>
      </c>
      <c r="Q29" s="608"/>
      <c r="R29" s="2717" t="s">
        <v>1450</v>
      </c>
      <c r="S29" s="2494"/>
      <c r="T29" s="2495">
        <v>0</v>
      </c>
      <c r="U29" s="2495">
        <v>433.520625</v>
      </c>
      <c r="V29" s="2495">
        <v>0</v>
      </c>
      <c r="W29" s="2495">
        <v>0</v>
      </c>
      <c r="X29" s="2495">
        <v>433.520625</v>
      </c>
      <c r="Y29" s="2495">
        <v>0</v>
      </c>
      <c r="Z29" s="2495">
        <v>0</v>
      </c>
      <c r="AA29" s="2495">
        <v>433.520625</v>
      </c>
      <c r="AB29" s="2495">
        <v>0</v>
      </c>
      <c r="AC29" s="2495">
        <v>0</v>
      </c>
      <c r="AD29" s="2496">
        <v>433.520625</v>
      </c>
      <c r="AE29" s="2373">
        <f t="shared" si="7"/>
        <v>0</v>
      </c>
      <c r="AF29" s="2497">
        <f t="shared" si="8"/>
        <v>1734.0825</v>
      </c>
      <c r="AG29" s="80"/>
      <c r="AH29" s="80"/>
      <c r="AI29" s="80"/>
      <c r="AJ29" s="80"/>
    </row>
    <row r="30" spans="1:36" ht="13">
      <c r="A30" s="1897">
        <f t="shared" si="1"/>
        <v>23</v>
      </c>
      <c r="B30" s="2536"/>
      <c r="C30" s="2494"/>
      <c r="D30" s="2495"/>
      <c r="E30" s="2495"/>
      <c r="F30" s="2495"/>
      <c r="G30" s="2495"/>
      <c r="H30" s="2495"/>
      <c r="I30" s="2495"/>
      <c r="J30" s="2495"/>
      <c r="K30" s="2495"/>
      <c r="L30" s="2495"/>
      <c r="M30" s="2495"/>
      <c r="N30" s="2496"/>
      <c r="O30" s="2373">
        <f t="shared" si="5"/>
        <v>0</v>
      </c>
      <c r="P30" s="2497">
        <f t="shared" si="6"/>
        <v>0</v>
      </c>
      <c r="Q30" s="608"/>
      <c r="R30" s="2717"/>
      <c r="S30" s="2494"/>
      <c r="T30" s="2495"/>
      <c r="U30" s="2495"/>
      <c r="V30" s="2495"/>
      <c r="W30" s="2495"/>
      <c r="X30" s="2495"/>
      <c r="Y30" s="2495"/>
      <c r="Z30" s="2495"/>
      <c r="AA30" s="2495"/>
      <c r="AB30" s="2495"/>
      <c r="AC30" s="2495"/>
      <c r="AD30" s="2496"/>
      <c r="AE30" s="2373">
        <f t="shared" si="7"/>
        <v>0</v>
      </c>
      <c r="AF30" s="2497">
        <f t="shared" si="8"/>
        <v>0</v>
      </c>
      <c r="AG30" s="80"/>
      <c r="AH30" s="80"/>
      <c r="AI30" s="80"/>
      <c r="AJ30" s="80"/>
    </row>
    <row r="31" spans="1:36" ht="13">
      <c r="A31" s="1897">
        <f t="shared" si="1"/>
        <v>24</v>
      </c>
      <c r="B31" s="2536"/>
      <c r="C31" s="2494"/>
      <c r="D31" s="2495"/>
      <c r="E31" s="2495"/>
      <c r="F31" s="2495"/>
      <c r="G31" s="2495"/>
      <c r="H31" s="2495"/>
      <c r="I31" s="2495"/>
      <c r="J31" s="2495"/>
      <c r="K31" s="2495"/>
      <c r="L31" s="2495"/>
      <c r="M31" s="2495"/>
      <c r="N31" s="2496"/>
      <c r="O31" s="2373">
        <f t="shared" si="5"/>
        <v>0</v>
      </c>
      <c r="P31" s="2497">
        <f t="shared" si="6"/>
        <v>0</v>
      </c>
      <c r="Q31" s="608"/>
      <c r="R31" s="2717"/>
      <c r="S31" s="2494"/>
      <c r="T31" s="2495"/>
      <c r="U31" s="2495"/>
      <c r="V31" s="2495"/>
      <c r="W31" s="2495"/>
      <c r="X31" s="2495"/>
      <c r="Y31" s="2495"/>
      <c r="Z31" s="2495"/>
      <c r="AA31" s="2495"/>
      <c r="AB31" s="2495"/>
      <c r="AC31" s="2495"/>
      <c r="AD31" s="2496"/>
      <c r="AE31" s="2373">
        <f t="shared" si="7"/>
        <v>0</v>
      </c>
      <c r="AF31" s="2497">
        <f t="shared" si="8"/>
        <v>0</v>
      </c>
      <c r="AG31" s="80"/>
      <c r="AH31" s="80"/>
      <c r="AI31" s="80"/>
      <c r="AJ31" s="80"/>
    </row>
    <row r="32" spans="1:36" ht="13.5" thickBot="1">
      <c r="A32" s="1897">
        <f t="shared" si="1"/>
        <v>25</v>
      </c>
      <c r="B32" s="2536"/>
      <c r="C32" s="2494"/>
      <c r="D32" s="2495"/>
      <c r="E32" s="2495"/>
      <c r="F32" s="2495"/>
      <c r="G32" s="2495"/>
      <c r="H32" s="2495"/>
      <c r="I32" s="2495"/>
      <c r="J32" s="2495"/>
      <c r="K32" s="2495"/>
      <c r="L32" s="2495"/>
      <c r="M32" s="2495"/>
      <c r="N32" s="2496"/>
      <c r="O32" s="2373">
        <f t="shared" si="5"/>
        <v>0</v>
      </c>
      <c r="P32" s="2497">
        <f t="shared" si="6"/>
        <v>0</v>
      </c>
      <c r="Q32" s="608"/>
      <c r="R32" s="2717"/>
      <c r="S32" s="2494"/>
      <c r="T32" s="2495"/>
      <c r="U32" s="2495"/>
      <c r="V32" s="2495"/>
      <c r="W32" s="2495"/>
      <c r="X32" s="2495"/>
      <c r="Y32" s="2495"/>
      <c r="Z32" s="2495"/>
      <c r="AA32" s="2495"/>
      <c r="AB32" s="2495"/>
      <c r="AC32" s="2495"/>
      <c r="AD32" s="2496"/>
      <c r="AE32" s="2373">
        <f t="shared" si="7"/>
        <v>0</v>
      </c>
      <c r="AF32" s="2497">
        <f t="shared" si="8"/>
        <v>0</v>
      </c>
      <c r="AG32" s="80"/>
      <c r="AH32" s="80"/>
      <c r="AI32" s="80"/>
      <c r="AJ32" s="80"/>
    </row>
    <row r="33" spans="1:36" ht="13.5" thickBot="1">
      <c r="A33" s="1919">
        <f t="shared" si="1"/>
        <v>26</v>
      </c>
      <c r="B33" s="1907" t="s">
        <v>1403</v>
      </c>
      <c r="C33" s="1908">
        <f>SUM(C20:C32)</f>
        <v>877.64843000000008</v>
      </c>
      <c r="D33" s="1908">
        <f t="shared" ref="D33:N33" si="10">SUM(D20:D32)</f>
        <v>911.80325773574305</v>
      </c>
      <c r="E33" s="1908">
        <f t="shared" si="10"/>
        <v>1358.4051747442677</v>
      </c>
      <c r="F33" s="1908">
        <f t="shared" si="10"/>
        <v>902.30325773574305</v>
      </c>
      <c r="G33" s="1908">
        <f t="shared" si="10"/>
        <v>892.80325773574305</v>
      </c>
      <c r="H33" s="1908">
        <f t="shared" si="10"/>
        <v>1348.9051747442677</v>
      </c>
      <c r="I33" s="1908">
        <f t="shared" si="10"/>
        <v>1129.4900154706656</v>
      </c>
      <c r="J33" s="1908">
        <f t="shared" si="10"/>
        <v>1134.7104443264507</v>
      </c>
      <c r="K33" s="1908">
        <f t="shared" si="10"/>
        <v>1659.0106404706657</v>
      </c>
      <c r="L33" s="1908">
        <f t="shared" si="10"/>
        <v>1167.4900154706656</v>
      </c>
      <c r="M33" s="1908">
        <f t="shared" si="10"/>
        <v>1082.9308731822357</v>
      </c>
      <c r="N33" s="1908">
        <f t="shared" si="10"/>
        <v>1601.7690304706657</v>
      </c>
      <c r="O33" s="1908">
        <f>SUM(O20:O32)</f>
        <v>877.64843000000008</v>
      </c>
      <c r="P33" s="1908">
        <f>SUM(P20:P32)</f>
        <v>14067.269572087116</v>
      </c>
      <c r="Q33" s="608"/>
      <c r="R33" s="2717"/>
      <c r="S33" s="2494"/>
      <c r="T33" s="2495"/>
      <c r="U33" s="2495"/>
      <c r="V33" s="2495"/>
      <c r="W33" s="2495"/>
      <c r="X33" s="2495"/>
      <c r="Y33" s="2495"/>
      <c r="Z33" s="2495"/>
      <c r="AA33" s="2495"/>
      <c r="AB33" s="2495"/>
      <c r="AC33" s="2495"/>
      <c r="AD33" s="2496"/>
      <c r="AE33" s="2373">
        <f t="shared" si="7"/>
        <v>0</v>
      </c>
      <c r="AF33" s="2497">
        <f t="shared" si="8"/>
        <v>0</v>
      </c>
      <c r="AG33" s="80"/>
      <c r="AH33" s="80"/>
      <c r="AI33" s="80"/>
      <c r="AJ33" s="80"/>
    </row>
    <row r="34" spans="1:36" ht="13.5" thickBot="1">
      <c r="A34" s="1919">
        <f t="shared" si="1"/>
        <v>27</v>
      </c>
      <c r="B34" s="1907" t="s">
        <v>1404</v>
      </c>
      <c r="C34" s="1912">
        <f t="shared" ref="C34:P34" si="11">+C19+C33</f>
        <v>924.67523000000006</v>
      </c>
      <c r="D34" s="1341">
        <f t="shared" si="11"/>
        <v>961.21992440240967</v>
      </c>
      <c r="E34" s="1341">
        <f t="shared" si="11"/>
        <v>1450.7191580776009</v>
      </c>
      <c r="F34" s="1341">
        <f t="shared" si="11"/>
        <v>1025.2170494024097</v>
      </c>
      <c r="G34" s="1341">
        <f t="shared" si="11"/>
        <v>1015.7170494024097</v>
      </c>
      <c r="H34" s="1341">
        <f t="shared" si="11"/>
        <v>1472.2601664109343</v>
      </c>
      <c r="I34" s="1341">
        <f t="shared" si="11"/>
        <v>1271.7207621373323</v>
      </c>
      <c r="J34" s="1341">
        <f t="shared" si="11"/>
        <v>1276.9411909931173</v>
      </c>
      <c r="K34" s="1341">
        <f t="shared" si="11"/>
        <v>1801.278153803999</v>
      </c>
      <c r="L34" s="1341">
        <f t="shared" si="11"/>
        <v>1309.7207621373323</v>
      </c>
      <c r="M34" s="1341">
        <f t="shared" si="11"/>
        <v>1205.8446648489023</v>
      </c>
      <c r="N34" s="1913">
        <f t="shared" si="11"/>
        <v>1724.6858860262212</v>
      </c>
      <c r="O34" s="1341">
        <f t="shared" si="11"/>
        <v>924.67523000000006</v>
      </c>
      <c r="P34" s="1867">
        <f t="shared" si="11"/>
        <v>15439.999997642672</v>
      </c>
      <c r="Q34" s="608"/>
      <c r="R34" s="2718" t="s">
        <v>79</v>
      </c>
      <c r="S34" s="1908">
        <f>SUM(S21:S33)</f>
        <v>859.04843000000005</v>
      </c>
      <c r="T34" s="1908">
        <f t="shared" ref="T34:AD34" si="12">SUM(T21:T33)</f>
        <v>893.20325773574302</v>
      </c>
      <c r="U34" s="1908">
        <f t="shared" si="12"/>
        <v>1300.8051747442678</v>
      </c>
      <c r="V34" s="1908">
        <f t="shared" si="12"/>
        <v>883.70325773574302</v>
      </c>
      <c r="W34" s="1908">
        <f t="shared" si="12"/>
        <v>874.20325773574302</v>
      </c>
      <c r="X34" s="1908">
        <f t="shared" si="12"/>
        <v>1291.3051747442678</v>
      </c>
      <c r="Y34" s="1908">
        <f t="shared" si="12"/>
        <v>1110.8900154706657</v>
      </c>
      <c r="Z34" s="1908">
        <f t="shared" si="12"/>
        <v>1116.1104443264508</v>
      </c>
      <c r="AA34" s="1908">
        <f t="shared" si="12"/>
        <v>1601.4106404706658</v>
      </c>
      <c r="AB34" s="1908">
        <f t="shared" si="12"/>
        <v>1148.8900154706657</v>
      </c>
      <c r="AC34" s="1908">
        <f t="shared" si="12"/>
        <v>1064.3308731822358</v>
      </c>
      <c r="AD34" s="1908">
        <f t="shared" si="12"/>
        <v>1544.1690304706658</v>
      </c>
      <c r="AE34" s="1908">
        <f>SUM(AE21:AE33)</f>
        <v>859.04843000000005</v>
      </c>
      <c r="AF34" s="1908">
        <f>SUM(AF21:AF33)</f>
        <v>13688.069572087114</v>
      </c>
      <c r="AG34" s="80"/>
      <c r="AH34" s="80"/>
      <c r="AI34" s="80"/>
      <c r="AJ34" s="80"/>
    </row>
    <row r="35" spans="1:36" ht="13.5" thickBot="1">
      <c r="A35" s="2486"/>
      <c r="B35" s="1915"/>
      <c r="C35" s="1918"/>
      <c r="D35" s="1918"/>
      <c r="E35" s="1918"/>
      <c r="F35" s="1918"/>
      <c r="G35" s="1918"/>
      <c r="H35" s="1918"/>
      <c r="I35" s="1918"/>
      <c r="J35" s="1918"/>
      <c r="K35" s="1918"/>
      <c r="L35" s="1918"/>
      <c r="M35" s="1918"/>
      <c r="N35" s="1918"/>
      <c r="O35" s="1918"/>
      <c r="P35" s="1918"/>
      <c r="Q35" s="608"/>
      <c r="R35" s="608"/>
      <c r="S35" s="608"/>
      <c r="T35" s="840"/>
      <c r="U35" s="80"/>
      <c r="V35" s="80"/>
      <c r="W35" s="80"/>
      <c r="X35" s="80"/>
      <c r="Y35" s="80"/>
      <c r="Z35" s="80"/>
      <c r="AA35" s="80"/>
      <c r="AB35" s="80"/>
      <c r="AC35" s="80"/>
      <c r="AD35" s="80"/>
      <c r="AE35" s="80"/>
      <c r="AF35" s="1116"/>
      <c r="AG35" s="80"/>
      <c r="AH35" s="80"/>
      <c r="AI35" s="80"/>
      <c r="AJ35" s="80"/>
    </row>
    <row r="36" spans="1:36" ht="13.5" thickBot="1">
      <c r="A36" s="1919">
        <f>A34+1</f>
        <v>28</v>
      </c>
      <c r="B36" s="2715" t="s">
        <v>1405</v>
      </c>
      <c r="C36" s="2489">
        <v>924.67523000000006</v>
      </c>
      <c r="D36" s="2490">
        <v>961.21992440240967</v>
      </c>
      <c r="E36" s="2490">
        <v>1450.7191580776007</v>
      </c>
      <c r="F36" s="2490">
        <v>1025.2170494024097</v>
      </c>
      <c r="G36" s="2490">
        <v>1015.7170494024097</v>
      </c>
      <c r="H36" s="2490">
        <v>1472.2601664109341</v>
      </c>
      <c r="I36" s="2490">
        <v>1271.7207621373325</v>
      </c>
      <c r="J36" s="2490">
        <v>1276.9411909931173</v>
      </c>
      <c r="K36" s="2490">
        <v>1801.278153803999</v>
      </c>
      <c r="L36" s="2490">
        <v>1309.7207621373325</v>
      </c>
      <c r="M36" s="2490">
        <v>1205.8446648489023</v>
      </c>
      <c r="N36" s="2491">
        <v>1724.6858860262212</v>
      </c>
      <c r="O36" s="1132">
        <f>SUMPRODUCT($C$4:$N$4,C36:N36)</f>
        <v>924.67523000000006</v>
      </c>
      <c r="P36" s="1323">
        <f>SUM(C36:N36)</f>
        <v>15439.99999764267</v>
      </c>
      <c r="Q36" s="608"/>
      <c r="R36" s="608"/>
      <c r="S36" s="608"/>
      <c r="T36" s="840"/>
      <c r="U36" s="80"/>
      <c r="V36" s="80"/>
      <c r="W36" s="80"/>
      <c r="X36" s="80"/>
      <c r="Y36" s="80"/>
      <c r="Z36" s="80"/>
      <c r="AA36" s="80"/>
      <c r="AB36" s="80"/>
      <c r="AC36" s="80"/>
      <c r="AD36" s="80"/>
      <c r="AE36" s="80"/>
      <c r="AF36" s="1116"/>
      <c r="AG36" s="80"/>
      <c r="AH36" s="80"/>
      <c r="AI36" s="80"/>
      <c r="AJ36" s="80"/>
    </row>
    <row r="37" spans="1:36" ht="13.5" thickBot="1">
      <c r="A37" s="1919">
        <f>A36+1</f>
        <v>29</v>
      </c>
      <c r="B37" s="2715" t="s">
        <v>1406</v>
      </c>
      <c r="C37" s="1908">
        <f>C36-C34</f>
        <v>0</v>
      </c>
      <c r="D37" s="1908">
        <f t="shared" ref="D37:P37" si="13">D36-D34</f>
        <v>0</v>
      </c>
      <c r="E37" s="1908">
        <f t="shared" si="13"/>
        <v>0</v>
      </c>
      <c r="F37" s="1908">
        <f t="shared" si="13"/>
        <v>0</v>
      </c>
      <c r="G37" s="1908">
        <f t="shared" si="13"/>
        <v>0</v>
      </c>
      <c r="H37" s="1908">
        <f t="shared" si="13"/>
        <v>0</v>
      </c>
      <c r="I37" s="1908">
        <f t="shared" si="13"/>
        <v>0</v>
      </c>
      <c r="J37" s="1908">
        <f t="shared" si="13"/>
        <v>0</v>
      </c>
      <c r="K37" s="1908">
        <f t="shared" si="13"/>
        <v>0</v>
      </c>
      <c r="L37" s="1908">
        <f t="shared" si="13"/>
        <v>0</v>
      </c>
      <c r="M37" s="1908">
        <f t="shared" si="13"/>
        <v>0</v>
      </c>
      <c r="N37" s="1908">
        <f t="shared" si="13"/>
        <v>0</v>
      </c>
      <c r="O37" s="1908">
        <f t="shared" si="13"/>
        <v>0</v>
      </c>
      <c r="P37" s="1909">
        <f t="shared" si="13"/>
        <v>0</v>
      </c>
      <c r="Q37" s="608"/>
      <c r="R37" s="608"/>
      <c r="S37" s="608"/>
      <c r="T37" s="840"/>
      <c r="U37" s="80"/>
      <c r="V37" s="80"/>
      <c r="W37" s="80"/>
      <c r="X37" s="80"/>
      <c r="Y37" s="80"/>
      <c r="Z37" s="80"/>
      <c r="AA37" s="80"/>
      <c r="AB37" s="80"/>
      <c r="AC37" s="80"/>
      <c r="AD37" s="80"/>
      <c r="AE37" s="80"/>
      <c r="AF37" s="1116"/>
      <c r="AG37" s="80"/>
      <c r="AH37" s="80"/>
      <c r="AI37" s="80"/>
      <c r="AJ37" s="80"/>
    </row>
    <row r="38" spans="1:36" ht="13">
      <c r="A38" s="2486"/>
      <c r="B38" s="2723"/>
      <c r="C38" s="1918"/>
      <c r="D38" s="1918"/>
      <c r="E38" s="1918"/>
      <c r="F38" s="1918"/>
      <c r="G38" s="1918"/>
      <c r="H38" s="1918"/>
      <c r="I38" s="1918"/>
      <c r="J38" s="1918"/>
      <c r="K38" s="1918"/>
      <c r="L38" s="1918"/>
      <c r="M38" s="1918"/>
      <c r="N38" s="1918"/>
      <c r="O38" s="1918"/>
      <c r="P38" s="1918"/>
      <c r="Q38" s="608"/>
      <c r="R38" s="608"/>
      <c r="S38" s="608"/>
      <c r="T38" s="840"/>
      <c r="U38" s="80"/>
      <c r="V38" s="80"/>
      <c r="W38" s="80"/>
      <c r="X38" s="80"/>
      <c r="Y38" s="80"/>
      <c r="Z38" s="80"/>
      <c r="AA38" s="80"/>
      <c r="AB38" s="80"/>
      <c r="AC38" s="80"/>
      <c r="AD38" s="80"/>
      <c r="AE38" s="80"/>
      <c r="AF38" s="1116"/>
      <c r="AG38" s="80"/>
      <c r="AH38" s="80"/>
      <c r="AI38" s="80"/>
      <c r="AJ38" s="80"/>
    </row>
    <row r="39" spans="1:36" ht="13">
      <c r="A39" s="1308" t="s">
        <v>1321</v>
      </c>
      <c r="B39" s="2723"/>
      <c r="C39" s="1918"/>
      <c r="D39" s="1918"/>
      <c r="E39" s="1918"/>
      <c r="F39" s="1918"/>
      <c r="G39" s="1918"/>
      <c r="H39" s="1918"/>
      <c r="I39" s="1918"/>
      <c r="J39" s="1918"/>
      <c r="K39" s="1918"/>
      <c r="L39" s="1918"/>
      <c r="M39" s="1918"/>
      <c r="N39" s="1918"/>
      <c r="O39" s="1918"/>
      <c r="P39" s="1918"/>
      <c r="Q39" s="608"/>
      <c r="R39" s="608"/>
      <c r="S39" s="608"/>
      <c r="T39" s="840"/>
      <c r="U39" s="80"/>
      <c r="V39" s="80"/>
      <c r="W39" s="80"/>
      <c r="X39" s="80"/>
      <c r="Y39" s="80"/>
      <c r="Z39" s="80"/>
      <c r="AA39" s="80"/>
      <c r="AB39" s="80"/>
      <c r="AC39" s="80"/>
      <c r="AD39" s="80"/>
      <c r="AE39" s="80"/>
      <c r="AF39" s="1116"/>
      <c r="AG39" s="80"/>
      <c r="AH39" s="80"/>
      <c r="AI39" s="80"/>
      <c r="AJ39" s="80"/>
    </row>
    <row r="40" spans="1:36" ht="13.5" thickBot="1">
      <c r="A40" s="1308"/>
      <c r="B40" s="2723"/>
      <c r="C40" s="1918"/>
      <c r="D40" s="1918"/>
      <c r="E40" s="1918"/>
      <c r="F40" s="1918"/>
      <c r="G40" s="1918"/>
      <c r="H40" s="1918"/>
      <c r="I40" s="1918"/>
      <c r="J40" s="1918"/>
      <c r="K40" s="1918"/>
      <c r="L40" s="1918"/>
      <c r="M40" s="1918"/>
      <c r="N40" s="1918"/>
      <c r="O40" s="1918"/>
      <c r="P40" s="1918"/>
      <c r="Q40" s="608"/>
      <c r="R40" s="608"/>
      <c r="S40" s="608"/>
      <c r="T40" s="840"/>
      <c r="U40" s="80"/>
      <c r="V40" s="80"/>
      <c r="W40" s="80"/>
      <c r="X40" s="80"/>
      <c r="Y40" s="80"/>
      <c r="Z40" s="80"/>
      <c r="AA40" s="80"/>
      <c r="AB40" s="80"/>
      <c r="AC40" s="80"/>
      <c r="AD40" s="80"/>
      <c r="AE40" s="80"/>
      <c r="AF40" s="1116"/>
      <c r="AG40" s="80"/>
      <c r="AH40" s="80"/>
      <c r="AI40" s="80"/>
      <c r="AJ40" s="80"/>
    </row>
    <row r="41" spans="1:36" ht="13">
      <c r="A41" s="2724">
        <f>A37+1</f>
        <v>30</v>
      </c>
      <c r="B41" s="2725" t="s">
        <v>1350</v>
      </c>
      <c r="C41" s="2489">
        <v>924.67499999999995</v>
      </c>
      <c r="D41" s="2490">
        <v>961.21992440240967</v>
      </c>
      <c r="E41" s="2490">
        <v>1450.7191580776007</v>
      </c>
      <c r="F41" s="2490">
        <v>1025.2170494024097</v>
      </c>
      <c r="G41" s="2490">
        <v>1015.7170494024097</v>
      </c>
      <c r="H41" s="2490">
        <v>1472.2601664109341</v>
      </c>
      <c r="I41" s="2490">
        <v>1271.7207621373325</v>
      </c>
      <c r="J41" s="2490">
        <v>1276.9411909931173</v>
      </c>
      <c r="K41" s="2490">
        <v>1801.278153803999</v>
      </c>
      <c r="L41" s="2490">
        <v>1309.7207621373325</v>
      </c>
      <c r="M41" s="2490">
        <v>1205.8446648489023</v>
      </c>
      <c r="N41" s="2726">
        <v>1724.6858860262212</v>
      </c>
      <c r="O41" s="1132">
        <f>SUMPRODUCT($C$4:$N$4,C41:N41)</f>
        <v>924.67499999999995</v>
      </c>
      <c r="P41" s="1323">
        <f>SUM(C41:N41)</f>
        <v>15439.999767642668</v>
      </c>
      <c r="Q41" s="608"/>
      <c r="R41" s="608"/>
      <c r="S41" s="608"/>
      <c r="T41" s="840"/>
      <c r="U41" s="80"/>
      <c r="V41" s="80"/>
      <c r="W41" s="80"/>
      <c r="X41" s="80"/>
      <c r="Y41" s="80"/>
      <c r="Z41" s="80"/>
      <c r="AA41" s="80"/>
      <c r="AB41" s="80"/>
      <c r="AC41" s="80"/>
      <c r="AD41" s="80"/>
      <c r="AE41" s="80"/>
      <c r="AF41" s="1116"/>
      <c r="AG41" s="80"/>
      <c r="AH41" s="80"/>
      <c r="AI41" s="80"/>
      <c r="AJ41" s="80"/>
    </row>
    <row r="42" spans="1:36" ht="13">
      <c r="A42" s="2724">
        <f t="shared" si="1"/>
        <v>31</v>
      </c>
      <c r="B42" s="2727" t="s">
        <v>1407</v>
      </c>
      <c r="C42" s="1331">
        <v>924.67499999999995</v>
      </c>
      <c r="D42" s="1326">
        <v>961.21992440240967</v>
      </c>
      <c r="E42" s="1326">
        <v>1450.7191580776007</v>
      </c>
      <c r="F42" s="1326">
        <v>1025.2170494024097</v>
      </c>
      <c r="G42" s="1326">
        <v>1015.7170494024097</v>
      </c>
      <c r="H42" s="1326">
        <v>1472.2601664109341</v>
      </c>
      <c r="I42" s="1326">
        <v>1271.7207621373325</v>
      </c>
      <c r="J42" s="1326">
        <v>1276.9411909931173</v>
      </c>
      <c r="K42" s="1326">
        <v>1801.278153803999</v>
      </c>
      <c r="L42" s="1326">
        <v>1309.7207621373325</v>
      </c>
      <c r="M42" s="1326">
        <v>1205.8446648489023</v>
      </c>
      <c r="N42" s="2728">
        <v>1724.6858860262212</v>
      </c>
      <c r="O42" s="1324">
        <f t="shared" ref="O42:O44" si="14">SUMPRODUCT($C$4:$N$4,C42:N42)</f>
        <v>924.67499999999995</v>
      </c>
      <c r="P42" s="1325">
        <f t="shared" ref="P42:P44" si="15">SUM(C42:N42)</f>
        <v>15439.999767642668</v>
      </c>
      <c r="Q42" s="608"/>
      <c r="R42" s="608"/>
      <c r="S42" s="608"/>
      <c r="T42" s="840"/>
      <c r="U42" s="80"/>
      <c r="V42" s="80"/>
      <c r="W42" s="80"/>
      <c r="X42" s="80"/>
      <c r="Y42" s="80"/>
      <c r="Z42" s="80"/>
      <c r="AA42" s="80"/>
      <c r="AB42" s="80"/>
      <c r="AC42" s="80"/>
      <c r="AD42" s="80"/>
      <c r="AE42" s="80"/>
      <c r="AF42" s="1116"/>
      <c r="AG42" s="80"/>
      <c r="AH42" s="80"/>
      <c r="AI42" s="80"/>
      <c r="AJ42" s="80"/>
    </row>
    <row r="43" spans="1:36" ht="13">
      <c r="A43" s="2724">
        <f t="shared" si="1"/>
        <v>32</v>
      </c>
      <c r="B43" s="2727" t="s">
        <v>1408</v>
      </c>
      <c r="C43" s="1331"/>
      <c r="D43" s="1326"/>
      <c r="E43" s="1326"/>
      <c r="F43" s="1326"/>
      <c r="G43" s="1326"/>
      <c r="H43" s="1326"/>
      <c r="I43" s="1326"/>
      <c r="J43" s="1326"/>
      <c r="K43" s="1326"/>
      <c r="L43" s="1326"/>
      <c r="M43" s="1326"/>
      <c r="N43" s="2728"/>
      <c r="O43" s="1324">
        <f t="shared" si="14"/>
        <v>0</v>
      </c>
      <c r="P43" s="1325">
        <f t="shared" si="15"/>
        <v>0</v>
      </c>
      <c r="Q43" s="608"/>
      <c r="R43" s="608"/>
      <c r="S43" s="608"/>
      <c r="T43" s="840"/>
      <c r="U43" s="80"/>
      <c r="V43" s="80"/>
      <c r="W43" s="80"/>
      <c r="X43" s="80"/>
      <c r="Y43" s="80"/>
      <c r="Z43" s="80"/>
      <c r="AA43" s="80"/>
      <c r="AB43" s="80"/>
      <c r="AC43" s="80"/>
      <c r="AD43" s="80"/>
      <c r="AE43" s="80"/>
      <c r="AF43" s="1116"/>
      <c r="AG43" s="80"/>
      <c r="AH43" s="80"/>
      <c r="AI43" s="80"/>
      <c r="AJ43" s="80"/>
    </row>
    <row r="44" spans="1:36" ht="13">
      <c r="A44" s="2724">
        <f t="shared" si="1"/>
        <v>33</v>
      </c>
      <c r="B44" s="2727" t="s">
        <v>1320</v>
      </c>
      <c r="C44" s="2731">
        <f>C42+C43</f>
        <v>924.67499999999995</v>
      </c>
      <c r="D44" s="2731">
        <f t="shared" ref="D44:N44" si="16">D42+D43</f>
        <v>961.21992440240967</v>
      </c>
      <c r="E44" s="2731">
        <f t="shared" si="16"/>
        <v>1450.7191580776007</v>
      </c>
      <c r="F44" s="2731">
        <f t="shared" si="16"/>
        <v>1025.2170494024097</v>
      </c>
      <c r="G44" s="2731">
        <f t="shared" si="16"/>
        <v>1015.7170494024097</v>
      </c>
      <c r="H44" s="2731">
        <f t="shared" si="16"/>
        <v>1472.2601664109341</v>
      </c>
      <c r="I44" s="2731">
        <f t="shared" si="16"/>
        <v>1271.7207621373325</v>
      </c>
      <c r="J44" s="2731">
        <f t="shared" si="16"/>
        <v>1276.9411909931173</v>
      </c>
      <c r="K44" s="2731">
        <f t="shared" si="16"/>
        <v>1801.278153803999</v>
      </c>
      <c r="L44" s="2731">
        <f t="shared" si="16"/>
        <v>1309.7207621373325</v>
      </c>
      <c r="M44" s="2731">
        <f t="shared" si="16"/>
        <v>1205.8446648489023</v>
      </c>
      <c r="N44" s="2732">
        <f t="shared" si="16"/>
        <v>1724.6858860262212</v>
      </c>
      <c r="O44" s="2733">
        <f t="shared" si="14"/>
        <v>924.67499999999995</v>
      </c>
      <c r="P44" s="2734">
        <f t="shared" si="15"/>
        <v>15439.999767642668</v>
      </c>
      <c r="Q44" s="608"/>
      <c r="R44" s="608"/>
      <c r="S44" s="608"/>
      <c r="T44" s="840"/>
      <c r="U44" s="80"/>
      <c r="V44" s="80"/>
      <c r="W44" s="80"/>
      <c r="X44" s="80"/>
      <c r="Y44" s="80"/>
      <c r="Z44" s="80"/>
      <c r="AA44" s="80"/>
      <c r="AB44" s="80"/>
      <c r="AC44" s="80"/>
      <c r="AD44" s="80"/>
      <c r="AE44" s="80"/>
      <c r="AF44" s="1116"/>
      <c r="AG44" s="80"/>
      <c r="AH44" s="80"/>
      <c r="AI44" s="80"/>
      <c r="AJ44" s="80"/>
    </row>
    <row r="45" spans="1:36" ht="13.5" thickBot="1">
      <c r="A45" s="2724">
        <f t="shared" si="1"/>
        <v>34</v>
      </c>
      <c r="B45" s="2729" t="s">
        <v>1322</v>
      </c>
      <c r="C45" s="2735">
        <f>C44-C41</f>
        <v>0</v>
      </c>
      <c r="D45" s="2735">
        <f t="shared" ref="D45:P45" si="17">D44-D41</f>
        <v>0</v>
      </c>
      <c r="E45" s="2735">
        <f t="shared" si="17"/>
        <v>0</v>
      </c>
      <c r="F45" s="2735">
        <f t="shared" si="17"/>
        <v>0</v>
      </c>
      <c r="G45" s="2735">
        <f t="shared" si="17"/>
        <v>0</v>
      </c>
      <c r="H45" s="2735">
        <f t="shared" si="17"/>
        <v>0</v>
      </c>
      <c r="I45" s="2735">
        <f t="shared" si="17"/>
        <v>0</v>
      </c>
      <c r="J45" s="2735">
        <f t="shared" si="17"/>
        <v>0</v>
      </c>
      <c r="K45" s="2735">
        <f t="shared" si="17"/>
        <v>0</v>
      </c>
      <c r="L45" s="2735">
        <f t="shared" si="17"/>
        <v>0</v>
      </c>
      <c r="M45" s="2735">
        <f t="shared" si="17"/>
        <v>0</v>
      </c>
      <c r="N45" s="2736">
        <f t="shared" si="17"/>
        <v>0</v>
      </c>
      <c r="O45" s="2761">
        <f t="shared" si="17"/>
        <v>0</v>
      </c>
      <c r="P45" s="2761">
        <f t="shared" si="17"/>
        <v>0</v>
      </c>
      <c r="Q45" s="608"/>
      <c r="R45" s="608"/>
      <c r="S45" s="608"/>
      <c r="T45" s="840"/>
      <c r="U45" s="80"/>
      <c r="V45" s="80"/>
      <c r="W45" s="80"/>
      <c r="X45" s="80"/>
      <c r="Y45" s="80"/>
      <c r="Z45" s="80"/>
      <c r="AA45" s="80"/>
      <c r="AB45" s="80"/>
      <c r="AC45" s="80"/>
      <c r="AD45" s="80"/>
      <c r="AE45" s="80"/>
      <c r="AF45" s="1116"/>
      <c r="AG45" s="80"/>
      <c r="AH45" s="80"/>
      <c r="AI45" s="80"/>
      <c r="AJ45" s="80"/>
    </row>
    <row r="46" spans="1:36" ht="13.5" thickBot="1">
      <c r="A46" s="2486"/>
      <c r="B46" s="2723"/>
      <c r="C46" s="1918"/>
      <c r="D46" s="1918"/>
      <c r="E46" s="1918"/>
      <c r="F46" s="1918"/>
      <c r="G46" s="1918"/>
      <c r="H46" s="1918"/>
      <c r="I46" s="1918"/>
      <c r="J46" s="1918"/>
      <c r="K46" s="1918"/>
      <c r="L46" s="1918"/>
      <c r="M46" s="1918"/>
      <c r="N46" s="1918"/>
      <c r="O46" s="1918"/>
      <c r="P46" s="1918"/>
      <c r="Q46" s="608"/>
      <c r="R46" s="608"/>
      <c r="S46" s="608"/>
      <c r="T46" s="840"/>
      <c r="U46" s="80"/>
      <c r="V46" s="80"/>
      <c r="W46" s="80"/>
      <c r="X46" s="80"/>
      <c r="Y46" s="80"/>
      <c r="Z46" s="80"/>
      <c r="AA46" s="80"/>
      <c r="AB46" s="80"/>
      <c r="AC46" s="80"/>
      <c r="AD46" s="80"/>
      <c r="AE46" s="80"/>
      <c r="AF46" s="1116"/>
      <c r="AG46" s="80"/>
      <c r="AH46" s="80"/>
      <c r="AI46" s="80"/>
      <c r="AJ46" s="80"/>
    </row>
    <row r="47" spans="1:36" ht="13.5" thickBot="1">
      <c r="A47" s="1353">
        <f>A45+1</f>
        <v>35</v>
      </c>
      <c r="B47" s="1865" t="s">
        <v>1409</v>
      </c>
      <c r="C47" s="1341">
        <f>C44-C34</f>
        <v>-2.3000000010142685E-4</v>
      </c>
      <c r="D47" s="1341">
        <f t="shared" ref="D47:P47" si="18">D44-D34</f>
        <v>0</v>
      </c>
      <c r="E47" s="1341">
        <f t="shared" si="18"/>
        <v>0</v>
      </c>
      <c r="F47" s="1341">
        <f t="shared" si="18"/>
        <v>0</v>
      </c>
      <c r="G47" s="1341">
        <f t="shared" si="18"/>
        <v>0</v>
      </c>
      <c r="H47" s="1341">
        <f t="shared" si="18"/>
        <v>0</v>
      </c>
      <c r="I47" s="1341">
        <f t="shared" si="18"/>
        <v>0</v>
      </c>
      <c r="J47" s="1341">
        <f t="shared" si="18"/>
        <v>0</v>
      </c>
      <c r="K47" s="1341">
        <f t="shared" si="18"/>
        <v>0</v>
      </c>
      <c r="L47" s="1341">
        <f t="shared" si="18"/>
        <v>0</v>
      </c>
      <c r="M47" s="1341">
        <f t="shared" si="18"/>
        <v>0</v>
      </c>
      <c r="N47" s="1341">
        <f t="shared" si="18"/>
        <v>0</v>
      </c>
      <c r="O47" s="1341">
        <f t="shared" si="18"/>
        <v>-2.3000000010142685E-4</v>
      </c>
      <c r="P47" s="1341">
        <f t="shared" si="18"/>
        <v>-2.3000000328465831E-4</v>
      </c>
      <c r="Q47" s="608"/>
      <c r="R47" s="608"/>
      <c r="S47" s="608"/>
      <c r="T47" s="840"/>
      <c r="U47" s="80"/>
      <c r="V47" s="80"/>
      <c r="W47" s="80"/>
      <c r="X47" s="80"/>
      <c r="Y47" s="80"/>
      <c r="Z47" s="80"/>
      <c r="AA47" s="80"/>
      <c r="AB47" s="80"/>
      <c r="AC47" s="80"/>
      <c r="AD47" s="80"/>
      <c r="AE47" s="80"/>
      <c r="AF47" s="1116"/>
      <c r="AG47" s="80"/>
      <c r="AH47" s="80"/>
      <c r="AI47" s="80"/>
      <c r="AJ47" s="80"/>
    </row>
    <row r="48" spans="1:36" ht="13">
      <c r="A48" s="2486"/>
      <c r="B48" s="2723"/>
      <c r="C48" s="1918"/>
      <c r="D48" s="1918"/>
      <c r="E48" s="1918"/>
      <c r="F48" s="1918"/>
      <c r="G48" s="1918"/>
      <c r="H48" s="1918"/>
      <c r="I48" s="1918"/>
      <c r="J48" s="1918"/>
      <c r="K48" s="1918"/>
      <c r="L48" s="1918"/>
      <c r="M48" s="1918"/>
      <c r="N48" s="1918"/>
      <c r="O48" s="1918"/>
      <c r="P48" s="1918"/>
      <c r="Q48" s="608"/>
      <c r="R48" s="608"/>
      <c r="S48" s="608"/>
      <c r="T48" s="840"/>
      <c r="U48" s="80"/>
      <c r="V48" s="80"/>
      <c r="W48" s="80"/>
      <c r="X48" s="80"/>
      <c r="Y48" s="80"/>
      <c r="Z48" s="80"/>
      <c r="AA48" s="80"/>
      <c r="AB48" s="80"/>
      <c r="AC48" s="80"/>
      <c r="AD48" s="80"/>
      <c r="AE48" s="80"/>
      <c r="AF48" s="1116"/>
      <c r="AG48" s="80"/>
      <c r="AH48" s="80"/>
      <c r="AI48" s="80"/>
      <c r="AJ48" s="80"/>
    </row>
    <row r="49" spans="1:36" ht="13">
      <c r="A49" s="2730" t="s">
        <v>1323</v>
      </c>
      <c r="B49" s="2723"/>
      <c r="C49" s="1918"/>
      <c r="D49" s="1918"/>
      <c r="E49" s="1918"/>
      <c r="F49" s="1918"/>
      <c r="G49" s="1918"/>
      <c r="H49" s="1918"/>
      <c r="I49" s="1918"/>
      <c r="J49" s="1918"/>
      <c r="K49" s="1918"/>
      <c r="L49" s="1918"/>
      <c r="M49" s="1918"/>
      <c r="N49" s="1918"/>
      <c r="O49" s="1918"/>
      <c r="P49" s="1918"/>
      <c r="Q49" s="608"/>
      <c r="R49" s="608"/>
      <c r="S49" s="608"/>
      <c r="T49" s="840"/>
      <c r="U49" s="80"/>
      <c r="V49" s="80"/>
      <c r="W49" s="80"/>
      <c r="X49" s="80"/>
      <c r="Y49" s="80"/>
      <c r="Z49" s="80"/>
      <c r="AA49" s="80"/>
      <c r="AB49" s="80"/>
      <c r="AC49" s="80"/>
      <c r="AD49" s="80"/>
      <c r="AE49" s="80"/>
      <c r="AF49" s="1116"/>
      <c r="AG49" s="80"/>
      <c r="AH49" s="80"/>
      <c r="AI49" s="80"/>
      <c r="AJ49" s="80"/>
    </row>
    <row r="50" spans="1:36" ht="13.5" thickBot="1">
      <c r="A50" s="2486"/>
      <c r="B50" s="1915"/>
      <c r="C50" s="1918"/>
      <c r="D50" s="1918"/>
      <c r="E50" s="1918"/>
      <c r="F50" s="1918"/>
      <c r="G50" s="1918"/>
      <c r="H50" s="1918"/>
      <c r="I50" s="1918"/>
      <c r="J50" s="1918"/>
      <c r="K50" s="1918"/>
      <c r="L50" s="1918"/>
      <c r="M50" s="1918"/>
      <c r="N50" s="1918"/>
      <c r="O50" s="1918"/>
      <c r="P50" s="1918"/>
      <c r="Q50" s="608"/>
      <c r="R50" s="608"/>
      <c r="S50" s="608"/>
      <c r="T50" s="840"/>
      <c r="U50" s="80"/>
      <c r="V50" s="80"/>
      <c r="W50" s="80"/>
      <c r="X50" s="80"/>
      <c r="Y50" s="80"/>
      <c r="Z50" s="80"/>
      <c r="AA50" s="80"/>
      <c r="AB50" s="80"/>
      <c r="AC50" s="80"/>
      <c r="AD50" s="80"/>
      <c r="AE50" s="80"/>
      <c r="AF50" s="1116"/>
      <c r="AG50" s="80"/>
      <c r="AH50" s="80"/>
      <c r="AI50" s="80"/>
      <c r="AJ50" s="80"/>
    </row>
    <row r="51" spans="1:36" ht="13.5" thickBot="1">
      <c r="A51" s="2476" t="s">
        <v>1008</v>
      </c>
      <c r="B51" s="2716" t="s">
        <v>1314</v>
      </c>
      <c r="C51" s="1895" t="s">
        <v>289</v>
      </c>
      <c r="D51" s="1896"/>
      <c r="E51" s="1896"/>
      <c r="F51" s="1896"/>
      <c r="G51" s="1896"/>
      <c r="H51" s="1896"/>
      <c r="I51" s="1896"/>
      <c r="J51" s="1896"/>
      <c r="K51" s="1896"/>
      <c r="L51" s="1896"/>
      <c r="M51" s="1896"/>
      <c r="N51" s="1252"/>
      <c r="O51" s="1895"/>
      <c r="P51" s="1252"/>
      <c r="Q51" s="608"/>
      <c r="R51" s="608"/>
      <c r="S51" s="608"/>
      <c r="T51" s="840"/>
      <c r="U51" s="80"/>
      <c r="V51" s="80"/>
      <c r="W51" s="80"/>
      <c r="X51" s="80"/>
      <c r="Y51" s="80"/>
      <c r="Z51" s="80"/>
      <c r="AA51" s="80"/>
      <c r="AB51" s="80"/>
      <c r="AC51" s="80"/>
      <c r="AD51" s="80"/>
      <c r="AE51" s="80"/>
      <c r="AF51" s="80"/>
      <c r="AG51" s="80"/>
      <c r="AH51" s="80"/>
      <c r="AI51" s="80"/>
      <c r="AJ51" s="80"/>
    </row>
    <row r="52" spans="1:36" ht="13">
      <c r="A52" s="1897">
        <f>A37+1</f>
        <v>30</v>
      </c>
      <c r="B52" s="2475" t="s">
        <v>1003</v>
      </c>
      <c r="C52" s="1898"/>
      <c r="D52" s="1899"/>
      <c r="E52" s="1899"/>
      <c r="F52" s="1899"/>
      <c r="G52" s="1899"/>
      <c r="H52" s="1899"/>
      <c r="I52" s="1899"/>
      <c r="J52" s="1899"/>
      <c r="K52" s="1899"/>
      <c r="L52" s="1899"/>
      <c r="M52" s="1899"/>
      <c r="N52" s="1900"/>
      <c r="O52" s="1901"/>
      <c r="P52" s="1902"/>
      <c r="Q52" s="608"/>
      <c r="R52" s="608"/>
      <c r="S52" s="608"/>
      <c r="T52" s="840"/>
      <c r="U52" s="80"/>
      <c r="V52" s="80"/>
      <c r="W52" s="80"/>
      <c r="X52" s="80"/>
      <c r="Y52" s="80"/>
      <c r="Z52" s="80"/>
      <c r="AA52" s="80"/>
      <c r="AB52" s="80"/>
      <c r="AC52" s="80"/>
      <c r="AD52" s="80"/>
      <c r="AE52" s="80"/>
      <c r="AF52" s="80"/>
      <c r="AG52" s="80"/>
      <c r="AH52" s="80"/>
      <c r="AI52" s="80"/>
      <c r="AJ52" s="80"/>
    </row>
    <row r="53" spans="1:36" ht="13">
      <c r="A53" s="1897">
        <f t="shared" si="1"/>
        <v>31</v>
      </c>
      <c r="B53" s="1911" t="s">
        <v>425</v>
      </c>
      <c r="C53" s="1903">
        <v>36.324280000000002</v>
      </c>
      <c r="D53" s="1904">
        <v>50.565666666666665</v>
      </c>
      <c r="E53" s="1904">
        <v>59.37886666666666</v>
      </c>
      <c r="F53" s="1904">
        <v>59.37886666666666</v>
      </c>
      <c r="G53" s="1904">
        <v>59.37886666666666</v>
      </c>
      <c r="H53" s="1904">
        <v>59.37886666666666</v>
      </c>
      <c r="I53" s="1904">
        <v>59.37886666666666</v>
      </c>
      <c r="J53" s="1904">
        <v>59.37886666666666</v>
      </c>
      <c r="K53" s="1904">
        <v>59.37886666666666</v>
      </c>
      <c r="L53" s="1904">
        <v>59.37886666666666</v>
      </c>
      <c r="M53" s="1904">
        <v>59.37886666666666</v>
      </c>
      <c r="N53" s="1905">
        <v>59.37886666666666</v>
      </c>
      <c r="O53" s="1863">
        <f t="shared" ref="O53:O61" si="19">SUMPRODUCT($C$4:$N$4,C53:N53)</f>
        <v>36.324280000000002</v>
      </c>
      <c r="P53" s="1864">
        <f t="shared" ref="P53:P61" si="20">SUM(C53:N53)</f>
        <v>680.67861333333337</v>
      </c>
      <c r="Q53" s="608"/>
      <c r="R53" s="608"/>
      <c r="S53" s="608"/>
      <c r="T53" s="840"/>
      <c r="U53" s="80"/>
      <c r="V53" s="80"/>
      <c r="W53" s="80"/>
      <c r="X53" s="80"/>
      <c r="Y53" s="80"/>
      <c r="Z53" s="80"/>
      <c r="AA53" s="80"/>
      <c r="AB53" s="80"/>
      <c r="AC53" s="80"/>
      <c r="AD53" s="80"/>
      <c r="AE53" s="80"/>
      <c r="AF53" s="80"/>
      <c r="AG53" s="80"/>
      <c r="AH53" s="80"/>
      <c r="AI53" s="80"/>
      <c r="AJ53" s="80"/>
    </row>
    <row r="54" spans="1:36" ht="13">
      <c r="A54" s="1897">
        <f t="shared" si="1"/>
        <v>32</v>
      </c>
      <c r="B54" s="1906" t="s">
        <v>419</v>
      </c>
      <c r="C54" s="1330"/>
      <c r="D54" s="1327"/>
      <c r="E54" s="1327"/>
      <c r="F54" s="1327"/>
      <c r="G54" s="1327"/>
      <c r="H54" s="1327"/>
      <c r="I54" s="1327"/>
      <c r="J54" s="1327"/>
      <c r="K54" s="1327"/>
      <c r="L54" s="1327"/>
      <c r="M54" s="1327"/>
      <c r="N54" s="1334"/>
      <c r="O54" s="1863">
        <f t="shared" si="19"/>
        <v>0</v>
      </c>
      <c r="P54" s="1864">
        <f t="shared" si="20"/>
        <v>0</v>
      </c>
      <c r="Q54" s="608"/>
      <c r="R54" s="608"/>
      <c r="S54" s="608"/>
      <c r="T54" s="840"/>
      <c r="U54" s="80"/>
      <c r="V54" s="80"/>
      <c r="W54" s="80"/>
      <c r="X54" s="80"/>
      <c r="Y54" s="80"/>
      <c r="Z54" s="80"/>
      <c r="AA54" s="80"/>
      <c r="AB54" s="80"/>
      <c r="AC54" s="80"/>
      <c r="AD54" s="80"/>
      <c r="AE54" s="80"/>
      <c r="AF54" s="80"/>
      <c r="AG54" s="80"/>
      <c r="AH54" s="80"/>
      <c r="AI54" s="80"/>
      <c r="AJ54" s="80"/>
    </row>
    <row r="55" spans="1:36" ht="13">
      <c r="A55" s="1897">
        <f t="shared" si="1"/>
        <v>33</v>
      </c>
      <c r="B55" s="1906" t="s">
        <v>420</v>
      </c>
      <c r="C55" s="1330"/>
      <c r="D55" s="1327"/>
      <c r="E55" s="1327"/>
      <c r="F55" s="1327"/>
      <c r="G55" s="1327"/>
      <c r="H55" s="1327"/>
      <c r="I55" s="1327"/>
      <c r="J55" s="1327"/>
      <c r="K55" s="1327"/>
      <c r="L55" s="1327"/>
      <c r="M55" s="1327"/>
      <c r="N55" s="1334"/>
      <c r="O55" s="1863">
        <f t="shared" si="19"/>
        <v>0</v>
      </c>
      <c r="P55" s="1864">
        <f t="shared" si="20"/>
        <v>0</v>
      </c>
      <c r="Q55" s="608"/>
      <c r="R55" s="608"/>
      <c r="S55" s="608"/>
      <c r="T55" s="840"/>
      <c r="U55" s="80"/>
      <c r="V55" s="80"/>
      <c r="W55" s="80"/>
      <c r="X55" s="80"/>
      <c r="Y55" s="80"/>
      <c r="Z55" s="80"/>
      <c r="AA55" s="80"/>
      <c r="AB55" s="80"/>
      <c r="AC55" s="80"/>
      <c r="AD55" s="80"/>
      <c r="AE55" s="80"/>
      <c r="AF55" s="80"/>
      <c r="AG55" s="80"/>
      <c r="AH55" s="80"/>
      <c r="AI55" s="80"/>
      <c r="AJ55" s="80"/>
    </row>
    <row r="56" spans="1:36" ht="13">
      <c r="A56" s="1897">
        <f t="shared" si="1"/>
        <v>34</v>
      </c>
      <c r="B56" s="1906" t="s">
        <v>421</v>
      </c>
      <c r="C56" s="1330"/>
      <c r="D56" s="1327"/>
      <c r="E56" s="1327"/>
      <c r="F56" s="1327"/>
      <c r="G56" s="1327"/>
      <c r="H56" s="1327"/>
      <c r="I56" s="1327"/>
      <c r="J56" s="1327"/>
      <c r="K56" s="1327"/>
      <c r="L56" s="1327"/>
      <c r="M56" s="1327"/>
      <c r="N56" s="1334"/>
      <c r="O56" s="1863">
        <f t="shared" si="19"/>
        <v>0</v>
      </c>
      <c r="P56" s="1864">
        <f t="shared" si="20"/>
        <v>0</v>
      </c>
      <c r="Q56" s="608"/>
      <c r="R56" s="608"/>
      <c r="S56" s="608"/>
      <c r="T56" s="840"/>
      <c r="U56" s="80"/>
      <c r="V56" s="80"/>
      <c r="W56" s="80"/>
      <c r="X56" s="80"/>
      <c r="Y56" s="80"/>
      <c r="Z56" s="80"/>
      <c r="AA56" s="80"/>
      <c r="AB56" s="80"/>
      <c r="AC56" s="80"/>
      <c r="AD56" s="80"/>
      <c r="AE56" s="80"/>
      <c r="AF56" s="80"/>
      <c r="AG56" s="80"/>
      <c r="AH56" s="80"/>
      <c r="AI56" s="80"/>
      <c r="AJ56" s="80"/>
    </row>
    <row r="57" spans="1:36" ht="13">
      <c r="A57" s="1897">
        <f t="shared" si="1"/>
        <v>35</v>
      </c>
      <c r="B57" s="1906" t="s">
        <v>422</v>
      </c>
      <c r="C57" s="1330"/>
      <c r="D57" s="1327"/>
      <c r="E57" s="1327"/>
      <c r="F57" s="1327"/>
      <c r="G57" s="1327"/>
      <c r="H57" s="1327"/>
      <c r="I57" s="1327"/>
      <c r="J57" s="1327"/>
      <c r="K57" s="1327"/>
      <c r="L57" s="1327"/>
      <c r="M57" s="1327"/>
      <c r="N57" s="1334"/>
      <c r="O57" s="1863">
        <f t="shared" si="19"/>
        <v>0</v>
      </c>
      <c r="P57" s="1864">
        <f t="shared" si="20"/>
        <v>0</v>
      </c>
      <c r="Q57" s="608"/>
      <c r="R57" s="608"/>
      <c r="S57" s="608"/>
      <c r="T57" s="840"/>
      <c r="U57" s="80"/>
      <c r="V57" s="80"/>
      <c r="W57" s="80"/>
      <c r="X57" s="80"/>
      <c r="Y57" s="80"/>
      <c r="Z57" s="80"/>
      <c r="AA57" s="80"/>
      <c r="AB57" s="80"/>
      <c r="AC57" s="80"/>
      <c r="AD57" s="80"/>
      <c r="AE57" s="80"/>
      <c r="AF57" s="80"/>
      <c r="AG57" s="80"/>
      <c r="AH57" s="80"/>
      <c r="AI57" s="80"/>
      <c r="AJ57" s="80"/>
    </row>
    <row r="58" spans="1:36" ht="13">
      <c r="A58" s="1897">
        <f t="shared" si="1"/>
        <v>36</v>
      </c>
      <c r="B58" s="1906" t="s">
        <v>364</v>
      </c>
      <c r="C58" s="1330"/>
      <c r="D58" s="1327"/>
      <c r="E58" s="1327"/>
      <c r="F58" s="1327"/>
      <c r="G58" s="1327"/>
      <c r="H58" s="1327"/>
      <c r="I58" s="1327"/>
      <c r="J58" s="1327"/>
      <c r="K58" s="1327"/>
      <c r="L58" s="1327"/>
      <c r="M58" s="1327"/>
      <c r="N58" s="1334"/>
      <c r="O58" s="1863">
        <f t="shared" si="19"/>
        <v>0</v>
      </c>
      <c r="P58" s="1864">
        <f t="shared" si="20"/>
        <v>0</v>
      </c>
      <c r="Q58" s="608"/>
      <c r="R58" s="608"/>
      <c r="S58" s="608"/>
      <c r="T58" s="840"/>
      <c r="U58" s="80"/>
      <c r="V58" s="80"/>
      <c r="W58" s="80"/>
      <c r="X58" s="80"/>
      <c r="Y58" s="80"/>
      <c r="Z58" s="80"/>
      <c r="AA58" s="80"/>
      <c r="AB58" s="80"/>
      <c r="AC58" s="80"/>
      <c r="AD58" s="80"/>
      <c r="AE58" s="80"/>
      <c r="AF58" s="80"/>
      <c r="AG58" s="80"/>
      <c r="AH58" s="80"/>
      <c r="AI58" s="80"/>
      <c r="AJ58" s="80"/>
    </row>
    <row r="59" spans="1:36" ht="13">
      <c r="A59" s="1897">
        <f t="shared" si="1"/>
        <v>37</v>
      </c>
      <c r="B59" s="1906" t="s">
        <v>423</v>
      </c>
      <c r="C59" s="1330">
        <v>16.712319999999998</v>
      </c>
      <c r="D59" s="1327">
        <v>16.9665</v>
      </c>
      <c r="E59" s="1327">
        <v>16.9665</v>
      </c>
      <c r="F59" s="1327">
        <v>16.9665</v>
      </c>
      <c r="G59" s="1327">
        <v>16.9665</v>
      </c>
      <c r="H59" s="1327">
        <v>16.9665</v>
      </c>
      <c r="I59" s="1327">
        <v>16.9665</v>
      </c>
      <c r="J59" s="1327">
        <v>16.9665</v>
      </c>
      <c r="K59" s="1327">
        <v>16.9665</v>
      </c>
      <c r="L59" s="1327">
        <v>16.9665</v>
      </c>
      <c r="M59" s="1327">
        <v>16.9665</v>
      </c>
      <c r="N59" s="1334">
        <v>16.9665</v>
      </c>
      <c r="O59" s="1863">
        <f t="shared" si="19"/>
        <v>16.712319999999998</v>
      </c>
      <c r="P59" s="1864">
        <f t="shared" si="20"/>
        <v>203.34381999999997</v>
      </c>
      <c r="Q59" s="608"/>
      <c r="R59" s="608"/>
      <c r="S59" s="608"/>
      <c r="T59" s="840"/>
      <c r="U59" s="80"/>
      <c r="V59" s="80"/>
      <c r="W59" s="80"/>
      <c r="X59" s="80"/>
      <c r="Y59" s="80"/>
      <c r="Z59" s="80"/>
      <c r="AA59" s="80"/>
      <c r="AB59" s="80"/>
      <c r="AC59" s="80"/>
      <c r="AD59" s="80"/>
      <c r="AE59" s="80"/>
      <c r="AF59" s="80"/>
      <c r="AG59" s="80"/>
      <c r="AH59" s="80"/>
      <c r="AI59" s="80"/>
      <c r="AJ59" s="80"/>
    </row>
    <row r="60" spans="1:36" ht="13">
      <c r="A60" s="1897">
        <f t="shared" si="1"/>
        <v>38</v>
      </c>
      <c r="B60" s="1906" t="s">
        <v>536</v>
      </c>
      <c r="C60" s="1330"/>
      <c r="D60" s="1327"/>
      <c r="E60" s="1327"/>
      <c r="F60" s="1327"/>
      <c r="G60" s="1327"/>
      <c r="H60" s="1327"/>
      <c r="I60" s="1327"/>
      <c r="J60" s="1327"/>
      <c r="K60" s="1327"/>
      <c r="L60" s="1327"/>
      <c r="M60" s="1327"/>
      <c r="N60" s="1334"/>
      <c r="O60" s="1863">
        <f t="shared" si="19"/>
        <v>0</v>
      </c>
      <c r="P60" s="1864">
        <f t="shared" si="20"/>
        <v>0</v>
      </c>
      <c r="Q60" s="608"/>
      <c r="R60" s="608"/>
      <c r="S60" s="608"/>
      <c r="T60" s="840"/>
      <c r="U60" s="80"/>
      <c r="V60" s="80"/>
      <c r="W60" s="80"/>
      <c r="X60" s="80"/>
      <c r="Y60" s="80"/>
      <c r="Z60" s="80"/>
      <c r="AA60" s="80"/>
      <c r="AB60" s="80"/>
      <c r="AC60" s="80"/>
      <c r="AD60" s="80"/>
      <c r="AE60" s="80"/>
      <c r="AF60" s="80"/>
      <c r="AG60" s="80"/>
      <c r="AH60" s="80"/>
      <c r="AI60" s="80"/>
      <c r="AJ60" s="80"/>
    </row>
    <row r="61" spans="1:36" ht="13.5" thickBot="1">
      <c r="A61" s="1897">
        <f t="shared" si="1"/>
        <v>39</v>
      </c>
      <c r="B61" s="1906" t="s">
        <v>1002</v>
      </c>
      <c r="C61" s="1330"/>
      <c r="D61" s="1327"/>
      <c r="E61" s="1327"/>
      <c r="F61" s="1327"/>
      <c r="G61" s="1327"/>
      <c r="H61" s="1327"/>
      <c r="I61" s="1327"/>
      <c r="J61" s="1327"/>
      <c r="K61" s="1327"/>
      <c r="L61" s="1327"/>
      <c r="M61" s="1327"/>
      <c r="N61" s="1334"/>
      <c r="O61" s="1863">
        <f t="shared" si="19"/>
        <v>0</v>
      </c>
      <c r="P61" s="1864">
        <f t="shared" si="20"/>
        <v>0</v>
      </c>
      <c r="Q61" s="608"/>
      <c r="R61" s="608"/>
      <c r="S61" s="608"/>
      <c r="T61" s="840"/>
      <c r="U61" s="80"/>
      <c r="V61" s="80"/>
      <c r="W61" s="80"/>
      <c r="X61" s="80"/>
      <c r="Y61" s="80"/>
      <c r="Z61" s="80"/>
      <c r="AA61" s="80"/>
      <c r="AB61" s="80"/>
      <c r="AC61" s="80"/>
      <c r="AD61" s="80"/>
      <c r="AE61" s="80"/>
      <c r="AF61" s="80"/>
      <c r="AG61" s="80"/>
      <c r="AH61" s="80"/>
      <c r="AI61" s="80"/>
      <c r="AJ61" s="80"/>
    </row>
    <row r="62" spans="1:36" ht="13.5" thickBot="1">
      <c r="A62" s="1919">
        <f t="shared" si="1"/>
        <v>40</v>
      </c>
      <c r="B62" s="1907" t="s">
        <v>1341</v>
      </c>
      <c r="C62" s="1908">
        <f>SUM(C53:C61)</f>
        <v>53.0366</v>
      </c>
      <c r="D62" s="1908">
        <f t="shared" ref="D62:P62" si="21">SUM(D53:D61)</f>
        <v>67.532166666666669</v>
      </c>
      <c r="E62" s="1908">
        <f t="shared" si="21"/>
        <v>76.345366666666663</v>
      </c>
      <c r="F62" s="1908">
        <f t="shared" si="21"/>
        <v>76.345366666666663</v>
      </c>
      <c r="G62" s="1908">
        <f t="shared" si="21"/>
        <v>76.345366666666663</v>
      </c>
      <c r="H62" s="1908">
        <f t="shared" si="21"/>
        <v>76.345366666666663</v>
      </c>
      <c r="I62" s="1908">
        <f t="shared" si="21"/>
        <v>76.345366666666663</v>
      </c>
      <c r="J62" s="1908">
        <f t="shared" si="21"/>
        <v>76.345366666666663</v>
      </c>
      <c r="K62" s="1908">
        <f t="shared" si="21"/>
        <v>76.345366666666663</v>
      </c>
      <c r="L62" s="1908">
        <f t="shared" si="21"/>
        <v>76.345366666666663</v>
      </c>
      <c r="M62" s="1908">
        <f t="shared" si="21"/>
        <v>76.345366666666663</v>
      </c>
      <c r="N62" s="1908">
        <f t="shared" si="21"/>
        <v>76.345366666666663</v>
      </c>
      <c r="O62" s="1908">
        <f t="shared" si="21"/>
        <v>53.0366</v>
      </c>
      <c r="P62" s="1909">
        <f t="shared" si="21"/>
        <v>884.02243333333331</v>
      </c>
      <c r="Q62" s="1144"/>
      <c r="R62" s="1144"/>
      <c r="S62" s="1144"/>
      <c r="T62" s="1116"/>
      <c r="U62" s="1116"/>
      <c r="V62" s="1116"/>
      <c r="W62" s="1116"/>
      <c r="X62" s="1116"/>
      <c r="Y62" s="1116"/>
      <c r="Z62" s="1116"/>
      <c r="AA62" s="1116"/>
      <c r="AB62" s="1116"/>
      <c r="AC62" s="1116"/>
      <c r="AD62" s="1116"/>
      <c r="AE62" s="1116"/>
      <c r="AF62" s="1116"/>
      <c r="AG62" s="80"/>
      <c r="AH62" s="80"/>
      <c r="AI62" s="80"/>
      <c r="AJ62" s="80"/>
    </row>
    <row r="63" spans="1:36" ht="13">
      <c r="A63" s="1897">
        <f t="shared" si="1"/>
        <v>41</v>
      </c>
      <c r="B63" s="1911" t="s">
        <v>1012</v>
      </c>
      <c r="C63" s="1330"/>
      <c r="D63" s="1327"/>
      <c r="E63" s="1327"/>
      <c r="F63" s="1327"/>
      <c r="G63" s="1327"/>
      <c r="H63" s="1327"/>
      <c r="I63" s="1327"/>
      <c r="J63" s="1327"/>
      <c r="K63" s="1327"/>
      <c r="L63" s="1327"/>
      <c r="M63" s="1327"/>
      <c r="N63" s="1334"/>
      <c r="O63" s="1863">
        <f t="shared" ref="O63:O75" si="22">SUMPRODUCT($C$4:$N$4,C63:N63)</f>
        <v>0</v>
      </c>
      <c r="P63" s="1864">
        <f t="shared" ref="P63:P75" si="23">SUM(C63:N63)</f>
        <v>0</v>
      </c>
      <c r="Q63" s="608"/>
      <c r="R63" s="608"/>
      <c r="S63" s="608"/>
      <c r="T63" s="840"/>
      <c r="U63" s="80"/>
      <c r="V63" s="80"/>
      <c r="W63" s="80"/>
      <c r="X63" s="80"/>
      <c r="Y63" s="80"/>
      <c r="Z63" s="80"/>
      <c r="AA63" s="80"/>
      <c r="AB63" s="80"/>
      <c r="AC63" s="80"/>
      <c r="AD63" s="80"/>
      <c r="AE63" s="80"/>
      <c r="AF63" s="80"/>
      <c r="AG63" s="80"/>
      <c r="AH63" s="80"/>
      <c r="AI63" s="80"/>
      <c r="AJ63" s="80"/>
    </row>
    <row r="64" spans="1:36" ht="13">
      <c r="A64" s="1897">
        <f t="shared" si="1"/>
        <v>42</v>
      </c>
      <c r="B64" s="1911" t="s">
        <v>1006</v>
      </c>
      <c r="C64" s="1330"/>
      <c r="D64" s="1327"/>
      <c r="E64" s="1327"/>
      <c r="F64" s="1327"/>
      <c r="G64" s="1327"/>
      <c r="H64" s="1327"/>
      <c r="I64" s="1327"/>
      <c r="J64" s="1327"/>
      <c r="K64" s="1327"/>
      <c r="L64" s="1327"/>
      <c r="M64" s="1327"/>
      <c r="N64" s="1334"/>
      <c r="O64" s="1863">
        <f t="shared" si="22"/>
        <v>0</v>
      </c>
      <c r="P64" s="1864">
        <f t="shared" si="23"/>
        <v>0</v>
      </c>
      <c r="Q64" s="608"/>
      <c r="R64" s="608"/>
      <c r="S64" s="608"/>
      <c r="T64" s="840"/>
      <c r="U64" s="80"/>
      <c r="V64" s="80"/>
      <c r="W64" s="80"/>
      <c r="X64" s="80"/>
      <c r="Y64" s="80"/>
      <c r="Z64" s="80"/>
      <c r="AA64" s="80"/>
      <c r="AB64" s="80"/>
      <c r="AC64" s="80"/>
      <c r="AD64" s="80"/>
      <c r="AE64" s="80"/>
      <c r="AF64" s="80"/>
      <c r="AG64" s="80"/>
      <c r="AH64" s="80"/>
      <c r="AI64" s="80"/>
      <c r="AJ64" s="80"/>
    </row>
    <row r="65" spans="1:36" ht="13">
      <c r="A65" s="1897">
        <f t="shared" si="1"/>
        <v>43</v>
      </c>
      <c r="B65" s="1911" t="s">
        <v>442</v>
      </c>
      <c r="C65" s="1330"/>
      <c r="D65" s="1327"/>
      <c r="E65" s="1327"/>
      <c r="F65" s="1327"/>
      <c r="G65" s="1327"/>
      <c r="H65" s="1327"/>
      <c r="I65" s="1327"/>
      <c r="J65" s="1327"/>
      <c r="K65" s="1327"/>
      <c r="L65" s="1327"/>
      <c r="M65" s="1327"/>
      <c r="N65" s="1334"/>
      <c r="O65" s="1863">
        <f t="shared" si="22"/>
        <v>0</v>
      </c>
      <c r="P65" s="1864">
        <f t="shared" si="23"/>
        <v>0</v>
      </c>
      <c r="Q65" s="608"/>
      <c r="R65" s="608"/>
      <c r="S65" s="608"/>
      <c r="T65" s="840"/>
      <c r="U65" s="80"/>
      <c r="V65" s="80"/>
      <c r="W65" s="80"/>
      <c r="X65" s="80"/>
      <c r="Y65" s="80"/>
      <c r="Z65" s="80"/>
      <c r="AA65" s="80"/>
      <c r="AB65" s="80"/>
      <c r="AC65" s="80"/>
      <c r="AD65" s="80"/>
      <c r="AE65" s="80"/>
      <c r="AF65" s="80"/>
      <c r="AG65" s="80"/>
      <c r="AH65" s="80"/>
      <c r="AI65" s="80"/>
      <c r="AJ65" s="80"/>
    </row>
    <row r="66" spans="1:36" ht="13">
      <c r="A66" s="1897">
        <f t="shared" si="1"/>
        <v>44</v>
      </c>
      <c r="B66" s="1911" t="s">
        <v>1318</v>
      </c>
      <c r="C66" s="1330">
        <v>7.27536</v>
      </c>
      <c r="D66" s="1327">
        <v>18.18181818181818</v>
      </c>
      <c r="E66" s="1327">
        <v>43.18181818181818</v>
      </c>
      <c r="F66" s="1327">
        <v>43.18181818181818</v>
      </c>
      <c r="G66" s="1327">
        <v>43.18181818181818</v>
      </c>
      <c r="H66" s="1327">
        <v>103.18181818181817</v>
      </c>
      <c r="I66" s="1327">
        <v>90.681818181818173</v>
      </c>
      <c r="J66" s="1327">
        <v>30.68181818181818</v>
      </c>
      <c r="K66" s="1327">
        <v>30.68181818181818</v>
      </c>
      <c r="L66" s="1327">
        <v>30.68181818181818</v>
      </c>
      <c r="M66" s="1327">
        <v>82.532923181818191</v>
      </c>
      <c r="N66" s="1334">
        <v>82.532923181818191</v>
      </c>
      <c r="O66" s="1863">
        <f t="shared" si="22"/>
        <v>7.27536</v>
      </c>
      <c r="P66" s="1864">
        <f t="shared" si="23"/>
        <v>605.97757000000001</v>
      </c>
      <c r="Q66" s="608"/>
      <c r="R66" s="608"/>
      <c r="S66" s="608"/>
      <c r="T66" s="840"/>
      <c r="U66" s="80"/>
      <c r="V66" s="80"/>
      <c r="W66" s="80"/>
      <c r="X66" s="80"/>
      <c r="Y66" s="80"/>
      <c r="Z66" s="80"/>
      <c r="AA66" s="80"/>
      <c r="AB66" s="80"/>
      <c r="AC66" s="80"/>
      <c r="AD66" s="80"/>
      <c r="AE66" s="80"/>
      <c r="AF66" s="80"/>
      <c r="AG66" s="80"/>
      <c r="AH66" s="80"/>
      <c r="AI66" s="80"/>
      <c r="AJ66" s="80"/>
    </row>
    <row r="67" spans="1:36" ht="13">
      <c r="A67" s="1897">
        <f t="shared" si="1"/>
        <v>45</v>
      </c>
      <c r="B67" s="1906" t="s">
        <v>464</v>
      </c>
      <c r="C67" s="1331"/>
      <c r="D67" s="1326"/>
      <c r="E67" s="1326"/>
      <c r="F67" s="1326"/>
      <c r="G67" s="1326"/>
      <c r="H67" s="1326"/>
      <c r="I67" s="1326"/>
      <c r="J67" s="1326"/>
      <c r="K67" s="1326"/>
      <c r="L67" s="1326"/>
      <c r="M67" s="1326"/>
      <c r="N67" s="1335"/>
      <c r="O67" s="1324">
        <f t="shared" si="22"/>
        <v>0</v>
      </c>
      <c r="P67" s="1325">
        <f t="shared" si="23"/>
        <v>0</v>
      </c>
      <c r="Q67" s="608"/>
      <c r="R67" s="608"/>
      <c r="S67" s="608"/>
      <c r="T67" s="840"/>
      <c r="U67" s="80"/>
      <c r="V67" s="80"/>
      <c r="W67" s="80"/>
      <c r="X67" s="80"/>
      <c r="Y67" s="80"/>
      <c r="Z67" s="80"/>
      <c r="AA67" s="80"/>
      <c r="AB67" s="80"/>
      <c r="AC67" s="80"/>
      <c r="AD67" s="80"/>
      <c r="AE67" s="80"/>
      <c r="AF67" s="80"/>
      <c r="AG67" s="80"/>
      <c r="AH67" s="80"/>
      <c r="AI67" s="80"/>
      <c r="AJ67" s="80"/>
    </row>
    <row r="68" spans="1:36" ht="13">
      <c r="A68" s="1897">
        <f t="shared" si="1"/>
        <v>46</v>
      </c>
      <c r="B68" s="1906" t="s">
        <v>465</v>
      </c>
      <c r="C68" s="1331"/>
      <c r="D68" s="1326"/>
      <c r="E68" s="1326"/>
      <c r="F68" s="1326"/>
      <c r="G68" s="1326"/>
      <c r="H68" s="1326"/>
      <c r="I68" s="1326"/>
      <c r="J68" s="1326"/>
      <c r="K68" s="1326"/>
      <c r="L68" s="1326"/>
      <c r="M68" s="1326"/>
      <c r="N68" s="1335"/>
      <c r="O68" s="1324">
        <f t="shared" si="22"/>
        <v>0</v>
      </c>
      <c r="P68" s="1325">
        <f t="shared" si="23"/>
        <v>0</v>
      </c>
      <c r="Q68" s="608"/>
      <c r="R68" s="608"/>
      <c r="S68" s="608"/>
      <c r="T68" s="840"/>
      <c r="U68" s="80"/>
      <c r="V68" s="80"/>
      <c r="W68" s="80"/>
      <c r="X68" s="80"/>
      <c r="Y68" s="80"/>
      <c r="Z68" s="80"/>
      <c r="AA68" s="80"/>
      <c r="AB68" s="80"/>
      <c r="AC68" s="80"/>
      <c r="AD68" s="80"/>
      <c r="AE68" s="80"/>
      <c r="AF68" s="80"/>
      <c r="AG68" s="80"/>
      <c r="AH68" s="80"/>
      <c r="AI68" s="80"/>
      <c r="AJ68" s="80"/>
    </row>
    <row r="69" spans="1:36" ht="13">
      <c r="A69" s="1897">
        <f t="shared" si="1"/>
        <v>47</v>
      </c>
      <c r="B69" s="1906" t="s">
        <v>443</v>
      </c>
      <c r="C69" s="1331"/>
      <c r="D69" s="1326"/>
      <c r="E69" s="1326"/>
      <c r="F69" s="1326"/>
      <c r="G69" s="1326"/>
      <c r="H69" s="1326"/>
      <c r="I69" s="1326"/>
      <c r="J69" s="1326"/>
      <c r="K69" s="1326"/>
      <c r="L69" s="1326"/>
      <c r="M69" s="1326"/>
      <c r="N69" s="1335"/>
      <c r="O69" s="1324">
        <f t="shared" si="22"/>
        <v>0</v>
      </c>
      <c r="P69" s="1325">
        <f t="shared" si="23"/>
        <v>0</v>
      </c>
      <c r="Q69" s="608"/>
      <c r="R69" s="608"/>
      <c r="S69" s="608"/>
      <c r="T69" s="840"/>
      <c r="U69" s="80"/>
      <c r="V69" s="80"/>
      <c r="W69" s="80"/>
      <c r="X69" s="80"/>
      <c r="Y69" s="80"/>
      <c r="Z69" s="80"/>
      <c r="AA69" s="80"/>
      <c r="AB69" s="80"/>
      <c r="AC69" s="80"/>
      <c r="AD69" s="80"/>
      <c r="AE69" s="80"/>
      <c r="AF69" s="80"/>
      <c r="AG69" s="80"/>
      <c r="AH69" s="80"/>
      <c r="AI69" s="80"/>
      <c r="AJ69" s="80"/>
    </row>
    <row r="70" spans="1:36" ht="13">
      <c r="A70" s="1897">
        <f t="shared" si="1"/>
        <v>48</v>
      </c>
      <c r="B70" s="1906" t="s">
        <v>444</v>
      </c>
      <c r="C70" s="1331"/>
      <c r="D70" s="1326"/>
      <c r="E70" s="1326"/>
      <c r="F70" s="1326"/>
      <c r="G70" s="1326"/>
      <c r="H70" s="1326"/>
      <c r="I70" s="1326"/>
      <c r="J70" s="1326"/>
      <c r="K70" s="1326"/>
      <c r="L70" s="1326"/>
      <c r="M70" s="1326"/>
      <c r="N70" s="1335"/>
      <c r="O70" s="1324">
        <f t="shared" si="22"/>
        <v>0</v>
      </c>
      <c r="P70" s="1325">
        <f t="shared" si="23"/>
        <v>0</v>
      </c>
      <c r="Q70" s="608"/>
      <c r="R70" s="608"/>
      <c r="S70" s="608"/>
      <c r="T70" s="840"/>
      <c r="U70" s="80"/>
      <c r="V70" s="80"/>
      <c r="W70" s="80"/>
      <c r="X70" s="80"/>
      <c r="Y70" s="80"/>
      <c r="Z70" s="80"/>
      <c r="AA70" s="80"/>
      <c r="AB70" s="80"/>
      <c r="AC70" s="80"/>
      <c r="AD70" s="80"/>
      <c r="AE70" s="80"/>
      <c r="AF70" s="80"/>
      <c r="AG70" s="80"/>
      <c r="AH70" s="80"/>
      <c r="AI70" s="80"/>
      <c r="AJ70" s="80"/>
    </row>
    <row r="71" spans="1:36" ht="13">
      <c r="A71" s="1897">
        <f t="shared" si="1"/>
        <v>49</v>
      </c>
      <c r="B71" s="2493" t="s">
        <v>1007</v>
      </c>
      <c r="C71" s="2494"/>
      <c r="D71" s="2495"/>
      <c r="E71" s="2495"/>
      <c r="F71" s="2495"/>
      <c r="G71" s="2495"/>
      <c r="H71" s="2495"/>
      <c r="I71" s="2495"/>
      <c r="J71" s="2495"/>
      <c r="K71" s="2495"/>
      <c r="L71" s="2495"/>
      <c r="M71" s="2495"/>
      <c r="N71" s="2496"/>
      <c r="O71" s="2373">
        <f t="shared" si="22"/>
        <v>0</v>
      </c>
      <c r="P71" s="2497">
        <f t="shared" si="23"/>
        <v>0</v>
      </c>
      <c r="Q71" s="608"/>
      <c r="R71" s="608"/>
      <c r="S71" s="608"/>
      <c r="T71" s="840"/>
      <c r="U71" s="80"/>
      <c r="V71" s="80"/>
      <c r="W71" s="80"/>
      <c r="X71" s="80"/>
      <c r="Y71" s="80"/>
      <c r="Z71" s="80"/>
      <c r="AA71" s="80"/>
      <c r="AB71" s="80"/>
      <c r="AC71" s="80"/>
      <c r="AD71" s="80"/>
      <c r="AE71" s="80"/>
      <c r="AF71" s="80"/>
      <c r="AG71" s="80"/>
      <c r="AH71" s="80"/>
      <c r="AI71" s="80"/>
      <c r="AJ71" s="80"/>
    </row>
    <row r="72" spans="1:36" ht="13">
      <c r="A72" s="1897">
        <f>A71+1</f>
        <v>50</v>
      </c>
      <c r="B72" s="2536" t="s">
        <v>1121</v>
      </c>
      <c r="C72" s="2494"/>
      <c r="D72" s="2495"/>
      <c r="E72" s="2495"/>
      <c r="F72" s="2495"/>
      <c r="G72" s="2495"/>
      <c r="H72" s="2495"/>
      <c r="I72" s="2495"/>
      <c r="J72" s="2495"/>
      <c r="K72" s="2495"/>
      <c r="L72" s="2495"/>
      <c r="M72" s="2495"/>
      <c r="N72" s="2496"/>
      <c r="O72" s="2373">
        <f t="shared" si="22"/>
        <v>0</v>
      </c>
      <c r="P72" s="2497">
        <f t="shared" si="23"/>
        <v>0</v>
      </c>
      <c r="Q72" s="608"/>
      <c r="R72" s="608"/>
      <c r="S72" s="608"/>
      <c r="T72" s="840"/>
      <c r="U72" s="80"/>
      <c r="V72" s="80"/>
      <c r="W72" s="80"/>
      <c r="X72" s="80"/>
      <c r="Y72" s="80"/>
      <c r="Z72" s="80"/>
      <c r="AA72" s="80"/>
      <c r="AB72" s="80"/>
      <c r="AC72" s="80"/>
      <c r="AD72" s="80"/>
      <c r="AE72" s="80"/>
      <c r="AF72" s="80"/>
      <c r="AG72" s="80"/>
      <c r="AH72" s="80"/>
      <c r="AI72" s="80"/>
      <c r="AJ72" s="80"/>
    </row>
    <row r="73" spans="1:36" ht="13">
      <c r="A73" s="1897">
        <f t="shared" si="1"/>
        <v>51</v>
      </c>
      <c r="B73" s="2536"/>
      <c r="C73" s="2494"/>
      <c r="D73" s="2495"/>
      <c r="E73" s="2495"/>
      <c r="F73" s="2495"/>
      <c r="G73" s="2495"/>
      <c r="H73" s="2495"/>
      <c r="I73" s="2495"/>
      <c r="J73" s="2495"/>
      <c r="K73" s="2495"/>
      <c r="L73" s="2495"/>
      <c r="M73" s="2495"/>
      <c r="N73" s="2496"/>
      <c r="O73" s="2373">
        <f t="shared" si="22"/>
        <v>0</v>
      </c>
      <c r="P73" s="2497">
        <f t="shared" si="23"/>
        <v>0</v>
      </c>
      <c r="Q73" s="608"/>
      <c r="R73" s="608"/>
      <c r="S73" s="608"/>
      <c r="T73" s="840"/>
      <c r="U73" s="80"/>
      <c r="V73" s="80"/>
      <c r="W73" s="80"/>
      <c r="X73" s="80"/>
      <c r="Y73" s="80"/>
      <c r="Z73" s="80"/>
      <c r="AA73" s="80"/>
      <c r="AB73" s="80"/>
      <c r="AC73" s="80"/>
      <c r="AD73" s="80"/>
      <c r="AE73" s="80"/>
      <c r="AF73" s="80"/>
      <c r="AG73" s="80"/>
      <c r="AH73" s="80"/>
      <c r="AI73" s="80"/>
      <c r="AJ73" s="80"/>
    </row>
    <row r="74" spans="1:36" ht="13">
      <c r="A74" s="1897">
        <f t="shared" si="1"/>
        <v>52</v>
      </c>
      <c r="B74" s="2536"/>
      <c r="C74" s="2494"/>
      <c r="D74" s="2495"/>
      <c r="E74" s="2495"/>
      <c r="F74" s="2495"/>
      <c r="G74" s="2495"/>
      <c r="H74" s="2495"/>
      <c r="I74" s="2495"/>
      <c r="J74" s="2495"/>
      <c r="K74" s="2495"/>
      <c r="L74" s="2495"/>
      <c r="M74" s="2495"/>
      <c r="N74" s="2496"/>
      <c r="O74" s="2373">
        <f t="shared" si="22"/>
        <v>0</v>
      </c>
      <c r="P74" s="2497">
        <f t="shared" si="23"/>
        <v>0</v>
      </c>
      <c r="Q74" s="608"/>
      <c r="R74" s="608"/>
      <c r="S74" s="608"/>
      <c r="T74" s="840"/>
      <c r="U74" s="80"/>
      <c r="V74" s="80"/>
      <c r="W74" s="80"/>
      <c r="X74" s="80"/>
      <c r="Y74" s="80"/>
      <c r="Z74" s="80"/>
      <c r="AA74" s="80"/>
      <c r="AB74" s="80"/>
      <c r="AC74" s="80"/>
      <c r="AD74" s="80"/>
      <c r="AE74" s="80"/>
      <c r="AF74" s="80"/>
      <c r="AG74" s="80"/>
      <c r="AH74" s="80"/>
      <c r="AI74" s="80"/>
      <c r="AJ74" s="80"/>
    </row>
    <row r="75" spans="1:36" ht="13.5" thickBot="1">
      <c r="A75" s="1897">
        <f t="shared" si="1"/>
        <v>53</v>
      </c>
      <c r="B75" s="2536"/>
      <c r="C75" s="2494"/>
      <c r="D75" s="2495"/>
      <c r="E75" s="2495"/>
      <c r="F75" s="2495"/>
      <c r="G75" s="2495"/>
      <c r="H75" s="2495"/>
      <c r="I75" s="2495"/>
      <c r="J75" s="2495"/>
      <c r="K75" s="2495"/>
      <c r="L75" s="2495"/>
      <c r="M75" s="2495"/>
      <c r="N75" s="2496"/>
      <c r="O75" s="2373">
        <f t="shared" si="22"/>
        <v>0</v>
      </c>
      <c r="P75" s="2497">
        <f t="shared" si="23"/>
        <v>0</v>
      </c>
      <c r="Q75" s="608"/>
      <c r="R75" s="608"/>
      <c r="S75" s="608"/>
      <c r="T75" s="840"/>
      <c r="U75" s="80"/>
      <c r="V75" s="80"/>
      <c r="W75" s="80"/>
      <c r="X75" s="80"/>
      <c r="Y75" s="80"/>
      <c r="Z75" s="80"/>
      <c r="AA75" s="80"/>
      <c r="AB75" s="80"/>
      <c r="AC75" s="80"/>
      <c r="AD75" s="80"/>
      <c r="AE75" s="80"/>
      <c r="AF75" s="80"/>
      <c r="AG75" s="80"/>
      <c r="AH75" s="80"/>
      <c r="AI75" s="80"/>
      <c r="AJ75" s="80"/>
    </row>
    <row r="76" spans="1:36" ht="13.5" thickBot="1">
      <c r="A76" s="1919">
        <f t="shared" si="1"/>
        <v>54</v>
      </c>
      <c r="B76" s="1907" t="s">
        <v>1315</v>
      </c>
      <c r="C76" s="1908">
        <f t="shared" ref="C76:P76" si="24">SUM(C63:C75)</f>
        <v>7.27536</v>
      </c>
      <c r="D76" s="1908">
        <f t="shared" si="24"/>
        <v>18.18181818181818</v>
      </c>
      <c r="E76" s="1908">
        <f t="shared" si="24"/>
        <v>43.18181818181818</v>
      </c>
      <c r="F76" s="1908">
        <f t="shared" si="24"/>
        <v>43.18181818181818</v>
      </c>
      <c r="G76" s="1908">
        <f t="shared" si="24"/>
        <v>43.18181818181818</v>
      </c>
      <c r="H76" s="1908">
        <f t="shared" si="24"/>
        <v>103.18181818181817</v>
      </c>
      <c r="I76" s="1908">
        <f t="shared" si="24"/>
        <v>90.681818181818173</v>
      </c>
      <c r="J76" s="1908">
        <f t="shared" si="24"/>
        <v>30.68181818181818</v>
      </c>
      <c r="K76" s="1908">
        <f t="shared" si="24"/>
        <v>30.68181818181818</v>
      </c>
      <c r="L76" s="1908">
        <f t="shared" si="24"/>
        <v>30.68181818181818</v>
      </c>
      <c r="M76" s="1908">
        <f t="shared" si="24"/>
        <v>82.532923181818191</v>
      </c>
      <c r="N76" s="1908">
        <f t="shared" si="24"/>
        <v>82.532923181818191</v>
      </c>
      <c r="O76" s="1908">
        <f t="shared" si="24"/>
        <v>7.27536</v>
      </c>
      <c r="P76" s="1908">
        <f t="shared" si="24"/>
        <v>605.97757000000001</v>
      </c>
      <c r="Q76" s="608"/>
      <c r="R76" s="608"/>
      <c r="S76" s="608"/>
      <c r="T76" s="840"/>
      <c r="U76" s="80"/>
      <c r="V76" s="80"/>
      <c r="W76" s="80"/>
      <c r="X76" s="80"/>
      <c r="Y76" s="80"/>
      <c r="Z76" s="80"/>
      <c r="AA76" s="80"/>
      <c r="AB76" s="80"/>
      <c r="AC76" s="80"/>
      <c r="AD76" s="80"/>
      <c r="AE76" s="80"/>
      <c r="AF76" s="1116"/>
      <c r="AG76" s="80"/>
      <c r="AH76" s="80"/>
      <c r="AI76" s="80"/>
      <c r="AJ76" s="80"/>
    </row>
    <row r="77" spans="1:36" ht="13.5" thickBot="1">
      <c r="A77" s="1919">
        <f>A76+1</f>
        <v>55</v>
      </c>
      <c r="B77" s="1907" t="s">
        <v>1342</v>
      </c>
      <c r="C77" s="1912">
        <f t="shared" ref="C77:P77" si="25">+C62+C76</f>
        <v>60.311959999999999</v>
      </c>
      <c r="D77" s="1341">
        <f t="shared" si="25"/>
        <v>85.713984848484841</v>
      </c>
      <c r="E77" s="1341">
        <f t="shared" si="25"/>
        <v>119.52718484848484</v>
      </c>
      <c r="F77" s="1341">
        <f t="shared" si="25"/>
        <v>119.52718484848484</v>
      </c>
      <c r="G77" s="1341">
        <f t="shared" si="25"/>
        <v>119.52718484848484</v>
      </c>
      <c r="H77" s="1341">
        <f t="shared" si="25"/>
        <v>179.52718484848484</v>
      </c>
      <c r="I77" s="1341">
        <f t="shared" si="25"/>
        <v>167.02718484848484</v>
      </c>
      <c r="J77" s="1341">
        <f t="shared" si="25"/>
        <v>107.02718484848484</v>
      </c>
      <c r="K77" s="1341">
        <f t="shared" si="25"/>
        <v>107.02718484848484</v>
      </c>
      <c r="L77" s="1341">
        <f t="shared" si="25"/>
        <v>107.02718484848484</v>
      </c>
      <c r="M77" s="1341">
        <f t="shared" si="25"/>
        <v>158.87828984848485</v>
      </c>
      <c r="N77" s="1913">
        <f t="shared" si="25"/>
        <v>158.87828984848485</v>
      </c>
      <c r="O77" s="1341">
        <f t="shared" si="25"/>
        <v>60.311959999999999</v>
      </c>
      <c r="P77" s="1867">
        <f t="shared" si="25"/>
        <v>1490.0000033333333</v>
      </c>
      <c r="Q77" s="608"/>
      <c r="R77" s="608"/>
      <c r="S77" s="608"/>
      <c r="T77" s="840"/>
      <c r="U77" s="80"/>
      <c r="V77" s="80"/>
      <c r="W77" s="80"/>
      <c r="X77" s="80"/>
      <c r="Y77" s="80"/>
      <c r="Z77" s="80"/>
      <c r="AA77" s="80"/>
      <c r="AB77" s="80"/>
      <c r="AC77" s="80"/>
      <c r="AD77" s="80"/>
      <c r="AE77" s="80"/>
      <c r="AF77" s="1116"/>
      <c r="AG77" s="80"/>
      <c r="AH77" s="80"/>
      <c r="AI77" s="80"/>
      <c r="AJ77" s="80"/>
    </row>
    <row r="78" spans="1:36" ht="13.5" thickBot="1">
      <c r="A78" s="2486"/>
      <c r="B78" s="1915"/>
      <c r="C78" s="1918"/>
      <c r="D78" s="1918"/>
      <c r="E78" s="1918"/>
      <c r="F78" s="1918"/>
      <c r="G78" s="1918"/>
      <c r="H78" s="1918"/>
      <c r="I78" s="1918"/>
      <c r="J78" s="1918"/>
      <c r="K78" s="1918"/>
      <c r="L78" s="1918"/>
      <c r="M78" s="1918"/>
      <c r="N78" s="1918"/>
      <c r="O78" s="1918"/>
      <c r="P78" s="1918"/>
      <c r="Q78" s="608"/>
      <c r="R78" s="608"/>
      <c r="S78" s="608"/>
      <c r="T78" s="840"/>
      <c r="U78" s="80"/>
      <c r="V78" s="80"/>
      <c r="W78" s="80"/>
      <c r="X78" s="80"/>
      <c r="Y78" s="80"/>
      <c r="Z78" s="80"/>
      <c r="AA78" s="80"/>
      <c r="AB78" s="80"/>
      <c r="AC78" s="80"/>
      <c r="AD78" s="80"/>
      <c r="AE78" s="80"/>
      <c r="AF78" s="1116"/>
      <c r="AG78" s="80"/>
      <c r="AH78" s="80"/>
      <c r="AI78" s="80"/>
      <c r="AJ78" s="80"/>
    </row>
    <row r="79" spans="1:36" ht="13.5" thickBot="1">
      <c r="A79" s="1919">
        <f>A77+1</f>
        <v>56</v>
      </c>
      <c r="B79" s="1907" t="s">
        <v>1343</v>
      </c>
      <c r="C79" s="2489">
        <v>60.311959999999999</v>
      </c>
      <c r="D79" s="2490">
        <v>85.713984848484841</v>
      </c>
      <c r="E79" s="2490">
        <v>119.52718484848484</v>
      </c>
      <c r="F79" s="2490">
        <v>119.52718484848484</v>
      </c>
      <c r="G79" s="2490">
        <v>119.52718484848484</v>
      </c>
      <c r="H79" s="2490">
        <v>179.52718484848484</v>
      </c>
      <c r="I79" s="2490">
        <v>167.02718484848484</v>
      </c>
      <c r="J79" s="2490">
        <v>107.02718484848484</v>
      </c>
      <c r="K79" s="2490">
        <v>107.02718484848484</v>
      </c>
      <c r="L79" s="2490">
        <v>107.02718484848484</v>
      </c>
      <c r="M79" s="2490">
        <v>158.87828984848485</v>
      </c>
      <c r="N79" s="2491">
        <v>158.87828984848485</v>
      </c>
      <c r="O79" s="1132">
        <f>SUMPRODUCT($C$4:$N$4,C79:N79)</f>
        <v>60.311959999999999</v>
      </c>
      <c r="P79" s="1323">
        <f>SUM(C79:N79)</f>
        <v>1490.0000033333333</v>
      </c>
      <c r="Q79" s="608"/>
      <c r="R79" s="608"/>
      <c r="S79" s="608"/>
      <c r="T79" s="840"/>
      <c r="U79" s="80"/>
      <c r="V79" s="80"/>
      <c r="W79" s="80"/>
      <c r="X79" s="80"/>
      <c r="Y79" s="80"/>
      <c r="Z79" s="80"/>
      <c r="AA79" s="80"/>
      <c r="AB79" s="80"/>
      <c r="AC79" s="80"/>
      <c r="AD79" s="80"/>
      <c r="AE79" s="80"/>
      <c r="AF79" s="1116"/>
      <c r="AG79" s="80"/>
      <c r="AH79" s="80"/>
      <c r="AI79" s="80"/>
      <c r="AJ79" s="80"/>
    </row>
    <row r="80" spans="1:36" ht="13.5" thickBot="1">
      <c r="A80" s="1919">
        <f>A79+1</f>
        <v>57</v>
      </c>
      <c r="B80" s="1907" t="s">
        <v>1344</v>
      </c>
      <c r="C80" s="1908">
        <f t="shared" ref="C80:P80" si="26">C79-C77</f>
        <v>0</v>
      </c>
      <c r="D80" s="1908">
        <f t="shared" si="26"/>
        <v>0</v>
      </c>
      <c r="E80" s="1908">
        <f t="shared" si="26"/>
        <v>0</v>
      </c>
      <c r="F80" s="1908">
        <f t="shared" si="26"/>
        <v>0</v>
      </c>
      <c r="G80" s="1908">
        <f t="shared" si="26"/>
        <v>0</v>
      </c>
      <c r="H80" s="1908">
        <f t="shared" si="26"/>
        <v>0</v>
      </c>
      <c r="I80" s="1908">
        <f t="shared" si="26"/>
        <v>0</v>
      </c>
      <c r="J80" s="1908">
        <f t="shared" si="26"/>
        <v>0</v>
      </c>
      <c r="K80" s="1908">
        <f t="shared" si="26"/>
        <v>0</v>
      </c>
      <c r="L80" s="1908">
        <f t="shared" si="26"/>
        <v>0</v>
      </c>
      <c r="M80" s="1908">
        <f t="shared" si="26"/>
        <v>0</v>
      </c>
      <c r="N80" s="1908">
        <f t="shared" si="26"/>
        <v>0</v>
      </c>
      <c r="O80" s="1908">
        <f t="shared" si="26"/>
        <v>0</v>
      </c>
      <c r="P80" s="1909">
        <f t="shared" si="26"/>
        <v>0</v>
      </c>
      <c r="Q80" s="608"/>
      <c r="R80" s="608"/>
      <c r="S80" s="608"/>
      <c r="T80" s="840"/>
      <c r="U80" s="80"/>
      <c r="V80" s="80"/>
      <c r="W80" s="80"/>
      <c r="X80" s="80"/>
      <c r="Y80" s="80"/>
      <c r="Z80" s="80"/>
      <c r="AA80" s="80"/>
      <c r="AB80" s="80"/>
      <c r="AC80" s="80"/>
      <c r="AD80" s="80"/>
      <c r="AE80" s="80"/>
      <c r="AF80" s="1116"/>
      <c r="AG80" s="80"/>
      <c r="AH80" s="80"/>
      <c r="AI80" s="80"/>
      <c r="AJ80" s="80"/>
    </row>
    <row r="81" spans="1:36" ht="13">
      <c r="A81" s="2486"/>
      <c r="B81" s="1915"/>
      <c r="C81" s="1918"/>
      <c r="D81" s="1918"/>
      <c r="E81" s="1918"/>
      <c r="F81" s="1918"/>
      <c r="G81" s="1918"/>
      <c r="H81" s="1918"/>
      <c r="I81" s="1918"/>
      <c r="J81" s="1918"/>
      <c r="K81" s="1918"/>
      <c r="L81" s="1918"/>
      <c r="M81" s="1918"/>
      <c r="N81" s="1918"/>
      <c r="O81" s="1918"/>
      <c r="P81" s="1918"/>
      <c r="Q81" s="608"/>
      <c r="R81" s="608"/>
      <c r="S81" s="608"/>
      <c r="T81" s="840"/>
      <c r="U81" s="80"/>
      <c r="V81" s="80"/>
      <c r="W81" s="80"/>
      <c r="X81" s="80"/>
      <c r="Y81" s="80"/>
      <c r="Z81" s="80"/>
      <c r="AA81" s="80"/>
      <c r="AB81" s="80"/>
      <c r="AC81" s="80"/>
      <c r="AD81" s="80"/>
      <c r="AE81" s="80"/>
      <c r="AF81" s="1116"/>
      <c r="AG81" s="80"/>
      <c r="AH81" s="80"/>
      <c r="AI81" s="80"/>
      <c r="AJ81" s="80"/>
    </row>
    <row r="82" spans="1:36" ht="13">
      <c r="A82" s="2730" t="s">
        <v>1325</v>
      </c>
      <c r="B82" s="2723"/>
      <c r="C82" s="1918"/>
      <c r="D82" s="1918"/>
      <c r="E82" s="1918"/>
      <c r="F82" s="1918"/>
      <c r="G82" s="1918"/>
      <c r="H82" s="1918"/>
      <c r="I82" s="1918"/>
      <c r="J82" s="1918"/>
      <c r="K82" s="1918"/>
      <c r="L82" s="1918"/>
      <c r="M82" s="1918"/>
      <c r="N82" s="1918"/>
      <c r="O82" s="1918"/>
      <c r="P82" s="1918"/>
      <c r="Q82" s="608"/>
      <c r="R82" s="608"/>
      <c r="S82" s="608"/>
      <c r="T82" s="840"/>
      <c r="U82" s="80"/>
      <c r="V82" s="80"/>
      <c r="W82" s="80"/>
      <c r="X82" s="80"/>
      <c r="Y82" s="80"/>
      <c r="Z82" s="80"/>
      <c r="AA82" s="80"/>
      <c r="AB82" s="80"/>
      <c r="AC82" s="80"/>
      <c r="AD82" s="80"/>
      <c r="AE82" s="80"/>
      <c r="AF82" s="1116"/>
      <c r="AG82" s="80"/>
      <c r="AH82" s="80"/>
      <c r="AI82" s="80"/>
      <c r="AJ82" s="80"/>
    </row>
    <row r="83" spans="1:36" ht="13.5" thickBot="1">
      <c r="A83" s="1308"/>
      <c r="B83" s="2723"/>
      <c r="C83" s="1918"/>
      <c r="D83" s="1918"/>
      <c r="E83" s="1918"/>
      <c r="F83" s="1918"/>
      <c r="G83" s="1918"/>
      <c r="H83" s="1918"/>
      <c r="I83" s="1918"/>
      <c r="J83" s="1918"/>
      <c r="K83" s="1918"/>
      <c r="L83" s="1918"/>
      <c r="M83" s="1918"/>
      <c r="N83" s="1918"/>
      <c r="O83" s="1918"/>
      <c r="P83" s="1918"/>
      <c r="Q83" s="608"/>
      <c r="R83" s="608"/>
      <c r="S83" s="608"/>
      <c r="T83" s="840"/>
      <c r="U83" s="80"/>
      <c r="V83" s="80"/>
      <c r="W83" s="80"/>
      <c r="X83" s="80"/>
      <c r="Y83" s="80"/>
      <c r="Z83" s="80"/>
      <c r="AA83" s="80"/>
      <c r="AB83" s="80"/>
      <c r="AC83" s="80"/>
      <c r="AD83" s="80"/>
      <c r="AE83" s="80"/>
      <c r="AF83" s="1116"/>
      <c r="AG83" s="80"/>
      <c r="AH83" s="80"/>
      <c r="AI83" s="80"/>
      <c r="AJ83" s="80"/>
    </row>
    <row r="84" spans="1:36" ht="17.399999999999999" customHeight="1">
      <c r="A84" s="2724">
        <f>A80+1</f>
        <v>58</v>
      </c>
      <c r="B84" s="2725" t="s">
        <v>1350</v>
      </c>
      <c r="C84" s="2489">
        <v>60.311999999999998</v>
      </c>
      <c r="D84" s="2490">
        <v>85.713984848484841</v>
      </c>
      <c r="E84" s="2490">
        <v>119.52718484848484</v>
      </c>
      <c r="F84" s="2490">
        <v>119.52718484848484</v>
      </c>
      <c r="G84" s="2490">
        <v>119.52718484848484</v>
      </c>
      <c r="H84" s="2490">
        <v>179.52718484848484</v>
      </c>
      <c r="I84" s="2490">
        <v>167.02718484848484</v>
      </c>
      <c r="J84" s="2490">
        <v>107.02718484848484</v>
      </c>
      <c r="K84" s="2490">
        <v>107.02718484848484</v>
      </c>
      <c r="L84" s="2490">
        <v>107.02718484848484</v>
      </c>
      <c r="M84" s="2490">
        <v>158.87828984848485</v>
      </c>
      <c r="N84" s="2491">
        <v>158.87828984848485</v>
      </c>
      <c r="O84" s="1132">
        <f t="shared" ref="O84:O87" si="27">SUMPRODUCT($C$4:$N$4,C84:N84)</f>
        <v>60.311999999999998</v>
      </c>
      <c r="P84" s="1323">
        <f t="shared" ref="P84:P87" si="28">SUM(C84:N84)</f>
        <v>1490.0000433333332</v>
      </c>
      <c r="Q84" s="608"/>
      <c r="R84" s="608"/>
      <c r="S84" s="608"/>
      <c r="T84" s="840"/>
      <c r="U84" s="80"/>
      <c r="V84" s="80"/>
      <c r="W84" s="80"/>
      <c r="X84" s="80"/>
      <c r="Y84" s="80"/>
      <c r="Z84" s="80"/>
      <c r="AA84" s="80"/>
      <c r="AB84" s="80"/>
      <c r="AC84" s="80"/>
      <c r="AD84" s="80"/>
      <c r="AE84" s="80"/>
      <c r="AF84" s="1116"/>
      <c r="AG84" s="80"/>
      <c r="AH84" s="80"/>
      <c r="AI84" s="80"/>
      <c r="AJ84" s="80"/>
    </row>
    <row r="85" spans="1:36" ht="17.399999999999999" customHeight="1">
      <c r="A85" s="2724">
        <f t="shared" si="1"/>
        <v>59</v>
      </c>
      <c r="B85" s="2727" t="s">
        <v>1355</v>
      </c>
      <c r="C85" s="1331">
        <v>60.311999999999998</v>
      </c>
      <c r="D85" s="1326">
        <v>85.713984848484841</v>
      </c>
      <c r="E85" s="1326">
        <v>119.52718484848484</v>
      </c>
      <c r="F85" s="1326">
        <v>119.52718484848484</v>
      </c>
      <c r="G85" s="1326">
        <v>119.52718484848484</v>
      </c>
      <c r="H85" s="1326">
        <v>179.52718484848484</v>
      </c>
      <c r="I85" s="1326">
        <v>167.02718484848484</v>
      </c>
      <c r="J85" s="1326">
        <v>107.02718484848484</v>
      </c>
      <c r="K85" s="1326">
        <v>107.02718484848484</v>
      </c>
      <c r="L85" s="1326">
        <v>107.02718484848484</v>
      </c>
      <c r="M85" s="1326">
        <v>158.87828984848485</v>
      </c>
      <c r="N85" s="1335">
        <v>158.87828984848485</v>
      </c>
      <c r="O85" s="1324">
        <f t="shared" si="27"/>
        <v>60.311999999999998</v>
      </c>
      <c r="P85" s="1325">
        <f t="shared" si="28"/>
        <v>1490.0000433333332</v>
      </c>
      <c r="Q85" s="608"/>
      <c r="R85" s="608"/>
      <c r="S85" s="608"/>
      <c r="T85" s="840"/>
      <c r="U85" s="80"/>
      <c r="V85" s="80"/>
      <c r="W85" s="80"/>
      <c r="X85" s="80"/>
      <c r="Y85" s="80"/>
      <c r="Z85" s="80"/>
      <c r="AA85" s="80"/>
      <c r="AB85" s="80"/>
      <c r="AC85" s="80"/>
      <c r="AD85" s="80"/>
      <c r="AE85" s="80"/>
      <c r="AF85" s="1116"/>
      <c r="AG85" s="80"/>
      <c r="AH85" s="80"/>
      <c r="AI85" s="80"/>
      <c r="AJ85" s="80"/>
    </row>
    <row r="86" spans="1:36" ht="17.399999999999999" customHeight="1">
      <c r="A86" s="2724">
        <f t="shared" si="1"/>
        <v>60</v>
      </c>
      <c r="B86" s="2727" t="s">
        <v>1329</v>
      </c>
      <c r="C86" s="1331"/>
      <c r="D86" s="1326"/>
      <c r="E86" s="1326"/>
      <c r="F86" s="1326"/>
      <c r="G86" s="1326"/>
      <c r="H86" s="1326"/>
      <c r="I86" s="1326"/>
      <c r="J86" s="1326"/>
      <c r="K86" s="1326"/>
      <c r="L86" s="1326"/>
      <c r="M86" s="1326"/>
      <c r="N86" s="1335"/>
      <c r="O86" s="1324">
        <f t="shared" si="27"/>
        <v>0</v>
      </c>
      <c r="P86" s="1325">
        <f t="shared" si="28"/>
        <v>0</v>
      </c>
      <c r="Q86" s="608"/>
      <c r="R86" s="608"/>
      <c r="S86" s="608"/>
      <c r="T86" s="840"/>
      <c r="U86" s="80"/>
      <c r="V86" s="80"/>
      <c r="W86" s="80"/>
      <c r="X86" s="80"/>
      <c r="Y86" s="80"/>
      <c r="Z86" s="80"/>
      <c r="AA86" s="80"/>
      <c r="AB86" s="80"/>
      <c r="AC86" s="80"/>
      <c r="AD86" s="80"/>
      <c r="AE86" s="80"/>
      <c r="AF86" s="1116"/>
      <c r="AG86" s="80"/>
      <c r="AH86" s="80"/>
      <c r="AI86" s="80"/>
      <c r="AJ86" s="80"/>
    </row>
    <row r="87" spans="1:36" ht="17.399999999999999" customHeight="1">
      <c r="A87" s="2724">
        <f t="shared" si="1"/>
        <v>61</v>
      </c>
      <c r="B87" s="2727" t="s">
        <v>1320</v>
      </c>
      <c r="C87" s="2731">
        <f>C85+C86</f>
        <v>60.311999999999998</v>
      </c>
      <c r="D87" s="2731">
        <f t="shared" ref="D87" si="29">D85+D86</f>
        <v>85.713984848484841</v>
      </c>
      <c r="E87" s="2731">
        <f t="shared" ref="E87" si="30">E85+E86</f>
        <v>119.52718484848484</v>
      </c>
      <c r="F87" s="2731">
        <f t="shared" ref="F87" si="31">F85+F86</f>
        <v>119.52718484848484</v>
      </c>
      <c r="G87" s="2731">
        <f t="shared" ref="G87" si="32">G85+G86</f>
        <v>119.52718484848484</v>
      </c>
      <c r="H87" s="2731">
        <f t="shared" ref="H87" si="33">H85+H86</f>
        <v>179.52718484848484</v>
      </c>
      <c r="I87" s="2731">
        <f t="shared" ref="I87" si="34">I85+I86</f>
        <v>167.02718484848484</v>
      </c>
      <c r="J87" s="2731">
        <f t="shared" ref="J87" si="35">J85+J86</f>
        <v>107.02718484848484</v>
      </c>
      <c r="K87" s="2731">
        <f t="shared" ref="K87" si="36">K85+K86</f>
        <v>107.02718484848484</v>
      </c>
      <c r="L87" s="2731">
        <f t="shared" ref="L87" si="37">L85+L86</f>
        <v>107.02718484848484</v>
      </c>
      <c r="M87" s="2731">
        <f t="shared" ref="M87" si="38">M85+M86</f>
        <v>158.87828984848485</v>
      </c>
      <c r="N87" s="2766">
        <f t="shared" ref="N87" si="39">N85+N86</f>
        <v>158.87828984848485</v>
      </c>
      <c r="O87" s="1339">
        <f t="shared" si="27"/>
        <v>60.311999999999998</v>
      </c>
      <c r="P87" s="1340">
        <f t="shared" si="28"/>
        <v>1490.0000433333332</v>
      </c>
      <c r="Q87" s="608"/>
      <c r="R87" s="608"/>
      <c r="S87" s="608"/>
      <c r="T87" s="840"/>
      <c r="U87" s="80"/>
      <c r="V87" s="80"/>
      <c r="W87" s="80"/>
      <c r="X87" s="80"/>
      <c r="Y87" s="80"/>
      <c r="Z87" s="80"/>
      <c r="AA87" s="80"/>
      <c r="AB87" s="80"/>
      <c r="AC87" s="80"/>
      <c r="AD87" s="80"/>
      <c r="AE87" s="80"/>
      <c r="AF87" s="1116"/>
      <c r="AG87" s="80"/>
      <c r="AH87" s="80"/>
      <c r="AI87" s="80"/>
      <c r="AJ87" s="80"/>
    </row>
    <row r="88" spans="1:36" ht="17.399999999999999" customHeight="1" thickBot="1">
      <c r="A88" s="2724">
        <f t="shared" si="1"/>
        <v>62</v>
      </c>
      <c r="B88" s="2729" t="s">
        <v>1322</v>
      </c>
      <c r="C88" s="2735">
        <f>C87-C84</f>
        <v>0</v>
      </c>
      <c r="D88" s="2735">
        <f t="shared" ref="D88" si="40">D87-D84</f>
        <v>0</v>
      </c>
      <c r="E88" s="2735">
        <f t="shared" ref="E88" si="41">E87-E84</f>
        <v>0</v>
      </c>
      <c r="F88" s="2735">
        <f t="shared" ref="F88" si="42">F87-F84</f>
        <v>0</v>
      </c>
      <c r="G88" s="2735">
        <f t="shared" ref="G88" si="43">G87-G84</f>
        <v>0</v>
      </c>
      <c r="H88" s="2735">
        <f t="shared" ref="H88" si="44">H87-H84</f>
        <v>0</v>
      </c>
      <c r="I88" s="2735">
        <f t="shared" ref="I88" si="45">I87-I84</f>
        <v>0</v>
      </c>
      <c r="J88" s="2735">
        <f t="shared" ref="J88" si="46">J87-J84</f>
        <v>0</v>
      </c>
      <c r="K88" s="2735">
        <f t="shared" ref="K88" si="47">K87-K84</f>
        <v>0</v>
      </c>
      <c r="L88" s="2735">
        <f t="shared" ref="L88" si="48">L87-L84</f>
        <v>0</v>
      </c>
      <c r="M88" s="2735">
        <f t="shared" ref="M88" si="49">M87-M84</f>
        <v>0</v>
      </c>
      <c r="N88" s="2765">
        <f t="shared" ref="N88:P88" si="50">N87-N84</f>
        <v>0</v>
      </c>
      <c r="O88" s="2759">
        <f t="shared" si="50"/>
        <v>0</v>
      </c>
      <c r="P88" s="2761">
        <f t="shared" si="50"/>
        <v>0</v>
      </c>
      <c r="Q88" s="608"/>
      <c r="R88" s="608"/>
      <c r="S88" s="608"/>
      <c r="T88" s="840"/>
      <c r="U88" s="80"/>
      <c r="V88" s="80"/>
      <c r="W88" s="80"/>
      <c r="X88" s="80"/>
      <c r="Y88" s="80"/>
      <c r="Z88" s="80"/>
      <c r="AA88" s="80"/>
      <c r="AB88" s="80"/>
      <c r="AC88" s="80"/>
      <c r="AD88" s="80"/>
      <c r="AE88" s="80"/>
      <c r="AF88" s="1116"/>
      <c r="AG88" s="80"/>
      <c r="AH88" s="80"/>
      <c r="AI88" s="80"/>
      <c r="AJ88" s="80"/>
    </row>
    <row r="89" spans="1:36" ht="17.399999999999999" customHeight="1" thickBot="1">
      <c r="A89" s="2486"/>
      <c r="B89" s="2723"/>
      <c r="C89" s="1918"/>
      <c r="D89" s="1918"/>
      <c r="E89" s="1918"/>
      <c r="F89" s="1918"/>
      <c r="G89" s="1918"/>
      <c r="H89" s="1918"/>
      <c r="I89" s="1918"/>
      <c r="J89" s="1918"/>
      <c r="K89" s="1918"/>
      <c r="L89" s="1918"/>
      <c r="M89" s="1918"/>
      <c r="N89" s="1918"/>
      <c r="O89" s="1918"/>
      <c r="P89" s="1918"/>
      <c r="Q89" s="608"/>
      <c r="R89" s="608"/>
      <c r="S89" s="608"/>
      <c r="T89" s="840"/>
      <c r="U89" s="80"/>
      <c r="V89" s="80"/>
      <c r="W89" s="80"/>
      <c r="X89" s="80"/>
      <c r="Y89" s="80"/>
      <c r="Z89" s="80"/>
      <c r="AA89" s="80"/>
      <c r="AB89" s="80"/>
      <c r="AC89" s="80"/>
      <c r="AD89" s="80"/>
      <c r="AE89" s="80"/>
      <c r="AF89" s="1116"/>
      <c r="AG89" s="80"/>
      <c r="AH89" s="80"/>
      <c r="AI89" s="80"/>
      <c r="AJ89" s="80"/>
    </row>
    <row r="90" spans="1:36" ht="17.399999999999999" customHeight="1" thickBot="1">
      <c r="A90" s="1353">
        <f>A88+1</f>
        <v>63</v>
      </c>
      <c r="B90" s="1865" t="s">
        <v>1345</v>
      </c>
      <c r="C90" s="1341">
        <f>C87-C77</f>
        <v>3.9999999998485691E-5</v>
      </c>
      <c r="D90" s="1341">
        <f t="shared" ref="D90:P90" si="51">D87-D77</f>
        <v>0</v>
      </c>
      <c r="E90" s="1341">
        <f t="shared" si="51"/>
        <v>0</v>
      </c>
      <c r="F90" s="1341">
        <f t="shared" si="51"/>
        <v>0</v>
      </c>
      <c r="G90" s="1341">
        <f t="shared" si="51"/>
        <v>0</v>
      </c>
      <c r="H90" s="1341">
        <f t="shared" si="51"/>
        <v>0</v>
      </c>
      <c r="I90" s="1341">
        <f t="shared" si="51"/>
        <v>0</v>
      </c>
      <c r="J90" s="1341">
        <f t="shared" si="51"/>
        <v>0</v>
      </c>
      <c r="K90" s="1341">
        <f t="shared" si="51"/>
        <v>0</v>
      </c>
      <c r="L90" s="1341">
        <f t="shared" si="51"/>
        <v>0</v>
      </c>
      <c r="M90" s="1341">
        <f t="shared" si="51"/>
        <v>0</v>
      </c>
      <c r="N90" s="1341">
        <f t="shared" si="51"/>
        <v>0</v>
      </c>
      <c r="O90" s="1341">
        <f t="shared" si="51"/>
        <v>3.9999999998485691E-5</v>
      </c>
      <c r="P90" s="1341">
        <f t="shared" si="51"/>
        <v>3.9999999899009708E-5</v>
      </c>
      <c r="Q90" s="608"/>
      <c r="R90" s="608"/>
      <c r="S90" s="608"/>
      <c r="T90" s="840"/>
      <c r="U90" s="80"/>
      <c r="V90" s="80"/>
      <c r="W90" s="80"/>
      <c r="X90" s="80"/>
      <c r="Y90" s="80"/>
      <c r="Z90" s="80"/>
      <c r="AA90" s="80"/>
      <c r="AB90" s="80"/>
      <c r="AC90" s="80"/>
      <c r="AD90" s="80"/>
      <c r="AE90" s="80"/>
      <c r="AF90" s="1116"/>
      <c r="AG90" s="80"/>
      <c r="AH90" s="80"/>
      <c r="AI90" s="80"/>
      <c r="AJ90" s="80"/>
    </row>
    <row r="91" spans="1:36" ht="13">
      <c r="A91" s="2486"/>
      <c r="B91" s="1915"/>
      <c r="C91" s="1918"/>
      <c r="D91" s="1918"/>
      <c r="E91" s="1918"/>
      <c r="F91" s="1918"/>
      <c r="G91" s="1918"/>
      <c r="H91" s="1918"/>
      <c r="I91" s="1918"/>
      <c r="J91" s="1918"/>
      <c r="K91" s="1918"/>
      <c r="L91" s="1918"/>
      <c r="M91" s="1918"/>
      <c r="N91" s="1918"/>
      <c r="O91" s="1918"/>
      <c r="P91" s="1918"/>
      <c r="Q91" s="608"/>
      <c r="R91" s="608"/>
      <c r="S91" s="608"/>
      <c r="T91" s="840"/>
      <c r="U91" s="80"/>
      <c r="V91" s="80"/>
      <c r="W91" s="80"/>
      <c r="X91" s="80"/>
      <c r="Y91" s="80"/>
      <c r="Z91" s="80"/>
      <c r="AA91" s="80"/>
      <c r="AB91" s="80"/>
      <c r="AC91" s="80"/>
      <c r="AD91" s="80"/>
      <c r="AE91" s="80"/>
      <c r="AF91" s="1116"/>
      <c r="AG91" s="80"/>
      <c r="AH91" s="80"/>
      <c r="AI91" s="80"/>
      <c r="AJ91" s="80"/>
    </row>
    <row r="92" spans="1:36" ht="13">
      <c r="A92" s="2730" t="s">
        <v>1326</v>
      </c>
      <c r="B92" s="1915"/>
      <c r="C92" s="1918"/>
      <c r="D92" s="1918"/>
      <c r="E92" s="1918"/>
      <c r="F92" s="1918"/>
      <c r="G92" s="1918"/>
      <c r="H92" s="1918"/>
      <c r="I92" s="1918"/>
      <c r="J92" s="1918"/>
      <c r="K92" s="1918"/>
      <c r="L92" s="1918"/>
      <c r="M92" s="1918"/>
      <c r="N92" s="1918"/>
      <c r="O92" s="1918"/>
      <c r="P92" s="1918"/>
      <c r="Q92" s="608"/>
      <c r="R92" s="608"/>
      <c r="S92" s="608"/>
      <c r="T92" s="840"/>
      <c r="U92" s="80"/>
      <c r="V92" s="80"/>
      <c r="W92" s="80"/>
      <c r="X92" s="80"/>
      <c r="Y92" s="80"/>
      <c r="Z92" s="80"/>
      <c r="AA92" s="80"/>
      <c r="AB92" s="80"/>
      <c r="AC92" s="80"/>
      <c r="AD92" s="80"/>
      <c r="AE92" s="80"/>
      <c r="AF92" s="1116"/>
      <c r="AG92" s="80"/>
      <c r="AH92" s="80"/>
      <c r="AI92" s="80"/>
      <c r="AJ92" s="80"/>
    </row>
    <row r="93" spans="1:36" ht="13.5" thickBot="1">
      <c r="A93" s="2486"/>
      <c r="B93" s="1915"/>
      <c r="C93" s="1918"/>
      <c r="D93" s="1918"/>
      <c r="E93" s="1918"/>
      <c r="F93" s="1918"/>
      <c r="G93" s="1918"/>
      <c r="H93" s="1918"/>
      <c r="I93" s="1918"/>
      <c r="J93" s="1918"/>
      <c r="K93" s="1918"/>
      <c r="L93" s="1918"/>
      <c r="M93" s="1918"/>
      <c r="N93" s="1918"/>
      <c r="O93" s="1918"/>
      <c r="P93" s="1918"/>
      <c r="Q93" s="608"/>
      <c r="R93" s="608"/>
      <c r="S93" s="608"/>
      <c r="T93" s="840"/>
      <c r="U93" s="80"/>
      <c r="V93" s="80"/>
      <c r="W93" s="80"/>
      <c r="X93" s="80"/>
      <c r="Y93" s="80"/>
      <c r="Z93" s="80"/>
      <c r="AA93" s="80"/>
      <c r="AB93" s="80"/>
      <c r="AC93" s="80"/>
      <c r="AD93" s="80"/>
      <c r="AE93" s="80"/>
      <c r="AF93" s="1116"/>
      <c r="AG93" s="80"/>
      <c r="AH93" s="80"/>
      <c r="AI93" s="80"/>
      <c r="AJ93" s="80"/>
    </row>
    <row r="94" spans="1:36" ht="13.5" thickBot="1">
      <c r="A94" s="2476" t="s">
        <v>1009</v>
      </c>
      <c r="B94" s="2498" t="s">
        <v>1307</v>
      </c>
      <c r="C94" s="1895" t="s">
        <v>289</v>
      </c>
      <c r="D94" s="1896"/>
      <c r="E94" s="1896"/>
      <c r="F94" s="1896"/>
      <c r="G94" s="1896"/>
      <c r="H94" s="1896"/>
      <c r="I94" s="1896"/>
      <c r="J94" s="1896"/>
      <c r="K94" s="1896"/>
      <c r="L94" s="1896"/>
      <c r="M94" s="1896"/>
      <c r="N94" s="1252"/>
      <c r="O94" s="1895"/>
      <c r="P94" s="1252"/>
      <c r="Q94" s="608"/>
      <c r="R94" s="608"/>
      <c r="S94" s="608"/>
      <c r="T94" s="840"/>
      <c r="U94" s="80"/>
      <c r="V94" s="80"/>
      <c r="W94" s="80"/>
      <c r="X94" s="80"/>
      <c r="Y94" s="80"/>
      <c r="Z94" s="80"/>
      <c r="AA94" s="80"/>
      <c r="AB94" s="80"/>
      <c r="AC94" s="80"/>
      <c r="AD94" s="80"/>
      <c r="AE94" s="80"/>
      <c r="AF94" s="80"/>
      <c r="AG94" s="80"/>
      <c r="AH94" s="80"/>
      <c r="AI94" s="80"/>
      <c r="AJ94" s="80"/>
    </row>
    <row r="95" spans="1:36" ht="13">
      <c r="A95" s="1897">
        <f>A90+1</f>
        <v>64</v>
      </c>
      <c r="B95" s="2475" t="s">
        <v>1003</v>
      </c>
      <c r="C95" s="1898"/>
      <c r="D95" s="1899"/>
      <c r="E95" s="1899"/>
      <c r="F95" s="1899"/>
      <c r="G95" s="1899"/>
      <c r="H95" s="1899"/>
      <c r="I95" s="1899"/>
      <c r="J95" s="1899"/>
      <c r="K95" s="1899"/>
      <c r="L95" s="1899"/>
      <c r="M95" s="1899"/>
      <c r="N95" s="1900"/>
      <c r="O95" s="1901"/>
      <c r="P95" s="1902"/>
      <c r="Q95" s="608"/>
      <c r="R95" s="608"/>
      <c r="S95" s="608"/>
      <c r="T95" s="840"/>
      <c r="U95" s="80"/>
      <c r="V95" s="80"/>
      <c r="W95" s="80"/>
      <c r="X95" s="80"/>
      <c r="Y95" s="80"/>
      <c r="Z95" s="80"/>
      <c r="AA95" s="80"/>
      <c r="AB95" s="80"/>
      <c r="AC95" s="80"/>
      <c r="AD95" s="80"/>
      <c r="AE95" s="80"/>
      <c r="AF95" s="80"/>
      <c r="AG95" s="80"/>
      <c r="AH95" s="80"/>
      <c r="AI95" s="80"/>
      <c r="AJ95" s="80"/>
    </row>
    <row r="96" spans="1:36" ht="13">
      <c r="A96" s="1897">
        <f t="shared" si="1"/>
        <v>65</v>
      </c>
      <c r="B96" s="1911" t="s">
        <v>425</v>
      </c>
      <c r="C96" s="1903"/>
      <c r="D96" s="1903"/>
      <c r="E96" s="1903"/>
      <c r="F96" s="1903"/>
      <c r="G96" s="1903"/>
      <c r="H96" s="1903"/>
      <c r="I96" s="1903"/>
      <c r="J96" s="1903"/>
      <c r="K96" s="1903"/>
      <c r="L96" s="1903"/>
      <c r="M96" s="1903"/>
      <c r="N96" s="1903"/>
      <c r="O96" s="1863">
        <f t="shared" ref="O96:O108" si="52">SUMPRODUCT($C$4:$N$4,C96:N96)</f>
        <v>0</v>
      </c>
      <c r="P96" s="1864">
        <f t="shared" ref="P96:P108" si="53">SUM(C96:N96)</f>
        <v>0</v>
      </c>
      <c r="Q96" s="608"/>
      <c r="R96" s="608"/>
      <c r="S96" s="608"/>
      <c r="T96" s="840"/>
      <c r="U96" s="80"/>
      <c r="V96" s="80"/>
      <c r="W96" s="80"/>
      <c r="X96" s="80"/>
      <c r="Y96" s="80"/>
      <c r="Z96" s="80"/>
      <c r="AA96" s="80"/>
      <c r="AB96" s="80"/>
      <c r="AC96" s="80"/>
      <c r="AD96" s="80"/>
      <c r="AE96" s="80"/>
      <c r="AF96" s="80"/>
      <c r="AG96" s="80"/>
      <c r="AH96" s="80"/>
      <c r="AI96" s="80"/>
      <c r="AJ96" s="80"/>
    </row>
    <row r="97" spans="1:36" ht="13">
      <c r="A97" s="1897">
        <f t="shared" si="1"/>
        <v>66</v>
      </c>
      <c r="B97" s="1906" t="s">
        <v>419</v>
      </c>
      <c r="C97" s="1903"/>
      <c r="D97" s="1903"/>
      <c r="E97" s="1903"/>
      <c r="F97" s="1903"/>
      <c r="G97" s="1903"/>
      <c r="H97" s="1903"/>
      <c r="I97" s="1903"/>
      <c r="J97" s="1903"/>
      <c r="K97" s="1903"/>
      <c r="L97" s="1903"/>
      <c r="M97" s="1903"/>
      <c r="N97" s="1903"/>
      <c r="O97" s="1863">
        <f t="shared" si="52"/>
        <v>0</v>
      </c>
      <c r="P97" s="1864">
        <f t="shared" si="53"/>
        <v>0</v>
      </c>
      <c r="Q97" s="608"/>
      <c r="R97" s="608"/>
      <c r="S97" s="608"/>
      <c r="T97" s="840"/>
      <c r="U97" s="80"/>
      <c r="V97" s="80"/>
      <c r="W97" s="80"/>
      <c r="X97" s="80"/>
      <c r="Y97" s="80"/>
      <c r="Z97" s="80"/>
      <c r="AA97" s="80"/>
      <c r="AB97" s="80"/>
      <c r="AC97" s="80"/>
      <c r="AD97" s="80"/>
      <c r="AE97" s="80"/>
      <c r="AF97" s="80"/>
      <c r="AG97" s="80"/>
      <c r="AH97" s="80"/>
      <c r="AI97" s="80"/>
      <c r="AJ97" s="80"/>
    </row>
    <row r="98" spans="1:36" ht="13">
      <c r="A98" s="1897">
        <f t="shared" si="1"/>
        <v>67</v>
      </c>
      <c r="B98" s="1906" t="s">
        <v>420</v>
      </c>
      <c r="C98" s="1903"/>
      <c r="D98" s="1903"/>
      <c r="E98" s="1903"/>
      <c r="F98" s="1903"/>
      <c r="G98" s="1903"/>
      <c r="H98" s="1903"/>
      <c r="I98" s="1903"/>
      <c r="J98" s="1903"/>
      <c r="K98" s="1903"/>
      <c r="L98" s="1903"/>
      <c r="M98" s="1903"/>
      <c r="N98" s="1903"/>
      <c r="O98" s="1863">
        <f t="shared" si="52"/>
        <v>0</v>
      </c>
      <c r="P98" s="1864">
        <f t="shared" si="53"/>
        <v>0</v>
      </c>
      <c r="Q98" s="608"/>
      <c r="R98" s="608"/>
      <c r="S98" s="608"/>
      <c r="T98" s="840"/>
      <c r="U98" s="80"/>
      <c r="V98" s="80"/>
      <c r="W98" s="80"/>
      <c r="X98" s="80"/>
      <c r="Y98" s="80"/>
      <c r="Z98" s="80"/>
      <c r="AA98" s="80"/>
      <c r="AB98" s="80"/>
      <c r="AC98" s="80"/>
      <c r="AD98" s="80"/>
      <c r="AE98" s="80"/>
      <c r="AF98" s="80"/>
      <c r="AG98" s="80"/>
      <c r="AH98" s="80"/>
      <c r="AI98" s="80"/>
      <c r="AJ98" s="80"/>
    </row>
    <row r="99" spans="1:36" ht="13">
      <c r="A99" s="1897">
        <f t="shared" si="1"/>
        <v>68</v>
      </c>
      <c r="B99" s="1906" t="s">
        <v>421</v>
      </c>
      <c r="C99" s="1903"/>
      <c r="D99" s="1903"/>
      <c r="E99" s="1903"/>
      <c r="F99" s="1903"/>
      <c r="G99" s="1903"/>
      <c r="H99" s="1903"/>
      <c r="I99" s="1903"/>
      <c r="J99" s="1903"/>
      <c r="K99" s="1903"/>
      <c r="L99" s="1903"/>
      <c r="M99" s="1903"/>
      <c r="N99" s="1903"/>
      <c r="O99" s="1863">
        <f t="shared" si="52"/>
        <v>0</v>
      </c>
      <c r="P99" s="1864">
        <f t="shared" si="53"/>
        <v>0</v>
      </c>
      <c r="Q99" s="608"/>
      <c r="R99" s="608"/>
      <c r="S99" s="608"/>
      <c r="T99" s="840"/>
      <c r="U99" s="80"/>
      <c r="V99" s="80"/>
      <c r="W99" s="80"/>
      <c r="X99" s="80"/>
      <c r="Y99" s="80"/>
      <c r="Z99" s="80"/>
      <c r="AA99" s="80"/>
      <c r="AB99" s="80"/>
      <c r="AC99" s="80"/>
      <c r="AD99" s="80"/>
      <c r="AE99" s="80"/>
      <c r="AF99" s="80"/>
      <c r="AG99" s="80"/>
      <c r="AH99" s="80"/>
      <c r="AI99" s="80"/>
      <c r="AJ99" s="80"/>
    </row>
    <row r="100" spans="1:36" ht="13">
      <c r="A100" s="1897">
        <f t="shared" si="1"/>
        <v>69</v>
      </c>
      <c r="B100" s="1906" t="s">
        <v>422</v>
      </c>
      <c r="C100" s="1903"/>
      <c r="D100" s="1903"/>
      <c r="E100" s="1903"/>
      <c r="F100" s="1903"/>
      <c r="G100" s="1903"/>
      <c r="H100" s="1903"/>
      <c r="I100" s="1903"/>
      <c r="J100" s="1903"/>
      <c r="K100" s="1903"/>
      <c r="L100" s="1903"/>
      <c r="M100" s="1903"/>
      <c r="N100" s="1903"/>
      <c r="O100" s="1863">
        <f t="shared" si="52"/>
        <v>0</v>
      </c>
      <c r="P100" s="1864">
        <f t="shared" si="53"/>
        <v>0</v>
      </c>
      <c r="Q100" s="608"/>
      <c r="R100" s="608"/>
      <c r="S100" s="608"/>
      <c r="T100" s="840"/>
      <c r="U100" s="80"/>
      <c r="V100" s="80"/>
      <c r="W100" s="80"/>
      <c r="X100" s="80"/>
      <c r="Y100" s="80"/>
      <c r="Z100" s="80"/>
      <c r="AA100" s="80"/>
      <c r="AB100" s="80"/>
      <c r="AC100" s="80"/>
      <c r="AD100" s="80"/>
      <c r="AE100" s="80"/>
      <c r="AF100" s="80"/>
      <c r="AG100" s="80"/>
      <c r="AH100" s="80"/>
      <c r="AI100" s="80"/>
      <c r="AJ100" s="80"/>
    </row>
    <row r="101" spans="1:36" ht="13">
      <c r="A101" s="1897">
        <f t="shared" si="1"/>
        <v>70</v>
      </c>
      <c r="B101" s="1906" t="s">
        <v>364</v>
      </c>
      <c r="C101" s="1903"/>
      <c r="D101" s="1903"/>
      <c r="E101" s="1903"/>
      <c r="F101" s="1903"/>
      <c r="G101" s="1903"/>
      <c r="H101" s="1903"/>
      <c r="I101" s="1903"/>
      <c r="J101" s="1903"/>
      <c r="K101" s="1903"/>
      <c r="L101" s="1903"/>
      <c r="M101" s="1903"/>
      <c r="N101" s="1903"/>
      <c r="O101" s="1863">
        <f t="shared" si="52"/>
        <v>0</v>
      </c>
      <c r="P101" s="1864">
        <f t="shared" si="53"/>
        <v>0</v>
      </c>
      <c r="Q101" s="608"/>
      <c r="R101" s="608"/>
      <c r="S101" s="608"/>
      <c r="T101" s="840"/>
      <c r="U101" s="80"/>
      <c r="V101" s="80"/>
      <c r="W101" s="80"/>
      <c r="X101" s="80"/>
      <c r="Y101" s="80"/>
      <c r="Z101" s="80"/>
      <c r="AA101" s="80"/>
      <c r="AB101" s="80"/>
      <c r="AC101" s="80"/>
      <c r="AD101" s="80"/>
      <c r="AE101" s="80"/>
      <c r="AF101" s="80"/>
      <c r="AG101" s="80"/>
      <c r="AH101" s="80"/>
      <c r="AI101" s="80"/>
      <c r="AJ101" s="80"/>
    </row>
    <row r="102" spans="1:36" ht="13">
      <c r="A102" s="1897">
        <f t="shared" si="1"/>
        <v>71</v>
      </c>
      <c r="B102" s="1906" t="s">
        <v>423</v>
      </c>
      <c r="C102" s="1903"/>
      <c r="D102" s="1903"/>
      <c r="E102" s="1903"/>
      <c r="F102" s="1903"/>
      <c r="G102" s="1903"/>
      <c r="H102" s="1903"/>
      <c r="I102" s="1903"/>
      <c r="J102" s="1903"/>
      <c r="K102" s="1903"/>
      <c r="L102" s="1903"/>
      <c r="M102" s="1903"/>
      <c r="N102" s="1903"/>
      <c r="O102" s="1863">
        <f t="shared" si="52"/>
        <v>0</v>
      </c>
      <c r="P102" s="1864">
        <f t="shared" si="53"/>
        <v>0</v>
      </c>
      <c r="Q102" s="608"/>
      <c r="R102" s="608"/>
      <c r="S102" s="608"/>
      <c r="T102" s="840"/>
      <c r="U102" s="80"/>
      <c r="V102" s="80"/>
      <c r="W102" s="80"/>
      <c r="X102" s="80"/>
      <c r="Y102" s="80"/>
      <c r="Z102" s="80"/>
      <c r="AA102" s="80"/>
      <c r="AB102" s="80"/>
      <c r="AC102" s="80"/>
      <c r="AD102" s="80"/>
      <c r="AE102" s="80"/>
      <c r="AF102" s="80"/>
      <c r="AG102" s="80"/>
      <c r="AH102" s="80"/>
      <c r="AI102" s="80"/>
      <c r="AJ102" s="80"/>
    </row>
    <row r="103" spans="1:36" ht="13">
      <c r="A103" s="1897">
        <f t="shared" si="1"/>
        <v>72</v>
      </c>
      <c r="B103" s="1906" t="s">
        <v>536</v>
      </c>
      <c r="C103" s="1903"/>
      <c r="D103" s="1903"/>
      <c r="E103" s="1903"/>
      <c r="F103" s="1903"/>
      <c r="G103" s="1903"/>
      <c r="H103" s="1903"/>
      <c r="I103" s="1903"/>
      <c r="J103" s="1903"/>
      <c r="K103" s="1903"/>
      <c r="L103" s="1903"/>
      <c r="M103" s="1903"/>
      <c r="N103" s="1903"/>
      <c r="O103" s="1863">
        <f t="shared" si="52"/>
        <v>0</v>
      </c>
      <c r="P103" s="1864">
        <f t="shared" si="53"/>
        <v>0</v>
      </c>
      <c r="Q103" s="608"/>
      <c r="R103" s="608"/>
      <c r="S103" s="608"/>
      <c r="T103" s="840"/>
      <c r="U103" s="80"/>
      <c r="V103" s="80"/>
      <c r="W103" s="80"/>
      <c r="X103" s="80"/>
      <c r="Y103" s="80"/>
      <c r="Z103" s="80"/>
      <c r="AA103" s="80"/>
      <c r="AB103" s="80"/>
      <c r="AC103" s="80"/>
      <c r="AD103" s="80"/>
      <c r="AE103" s="80"/>
      <c r="AF103" s="80"/>
      <c r="AG103" s="80"/>
      <c r="AH103" s="80"/>
      <c r="AI103" s="80"/>
      <c r="AJ103" s="80"/>
    </row>
    <row r="104" spans="1:36" ht="13">
      <c r="A104" s="1897">
        <f t="shared" si="1"/>
        <v>73</v>
      </c>
      <c r="B104" s="1906" t="s">
        <v>1002</v>
      </c>
      <c r="C104" s="1903"/>
      <c r="D104" s="1903"/>
      <c r="E104" s="1903"/>
      <c r="F104" s="1903"/>
      <c r="G104" s="1903"/>
      <c r="H104" s="1903"/>
      <c r="I104" s="1903"/>
      <c r="J104" s="1903"/>
      <c r="K104" s="1903"/>
      <c r="L104" s="1903"/>
      <c r="M104" s="1903"/>
      <c r="N104" s="1903"/>
      <c r="O104" s="1863">
        <f t="shared" si="52"/>
        <v>0</v>
      </c>
      <c r="P104" s="1864">
        <f t="shared" si="53"/>
        <v>0</v>
      </c>
      <c r="Q104" s="608"/>
      <c r="R104" s="608"/>
      <c r="S104" s="608"/>
      <c r="T104" s="840"/>
      <c r="U104" s="80"/>
      <c r="V104" s="80"/>
      <c r="W104" s="80"/>
      <c r="X104" s="80"/>
      <c r="Y104" s="80"/>
      <c r="Z104" s="80"/>
      <c r="AA104" s="80"/>
      <c r="AB104" s="80"/>
      <c r="AC104" s="80"/>
      <c r="AD104" s="80"/>
      <c r="AE104" s="80"/>
      <c r="AF104" s="80"/>
      <c r="AG104" s="80"/>
      <c r="AH104" s="80"/>
      <c r="AI104" s="80"/>
      <c r="AJ104" s="80"/>
    </row>
    <row r="105" spans="1:36" ht="13">
      <c r="A105" s="1897">
        <f t="shared" si="1"/>
        <v>74</v>
      </c>
      <c r="B105" s="2474" t="s">
        <v>1122</v>
      </c>
      <c r="C105" s="1903"/>
      <c r="D105" s="1903"/>
      <c r="E105" s="1903"/>
      <c r="F105" s="1903"/>
      <c r="G105" s="1903"/>
      <c r="H105" s="1903"/>
      <c r="I105" s="1903"/>
      <c r="J105" s="1903"/>
      <c r="K105" s="1903"/>
      <c r="L105" s="1903"/>
      <c r="M105" s="1903"/>
      <c r="N105" s="1903"/>
      <c r="O105" s="1863">
        <f t="shared" si="52"/>
        <v>0</v>
      </c>
      <c r="P105" s="1864">
        <f t="shared" si="53"/>
        <v>0</v>
      </c>
      <c r="Q105" s="608"/>
      <c r="R105" s="608"/>
      <c r="S105" s="608"/>
      <c r="T105" s="840"/>
      <c r="U105" s="80"/>
      <c r="V105" s="80"/>
      <c r="W105" s="80"/>
      <c r="X105" s="80"/>
      <c r="Y105" s="80"/>
      <c r="Z105" s="80"/>
      <c r="AA105" s="80"/>
      <c r="AB105" s="80"/>
      <c r="AC105" s="80"/>
      <c r="AD105" s="80"/>
      <c r="AE105" s="80"/>
      <c r="AF105" s="80"/>
      <c r="AG105" s="80"/>
      <c r="AH105" s="80"/>
      <c r="AI105" s="80"/>
      <c r="AJ105" s="80"/>
    </row>
    <row r="106" spans="1:36" ht="13">
      <c r="A106" s="1897">
        <f t="shared" si="1"/>
        <v>75</v>
      </c>
      <c r="B106" s="2474"/>
      <c r="C106" s="1903"/>
      <c r="D106" s="1903"/>
      <c r="E106" s="1903"/>
      <c r="F106" s="1903"/>
      <c r="G106" s="1903"/>
      <c r="H106" s="1903"/>
      <c r="I106" s="1903"/>
      <c r="J106" s="1903"/>
      <c r="K106" s="1903"/>
      <c r="L106" s="1903"/>
      <c r="M106" s="1903"/>
      <c r="N106" s="1903"/>
      <c r="O106" s="1863">
        <f>SUMPRODUCT($C$4:$N$4,C106:N106)</f>
        <v>0</v>
      </c>
      <c r="P106" s="1864">
        <f>SUM(C106:N106)</f>
        <v>0</v>
      </c>
      <c r="Q106" s="608"/>
      <c r="R106" s="608"/>
      <c r="S106" s="608"/>
      <c r="T106" s="840"/>
      <c r="U106" s="80"/>
      <c r="V106" s="80"/>
      <c r="W106" s="80"/>
      <c r="X106" s="80"/>
      <c r="Y106" s="80"/>
      <c r="Z106" s="80"/>
      <c r="AA106" s="80"/>
      <c r="AB106" s="80"/>
      <c r="AC106" s="80"/>
      <c r="AD106" s="80"/>
      <c r="AE106" s="80"/>
      <c r="AF106" s="80"/>
      <c r="AG106" s="80"/>
      <c r="AH106" s="80"/>
      <c r="AI106" s="80"/>
      <c r="AJ106" s="80"/>
    </row>
    <row r="107" spans="1:36" ht="13">
      <c r="A107" s="1897">
        <f t="shared" si="1"/>
        <v>76</v>
      </c>
      <c r="B107" s="2484"/>
      <c r="C107" s="1903"/>
      <c r="D107" s="1903"/>
      <c r="E107" s="1903"/>
      <c r="F107" s="1903"/>
      <c r="G107" s="1903"/>
      <c r="H107" s="1903"/>
      <c r="I107" s="1903"/>
      <c r="J107" s="1903"/>
      <c r="K107" s="1903"/>
      <c r="L107" s="1903"/>
      <c r="M107" s="1903"/>
      <c r="N107" s="1903"/>
      <c r="O107" s="1863">
        <f t="shared" si="52"/>
        <v>0</v>
      </c>
      <c r="P107" s="1864">
        <f t="shared" si="53"/>
        <v>0</v>
      </c>
      <c r="Q107" s="608"/>
      <c r="R107" s="608"/>
      <c r="S107" s="608"/>
      <c r="T107" s="840"/>
      <c r="U107" s="80"/>
      <c r="V107" s="80"/>
      <c r="W107" s="80"/>
      <c r="X107" s="80"/>
      <c r="Y107" s="80"/>
      <c r="Z107" s="80"/>
      <c r="AA107" s="80"/>
      <c r="AB107" s="80"/>
      <c r="AC107" s="80"/>
      <c r="AD107" s="80"/>
      <c r="AE107" s="80"/>
      <c r="AF107" s="80"/>
      <c r="AG107" s="80"/>
      <c r="AH107" s="80"/>
      <c r="AI107" s="80"/>
      <c r="AJ107" s="80"/>
    </row>
    <row r="108" spans="1:36" ht="13.5" thickBot="1">
      <c r="A108" s="1897">
        <f t="shared" si="1"/>
        <v>77</v>
      </c>
      <c r="B108" s="2484"/>
      <c r="C108" s="1903"/>
      <c r="D108" s="1903"/>
      <c r="E108" s="1903"/>
      <c r="F108" s="1903"/>
      <c r="G108" s="1903"/>
      <c r="H108" s="1903"/>
      <c r="I108" s="1903"/>
      <c r="J108" s="1903"/>
      <c r="K108" s="1903"/>
      <c r="L108" s="1903"/>
      <c r="M108" s="1903"/>
      <c r="N108" s="1903"/>
      <c r="O108" s="1863">
        <f t="shared" si="52"/>
        <v>0</v>
      </c>
      <c r="P108" s="1864">
        <f t="shared" si="53"/>
        <v>0</v>
      </c>
      <c r="Q108" s="608"/>
      <c r="R108" s="608"/>
      <c r="S108" s="608"/>
      <c r="T108" s="840"/>
      <c r="U108" s="80"/>
      <c r="V108" s="80"/>
      <c r="W108" s="80"/>
      <c r="X108" s="80"/>
      <c r="Y108" s="80"/>
      <c r="Z108" s="80"/>
      <c r="AA108" s="80"/>
      <c r="AB108" s="80"/>
      <c r="AC108" s="80"/>
      <c r="AD108" s="80"/>
      <c r="AE108" s="80"/>
      <c r="AF108" s="80"/>
      <c r="AG108" s="80"/>
      <c r="AH108" s="80"/>
      <c r="AI108" s="80"/>
      <c r="AJ108" s="80"/>
    </row>
    <row r="109" spans="1:36" ht="13.5" thickBot="1">
      <c r="A109" s="1919">
        <f t="shared" si="1"/>
        <v>78</v>
      </c>
      <c r="B109" s="1907" t="s">
        <v>1004</v>
      </c>
      <c r="C109" s="1908">
        <f>SUM(C96:C108)</f>
        <v>0</v>
      </c>
      <c r="D109" s="1908">
        <f t="shared" ref="D109:P109" si="54">SUM(D96:D108)</f>
        <v>0</v>
      </c>
      <c r="E109" s="1908">
        <f t="shared" si="54"/>
        <v>0</v>
      </c>
      <c r="F109" s="1908">
        <f t="shared" si="54"/>
        <v>0</v>
      </c>
      <c r="G109" s="1908">
        <f t="shared" si="54"/>
        <v>0</v>
      </c>
      <c r="H109" s="1908">
        <f t="shared" si="54"/>
        <v>0</v>
      </c>
      <c r="I109" s="1908">
        <f t="shared" si="54"/>
        <v>0</v>
      </c>
      <c r="J109" s="1908">
        <f t="shared" si="54"/>
        <v>0</v>
      </c>
      <c r="K109" s="1908">
        <f t="shared" si="54"/>
        <v>0</v>
      </c>
      <c r="L109" s="1908">
        <f t="shared" si="54"/>
        <v>0</v>
      </c>
      <c r="M109" s="1908">
        <f t="shared" si="54"/>
        <v>0</v>
      </c>
      <c r="N109" s="1908">
        <f t="shared" si="54"/>
        <v>0</v>
      </c>
      <c r="O109" s="1908">
        <f t="shared" si="54"/>
        <v>0</v>
      </c>
      <c r="P109" s="1908">
        <f t="shared" si="54"/>
        <v>0</v>
      </c>
      <c r="Q109" s="1144"/>
      <c r="R109" s="1144"/>
      <c r="S109" s="1144"/>
      <c r="T109" s="1116"/>
      <c r="U109" s="1116"/>
      <c r="V109" s="1116"/>
      <c r="W109" s="1116"/>
      <c r="X109" s="1116"/>
      <c r="Y109" s="1116"/>
      <c r="Z109" s="1116"/>
      <c r="AA109" s="1116"/>
      <c r="AB109" s="1116"/>
      <c r="AC109" s="1116"/>
      <c r="AD109" s="1116"/>
      <c r="AE109" s="1116"/>
      <c r="AF109" s="1116"/>
      <c r="AG109" s="80"/>
      <c r="AH109" s="80"/>
      <c r="AI109" s="80"/>
      <c r="AJ109" s="80"/>
    </row>
    <row r="110" spans="1:36" ht="13">
      <c r="A110" s="1897">
        <f t="shared" si="1"/>
        <v>79</v>
      </c>
      <c r="B110" s="1911" t="s">
        <v>1012</v>
      </c>
      <c r="C110" s="1330"/>
      <c r="D110" s="1327"/>
      <c r="E110" s="1327"/>
      <c r="F110" s="1327"/>
      <c r="G110" s="1327"/>
      <c r="H110" s="1327"/>
      <c r="I110" s="1327"/>
      <c r="J110" s="1327"/>
      <c r="K110" s="1327"/>
      <c r="L110" s="1327"/>
      <c r="M110" s="1327"/>
      <c r="N110" s="1334"/>
      <c r="O110" s="1863">
        <f t="shared" ref="O110:O116" si="55">SUMPRODUCT($C$4:$N$4,C110:N110)</f>
        <v>0</v>
      </c>
      <c r="P110" s="1864">
        <f t="shared" ref="P110:P116" si="56">SUM(C110:N110)</f>
        <v>0</v>
      </c>
      <c r="Q110" s="608"/>
      <c r="R110" s="608"/>
      <c r="S110" s="608"/>
      <c r="T110" s="840"/>
      <c r="U110" s="80"/>
      <c r="V110" s="80"/>
      <c r="W110" s="80"/>
      <c r="X110" s="80"/>
      <c r="Y110" s="80"/>
      <c r="Z110" s="80"/>
      <c r="AA110" s="80"/>
      <c r="AB110" s="80"/>
      <c r="AC110" s="80"/>
      <c r="AD110" s="80"/>
      <c r="AE110" s="80"/>
      <c r="AF110" s="80"/>
      <c r="AG110" s="80"/>
      <c r="AH110" s="80"/>
      <c r="AI110" s="80"/>
      <c r="AJ110" s="80"/>
    </row>
    <row r="111" spans="1:36" ht="13">
      <c r="A111" s="1897">
        <f t="shared" si="1"/>
        <v>80</v>
      </c>
      <c r="B111" s="2712" t="s">
        <v>1309</v>
      </c>
      <c r="C111" s="1330"/>
      <c r="D111" s="1327"/>
      <c r="E111" s="1327"/>
      <c r="F111" s="1327"/>
      <c r="G111" s="1327"/>
      <c r="H111" s="1327"/>
      <c r="I111" s="1327"/>
      <c r="J111" s="1327"/>
      <c r="K111" s="1327"/>
      <c r="L111" s="1327"/>
      <c r="M111" s="1327"/>
      <c r="N111" s="1334"/>
      <c r="O111" s="1863">
        <f t="shared" si="55"/>
        <v>0</v>
      </c>
      <c r="P111" s="1864">
        <f t="shared" si="56"/>
        <v>0</v>
      </c>
      <c r="Q111" s="608"/>
      <c r="R111" s="608"/>
      <c r="S111" s="608"/>
      <c r="T111" s="840"/>
      <c r="U111" s="80"/>
      <c r="V111" s="80"/>
      <c r="W111" s="80"/>
      <c r="X111" s="80"/>
      <c r="Y111" s="80"/>
      <c r="Z111" s="80"/>
      <c r="AA111" s="80"/>
      <c r="AB111" s="80"/>
      <c r="AC111" s="80"/>
      <c r="AD111" s="80"/>
      <c r="AE111" s="80"/>
      <c r="AF111" s="80"/>
      <c r="AG111" s="80"/>
      <c r="AH111" s="80"/>
      <c r="AI111" s="80"/>
      <c r="AJ111" s="80"/>
    </row>
    <row r="112" spans="1:36" ht="13">
      <c r="A112" s="1897">
        <f t="shared" si="1"/>
        <v>81</v>
      </c>
      <c r="B112" s="1911" t="s">
        <v>1006</v>
      </c>
      <c r="C112" s="1330"/>
      <c r="D112" s="1327"/>
      <c r="E112" s="1327"/>
      <c r="F112" s="1327"/>
      <c r="G112" s="1327"/>
      <c r="H112" s="1327"/>
      <c r="I112" s="1327"/>
      <c r="J112" s="1327"/>
      <c r="K112" s="1327"/>
      <c r="L112" s="1327"/>
      <c r="M112" s="1327"/>
      <c r="N112" s="1334"/>
      <c r="O112" s="1863">
        <f t="shared" si="55"/>
        <v>0</v>
      </c>
      <c r="P112" s="1864">
        <f t="shared" si="56"/>
        <v>0</v>
      </c>
      <c r="Q112" s="608"/>
      <c r="R112" s="608"/>
      <c r="S112" s="608"/>
      <c r="T112" s="840"/>
      <c r="U112" s="80"/>
      <c r="V112" s="80"/>
      <c r="W112" s="80"/>
      <c r="X112" s="80"/>
      <c r="Y112" s="80"/>
      <c r="Z112" s="80"/>
      <c r="AA112" s="80"/>
      <c r="AB112" s="80"/>
      <c r="AC112" s="80"/>
      <c r="AD112" s="80"/>
      <c r="AE112" s="80"/>
      <c r="AF112" s="80"/>
      <c r="AG112" s="80"/>
      <c r="AH112" s="80"/>
      <c r="AI112" s="80"/>
      <c r="AJ112" s="80"/>
    </row>
    <row r="113" spans="1:36" ht="13">
      <c r="A113" s="1897">
        <f t="shared" si="1"/>
        <v>82</v>
      </c>
      <c r="B113" s="1911" t="s">
        <v>442</v>
      </c>
      <c r="C113" s="1330"/>
      <c r="D113" s="1327"/>
      <c r="E113" s="1327"/>
      <c r="F113" s="1327"/>
      <c r="G113" s="1327"/>
      <c r="H113" s="1327"/>
      <c r="I113" s="1327"/>
      <c r="J113" s="1327"/>
      <c r="K113" s="1327"/>
      <c r="L113" s="1327"/>
      <c r="M113" s="1327"/>
      <c r="N113" s="1334"/>
      <c r="O113" s="1863">
        <f t="shared" si="55"/>
        <v>0</v>
      </c>
      <c r="P113" s="1864">
        <f t="shared" si="56"/>
        <v>0</v>
      </c>
      <c r="Q113" s="608"/>
      <c r="R113" s="608"/>
      <c r="S113" s="608"/>
      <c r="T113" s="840"/>
      <c r="U113" s="80"/>
      <c r="V113" s="80"/>
      <c r="W113" s="80"/>
      <c r="X113" s="80"/>
      <c r="Y113" s="80"/>
      <c r="Z113" s="80"/>
      <c r="AA113" s="80"/>
      <c r="AB113" s="80"/>
      <c r="AC113" s="80"/>
      <c r="AD113" s="80"/>
      <c r="AE113" s="80"/>
      <c r="AF113" s="80"/>
      <c r="AG113" s="80"/>
      <c r="AH113" s="80"/>
      <c r="AI113" s="80"/>
      <c r="AJ113" s="80"/>
    </row>
    <row r="114" spans="1:36" ht="13">
      <c r="A114" s="1897">
        <f t="shared" ref="A114:A127" si="57">A113+1</f>
        <v>83</v>
      </c>
      <c r="B114" s="1911" t="s">
        <v>1013</v>
      </c>
      <c r="C114" s="1330"/>
      <c r="D114" s="1327"/>
      <c r="E114" s="1327"/>
      <c r="F114" s="1327"/>
      <c r="G114" s="1327"/>
      <c r="H114" s="1327"/>
      <c r="I114" s="1327"/>
      <c r="J114" s="1327"/>
      <c r="K114" s="1327"/>
      <c r="L114" s="1327"/>
      <c r="M114" s="1327"/>
      <c r="N114" s="1334"/>
      <c r="O114" s="1863">
        <f t="shared" si="55"/>
        <v>0</v>
      </c>
      <c r="P114" s="1864">
        <f t="shared" si="56"/>
        <v>0</v>
      </c>
      <c r="Q114" s="608"/>
      <c r="R114" s="608"/>
      <c r="S114" s="608"/>
      <c r="T114" s="840"/>
      <c r="U114" s="80"/>
      <c r="V114" s="80"/>
      <c r="W114" s="80"/>
      <c r="X114" s="80"/>
      <c r="Y114" s="80"/>
      <c r="Z114" s="80"/>
      <c r="AA114" s="80"/>
      <c r="AB114" s="80"/>
      <c r="AC114" s="80"/>
      <c r="AD114" s="80"/>
      <c r="AE114" s="80"/>
      <c r="AF114" s="80"/>
      <c r="AG114" s="80"/>
      <c r="AH114" s="80"/>
      <c r="AI114" s="80"/>
      <c r="AJ114" s="80"/>
    </row>
    <row r="115" spans="1:36" ht="13">
      <c r="A115" s="1897">
        <f t="shared" si="57"/>
        <v>84</v>
      </c>
      <c r="B115" s="2483" t="s">
        <v>1014</v>
      </c>
      <c r="C115" s="1330"/>
      <c r="D115" s="1327"/>
      <c r="E115" s="1327"/>
      <c r="F115" s="1327"/>
      <c r="G115" s="1327"/>
      <c r="H115" s="1327"/>
      <c r="I115" s="1327"/>
      <c r="J115" s="1327"/>
      <c r="K115" s="1327"/>
      <c r="L115" s="1327"/>
      <c r="M115" s="1327"/>
      <c r="N115" s="1334"/>
      <c r="O115" s="1863">
        <f t="shared" si="55"/>
        <v>0</v>
      </c>
      <c r="P115" s="1864">
        <f t="shared" si="56"/>
        <v>0</v>
      </c>
      <c r="Q115" s="608"/>
      <c r="R115" s="608"/>
      <c r="S115" s="608"/>
      <c r="T115" s="840"/>
      <c r="U115" s="80"/>
      <c r="V115" s="80"/>
      <c r="W115" s="80"/>
      <c r="X115" s="80"/>
      <c r="Y115" s="80"/>
      <c r="Z115" s="80"/>
      <c r="AA115" s="80"/>
      <c r="AB115" s="80"/>
      <c r="AC115" s="80"/>
      <c r="AD115" s="80"/>
      <c r="AE115" s="80"/>
      <c r="AF115" s="80"/>
      <c r="AG115" s="80"/>
      <c r="AH115" s="80"/>
      <c r="AI115" s="80"/>
      <c r="AJ115" s="80"/>
    </row>
    <row r="116" spans="1:36" ht="13">
      <c r="A116" s="1897">
        <f t="shared" si="57"/>
        <v>85</v>
      </c>
      <c r="B116" s="1906" t="s">
        <v>464</v>
      </c>
      <c r="C116" s="1330"/>
      <c r="D116" s="1327"/>
      <c r="E116" s="1327"/>
      <c r="F116" s="1327"/>
      <c r="G116" s="1327"/>
      <c r="H116" s="1327"/>
      <c r="I116" s="1327"/>
      <c r="J116" s="1327"/>
      <c r="K116" s="1327"/>
      <c r="L116" s="1327"/>
      <c r="M116" s="1327"/>
      <c r="N116" s="1334"/>
      <c r="O116" s="1863">
        <f t="shared" si="55"/>
        <v>0</v>
      </c>
      <c r="P116" s="1864">
        <f t="shared" si="56"/>
        <v>0</v>
      </c>
      <c r="Q116" s="608"/>
      <c r="R116" s="608"/>
      <c r="S116" s="608"/>
      <c r="T116" s="840"/>
      <c r="U116" s="80"/>
      <c r="V116" s="80"/>
      <c r="W116" s="80"/>
      <c r="X116" s="80"/>
      <c r="Y116" s="80"/>
      <c r="Z116" s="80"/>
      <c r="AA116" s="80"/>
      <c r="AB116" s="80"/>
      <c r="AC116" s="80"/>
      <c r="AD116" s="80"/>
      <c r="AE116" s="80"/>
      <c r="AF116" s="80"/>
      <c r="AG116" s="80"/>
      <c r="AH116" s="80"/>
      <c r="AI116" s="80"/>
      <c r="AJ116" s="80"/>
    </row>
    <row r="117" spans="1:36" ht="13">
      <c r="A117" s="1897">
        <f t="shared" si="57"/>
        <v>86</v>
      </c>
      <c r="B117" s="1906" t="s">
        <v>465</v>
      </c>
      <c r="C117" s="1330"/>
      <c r="D117" s="1327"/>
      <c r="E117" s="1327"/>
      <c r="F117" s="1327"/>
      <c r="G117" s="1327"/>
      <c r="H117" s="1327"/>
      <c r="I117" s="1327"/>
      <c r="J117" s="1327"/>
      <c r="K117" s="1327"/>
      <c r="L117" s="1327"/>
      <c r="M117" s="1327"/>
      <c r="N117" s="1334"/>
      <c r="O117" s="1863">
        <f t="shared" ref="O117:O125" si="58">SUMPRODUCT($C$4:$N$4,C117:N117)</f>
        <v>0</v>
      </c>
      <c r="P117" s="1864">
        <f t="shared" ref="P117:P125" si="59">SUM(C117:N117)</f>
        <v>0</v>
      </c>
      <c r="Q117" s="608"/>
      <c r="R117" s="608"/>
      <c r="S117" s="608"/>
      <c r="T117" s="840"/>
      <c r="U117" s="80"/>
      <c r="V117" s="80"/>
      <c r="W117" s="80"/>
      <c r="X117" s="80"/>
      <c r="Y117" s="80"/>
      <c r="Z117" s="80"/>
      <c r="AA117" s="80"/>
      <c r="AB117" s="80"/>
      <c r="AC117" s="80"/>
      <c r="AD117" s="80"/>
      <c r="AE117" s="80"/>
      <c r="AF117" s="80"/>
      <c r="AG117" s="80"/>
      <c r="AH117" s="80"/>
      <c r="AI117" s="80"/>
      <c r="AJ117" s="80"/>
    </row>
    <row r="118" spans="1:36" ht="13">
      <c r="A118" s="1897">
        <f t="shared" si="57"/>
        <v>87</v>
      </c>
      <c r="B118" s="1906" t="s">
        <v>443</v>
      </c>
      <c r="C118" s="1330"/>
      <c r="D118" s="1327"/>
      <c r="E118" s="1327"/>
      <c r="F118" s="1327"/>
      <c r="G118" s="1327"/>
      <c r="H118" s="1327"/>
      <c r="I118" s="1327"/>
      <c r="J118" s="1327"/>
      <c r="K118" s="1327"/>
      <c r="L118" s="1327"/>
      <c r="M118" s="1327"/>
      <c r="N118" s="1334"/>
      <c r="O118" s="1863">
        <f t="shared" si="58"/>
        <v>0</v>
      </c>
      <c r="P118" s="1864">
        <f t="shared" si="59"/>
        <v>0</v>
      </c>
      <c r="Q118" s="608"/>
      <c r="R118" s="608"/>
      <c r="S118" s="608"/>
      <c r="T118" s="840"/>
      <c r="U118" s="80"/>
      <c r="V118" s="80"/>
      <c r="W118" s="80"/>
      <c r="X118" s="80"/>
      <c r="Y118" s="80"/>
      <c r="Z118" s="80"/>
      <c r="AA118" s="80"/>
      <c r="AB118" s="80"/>
      <c r="AC118" s="80"/>
      <c r="AD118" s="80"/>
      <c r="AE118" s="80"/>
      <c r="AF118" s="80"/>
      <c r="AG118" s="80"/>
      <c r="AH118" s="80"/>
      <c r="AI118" s="80"/>
      <c r="AJ118" s="80"/>
    </row>
    <row r="119" spans="1:36" ht="13">
      <c r="A119" s="1897">
        <f t="shared" si="57"/>
        <v>88</v>
      </c>
      <c r="B119" s="1906" t="s">
        <v>444</v>
      </c>
      <c r="C119" s="1330"/>
      <c r="D119" s="1327"/>
      <c r="E119" s="1327"/>
      <c r="F119" s="1327"/>
      <c r="G119" s="1327"/>
      <c r="H119" s="1327"/>
      <c r="I119" s="1327"/>
      <c r="J119" s="1327"/>
      <c r="K119" s="1327"/>
      <c r="L119" s="1327"/>
      <c r="M119" s="1327"/>
      <c r="N119" s="1334"/>
      <c r="O119" s="1863">
        <f t="shared" si="58"/>
        <v>0</v>
      </c>
      <c r="P119" s="1864">
        <f t="shared" si="59"/>
        <v>0</v>
      </c>
      <c r="Q119" s="608"/>
      <c r="R119" s="608"/>
      <c r="S119" s="608"/>
      <c r="T119" s="840"/>
      <c r="U119" s="80"/>
      <c r="V119" s="80"/>
      <c r="W119" s="80"/>
      <c r="X119" s="80"/>
      <c r="Y119" s="80"/>
      <c r="Z119" s="80"/>
      <c r="AA119" s="80"/>
      <c r="AB119" s="80"/>
      <c r="AC119" s="80"/>
      <c r="AD119" s="80"/>
      <c r="AE119" s="80"/>
      <c r="AF119" s="80"/>
      <c r="AG119" s="80"/>
      <c r="AH119" s="80"/>
      <c r="AI119" s="80"/>
      <c r="AJ119" s="80"/>
    </row>
    <row r="120" spans="1:36" ht="13">
      <c r="A120" s="1897">
        <f t="shared" si="57"/>
        <v>89</v>
      </c>
      <c r="B120" s="1906" t="s">
        <v>1007</v>
      </c>
      <c r="C120" s="1330"/>
      <c r="D120" s="1327"/>
      <c r="E120" s="1327"/>
      <c r="F120" s="1327"/>
      <c r="G120" s="1327"/>
      <c r="H120" s="1327"/>
      <c r="I120" s="1327"/>
      <c r="J120" s="1327"/>
      <c r="K120" s="1327"/>
      <c r="L120" s="1327"/>
      <c r="M120" s="1327"/>
      <c r="N120" s="1334"/>
      <c r="O120" s="1863">
        <f>SUMPRODUCT($C$4:$N$4,C120:N120)</f>
        <v>0</v>
      </c>
      <c r="P120" s="1864">
        <f>SUM(C120:N120)</f>
        <v>0</v>
      </c>
      <c r="Q120" s="608"/>
      <c r="R120" s="608"/>
      <c r="S120" s="608"/>
      <c r="T120" s="840"/>
      <c r="U120" s="80"/>
      <c r="V120" s="80"/>
      <c r="W120" s="80"/>
      <c r="X120" s="80"/>
      <c r="Y120" s="80"/>
      <c r="Z120" s="80"/>
      <c r="AA120" s="80"/>
      <c r="AB120" s="80"/>
      <c r="AC120" s="80"/>
      <c r="AD120" s="80"/>
      <c r="AE120" s="80"/>
      <c r="AF120" s="80"/>
      <c r="AG120" s="80"/>
      <c r="AH120" s="80"/>
      <c r="AI120" s="80"/>
      <c r="AJ120" s="80"/>
    </row>
    <row r="121" spans="1:36" ht="13">
      <c r="A121" s="1897">
        <f t="shared" si="57"/>
        <v>90</v>
      </c>
      <c r="B121" s="2474" t="s">
        <v>1122</v>
      </c>
      <c r="C121" s="1330"/>
      <c r="D121" s="1327"/>
      <c r="E121" s="1327"/>
      <c r="F121" s="1327"/>
      <c r="G121" s="1327"/>
      <c r="H121" s="1327"/>
      <c r="I121" s="1327"/>
      <c r="J121" s="1327"/>
      <c r="K121" s="1327"/>
      <c r="L121" s="1327"/>
      <c r="M121" s="1327"/>
      <c r="N121" s="1334"/>
      <c r="O121" s="1863">
        <f>SUMPRODUCT($C$4:$N$4,C121:N121)</f>
        <v>0</v>
      </c>
      <c r="P121" s="1864">
        <f>SUM(C121:N121)</f>
        <v>0</v>
      </c>
      <c r="Q121" s="608"/>
      <c r="R121" s="608"/>
      <c r="S121" s="608"/>
      <c r="T121" s="840"/>
      <c r="U121" s="80"/>
      <c r="V121" s="80"/>
      <c r="W121" s="80"/>
      <c r="X121" s="80"/>
      <c r="Y121" s="80"/>
      <c r="Z121" s="80"/>
      <c r="AA121" s="80"/>
      <c r="AB121" s="80"/>
      <c r="AC121" s="80"/>
      <c r="AD121" s="80"/>
      <c r="AE121" s="80"/>
      <c r="AF121" s="80"/>
      <c r="AG121" s="80"/>
      <c r="AH121" s="80"/>
      <c r="AI121" s="80"/>
      <c r="AJ121" s="80"/>
    </row>
    <row r="122" spans="1:36" ht="13">
      <c r="A122" s="1897">
        <f t="shared" si="57"/>
        <v>91</v>
      </c>
      <c r="B122" s="2484"/>
      <c r="C122" s="1330"/>
      <c r="D122" s="1327"/>
      <c r="E122" s="1327"/>
      <c r="F122" s="1327"/>
      <c r="G122" s="1327"/>
      <c r="H122" s="1327"/>
      <c r="I122" s="1327"/>
      <c r="J122" s="1327"/>
      <c r="K122" s="1327"/>
      <c r="L122" s="1327"/>
      <c r="M122" s="1327"/>
      <c r="N122" s="1334"/>
      <c r="O122" s="1863">
        <f>SUMPRODUCT($C$4:$N$4,C122:N122)</f>
        <v>0</v>
      </c>
      <c r="P122" s="1864">
        <f>SUM(C122:N122)</f>
        <v>0</v>
      </c>
      <c r="Q122" s="608"/>
      <c r="R122" s="608"/>
      <c r="S122" s="608"/>
      <c r="T122" s="840"/>
      <c r="U122" s="80"/>
      <c r="V122" s="80"/>
      <c r="W122" s="80"/>
      <c r="X122" s="80"/>
      <c r="Y122" s="80"/>
      <c r="Z122" s="80"/>
      <c r="AA122" s="80"/>
      <c r="AB122" s="80"/>
      <c r="AC122" s="80"/>
      <c r="AD122" s="80"/>
      <c r="AE122" s="80"/>
      <c r="AF122" s="80"/>
      <c r="AG122" s="80"/>
      <c r="AH122" s="80"/>
      <c r="AI122" s="80"/>
      <c r="AJ122" s="80"/>
    </row>
    <row r="123" spans="1:36" ht="13">
      <c r="A123" s="1897">
        <f t="shared" si="57"/>
        <v>92</v>
      </c>
      <c r="B123" s="2484"/>
      <c r="C123" s="1330"/>
      <c r="D123" s="1327"/>
      <c r="E123" s="1327"/>
      <c r="F123" s="1327"/>
      <c r="G123" s="1327"/>
      <c r="H123" s="1327"/>
      <c r="I123" s="1327"/>
      <c r="J123" s="1327"/>
      <c r="K123" s="1327"/>
      <c r="L123" s="1327"/>
      <c r="M123" s="1327"/>
      <c r="N123" s="1334"/>
      <c r="O123" s="1863">
        <f>SUMPRODUCT($C$4:$N$4,C123:N123)</f>
        <v>0</v>
      </c>
      <c r="P123" s="1864">
        <f>SUM(C123:N123)</f>
        <v>0</v>
      </c>
      <c r="Q123" s="608"/>
      <c r="R123" s="608"/>
      <c r="S123" s="608"/>
      <c r="T123" s="840"/>
      <c r="U123" s="80"/>
      <c r="V123" s="80"/>
      <c r="W123" s="80"/>
      <c r="X123" s="80"/>
      <c r="Y123" s="80"/>
      <c r="Z123" s="80"/>
      <c r="AA123" s="80"/>
      <c r="AB123" s="80"/>
      <c r="AC123" s="80"/>
      <c r="AD123" s="80"/>
      <c r="AE123" s="80"/>
      <c r="AF123" s="80"/>
      <c r="AG123" s="80"/>
      <c r="AH123" s="80"/>
      <c r="AI123" s="80"/>
      <c r="AJ123" s="80"/>
    </row>
    <row r="124" spans="1:36" ht="13">
      <c r="A124" s="1897">
        <f t="shared" si="57"/>
        <v>93</v>
      </c>
      <c r="B124" s="2474"/>
      <c r="C124" s="1330"/>
      <c r="D124" s="1327"/>
      <c r="E124" s="1327"/>
      <c r="F124" s="1327"/>
      <c r="G124" s="1327"/>
      <c r="H124" s="1327"/>
      <c r="I124" s="1327"/>
      <c r="J124" s="1327"/>
      <c r="K124" s="1327"/>
      <c r="L124" s="1327"/>
      <c r="M124" s="1327"/>
      <c r="N124" s="1334"/>
      <c r="O124" s="1863">
        <f>SUMPRODUCT($C$4:$N$4,C124:N124)</f>
        <v>0</v>
      </c>
      <c r="P124" s="1864">
        <f>SUM(C124:N124)</f>
        <v>0</v>
      </c>
      <c r="Q124" s="608"/>
      <c r="R124" s="608"/>
      <c r="S124" s="608"/>
      <c r="T124" s="840"/>
      <c r="U124" s="80"/>
      <c r="V124" s="80"/>
      <c r="W124" s="80"/>
      <c r="X124" s="80"/>
      <c r="Y124" s="80"/>
      <c r="Z124" s="80"/>
      <c r="AA124" s="80"/>
      <c r="AB124" s="80"/>
      <c r="AC124" s="80"/>
      <c r="AD124" s="80"/>
      <c r="AE124" s="80"/>
      <c r="AF124" s="80"/>
      <c r="AG124" s="80"/>
      <c r="AH124" s="80"/>
      <c r="AI124" s="80"/>
      <c r="AJ124" s="80"/>
    </row>
    <row r="125" spans="1:36" ht="13">
      <c r="A125" s="1897">
        <f t="shared" si="57"/>
        <v>94</v>
      </c>
      <c r="B125" s="2484"/>
      <c r="C125" s="1330"/>
      <c r="D125" s="1327"/>
      <c r="E125" s="1327"/>
      <c r="F125" s="1327"/>
      <c r="G125" s="1327"/>
      <c r="H125" s="1327"/>
      <c r="I125" s="1327"/>
      <c r="J125" s="1327"/>
      <c r="K125" s="1327"/>
      <c r="L125" s="1327"/>
      <c r="M125" s="1327"/>
      <c r="N125" s="1334"/>
      <c r="O125" s="1863">
        <f t="shared" si="58"/>
        <v>0</v>
      </c>
      <c r="P125" s="1864">
        <f t="shared" si="59"/>
        <v>0</v>
      </c>
      <c r="Q125" s="608"/>
      <c r="R125" s="608"/>
      <c r="S125" s="608"/>
      <c r="T125" s="840"/>
      <c r="U125" s="80"/>
      <c r="V125" s="80"/>
      <c r="W125" s="80"/>
      <c r="X125" s="80"/>
      <c r="Y125" s="80"/>
      <c r="Z125" s="80"/>
      <c r="AA125" s="80"/>
      <c r="AB125" s="80"/>
      <c r="AC125" s="80"/>
      <c r="AD125" s="80"/>
      <c r="AE125" s="80"/>
      <c r="AF125" s="80"/>
      <c r="AG125" s="80"/>
      <c r="AH125" s="80"/>
      <c r="AI125" s="80"/>
      <c r="AJ125" s="80"/>
    </row>
    <row r="126" spans="1:36" ht="13">
      <c r="A126" s="1897">
        <f t="shared" si="57"/>
        <v>95</v>
      </c>
      <c r="B126" s="2484"/>
      <c r="C126" s="1330"/>
      <c r="D126" s="1327"/>
      <c r="E126" s="1327"/>
      <c r="F126" s="1327"/>
      <c r="G126" s="1327"/>
      <c r="H126" s="1327"/>
      <c r="I126" s="1327"/>
      <c r="J126" s="1327"/>
      <c r="K126" s="1327"/>
      <c r="L126" s="1327"/>
      <c r="M126" s="1327"/>
      <c r="N126" s="1334"/>
      <c r="O126" s="1863">
        <f>SUMPRODUCT($C$4:$N$4,C126:N126)</f>
        <v>0</v>
      </c>
      <c r="P126" s="1864">
        <f>SUM(C126:N126)</f>
        <v>0</v>
      </c>
      <c r="Q126" s="608"/>
      <c r="R126" s="608"/>
      <c r="S126" s="608"/>
      <c r="T126" s="840"/>
      <c r="U126" s="80"/>
      <c r="V126" s="80"/>
      <c r="W126" s="80"/>
      <c r="X126" s="80"/>
      <c r="Y126" s="80"/>
      <c r="Z126" s="80"/>
      <c r="AA126" s="80"/>
      <c r="AB126" s="80"/>
      <c r="AC126" s="80"/>
      <c r="AD126" s="80"/>
      <c r="AE126" s="80"/>
      <c r="AF126" s="80"/>
      <c r="AG126" s="80"/>
      <c r="AH126" s="80"/>
      <c r="AI126" s="80"/>
      <c r="AJ126" s="80"/>
    </row>
    <row r="127" spans="1:36" ht="13">
      <c r="A127" s="1897">
        <f t="shared" si="57"/>
        <v>96</v>
      </c>
      <c r="B127" s="2484"/>
      <c r="C127" s="1330"/>
      <c r="D127" s="1327"/>
      <c r="E127" s="1327"/>
      <c r="F127" s="1327"/>
      <c r="G127" s="1327"/>
      <c r="H127" s="1327"/>
      <c r="I127" s="1327"/>
      <c r="J127" s="1327"/>
      <c r="K127" s="1327"/>
      <c r="L127" s="1327"/>
      <c r="M127" s="1327"/>
      <c r="N127" s="1334"/>
      <c r="O127" s="1863">
        <f>SUMPRODUCT($C$4:$N$4,C127:N127)</f>
        <v>0</v>
      </c>
      <c r="P127" s="1864">
        <f>SUM(C127:N127)</f>
        <v>0</v>
      </c>
      <c r="Q127" s="608"/>
      <c r="R127" s="608"/>
      <c r="S127" s="608"/>
      <c r="T127" s="840"/>
      <c r="U127" s="80"/>
      <c r="V127" s="80"/>
      <c r="W127" s="80"/>
      <c r="X127" s="80"/>
      <c r="Y127" s="80"/>
      <c r="Z127" s="80"/>
      <c r="AA127" s="80"/>
      <c r="AB127" s="80"/>
      <c r="AC127" s="80"/>
      <c r="AD127" s="80"/>
      <c r="AE127" s="80"/>
      <c r="AF127" s="80"/>
      <c r="AG127" s="80"/>
      <c r="AH127" s="80"/>
      <c r="AI127" s="80"/>
      <c r="AJ127" s="80"/>
    </row>
    <row r="128" spans="1:36" ht="13.5" thickBot="1">
      <c r="A128" s="1897">
        <f>A127+1</f>
        <v>97</v>
      </c>
      <c r="B128" s="2485"/>
      <c r="C128" s="1330"/>
      <c r="D128" s="1327"/>
      <c r="E128" s="1327"/>
      <c r="F128" s="1327"/>
      <c r="G128" s="1327"/>
      <c r="H128" s="1327"/>
      <c r="I128" s="1327"/>
      <c r="J128" s="1327"/>
      <c r="K128" s="1327"/>
      <c r="L128" s="1327"/>
      <c r="M128" s="1327"/>
      <c r="N128" s="1334"/>
      <c r="O128" s="1863">
        <f>SUMPRODUCT($C$4:$N$4,C128:N128)</f>
        <v>0</v>
      </c>
      <c r="P128" s="1864">
        <f>SUM(C128:N128)</f>
        <v>0</v>
      </c>
      <c r="Q128" s="608"/>
      <c r="R128" s="608"/>
      <c r="S128" s="608"/>
      <c r="T128" s="840"/>
      <c r="U128" s="80"/>
      <c r="V128" s="80"/>
      <c r="W128" s="80"/>
      <c r="X128" s="80"/>
      <c r="Y128" s="80"/>
      <c r="Z128" s="80"/>
      <c r="AA128" s="80"/>
      <c r="AB128" s="80"/>
      <c r="AC128" s="80"/>
      <c r="AD128" s="80"/>
      <c r="AE128" s="80"/>
      <c r="AF128" s="80"/>
      <c r="AG128" s="80"/>
      <c r="AH128" s="80"/>
      <c r="AI128" s="80"/>
      <c r="AJ128" s="80"/>
    </row>
    <row r="129" spans="1:36" ht="13.5" thickBot="1">
      <c r="A129" s="1919">
        <f>A128+1</f>
        <v>98</v>
      </c>
      <c r="B129" s="1907" t="s">
        <v>1010</v>
      </c>
      <c r="C129" s="1908">
        <f>SUM(C110:C128)</f>
        <v>0</v>
      </c>
      <c r="D129" s="1908">
        <f t="shared" ref="D129:N129" si="60">SUM(D110:D128)</f>
        <v>0</v>
      </c>
      <c r="E129" s="1908">
        <f t="shared" si="60"/>
        <v>0</v>
      </c>
      <c r="F129" s="1908">
        <f t="shared" si="60"/>
        <v>0</v>
      </c>
      <c r="G129" s="1908">
        <f t="shared" si="60"/>
        <v>0</v>
      </c>
      <c r="H129" s="1908">
        <f t="shared" si="60"/>
        <v>0</v>
      </c>
      <c r="I129" s="1908">
        <f t="shared" si="60"/>
        <v>0</v>
      </c>
      <c r="J129" s="1908">
        <f t="shared" si="60"/>
        <v>0</v>
      </c>
      <c r="K129" s="1908">
        <f t="shared" si="60"/>
        <v>0</v>
      </c>
      <c r="L129" s="1908">
        <f t="shared" si="60"/>
        <v>0</v>
      </c>
      <c r="M129" s="1908">
        <f t="shared" si="60"/>
        <v>0</v>
      </c>
      <c r="N129" s="1908">
        <f t="shared" si="60"/>
        <v>0</v>
      </c>
      <c r="O129" s="1908">
        <f>SUM(O110:O128)</f>
        <v>0</v>
      </c>
      <c r="P129" s="1909">
        <f>SUM(P110:P128)</f>
        <v>0</v>
      </c>
      <c r="Q129" s="608"/>
      <c r="R129" s="608"/>
      <c r="S129" s="608"/>
      <c r="T129" s="840"/>
      <c r="U129" s="80"/>
      <c r="V129" s="80"/>
      <c r="W129" s="80"/>
      <c r="X129" s="80"/>
      <c r="Y129" s="80"/>
      <c r="Z129" s="80"/>
      <c r="AA129" s="80"/>
      <c r="AB129" s="80"/>
      <c r="AC129" s="80"/>
      <c r="AD129" s="80"/>
      <c r="AE129" s="80"/>
      <c r="AF129" s="1116"/>
      <c r="AG129" s="80"/>
      <c r="AH129" s="80"/>
      <c r="AI129" s="80"/>
      <c r="AJ129" s="80"/>
    </row>
    <row r="130" spans="1:36" ht="13.5" thickBot="1">
      <c r="A130" s="1919">
        <f>A129+1</f>
        <v>99</v>
      </c>
      <c r="B130" s="1907" t="s">
        <v>1346</v>
      </c>
      <c r="C130" s="1912">
        <f t="shared" ref="C130:P130" si="61">+C109+C129</f>
        <v>0</v>
      </c>
      <c r="D130" s="1341">
        <f t="shared" si="61"/>
        <v>0</v>
      </c>
      <c r="E130" s="1341">
        <f t="shared" si="61"/>
        <v>0</v>
      </c>
      <c r="F130" s="1341">
        <f t="shared" si="61"/>
        <v>0</v>
      </c>
      <c r="G130" s="1341">
        <f t="shared" si="61"/>
        <v>0</v>
      </c>
      <c r="H130" s="1341">
        <f t="shared" si="61"/>
        <v>0</v>
      </c>
      <c r="I130" s="1341">
        <f t="shared" si="61"/>
        <v>0</v>
      </c>
      <c r="J130" s="1341">
        <f t="shared" si="61"/>
        <v>0</v>
      </c>
      <c r="K130" s="1341">
        <f t="shared" si="61"/>
        <v>0</v>
      </c>
      <c r="L130" s="1341">
        <f t="shared" si="61"/>
        <v>0</v>
      </c>
      <c r="M130" s="1341">
        <f t="shared" si="61"/>
        <v>0</v>
      </c>
      <c r="N130" s="1913">
        <f t="shared" si="61"/>
        <v>0</v>
      </c>
      <c r="O130" s="1341">
        <f t="shared" si="61"/>
        <v>0</v>
      </c>
      <c r="P130" s="1867">
        <f t="shared" si="61"/>
        <v>0</v>
      </c>
      <c r="Q130" s="608"/>
      <c r="R130" s="608"/>
      <c r="S130" s="608"/>
      <c r="T130" s="840"/>
      <c r="U130" s="80"/>
      <c r="V130" s="80"/>
      <c r="W130" s="80"/>
      <c r="X130" s="80"/>
      <c r="Y130" s="80"/>
      <c r="Z130" s="80"/>
      <c r="AA130" s="80"/>
      <c r="AB130" s="80"/>
      <c r="AC130" s="80"/>
      <c r="AD130" s="80"/>
      <c r="AE130" s="80"/>
      <c r="AF130" s="1116"/>
      <c r="AG130" s="80"/>
      <c r="AH130" s="80"/>
      <c r="AI130" s="80"/>
      <c r="AJ130" s="80"/>
    </row>
    <row r="131" spans="1:36" ht="13.5" thickBot="1">
      <c r="A131" s="2486"/>
      <c r="B131" s="1915"/>
      <c r="C131" s="1918"/>
      <c r="D131" s="1918"/>
      <c r="E131" s="1918"/>
      <c r="F131" s="1918"/>
      <c r="G131" s="1918"/>
      <c r="H131" s="1918"/>
      <c r="I131" s="1918"/>
      <c r="J131" s="1918"/>
      <c r="K131" s="1918"/>
      <c r="L131" s="1918"/>
      <c r="M131" s="1918"/>
      <c r="N131" s="1918"/>
      <c r="O131" s="1918"/>
      <c r="P131" s="1918"/>
      <c r="Q131" s="608"/>
      <c r="R131" s="608"/>
      <c r="S131" s="608"/>
      <c r="T131" s="840"/>
      <c r="U131" s="80"/>
      <c r="V131" s="80"/>
      <c r="W131" s="80"/>
      <c r="X131" s="80"/>
      <c r="Y131" s="80"/>
      <c r="Z131" s="80"/>
      <c r="AA131" s="80"/>
      <c r="AB131" s="80"/>
      <c r="AC131" s="80"/>
      <c r="AD131" s="80"/>
      <c r="AE131" s="80"/>
      <c r="AF131" s="1116"/>
      <c r="AG131" s="80"/>
      <c r="AH131" s="80"/>
      <c r="AI131" s="80"/>
      <c r="AJ131" s="80"/>
    </row>
    <row r="132" spans="1:36" ht="13.5" thickBot="1">
      <c r="A132" s="1919">
        <f>A130+1</f>
        <v>100</v>
      </c>
      <c r="B132" s="1907" t="s">
        <v>1347</v>
      </c>
      <c r="C132" s="2489"/>
      <c r="D132" s="2490"/>
      <c r="E132" s="2490"/>
      <c r="F132" s="2490"/>
      <c r="G132" s="2490"/>
      <c r="H132" s="2490"/>
      <c r="I132" s="2490"/>
      <c r="J132" s="2490"/>
      <c r="K132" s="2490"/>
      <c r="L132" s="2490"/>
      <c r="M132" s="2490"/>
      <c r="N132" s="2491"/>
      <c r="O132" s="1132">
        <f>SUMPRODUCT($C$4:$N$4,C132:N132)</f>
        <v>0</v>
      </c>
      <c r="P132" s="1323">
        <f>SUM(C132:N132)</f>
        <v>0</v>
      </c>
      <c r="Q132" s="608"/>
      <c r="R132" s="608"/>
      <c r="S132" s="608"/>
      <c r="T132" s="840"/>
      <c r="U132" s="80"/>
      <c r="V132" s="80"/>
      <c r="W132" s="80"/>
      <c r="X132" s="80"/>
      <c r="Y132" s="80"/>
      <c r="Z132" s="80"/>
      <c r="AA132" s="80"/>
      <c r="AB132" s="80"/>
      <c r="AC132" s="80"/>
      <c r="AD132" s="80"/>
      <c r="AE132" s="80"/>
      <c r="AF132" s="1116"/>
      <c r="AG132" s="80"/>
      <c r="AH132" s="80"/>
      <c r="AI132" s="80"/>
      <c r="AJ132" s="80"/>
    </row>
    <row r="133" spans="1:36" ht="13.5" thickBot="1">
      <c r="A133" s="1919">
        <f>A132+1</f>
        <v>101</v>
      </c>
      <c r="B133" s="1907" t="s">
        <v>1348</v>
      </c>
      <c r="C133" s="1908">
        <f t="shared" ref="C133:P133" si="62">C132-C130</f>
        <v>0</v>
      </c>
      <c r="D133" s="1908">
        <f t="shared" si="62"/>
        <v>0</v>
      </c>
      <c r="E133" s="1908">
        <f t="shared" si="62"/>
        <v>0</v>
      </c>
      <c r="F133" s="1908">
        <f t="shared" si="62"/>
        <v>0</v>
      </c>
      <c r="G133" s="1908">
        <f t="shared" si="62"/>
        <v>0</v>
      </c>
      <c r="H133" s="1908">
        <f t="shared" si="62"/>
        <v>0</v>
      </c>
      <c r="I133" s="1908">
        <f t="shared" si="62"/>
        <v>0</v>
      </c>
      <c r="J133" s="1908">
        <f t="shared" si="62"/>
        <v>0</v>
      </c>
      <c r="K133" s="1908">
        <f t="shared" si="62"/>
        <v>0</v>
      </c>
      <c r="L133" s="1908">
        <f t="shared" si="62"/>
        <v>0</v>
      </c>
      <c r="M133" s="1908">
        <f t="shared" si="62"/>
        <v>0</v>
      </c>
      <c r="N133" s="1908">
        <f t="shared" si="62"/>
        <v>0</v>
      </c>
      <c r="O133" s="1908">
        <f t="shared" si="62"/>
        <v>0</v>
      </c>
      <c r="P133" s="1909">
        <f t="shared" si="62"/>
        <v>0</v>
      </c>
      <c r="Q133" s="608"/>
      <c r="R133" s="608"/>
      <c r="S133" s="608"/>
      <c r="T133" s="840"/>
      <c r="U133" s="80"/>
      <c r="V133" s="80"/>
      <c r="W133" s="80"/>
      <c r="X133" s="80"/>
      <c r="Y133" s="80"/>
      <c r="Z133" s="80"/>
      <c r="AA133" s="80"/>
      <c r="AB133" s="80"/>
      <c r="AC133" s="80"/>
      <c r="AD133" s="80"/>
      <c r="AE133" s="80"/>
      <c r="AF133" s="1116"/>
      <c r="AG133" s="80"/>
      <c r="AH133" s="80"/>
      <c r="AI133" s="80"/>
      <c r="AJ133" s="80"/>
    </row>
    <row r="134" spans="1:36" ht="13">
      <c r="A134" s="2486"/>
      <c r="B134" s="1915"/>
      <c r="C134" s="1918"/>
      <c r="D134" s="1918"/>
      <c r="E134" s="1918"/>
      <c r="F134" s="1918"/>
      <c r="G134" s="1918"/>
      <c r="H134" s="1918"/>
      <c r="I134" s="1918"/>
      <c r="J134" s="1918"/>
      <c r="K134" s="1918"/>
      <c r="L134" s="1918"/>
      <c r="M134" s="1918"/>
      <c r="N134" s="1918"/>
      <c r="O134" s="1918"/>
      <c r="P134" s="1918"/>
      <c r="Q134" s="608"/>
      <c r="R134" s="608"/>
      <c r="S134" s="608"/>
      <c r="T134" s="840"/>
      <c r="U134" s="80"/>
      <c r="V134" s="80"/>
      <c r="W134" s="80"/>
      <c r="X134" s="80"/>
      <c r="Y134" s="80"/>
      <c r="Z134" s="80"/>
      <c r="AA134" s="80"/>
      <c r="AB134" s="80"/>
      <c r="AC134" s="80"/>
      <c r="AD134" s="80"/>
      <c r="AE134" s="80"/>
      <c r="AF134" s="1116"/>
      <c r="AG134" s="80"/>
      <c r="AH134" s="80"/>
      <c r="AI134" s="80"/>
      <c r="AJ134" s="80"/>
    </row>
    <row r="135" spans="1:36" ht="13">
      <c r="A135" s="2730" t="s">
        <v>1327</v>
      </c>
      <c r="B135" s="2723"/>
      <c r="C135" s="1918"/>
      <c r="D135" s="1918"/>
      <c r="E135" s="1918"/>
      <c r="F135" s="1918"/>
      <c r="G135" s="1918"/>
      <c r="H135" s="1918"/>
      <c r="I135" s="1918"/>
      <c r="J135" s="1918"/>
      <c r="K135" s="1918"/>
      <c r="L135" s="1918"/>
      <c r="M135" s="1918"/>
      <c r="N135" s="1918"/>
      <c r="O135" s="1918"/>
      <c r="P135" s="1918"/>
      <c r="Q135" s="608"/>
      <c r="R135" s="608"/>
      <c r="S135" s="608"/>
      <c r="T135" s="840"/>
      <c r="U135" s="80"/>
      <c r="V135" s="80"/>
      <c r="W135" s="80"/>
      <c r="X135" s="80"/>
      <c r="Y135" s="80"/>
      <c r="Z135" s="80"/>
      <c r="AA135" s="80"/>
      <c r="AB135" s="80"/>
      <c r="AC135" s="80"/>
      <c r="AD135" s="80"/>
      <c r="AE135" s="80"/>
      <c r="AF135" s="1116"/>
      <c r="AG135" s="80"/>
      <c r="AH135" s="80"/>
      <c r="AI135" s="80"/>
      <c r="AJ135" s="80"/>
    </row>
    <row r="136" spans="1:36" ht="13.5" thickBot="1">
      <c r="A136" s="1308"/>
      <c r="B136" s="2723"/>
      <c r="C136" s="1918"/>
      <c r="D136" s="1918"/>
      <c r="E136" s="1918"/>
      <c r="F136" s="1918"/>
      <c r="G136" s="1918"/>
      <c r="H136" s="1918"/>
      <c r="I136" s="1918"/>
      <c r="J136" s="1918"/>
      <c r="K136" s="1918"/>
      <c r="L136" s="1918"/>
      <c r="M136" s="1918"/>
      <c r="N136" s="1918"/>
      <c r="O136" s="1918"/>
      <c r="P136" s="1918"/>
      <c r="Q136" s="608"/>
      <c r="R136" s="608"/>
      <c r="S136" s="608"/>
      <c r="T136" s="840"/>
      <c r="U136" s="80"/>
      <c r="V136" s="80"/>
      <c r="W136" s="80"/>
      <c r="X136" s="80"/>
      <c r="Y136" s="80"/>
      <c r="Z136" s="80"/>
      <c r="AA136" s="80"/>
      <c r="AB136" s="80"/>
      <c r="AC136" s="80"/>
      <c r="AD136" s="80"/>
      <c r="AE136" s="80"/>
      <c r="AF136" s="1116"/>
      <c r="AG136" s="80"/>
      <c r="AH136" s="80"/>
      <c r="AI136" s="80"/>
      <c r="AJ136" s="80"/>
    </row>
    <row r="137" spans="1:36" ht="17.399999999999999" customHeight="1">
      <c r="A137" s="2724">
        <f>A133+1</f>
        <v>102</v>
      </c>
      <c r="B137" s="2725" t="s">
        <v>1356</v>
      </c>
      <c r="C137" s="2489"/>
      <c r="D137" s="2490"/>
      <c r="E137" s="2490"/>
      <c r="F137" s="2490"/>
      <c r="G137" s="2490"/>
      <c r="H137" s="2490"/>
      <c r="I137" s="2490"/>
      <c r="J137" s="2490"/>
      <c r="K137" s="2490"/>
      <c r="L137" s="2490"/>
      <c r="M137" s="2490"/>
      <c r="N137" s="2491"/>
      <c r="O137" s="1132">
        <f t="shared" ref="O137:O140" si="63">SUMPRODUCT($C$4:$N$4,C137:N137)</f>
        <v>0</v>
      </c>
      <c r="P137" s="1323">
        <f t="shared" ref="P137:P140" si="64">SUM(C137:N137)</f>
        <v>0</v>
      </c>
      <c r="Q137" s="608"/>
      <c r="R137" s="608"/>
      <c r="S137" s="608"/>
      <c r="T137" s="840"/>
      <c r="U137" s="80"/>
      <c r="V137" s="80"/>
      <c r="W137" s="80"/>
      <c r="X137" s="80"/>
      <c r="Y137" s="80"/>
      <c r="Z137" s="80"/>
      <c r="AA137" s="80"/>
      <c r="AB137" s="80"/>
      <c r="AC137" s="80"/>
      <c r="AD137" s="80"/>
      <c r="AE137" s="80"/>
      <c r="AF137" s="1116"/>
      <c r="AG137" s="80"/>
      <c r="AH137" s="80"/>
      <c r="AI137" s="80"/>
      <c r="AJ137" s="80"/>
    </row>
    <row r="138" spans="1:36" ht="17.399999999999999" customHeight="1">
      <c r="A138" s="2724">
        <f t="shared" ref="A138:A141" si="65">A137+1</f>
        <v>103</v>
      </c>
      <c r="B138" s="2727" t="s">
        <v>1357</v>
      </c>
      <c r="C138" s="1331"/>
      <c r="D138" s="1326"/>
      <c r="E138" s="1326"/>
      <c r="F138" s="1326"/>
      <c r="G138" s="1326"/>
      <c r="H138" s="1326"/>
      <c r="I138" s="1326"/>
      <c r="J138" s="1326"/>
      <c r="K138" s="1326"/>
      <c r="L138" s="1326"/>
      <c r="M138" s="1326"/>
      <c r="N138" s="1335"/>
      <c r="O138" s="1324">
        <f t="shared" si="63"/>
        <v>0</v>
      </c>
      <c r="P138" s="1325">
        <f t="shared" si="64"/>
        <v>0</v>
      </c>
      <c r="Q138" s="608"/>
      <c r="R138" s="608"/>
      <c r="S138" s="608"/>
      <c r="T138" s="840"/>
      <c r="U138" s="80"/>
      <c r="V138" s="80"/>
      <c r="W138" s="80"/>
      <c r="X138" s="80"/>
      <c r="Y138" s="80"/>
      <c r="Z138" s="80"/>
      <c r="AA138" s="80"/>
      <c r="AB138" s="80"/>
      <c r="AC138" s="80"/>
      <c r="AD138" s="80"/>
      <c r="AE138" s="80"/>
      <c r="AF138" s="1116"/>
      <c r="AG138" s="80"/>
      <c r="AH138" s="80"/>
      <c r="AI138" s="80"/>
      <c r="AJ138" s="80"/>
    </row>
    <row r="139" spans="1:36" ht="17.399999999999999" customHeight="1">
      <c r="A139" s="2724">
        <f t="shared" si="65"/>
        <v>104</v>
      </c>
      <c r="B139" s="2727" t="s">
        <v>1328</v>
      </c>
      <c r="C139" s="1331"/>
      <c r="D139" s="1326"/>
      <c r="E139" s="1326"/>
      <c r="F139" s="1326"/>
      <c r="G139" s="1326"/>
      <c r="H139" s="1326"/>
      <c r="I139" s="1326"/>
      <c r="J139" s="1326"/>
      <c r="K139" s="1326"/>
      <c r="L139" s="1326"/>
      <c r="M139" s="1326"/>
      <c r="N139" s="1335"/>
      <c r="O139" s="1324">
        <f t="shared" si="63"/>
        <v>0</v>
      </c>
      <c r="P139" s="1325">
        <f t="shared" si="64"/>
        <v>0</v>
      </c>
      <c r="Q139" s="608"/>
      <c r="R139" s="608"/>
      <c r="S139" s="608"/>
      <c r="T139" s="840"/>
      <c r="U139" s="80"/>
      <c r="V139" s="80"/>
      <c r="W139" s="80"/>
      <c r="X139" s="80"/>
      <c r="Y139" s="80"/>
      <c r="Z139" s="80"/>
      <c r="AA139" s="80"/>
      <c r="AB139" s="80"/>
      <c r="AC139" s="80"/>
      <c r="AD139" s="80"/>
      <c r="AE139" s="80"/>
      <c r="AF139" s="1116"/>
      <c r="AG139" s="80"/>
      <c r="AH139" s="80"/>
      <c r="AI139" s="80"/>
      <c r="AJ139" s="80"/>
    </row>
    <row r="140" spans="1:36" ht="17.399999999999999" customHeight="1">
      <c r="A140" s="2724">
        <f t="shared" si="65"/>
        <v>105</v>
      </c>
      <c r="B140" s="2727" t="s">
        <v>1320</v>
      </c>
      <c r="C140" s="2731">
        <f>C138+C139</f>
        <v>0</v>
      </c>
      <c r="D140" s="2731">
        <f t="shared" ref="D140" si="66">D138+D139</f>
        <v>0</v>
      </c>
      <c r="E140" s="2731">
        <f t="shared" ref="E140" si="67">E138+E139</f>
        <v>0</v>
      </c>
      <c r="F140" s="2731">
        <f t="shared" ref="F140" si="68">F138+F139</f>
        <v>0</v>
      </c>
      <c r="G140" s="2731">
        <f t="shared" ref="G140" si="69">G138+G139</f>
        <v>0</v>
      </c>
      <c r="H140" s="2731">
        <f t="shared" ref="H140" si="70">H138+H139</f>
        <v>0</v>
      </c>
      <c r="I140" s="2731">
        <f t="shared" ref="I140" si="71">I138+I139</f>
        <v>0</v>
      </c>
      <c r="J140" s="2731">
        <f t="shared" ref="J140" si="72">J138+J139</f>
        <v>0</v>
      </c>
      <c r="K140" s="2731">
        <f t="shared" ref="K140" si="73">K138+K139</f>
        <v>0</v>
      </c>
      <c r="L140" s="2731">
        <f t="shared" ref="L140" si="74">L138+L139</f>
        <v>0</v>
      </c>
      <c r="M140" s="2731">
        <f t="shared" ref="M140" si="75">M138+M139</f>
        <v>0</v>
      </c>
      <c r="N140" s="2766">
        <f t="shared" ref="N140" si="76">N138+N139</f>
        <v>0</v>
      </c>
      <c r="O140" s="1339">
        <f t="shared" si="63"/>
        <v>0</v>
      </c>
      <c r="P140" s="1340">
        <f t="shared" si="64"/>
        <v>0</v>
      </c>
      <c r="Q140" s="608"/>
      <c r="R140" s="608"/>
      <c r="S140" s="608"/>
      <c r="T140" s="840"/>
      <c r="U140" s="80"/>
      <c r="V140" s="80"/>
      <c r="W140" s="80"/>
      <c r="X140" s="80"/>
      <c r="Y140" s="80"/>
      <c r="Z140" s="80"/>
      <c r="AA140" s="80"/>
      <c r="AB140" s="80"/>
      <c r="AC140" s="80"/>
      <c r="AD140" s="80"/>
      <c r="AE140" s="80"/>
      <c r="AF140" s="1116"/>
      <c r="AG140" s="80"/>
      <c r="AH140" s="80"/>
      <c r="AI140" s="80"/>
      <c r="AJ140" s="80"/>
    </row>
    <row r="141" spans="1:36" ht="17.399999999999999" customHeight="1" thickBot="1">
      <c r="A141" s="2724">
        <f t="shared" si="65"/>
        <v>106</v>
      </c>
      <c r="B141" s="2729" t="s">
        <v>1322</v>
      </c>
      <c r="C141" s="2735">
        <f>C140-C137</f>
        <v>0</v>
      </c>
      <c r="D141" s="2735">
        <f t="shared" ref="D141" si="77">D140-D137</f>
        <v>0</v>
      </c>
      <c r="E141" s="2735">
        <f t="shared" ref="E141" si="78">E140-E137</f>
        <v>0</v>
      </c>
      <c r="F141" s="2735">
        <f t="shared" ref="F141" si="79">F140-F137</f>
        <v>0</v>
      </c>
      <c r="G141" s="2735">
        <f t="shared" ref="G141" si="80">G140-G137</f>
        <v>0</v>
      </c>
      <c r="H141" s="2735">
        <f t="shared" ref="H141" si="81">H140-H137</f>
        <v>0</v>
      </c>
      <c r="I141" s="2735">
        <f t="shared" ref="I141" si="82">I140-I137</f>
        <v>0</v>
      </c>
      <c r="J141" s="2735">
        <f t="shared" ref="J141" si="83">J140-J137</f>
        <v>0</v>
      </c>
      <c r="K141" s="2735">
        <f t="shared" ref="K141" si="84">K140-K137</f>
        <v>0</v>
      </c>
      <c r="L141" s="2735">
        <f t="shared" ref="L141" si="85">L140-L137</f>
        <v>0</v>
      </c>
      <c r="M141" s="2735">
        <f t="shared" ref="M141" si="86">M140-M137</f>
        <v>0</v>
      </c>
      <c r="N141" s="2765">
        <f t="shared" ref="N141:P141" si="87">N140-N137</f>
        <v>0</v>
      </c>
      <c r="O141" s="2759">
        <f t="shared" si="87"/>
        <v>0</v>
      </c>
      <c r="P141" s="2767">
        <f t="shared" si="87"/>
        <v>0</v>
      </c>
      <c r="Q141" s="608"/>
      <c r="R141" s="608"/>
      <c r="S141" s="608"/>
      <c r="T141" s="840"/>
      <c r="U141" s="80"/>
      <c r="V141" s="80"/>
      <c r="W141" s="80"/>
      <c r="X141" s="80"/>
      <c r="Y141" s="80"/>
      <c r="Z141" s="80"/>
      <c r="AA141" s="80"/>
      <c r="AB141" s="80"/>
      <c r="AC141" s="80"/>
      <c r="AD141" s="80"/>
      <c r="AE141" s="80"/>
      <c r="AF141" s="1116"/>
      <c r="AG141" s="80"/>
      <c r="AH141" s="80"/>
      <c r="AI141" s="80"/>
      <c r="AJ141" s="80"/>
    </row>
    <row r="142" spans="1:36" ht="17.399999999999999" customHeight="1" thickBot="1">
      <c r="A142" s="2486"/>
      <c r="B142" s="2723"/>
      <c r="C142" s="1918"/>
      <c r="D142" s="1918"/>
      <c r="E142" s="1918"/>
      <c r="F142" s="1918"/>
      <c r="G142" s="1918"/>
      <c r="H142" s="1918"/>
      <c r="I142" s="1918"/>
      <c r="J142" s="1918"/>
      <c r="K142" s="1918"/>
      <c r="L142" s="1918"/>
      <c r="M142" s="1918"/>
      <c r="N142" s="1918"/>
      <c r="O142" s="1918"/>
      <c r="P142" s="1918"/>
      <c r="Q142" s="608"/>
      <c r="R142" s="608"/>
      <c r="S142" s="608"/>
      <c r="T142" s="840"/>
      <c r="U142" s="80"/>
      <c r="V142" s="80"/>
      <c r="W142" s="80"/>
      <c r="X142" s="80"/>
      <c r="Y142" s="80"/>
      <c r="Z142" s="80"/>
      <c r="AA142" s="80"/>
      <c r="AB142" s="80"/>
      <c r="AC142" s="80"/>
      <c r="AD142" s="80"/>
      <c r="AE142" s="80"/>
      <c r="AF142" s="1116"/>
      <c r="AG142" s="80"/>
      <c r="AH142" s="80"/>
      <c r="AI142" s="80"/>
      <c r="AJ142" s="80"/>
    </row>
    <row r="143" spans="1:36" ht="17.399999999999999" customHeight="1" thickBot="1">
      <c r="A143" s="1353">
        <f>A141+1</f>
        <v>107</v>
      </c>
      <c r="B143" s="1865" t="s">
        <v>1349</v>
      </c>
      <c r="C143" s="1341">
        <f>C140-C130</f>
        <v>0</v>
      </c>
      <c r="D143" s="1341">
        <f t="shared" ref="D143:P143" si="88">D140-D130</f>
        <v>0</v>
      </c>
      <c r="E143" s="1341">
        <f t="shared" si="88"/>
        <v>0</v>
      </c>
      <c r="F143" s="1341">
        <f t="shared" si="88"/>
        <v>0</v>
      </c>
      <c r="G143" s="1341">
        <f t="shared" si="88"/>
        <v>0</v>
      </c>
      <c r="H143" s="1341">
        <f t="shared" si="88"/>
        <v>0</v>
      </c>
      <c r="I143" s="1341">
        <f t="shared" si="88"/>
        <v>0</v>
      </c>
      <c r="J143" s="1341">
        <f t="shared" si="88"/>
        <v>0</v>
      </c>
      <c r="K143" s="1341">
        <f t="shared" si="88"/>
        <v>0</v>
      </c>
      <c r="L143" s="1341">
        <f t="shared" si="88"/>
        <v>0</v>
      </c>
      <c r="M143" s="1341">
        <f t="shared" si="88"/>
        <v>0</v>
      </c>
      <c r="N143" s="1341">
        <f t="shared" si="88"/>
        <v>0</v>
      </c>
      <c r="O143" s="1341">
        <f t="shared" si="88"/>
        <v>0</v>
      </c>
      <c r="P143" s="1341">
        <f t="shared" si="88"/>
        <v>0</v>
      </c>
      <c r="Q143" s="608"/>
      <c r="R143" s="608"/>
      <c r="S143" s="608"/>
      <c r="T143" s="840"/>
      <c r="U143" s="80"/>
      <c r="V143" s="80"/>
      <c r="W143" s="80"/>
      <c r="X143" s="80"/>
      <c r="Y143" s="80"/>
      <c r="Z143" s="80"/>
      <c r="AA143" s="80"/>
      <c r="AB143" s="80"/>
      <c r="AC143" s="80"/>
      <c r="AD143" s="80"/>
      <c r="AE143" s="80"/>
      <c r="AF143" s="1116"/>
      <c r="AG143" s="80"/>
      <c r="AH143" s="80"/>
      <c r="AI143" s="80"/>
      <c r="AJ143" s="80"/>
    </row>
    <row r="144" spans="1:36" ht="13">
      <c r="A144" s="2486"/>
      <c r="B144" s="1915"/>
      <c r="C144" s="1918"/>
      <c r="D144" s="1918"/>
      <c r="E144" s="1918"/>
      <c r="F144" s="1918"/>
      <c r="G144" s="1918"/>
      <c r="H144" s="1918"/>
      <c r="I144" s="1918"/>
      <c r="J144" s="1918"/>
      <c r="K144" s="1918"/>
      <c r="L144" s="1918"/>
      <c r="M144" s="1918"/>
      <c r="N144" s="1918"/>
      <c r="O144" s="1918"/>
      <c r="P144" s="1918"/>
      <c r="Q144" s="608"/>
      <c r="R144" s="608"/>
      <c r="S144" s="608"/>
      <c r="T144" s="840"/>
      <c r="U144" s="80"/>
      <c r="V144" s="80"/>
      <c r="W144" s="80"/>
      <c r="X144" s="80"/>
      <c r="Y144" s="80"/>
      <c r="Z144" s="80"/>
      <c r="AA144" s="80"/>
      <c r="AB144" s="80"/>
      <c r="AC144" s="80"/>
      <c r="AD144" s="80"/>
      <c r="AE144" s="80"/>
      <c r="AF144" s="1116"/>
      <c r="AG144" s="80"/>
      <c r="AH144" s="80"/>
      <c r="AI144" s="80"/>
      <c r="AJ144" s="80"/>
    </row>
    <row r="145" spans="1:36" ht="13">
      <c r="A145" s="2730" t="s">
        <v>1330</v>
      </c>
      <c r="B145" s="1915"/>
      <c r="C145" s="1918"/>
      <c r="D145" s="1918"/>
      <c r="E145" s="1918"/>
      <c r="F145" s="1918"/>
      <c r="G145" s="1918"/>
      <c r="H145" s="1918"/>
      <c r="I145" s="1918"/>
      <c r="J145" s="1918"/>
      <c r="K145" s="1918"/>
      <c r="L145" s="1918"/>
      <c r="M145" s="1918"/>
      <c r="N145" s="1918"/>
      <c r="O145" s="1918"/>
      <c r="P145" s="1918"/>
      <c r="Q145" s="608"/>
      <c r="R145" s="608"/>
      <c r="S145" s="608"/>
      <c r="T145" s="840"/>
      <c r="U145" s="80"/>
      <c r="V145" s="80"/>
      <c r="W145" s="80"/>
      <c r="X145" s="80"/>
      <c r="Y145" s="80"/>
      <c r="Z145" s="80"/>
      <c r="AA145" s="80"/>
      <c r="AB145" s="80"/>
      <c r="AC145" s="80"/>
      <c r="AD145" s="80"/>
      <c r="AE145" s="80"/>
      <c r="AF145" s="1116"/>
      <c r="AG145" s="80"/>
      <c r="AH145" s="80"/>
      <c r="AI145" s="80"/>
      <c r="AJ145" s="80"/>
    </row>
    <row r="146" spans="1:36" ht="13.5" thickBot="1">
      <c r="A146" s="2486"/>
      <c r="B146" s="1915"/>
      <c r="C146" s="1918"/>
      <c r="D146" s="1918"/>
      <c r="E146" s="1918"/>
      <c r="F146" s="1918"/>
      <c r="G146" s="1918"/>
      <c r="H146" s="1918"/>
      <c r="I146" s="1918"/>
      <c r="J146" s="1918"/>
      <c r="K146" s="1918"/>
      <c r="L146" s="1918"/>
      <c r="M146" s="1918"/>
      <c r="N146" s="1918"/>
      <c r="O146" s="1918"/>
      <c r="P146" s="1918"/>
      <c r="Q146" s="608"/>
      <c r="R146" s="608"/>
      <c r="S146" s="608"/>
      <c r="T146" s="840"/>
      <c r="U146" s="80"/>
      <c r="V146" s="80"/>
      <c r="W146" s="80"/>
      <c r="X146" s="80"/>
      <c r="Y146" s="80"/>
      <c r="Z146" s="80"/>
      <c r="AA146" s="80"/>
      <c r="AB146" s="80"/>
      <c r="AC146" s="80"/>
      <c r="AD146" s="80"/>
      <c r="AE146" s="80"/>
      <c r="AF146" s="1116"/>
      <c r="AG146" s="80"/>
      <c r="AH146" s="80"/>
      <c r="AI146" s="80"/>
      <c r="AJ146" s="80"/>
    </row>
    <row r="147" spans="1:36" ht="17.399999999999999" customHeight="1">
      <c r="A147" s="2737">
        <f>A143+1</f>
        <v>108</v>
      </c>
      <c r="B147" s="2725" t="s">
        <v>1331</v>
      </c>
      <c r="C147" s="2738">
        <f>C36+C79+C132</f>
        <v>984.98719000000006</v>
      </c>
      <c r="D147" s="2738">
        <f t="shared" ref="D147:N147" si="89">D36+D79+D132</f>
        <v>1046.9339092508944</v>
      </c>
      <c r="E147" s="2738">
        <f t="shared" si="89"/>
        <v>1570.2463429260856</v>
      </c>
      <c r="F147" s="2738">
        <f t="shared" si="89"/>
        <v>1144.7442342508946</v>
      </c>
      <c r="G147" s="2738">
        <f t="shared" si="89"/>
        <v>1135.2442342508946</v>
      </c>
      <c r="H147" s="2738">
        <f t="shared" si="89"/>
        <v>1651.787351259419</v>
      </c>
      <c r="I147" s="2738">
        <f t="shared" si="89"/>
        <v>1438.7479469858174</v>
      </c>
      <c r="J147" s="2738">
        <f t="shared" si="89"/>
        <v>1383.9683758416022</v>
      </c>
      <c r="K147" s="2738">
        <f t="shared" si="89"/>
        <v>1908.3053386524839</v>
      </c>
      <c r="L147" s="2738">
        <f t="shared" si="89"/>
        <v>1416.7479469858174</v>
      </c>
      <c r="M147" s="2738">
        <f t="shared" si="89"/>
        <v>1364.7229546973872</v>
      </c>
      <c r="N147" s="2738">
        <f t="shared" si="89"/>
        <v>1883.5641758747061</v>
      </c>
      <c r="O147" s="1132">
        <f t="shared" ref="O147:O151" si="90">SUMPRODUCT($C$4:$N$4,C147:N147)</f>
        <v>984.98719000000006</v>
      </c>
      <c r="P147" s="1323">
        <f t="shared" ref="P147:P151" si="91">SUM(C147:N147)</f>
        <v>16930.000000976004</v>
      </c>
      <c r="Q147" s="608"/>
      <c r="R147" s="608"/>
      <c r="S147" s="608"/>
      <c r="T147" s="840"/>
      <c r="U147" s="80"/>
      <c r="V147" s="80"/>
      <c r="W147" s="80"/>
      <c r="X147" s="80"/>
      <c r="Y147" s="80"/>
      <c r="Z147" s="80"/>
      <c r="AA147" s="80"/>
      <c r="AB147" s="80"/>
      <c r="AC147" s="80"/>
      <c r="AD147" s="80"/>
      <c r="AE147" s="80"/>
      <c r="AF147" s="1116"/>
      <c r="AG147" s="80"/>
      <c r="AH147" s="80"/>
      <c r="AI147" s="80"/>
      <c r="AJ147" s="80"/>
    </row>
    <row r="148" spans="1:36" ht="17.399999999999999" customHeight="1">
      <c r="A148" s="2739">
        <f t="shared" ref="A148:A159" si="92">A147+1</f>
        <v>109</v>
      </c>
      <c r="B148" s="2727" t="s">
        <v>1332</v>
      </c>
      <c r="C148" s="2740">
        <f>C34+C77+C130</f>
        <v>984.98719000000006</v>
      </c>
      <c r="D148" s="2740">
        <f t="shared" ref="D148:N148" si="93">D34+D77+D130</f>
        <v>1046.9339092508944</v>
      </c>
      <c r="E148" s="2740">
        <f t="shared" si="93"/>
        <v>1570.2463429260858</v>
      </c>
      <c r="F148" s="2740">
        <f t="shared" si="93"/>
        <v>1144.7442342508946</v>
      </c>
      <c r="G148" s="2740">
        <f t="shared" si="93"/>
        <v>1135.2442342508946</v>
      </c>
      <c r="H148" s="2740">
        <f t="shared" si="93"/>
        <v>1651.7873512594192</v>
      </c>
      <c r="I148" s="2740">
        <f t="shared" si="93"/>
        <v>1438.7479469858172</v>
      </c>
      <c r="J148" s="2740">
        <f t="shared" si="93"/>
        <v>1383.9683758416022</v>
      </c>
      <c r="K148" s="2740">
        <f t="shared" si="93"/>
        <v>1908.3053386524839</v>
      </c>
      <c r="L148" s="2740">
        <f t="shared" si="93"/>
        <v>1416.7479469858172</v>
      </c>
      <c r="M148" s="2740">
        <f t="shared" si="93"/>
        <v>1364.7229546973872</v>
      </c>
      <c r="N148" s="2740">
        <f t="shared" si="93"/>
        <v>1883.5641758747061</v>
      </c>
      <c r="O148" s="1324">
        <f t="shared" si="90"/>
        <v>984.98719000000006</v>
      </c>
      <c r="P148" s="1325">
        <f t="shared" si="91"/>
        <v>16930.000000976004</v>
      </c>
      <c r="Q148" s="608"/>
      <c r="R148" s="608"/>
      <c r="S148" s="608"/>
      <c r="T148" s="840"/>
      <c r="U148" s="80"/>
      <c r="V148" s="80"/>
      <c r="W148" s="80"/>
      <c r="X148" s="80"/>
      <c r="Y148" s="80"/>
      <c r="Z148" s="80"/>
      <c r="AA148" s="80"/>
      <c r="AB148" s="80"/>
      <c r="AC148" s="80"/>
      <c r="AD148" s="80"/>
      <c r="AE148" s="80"/>
      <c r="AF148" s="1116"/>
      <c r="AG148" s="80"/>
      <c r="AH148" s="80"/>
      <c r="AI148" s="80"/>
      <c r="AJ148" s="80"/>
    </row>
    <row r="149" spans="1:36" ht="17.399999999999999" customHeight="1" thickBot="1">
      <c r="A149" s="2741">
        <f t="shared" si="92"/>
        <v>110</v>
      </c>
      <c r="B149" s="2729" t="s">
        <v>1333</v>
      </c>
      <c r="C149" s="2742">
        <f>C147-C148</f>
        <v>0</v>
      </c>
      <c r="D149" s="2742">
        <f t="shared" ref="D149:N149" si="94">D147-D148</f>
        <v>0</v>
      </c>
      <c r="E149" s="2742">
        <f t="shared" si="94"/>
        <v>0</v>
      </c>
      <c r="F149" s="2742">
        <f t="shared" si="94"/>
        <v>0</v>
      </c>
      <c r="G149" s="2742">
        <f t="shared" si="94"/>
        <v>0</v>
      </c>
      <c r="H149" s="2742">
        <f t="shared" si="94"/>
        <v>0</v>
      </c>
      <c r="I149" s="2742">
        <f t="shared" si="94"/>
        <v>0</v>
      </c>
      <c r="J149" s="2742">
        <f t="shared" si="94"/>
        <v>0</v>
      </c>
      <c r="K149" s="2742">
        <f t="shared" si="94"/>
        <v>0</v>
      </c>
      <c r="L149" s="2742">
        <f t="shared" si="94"/>
        <v>0</v>
      </c>
      <c r="M149" s="2742">
        <f t="shared" si="94"/>
        <v>0</v>
      </c>
      <c r="N149" s="2742">
        <f t="shared" si="94"/>
        <v>0</v>
      </c>
      <c r="O149" s="1367">
        <f t="shared" si="90"/>
        <v>0</v>
      </c>
      <c r="P149" s="1368">
        <f t="shared" si="91"/>
        <v>0</v>
      </c>
      <c r="Q149" s="608"/>
      <c r="R149" s="608"/>
      <c r="S149" s="608"/>
      <c r="T149" s="840"/>
      <c r="U149" s="80"/>
      <c r="V149" s="80"/>
      <c r="W149" s="80"/>
      <c r="X149" s="80"/>
      <c r="Y149" s="80"/>
      <c r="Z149" s="80"/>
      <c r="AA149" s="80"/>
      <c r="AB149" s="80"/>
      <c r="AC149" s="80"/>
      <c r="AD149" s="80"/>
      <c r="AE149" s="80"/>
      <c r="AF149" s="1116"/>
      <c r="AG149" s="80"/>
      <c r="AH149" s="80"/>
      <c r="AI149" s="80"/>
      <c r="AJ149" s="80"/>
    </row>
    <row r="150" spans="1:36" ht="17.399999999999999" customHeight="1" thickBot="1">
      <c r="A150" s="1914"/>
      <c r="B150" s="1915"/>
      <c r="C150" s="2743"/>
      <c r="D150" s="2743"/>
      <c r="E150" s="2743"/>
      <c r="F150" s="2743"/>
      <c r="G150" s="2743"/>
      <c r="H150" s="2743"/>
      <c r="I150" s="2743"/>
      <c r="J150" s="2743"/>
      <c r="K150" s="2743"/>
      <c r="L150" s="2743"/>
      <c r="M150" s="2743"/>
      <c r="N150" s="2743"/>
      <c r="O150" s="1917"/>
      <c r="P150" s="1917"/>
      <c r="Q150" s="608"/>
      <c r="R150" s="608"/>
      <c r="S150" s="608"/>
      <c r="T150" s="840"/>
      <c r="U150" s="80"/>
      <c r="V150" s="80"/>
      <c r="W150" s="80"/>
      <c r="X150" s="80"/>
      <c r="Y150" s="80"/>
      <c r="Z150" s="80"/>
      <c r="AA150" s="80"/>
      <c r="AB150" s="80"/>
      <c r="AC150" s="80"/>
      <c r="AD150" s="80"/>
      <c r="AE150" s="80"/>
      <c r="AF150" s="1116"/>
      <c r="AG150" s="80"/>
      <c r="AH150" s="80"/>
      <c r="AI150" s="80"/>
      <c r="AJ150" s="80"/>
    </row>
    <row r="151" spans="1:36" ht="17.399999999999999" customHeight="1">
      <c r="A151" s="1910">
        <f>A149+1</f>
        <v>111</v>
      </c>
      <c r="B151" s="2744" t="s">
        <v>1358</v>
      </c>
      <c r="C151" s="2745">
        <f>C41+C84+C137</f>
        <v>984.98699999999997</v>
      </c>
      <c r="D151" s="2746">
        <f t="shared" ref="D151:N151" si="95">D41+D84+D137</f>
        <v>1046.9339092508944</v>
      </c>
      <c r="E151" s="2746">
        <f t="shared" si="95"/>
        <v>1570.2463429260856</v>
      </c>
      <c r="F151" s="2746">
        <f t="shared" si="95"/>
        <v>1144.7442342508946</v>
      </c>
      <c r="G151" s="2746">
        <f t="shared" si="95"/>
        <v>1135.2442342508946</v>
      </c>
      <c r="H151" s="2746">
        <f t="shared" si="95"/>
        <v>1651.787351259419</v>
      </c>
      <c r="I151" s="2746">
        <f t="shared" si="95"/>
        <v>1438.7479469858174</v>
      </c>
      <c r="J151" s="2746">
        <f t="shared" si="95"/>
        <v>1383.9683758416022</v>
      </c>
      <c r="K151" s="2746">
        <f t="shared" si="95"/>
        <v>1908.3053386524839</v>
      </c>
      <c r="L151" s="2746">
        <f t="shared" si="95"/>
        <v>1416.7479469858174</v>
      </c>
      <c r="M151" s="2746">
        <f t="shared" si="95"/>
        <v>1364.7229546973872</v>
      </c>
      <c r="N151" s="2747">
        <f t="shared" si="95"/>
        <v>1883.5641758747061</v>
      </c>
      <c r="O151" s="1132">
        <f t="shared" si="90"/>
        <v>984.98699999999997</v>
      </c>
      <c r="P151" s="1323">
        <f t="shared" si="91"/>
        <v>16929.999810976002</v>
      </c>
      <c r="Q151" s="608"/>
      <c r="R151" s="608"/>
      <c r="S151" s="608"/>
      <c r="T151" s="840"/>
      <c r="U151" s="80"/>
      <c r="V151" s="80"/>
      <c r="W151" s="80"/>
      <c r="X151" s="80"/>
      <c r="Y151" s="80"/>
      <c r="Z151" s="80"/>
      <c r="AA151" s="80"/>
      <c r="AB151" s="80"/>
      <c r="AC151" s="80"/>
      <c r="AD151" s="80"/>
      <c r="AE151" s="80"/>
      <c r="AF151" s="1116"/>
      <c r="AG151" s="80"/>
      <c r="AH151" s="80"/>
      <c r="AI151" s="80"/>
      <c r="AJ151" s="80"/>
    </row>
    <row r="152" spans="1:36" ht="17.399999999999999" customHeight="1">
      <c r="A152" s="2748">
        <f t="shared" si="92"/>
        <v>112</v>
      </c>
      <c r="B152" s="2749" t="s">
        <v>1337</v>
      </c>
      <c r="C152" s="2750">
        <f>C42+C85+C138</f>
        <v>984.98699999999997</v>
      </c>
      <c r="D152" s="2751">
        <f t="shared" ref="D152:N152" si="96">D42+D85+D138</f>
        <v>1046.9339092508944</v>
      </c>
      <c r="E152" s="2751">
        <f t="shared" si="96"/>
        <v>1570.2463429260856</v>
      </c>
      <c r="F152" s="2751">
        <f t="shared" si="96"/>
        <v>1144.7442342508946</v>
      </c>
      <c r="G152" s="2751">
        <f t="shared" si="96"/>
        <v>1135.2442342508946</v>
      </c>
      <c r="H152" s="2751">
        <f t="shared" si="96"/>
        <v>1651.787351259419</v>
      </c>
      <c r="I152" s="2751">
        <f t="shared" si="96"/>
        <v>1438.7479469858174</v>
      </c>
      <c r="J152" s="2751">
        <f t="shared" si="96"/>
        <v>1383.9683758416022</v>
      </c>
      <c r="K152" s="2751">
        <f t="shared" si="96"/>
        <v>1908.3053386524839</v>
      </c>
      <c r="L152" s="2751">
        <f t="shared" si="96"/>
        <v>1416.7479469858174</v>
      </c>
      <c r="M152" s="2751">
        <f t="shared" si="96"/>
        <v>1364.7229546973872</v>
      </c>
      <c r="N152" s="2752">
        <f t="shared" si="96"/>
        <v>1883.5641758747061</v>
      </c>
      <c r="O152" s="1324">
        <f t="shared" ref="O152:O154" si="97">SUMPRODUCT($C$4:$N$4,C152:N152)</f>
        <v>984.98699999999997</v>
      </c>
      <c r="P152" s="1325">
        <f t="shared" ref="P152:P154" si="98">SUM(C152:N152)</f>
        <v>16929.999810976002</v>
      </c>
      <c r="Q152" s="608"/>
      <c r="R152" s="608"/>
      <c r="S152" s="608"/>
      <c r="T152" s="840"/>
      <c r="U152" s="80"/>
      <c r="V152" s="80"/>
      <c r="W152" s="80"/>
      <c r="X152" s="80"/>
      <c r="Y152" s="80"/>
      <c r="Z152" s="80"/>
      <c r="AA152" s="80"/>
      <c r="AB152" s="80"/>
      <c r="AC152" s="80"/>
      <c r="AD152" s="80"/>
      <c r="AE152" s="80"/>
      <c r="AF152" s="1116"/>
      <c r="AG152" s="80"/>
      <c r="AH152" s="80"/>
      <c r="AI152" s="80"/>
      <c r="AJ152" s="80"/>
    </row>
    <row r="153" spans="1:36" ht="17.399999999999999" customHeight="1">
      <c r="A153" s="2748">
        <f t="shared" si="92"/>
        <v>113</v>
      </c>
      <c r="B153" s="2749" t="s">
        <v>1335</v>
      </c>
      <c r="C153" s="2750">
        <f>C86+C139+C43</f>
        <v>0</v>
      </c>
      <c r="D153" s="2751">
        <f t="shared" ref="D153:N153" si="99">D86+D139+D43</f>
        <v>0</v>
      </c>
      <c r="E153" s="2751">
        <f t="shared" si="99"/>
        <v>0</v>
      </c>
      <c r="F153" s="2751">
        <f t="shared" si="99"/>
        <v>0</v>
      </c>
      <c r="G153" s="2751">
        <f t="shared" si="99"/>
        <v>0</v>
      </c>
      <c r="H153" s="2751">
        <f t="shared" si="99"/>
        <v>0</v>
      </c>
      <c r="I153" s="2751">
        <f t="shared" si="99"/>
        <v>0</v>
      </c>
      <c r="J153" s="2751">
        <f t="shared" si="99"/>
        <v>0</v>
      </c>
      <c r="K153" s="2751">
        <f t="shared" si="99"/>
        <v>0</v>
      </c>
      <c r="L153" s="2751">
        <f t="shared" si="99"/>
        <v>0</v>
      </c>
      <c r="M153" s="2751">
        <f t="shared" si="99"/>
        <v>0</v>
      </c>
      <c r="N153" s="2752">
        <f t="shared" si="99"/>
        <v>0</v>
      </c>
      <c r="O153" s="1324">
        <f t="shared" si="97"/>
        <v>0</v>
      </c>
      <c r="P153" s="1325">
        <f t="shared" si="98"/>
        <v>0</v>
      </c>
      <c r="Q153" s="608"/>
      <c r="R153" s="608"/>
      <c r="S153" s="608"/>
      <c r="T153" s="840"/>
      <c r="U153" s="80"/>
      <c r="V153" s="80"/>
      <c r="W153" s="80"/>
      <c r="X153" s="80"/>
      <c r="Y153" s="80"/>
      <c r="Z153" s="80"/>
      <c r="AA153" s="80"/>
      <c r="AB153" s="80"/>
      <c r="AC153" s="80"/>
      <c r="AD153" s="80"/>
      <c r="AE153" s="80"/>
      <c r="AF153" s="1116"/>
      <c r="AG153" s="80"/>
      <c r="AH153" s="80"/>
      <c r="AI153" s="80"/>
      <c r="AJ153" s="80"/>
    </row>
    <row r="154" spans="1:36" ht="17.399999999999999" customHeight="1">
      <c r="A154" s="2748">
        <f t="shared" si="92"/>
        <v>114</v>
      </c>
      <c r="B154" s="2753" t="s">
        <v>1336</v>
      </c>
      <c r="C154" s="2754">
        <f>C152+C153</f>
        <v>984.98699999999997</v>
      </c>
      <c r="D154" s="2755">
        <f t="shared" ref="D154:N154" si="100">D152+D153</f>
        <v>1046.9339092508944</v>
      </c>
      <c r="E154" s="2755">
        <f t="shared" si="100"/>
        <v>1570.2463429260856</v>
      </c>
      <c r="F154" s="2755">
        <f t="shared" si="100"/>
        <v>1144.7442342508946</v>
      </c>
      <c r="G154" s="2755">
        <f t="shared" si="100"/>
        <v>1135.2442342508946</v>
      </c>
      <c r="H154" s="2755">
        <f t="shared" si="100"/>
        <v>1651.787351259419</v>
      </c>
      <c r="I154" s="2755">
        <f t="shared" si="100"/>
        <v>1438.7479469858174</v>
      </c>
      <c r="J154" s="2755">
        <f t="shared" si="100"/>
        <v>1383.9683758416022</v>
      </c>
      <c r="K154" s="2755">
        <f t="shared" si="100"/>
        <v>1908.3053386524839</v>
      </c>
      <c r="L154" s="2755">
        <f t="shared" si="100"/>
        <v>1416.7479469858174</v>
      </c>
      <c r="M154" s="2755">
        <f t="shared" si="100"/>
        <v>1364.7229546973872</v>
      </c>
      <c r="N154" s="2756">
        <f t="shared" si="100"/>
        <v>1883.5641758747061</v>
      </c>
      <c r="O154" s="1324">
        <f t="shared" si="97"/>
        <v>984.98699999999997</v>
      </c>
      <c r="P154" s="1325">
        <f t="shared" si="98"/>
        <v>16929.999810976002</v>
      </c>
      <c r="Q154" s="608"/>
      <c r="R154" s="608"/>
      <c r="S154" s="608"/>
      <c r="T154" s="840"/>
      <c r="U154" s="80"/>
      <c r="V154" s="80"/>
      <c r="W154" s="80"/>
      <c r="X154" s="80"/>
      <c r="Y154" s="80"/>
      <c r="Z154" s="80"/>
      <c r="AA154" s="80"/>
      <c r="AB154" s="80"/>
      <c r="AC154" s="80"/>
      <c r="AD154" s="80"/>
      <c r="AE154" s="80"/>
      <c r="AF154" s="1116"/>
      <c r="AG154" s="80"/>
      <c r="AH154" s="80"/>
      <c r="AI154" s="80"/>
      <c r="AJ154" s="80"/>
    </row>
    <row r="155" spans="1:36" ht="17.399999999999999" customHeight="1" thickBot="1">
      <c r="A155" s="2757">
        <f t="shared" si="92"/>
        <v>115</v>
      </c>
      <c r="B155" s="2758" t="s">
        <v>1334</v>
      </c>
      <c r="C155" s="2759">
        <f>C154-C151</f>
        <v>0</v>
      </c>
      <c r="D155" s="2760">
        <f t="shared" ref="D155:P155" si="101">D154-D151</f>
        <v>0</v>
      </c>
      <c r="E155" s="2760">
        <f t="shared" si="101"/>
        <v>0</v>
      </c>
      <c r="F155" s="2760">
        <f t="shared" si="101"/>
        <v>0</v>
      </c>
      <c r="G155" s="2760">
        <f t="shared" si="101"/>
        <v>0</v>
      </c>
      <c r="H155" s="2760">
        <f t="shared" si="101"/>
        <v>0</v>
      </c>
      <c r="I155" s="2760">
        <f t="shared" si="101"/>
        <v>0</v>
      </c>
      <c r="J155" s="2760">
        <f t="shared" si="101"/>
        <v>0</v>
      </c>
      <c r="K155" s="2760">
        <f t="shared" si="101"/>
        <v>0</v>
      </c>
      <c r="L155" s="2760">
        <f t="shared" si="101"/>
        <v>0</v>
      </c>
      <c r="M155" s="2760">
        <f t="shared" si="101"/>
        <v>0</v>
      </c>
      <c r="N155" s="2761">
        <f t="shared" si="101"/>
        <v>0</v>
      </c>
      <c r="O155" s="2759">
        <f t="shared" si="101"/>
        <v>0</v>
      </c>
      <c r="P155" s="2761">
        <f t="shared" si="101"/>
        <v>0</v>
      </c>
      <c r="Q155" s="608"/>
      <c r="R155" s="608"/>
      <c r="S155" s="608"/>
      <c r="T155" s="840"/>
      <c r="U155" s="80"/>
      <c r="V155" s="80"/>
      <c r="W155" s="80"/>
      <c r="X155" s="80"/>
      <c r="Y155" s="80"/>
      <c r="Z155" s="80"/>
      <c r="AA155" s="80"/>
      <c r="AB155" s="80"/>
      <c r="AC155" s="80"/>
      <c r="AD155" s="80"/>
      <c r="AE155" s="80"/>
      <c r="AF155" s="1116"/>
      <c r="AG155" s="80"/>
      <c r="AH155" s="80"/>
      <c r="AI155" s="80"/>
      <c r="AJ155" s="80"/>
    </row>
    <row r="156" spans="1:36" ht="17.399999999999999" customHeight="1" thickBot="1">
      <c r="A156" s="2486"/>
      <c r="B156" s="1915"/>
      <c r="C156" s="1918"/>
      <c r="D156" s="1918"/>
      <c r="E156" s="1918"/>
      <c r="F156" s="1918"/>
      <c r="G156" s="1918"/>
      <c r="H156" s="1918"/>
      <c r="I156" s="1918"/>
      <c r="J156" s="1918"/>
      <c r="K156" s="1918"/>
      <c r="L156" s="1918"/>
      <c r="M156" s="1918"/>
      <c r="N156" s="1918"/>
      <c r="O156" s="1918"/>
      <c r="P156" s="1918"/>
      <c r="Q156" s="608"/>
      <c r="R156" s="608"/>
      <c r="S156" s="608"/>
      <c r="T156" s="840"/>
      <c r="U156" s="80"/>
      <c r="V156" s="80"/>
      <c r="W156" s="80"/>
      <c r="X156" s="80"/>
      <c r="Y156" s="80"/>
      <c r="Z156" s="80"/>
      <c r="AA156" s="80"/>
      <c r="AB156" s="80"/>
      <c r="AC156" s="80"/>
      <c r="AD156" s="80"/>
      <c r="AE156" s="80"/>
      <c r="AF156" s="1116"/>
      <c r="AG156" s="80"/>
      <c r="AH156" s="80"/>
      <c r="AI156" s="80"/>
      <c r="AJ156" s="80"/>
    </row>
    <row r="157" spans="1:36" ht="17.399999999999999" customHeight="1">
      <c r="A157" s="1910">
        <f>A155+1</f>
        <v>116</v>
      </c>
      <c r="B157" s="2744" t="s">
        <v>1338</v>
      </c>
      <c r="C157" s="2745">
        <f>C151-C147</f>
        <v>-1.900000000887303E-4</v>
      </c>
      <c r="D157" s="2746">
        <f t="shared" ref="D157:N157" si="102">D151-D147</f>
        <v>0</v>
      </c>
      <c r="E157" s="2746">
        <f t="shared" si="102"/>
        <v>0</v>
      </c>
      <c r="F157" s="2746">
        <f t="shared" si="102"/>
        <v>0</v>
      </c>
      <c r="G157" s="2746">
        <f t="shared" si="102"/>
        <v>0</v>
      </c>
      <c r="H157" s="2746">
        <f t="shared" si="102"/>
        <v>0</v>
      </c>
      <c r="I157" s="2746">
        <f t="shared" si="102"/>
        <v>0</v>
      </c>
      <c r="J157" s="2746">
        <f t="shared" si="102"/>
        <v>0</v>
      </c>
      <c r="K157" s="2746">
        <f t="shared" si="102"/>
        <v>0</v>
      </c>
      <c r="L157" s="2746">
        <f t="shared" si="102"/>
        <v>0</v>
      </c>
      <c r="M157" s="2746">
        <f t="shared" si="102"/>
        <v>0</v>
      </c>
      <c r="N157" s="2762">
        <f t="shared" si="102"/>
        <v>0</v>
      </c>
      <c r="O157" s="1132">
        <f t="shared" ref="O157:O159" si="103">SUMPRODUCT($C$4:$N$4,C157:N157)</f>
        <v>-1.900000000887303E-4</v>
      </c>
      <c r="P157" s="1323">
        <f t="shared" ref="P157:P159" si="104">SUM(C157:N157)</f>
        <v>-1.900000000887303E-4</v>
      </c>
      <c r="Q157" s="608"/>
      <c r="R157" s="608"/>
      <c r="S157" s="608"/>
      <c r="T157" s="840"/>
      <c r="U157" s="80"/>
      <c r="V157" s="80"/>
      <c r="W157" s="80"/>
      <c r="X157" s="80"/>
      <c r="Y157" s="80"/>
      <c r="Z157" s="80"/>
      <c r="AA157" s="80"/>
      <c r="AB157" s="80"/>
      <c r="AC157" s="80"/>
      <c r="AD157" s="80"/>
      <c r="AE157" s="80"/>
      <c r="AF157" s="1116"/>
      <c r="AG157" s="80"/>
      <c r="AH157" s="80"/>
      <c r="AI157" s="80"/>
      <c r="AJ157" s="80"/>
    </row>
    <row r="158" spans="1:36" ht="17.399999999999999" customHeight="1">
      <c r="A158" s="2748">
        <f t="shared" si="92"/>
        <v>117</v>
      </c>
      <c r="B158" s="2749" t="s">
        <v>1339</v>
      </c>
      <c r="C158" s="2750">
        <f>C154-C148</f>
        <v>-1.900000000887303E-4</v>
      </c>
      <c r="D158" s="2751">
        <f t="shared" ref="D158:N158" si="105">D154-D148</f>
        <v>0</v>
      </c>
      <c r="E158" s="2751">
        <f t="shared" si="105"/>
        <v>0</v>
      </c>
      <c r="F158" s="2751">
        <f t="shared" si="105"/>
        <v>0</v>
      </c>
      <c r="G158" s="2751">
        <f t="shared" si="105"/>
        <v>0</v>
      </c>
      <c r="H158" s="2751">
        <f t="shared" si="105"/>
        <v>0</v>
      </c>
      <c r="I158" s="2751">
        <f t="shared" si="105"/>
        <v>0</v>
      </c>
      <c r="J158" s="2751">
        <f t="shared" si="105"/>
        <v>0</v>
      </c>
      <c r="K158" s="2751">
        <f t="shared" si="105"/>
        <v>0</v>
      </c>
      <c r="L158" s="2751">
        <f t="shared" si="105"/>
        <v>0</v>
      </c>
      <c r="M158" s="2751">
        <f t="shared" si="105"/>
        <v>0</v>
      </c>
      <c r="N158" s="2763">
        <f t="shared" si="105"/>
        <v>0</v>
      </c>
      <c r="O158" s="1324">
        <f t="shared" si="103"/>
        <v>-1.900000000887303E-4</v>
      </c>
      <c r="P158" s="1325">
        <f t="shared" si="104"/>
        <v>-1.900000000887303E-4</v>
      </c>
      <c r="Q158" s="608"/>
      <c r="R158" s="608"/>
      <c r="S158" s="608"/>
      <c r="T158" s="840"/>
      <c r="U158" s="80"/>
      <c r="V158" s="80"/>
      <c r="W158" s="80"/>
      <c r="X158" s="80"/>
      <c r="Y158" s="80"/>
      <c r="Z158" s="80"/>
      <c r="AA158" s="80"/>
      <c r="AB158" s="80"/>
      <c r="AC158" s="80"/>
      <c r="AD158" s="80"/>
      <c r="AE158" s="80"/>
      <c r="AF158" s="1116"/>
      <c r="AG158" s="80"/>
      <c r="AH158" s="80"/>
      <c r="AI158" s="80"/>
      <c r="AJ158" s="80"/>
    </row>
    <row r="159" spans="1:36" ht="17.399999999999999" customHeight="1" thickBot="1">
      <c r="A159" s="2757">
        <f t="shared" si="92"/>
        <v>118</v>
      </c>
      <c r="B159" s="2758" t="s">
        <v>1340</v>
      </c>
      <c r="C159" s="2759">
        <f>C158-C157</f>
        <v>0</v>
      </c>
      <c r="D159" s="2760">
        <f t="shared" ref="D159:N159" si="106">D158-D157</f>
        <v>0</v>
      </c>
      <c r="E159" s="2760">
        <f t="shared" si="106"/>
        <v>0</v>
      </c>
      <c r="F159" s="2760">
        <f t="shared" si="106"/>
        <v>0</v>
      </c>
      <c r="G159" s="2760">
        <f t="shared" si="106"/>
        <v>0</v>
      </c>
      <c r="H159" s="2760">
        <f t="shared" si="106"/>
        <v>0</v>
      </c>
      <c r="I159" s="2760">
        <f t="shared" si="106"/>
        <v>0</v>
      </c>
      <c r="J159" s="2760">
        <f t="shared" si="106"/>
        <v>0</v>
      </c>
      <c r="K159" s="2760">
        <f t="shared" si="106"/>
        <v>0</v>
      </c>
      <c r="L159" s="2760">
        <f t="shared" si="106"/>
        <v>0</v>
      </c>
      <c r="M159" s="2760">
        <f t="shared" si="106"/>
        <v>0</v>
      </c>
      <c r="N159" s="2764">
        <f t="shared" si="106"/>
        <v>0</v>
      </c>
      <c r="O159" s="1367">
        <f t="shared" si="103"/>
        <v>0</v>
      </c>
      <c r="P159" s="1368">
        <f t="shared" si="104"/>
        <v>0</v>
      </c>
      <c r="Q159" s="608"/>
      <c r="R159" s="608"/>
      <c r="S159" s="608"/>
      <c r="T159" s="840"/>
      <c r="U159" s="80"/>
      <c r="V159" s="80"/>
      <c r="W159" s="80"/>
      <c r="X159" s="80"/>
      <c r="Y159" s="80"/>
      <c r="Z159" s="80"/>
      <c r="AA159" s="80"/>
      <c r="AB159" s="80"/>
      <c r="AC159" s="80"/>
      <c r="AD159" s="80"/>
      <c r="AE159" s="80"/>
      <c r="AF159" s="1116"/>
      <c r="AG159" s="80"/>
      <c r="AH159" s="80"/>
      <c r="AI159" s="80"/>
      <c r="AJ159" s="80"/>
    </row>
    <row r="160" spans="1:36" ht="52.5" customHeight="1">
      <c r="A160" s="1914"/>
      <c r="B160" s="1915"/>
      <c r="C160" s="1918"/>
      <c r="D160" s="1915"/>
      <c r="E160" s="1915"/>
      <c r="F160" s="1915"/>
      <c r="G160" s="1915"/>
      <c r="H160" s="1915"/>
      <c r="I160" s="1915"/>
      <c r="J160" s="1915"/>
      <c r="K160" s="1915"/>
      <c r="L160" s="1915"/>
      <c r="M160" s="1915"/>
      <c r="N160" s="1915"/>
      <c r="O160" s="1915"/>
      <c r="P160" s="1917"/>
      <c r="Q160" s="1144"/>
      <c r="R160" s="1144"/>
      <c r="S160" s="1144"/>
      <c r="T160" s="1116"/>
      <c r="U160" s="1116"/>
      <c r="V160" s="1116"/>
      <c r="W160" s="1116"/>
      <c r="X160" s="1116"/>
      <c r="Y160" s="1116"/>
      <c r="Z160" s="1116"/>
      <c r="AA160" s="1116"/>
      <c r="AB160" s="1116"/>
      <c r="AC160" s="1116"/>
      <c r="AD160" s="1116"/>
      <c r="AE160" s="1116"/>
      <c r="AF160" s="1116"/>
      <c r="AG160" s="80"/>
      <c r="AH160" s="80"/>
      <c r="AI160" s="80"/>
      <c r="AJ160" s="80"/>
    </row>
    <row r="161" spans="1:32" ht="13">
      <c r="A161" s="80"/>
      <c r="B161" s="80"/>
      <c r="C161" s="1916"/>
      <c r="D161" s="1916"/>
      <c r="E161" s="1916"/>
      <c r="F161" s="1916"/>
      <c r="G161" s="1916"/>
      <c r="H161" s="1916"/>
      <c r="I161" s="1916"/>
      <c r="J161" s="1916"/>
      <c r="K161" s="1916"/>
      <c r="L161" s="1916"/>
      <c r="M161" s="1916"/>
      <c r="N161" s="1916"/>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921875" defaultRowHeight="13"/>
  <cols>
    <col min="1" max="1" width="4.15234375" style="9" customWidth="1"/>
    <col min="2" max="2" width="17.4609375" style="9" customWidth="1"/>
    <col min="3" max="3" width="22.61328125" style="9" customWidth="1"/>
    <col min="4" max="4" width="8.53515625" style="7" customWidth="1"/>
    <col min="5" max="6" width="7.61328125" style="7" customWidth="1"/>
    <col min="7" max="7" width="8" style="7" customWidth="1"/>
    <col min="8" max="8" width="7.921875" style="7" customWidth="1"/>
    <col min="9" max="9" width="7.921875" style="8" customWidth="1"/>
    <col min="10" max="11" width="8.07421875" style="7" customWidth="1"/>
    <col min="12" max="12" width="7.921875" style="7" customWidth="1"/>
    <col min="13" max="15" width="8.15234375" style="7" customWidth="1"/>
    <col min="16" max="16" width="8.07421875" style="7" customWidth="1"/>
    <col min="17" max="17" width="7.61328125" style="9" customWidth="1"/>
    <col min="18" max="18" width="13.61328125" style="9" customWidth="1"/>
    <col min="19" max="20" width="11.61328125" style="9" customWidth="1"/>
    <col min="21" max="21" width="10.15234375" style="9" customWidth="1"/>
    <col min="22" max="22" width="12" style="9" customWidth="1"/>
    <col min="23" max="23" width="2.07421875" style="9" customWidth="1"/>
    <col min="24" max="24" width="10.53515625" style="9" customWidth="1"/>
    <col min="25" max="29" width="8.921875" style="758"/>
    <col min="30" max="30" width="57" style="758" customWidth="1"/>
    <col min="31" max="31" width="52.15234375" style="9" customWidth="1"/>
    <col min="32" max="16384" width="8.92187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5"/>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5"/>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Apr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2">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2">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3"/>
      <c r="D5" s="99"/>
      <c r="E5" s="99"/>
      <c r="F5" s="743"/>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2">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7"/>
      <c r="E6" s="847"/>
      <c r="F6" s="847"/>
      <c r="G6" s="847"/>
      <c r="H6" s="847"/>
      <c r="I6" s="848"/>
      <c r="J6" s="847" t="s">
        <v>289</v>
      </c>
      <c r="K6" s="847"/>
      <c r="L6" s="847"/>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2">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8">
        <f>VLOOKUP(Summary!H1,Summary!V1:W12,2,FALSE)</f>
        <v>1</v>
      </c>
      <c r="D7" s="845" t="str">
        <f>"This Table is currently showing "&amp;$AF$7&amp;" errors"</f>
        <v>This Table is currently showing 0 errors</v>
      </c>
      <c r="E7" s="847"/>
      <c r="F7" s="847"/>
      <c r="G7" s="847"/>
      <c r="H7" s="847"/>
      <c r="I7" s="845" t="str">
        <f>IF($AF$8&gt;0," Check validations at cell AB1","")</f>
        <v/>
      </c>
      <c r="J7" s="847"/>
      <c r="K7" s="847"/>
      <c r="L7" s="847"/>
      <c r="M7" s="99"/>
      <c r="N7" s="99"/>
      <c r="O7" s="99"/>
      <c r="P7" s="99"/>
      <c r="Q7" s="80"/>
      <c r="R7" s="80"/>
      <c r="S7" s="80"/>
      <c r="T7" s="80"/>
      <c r="U7" s="80"/>
      <c r="V7" s="80"/>
      <c r="W7" s="80"/>
      <c r="X7" s="80"/>
      <c r="Y7" s="608"/>
      <c r="Z7" s="608"/>
      <c r="AA7" s="608"/>
      <c r="AB7" s="608"/>
      <c r="AC7" s="608"/>
      <c r="AD7" s="608"/>
      <c r="AE7" s="80"/>
      <c r="AF7" s="782">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9" t="str">
        <f>IF($AF$7&lt;=0,"","Some errors will be resolved when complete rows have data or associated tables are completed")</f>
        <v/>
      </c>
      <c r="E8" s="852"/>
      <c r="F8" s="852"/>
      <c r="G8" s="847"/>
      <c r="H8" s="847"/>
      <c r="I8" s="853"/>
      <c r="J8" s="853"/>
      <c r="K8" s="847"/>
      <c r="L8" s="847"/>
      <c r="M8" s="99"/>
      <c r="N8" s="99"/>
      <c r="O8" s="99"/>
      <c r="P8" s="82"/>
      <c r="Q8" s="82"/>
      <c r="R8" s="82"/>
      <c r="S8" s="82"/>
      <c r="T8" s="82"/>
      <c r="U8" s="82"/>
      <c r="V8" s="82"/>
      <c r="W8" s="82"/>
      <c r="X8" s="82"/>
      <c r="Y8" s="612"/>
      <c r="Z8" s="612"/>
      <c r="AA8" s="612"/>
      <c r="AB8" s="612"/>
      <c r="AC8" s="612"/>
      <c r="AD8" s="608"/>
      <c r="AE8" s="80"/>
      <c r="AF8" s="7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0</v>
      </c>
      <c r="F9" s="107">
        <f t="shared" si="1"/>
        <v>0</v>
      </c>
      <c r="G9" s="107">
        <f t="shared" si="1"/>
        <v>0</v>
      </c>
      <c r="H9" s="107">
        <f t="shared" si="1"/>
        <v>0</v>
      </c>
      <c r="I9" s="107">
        <f t="shared" si="1"/>
        <v>0</v>
      </c>
      <c r="J9" s="107">
        <f t="shared" si="1"/>
        <v>0</v>
      </c>
      <c r="K9" s="107">
        <f t="shared" si="1"/>
        <v>0</v>
      </c>
      <c r="L9" s="107">
        <f t="shared" si="1"/>
        <v>0</v>
      </c>
      <c r="M9" s="107">
        <f t="shared" si="1"/>
        <v>0</v>
      </c>
      <c r="N9" s="107">
        <f t="shared" si="1"/>
        <v>0</v>
      </c>
      <c r="O9" s="107">
        <f t="shared" si="1"/>
        <v>0</v>
      </c>
      <c r="P9" s="109"/>
      <c r="Q9" s="141"/>
      <c r="R9" s="82"/>
      <c r="S9" s="1522"/>
      <c r="T9" s="82"/>
      <c r="U9" s="82"/>
      <c r="V9" s="82"/>
      <c r="W9" s="82"/>
      <c r="X9" s="82"/>
      <c r="Y9" s="99"/>
      <c r="Z9" s="99"/>
      <c r="AA9" s="99"/>
      <c r="AB9" s="99"/>
      <c r="AC9" s="99"/>
      <c r="AD9" s="608"/>
      <c r="AE9" s="80"/>
      <c r="AF9" s="7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8"/>
      <c r="Z10" s="968"/>
      <c r="AA10" s="968"/>
      <c r="AB10" s="968"/>
      <c r="AC10" s="968"/>
      <c r="AD10" s="608"/>
      <c r="AE10" s="80"/>
      <c r="AF10" s="782"/>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9"/>
      <c r="Z11" s="970"/>
      <c r="AA11" s="970"/>
      <c r="AB11" s="970"/>
      <c r="AC11" s="970"/>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2" t="s">
        <v>50</v>
      </c>
      <c r="Y12" s="969"/>
      <c r="Z12" s="970"/>
      <c r="AA12" s="970"/>
      <c r="AB12" s="970"/>
      <c r="AC12" s="970"/>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70" t="s">
        <v>291</v>
      </c>
      <c r="D13" s="1571">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1">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1">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1">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1">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1">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1">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1">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1">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1">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1">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1">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1">
        <f>SUMPRODUCT($D$9:$O$9,D13:O13)</f>
        <v>0</v>
      </c>
      <c r="Q13" s="938">
        <f t="shared" ref="Q13:Q33" si="2">SUM(D13:O13)</f>
        <v>0</v>
      </c>
      <c r="R13" s="596"/>
      <c r="S13" s="1571">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3">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6"/>
      <c r="V13" s="594"/>
      <c r="W13" s="138"/>
      <c r="X13" s="594"/>
      <c r="Y13" s="977"/>
      <c r="Z13" s="978"/>
      <c r="AA13" s="978"/>
      <c r="AB13" s="978"/>
      <c r="AC13" s="970"/>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2">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2">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2">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2">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2">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2">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2">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2">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2">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2">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2">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2">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4">
        <f>SUMPRODUCT($D$9:$O$9,D14:O14)</f>
        <v>0</v>
      </c>
      <c r="Q14" s="940">
        <f t="shared" si="2"/>
        <v>0</v>
      </c>
      <c r="R14" s="325" t="e">
        <f>+P14/Q14</f>
        <v>#DIV/0!</v>
      </c>
      <c r="S14" s="1574">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5">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5">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5">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6">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1" t="s">
        <v>42</v>
      </c>
      <c r="D15" s="1081">
        <f t="shared" ref="D15:O15" si="3">+D14-D13</f>
        <v>0</v>
      </c>
      <c r="E15" s="1081">
        <f t="shared" si="3"/>
        <v>0</v>
      </c>
      <c r="F15" s="1081">
        <f t="shared" si="3"/>
        <v>0</v>
      </c>
      <c r="G15" s="1081">
        <f t="shared" si="3"/>
        <v>0</v>
      </c>
      <c r="H15" s="1081">
        <f t="shared" si="3"/>
        <v>0</v>
      </c>
      <c r="I15" s="1081">
        <f t="shared" si="3"/>
        <v>0</v>
      </c>
      <c r="J15" s="1081">
        <f t="shared" si="3"/>
        <v>0</v>
      </c>
      <c r="K15" s="1081">
        <f t="shared" si="3"/>
        <v>0</v>
      </c>
      <c r="L15" s="1081">
        <f t="shared" si="3"/>
        <v>0</v>
      </c>
      <c r="M15" s="1081">
        <f t="shared" si="3"/>
        <v>0</v>
      </c>
      <c r="N15" s="1081">
        <f t="shared" si="3"/>
        <v>0</v>
      </c>
      <c r="O15" s="1081">
        <f t="shared" si="3"/>
        <v>0</v>
      </c>
      <c r="P15" s="1461">
        <f>SUMPRODUCT($D$9:$O$9,D15:O15)</f>
        <v>0</v>
      </c>
      <c r="Q15" s="939">
        <f t="shared" si="2"/>
        <v>0</v>
      </c>
      <c r="R15" s="326" t="e">
        <f>+P15/P13</f>
        <v>#DIV/0!</v>
      </c>
      <c r="S15" s="1557">
        <f>+S14-S13</f>
        <v>0</v>
      </c>
      <c r="T15" s="1557">
        <f>+T14-T13</f>
        <v>0</v>
      </c>
      <c r="U15" s="594"/>
      <c r="V15" s="594"/>
      <c r="W15" s="756"/>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70" t="s">
        <v>291</v>
      </c>
      <c r="D16" s="1571">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1">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1">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1">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1">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1">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1">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1">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1">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1">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1">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1">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2">
        <f t="shared" ref="P16:P33" si="4">SUMPRODUCT($D$9:$O$9,D16:O16)</f>
        <v>0</v>
      </c>
      <c r="Q16" s="938">
        <f t="shared" si="2"/>
        <v>0</v>
      </c>
      <c r="R16" s="596"/>
      <c r="S16" s="1571">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3">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6"/>
      <c r="V16" s="594"/>
      <c r="W16" s="138"/>
      <c r="X16" s="594"/>
      <c r="Y16" s="111"/>
      <c r="Z16" s="111"/>
      <c r="AA16" s="111"/>
      <c r="AB16" s="111"/>
      <c r="AC16" s="970"/>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2">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2">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2">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2">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2">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2">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2">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2">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2">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2">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2">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2">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4">
        <f t="shared" si="4"/>
        <v>0</v>
      </c>
      <c r="Q17" s="940">
        <f t="shared" si="2"/>
        <v>0</v>
      </c>
      <c r="R17" s="325" t="e">
        <f>+P17/Q17</f>
        <v>#DIV/0!</v>
      </c>
      <c r="S17" s="1574">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5">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5">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5">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6">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1" t="s">
        <v>42</v>
      </c>
      <c r="D18" s="1081">
        <f t="shared" ref="D18:O18" si="5">+D17-D16</f>
        <v>0</v>
      </c>
      <c r="E18" s="1081">
        <f t="shared" si="5"/>
        <v>0</v>
      </c>
      <c r="F18" s="1081">
        <f t="shared" si="5"/>
        <v>0</v>
      </c>
      <c r="G18" s="1081">
        <f t="shared" si="5"/>
        <v>0</v>
      </c>
      <c r="H18" s="1081">
        <f t="shared" si="5"/>
        <v>0</v>
      </c>
      <c r="I18" s="1081">
        <f t="shared" si="5"/>
        <v>0</v>
      </c>
      <c r="J18" s="1081">
        <f t="shared" si="5"/>
        <v>0</v>
      </c>
      <c r="K18" s="1081">
        <f t="shared" si="5"/>
        <v>0</v>
      </c>
      <c r="L18" s="1081">
        <f t="shared" si="5"/>
        <v>0</v>
      </c>
      <c r="M18" s="1081">
        <f t="shared" si="5"/>
        <v>0</v>
      </c>
      <c r="N18" s="1081">
        <f t="shared" si="5"/>
        <v>0</v>
      </c>
      <c r="O18" s="1081">
        <f t="shared" si="5"/>
        <v>0</v>
      </c>
      <c r="P18" s="1465">
        <f t="shared" si="4"/>
        <v>0</v>
      </c>
      <c r="Q18" s="939">
        <f t="shared" si="2"/>
        <v>0</v>
      </c>
      <c r="R18" s="326" t="e">
        <f>+P18/P16</f>
        <v>#DIV/0!</v>
      </c>
      <c r="S18" s="1557">
        <f>+S17-S16</f>
        <v>0</v>
      </c>
      <c r="T18" s="1557">
        <f>+T17-T16</f>
        <v>0</v>
      </c>
      <c r="U18" s="594"/>
      <c r="V18" s="594"/>
      <c r="W18" s="756"/>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70" t="s">
        <v>291</v>
      </c>
      <c r="D19" s="1571">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1">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1">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1">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1">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1">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1">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1">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1">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1">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1">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1">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1">
        <f t="shared" si="4"/>
        <v>0</v>
      </c>
      <c r="Q19" s="938">
        <f t="shared" si="2"/>
        <v>0</v>
      </c>
      <c r="R19" s="596"/>
      <c r="S19" s="1571">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3">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6"/>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2">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2">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2">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2">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2">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2">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2">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2">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2">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2">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2">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2">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4">
        <f t="shared" si="4"/>
        <v>0</v>
      </c>
      <c r="Q20" s="940">
        <f t="shared" si="2"/>
        <v>0</v>
      </c>
      <c r="R20" s="325" t="e">
        <f>+P20/Q20</f>
        <v>#DIV/0!</v>
      </c>
      <c r="S20" s="1574">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5">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5">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5">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6">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1" t="s">
        <v>42</v>
      </c>
      <c r="D21" s="1081">
        <f t="shared" ref="D21:O21" si="6">+D20-D19</f>
        <v>0</v>
      </c>
      <c r="E21" s="1081">
        <f t="shared" si="6"/>
        <v>0</v>
      </c>
      <c r="F21" s="1081">
        <f t="shared" si="6"/>
        <v>0</v>
      </c>
      <c r="G21" s="1081">
        <f t="shared" si="6"/>
        <v>0</v>
      </c>
      <c r="H21" s="1081">
        <f t="shared" si="6"/>
        <v>0</v>
      </c>
      <c r="I21" s="1081">
        <f t="shared" si="6"/>
        <v>0</v>
      </c>
      <c r="J21" s="1081">
        <f t="shared" si="6"/>
        <v>0</v>
      </c>
      <c r="K21" s="1081">
        <f t="shared" si="6"/>
        <v>0</v>
      </c>
      <c r="L21" s="1081">
        <f t="shared" si="6"/>
        <v>0</v>
      </c>
      <c r="M21" s="1081">
        <f t="shared" si="6"/>
        <v>0</v>
      </c>
      <c r="N21" s="1081">
        <f t="shared" si="6"/>
        <v>0</v>
      </c>
      <c r="O21" s="1081">
        <f t="shared" si="6"/>
        <v>0</v>
      </c>
      <c r="P21" s="1461">
        <f t="shared" si="4"/>
        <v>0</v>
      </c>
      <c r="Q21" s="939">
        <f t="shared" si="2"/>
        <v>0</v>
      </c>
      <c r="R21" s="326" t="e">
        <f>+P21/P19</f>
        <v>#DIV/0!</v>
      </c>
      <c r="S21" s="1557">
        <f>+S20-S19</f>
        <v>0</v>
      </c>
      <c r="T21" s="1557">
        <f>+T20-T19</f>
        <v>0</v>
      </c>
      <c r="U21" s="594"/>
      <c r="V21" s="594"/>
      <c r="W21" s="756"/>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70" t="s">
        <v>291</v>
      </c>
      <c r="D22" s="1571">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1">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1">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1">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1">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1">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1">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1">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1">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1">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1">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1">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5">
        <f t="shared" si="4"/>
        <v>454.5</v>
      </c>
      <c r="Q22" s="938">
        <f t="shared" si="2"/>
        <v>1758</v>
      </c>
      <c r="R22" s="596"/>
      <c r="S22" s="1571">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3">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6"/>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2">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2">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2">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2">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2">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2">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2">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2">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2">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2">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2">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2">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4">
        <f t="shared" si="4"/>
        <v>454.5</v>
      </c>
      <c r="Q23" s="940">
        <f t="shared" si="2"/>
        <v>1758</v>
      </c>
      <c r="R23" s="325">
        <f>+P23/Q23</f>
        <v>0.25853242320819114</v>
      </c>
      <c r="S23" s="1574">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5">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5">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5">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6">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454.5</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1" t="s">
        <v>42</v>
      </c>
      <c r="D24" s="1081">
        <f t="shared" ref="D24:O24" si="7">+D23-D22</f>
        <v>0</v>
      </c>
      <c r="E24" s="1081">
        <f t="shared" si="7"/>
        <v>0</v>
      </c>
      <c r="F24" s="1081">
        <f t="shared" si="7"/>
        <v>0</v>
      </c>
      <c r="G24" s="1081">
        <f t="shared" si="7"/>
        <v>0</v>
      </c>
      <c r="H24" s="1081">
        <f t="shared" si="7"/>
        <v>0</v>
      </c>
      <c r="I24" s="1081">
        <f t="shared" si="7"/>
        <v>0</v>
      </c>
      <c r="J24" s="1081">
        <f t="shared" si="7"/>
        <v>0</v>
      </c>
      <c r="K24" s="1081">
        <f t="shared" si="7"/>
        <v>0</v>
      </c>
      <c r="L24" s="1081">
        <f t="shared" si="7"/>
        <v>0</v>
      </c>
      <c r="M24" s="1081">
        <f t="shared" si="7"/>
        <v>0</v>
      </c>
      <c r="N24" s="1081">
        <f t="shared" si="7"/>
        <v>0</v>
      </c>
      <c r="O24" s="1081">
        <f t="shared" si="7"/>
        <v>0</v>
      </c>
      <c r="P24" s="1461">
        <f t="shared" si="4"/>
        <v>0</v>
      </c>
      <c r="Q24" s="939">
        <f t="shared" si="2"/>
        <v>0</v>
      </c>
      <c r="R24" s="326">
        <f>+P24/P22</f>
        <v>0</v>
      </c>
      <c r="S24" s="1557">
        <f>+S23-S22</f>
        <v>0</v>
      </c>
      <c r="T24" s="1557">
        <f>+T23-T22</f>
        <v>0</v>
      </c>
      <c r="U24" s="594"/>
      <c r="V24" s="594"/>
      <c r="W24" s="756"/>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70" t="s">
        <v>291</v>
      </c>
      <c r="D25" s="1571">
        <f>D71</f>
        <v>789.91666666666663</v>
      </c>
      <c r="E25" s="1571">
        <f t="shared" ref="E25:O25" si="8">E71</f>
        <v>56.916666666666664</v>
      </c>
      <c r="F25" s="1571">
        <f t="shared" si="8"/>
        <v>56.916666666666664</v>
      </c>
      <c r="G25" s="1571">
        <f t="shared" si="8"/>
        <v>56.916666666666664</v>
      </c>
      <c r="H25" s="1571">
        <f t="shared" si="8"/>
        <v>56.916666666666664</v>
      </c>
      <c r="I25" s="1571">
        <f t="shared" si="8"/>
        <v>56.916666666666664</v>
      </c>
      <c r="J25" s="1571">
        <f t="shared" si="8"/>
        <v>56.916666666666664</v>
      </c>
      <c r="K25" s="1571">
        <f t="shared" si="8"/>
        <v>56.916666666666664</v>
      </c>
      <c r="L25" s="1571">
        <f t="shared" si="8"/>
        <v>56.916666666666664</v>
      </c>
      <c r="M25" s="1571">
        <f t="shared" si="8"/>
        <v>56.916666666666664</v>
      </c>
      <c r="N25" s="1571">
        <f t="shared" si="8"/>
        <v>56.916666666666664</v>
      </c>
      <c r="O25" s="1571">
        <f t="shared" si="8"/>
        <v>56.916666666666664</v>
      </c>
      <c r="P25" s="1462">
        <f t="shared" si="4"/>
        <v>789.91666666666663</v>
      </c>
      <c r="Q25" s="938">
        <f t="shared" si="2"/>
        <v>1416.0000000000002</v>
      </c>
      <c r="R25" s="596"/>
      <c r="S25" s="1571">
        <f>S71</f>
        <v>1416</v>
      </c>
      <c r="T25" s="1573">
        <f t="shared" ref="T25:V26" si="9">T71</f>
        <v>0</v>
      </c>
      <c r="U25" s="1556"/>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2">
        <f>D72</f>
        <v>789.91666666666663</v>
      </c>
      <c r="E26" s="1572">
        <f t="shared" ref="E26:O26" si="10">E72</f>
        <v>56.916666666666664</v>
      </c>
      <c r="F26" s="1572">
        <f t="shared" si="10"/>
        <v>56.916666666666664</v>
      </c>
      <c r="G26" s="1572">
        <f t="shared" si="10"/>
        <v>56.916666666666664</v>
      </c>
      <c r="H26" s="1572">
        <f t="shared" si="10"/>
        <v>56.916666666666664</v>
      </c>
      <c r="I26" s="1572">
        <f t="shared" si="10"/>
        <v>56.916666666666664</v>
      </c>
      <c r="J26" s="1572">
        <f t="shared" si="10"/>
        <v>56.916666666666664</v>
      </c>
      <c r="K26" s="1572">
        <f t="shared" si="10"/>
        <v>56.916666666666664</v>
      </c>
      <c r="L26" s="1572">
        <f t="shared" si="10"/>
        <v>56.916666666666664</v>
      </c>
      <c r="M26" s="1572">
        <f t="shared" si="10"/>
        <v>56.916666666666664</v>
      </c>
      <c r="N26" s="1572">
        <f t="shared" si="10"/>
        <v>56.916666666666664</v>
      </c>
      <c r="O26" s="1572">
        <f t="shared" si="10"/>
        <v>56.916666666666664</v>
      </c>
      <c r="P26" s="1454">
        <f t="shared" si="4"/>
        <v>789.91666666666663</v>
      </c>
      <c r="Q26" s="940">
        <f t="shared" si="2"/>
        <v>1416.0000000000002</v>
      </c>
      <c r="R26" s="325">
        <f>+P26/Q26</f>
        <v>0.55785075329566847</v>
      </c>
      <c r="S26" s="1574">
        <f>S72</f>
        <v>1416</v>
      </c>
      <c r="T26" s="1575">
        <f t="shared" si="9"/>
        <v>0</v>
      </c>
      <c r="U26" s="1575">
        <f t="shared" si="9"/>
        <v>0</v>
      </c>
      <c r="V26" s="1575">
        <f t="shared" si="9"/>
        <v>1416</v>
      </c>
      <c r="W26" s="111">
        <f>IF(X26&lt;V26,1,0)</f>
        <v>0</v>
      </c>
      <c r="X26" s="1576">
        <f>X72</f>
        <v>1416</v>
      </c>
      <c r="Y26" s="111">
        <f>SUM(Q26)</f>
        <v>1416.0000000000002</v>
      </c>
      <c r="Z26" s="111">
        <f>SUM(U26+V26)</f>
        <v>1416</v>
      </c>
      <c r="AA26" s="111">
        <f>P26</f>
        <v>789.91666666666663</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1" t="s">
        <v>42</v>
      </c>
      <c r="D27" s="1081">
        <f>+D26-D25</f>
        <v>0</v>
      </c>
      <c r="E27" s="1081">
        <f t="shared" ref="E27:O27" si="11">+E26-E25</f>
        <v>0</v>
      </c>
      <c r="F27" s="1081">
        <f t="shared" si="11"/>
        <v>0</v>
      </c>
      <c r="G27" s="1081">
        <f t="shared" si="11"/>
        <v>0</v>
      </c>
      <c r="H27" s="1081">
        <f t="shared" si="11"/>
        <v>0</v>
      </c>
      <c r="I27" s="1081">
        <f t="shared" si="11"/>
        <v>0</v>
      </c>
      <c r="J27" s="1081">
        <f t="shared" si="11"/>
        <v>0</v>
      </c>
      <c r="K27" s="1081">
        <f t="shared" si="11"/>
        <v>0</v>
      </c>
      <c r="L27" s="1081">
        <f t="shared" si="11"/>
        <v>0</v>
      </c>
      <c r="M27" s="1081">
        <f t="shared" si="11"/>
        <v>0</v>
      </c>
      <c r="N27" s="1081">
        <f t="shared" si="11"/>
        <v>0</v>
      </c>
      <c r="O27" s="1081">
        <f t="shared" si="11"/>
        <v>0</v>
      </c>
      <c r="P27" s="1465">
        <f t="shared" si="4"/>
        <v>0</v>
      </c>
      <c r="Q27" s="939">
        <f t="shared" si="2"/>
        <v>0</v>
      </c>
      <c r="R27" s="326">
        <f>+P27/P25</f>
        <v>0</v>
      </c>
      <c r="S27" s="1557">
        <f>+S26-S25</f>
        <v>0</v>
      </c>
      <c r="T27" s="1557">
        <f>+T26-T25</f>
        <v>0</v>
      </c>
      <c r="U27" s="594"/>
      <c r="V27" s="594"/>
      <c r="W27" s="756"/>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70" t="s">
        <v>291</v>
      </c>
      <c r="D28" s="1571">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1">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1">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1">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1">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1">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1">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1">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1">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1">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1">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1">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1">
        <f t="shared" si="4"/>
        <v>0</v>
      </c>
      <c r="Q28" s="938">
        <f t="shared" si="2"/>
        <v>0</v>
      </c>
      <c r="R28" s="596"/>
      <c r="S28" s="1571">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3">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6"/>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2">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2">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2">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2">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2">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2">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2">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2">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2">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2">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2">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2">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4">
        <f t="shared" si="4"/>
        <v>0</v>
      </c>
      <c r="Q29" s="940">
        <f t="shared" si="2"/>
        <v>0</v>
      </c>
      <c r="R29" s="325" t="e">
        <f>+P29/Q29</f>
        <v>#DIV/0!</v>
      </c>
      <c r="S29" s="1574">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5">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5">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5">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6">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1" t="s">
        <v>42</v>
      </c>
      <c r="D30" s="1081">
        <f>+D29-D28</f>
        <v>0</v>
      </c>
      <c r="E30" s="1461">
        <f t="shared" ref="E30:O30" si="12">+E29-E28</f>
        <v>0</v>
      </c>
      <c r="F30" s="1081">
        <f t="shared" si="12"/>
        <v>0</v>
      </c>
      <c r="G30" s="1461">
        <f t="shared" si="12"/>
        <v>0</v>
      </c>
      <c r="H30" s="1081">
        <f t="shared" si="12"/>
        <v>0</v>
      </c>
      <c r="I30" s="1081">
        <f t="shared" si="12"/>
        <v>0</v>
      </c>
      <c r="J30" s="1081">
        <f t="shared" si="12"/>
        <v>0</v>
      </c>
      <c r="K30" s="1081">
        <f t="shared" si="12"/>
        <v>0</v>
      </c>
      <c r="L30" s="1081">
        <f t="shared" si="12"/>
        <v>0</v>
      </c>
      <c r="M30" s="1461">
        <f t="shared" si="12"/>
        <v>0</v>
      </c>
      <c r="N30" s="1081">
        <f t="shared" si="12"/>
        <v>0</v>
      </c>
      <c r="O30" s="1457">
        <f t="shared" si="12"/>
        <v>0</v>
      </c>
      <c r="P30" s="1461">
        <f t="shared" si="4"/>
        <v>0</v>
      </c>
      <c r="Q30" s="939">
        <f t="shared" si="2"/>
        <v>0</v>
      </c>
      <c r="R30" s="326" t="e">
        <f>+P30/P28</f>
        <v>#DIV/0!</v>
      </c>
      <c r="S30" s="1557">
        <f>+S29-S28</f>
        <v>0</v>
      </c>
      <c r="T30" s="1557">
        <f>+T29-T28</f>
        <v>0</v>
      </c>
      <c r="U30" s="594"/>
      <c r="V30" s="594"/>
      <c r="W30" s="756"/>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70" t="s">
        <v>291</v>
      </c>
      <c r="D31" s="73">
        <f>SUM(D13,D16,D19,D22,D25,D28)</f>
        <v>1244.4166666666665</v>
      </c>
      <c r="E31" s="1458">
        <f t="shared" ref="E31:Q31" si="13">SUM(E13,E16,E19,E22,E25,E28)</f>
        <v>175.41666666666666</v>
      </c>
      <c r="F31" s="73">
        <f t="shared" si="13"/>
        <v>175.41666666666666</v>
      </c>
      <c r="G31" s="1458">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8">
        <f t="shared" si="13"/>
        <v>175.41666666666666</v>
      </c>
      <c r="N31" s="73">
        <f t="shared" si="13"/>
        <v>175.41666666666666</v>
      </c>
      <c r="O31" s="1455">
        <f t="shared" si="13"/>
        <v>175.41666666666666</v>
      </c>
      <c r="P31" s="73">
        <f t="shared" si="13"/>
        <v>1244.4166666666665</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4">
        <f t="shared" ref="E32:Q32" si="14">SUM(E14,E17,E20,E23,E26,E29)</f>
        <v>175.41666666666666</v>
      </c>
      <c r="F32" s="75">
        <f t="shared" si="14"/>
        <v>175.41666666666666</v>
      </c>
      <c r="G32" s="934">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4">
        <f t="shared" si="14"/>
        <v>175.41666666666666</v>
      </c>
      <c r="N32" s="75">
        <f t="shared" si="14"/>
        <v>175.41666666666666</v>
      </c>
      <c r="O32" s="1463">
        <f t="shared" si="14"/>
        <v>175.41666666666666</v>
      </c>
      <c r="P32" s="75">
        <f t="shared" si="14"/>
        <v>1244.4166666666665</v>
      </c>
      <c r="Q32" s="75">
        <f t="shared" si="14"/>
        <v>3174</v>
      </c>
      <c r="R32" s="325">
        <f>+P32/Q32</f>
        <v>0.39206574249107323</v>
      </c>
      <c r="S32" s="1456">
        <f>SUM(S14+S17+S29+S26+S23+S20)</f>
        <v>3174</v>
      </c>
      <c r="T32" s="1456">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789.91666666666663</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1" t="s">
        <v>42</v>
      </c>
      <c r="D33" s="945">
        <f>+D32-D31</f>
        <v>0</v>
      </c>
      <c r="E33" s="1466">
        <f t="shared" ref="E33:O33" si="15">+E32-E31</f>
        <v>0</v>
      </c>
      <c r="F33" s="945">
        <f t="shared" si="15"/>
        <v>0</v>
      </c>
      <c r="G33" s="1466">
        <f t="shared" si="15"/>
        <v>0</v>
      </c>
      <c r="H33" s="945">
        <f t="shared" si="15"/>
        <v>0</v>
      </c>
      <c r="I33" s="945">
        <f t="shared" si="15"/>
        <v>0</v>
      </c>
      <c r="J33" s="945">
        <f t="shared" si="15"/>
        <v>0</v>
      </c>
      <c r="K33" s="945">
        <f t="shared" si="15"/>
        <v>0</v>
      </c>
      <c r="L33" s="945">
        <f t="shared" si="15"/>
        <v>0</v>
      </c>
      <c r="M33" s="1466">
        <f t="shared" si="15"/>
        <v>0</v>
      </c>
      <c r="N33" s="945">
        <f t="shared" si="15"/>
        <v>0</v>
      </c>
      <c r="O33" s="1464">
        <f t="shared" si="15"/>
        <v>0</v>
      </c>
      <c r="P33" s="123">
        <f t="shared" si="4"/>
        <v>0</v>
      </c>
      <c r="Q33" s="939">
        <f t="shared" si="2"/>
        <v>0</v>
      </c>
      <c r="R33" s="326">
        <f>+P33/P31</f>
        <v>0</v>
      </c>
      <c r="S33" s="1554">
        <f>+S32-S31</f>
        <v>0</v>
      </c>
      <c r="T33" s="1555">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5">
        <f>+D26</f>
        <v>789.91666666666663</v>
      </c>
      <c r="E34" s="985">
        <f t="shared" ref="E34:O34" si="16">+E26</f>
        <v>56.916666666666664</v>
      </c>
      <c r="F34" s="985">
        <f t="shared" si="16"/>
        <v>56.916666666666664</v>
      </c>
      <c r="G34" s="985">
        <f t="shared" si="16"/>
        <v>56.916666666666664</v>
      </c>
      <c r="H34" s="985">
        <f t="shared" si="16"/>
        <v>56.916666666666664</v>
      </c>
      <c r="I34" s="985">
        <f t="shared" si="16"/>
        <v>56.916666666666664</v>
      </c>
      <c r="J34" s="985">
        <f t="shared" si="16"/>
        <v>56.916666666666664</v>
      </c>
      <c r="K34" s="985">
        <f t="shared" si="16"/>
        <v>56.916666666666664</v>
      </c>
      <c r="L34" s="985">
        <f t="shared" si="16"/>
        <v>56.916666666666664</v>
      </c>
      <c r="M34" s="985">
        <f t="shared" si="16"/>
        <v>56.916666666666664</v>
      </c>
      <c r="N34" s="985">
        <f t="shared" si="16"/>
        <v>56.916666666666664</v>
      </c>
      <c r="O34" s="985">
        <f t="shared" si="16"/>
        <v>56.916666666666664</v>
      </c>
      <c r="P34" s="107"/>
      <c r="Q34" s="270">
        <f>COUNTIF(D32:O32,0)</f>
        <v>0</v>
      </c>
      <c r="R34" s="786"/>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1" t="str">
        <f>IF(ABS('C, C1, C2&amp; C3 - Savings Schemes'!$D$34-'C, C1, C2&amp; C3 - Savings Schemes'!$D$72)&lt;=2,"Ok","No")</f>
        <v>Ok</v>
      </c>
      <c r="E37" s="981" t="str">
        <f>IF(ABS('C, C1, C2&amp; C3 - Savings Schemes'!$E$34-'C, C1, C2&amp; C3 - Savings Schemes'!$E$72)&lt;=2,"Ok","No")</f>
        <v>Ok</v>
      </c>
      <c r="F37" s="981" t="str">
        <f>IF(ABS('C, C1, C2&amp; C3 - Savings Schemes'!$F$34-'C, C1, C2&amp; C3 - Savings Schemes'!$F$72)&lt;=2,"Ok","No")</f>
        <v>Ok</v>
      </c>
      <c r="G37" s="981" t="str">
        <f>IF(ABS('C, C1, C2&amp; C3 - Savings Schemes'!$G$34-'C, C1, C2&amp; C3 - Savings Schemes'!$G$72)&lt;=2,"Ok","No")</f>
        <v>Ok</v>
      </c>
      <c r="H37" s="981" t="str">
        <f>IF(ABS('C, C1, C2&amp; C3 - Savings Schemes'!$H$34-'C, C1, C2&amp; C3 - Savings Schemes'!$H$72)&lt;=2,"Ok","No")</f>
        <v>Ok</v>
      </c>
      <c r="I37" s="981" t="str">
        <f>IF(ABS('C, C1, C2&amp; C3 - Savings Schemes'!$I$34-'C, C1, C2&amp; C3 - Savings Schemes'!$I$72)&lt;=2,"Ok","No")</f>
        <v>Ok</v>
      </c>
      <c r="J37" s="981" t="str">
        <f>IF(ABS('C, C1, C2&amp; C3 - Savings Schemes'!$J$34-'C, C1, C2&amp; C3 - Savings Schemes'!$J$72)&lt;=2,"Ok","No")</f>
        <v>Ok</v>
      </c>
      <c r="K37" s="981" t="str">
        <f>IF(ABS('C, C1, C2&amp; C3 - Savings Schemes'!$K$34-'C, C1, C2&amp; C3 - Savings Schemes'!$K$72)&lt;=2,"Ok","No")</f>
        <v>Ok</v>
      </c>
      <c r="L37" s="981" t="str">
        <f>IF(ABS('C, C1, C2&amp; C3 - Savings Schemes'!$L$34-'C, C1, C2&amp; C3 - Savings Schemes'!$L$72)&lt;=2,"Ok","No")</f>
        <v>Ok</v>
      </c>
      <c r="M37" s="981" t="str">
        <f>IF(ABS('C, C1, C2&amp; C3 - Savings Schemes'!$M$34-'C, C1, C2&amp; C3 - Savings Schemes'!$M$72)&lt;=2,"Ok","No")</f>
        <v>Ok</v>
      </c>
      <c r="N37" s="981" t="str">
        <f>IF(ABS('C, C1, C2&amp; C3 - Savings Schemes'!$N$34-'C, C1, C2&amp; C3 - Savings Schemes'!$N$72)&lt;=2,"Ok","No")</f>
        <v>Ok</v>
      </c>
      <c r="O37" s="981" t="str">
        <f>IF(ABS('C, C1, C2&amp; C3 - Savings Schemes'!$O$34-'C, C1, C2&amp; C3 - Savings Schemes'!$O$72)&lt;=2,"Ok","No")</f>
        <v>Ok</v>
      </c>
      <c r="P37" s="111">
        <f>COUNTIF(D37:O37,"Ok")</f>
        <v>12</v>
      </c>
      <c r="Q37" s="80"/>
      <c r="R37" s="80"/>
      <c r="S37" s="80"/>
      <c r="T37" s="80"/>
      <c r="U37" s="80"/>
      <c r="V37" s="80"/>
      <c r="W37" s="256"/>
      <c r="X37" s="256"/>
      <c r="Y37" s="971"/>
      <c r="Z37" s="971"/>
      <c r="AA37" s="971"/>
      <c r="AB37" s="971"/>
      <c r="AC37" s="971"/>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1"/>
      <c r="Z38" s="971"/>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40"/>
      <c r="Q39" s="1141"/>
      <c r="R39" s="1142"/>
      <c r="S39" s="80"/>
      <c r="T39" s="80"/>
      <c r="U39" s="80"/>
      <c r="V39" s="80"/>
      <c r="W39" s="80"/>
      <c r="X39" s="80"/>
      <c r="Y39" s="971"/>
      <c r="Z39" s="971"/>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40"/>
      <c r="Q40" s="1141"/>
      <c r="R40" s="1142"/>
      <c r="S40" s="80"/>
      <c r="T40" s="80"/>
      <c r="U40" s="80"/>
      <c r="V40" s="80"/>
      <c r="W40" s="80"/>
      <c r="X40" s="80"/>
      <c r="Y40" s="757"/>
      <c r="Z40" s="757"/>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40"/>
      <c r="Q41" s="1141"/>
      <c r="R41" s="1116"/>
      <c r="S41" s="80"/>
      <c r="T41" s="80"/>
      <c r="U41" s="80"/>
      <c r="V41" s="80"/>
      <c r="W41" s="80"/>
      <c r="X41" s="80"/>
      <c r="Y41" s="757"/>
      <c r="Z41" s="757"/>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7"/>
      <c r="Z42" s="757"/>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3" t="str">
        <f>IF(ABS('C, C1, C2&amp; C3 - Savings Schemes'!$D$42-'C, C1, C2&amp; C3 - Savings Schemes'!$D$71)&lt;=2,"Ok","No")</f>
        <v>Ok</v>
      </c>
      <c r="E43" s="993" t="str">
        <f>IF(ABS('C, C1, C2&amp; C3 - Savings Schemes'!$E$42-'C, C1, C2&amp; C3 - Savings Schemes'!$E$71)&lt;=2,"Ok","No")</f>
        <v>Ok</v>
      </c>
      <c r="F43" s="993" t="str">
        <f>IF(ABS('C, C1, C2&amp; C3 - Savings Schemes'!$F$42-'C, C1, C2&amp; C3 - Savings Schemes'!$F$71)&lt;=2,"Ok","No")</f>
        <v>Ok</v>
      </c>
      <c r="G43" s="993" t="str">
        <f>IF(ABS('C, C1, C2&amp; C3 - Savings Schemes'!$G$42-'C, C1, C2&amp; C3 - Savings Schemes'!$G$71)&lt;=2,"Ok","No")</f>
        <v>Ok</v>
      </c>
      <c r="H43" s="993" t="str">
        <f>IF(ABS('C, C1, C2&amp; C3 - Savings Schemes'!$H$42-'C, C1, C2&amp; C3 - Savings Schemes'!$H$71)&lt;=2,"Ok","No")</f>
        <v>Ok</v>
      </c>
      <c r="I43" s="993" t="str">
        <f>IF(ABS('C, C1, C2&amp; C3 - Savings Schemes'!$I$42-'C, C1, C2&amp; C3 - Savings Schemes'!$I$71)&lt;=2,"Ok","No")</f>
        <v>Ok</v>
      </c>
      <c r="J43" s="993" t="str">
        <f>IF(ABS('C, C1, C2&amp; C3 - Savings Schemes'!$J$42-'C, C1, C2&amp; C3 - Savings Schemes'!$J$71)&lt;=2,"Ok","No")</f>
        <v>Ok</v>
      </c>
      <c r="K43" s="993" t="str">
        <f>IF(ABS('C, C1, C2&amp; C3 - Savings Schemes'!$K$42-'C, C1, C2&amp; C3 - Savings Schemes'!$K$71)&lt;=2,"Ok","No")</f>
        <v>Ok</v>
      </c>
      <c r="L43" s="993" t="str">
        <f>IF(ABS('C, C1, C2&amp; C3 - Savings Schemes'!$L$42-'C, C1, C2&amp; C3 - Savings Schemes'!$L$71)&lt;=2,"Ok","No")</f>
        <v>Ok</v>
      </c>
      <c r="M43" s="993" t="str">
        <f>IF(ABS('C, C1, C2&amp; C3 - Savings Schemes'!$M$42-'C, C1, C2&amp; C3 - Savings Schemes'!$M$71)&lt;=2,"Ok","No")</f>
        <v>Ok</v>
      </c>
      <c r="N43" s="993" t="str">
        <f>IF(ABS('C, C1, C2&amp; C3 - Savings Schemes'!$N$42-'C, C1, C2&amp; C3 - Savings Schemes'!$N$71)&lt;=2,"Ok","No")</f>
        <v>Ok</v>
      </c>
      <c r="O43" s="993" t="str">
        <f>IF(ABS('C, C1, C2&amp; C3 - Savings Schemes'!$O$42-'C, C1, C2&amp; C3 - Savings Schemes'!$O$71)&lt;=2,"Ok","No")</f>
        <v>Ok</v>
      </c>
      <c r="P43" s="111">
        <f>COUNTIF(D43:O43,"Ok")</f>
        <v>12</v>
      </c>
      <c r="Q43" s="137"/>
      <c r="R43" s="80"/>
      <c r="S43" s="80"/>
      <c r="T43" s="80"/>
      <c r="U43" s="80"/>
      <c r="V43" s="80"/>
      <c r="W43" s="80"/>
      <c r="X43" s="80"/>
      <c r="Y43" s="757"/>
      <c r="Z43" s="757"/>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6"/>
      <c r="J44" s="612"/>
      <c r="K44" s="612"/>
      <c r="L44" s="612"/>
      <c r="M44" s="612"/>
      <c r="N44" s="612"/>
      <c r="O44" s="917" t="s">
        <v>51</v>
      </c>
      <c r="P44" s="987" t="str">
        <f>+Q3</f>
        <v>Apr 23</v>
      </c>
      <c r="Q44" s="80"/>
      <c r="R44" s="80"/>
      <c r="S44" s="80"/>
      <c r="T44" s="80"/>
      <c r="U44" s="80"/>
      <c r="V44" s="80"/>
      <c r="W44" s="80"/>
      <c r="X44" s="80"/>
      <c r="Y44" s="757"/>
      <c r="Z44" s="757"/>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6"/>
      <c r="J45" s="612"/>
      <c r="K45" s="612"/>
      <c r="L45" s="612"/>
      <c r="M45" s="612"/>
      <c r="N45" s="612"/>
      <c r="O45" s="612"/>
      <c r="P45" s="612"/>
      <c r="Q45" s="608"/>
      <c r="R45" s="80"/>
      <c r="S45" s="80"/>
      <c r="T45" s="80"/>
      <c r="U45" s="80"/>
      <c r="V45" s="80"/>
      <c r="W45" s="80"/>
      <c r="X45" s="80"/>
      <c r="Y45" s="757"/>
      <c r="Z45" s="757"/>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8"/>
      <c r="E46" s="918"/>
      <c r="F46" s="918"/>
      <c r="G46" s="918"/>
      <c r="H46" s="918"/>
      <c r="I46" s="919"/>
      <c r="J46" s="918" t="s">
        <v>289</v>
      </c>
      <c r="K46" s="918"/>
      <c r="L46" s="918"/>
      <c r="M46" s="918"/>
      <c r="N46" s="918"/>
      <c r="O46" s="918"/>
      <c r="P46" s="918"/>
      <c r="Q46" s="920"/>
      <c r="R46" s="80"/>
      <c r="S46" s="80"/>
      <c r="T46" s="80"/>
      <c r="U46" s="80"/>
      <c r="V46" s="80"/>
      <c r="W46" s="80"/>
      <c r="X46" s="80"/>
      <c r="Y46" s="757"/>
      <c r="Z46" s="757"/>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1</v>
      </c>
      <c r="D47" s="919"/>
      <c r="E47" s="918"/>
      <c r="F47" s="918"/>
      <c r="G47" s="918"/>
      <c r="H47" s="918"/>
      <c r="I47" s="919"/>
      <c r="J47" s="918"/>
      <c r="K47" s="918"/>
      <c r="L47" s="918"/>
      <c r="M47" s="918"/>
      <c r="N47" s="918"/>
      <c r="O47" s="918"/>
      <c r="P47" s="918"/>
      <c r="Q47" s="920"/>
      <c r="R47" s="80"/>
      <c r="S47" s="80"/>
      <c r="T47" s="80"/>
      <c r="U47" s="80"/>
      <c r="V47" s="80"/>
      <c r="W47" s="80"/>
      <c r="X47" s="80"/>
      <c r="Y47" s="757"/>
      <c r="Z47" s="757"/>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1"/>
      <c r="E48" s="921"/>
      <c r="F48" s="921"/>
      <c r="G48" s="921"/>
      <c r="H48" s="921"/>
      <c r="I48" s="922"/>
      <c r="J48" s="922"/>
      <c r="K48" s="921"/>
      <c r="L48" s="921"/>
      <c r="M48" s="921"/>
      <c r="N48" s="921"/>
      <c r="O48" s="921"/>
      <c r="P48" s="921"/>
      <c r="Q48" s="921"/>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0</v>
      </c>
      <c r="F49" s="108">
        <f t="shared" si="20"/>
        <v>0</v>
      </c>
      <c r="G49" s="108">
        <f t="shared" si="20"/>
        <v>0</v>
      </c>
      <c r="H49" s="108">
        <f t="shared" si="20"/>
        <v>0</v>
      </c>
      <c r="I49" s="108">
        <f t="shared" si="20"/>
        <v>0</v>
      </c>
      <c r="J49" s="108">
        <f t="shared" si="20"/>
        <v>0</v>
      </c>
      <c r="K49" s="108">
        <f t="shared" si="20"/>
        <v>0</v>
      </c>
      <c r="L49" s="108">
        <f t="shared" si="20"/>
        <v>0</v>
      </c>
      <c r="M49" s="108">
        <f t="shared" si="20"/>
        <v>0</v>
      </c>
      <c r="N49" s="108">
        <f t="shared" si="20"/>
        <v>0</v>
      </c>
      <c r="O49" s="108">
        <f t="shared" si="20"/>
        <v>0</v>
      </c>
      <c r="P49" s="923"/>
      <c r="Q49" s="924"/>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135"/>
      <c r="C51" s="3136"/>
      <c r="D51" s="925" t="s">
        <v>181</v>
      </c>
      <c r="E51" s="105" t="s">
        <v>89</v>
      </c>
      <c r="F51" s="105" t="s">
        <v>90</v>
      </c>
      <c r="G51" s="925" t="s">
        <v>91</v>
      </c>
      <c r="H51" s="105" t="s">
        <v>92</v>
      </c>
      <c r="I51" s="105" t="s">
        <v>93</v>
      </c>
      <c r="J51" s="925" t="s">
        <v>94</v>
      </c>
      <c r="K51" s="105" t="s">
        <v>95</v>
      </c>
      <c r="L51" s="105" t="s">
        <v>96</v>
      </c>
      <c r="M51" s="925" t="s">
        <v>97</v>
      </c>
      <c r="N51" s="105" t="s">
        <v>98</v>
      </c>
      <c r="O51" s="926"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7"/>
      <c r="C52" s="129"/>
      <c r="D52" s="928" t="s">
        <v>50</v>
      </c>
      <c r="E52" s="928" t="s">
        <v>50</v>
      </c>
      <c r="F52" s="928" t="s">
        <v>50</v>
      </c>
      <c r="G52" s="928" t="s">
        <v>50</v>
      </c>
      <c r="H52" s="928" t="s">
        <v>50</v>
      </c>
      <c r="I52" s="928" t="s">
        <v>50</v>
      </c>
      <c r="J52" s="928" t="s">
        <v>50</v>
      </c>
      <c r="K52" s="928" t="s">
        <v>50</v>
      </c>
      <c r="L52" s="928" t="s">
        <v>50</v>
      </c>
      <c r="M52" s="928" t="s">
        <v>50</v>
      </c>
      <c r="N52" s="928" t="s">
        <v>50</v>
      </c>
      <c r="O52" s="1459" t="s">
        <v>50</v>
      </c>
      <c r="P52" s="145"/>
      <c r="Q52" s="96"/>
      <c r="R52" s="146"/>
      <c r="S52" s="147" t="s">
        <v>50</v>
      </c>
      <c r="T52" s="147" t="s">
        <v>50</v>
      </c>
      <c r="U52" s="147" t="s">
        <v>50</v>
      </c>
      <c r="V52" s="147" t="s">
        <v>50</v>
      </c>
      <c r="W52" s="138"/>
      <c r="X52" s="1422"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70" t="s">
        <v>291</v>
      </c>
      <c r="D53" s="1571">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1">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1">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1">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1">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1">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1">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1">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1">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1">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1">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1">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1">
        <f t="shared" ref="P53:P73" si="21">SUMPRODUCT($D$49:$O$49,D53:O53)</f>
        <v>0</v>
      </c>
      <c r="Q53" s="938">
        <f>SUM(D53:O53)</f>
        <v>0</v>
      </c>
      <c r="R53" s="596"/>
      <c r="S53" s="1571">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3">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6"/>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2">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2">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2">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2">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2">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2">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2">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2">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2">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2">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2">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2">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4">
        <f t="shared" si="21"/>
        <v>0</v>
      </c>
      <c r="Q54" s="940">
        <f t="shared" ref="Q54:Q73" si="22">SUM(D54:O54)</f>
        <v>0</v>
      </c>
      <c r="R54" s="325" t="e">
        <f>+P54/Q54</f>
        <v>#DIV/0!</v>
      </c>
      <c r="S54" s="1574">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5">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5">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5">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6">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1">
        <f>+D54-D53</f>
        <v>0</v>
      </c>
      <c r="E55" s="1081">
        <f t="shared" ref="E55:O55" si="23">+E54-E53</f>
        <v>0</v>
      </c>
      <c r="F55" s="1081">
        <f t="shared" si="23"/>
        <v>0</v>
      </c>
      <c r="G55" s="1081">
        <f t="shared" si="23"/>
        <v>0</v>
      </c>
      <c r="H55" s="1081">
        <f t="shared" si="23"/>
        <v>0</v>
      </c>
      <c r="I55" s="1081">
        <f t="shared" si="23"/>
        <v>0</v>
      </c>
      <c r="J55" s="1081">
        <f t="shared" si="23"/>
        <v>0</v>
      </c>
      <c r="K55" s="1081">
        <f t="shared" si="23"/>
        <v>0</v>
      </c>
      <c r="L55" s="1081">
        <f t="shared" si="23"/>
        <v>0</v>
      </c>
      <c r="M55" s="1081">
        <f t="shared" si="23"/>
        <v>0</v>
      </c>
      <c r="N55" s="1081">
        <f t="shared" si="23"/>
        <v>0</v>
      </c>
      <c r="O55" s="1081">
        <f t="shared" si="23"/>
        <v>0</v>
      </c>
      <c r="P55" s="1461">
        <f t="shared" si="21"/>
        <v>0</v>
      </c>
      <c r="Q55" s="939">
        <f t="shared" si="22"/>
        <v>0</v>
      </c>
      <c r="R55" s="326" t="e">
        <f>+P55/P53</f>
        <v>#DIV/0!</v>
      </c>
      <c r="S55" s="1557">
        <f>+S54-S53</f>
        <v>0</v>
      </c>
      <c r="T55" s="1557">
        <f>+T54-T53</f>
        <v>0</v>
      </c>
      <c r="U55" s="594"/>
      <c r="V55" s="594"/>
      <c r="W55" s="756"/>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70" t="s">
        <v>291</v>
      </c>
      <c r="D56" s="1571">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1">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1">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1">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1">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1">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1">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1">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1">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1">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1">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1">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2">
        <f t="shared" si="21"/>
        <v>56.916666666666664</v>
      </c>
      <c r="Q56" s="938">
        <f t="shared" si="22"/>
        <v>682.99999999999989</v>
      </c>
      <c r="R56" s="596"/>
      <c r="S56" s="1571">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3">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6"/>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2">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2">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2">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2">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2">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2">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2">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2">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2">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2">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2">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2">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4">
        <f t="shared" si="21"/>
        <v>56.916666666666664</v>
      </c>
      <c r="Q57" s="940">
        <f t="shared" si="22"/>
        <v>682.99999999999989</v>
      </c>
      <c r="R57" s="325">
        <f>+P57/Q57</f>
        <v>8.3333333333333343E-2</v>
      </c>
      <c r="S57" s="1574">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5">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5">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5">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6">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1">
        <f>+D57-D56</f>
        <v>0</v>
      </c>
      <c r="E58" s="1081">
        <f t="shared" ref="E58:O58" si="24">+E57-E56</f>
        <v>0</v>
      </c>
      <c r="F58" s="1081">
        <f t="shared" si="24"/>
        <v>0</v>
      </c>
      <c r="G58" s="1081">
        <f t="shared" si="24"/>
        <v>0</v>
      </c>
      <c r="H58" s="1081">
        <f t="shared" si="24"/>
        <v>0</v>
      </c>
      <c r="I58" s="1081">
        <f t="shared" si="24"/>
        <v>0</v>
      </c>
      <c r="J58" s="1081">
        <f t="shared" si="24"/>
        <v>0</v>
      </c>
      <c r="K58" s="1081">
        <f t="shared" si="24"/>
        <v>0</v>
      </c>
      <c r="L58" s="1081">
        <f t="shared" si="24"/>
        <v>0</v>
      </c>
      <c r="M58" s="1081">
        <f t="shared" si="24"/>
        <v>0</v>
      </c>
      <c r="N58" s="1081">
        <f t="shared" si="24"/>
        <v>0</v>
      </c>
      <c r="O58" s="1081">
        <f t="shared" si="24"/>
        <v>0</v>
      </c>
      <c r="P58" s="1465">
        <f t="shared" si="21"/>
        <v>0</v>
      </c>
      <c r="Q58" s="939">
        <f t="shared" si="22"/>
        <v>0</v>
      </c>
      <c r="R58" s="326">
        <f>+P58/P56</f>
        <v>0</v>
      </c>
      <c r="S58" s="1557">
        <f>+S57-S56</f>
        <v>0</v>
      </c>
      <c r="T58" s="1557">
        <f>+T57-T56</f>
        <v>0</v>
      </c>
      <c r="U58" s="594"/>
      <c r="V58" s="594"/>
      <c r="W58" s="756"/>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70" t="s">
        <v>291</v>
      </c>
      <c r="D59" s="1571">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1">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1">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1">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1">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1">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1">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1">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1">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1">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1">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1">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1">
        <f t="shared" si="21"/>
        <v>0</v>
      </c>
      <c r="Q59" s="938">
        <f t="shared" si="22"/>
        <v>0</v>
      </c>
      <c r="R59" s="596"/>
      <c r="S59" s="1571">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3">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6"/>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2">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2">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2">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2">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2">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2">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2">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2">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2">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2">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2">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2">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4">
        <f t="shared" si="21"/>
        <v>0</v>
      </c>
      <c r="Q60" s="940">
        <f t="shared" si="22"/>
        <v>0</v>
      </c>
      <c r="R60" s="325" t="e">
        <f>+P60/Q60</f>
        <v>#DIV/0!</v>
      </c>
      <c r="S60" s="1574">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5">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5">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5">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6">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1">
        <f>+D60-D59</f>
        <v>0</v>
      </c>
      <c r="E61" s="1081">
        <f t="shared" ref="E61:O61" si="25">+E60-E59</f>
        <v>0</v>
      </c>
      <c r="F61" s="1081">
        <f t="shared" si="25"/>
        <v>0</v>
      </c>
      <c r="G61" s="1081">
        <f t="shared" si="25"/>
        <v>0</v>
      </c>
      <c r="H61" s="1081">
        <f t="shared" si="25"/>
        <v>0</v>
      </c>
      <c r="I61" s="1081">
        <f t="shared" si="25"/>
        <v>0</v>
      </c>
      <c r="J61" s="1081">
        <f t="shared" si="25"/>
        <v>0</v>
      </c>
      <c r="K61" s="1081">
        <f t="shared" si="25"/>
        <v>0</v>
      </c>
      <c r="L61" s="1081">
        <f t="shared" si="25"/>
        <v>0</v>
      </c>
      <c r="M61" s="1081">
        <f t="shared" si="25"/>
        <v>0</v>
      </c>
      <c r="N61" s="1081">
        <f t="shared" si="25"/>
        <v>0</v>
      </c>
      <c r="O61" s="1081">
        <f t="shared" si="25"/>
        <v>0</v>
      </c>
      <c r="P61" s="1461">
        <f t="shared" si="21"/>
        <v>0</v>
      </c>
      <c r="Q61" s="939">
        <f t="shared" si="22"/>
        <v>0</v>
      </c>
      <c r="R61" s="326" t="e">
        <f>+P61/P59</f>
        <v>#DIV/0!</v>
      </c>
      <c r="S61" s="1557">
        <f>+S60-S59</f>
        <v>0</v>
      </c>
      <c r="T61" s="1557">
        <f>+T60-T59</f>
        <v>0</v>
      </c>
      <c r="U61" s="594"/>
      <c r="V61" s="594"/>
      <c r="W61" s="756"/>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1">
        <f>D95</f>
        <v>0</v>
      </c>
      <c r="E62" s="1571">
        <f t="shared" ref="E62:O62" si="26">E95</f>
        <v>0</v>
      </c>
      <c r="F62" s="1571">
        <f t="shared" si="26"/>
        <v>0</v>
      </c>
      <c r="G62" s="1571">
        <f t="shared" si="26"/>
        <v>0</v>
      </c>
      <c r="H62" s="1571">
        <f t="shared" si="26"/>
        <v>0</v>
      </c>
      <c r="I62" s="1571">
        <f t="shared" si="26"/>
        <v>0</v>
      </c>
      <c r="J62" s="1571">
        <f t="shared" si="26"/>
        <v>0</v>
      </c>
      <c r="K62" s="1571">
        <f t="shared" si="26"/>
        <v>0</v>
      </c>
      <c r="L62" s="1571">
        <f t="shared" si="26"/>
        <v>0</v>
      </c>
      <c r="M62" s="1571">
        <f t="shared" si="26"/>
        <v>0</v>
      </c>
      <c r="N62" s="1571">
        <f t="shared" si="26"/>
        <v>0</v>
      </c>
      <c r="O62" s="1571">
        <f t="shared" si="26"/>
        <v>0</v>
      </c>
      <c r="P62" s="1455">
        <f>SUMPRODUCT($D$49:$O$49,D62:O62)</f>
        <v>0</v>
      </c>
      <c r="Q62" s="938">
        <f>SUM(D62:O62)</f>
        <v>0</v>
      </c>
      <c r="R62" s="596"/>
      <c r="S62" s="1571">
        <f>S95</f>
        <v>0</v>
      </c>
      <c r="T62" s="1573">
        <f t="shared" ref="T62:V63" si="27">T95</f>
        <v>0</v>
      </c>
      <c r="U62" s="1556"/>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2">
        <f>D96</f>
        <v>0</v>
      </c>
      <c r="E63" s="1572">
        <f t="shared" ref="E63:O63" si="28">E96</f>
        <v>0</v>
      </c>
      <c r="F63" s="1572">
        <f t="shared" si="28"/>
        <v>0</v>
      </c>
      <c r="G63" s="1572">
        <f t="shared" si="28"/>
        <v>0</v>
      </c>
      <c r="H63" s="1572">
        <f t="shared" si="28"/>
        <v>0</v>
      </c>
      <c r="I63" s="1572">
        <f t="shared" si="28"/>
        <v>0</v>
      </c>
      <c r="J63" s="1572">
        <f t="shared" si="28"/>
        <v>0</v>
      </c>
      <c r="K63" s="1572">
        <f t="shared" si="28"/>
        <v>0</v>
      </c>
      <c r="L63" s="1572">
        <f t="shared" si="28"/>
        <v>0</v>
      </c>
      <c r="M63" s="1572">
        <f t="shared" si="28"/>
        <v>0</v>
      </c>
      <c r="N63" s="1572">
        <f t="shared" si="28"/>
        <v>0</v>
      </c>
      <c r="O63" s="1572">
        <f t="shared" si="28"/>
        <v>0</v>
      </c>
      <c r="P63" s="1454">
        <f>SUMPRODUCT($D$49:$O$49,D63:O63)</f>
        <v>0</v>
      </c>
      <c r="Q63" s="940">
        <f>SUM(D63:O63)</f>
        <v>0</v>
      </c>
      <c r="R63" s="325" t="e">
        <f>+P63/Q63</f>
        <v>#DIV/0!</v>
      </c>
      <c r="S63" s="1574">
        <f>S96</f>
        <v>0</v>
      </c>
      <c r="T63" s="1575">
        <f t="shared" si="27"/>
        <v>0</v>
      </c>
      <c r="U63" s="1575">
        <f t="shared" si="27"/>
        <v>0</v>
      </c>
      <c r="V63" s="1575">
        <f t="shared" si="27"/>
        <v>0</v>
      </c>
      <c r="W63" s="111">
        <f>IF(X63&lt;V63,1,0)</f>
        <v>0</v>
      </c>
      <c r="X63" s="1576">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1">
        <f>+D63-D62</f>
        <v>0</v>
      </c>
      <c r="E64" s="1081">
        <f t="shared" ref="E64:O64" si="29">+E63-E62</f>
        <v>0</v>
      </c>
      <c r="F64" s="1081">
        <f t="shared" si="29"/>
        <v>0</v>
      </c>
      <c r="G64" s="1081">
        <f t="shared" si="29"/>
        <v>0</v>
      </c>
      <c r="H64" s="1081">
        <f t="shared" si="29"/>
        <v>0</v>
      </c>
      <c r="I64" s="1081">
        <f t="shared" si="29"/>
        <v>0</v>
      </c>
      <c r="J64" s="1081">
        <f t="shared" si="29"/>
        <v>0</v>
      </c>
      <c r="K64" s="1081">
        <f t="shared" si="29"/>
        <v>0</v>
      </c>
      <c r="L64" s="1081">
        <f t="shared" si="29"/>
        <v>0</v>
      </c>
      <c r="M64" s="1081">
        <f t="shared" si="29"/>
        <v>0</v>
      </c>
      <c r="N64" s="1081">
        <f t="shared" si="29"/>
        <v>0</v>
      </c>
      <c r="O64" s="1081">
        <f t="shared" si="29"/>
        <v>0</v>
      </c>
      <c r="P64" s="1461">
        <f>SUMPRODUCT($D$49:$O$49,D64:O64)</f>
        <v>0</v>
      </c>
      <c r="Q64" s="939">
        <f>SUM(D64:O64)</f>
        <v>0</v>
      </c>
      <c r="R64" s="326" t="e">
        <f>+P64/P62</f>
        <v>#DIV/0!</v>
      </c>
      <c r="S64" s="1557">
        <f>+S63-S62</f>
        <v>0</v>
      </c>
      <c r="T64" s="1557">
        <f>+T63-T62</f>
        <v>0</v>
      </c>
      <c r="U64" s="594"/>
      <c r="V64" s="594"/>
      <c r="W64" s="756"/>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70" t="s">
        <v>291</v>
      </c>
      <c r="D65" s="1571">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1">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1">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1">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1">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1">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1">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1">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1">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1">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1">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1">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2">
        <f t="shared" si="21"/>
        <v>0</v>
      </c>
      <c r="Q65" s="938">
        <f t="shared" si="22"/>
        <v>0</v>
      </c>
      <c r="R65" s="596"/>
      <c r="S65" s="1571">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3">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6"/>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2">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2">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2">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2">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2">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2">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2">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2">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2">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2">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2">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2">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4">
        <f t="shared" si="21"/>
        <v>0</v>
      </c>
      <c r="Q66" s="940">
        <f t="shared" si="22"/>
        <v>0</v>
      </c>
      <c r="R66" s="325" t="e">
        <f>+P66/Q66</f>
        <v>#DIV/0!</v>
      </c>
      <c r="S66" s="1574">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5">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5">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5">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6">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1">
        <f>+D66-D65</f>
        <v>0</v>
      </c>
      <c r="E67" s="1081">
        <f t="shared" ref="E67:O67" si="30">+E66-E65</f>
        <v>0</v>
      </c>
      <c r="F67" s="1081">
        <f t="shared" si="30"/>
        <v>0</v>
      </c>
      <c r="G67" s="1081">
        <f t="shared" si="30"/>
        <v>0</v>
      </c>
      <c r="H67" s="1081">
        <f t="shared" si="30"/>
        <v>0</v>
      </c>
      <c r="I67" s="1081">
        <f t="shared" si="30"/>
        <v>0</v>
      </c>
      <c r="J67" s="1081">
        <f t="shared" si="30"/>
        <v>0</v>
      </c>
      <c r="K67" s="1081">
        <f t="shared" si="30"/>
        <v>0</v>
      </c>
      <c r="L67" s="1081">
        <f t="shared" si="30"/>
        <v>0</v>
      </c>
      <c r="M67" s="1081">
        <f t="shared" si="30"/>
        <v>0</v>
      </c>
      <c r="N67" s="1081">
        <f t="shared" si="30"/>
        <v>0</v>
      </c>
      <c r="O67" s="1081">
        <f t="shared" si="30"/>
        <v>0</v>
      </c>
      <c r="P67" s="1465">
        <f t="shared" si="21"/>
        <v>0</v>
      </c>
      <c r="Q67" s="939">
        <f t="shared" si="22"/>
        <v>0</v>
      </c>
      <c r="R67" s="326" t="e">
        <f>+P67/P65</f>
        <v>#DIV/0!</v>
      </c>
      <c r="S67" s="1557">
        <f>+S66-S65</f>
        <v>0</v>
      </c>
      <c r="T67" s="1557">
        <f>+T66-T65</f>
        <v>0</v>
      </c>
      <c r="U67" s="594"/>
      <c r="V67" s="594"/>
      <c r="W67" s="756"/>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70" t="s">
        <v>291</v>
      </c>
      <c r="D68" s="1571">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1">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1">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1">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1">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1">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1">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1">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1">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1">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1">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1">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1">
        <f t="shared" si="21"/>
        <v>733</v>
      </c>
      <c r="Q68" s="938">
        <f t="shared" si="22"/>
        <v>733</v>
      </c>
      <c r="R68" s="596"/>
      <c r="S68" s="1571">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3">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6"/>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2">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2">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2">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2">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2">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2">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2">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2">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2">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2">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2">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2">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4">
        <f t="shared" si="21"/>
        <v>733</v>
      </c>
      <c r="Q69" s="940">
        <f t="shared" si="22"/>
        <v>733</v>
      </c>
      <c r="R69" s="325">
        <f>+P69/Q69</f>
        <v>1</v>
      </c>
      <c r="S69" s="1574">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5">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5">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5">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6">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1">
        <f t="shared" ref="D70:O70" si="31">+D69-D68</f>
        <v>0</v>
      </c>
      <c r="E70" s="1461">
        <f t="shared" si="31"/>
        <v>0</v>
      </c>
      <c r="F70" s="1081">
        <f t="shared" si="31"/>
        <v>0</v>
      </c>
      <c r="G70" s="1461">
        <f t="shared" si="31"/>
        <v>0</v>
      </c>
      <c r="H70" s="1081">
        <f t="shared" si="31"/>
        <v>0</v>
      </c>
      <c r="I70" s="1081">
        <f t="shared" si="31"/>
        <v>0</v>
      </c>
      <c r="J70" s="1081">
        <f t="shared" si="31"/>
        <v>0</v>
      </c>
      <c r="K70" s="1081">
        <f t="shared" si="31"/>
        <v>0</v>
      </c>
      <c r="L70" s="1081">
        <f t="shared" si="31"/>
        <v>0</v>
      </c>
      <c r="M70" s="1461">
        <f t="shared" si="31"/>
        <v>0</v>
      </c>
      <c r="N70" s="1081">
        <f t="shared" si="31"/>
        <v>0</v>
      </c>
      <c r="O70" s="1457">
        <f t="shared" si="31"/>
        <v>0</v>
      </c>
      <c r="P70" s="1461">
        <f t="shared" si="21"/>
        <v>0</v>
      </c>
      <c r="Q70" s="939">
        <f t="shared" si="22"/>
        <v>0</v>
      </c>
      <c r="R70" s="326">
        <f>+P70/P68</f>
        <v>0</v>
      </c>
      <c r="S70" s="1557">
        <f>+S69-S68</f>
        <v>0</v>
      </c>
      <c r="T70" s="1557">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8">
        <f t="shared" ref="E71:O71" si="32">SUM(E53,E56,E59,E62,E65,E68)</f>
        <v>56.916666666666664</v>
      </c>
      <c r="F71" s="73">
        <f t="shared" si="32"/>
        <v>56.916666666666664</v>
      </c>
      <c r="G71" s="1458">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8">
        <f t="shared" si="32"/>
        <v>56.916666666666664</v>
      </c>
      <c r="N71" s="73">
        <f t="shared" si="32"/>
        <v>56.916666666666664</v>
      </c>
      <c r="O71" s="1455">
        <f t="shared" si="32"/>
        <v>56.916666666666664</v>
      </c>
      <c r="P71" s="73">
        <f t="shared" si="21"/>
        <v>789.91666666666663</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4">
        <f t="shared" ref="E72:O72" si="33">SUM(E54,E57,E60,E63,E66,E69,)</f>
        <v>56.916666666666664</v>
      </c>
      <c r="F72" s="75">
        <f t="shared" si="33"/>
        <v>56.916666666666664</v>
      </c>
      <c r="G72" s="934">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4">
        <f t="shared" si="33"/>
        <v>56.916666666666664</v>
      </c>
      <c r="N72" s="75">
        <f t="shared" si="33"/>
        <v>56.916666666666664</v>
      </c>
      <c r="O72" s="1463">
        <f t="shared" si="33"/>
        <v>56.916666666666664</v>
      </c>
      <c r="P72" s="75">
        <f t="shared" si="21"/>
        <v>789.91666666666663</v>
      </c>
      <c r="Q72" s="75">
        <f t="shared" si="22"/>
        <v>1416.0000000000002</v>
      </c>
      <c r="R72" s="325">
        <f>+P72/Q72</f>
        <v>0.55785075329566847</v>
      </c>
      <c r="S72" s="1456">
        <f>SUM(S54+S57+S69+S66+S63+S60)</f>
        <v>1416</v>
      </c>
      <c r="T72" s="1456">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5">
        <f>+D72-D71</f>
        <v>0</v>
      </c>
      <c r="E73" s="1466">
        <f t="shared" ref="E73:O73" si="34">+E72-E71</f>
        <v>0</v>
      </c>
      <c r="F73" s="945">
        <f t="shared" si="34"/>
        <v>0</v>
      </c>
      <c r="G73" s="1466">
        <f t="shared" si="34"/>
        <v>0</v>
      </c>
      <c r="H73" s="945">
        <f t="shared" si="34"/>
        <v>0</v>
      </c>
      <c r="I73" s="945">
        <f t="shared" si="34"/>
        <v>0</v>
      </c>
      <c r="J73" s="945">
        <f t="shared" si="34"/>
        <v>0</v>
      </c>
      <c r="K73" s="945">
        <f t="shared" si="34"/>
        <v>0</v>
      </c>
      <c r="L73" s="945">
        <f t="shared" si="34"/>
        <v>0</v>
      </c>
      <c r="M73" s="1466">
        <f t="shared" si="34"/>
        <v>0</v>
      </c>
      <c r="N73" s="945">
        <f t="shared" si="34"/>
        <v>0</v>
      </c>
      <c r="O73" s="1464">
        <f t="shared" si="34"/>
        <v>0</v>
      </c>
      <c r="P73" s="123">
        <f t="shared" si="21"/>
        <v>0</v>
      </c>
      <c r="Q73" s="939">
        <f t="shared" si="22"/>
        <v>0</v>
      </c>
      <c r="R73" s="326">
        <f>+P73/P71</f>
        <v>0</v>
      </c>
      <c r="S73" s="1554">
        <f>+S72-S71</f>
        <v>0</v>
      </c>
      <c r="T73" s="1555">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8"/>
      <c r="E76" s="918"/>
      <c r="F76" s="918"/>
      <c r="G76" s="918"/>
      <c r="H76" s="918"/>
      <c r="I76" s="919"/>
      <c r="J76" s="918" t="s">
        <v>289</v>
      </c>
      <c r="K76" s="918"/>
      <c r="L76" s="918"/>
      <c r="M76" s="918"/>
      <c r="N76" s="918"/>
      <c r="O76" s="918"/>
      <c r="P76" s="918"/>
      <c r="Q76" s="920"/>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9"/>
      <c r="E77" s="918"/>
      <c r="F77" s="918"/>
      <c r="G77" s="918"/>
      <c r="H77" s="918"/>
      <c r="I77" s="919"/>
      <c r="J77" s="918"/>
      <c r="K77" s="918"/>
      <c r="L77" s="918"/>
      <c r="M77" s="918"/>
      <c r="N77" s="918"/>
      <c r="O77" s="918"/>
      <c r="P77" s="918"/>
      <c r="Q77" s="920"/>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1"/>
      <c r="E78" s="921"/>
      <c r="F78" s="921"/>
      <c r="G78" s="921"/>
      <c r="H78" s="921"/>
      <c r="I78" s="922"/>
      <c r="J78" s="922"/>
      <c r="K78" s="921"/>
      <c r="L78" s="921"/>
      <c r="M78" s="921"/>
      <c r="N78" s="921"/>
      <c r="O78" s="921"/>
      <c r="P78" s="921"/>
      <c r="Q78" s="921"/>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0</v>
      </c>
      <c r="F79" s="108">
        <f t="shared" si="35"/>
        <v>0</v>
      </c>
      <c r="G79" s="108">
        <f t="shared" si="35"/>
        <v>0</v>
      </c>
      <c r="H79" s="108">
        <f t="shared" si="35"/>
        <v>0</v>
      </c>
      <c r="I79" s="108">
        <f t="shared" si="35"/>
        <v>0</v>
      </c>
      <c r="J79" s="108">
        <f t="shared" si="35"/>
        <v>0</v>
      </c>
      <c r="K79" s="108">
        <f t="shared" si="35"/>
        <v>0</v>
      </c>
      <c r="L79" s="108">
        <f t="shared" si="35"/>
        <v>0</v>
      </c>
      <c r="M79" s="108">
        <f t="shared" si="35"/>
        <v>0</v>
      </c>
      <c r="N79" s="108">
        <f t="shared" si="35"/>
        <v>0</v>
      </c>
      <c r="O79" s="108">
        <f t="shared" si="35"/>
        <v>0</v>
      </c>
      <c r="P79" s="923"/>
      <c r="Q79" s="924"/>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135"/>
      <c r="C81" s="3136"/>
      <c r="D81" s="925" t="s">
        <v>181</v>
      </c>
      <c r="E81" s="105" t="s">
        <v>89</v>
      </c>
      <c r="F81" s="105" t="s">
        <v>90</v>
      </c>
      <c r="G81" s="925" t="s">
        <v>91</v>
      </c>
      <c r="H81" s="105" t="s">
        <v>92</v>
      </c>
      <c r="I81" s="105" t="s">
        <v>93</v>
      </c>
      <c r="J81" s="925" t="s">
        <v>94</v>
      </c>
      <c r="K81" s="105" t="s">
        <v>95</v>
      </c>
      <c r="L81" s="105" t="s">
        <v>96</v>
      </c>
      <c r="M81" s="925" t="s">
        <v>97</v>
      </c>
      <c r="N81" s="105" t="s">
        <v>98</v>
      </c>
      <c r="O81" s="926"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7"/>
      <c r="C82" s="129"/>
      <c r="D82" s="928" t="s">
        <v>50</v>
      </c>
      <c r="E82" s="928" t="s">
        <v>50</v>
      </c>
      <c r="F82" s="928" t="s">
        <v>50</v>
      </c>
      <c r="G82" s="928" t="s">
        <v>50</v>
      </c>
      <c r="H82" s="928" t="s">
        <v>50</v>
      </c>
      <c r="I82" s="928" t="s">
        <v>50</v>
      </c>
      <c r="J82" s="928" t="s">
        <v>50</v>
      </c>
      <c r="K82" s="928" t="s">
        <v>50</v>
      </c>
      <c r="L82" s="928" t="s">
        <v>50</v>
      </c>
      <c r="M82" s="928" t="s">
        <v>50</v>
      </c>
      <c r="N82" s="928" t="s">
        <v>50</v>
      </c>
      <c r="O82" s="1459" t="s">
        <v>50</v>
      </c>
      <c r="P82" s="145"/>
      <c r="Q82" s="96"/>
      <c r="R82" s="146"/>
      <c r="S82" s="147" t="s">
        <v>50</v>
      </c>
      <c r="T82" s="147" t="s">
        <v>50</v>
      </c>
      <c r="U82" s="147" t="s">
        <v>50</v>
      </c>
      <c r="V82" s="147" t="s">
        <v>50</v>
      </c>
      <c r="W82" s="138"/>
      <c r="X82" s="1422"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70" t="s">
        <v>291</v>
      </c>
      <c r="D83" s="1571">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1">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1">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1">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1">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1">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1">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1">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1">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1">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1">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1">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1">
        <f t="shared" ref="P83:P91" si="36">SUMPRODUCT($D$49:$O$49,D83:O83)</f>
        <v>0</v>
      </c>
      <c r="Q83" s="938">
        <f>SUM(D83:O83)</f>
        <v>0</v>
      </c>
      <c r="R83" s="596"/>
      <c r="S83" s="1571">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3">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6"/>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39"/>
      <c r="C84" s="93" t="s">
        <v>288</v>
      </c>
      <c r="D84" s="1572">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2">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2">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2">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2">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2">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2">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2">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2">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2">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2">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2">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4">
        <f t="shared" si="36"/>
        <v>0</v>
      </c>
      <c r="Q84" s="940">
        <f t="shared" ref="Q84:Q91" si="37">SUM(D84:O84)</f>
        <v>0</v>
      </c>
      <c r="R84" s="325" t="e">
        <f>+P84/Q84</f>
        <v>#DIV/0!</v>
      </c>
      <c r="S84" s="1574">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5">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5">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5">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6">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40"/>
      <c r="C85" s="1371" t="s">
        <v>42</v>
      </c>
      <c r="D85" s="1081">
        <f>+D84-D83</f>
        <v>0</v>
      </c>
      <c r="E85" s="1081">
        <f t="shared" ref="E85:O85" si="38">+E84-E83</f>
        <v>0</v>
      </c>
      <c r="F85" s="1081">
        <f t="shared" si="38"/>
        <v>0</v>
      </c>
      <c r="G85" s="1081">
        <f t="shared" si="38"/>
        <v>0</v>
      </c>
      <c r="H85" s="1081">
        <f t="shared" si="38"/>
        <v>0</v>
      </c>
      <c r="I85" s="1081">
        <f t="shared" si="38"/>
        <v>0</v>
      </c>
      <c r="J85" s="1081">
        <f t="shared" si="38"/>
        <v>0</v>
      </c>
      <c r="K85" s="1081">
        <f t="shared" si="38"/>
        <v>0</v>
      </c>
      <c r="L85" s="1081">
        <f t="shared" si="38"/>
        <v>0</v>
      </c>
      <c r="M85" s="1081">
        <f t="shared" si="38"/>
        <v>0</v>
      </c>
      <c r="N85" s="1081">
        <f t="shared" si="38"/>
        <v>0</v>
      </c>
      <c r="O85" s="1081">
        <f t="shared" si="38"/>
        <v>0</v>
      </c>
      <c r="P85" s="1461">
        <f t="shared" si="36"/>
        <v>0</v>
      </c>
      <c r="Q85" s="939">
        <f t="shared" si="37"/>
        <v>0</v>
      </c>
      <c r="R85" s="326" t="e">
        <f>+P85/P83</f>
        <v>#DIV/0!</v>
      </c>
      <c r="S85" s="1557">
        <f>+S84-S83</f>
        <v>0</v>
      </c>
      <c r="T85" s="1557">
        <f>+T84-T83</f>
        <v>0</v>
      </c>
      <c r="U85" s="594"/>
      <c r="V85" s="594"/>
      <c r="W85" s="756"/>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38" t="s">
        <v>564</v>
      </c>
      <c r="C86" s="1370" t="s">
        <v>291</v>
      </c>
      <c r="D86" s="1571">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1">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1">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1">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1">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1">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1">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1">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1">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1">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1">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1">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5">
        <f t="shared" si="36"/>
        <v>0</v>
      </c>
      <c r="Q86" s="938">
        <f t="shared" si="37"/>
        <v>0</v>
      </c>
      <c r="R86" s="596"/>
      <c r="S86" s="1571">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3">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6"/>
      <c r="V86" s="594"/>
      <c r="W86" s="138"/>
      <c r="X86" s="594"/>
      <c r="Y86" s="608"/>
      <c r="Z86" s="608"/>
      <c r="AA86" s="608"/>
      <c r="AB86" s="608"/>
      <c r="AC86" s="608"/>
      <c r="AD86" s="1144"/>
      <c r="AE86" s="1116"/>
      <c r="AF86" s="1116"/>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39"/>
      <c r="C87" s="93" t="s">
        <v>288</v>
      </c>
      <c r="D87" s="1572">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2">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2">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2">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2">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2">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2">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2">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2">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2">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2">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2">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4">
        <f t="shared" si="36"/>
        <v>0</v>
      </c>
      <c r="Q87" s="940">
        <f t="shared" si="37"/>
        <v>0</v>
      </c>
      <c r="R87" s="325" t="e">
        <f>+P87/Q87</f>
        <v>#DIV/0!</v>
      </c>
      <c r="S87" s="1574">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5">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5">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5">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6">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4"/>
      <c r="AE87" s="1116"/>
      <c r="AF87" s="1116"/>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40"/>
      <c r="C88" s="1371" t="s">
        <v>42</v>
      </c>
      <c r="D88" s="1081">
        <f>+D87-D86</f>
        <v>0</v>
      </c>
      <c r="E88" s="1081">
        <f t="shared" ref="E88:O88" si="39">+E87-E86</f>
        <v>0</v>
      </c>
      <c r="F88" s="1081">
        <f t="shared" si="39"/>
        <v>0</v>
      </c>
      <c r="G88" s="1081">
        <f t="shared" si="39"/>
        <v>0</v>
      </c>
      <c r="H88" s="1081">
        <f t="shared" si="39"/>
        <v>0</v>
      </c>
      <c r="I88" s="1081">
        <f t="shared" si="39"/>
        <v>0</v>
      </c>
      <c r="J88" s="1081">
        <f t="shared" si="39"/>
        <v>0</v>
      </c>
      <c r="K88" s="1081">
        <f t="shared" si="39"/>
        <v>0</v>
      </c>
      <c r="L88" s="1081">
        <f t="shared" si="39"/>
        <v>0</v>
      </c>
      <c r="M88" s="1081">
        <f t="shared" si="39"/>
        <v>0</v>
      </c>
      <c r="N88" s="1081">
        <f t="shared" si="39"/>
        <v>0</v>
      </c>
      <c r="O88" s="1081">
        <f t="shared" si="39"/>
        <v>0</v>
      </c>
      <c r="P88" s="1461">
        <f t="shared" si="36"/>
        <v>0</v>
      </c>
      <c r="Q88" s="939">
        <f t="shared" si="37"/>
        <v>0</v>
      </c>
      <c r="R88" s="326" t="e">
        <f>+P88/P86</f>
        <v>#DIV/0!</v>
      </c>
      <c r="S88" s="1557">
        <f>+S87-S86</f>
        <v>0</v>
      </c>
      <c r="T88" s="1557">
        <f>+T87-T86</f>
        <v>0</v>
      </c>
      <c r="U88" s="594"/>
      <c r="V88" s="594"/>
      <c r="W88" s="756"/>
      <c r="X88" s="594"/>
      <c r="Y88" s="608"/>
      <c r="Z88" s="608"/>
      <c r="AA88" s="608"/>
      <c r="AB88" s="608"/>
      <c r="AC88" s="608"/>
      <c r="AD88" s="1144"/>
      <c r="AE88" s="1116"/>
      <c r="AF88" s="1116"/>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39" t="s">
        <v>565</v>
      </c>
      <c r="C89" s="1370" t="s">
        <v>291</v>
      </c>
      <c r="D89" s="1571">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1">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1">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1">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1">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1">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1">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1">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1">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1">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1">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1">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2">
        <f t="shared" si="36"/>
        <v>0</v>
      </c>
      <c r="Q89" s="938">
        <f t="shared" si="37"/>
        <v>0</v>
      </c>
      <c r="R89" s="596"/>
      <c r="S89" s="1571">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3">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6"/>
      <c r="V89" s="594"/>
      <c r="W89" s="138"/>
      <c r="X89" s="594"/>
      <c r="Y89" s="608"/>
      <c r="Z89" s="608"/>
      <c r="AA89" s="608"/>
      <c r="AB89" s="608"/>
      <c r="AC89" s="608"/>
      <c r="AD89" s="1144"/>
      <c r="AE89" s="1116"/>
      <c r="AF89" s="1116"/>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39"/>
      <c r="C90" s="93" t="s">
        <v>288</v>
      </c>
      <c r="D90" s="1572">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2">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2">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2">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2">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2">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2">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2">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2">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2">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2">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2">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4">
        <f t="shared" si="36"/>
        <v>0</v>
      </c>
      <c r="Q90" s="940">
        <f t="shared" si="37"/>
        <v>0</v>
      </c>
      <c r="R90" s="325" t="e">
        <f>+P90/Q90</f>
        <v>#DIV/0!</v>
      </c>
      <c r="S90" s="1574">
        <f>SUMIFS('Table C4 Tracker'!$AV$43:$AV$1496,'Table C4 Tracker'!$O$43:$O$1496, "Green",'Table C4 Tracker'!$S$43:$S$1496,'Table C4 Tracker'!$CS$13,'Table C4 Tracker'!$R$43:$R$1496, 'Table C4 Tracker'!$CQ$5)</f>
        <v>0</v>
      </c>
      <c r="T90" s="1575">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5">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5">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6">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4"/>
      <c r="AE90" s="1116"/>
      <c r="AF90" s="1116"/>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39"/>
      <c r="C91" s="92" t="s">
        <v>42</v>
      </c>
      <c r="D91" s="1081">
        <f>+D90-D89</f>
        <v>0</v>
      </c>
      <c r="E91" s="1081">
        <f t="shared" ref="E91:O91" si="40">+E90-E89</f>
        <v>0</v>
      </c>
      <c r="F91" s="1081">
        <f t="shared" si="40"/>
        <v>0</v>
      </c>
      <c r="G91" s="1081">
        <f t="shared" si="40"/>
        <v>0</v>
      </c>
      <c r="H91" s="1081">
        <f t="shared" si="40"/>
        <v>0</v>
      </c>
      <c r="I91" s="1081">
        <f t="shared" si="40"/>
        <v>0</v>
      </c>
      <c r="J91" s="1081">
        <f t="shared" si="40"/>
        <v>0</v>
      </c>
      <c r="K91" s="1081">
        <f t="shared" si="40"/>
        <v>0</v>
      </c>
      <c r="L91" s="1081">
        <f t="shared" si="40"/>
        <v>0</v>
      </c>
      <c r="M91" s="1081">
        <f t="shared" si="40"/>
        <v>0</v>
      </c>
      <c r="N91" s="1081">
        <f t="shared" si="40"/>
        <v>0</v>
      </c>
      <c r="O91" s="1081">
        <f t="shared" si="40"/>
        <v>0</v>
      </c>
      <c r="P91" s="1465">
        <f t="shared" si="36"/>
        <v>0</v>
      </c>
      <c r="Q91" s="939">
        <f t="shared" si="37"/>
        <v>0</v>
      </c>
      <c r="R91" s="326" t="e">
        <f>+P91/P89</f>
        <v>#DIV/0!</v>
      </c>
      <c r="S91" s="1557">
        <f>+S90-S89</f>
        <v>0</v>
      </c>
      <c r="T91" s="1557">
        <f>+T90-T89</f>
        <v>0</v>
      </c>
      <c r="U91" s="594"/>
      <c r="V91" s="594"/>
      <c r="W91" s="756"/>
      <c r="X91" s="594"/>
      <c r="Y91" s="608"/>
      <c r="Z91" s="608"/>
      <c r="AA91" s="608"/>
      <c r="AB91" s="608"/>
      <c r="AC91" s="608"/>
      <c r="AD91" s="1144"/>
      <c r="AE91" s="1116"/>
      <c r="AF91" s="1116"/>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38" t="s">
        <v>298</v>
      </c>
      <c r="C92" s="1370" t="s">
        <v>291</v>
      </c>
      <c r="D92" s="1571">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1">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1">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1">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1">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1">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1">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1">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1">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1">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1">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1">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1">
        <f t="shared" ref="P92:P97" si="41">SUMPRODUCT($D$49:$O$49,D92:O92)</f>
        <v>0</v>
      </c>
      <c r="Q92" s="938">
        <f t="shared" ref="Q92:Q97" si="42">SUM(D92:O92)</f>
        <v>0</v>
      </c>
      <c r="R92" s="596"/>
      <c r="S92" s="1571">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3">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6"/>
      <c r="V92" s="594"/>
      <c r="W92" s="138"/>
      <c r="X92" s="594"/>
      <c r="Y92" s="608"/>
      <c r="Z92" s="608"/>
      <c r="AA92" s="608"/>
      <c r="AB92" s="608"/>
      <c r="AC92" s="608"/>
      <c r="AD92" s="1144"/>
      <c r="AE92" s="1116"/>
      <c r="AF92" s="1116"/>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39"/>
      <c r="C93" s="93" t="s">
        <v>288</v>
      </c>
      <c r="D93" s="1572">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2">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2">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2">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2">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2">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2">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2">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2">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2">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2">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2">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4">
        <f t="shared" si="41"/>
        <v>0</v>
      </c>
      <c r="Q93" s="940">
        <f t="shared" si="42"/>
        <v>0</v>
      </c>
      <c r="R93" s="325" t="e">
        <f>+P93/Q93</f>
        <v>#DIV/0!</v>
      </c>
      <c r="S93" s="1574">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5">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5">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5">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6">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4"/>
      <c r="AE93" s="1116"/>
      <c r="AF93" s="1116"/>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40"/>
      <c r="C94" s="1371" t="s">
        <v>42</v>
      </c>
      <c r="D94" s="1081">
        <f t="shared" ref="D94:O94" si="43">+D93-D92</f>
        <v>0</v>
      </c>
      <c r="E94" s="1461">
        <f t="shared" si="43"/>
        <v>0</v>
      </c>
      <c r="F94" s="1081">
        <f t="shared" si="43"/>
        <v>0</v>
      </c>
      <c r="G94" s="1461">
        <f t="shared" si="43"/>
        <v>0</v>
      </c>
      <c r="H94" s="1081">
        <f t="shared" si="43"/>
        <v>0</v>
      </c>
      <c r="I94" s="1081">
        <f t="shared" si="43"/>
        <v>0</v>
      </c>
      <c r="J94" s="1081">
        <f t="shared" si="43"/>
        <v>0</v>
      </c>
      <c r="K94" s="1081">
        <f t="shared" si="43"/>
        <v>0</v>
      </c>
      <c r="L94" s="1081">
        <f t="shared" si="43"/>
        <v>0</v>
      </c>
      <c r="M94" s="1461">
        <f t="shared" si="43"/>
        <v>0</v>
      </c>
      <c r="N94" s="1081">
        <f t="shared" si="43"/>
        <v>0</v>
      </c>
      <c r="O94" s="1457">
        <f t="shared" si="43"/>
        <v>0</v>
      </c>
      <c r="P94" s="1461">
        <f t="shared" si="41"/>
        <v>0</v>
      </c>
      <c r="Q94" s="939">
        <f t="shared" si="42"/>
        <v>0</v>
      </c>
      <c r="R94" s="326" t="e">
        <f>+P94/P92</f>
        <v>#DIV/0!</v>
      </c>
      <c r="S94" s="1557">
        <f>+S93-S92</f>
        <v>0</v>
      </c>
      <c r="T94" s="1557">
        <f>+T93-T92</f>
        <v>0</v>
      </c>
      <c r="U94" s="594"/>
      <c r="V94" s="594"/>
      <c r="W94" s="756"/>
      <c r="X94" s="594"/>
      <c r="Y94" s="608"/>
      <c r="Z94" s="608"/>
      <c r="AA94" s="608"/>
      <c r="AB94" s="608"/>
      <c r="AC94" s="608"/>
      <c r="AD94" s="1144"/>
      <c r="AE94" s="1116"/>
      <c r="AF94" s="1116"/>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39" t="s">
        <v>78</v>
      </c>
      <c r="C95" s="87" t="s">
        <v>291</v>
      </c>
      <c r="D95" s="73">
        <f t="shared" ref="D95:O95" si="44">SUM(D83,D86,D89,D92)</f>
        <v>0</v>
      </c>
      <c r="E95" s="1458">
        <f t="shared" si="44"/>
        <v>0</v>
      </c>
      <c r="F95" s="73">
        <f t="shared" si="44"/>
        <v>0</v>
      </c>
      <c r="G95" s="1458">
        <f t="shared" si="44"/>
        <v>0</v>
      </c>
      <c r="H95" s="73">
        <f t="shared" si="44"/>
        <v>0</v>
      </c>
      <c r="I95" s="73">
        <f t="shared" si="44"/>
        <v>0</v>
      </c>
      <c r="J95" s="73">
        <f t="shared" si="44"/>
        <v>0</v>
      </c>
      <c r="K95" s="73">
        <f t="shared" si="44"/>
        <v>0</v>
      </c>
      <c r="L95" s="73">
        <f t="shared" si="44"/>
        <v>0</v>
      </c>
      <c r="M95" s="1458">
        <f t="shared" si="44"/>
        <v>0</v>
      </c>
      <c r="N95" s="73">
        <f t="shared" si="44"/>
        <v>0</v>
      </c>
      <c r="O95" s="1455">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4"/>
      <c r="AE95" s="1116"/>
      <c r="AF95" s="1116"/>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39"/>
      <c r="C96" s="90" t="s">
        <v>288</v>
      </c>
      <c r="D96" s="75">
        <f t="shared" ref="D96:O96" si="46">SUM(D84,D87,D90,D93,)</f>
        <v>0</v>
      </c>
      <c r="E96" s="934">
        <f t="shared" si="46"/>
        <v>0</v>
      </c>
      <c r="F96" s="75">
        <f t="shared" si="46"/>
        <v>0</v>
      </c>
      <c r="G96" s="934">
        <f t="shared" si="46"/>
        <v>0</v>
      </c>
      <c r="H96" s="75">
        <f t="shared" si="46"/>
        <v>0</v>
      </c>
      <c r="I96" s="75">
        <f t="shared" si="46"/>
        <v>0</v>
      </c>
      <c r="J96" s="75">
        <f t="shared" si="46"/>
        <v>0</v>
      </c>
      <c r="K96" s="75">
        <f t="shared" si="46"/>
        <v>0</v>
      </c>
      <c r="L96" s="75">
        <f t="shared" si="46"/>
        <v>0</v>
      </c>
      <c r="M96" s="934">
        <f t="shared" si="46"/>
        <v>0</v>
      </c>
      <c r="N96" s="75">
        <f t="shared" si="46"/>
        <v>0</v>
      </c>
      <c r="O96" s="1463">
        <f t="shared" si="46"/>
        <v>0</v>
      </c>
      <c r="P96" s="75">
        <f t="shared" si="41"/>
        <v>0</v>
      </c>
      <c r="Q96" s="75">
        <f t="shared" si="42"/>
        <v>0</v>
      </c>
      <c r="R96" s="325" t="e">
        <f>+P96/Q96</f>
        <v>#DIV/0!</v>
      </c>
      <c r="S96" s="1456">
        <f>SUM(S93+S90+S87+S84)</f>
        <v>0</v>
      </c>
      <c r="T96" s="1456">
        <f t="shared" si="45"/>
        <v>0</v>
      </c>
      <c r="U96" s="595">
        <f t="shared" si="45"/>
        <v>0</v>
      </c>
      <c r="V96" s="595">
        <f t="shared" si="45"/>
        <v>0</v>
      </c>
      <c r="W96" s="111">
        <f>SUM(W78:W95)</f>
        <v>0</v>
      </c>
      <c r="X96" s="595">
        <f>SUM(X93+X90+X87+X84)</f>
        <v>0</v>
      </c>
      <c r="Y96" s="608"/>
      <c r="Z96" s="608"/>
      <c r="AA96" s="608"/>
      <c r="AB96" s="608"/>
      <c r="AC96" s="608"/>
      <c r="AD96" s="1144"/>
      <c r="AE96" s="1116"/>
      <c r="AF96" s="1116"/>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40"/>
      <c r="C97" s="92" t="s">
        <v>42</v>
      </c>
      <c r="D97" s="935">
        <f>+D96-D95</f>
        <v>0</v>
      </c>
      <c r="E97" s="936">
        <f t="shared" ref="E97:O97" si="47">+E96-E95</f>
        <v>0</v>
      </c>
      <c r="F97" s="936">
        <f t="shared" si="47"/>
        <v>0</v>
      </c>
      <c r="G97" s="936">
        <f t="shared" si="47"/>
        <v>0</v>
      </c>
      <c r="H97" s="936">
        <f t="shared" si="47"/>
        <v>0</v>
      </c>
      <c r="I97" s="936">
        <f t="shared" si="47"/>
        <v>0</v>
      </c>
      <c r="J97" s="936">
        <f t="shared" si="47"/>
        <v>0</v>
      </c>
      <c r="K97" s="936">
        <f t="shared" si="47"/>
        <v>0</v>
      </c>
      <c r="L97" s="936">
        <f t="shared" si="47"/>
        <v>0</v>
      </c>
      <c r="M97" s="936">
        <f t="shared" si="47"/>
        <v>0</v>
      </c>
      <c r="N97" s="936">
        <f t="shared" si="47"/>
        <v>0</v>
      </c>
      <c r="O97" s="937">
        <f t="shared" si="47"/>
        <v>0</v>
      </c>
      <c r="P97" s="123">
        <f t="shared" si="41"/>
        <v>0</v>
      </c>
      <c r="Q97" s="939">
        <f t="shared" si="42"/>
        <v>0</v>
      </c>
      <c r="R97" s="326" t="e">
        <f>+P97/P95</f>
        <v>#DIV/0!</v>
      </c>
      <c r="S97" s="1554">
        <f>+S96-S95</f>
        <v>0</v>
      </c>
      <c r="T97" s="1555">
        <f>+T96-T95</f>
        <v>0</v>
      </c>
      <c r="U97" s="63"/>
      <c r="V97" s="63"/>
      <c r="W97" s="608"/>
      <c r="X97" s="63"/>
      <c r="Y97" s="608"/>
      <c r="Z97" s="608"/>
      <c r="AA97" s="608"/>
      <c r="AB97" s="608"/>
      <c r="AC97" s="608"/>
      <c r="AD97" s="1144"/>
      <c r="AE97" s="1116"/>
      <c r="AF97" s="1116"/>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4"/>
      <c r="AE98" s="1116"/>
      <c r="AF98" s="1116"/>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4"/>
      <c r="AE99" s="1116"/>
      <c r="AF99" s="1116"/>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8"/>
      <c r="E100" s="918"/>
      <c r="F100" s="918"/>
      <c r="G100" s="918"/>
      <c r="H100" s="918"/>
      <c r="I100" s="919"/>
      <c r="J100" s="918" t="s">
        <v>289</v>
      </c>
      <c r="K100" s="918"/>
      <c r="L100" s="918"/>
      <c r="M100" s="918"/>
      <c r="N100" s="918"/>
      <c r="O100" s="918"/>
      <c r="P100" s="918"/>
      <c r="Q100" s="920"/>
      <c r="R100" s="80"/>
      <c r="S100" s="80"/>
      <c r="T100" s="80"/>
      <c r="U100" s="80"/>
      <c r="V100" s="80"/>
      <c r="W100" s="80"/>
      <c r="X100" s="80"/>
      <c r="Y100" s="608"/>
      <c r="Z100" s="608"/>
      <c r="AA100" s="608"/>
      <c r="AB100" s="608"/>
      <c r="AC100" s="608"/>
      <c r="AD100" s="1144"/>
      <c r="AE100" s="1116"/>
      <c r="AF100" s="1116"/>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9"/>
      <c r="E101" s="918"/>
      <c r="F101" s="918"/>
      <c r="G101" s="918"/>
      <c r="H101" s="918"/>
      <c r="I101" s="919"/>
      <c r="J101" s="918"/>
      <c r="K101" s="918"/>
      <c r="L101" s="918"/>
      <c r="M101" s="918"/>
      <c r="N101" s="918"/>
      <c r="O101" s="918"/>
      <c r="P101" s="918"/>
      <c r="Q101" s="920"/>
      <c r="R101" s="80"/>
      <c r="S101" s="80"/>
      <c r="T101" s="80"/>
      <c r="U101" s="80"/>
      <c r="V101" s="80"/>
      <c r="W101" s="80"/>
      <c r="X101" s="80"/>
      <c r="Y101" s="608"/>
      <c r="Z101" s="608"/>
      <c r="AA101" s="608"/>
      <c r="AB101" s="608"/>
      <c r="AC101" s="608"/>
      <c r="AD101" s="1144"/>
      <c r="AE101" s="1116"/>
      <c r="AF101" s="1116"/>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1"/>
      <c r="E102" s="921"/>
      <c r="F102" s="921"/>
      <c r="G102" s="921"/>
      <c r="H102" s="921"/>
      <c r="I102" s="922"/>
      <c r="J102" s="922"/>
      <c r="K102" s="921"/>
      <c r="L102" s="921"/>
      <c r="M102" s="921"/>
      <c r="N102" s="921"/>
      <c r="O102" s="921"/>
      <c r="P102" s="921"/>
      <c r="Q102" s="921"/>
      <c r="R102" s="80"/>
      <c r="S102" s="80"/>
      <c r="T102" s="80"/>
      <c r="U102" s="80"/>
      <c r="V102" s="80"/>
      <c r="W102" s="80"/>
      <c r="X102" s="80"/>
      <c r="Y102" s="608"/>
      <c r="Z102" s="608"/>
      <c r="AA102" s="608"/>
      <c r="AB102" s="608"/>
      <c r="AC102" s="608"/>
      <c r="AD102" s="1144"/>
      <c r="AE102" s="1116"/>
      <c r="AF102" s="1116"/>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0</v>
      </c>
      <c r="F103" s="108">
        <f t="shared" si="48"/>
        <v>0</v>
      </c>
      <c r="G103" s="108">
        <f t="shared" si="48"/>
        <v>0</v>
      </c>
      <c r="H103" s="108">
        <f t="shared" si="48"/>
        <v>0</v>
      </c>
      <c r="I103" s="108">
        <f t="shared" si="48"/>
        <v>0</v>
      </c>
      <c r="J103" s="108">
        <f t="shared" si="48"/>
        <v>0</v>
      </c>
      <c r="K103" s="108">
        <f t="shared" si="48"/>
        <v>0</v>
      </c>
      <c r="L103" s="108">
        <f t="shared" si="48"/>
        <v>0</v>
      </c>
      <c r="M103" s="108">
        <f t="shared" si="48"/>
        <v>0</v>
      </c>
      <c r="N103" s="108">
        <f t="shared" si="48"/>
        <v>0</v>
      </c>
      <c r="O103" s="108">
        <f t="shared" si="48"/>
        <v>0</v>
      </c>
      <c r="P103" s="923"/>
      <c r="Q103" s="924"/>
      <c r="R103" s="80"/>
      <c r="S103" s="80"/>
      <c r="T103" s="80"/>
      <c r="U103" s="80"/>
      <c r="V103" s="80"/>
      <c r="W103" s="80"/>
      <c r="X103" s="80"/>
      <c r="Y103" s="608"/>
      <c r="Z103" s="608"/>
      <c r="AA103" s="608"/>
      <c r="AB103" s="608"/>
      <c r="AC103" s="608"/>
      <c r="AD103" s="1144"/>
      <c r="AE103" s="1116"/>
      <c r="AF103" s="1116"/>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7"/>
      <c r="S104" s="3220"/>
      <c r="T104" s="3221"/>
      <c r="U104" s="3216"/>
      <c r="V104" s="3216"/>
      <c r="W104" s="2628"/>
      <c r="X104" s="3216"/>
      <c r="Y104" s="608"/>
      <c r="Z104" s="608"/>
      <c r="AA104" s="608"/>
      <c r="AB104" s="608"/>
      <c r="AC104" s="608"/>
      <c r="AD104" s="1144"/>
      <c r="AE104" s="1116"/>
      <c r="AF104" s="1116"/>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5" t="s">
        <v>181</v>
      </c>
      <c r="E105" s="105" t="s">
        <v>89</v>
      </c>
      <c r="F105" s="105" t="s">
        <v>90</v>
      </c>
      <c r="G105" s="925" t="s">
        <v>91</v>
      </c>
      <c r="H105" s="105" t="s">
        <v>92</v>
      </c>
      <c r="I105" s="105" t="s">
        <v>93</v>
      </c>
      <c r="J105" s="925" t="s">
        <v>94</v>
      </c>
      <c r="K105" s="105" t="s">
        <v>95</v>
      </c>
      <c r="L105" s="105" t="s">
        <v>96</v>
      </c>
      <c r="M105" s="925" t="s">
        <v>97</v>
      </c>
      <c r="N105" s="105" t="s">
        <v>98</v>
      </c>
      <c r="O105" s="926" t="s">
        <v>99</v>
      </c>
      <c r="P105" s="3219"/>
      <c r="Q105" s="3048"/>
      <c r="R105" s="2629"/>
      <c r="S105" s="2628"/>
      <c r="T105" s="2628"/>
      <c r="U105" s="2628"/>
      <c r="V105" s="2628"/>
      <c r="W105" s="2630"/>
      <c r="X105" s="3216"/>
      <c r="Y105" s="608"/>
      <c r="Z105" s="608"/>
      <c r="AA105" s="608"/>
      <c r="AB105" s="608"/>
      <c r="AC105" s="608"/>
      <c r="AD105" s="1144"/>
      <c r="AE105" s="1116"/>
      <c r="AF105" s="1116"/>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7"/>
      <c r="C106" s="129"/>
      <c r="D106" s="928" t="s">
        <v>50</v>
      </c>
      <c r="E106" s="928" t="s">
        <v>50</v>
      </c>
      <c r="F106" s="928" t="s">
        <v>50</v>
      </c>
      <c r="G106" s="928" t="s">
        <v>50</v>
      </c>
      <c r="H106" s="928" t="s">
        <v>50</v>
      </c>
      <c r="I106" s="928" t="s">
        <v>50</v>
      </c>
      <c r="J106" s="928" t="s">
        <v>50</v>
      </c>
      <c r="K106" s="928" t="s">
        <v>50</v>
      </c>
      <c r="L106" s="928" t="s">
        <v>50</v>
      </c>
      <c r="M106" s="928" t="s">
        <v>50</v>
      </c>
      <c r="N106" s="928" t="s">
        <v>50</v>
      </c>
      <c r="O106" s="1459" t="s">
        <v>50</v>
      </c>
      <c r="P106" s="2626"/>
      <c r="Q106" s="96"/>
      <c r="R106" s="2631"/>
      <c r="S106" s="2632"/>
      <c r="T106" s="2632"/>
      <c r="U106" s="2632"/>
      <c r="V106" s="2632"/>
      <c r="W106" s="2630"/>
      <c r="X106" s="2632"/>
      <c r="Y106" s="1144"/>
      <c r="Z106" s="1144"/>
      <c r="AA106" s="1144"/>
      <c r="AB106" s="1144"/>
      <c r="AC106" s="1144"/>
      <c r="AD106" s="1144"/>
      <c r="AE106" s="1116"/>
      <c r="AF106" s="1116"/>
      <c r="AG106" s="1116"/>
      <c r="AH106" s="1116"/>
      <c r="AI106" s="1116"/>
      <c r="AJ106" s="1116"/>
      <c r="AK106" s="1116"/>
      <c r="AL106" s="1116"/>
      <c r="AM106" s="1116"/>
      <c r="AN106" s="1116"/>
      <c r="AO106" s="1116"/>
      <c r="AP106" s="1116"/>
      <c r="AQ106" s="1116"/>
      <c r="AR106" s="1116"/>
      <c r="AS106" s="1116"/>
    </row>
    <row r="107" spans="1:87" ht="12.5">
      <c r="A107" s="130">
        <v>1</v>
      </c>
      <c r="B107" s="3038" t="s">
        <v>399</v>
      </c>
      <c r="C107" s="1370" t="s">
        <v>291</v>
      </c>
      <c r="D107" s="1571">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1">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1">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1">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1">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1">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1">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1">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1">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1">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1">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1">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3">
        <f t="shared" ref="P107:P139" si="49">SUMPRODUCT($D$103:$O$103,D107:O107)</f>
        <v>789.91666666666663</v>
      </c>
      <c r="Q107" s="938">
        <f>SUM(D107:O107)</f>
        <v>1416.0000000000002</v>
      </c>
      <c r="R107" s="2633"/>
      <c r="S107" s="2634"/>
      <c r="T107" s="2634"/>
      <c r="U107" s="2635"/>
      <c r="V107" s="2635"/>
      <c r="W107" s="2636"/>
      <c r="X107" s="2635"/>
      <c r="Y107" s="1144"/>
      <c r="Z107" s="1144"/>
      <c r="AA107" s="1144"/>
      <c r="AB107" s="1144"/>
      <c r="AC107" s="1144"/>
      <c r="AD107" s="1144"/>
      <c r="AE107" s="1116"/>
      <c r="AF107" s="1116"/>
      <c r="AG107" s="1116"/>
      <c r="AH107" s="1116"/>
      <c r="AI107" s="1116"/>
      <c r="AJ107" s="1116"/>
      <c r="AK107" s="1116"/>
      <c r="AL107" s="1116"/>
      <c r="AM107" s="1116"/>
      <c r="AN107" s="1116"/>
      <c r="AO107" s="1116"/>
      <c r="AP107" s="1116"/>
      <c r="AQ107" s="1116"/>
      <c r="AR107" s="1116"/>
      <c r="AS107" s="1116"/>
    </row>
    <row r="108" spans="1:87" ht="12.5">
      <c r="A108" s="131">
        <v>2</v>
      </c>
      <c r="B108" s="3039"/>
      <c r="C108" s="93" t="s">
        <v>288</v>
      </c>
      <c r="D108" s="1572">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2">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2">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2">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2">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2">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2">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2">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2">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2">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2">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2">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789.91666666666663</v>
      </c>
      <c r="Q108" s="940">
        <f t="shared" ref="Q108:Q115" si="50">SUM(D108:O108)</f>
        <v>1416.0000000000002</v>
      </c>
      <c r="R108" s="2637"/>
      <c r="S108" s="2634"/>
      <c r="T108" s="2634"/>
      <c r="U108" s="2634"/>
      <c r="V108" s="2634"/>
      <c r="W108" s="2638"/>
      <c r="X108" s="2634"/>
      <c r="Y108" s="1144"/>
      <c r="Z108" s="1144"/>
      <c r="AA108" s="1144"/>
      <c r="AB108" s="1144"/>
      <c r="AC108" s="1144"/>
      <c r="AD108" s="1144"/>
      <c r="AE108" s="1116"/>
      <c r="AF108" s="1116"/>
      <c r="AG108" s="1116"/>
      <c r="AH108" s="1116"/>
      <c r="AI108" s="1116"/>
      <c r="AJ108" s="1116"/>
      <c r="AK108" s="1116"/>
      <c r="AL108" s="1116"/>
      <c r="AM108" s="1116"/>
      <c r="AN108" s="1116"/>
      <c r="AO108" s="1116"/>
      <c r="AP108" s="1116"/>
      <c r="AQ108" s="1116"/>
      <c r="AR108" s="1116"/>
      <c r="AS108" s="1116"/>
    </row>
    <row r="109" spans="1:87" ht="13.5" thickBot="1">
      <c r="A109" s="131">
        <v>3</v>
      </c>
      <c r="B109" s="3040"/>
      <c r="C109" s="92" t="s">
        <v>42</v>
      </c>
      <c r="D109" s="1081">
        <f>+D108-D107</f>
        <v>0</v>
      </c>
      <c r="E109" s="1081">
        <f t="shared" ref="E109:O109" si="51">+E108-E107</f>
        <v>0</v>
      </c>
      <c r="F109" s="1081">
        <f t="shared" si="51"/>
        <v>0</v>
      </c>
      <c r="G109" s="1081">
        <f t="shared" si="51"/>
        <v>0</v>
      </c>
      <c r="H109" s="1081">
        <f t="shared" si="51"/>
        <v>0</v>
      </c>
      <c r="I109" s="1081">
        <f t="shared" si="51"/>
        <v>0</v>
      </c>
      <c r="J109" s="1081">
        <f t="shared" si="51"/>
        <v>0</v>
      </c>
      <c r="K109" s="1081">
        <f t="shared" si="51"/>
        <v>0</v>
      </c>
      <c r="L109" s="1081">
        <f t="shared" si="51"/>
        <v>0</v>
      </c>
      <c r="M109" s="1081">
        <f t="shared" si="51"/>
        <v>0</v>
      </c>
      <c r="N109" s="1081">
        <f t="shared" si="51"/>
        <v>0</v>
      </c>
      <c r="O109" s="1081">
        <f t="shared" si="51"/>
        <v>0</v>
      </c>
      <c r="P109" s="943">
        <f t="shared" si="49"/>
        <v>0</v>
      </c>
      <c r="Q109" s="939">
        <f t="shared" si="50"/>
        <v>0</v>
      </c>
      <c r="R109" s="2639"/>
      <c r="S109" s="2634"/>
      <c r="T109" s="2634"/>
      <c r="U109" s="2635"/>
      <c r="V109" s="2635"/>
      <c r="W109" s="2640"/>
      <c r="X109" s="2635"/>
      <c r="Y109" s="1144"/>
      <c r="Z109" s="1144"/>
      <c r="AA109" s="1144"/>
      <c r="AB109" s="1144"/>
      <c r="AC109" s="1144"/>
      <c r="AD109" s="1144"/>
      <c r="AE109" s="1116"/>
      <c r="AF109" s="1116"/>
      <c r="AG109" s="1116"/>
      <c r="AH109" s="1116"/>
      <c r="AI109" s="1116"/>
      <c r="AJ109" s="1116"/>
      <c r="AK109" s="1116"/>
      <c r="AL109" s="1116"/>
      <c r="AM109" s="1116"/>
      <c r="AN109" s="1116"/>
      <c r="AO109" s="1116"/>
      <c r="AP109" s="1116"/>
      <c r="AQ109" s="1116"/>
      <c r="AR109" s="1116"/>
      <c r="AS109" s="1116"/>
    </row>
    <row r="110" spans="1:87" ht="12.5">
      <c r="A110" s="132">
        <v>4</v>
      </c>
      <c r="B110" s="3038" t="s">
        <v>397</v>
      </c>
      <c r="C110" s="1370" t="s">
        <v>291</v>
      </c>
      <c r="D110" s="1571">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1">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1">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1">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1">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1">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1">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1">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1">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1">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1">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1">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1">
        <f t="shared" si="49"/>
        <v>454.5</v>
      </c>
      <c r="Q110" s="938">
        <f t="shared" si="50"/>
        <v>1758</v>
      </c>
      <c r="R110" s="2633"/>
      <c r="S110" s="2634"/>
      <c r="T110" s="2634"/>
      <c r="U110" s="2635"/>
      <c r="V110" s="2635"/>
      <c r="W110" s="2636"/>
      <c r="X110" s="2635"/>
      <c r="Y110" s="1144"/>
      <c r="Z110" s="1144"/>
      <c r="AA110" s="1144"/>
      <c r="AB110" s="1144"/>
      <c r="AC110" s="1144"/>
      <c r="AD110" s="1144"/>
      <c r="AE110" s="1116"/>
      <c r="AF110" s="1116"/>
      <c r="AG110" s="1116"/>
      <c r="AH110" s="1116"/>
      <c r="AI110" s="1116"/>
      <c r="AJ110" s="1116"/>
      <c r="AK110" s="1116"/>
      <c r="AL110" s="1116"/>
      <c r="AM110" s="1116"/>
      <c r="AN110" s="1116"/>
      <c r="AO110" s="1116"/>
      <c r="AP110" s="1116"/>
      <c r="AQ110" s="1116"/>
      <c r="AR110" s="1116"/>
      <c r="AS110" s="1116"/>
    </row>
    <row r="111" spans="1:87" ht="12.5">
      <c r="A111" s="131">
        <v>5</v>
      </c>
      <c r="B111" s="3039"/>
      <c r="C111" s="93" t="s">
        <v>288</v>
      </c>
      <c r="D111" s="1572">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2">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2">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2">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2">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2">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2">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2">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2">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2">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2">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2">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454.5</v>
      </c>
      <c r="Q111" s="940">
        <f t="shared" si="50"/>
        <v>1758</v>
      </c>
      <c r="R111" s="2637"/>
      <c r="S111" s="2634"/>
      <c r="T111" s="2634"/>
      <c r="U111" s="2634"/>
      <c r="V111" s="2634"/>
      <c r="W111" s="2638"/>
      <c r="X111" s="2634"/>
      <c r="Y111" s="1144"/>
      <c r="Z111" s="1144"/>
      <c r="AA111" s="1144"/>
      <c r="AB111" s="1144"/>
      <c r="AC111" s="1144"/>
      <c r="AD111" s="1144"/>
      <c r="AE111" s="1116"/>
      <c r="AF111" s="1116"/>
      <c r="AG111" s="1116"/>
      <c r="AH111" s="1116"/>
      <c r="AI111" s="1116"/>
      <c r="AJ111" s="1116"/>
      <c r="AK111" s="1116"/>
      <c r="AL111" s="1116"/>
      <c r="AM111" s="1116"/>
      <c r="AN111" s="1116"/>
      <c r="AO111" s="1116"/>
      <c r="AP111" s="1116"/>
      <c r="AQ111" s="1116"/>
      <c r="AR111" s="1116"/>
      <c r="AS111" s="1116"/>
    </row>
    <row r="112" spans="1:87" ht="13.5" thickBot="1">
      <c r="A112" s="131">
        <v>6</v>
      </c>
      <c r="B112" s="3040"/>
      <c r="C112" s="92" t="s">
        <v>42</v>
      </c>
      <c r="D112" s="1081">
        <f>+D111-D110</f>
        <v>0</v>
      </c>
      <c r="E112" s="1081">
        <f t="shared" ref="E112:O112" si="52">+E111-E110</f>
        <v>0</v>
      </c>
      <c r="F112" s="1081">
        <f t="shared" si="52"/>
        <v>0</v>
      </c>
      <c r="G112" s="1081">
        <f t="shared" si="52"/>
        <v>0</v>
      </c>
      <c r="H112" s="1081">
        <f t="shared" si="52"/>
        <v>0</v>
      </c>
      <c r="I112" s="1081">
        <f t="shared" si="52"/>
        <v>0</v>
      </c>
      <c r="J112" s="1081">
        <f t="shared" si="52"/>
        <v>0</v>
      </c>
      <c r="K112" s="1081">
        <f t="shared" si="52"/>
        <v>0</v>
      </c>
      <c r="L112" s="1081">
        <f t="shared" si="52"/>
        <v>0</v>
      </c>
      <c r="M112" s="1081">
        <f t="shared" si="52"/>
        <v>0</v>
      </c>
      <c r="N112" s="1081">
        <f t="shared" si="52"/>
        <v>0</v>
      </c>
      <c r="O112" s="1081">
        <f t="shared" si="52"/>
        <v>0</v>
      </c>
      <c r="P112" s="942">
        <f t="shared" si="49"/>
        <v>0</v>
      </c>
      <c r="Q112" s="939">
        <f t="shared" si="50"/>
        <v>0</v>
      </c>
      <c r="R112" s="2639"/>
      <c r="S112" s="2634"/>
      <c r="T112" s="2634"/>
      <c r="U112" s="2635"/>
      <c r="V112" s="2635"/>
      <c r="W112" s="2640"/>
      <c r="X112" s="2635"/>
      <c r="Y112" s="1144"/>
      <c r="Z112" s="1144"/>
      <c r="AA112" s="1144"/>
      <c r="AB112" s="1144"/>
      <c r="AC112" s="1144"/>
      <c r="AD112" s="1144"/>
      <c r="AE112" s="1116"/>
      <c r="AF112" s="1116"/>
      <c r="AG112" s="1116"/>
      <c r="AH112" s="1116"/>
      <c r="AI112" s="1116"/>
      <c r="AJ112" s="1116"/>
      <c r="AK112" s="1116"/>
      <c r="AL112" s="1116"/>
      <c r="AM112" s="1116"/>
      <c r="AN112" s="1116"/>
      <c r="AO112" s="1116"/>
      <c r="AP112" s="1116"/>
      <c r="AQ112" s="1116"/>
      <c r="AR112" s="1116"/>
      <c r="AS112" s="1116"/>
    </row>
    <row r="113" spans="1:45" ht="12.5">
      <c r="A113" s="132">
        <v>7</v>
      </c>
      <c r="B113" s="3038" t="s">
        <v>1264</v>
      </c>
      <c r="C113" s="87" t="s">
        <v>291</v>
      </c>
      <c r="D113" s="1571">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1">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1">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1">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1">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1">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1">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1">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1">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1">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1">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1">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8">
        <f t="shared" si="50"/>
        <v>0</v>
      </c>
      <c r="R113" s="2633"/>
      <c r="S113" s="2634"/>
      <c r="T113" s="2634"/>
      <c r="U113" s="2635"/>
      <c r="V113" s="2635"/>
      <c r="W113" s="2636"/>
      <c r="X113" s="2635"/>
      <c r="Y113" s="1144"/>
      <c r="Z113" s="1144"/>
      <c r="AA113" s="1144"/>
      <c r="AB113" s="1144"/>
      <c r="AC113" s="1144"/>
      <c r="AD113" s="1144"/>
      <c r="AE113" s="1116"/>
      <c r="AF113" s="1116"/>
      <c r="AG113" s="1116"/>
      <c r="AH113" s="1116"/>
      <c r="AI113" s="1116"/>
      <c r="AJ113" s="1116"/>
      <c r="AK113" s="1116"/>
      <c r="AL113" s="1116"/>
      <c r="AM113" s="1116"/>
      <c r="AN113" s="1116"/>
      <c r="AO113" s="1116"/>
      <c r="AP113" s="1116"/>
      <c r="AQ113" s="1116"/>
      <c r="AR113" s="1116"/>
      <c r="AS113" s="1116"/>
    </row>
    <row r="114" spans="1:45" ht="12.5">
      <c r="A114" s="131">
        <v>8</v>
      </c>
      <c r="B114" s="3039"/>
      <c r="C114" s="90" t="s">
        <v>288</v>
      </c>
      <c r="D114" s="1572">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2">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2">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2">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2">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2">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2">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2">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2">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2">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2">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2">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40">
        <f t="shared" si="50"/>
        <v>0</v>
      </c>
      <c r="R114" s="2637"/>
      <c r="S114" s="2634"/>
      <c r="T114" s="2634"/>
      <c r="U114" s="2634"/>
      <c r="V114" s="2634"/>
      <c r="W114" s="2638"/>
      <c r="X114" s="2634"/>
      <c r="Y114" s="1144"/>
      <c r="Z114" s="1144"/>
      <c r="AA114" s="1144"/>
      <c r="AB114" s="1144"/>
      <c r="AC114" s="1144"/>
      <c r="AD114" s="1144"/>
      <c r="AE114" s="1116"/>
      <c r="AF114" s="1116"/>
      <c r="AG114" s="1116"/>
      <c r="AH114" s="1116"/>
      <c r="AI114" s="1116"/>
      <c r="AJ114" s="1116"/>
      <c r="AK114" s="1116"/>
      <c r="AL114" s="1116"/>
      <c r="AM114" s="1116"/>
      <c r="AN114" s="1116"/>
      <c r="AO114" s="1116"/>
      <c r="AP114" s="1116"/>
      <c r="AQ114" s="1116"/>
      <c r="AR114" s="1116"/>
      <c r="AS114" s="1116"/>
    </row>
    <row r="115" spans="1:45" ht="13.5" thickBot="1">
      <c r="A115" s="133">
        <v>9</v>
      </c>
      <c r="B115" s="3040"/>
      <c r="C115" s="92" t="s">
        <v>42</v>
      </c>
      <c r="D115" s="1081">
        <f>+D114-D113</f>
        <v>0</v>
      </c>
      <c r="E115" s="1081">
        <f t="shared" ref="E115:O115" si="53">+E114-E113</f>
        <v>0</v>
      </c>
      <c r="F115" s="1081">
        <f t="shared" si="53"/>
        <v>0</v>
      </c>
      <c r="G115" s="1081">
        <f t="shared" si="53"/>
        <v>0</v>
      </c>
      <c r="H115" s="1081">
        <f t="shared" si="53"/>
        <v>0</v>
      </c>
      <c r="I115" s="1081">
        <f t="shared" si="53"/>
        <v>0</v>
      </c>
      <c r="J115" s="1081">
        <f t="shared" si="53"/>
        <v>0</v>
      </c>
      <c r="K115" s="1081">
        <f t="shared" si="53"/>
        <v>0</v>
      </c>
      <c r="L115" s="1081">
        <f t="shared" si="53"/>
        <v>0</v>
      </c>
      <c r="M115" s="1081">
        <f t="shared" si="53"/>
        <v>0</v>
      </c>
      <c r="N115" s="1081">
        <f t="shared" si="53"/>
        <v>0</v>
      </c>
      <c r="O115" s="1081">
        <f t="shared" si="53"/>
        <v>0</v>
      </c>
      <c r="P115" s="944">
        <f t="shared" si="49"/>
        <v>0</v>
      </c>
      <c r="Q115" s="939">
        <f t="shared" si="50"/>
        <v>0</v>
      </c>
      <c r="R115" s="2639"/>
      <c r="S115" s="2634"/>
      <c r="T115" s="2634"/>
      <c r="U115" s="2635"/>
      <c r="V115" s="2635"/>
      <c r="W115" s="2640"/>
      <c r="X115" s="2635"/>
      <c r="Y115" s="1144"/>
      <c r="Z115" s="1144"/>
      <c r="AA115" s="1144"/>
      <c r="AB115" s="1144"/>
      <c r="AC115" s="1144"/>
      <c r="AD115" s="1144"/>
      <c r="AE115" s="1116"/>
      <c r="AF115" s="1116"/>
      <c r="AG115" s="1116"/>
      <c r="AH115" s="1116"/>
      <c r="AI115" s="1116"/>
      <c r="AJ115" s="1116"/>
      <c r="AK115" s="1116"/>
      <c r="AL115" s="1116"/>
      <c r="AM115" s="1116"/>
      <c r="AN115" s="1116"/>
      <c r="AO115" s="1116"/>
      <c r="AP115" s="1116"/>
      <c r="AQ115" s="1116"/>
      <c r="AR115" s="1116"/>
      <c r="AS115" s="1116"/>
    </row>
    <row r="116" spans="1:45" ht="12.5">
      <c r="A116" s="131">
        <v>7</v>
      </c>
      <c r="B116" s="3039" t="s">
        <v>1265</v>
      </c>
      <c r="C116" s="82" t="s">
        <v>291</v>
      </c>
      <c r="D116" s="1571">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1">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1">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1">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1">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1">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1">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1">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1">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1">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1">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1">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3">
        <f t="shared" si="49"/>
        <v>0</v>
      </c>
      <c r="Q116" s="938">
        <f t="shared" ref="Q116:Q118" si="54">SUM(D116:O116)</f>
        <v>0</v>
      </c>
      <c r="R116" s="2633"/>
      <c r="S116" s="2634"/>
      <c r="T116" s="2634"/>
      <c r="U116" s="2635"/>
      <c r="V116" s="2635"/>
      <c r="W116" s="2636"/>
      <c r="X116" s="2635"/>
      <c r="Y116" s="1144"/>
      <c r="Z116" s="1144"/>
      <c r="AA116" s="1144"/>
      <c r="AB116" s="1144"/>
      <c r="AC116" s="1144"/>
      <c r="AD116" s="1144"/>
      <c r="AE116" s="1116"/>
      <c r="AF116" s="1116"/>
      <c r="AG116" s="1116"/>
      <c r="AH116" s="1116"/>
      <c r="AI116" s="1116"/>
      <c r="AJ116" s="1116"/>
      <c r="AK116" s="1116"/>
      <c r="AL116" s="1116"/>
      <c r="AM116" s="1116"/>
      <c r="AN116" s="1116"/>
      <c r="AO116" s="1116"/>
      <c r="AP116" s="1116"/>
      <c r="AQ116" s="1116"/>
      <c r="AR116" s="1116"/>
      <c r="AS116" s="1116"/>
    </row>
    <row r="117" spans="1:45" ht="12.5">
      <c r="A117" s="131">
        <v>8</v>
      </c>
      <c r="B117" s="3039"/>
      <c r="C117" s="93" t="s">
        <v>288</v>
      </c>
      <c r="D117" s="1572">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2">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2">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2">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2">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2">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2">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2">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2">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2">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2">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2">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40">
        <f t="shared" si="54"/>
        <v>0</v>
      </c>
      <c r="R117" s="2637"/>
      <c r="S117" s="2634"/>
      <c r="T117" s="2634"/>
      <c r="U117" s="2634"/>
      <c r="V117" s="2634"/>
      <c r="W117" s="2638"/>
      <c r="X117" s="2634"/>
      <c r="Y117" s="1144"/>
      <c r="Z117" s="1144"/>
      <c r="AA117" s="1144"/>
      <c r="AB117" s="1144"/>
      <c r="AC117" s="1144"/>
      <c r="AD117" s="1144"/>
      <c r="AE117" s="1116"/>
      <c r="AF117" s="1116"/>
      <c r="AG117" s="1116"/>
      <c r="AH117" s="1116"/>
      <c r="AI117" s="1116"/>
      <c r="AJ117" s="1116"/>
      <c r="AK117" s="1116"/>
      <c r="AL117" s="1116"/>
      <c r="AM117" s="1116"/>
      <c r="AN117" s="1116"/>
      <c r="AO117" s="1116"/>
      <c r="AP117" s="1116"/>
      <c r="AQ117" s="1116"/>
      <c r="AR117" s="1116"/>
      <c r="AS117" s="1116"/>
    </row>
    <row r="118" spans="1:45" ht="13.5" thickBot="1">
      <c r="A118" s="131">
        <v>9</v>
      </c>
      <c r="B118" s="3039"/>
      <c r="C118" s="92" t="s">
        <v>42</v>
      </c>
      <c r="D118" s="1081">
        <f>+D117-D116</f>
        <v>0</v>
      </c>
      <c r="E118" s="1081">
        <f t="shared" ref="E118:O118" si="55">+E117-E116</f>
        <v>0</v>
      </c>
      <c r="F118" s="1081">
        <f t="shared" si="55"/>
        <v>0</v>
      </c>
      <c r="G118" s="1081">
        <f t="shared" si="55"/>
        <v>0</v>
      </c>
      <c r="H118" s="1081">
        <f t="shared" si="55"/>
        <v>0</v>
      </c>
      <c r="I118" s="1081">
        <f t="shared" si="55"/>
        <v>0</v>
      </c>
      <c r="J118" s="1081">
        <f t="shared" si="55"/>
        <v>0</v>
      </c>
      <c r="K118" s="1081">
        <f t="shared" si="55"/>
        <v>0</v>
      </c>
      <c r="L118" s="1081">
        <f t="shared" si="55"/>
        <v>0</v>
      </c>
      <c r="M118" s="1081">
        <f t="shared" si="55"/>
        <v>0</v>
      </c>
      <c r="N118" s="1081">
        <f t="shared" si="55"/>
        <v>0</v>
      </c>
      <c r="O118" s="1081">
        <f t="shared" si="55"/>
        <v>0</v>
      </c>
      <c r="P118" s="943">
        <f t="shared" si="49"/>
        <v>0</v>
      </c>
      <c r="Q118" s="939">
        <f t="shared" si="54"/>
        <v>0</v>
      </c>
      <c r="R118" s="2639"/>
      <c r="S118" s="2634"/>
      <c r="T118" s="2634"/>
      <c r="U118" s="2635"/>
      <c r="V118" s="2635"/>
      <c r="W118" s="2640"/>
      <c r="X118" s="2635"/>
      <c r="Y118" s="1144"/>
      <c r="Z118" s="1144"/>
      <c r="AA118" s="1144"/>
      <c r="AB118" s="1144"/>
      <c r="AC118" s="1144"/>
      <c r="AD118" s="1144"/>
      <c r="AE118" s="1116"/>
      <c r="AF118" s="1116"/>
      <c r="AG118" s="1116"/>
      <c r="AH118" s="1116"/>
      <c r="AI118" s="1116"/>
      <c r="AJ118" s="1116"/>
      <c r="AK118" s="1116"/>
      <c r="AL118" s="1116"/>
      <c r="AM118" s="1116"/>
      <c r="AN118" s="1116"/>
      <c r="AO118" s="1116"/>
      <c r="AP118" s="1116"/>
      <c r="AQ118" s="1116"/>
      <c r="AR118" s="1116"/>
      <c r="AS118" s="1116"/>
    </row>
    <row r="119" spans="1:45" ht="12.5">
      <c r="A119" s="130">
        <v>10</v>
      </c>
      <c r="B119" s="3038" t="s">
        <v>1266</v>
      </c>
      <c r="C119" s="87" t="s">
        <v>291</v>
      </c>
      <c r="D119" s="1571">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1">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1">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1">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1">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1">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1">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1">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1">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1">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1">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1">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8">
        <f>SUM(D119:O119)</f>
        <v>0</v>
      </c>
      <c r="R119" s="2633"/>
      <c r="S119" s="2634"/>
      <c r="T119" s="2634"/>
      <c r="U119" s="2635"/>
      <c r="V119" s="2635"/>
      <c r="W119" s="2636"/>
      <c r="X119" s="2635"/>
      <c r="Y119" s="1144"/>
      <c r="Z119" s="1144"/>
      <c r="AA119" s="1144"/>
      <c r="AB119" s="1144"/>
      <c r="AC119" s="1144"/>
      <c r="AD119" s="1144"/>
      <c r="AE119" s="1116"/>
      <c r="AF119" s="1116"/>
      <c r="AG119" s="1116"/>
      <c r="AH119" s="1116"/>
      <c r="AI119" s="1116"/>
      <c r="AJ119" s="1116"/>
      <c r="AK119" s="1116"/>
      <c r="AL119" s="1116"/>
      <c r="AM119" s="1116"/>
      <c r="AN119" s="1116"/>
      <c r="AO119" s="1116"/>
      <c r="AP119" s="1116"/>
      <c r="AQ119" s="1116"/>
      <c r="AR119" s="1116"/>
      <c r="AS119" s="1116"/>
    </row>
    <row r="120" spans="1:45" ht="12.5">
      <c r="A120" s="131">
        <v>11</v>
      </c>
      <c r="B120" s="3217"/>
      <c r="C120" s="90" t="s">
        <v>288</v>
      </c>
      <c r="D120" s="1572">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2">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2">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2">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2">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2">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2">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2">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2">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2">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2">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2">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40">
        <f>SUM(D120:O120)</f>
        <v>0</v>
      </c>
      <c r="R120" s="2637"/>
      <c r="S120" s="2634"/>
      <c r="T120" s="2634"/>
      <c r="U120" s="2634"/>
      <c r="V120" s="2634"/>
      <c r="W120" s="2638"/>
      <c r="X120" s="2634"/>
      <c r="Y120" s="1144"/>
      <c r="Z120" s="1144"/>
      <c r="AA120" s="1144"/>
      <c r="AB120" s="1144"/>
      <c r="AC120" s="1144"/>
      <c r="AD120" s="1144"/>
      <c r="AE120" s="1116"/>
      <c r="AF120" s="1116"/>
      <c r="AG120" s="1116"/>
      <c r="AH120" s="1116"/>
      <c r="AI120" s="1116"/>
      <c r="AJ120" s="1116"/>
      <c r="AK120" s="1116"/>
      <c r="AL120" s="1116"/>
      <c r="AM120" s="1116"/>
      <c r="AN120" s="1116"/>
      <c r="AO120" s="1116"/>
      <c r="AP120" s="1116"/>
      <c r="AQ120" s="1116"/>
      <c r="AR120" s="1116"/>
      <c r="AS120" s="1116"/>
    </row>
    <row r="121" spans="1:45" ht="13.5" thickBot="1">
      <c r="A121" s="131">
        <v>12</v>
      </c>
      <c r="B121" s="3218"/>
      <c r="C121" s="92" t="s">
        <v>42</v>
      </c>
      <c r="D121" s="1081">
        <f>+D120-D119</f>
        <v>0</v>
      </c>
      <c r="E121" s="1081">
        <f t="shared" ref="E121:O121" si="56">+E120-E119</f>
        <v>0</v>
      </c>
      <c r="F121" s="1081">
        <f t="shared" si="56"/>
        <v>0</v>
      </c>
      <c r="G121" s="1081">
        <f t="shared" si="56"/>
        <v>0</v>
      </c>
      <c r="H121" s="1081">
        <f t="shared" si="56"/>
        <v>0</v>
      </c>
      <c r="I121" s="1081">
        <f t="shared" si="56"/>
        <v>0</v>
      </c>
      <c r="J121" s="1081">
        <f t="shared" si="56"/>
        <v>0</v>
      </c>
      <c r="K121" s="1081">
        <f t="shared" si="56"/>
        <v>0</v>
      </c>
      <c r="L121" s="1081">
        <f t="shared" si="56"/>
        <v>0</v>
      </c>
      <c r="M121" s="1081">
        <f t="shared" si="56"/>
        <v>0</v>
      </c>
      <c r="N121" s="1081">
        <f t="shared" si="56"/>
        <v>0</v>
      </c>
      <c r="O121" s="1081">
        <f t="shared" si="56"/>
        <v>0</v>
      </c>
      <c r="P121" s="943">
        <f t="shared" si="49"/>
        <v>0</v>
      </c>
      <c r="Q121" s="939">
        <f>SUM(D121:O121)</f>
        <v>0</v>
      </c>
      <c r="R121" s="2639"/>
      <c r="S121" s="2634"/>
      <c r="T121" s="2634"/>
      <c r="U121" s="2635"/>
      <c r="V121" s="2635"/>
      <c r="W121" s="2640"/>
      <c r="X121" s="2635"/>
      <c r="Y121" s="1144"/>
      <c r="Z121" s="1144"/>
      <c r="AA121" s="1144"/>
      <c r="AB121" s="1144"/>
      <c r="AC121" s="1144"/>
      <c r="AD121" s="1144"/>
      <c r="AE121" s="1116"/>
      <c r="AF121" s="1116"/>
      <c r="AG121" s="1116"/>
      <c r="AH121" s="1116"/>
      <c r="AI121" s="1116"/>
      <c r="AJ121" s="1116"/>
      <c r="AK121" s="1116"/>
      <c r="AL121" s="1116"/>
      <c r="AM121" s="1116"/>
      <c r="AN121" s="1116"/>
      <c r="AO121" s="1116"/>
      <c r="AP121" s="1116"/>
      <c r="AQ121" s="1116"/>
      <c r="AR121" s="1116"/>
      <c r="AS121" s="1116"/>
    </row>
    <row r="122" spans="1:45" ht="14" customHeight="1">
      <c r="A122" s="132">
        <v>13</v>
      </c>
      <c r="B122" s="3038" t="s">
        <v>1267</v>
      </c>
      <c r="C122" s="1370" t="s">
        <v>291</v>
      </c>
      <c r="D122" s="1571">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1">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1">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1">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1">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1">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1">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1">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1">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1">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1">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1">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1">
        <f t="shared" si="49"/>
        <v>0</v>
      </c>
      <c r="Q122" s="938">
        <f t="shared" ref="Q122:Q139" si="57">SUM(D122:O122)</f>
        <v>0</v>
      </c>
      <c r="R122" s="2633"/>
      <c r="S122" s="2634"/>
      <c r="T122" s="2634"/>
      <c r="U122" s="2635"/>
      <c r="V122" s="2635"/>
      <c r="W122" s="2636"/>
      <c r="X122" s="2635"/>
      <c r="Y122" s="1144"/>
      <c r="Z122" s="1144"/>
      <c r="AA122" s="1144"/>
      <c r="AB122" s="1144"/>
      <c r="AC122" s="1144"/>
      <c r="AD122" s="1144"/>
      <c r="AE122" s="1116"/>
      <c r="AF122" s="1116"/>
      <c r="AG122" s="1116"/>
      <c r="AH122" s="1116"/>
      <c r="AI122" s="1116"/>
      <c r="AJ122" s="1116"/>
      <c r="AK122" s="1116"/>
      <c r="AL122" s="1116"/>
      <c r="AM122" s="1116"/>
      <c r="AN122" s="1116"/>
      <c r="AO122" s="1116"/>
      <c r="AP122" s="1116"/>
      <c r="AQ122" s="1116"/>
      <c r="AR122" s="1116"/>
      <c r="AS122" s="1116"/>
    </row>
    <row r="123" spans="1:45" ht="12.5">
      <c r="A123" s="131">
        <v>14</v>
      </c>
      <c r="B123" s="3039"/>
      <c r="C123" s="93" t="s">
        <v>288</v>
      </c>
      <c r="D123" s="1572">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2">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2">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2">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2">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2">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2">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2">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2">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2">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2">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2">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40">
        <f t="shared" si="57"/>
        <v>0</v>
      </c>
      <c r="R123" s="2637"/>
      <c r="S123" s="2634"/>
      <c r="T123" s="2634"/>
      <c r="U123" s="2634"/>
      <c r="V123" s="2634"/>
      <c r="W123" s="2638"/>
      <c r="X123" s="2634"/>
      <c r="Y123" s="1144"/>
      <c r="Z123" s="1144"/>
      <c r="AA123" s="1144"/>
      <c r="AB123" s="1144"/>
      <c r="AC123" s="1144"/>
      <c r="AD123" s="1144"/>
      <c r="AE123" s="1116"/>
      <c r="AF123" s="1116"/>
      <c r="AG123" s="1116"/>
      <c r="AH123" s="1116"/>
      <c r="AI123" s="1116"/>
      <c r="AJ123" s="1116"/>
      <c r="AK123" s="1116"/>
      <c r="AL123" s="1116"/>
      <c r="AM123" s="1116"/>
      <c r="AN123" s="1116"/>
      <c r="AO123" s="1116"/>
      <c r="AP123" s="1116"/>
      <c r="AQ123" s="1116"/>
      <c r="AR123" s="1116"/>
      <c r="AS123" s="1116"/>
    </row>
    <row r="124" spans="1:45" ht="13.5" thickBot="1">
      <c r="A124" s="131">
        <v>15</v>
      </c>
      <c r="B124" s="3040"/>
      <c r="C124" s="92" t="s">
        <v>42</v>
      </c>
      <c r="D124" s="1081">
        <f>+D123-D122</f>
        <v>0</v>
      </c>
      <c r="E124" s="1081">
        <f t="shared" ref="E124:O124" si="58">+E123-E122</f>
        <v>0</v>
      </c>
      <c r="F124" s="1081">
        <f t="shared" si="58"/>
        <v>0</v>
      </c>
      <c r="G124" s="1081">
        <f t="shared" si="58"/>
        <v>0</v>
      </c>
      <c r="H124" s="1081">
        <f t="shared" si="58"/>
        <v>0</v>
      </c>
      <c r="I124" s="1081">
        <f t="shared" si="58"/>
        <v>0</v>
      </c>
      <c r="J124" s="1081">
        <f t="shared" si="58"/>
        <v>0</v>
      </c>
      <c r="K124" s="1081">
        <f t="shared" si="58"/>
        <v>0</v>
      </c>
      <c r="L124" s="1081">
        <f t="shared" si="58"/>
        <v>0</v>
      </c>
      <c r="M124" s="1081">
        <f t="shared" si="58"/>
        <v>0</v>
      </c>
      <c r="N124" s="1081">
        <f t="shared" si="58"/>
        <v>0</v>
      </c>
      <c r="O124" s="1081">
        <f t="shared" si="58"/>
        <v>0</v>
      </c>
      <c r="P124" s="942">
        <f t="shared" si="49"/>
        <v>0</v>
      </c>
      <c r="Q124" s="939">
        <f t="shared" si="57"/>
        <v>0</v>
      </c>
      <c r="R124" s="2639"/>
      <c r="S124" s="2634"/>
      <c r="T124" s="2634"/>
      <c r="U124" s="2635"/>
      <c r="V124" s="2635"/>
      <c r="W124" s="2640"/>
      <c r="X124" s="2635"/>
      <c r="Y124" s="1144"/>
      <c r="Z124" s="1144"/>
      <c r="AA124" s="1144"/>
      <c r="AB124" s="1144"/>
      <c r="AC124" s="1144"/>
      <c r="AD124" s="1144"/>
      <c r="AE124" s="1116"/>
      <c r="AF124" s="1116"/>
      <c r="AG124" s="1116"/>
      <c r="AH124" s="1116"/>
      <c r="AI124" s="1116"/>
      <c r="AJ124" s="1116"/>
      <c r="AK124" s="1116"/>
      <c r="AL124" s="1116"/>
      <c r="AM124" s="1116"/>
      <c r="AN124" s="1116"/>
      <c r="AO124" s="1116"/>
      <c r="AP124" s="1116"/>
      <c r="AQ124" s="1116"/>
      <c r="AR124" s="1116"/>
      <c r="AS124" s="1116"/>
    </row>
    <row r="125" spans="1:45" ht="12.5">
      <c r="A125" s="132">
        <v>16</v>
      </c>
      <c r="B125" s="3038" t="s">
        <v>464</v>
      </c>
      <c r="C125" s="1370" t="s">
        <v>291</v>
      </c>
      <c r="D125" s="1571">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1">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1">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1">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1">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1">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1">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1">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1">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1">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1">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1">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1">
        <f t="shared" si="49"/>
        <v>0</v>
      </c>
      <c r="Q125" s="938">
        <f t="shared" ref="Q125:Q130" si="59">SUM(D125:O125)</f>
        <v>0</v>
      </c>
      <c r="R125" s="2633"/>
      <c r="S125" s="2634"/>
      <c r="T125" s="2634"/>
      <c r="U125" s="2635"/>
      <c r="V125" s="2635"/>
      <c r="W125" s="2636"/>
      <c r="X125" s="2635"/>
      <c r="Y125" s="1144"/>
      <c r="Z125" s="1144"/>
      <c r="AA125" s="1144"/>
      <c r="AB125" s="1144"/>
      <c r="AC125" s="1144"/>
      <c r="AD125" s="1144"/>
      <c r="AE125" s="1116"/>
      <c r="AF125" s="1116"/>
      <c r="AG125" s="1116"/>
      <c r="AH125" s="1116"/>
      <c r="AI125" s="1116"/>
      <c r="AJ125" s="1116"/>
      <c r="AK125" s="1116"/>
      <c r="AL125" s="1116"/>
      <c r="AM125" s="1116"/>
      <c r="AN125" s="1116"/>
      <c r="AO125" s="1116"/>
      <c r="AP125" s="1116"/>
      <c r="AQ125" s="1116"/>
      <c r="AR125" s="1116"/>
      <c r="AS125" s="1116"/>
    </row>
    <row r="126" spans="1:45" ht="12.5">
      <c r="A126" s="131">
        <v>17</v>
      </c>
      <c r="B126" s="3039"/>
      <c r="C126" s="93" t="s">
        <v>288</v>
      </c>
      <c r="D126" s="1572">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2">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2">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2">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2">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2">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2">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2">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2">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2">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2">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2">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40">
        <f t="shared" si="59"/>
        <v>0</v>
      </c>
      <c r="R126" s="2637"/>
      <c r="S126" s="2634"/>
      <c r="T126" s="2634"/>
      <c r="U126" s="2634"/>
      <c r="V126" s="2634"/>
      <c r="W126" s="2638"/>
      <c r="X126" s="2634"/>
      <c r="Y126" s="1144"/>
      <c r="Z126" s="1144"/>
      <c r="AA126" s="1144"/>
      <c r="AB126" s="1144"/>
      <c r="AC126" s="1144"/>
      <c r="AD126" s="1144"/>
      <c r="AE126" s="1116"/>
      <c r="AF126" s="1116"/>
      <c r="AG126" s="1116"/>
      <c r="AH126" s="1116"/>
      <c r="AI126" s="1116"/>
      <c r="AJ126" s="1116"/>
      <c r="AK126" s="1116"/>
      <c r="AL126" s="1116"/>
      <c r="AM126" s="1116"/>
      <c r="AN126" s="1116"/>
      <c r="AO126" s="1116"/>
      <c r="AP126" s="1116"/>
      <c r="AQ126" s="1116"/>
      <c r="AR126" s="1116"/>
      <c r="AS126" s="1116"/>
    </row>
    <row r="127" spans="1:45" ht="13.5" thickBot="1">
      <c r="A127" s="131">
        <v>18</v>
      </c>
      <c r="B127" s="3040"/>
      <c r="C127" s="92" t="s">
        <v>42</v>
      </c>
      <c r="D127" s="1081">
        <f>+D126-D125</f>
        <v>0</v>
      </c>
      <c r="E127" s="1081">
        <f t="shared" ref="E127:O127" si="60">+E126-E125</f>
        <v>0</v>
      </c>
      <c r="F127" s="1081">
        <f t="shared" si="60"/>
        <v>0</v>
      </c>
      <c r="G127" s="1081">
        <f t="shared" si="60"/>
        <v>0</v>
      </c>
      <c r="H127" s="1081">
        <f t="shared" si="60"/>
        <v>0</v>
      </c>
      <c r="I127" s="1081">
        <f t="shared" si="60"/>
        <v>0</v>
      </c>
      <c r="J127" s="1081">
        <f t="shared" si="60"/>
        <v>0</v>
      </c>
      <c r="K127" s="1081">
        <f t="shared" si="60"/>
        <v>0</v>
      </c>
      <c r="L127" s="1081">
        <f t="shared" si="60"/>
        <v>0</v>
      </c>
      <c r="M127" s="1081">
        <f t="shared" si="60"/>
        <v>0</v>
      </c>
      <c r="N127" s="1081">
        <f t="shared" si="60"/>
        <v>0</v>
      </c>
      <c r="O127" s="1081">
        <f t="shared" si="60"/>
        <v>0</v>
      </c>
      <c r="P127" s="942">
        <f t="shared" si="49"/>
        <v>0</v>
      </c>
      <c r="Q127" s="939">
        <f t="shared" si="59"/>
        <v>0</v>
      </c>
      <c r="R127" s="2639"/>
      <c r="S127" s="2634"/>
      <c r="T127" s="2634"/>
      <c r="U127" s="2635"/>
      <c r="V127" s="2635"/>
      <c r="W127" s="2640"/>
      <c r="X127" s="2635"/>
      <c r="Y127" s="1144"/>
      <c r="Z127" s="1144"/>
      <c r="AA127" s="1144"/>
      <c r="AB127" s="1144"/>
      <c r="AC127" s="1144"/>
      <c r="AD127" s="1144"/>
      <c r="AE127" s="1116"/>
      <c r="AF127" s="1116"/>
      <c r="AG127" s="1116"/>
      <c r="AH127" s="1116"/>
      <c r="AI127" s="1116"/>
      <c r="AJ127" s="1116"/>
      <c r="AK127" s="1116"/>
      <c r="AL127" s="1116"/>
      <c r="AM127" s="1116"/>
      <c r="AN127" s="1116"/>
      <c r="AO127" s="1116"/>
      <c r="AP127" s="1116"/>
      <c r="AQ127" s="1116"/>
      <c r="AR127" s="1116"/>
      <c r="AS127" s="1116"/>
    </row>
    <row r="128" spans="1:45" ht="12.5">
      <c r="A128" s="132">
        <v>19</v>
      </c>
      <c r="B128" s="3038" t="s">
        <v>465</v>
      </c>
      <c r="C128" s="1370" t="s">
        <v>291</v>
      </c>
      <c r="D128" s="1571">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1">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1">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1">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1">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1">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1">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1">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1">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1">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1">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1">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1">
        <f t="shared" si="49"/>
        <v>0</v>
      </c>
      <c r="Q128" s="938">
        <f t="shared" si="59"/>
        <v>0</v>
      </c>
      <c r="R128" s="2633"/>
      <c r="S128" s="2634"/>
      <c r="T128" s="2634"/>
      <c r="U128" s="2635"/>
      <c r="V128" s="2635"/>
      <c r="W128" s="2636"/>
      <c r="X128" s="2635"/>
      <c r="Y128" s="1144"/>
      <c r="Z128" s="1144"/>
      <c r="AA128" s="1144"/>
      <c r="AB128" s="1144"/>
      <c r="AC128" s="1144"/>
      <c r="AD128" s="1144"/>
      <c r="AE128" s="1116"/>
      <c r="AF128" s="1116"/>
      <c r="AG128" s="1116"/>
      <c r="AH128" s="1116"/>
      <c r="AI128" s="1116"/>
      <c r="AJ128" s="1116"/>
      <c r="AK128" s="1116"/>
      <c r="AL128" s="1116"/>
      <c r="AM128" s="1116"/>
      <c r="AN128" s="1116"/>
      <c r="AO128" s="1116"/>
      <c r="AP128" s="1116"/>
      <c r="AQ128" s="1116"/>
      <c r="AR128" s="1116"/>
      <c r="AS128" s="1116"/>
    </row>
    <row r="129" spans="1:45" ht="12.5">
      <c r="A129" s="131">
        <v>20</v>
      </c>
      <c r="B129" s="3039"/>
      <c r="C129" s="93" t="s">
        <v>288</v>
      </c>
      <c r="D129" s="1572">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2">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2">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2">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2">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2">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2">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2">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2">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2">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2">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2">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40">
        <f t="shared" si="59"/>
        <v>0</v>
      </c>
      <c r="R129" s="2637"/>
      <c r="S129" s="2634"/>
      <c r="T129" s="2634"/>
      <c r="U129" s="2634"/>
      <c r="V129" s="2634"/>
      <c r="W129" s="2638"/>
      <c r="X129" s="2634"/>
      <c r="Y129" s="1144"/>
      <c r="Z129" s="1144"/>
      <c r="AA129" s="1144"/>
      <c r="AB129" s="1144"/>
      <c r="AC129" s="1144"/>
      <c r="AD129" s="1144"/>
      <c r="AE129" s="1116"/>
      <c r="AF129" s="1116"/>
      <c r="AG129" s="1116"/>
      <c r="AH129" s="1116"/>
      <c r="AI129" s="1116"/>
      <c r="AJ129" s="1116"/>
      <c r="AK129" s="1116"/>
      <c r="AL129" s="1116"/>
      <c r="AM129" s="1116"/>
      <c r="AN129" s="1116"/>
      <c r="AO129" s="1116"/>
      <c r="AP129" s="1116"/>
      <c r="AQ129" s="1116"/>
      <c r="AR129" s="1116"/>
      <c r="AS129" s="1116"/>
    </row>
    <row r="130" spans="1:45" ht="13.5" thickBot="1">
      <c r="A130" s="131">
        <v>21</v>
      </c>
      <c r="B130" s="3040"/>
      <c r="C130" s="92" t="s">
        <v>42</v>
      </c>
      <c r="D130" s="1081">
        <f>+D129-D128</f>
        <v>0</v>
      </c>
      <c r="E130" s="1081">
        <f t="shared" ref="E130:O130" si="61">+E129-E128</f>
        <v>0</v>
      </c>
      <c r="F130" s="1081">
        <f t="shared" si="61"/>
        <v>0</v>
      </c>
      <c r="G130" s="1081">
        <f t="shared" si="61"/>
        <v>0</v>
      </c>
      <c r="H130" s="1081">
        <f t="shared" si="61"/>
        <v>0</v>
      </c>
      <c r="I130" s="1081">
        <f t="shared" si="61"/>
        <v>0</v>
      </c>
      <c r="J130" s="1081">
        <f t="shared" si="61"/>
        <v>0</v>
      </c>
      <c r="K130" s="1081">
        <f t="shared" si="61"/>
        <v>0</v>
      </c>
      <c r="L130" s="1081">
        <f t="shared" si="61"/>
        <v>0</v>
      </c>
      <c r="M130" s="1081">
        <f t="shared" si="61"/>
        <v>0</v>
      </c>
      <c r="N130" s="1081">
        <f t="shared" si="61"/>
        <v>0</v>
      </c>
      <c r="O130" s="1081">
        <f t="shared" si="61"/>
        <v>0</v>
      </c>
      <c r="P130" s="942">
        <f t="shared" si="49"/>
        <v>0</v>
      </c>
      <c r="Q130" s="939">
        <f t="shared" si="59"/>
        <v>0</v>
      </c>
      <c r="R130" s="2639"/>
      <c r="S130" s="2634"/>
      <c r="T130" s="2634"/>
      <c r="U130" s="2635"/>
      <c r="V130" s="2635"/>
      <c r="W130" s="2640"/>
      <c r="X130" s="2635"/>
      <c r="Y130" s="1144"/>
      <c r="Z130" s="1144"/>
      <c r="AA130" s="1144"/>
      <c r="AB130" s="1144"/>
      <c r="AC130" s="1144"/>
      <c r="AD130" s="1144"/>
      <c r="AE130" s="1116"/>
      <c r="AF130" s="1116"/>
      <c r="AG130" s="1116"/>
      <c r="AH130" s="1116"/>
      <c r="AI130" s="1116"/>
      <c r="AJ130" s="1116"/>
      <c r="AK130" s="1116"/>
      <c r="AL130" s="1116"/>
      <c r="AM130" s="1116"/>
      <c r="AN130" s="1116"/>
      <c r="AO130" s="1116"/>
      <c r="AP130" s="1116"/>
      <c r="AQ130" s="1116"/>
      <c r="AR130" s="1116"/>
      <c r="AS130" s="1116"/>
    </row>
    <row r="131" spans="1:45" ht="26.4" customHeight="1">
      <c r="A131" s="132">
        <v>22</v>
      </c>
      <c r="B131" s="3038" t="s">
        <v>444</v>
      </c>
      <c r="C131" s="1370" t="s">
        <v>291</v>
      </c>
      <c r="D131" s="1571">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1">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1">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1">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1">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1">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1">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1">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1">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1">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1">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1">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1">
        <f t="shared" si="49"/>
        <v>0</v>
      </c>
      <c r="Q131" s="938">
        <f t="shared" ref="Q131:Q133" si="62">SUM(D131:O131)</f>
        <v>0</v>
      </c>
      <c r="R131" s="2633"/>
      <c r="S131" s="2634"/>
      <c r="T131" s="2634"/>
      <c r="U131" s="2635"/>
      <c r="V131" s="2635"/>
      <c r="W131" s="2636"/>
      <c r="X131" s="2635"/>
      <c r="Y131" s="1144"/>
      <c r="Z131" s="1144"/>
      <c r="AA131" s="1144"/>
      <c r="AB131" s="1144"/>
      <c r="AC131" s="1144"/>
      <c r="AD131" s="1144"/>
      <c r="AE131" s="1116"/>
      <c r="AF131" s="1116"/>
      <c r="AG131" s="1116"/>
      <c r="AH131" s="1116"/>
      <c r="AI131" s="1116"/>
      <c r="AJ131" s="1116"/>
      <c r="AK131" s="1116"/>
      <c r="AL131" s="1116"/>
      <c r="AM131" s="1116"/>
      <c r="AN131" s="1116"/>
      <c r="AO131" s="1116"/>
      <c r="AP131" s="1116"/>
      <c r="AQ131" s="1116"/>
      <c r="AR131" s="1116"/>
      <c r="AS131" s="1116"/>
    </row>
    <row r="132" spans="1:45" ht="12.5">
      <c r="A132" s="131">
        <v>23</v>
      </c>
      <c r="B132" s="3039"/>
      <c r="C132" s="93" t="s">
        <v>288</v>
      </c>
      <c r="D132" s="1572">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2">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2">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2">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2">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2">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2">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2">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2">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2">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2">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2">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40">
        <f t="shared" si="62"/>
        <v>0</v>
      </c>
      <c r="R132" s="2637"/>
      <c r="S132" s="2634"/>
      <c r="T132" s="2634"/>
      <c r="U132" s="2634"/>
      <c r="V132" s="2634"/>
      <c r="W132" s="2638"/>
      <c r="X132" s="2634"/>
      <c r="Y132" s="1144"/>
      <c r="Z132" s="1144"/>
      <c r="AA132" s="1144"/>
      <c r="AB132" s="1144"/>
      <c r="AC132" s="1144"/>
      <c r="AD132" s="1144"/>
      <c r="AE132" s="1116"/>
      <c r="AF132" s="1116"/>
      <c r="AG132" s="1116"/>
      <c r="AH132" s="1116"/>
      <c r="AI132" s="1116"/>
      <c r="AJ132" s="1116"/>
      <c r="AK132" s="1116"/>
      <c r="AL132" s="1116"/>
      <c r="AM132" s="1116"/>
      <c r="AN132" s="1116"/>
      <c r="AO132" s="1116"/>
      <c r="AP132" s="1116"/>
      <c r="AQ132" s="1116"/>
      <c r="AR132" s="1116"/>
      <c r="AS132" s="1116"/>
    </row>
    <row r="133" spans="1:45" ht="13.5" thickBot="1">
      <c r="A133" s="131">
        <v>24</v>
      </c>
      <c r="B133" s="3040"/>
      <c r="C133" s="92" t="s">
        <v>42</v>
      </c>
      <c r="D133" s="1081">
        <f>+D132-D131</f>
        <v>0</v>
      </c>
      <c r="E133" s="1081">
        <f t="shared" ref="E133:O133" si="63">+E132-E131</f>
        <v>0</v>
      </c>
      <c r="F133" s="1081">
        <f t="shared" si="63"/>
        <v>0</v>
      </c>
      <c r="G133" s="1081">
        <f t="shared" si="63"/>
        <v>0</v>
      </c>
      <c r="H133" s="1081">
        <f t="shared" si="63"/>
        <v>0</v>
      </c>
      <c r="I133" s="1081">
        <f t="shared" si="63"/>
        <v>0</v>
      </c>
      <c r="J133" s="1081">
        <f t="shared" si="63"/>
        <v>0</v>
      </c>
      <c r="K133" s="1081">
        <f t="shared" si="63"/>
        <v>0</v>
      </c>
      <c r="L133" s="1081">
        <f t="shared" si="63"/>
        <v>0</v>
      </c>
      <c r="M133" s="1081">
        <f t="shared" si="63"/>
        <v>0</v>
      </c>
      <c r="N133" s="1081">
        <f t="shared" si="63"/>
        <v>0</v>
      </c>
      <c r="O133" s="1081">
        <f t="shared" si="63"/>
        <v>0</v>
      </c>
      <c r="P133" s="942">
        <f t="shared" si="49"/>
        <v>0</v>
      </c>
      <c r="Q133" s="939">
        <f t="shared" si="62"/>
        <v>0</v>
      </c>
      <c r="R133" s="2639"/>
      <c r="S133" s="2634"/>
      <c r="T133" s="2634"/>
      <c r="U133" s="2635"/>
      <c r="V133" s="2635"/>
      <c r="W133" s="2641"/>
      <c r="X133" s="2635"/>
      <c r="Y133" s="1144"/>
      <c r="Z133" s="1144"/>
      <c r="AA133" s="1144"/>
      <c r="AB133" s="1144"/>
      <c r="AC133" s="1144"/>
      <c r="AD133" s="1144"/>
      <c r="AE133" s="1116"/>
      <c r="AF133" s="1116"/>
      <c r="AG133" s="1116"/>
      <c r="AH133" s="1116"/>
      <c r="AI133" s="1116"/>
      <c r="AJ133" s="1116"/>
      <c r="AK133" s="1116"/>
      <c r="AL133" s="1116"/>
      <c r="AM133" s="1116"/>
      <c r="AN133" s="1116"/>
      <c r="AO133" s="1116"/>
      <c r="AP133" s="1116"/>
      <c r="AQ133" s="1116"/>
      <c r="AR133" s="1116"/>
      <c r="AS133" s="1116"/>
    </row>
    <row r="134" spans="1:45" ht="12.5">
      <c r="A134" s="130">
        <v>25</v>
      </c>
      <c r="B134" s="3038" t="s">
        <v>1268</v>
      </c>
      <c r="C134" s="1370" t="s">
        <v>291</v>
      </c>
      <c r="D134" s="1571">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1">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1">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1">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1">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1">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1">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1">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1">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1">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1">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1">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3">
        <f t="shared" si="49"/>
        <v>0</v>
      </c>
      <c r="Q134" s="938">
        <f t="shared" si="57"/>
        <v>0</v>
      </c>
      <c r="R134" s="2633"/>
      <c r="S134" s="2634"/>
      <c r="T134" s="2634"/>
      <c r="U134" s="2635"/>
      <c r="V134" s="2635"/>
      <c r="W134" s="2641"/>
      <c r="X134" s="2635"/>
      <c r="Y134" s="1144"/>
      <c r="Z134" s="1144"/>
      <c r="AA134" s="1144"/>
      <c r="AB134" s="1144"/>
      <c r="AC134" s="1144"/>
      <c r="AD134" s="1144"/>
      <c r="AE134" s="1116"/>
      <c r="AF134" s="1116"/>
      <c r="AG134" s="1116"/>
      <c r="AH134" s="1116"/>
      <c r="AI134" s="1116"/>
      <c r="AJ134" s="1116"/>
      <c r="AK134" s="1116"/>
      <c r="AL134" s="1116"/>
      <c r="AM134" s="1116"/>
      <c r="AN134" s="1116"/>
      <c r="AO134" s="1116"/>
      <c r="AP134" s="1116"/>
      <c r="AQ134" s="1116"/>
      <c r="AR134" s="1116"/>
      <c r="AS134" s="1116"/>
    </row>
    <row r="135" spans="1:45" ht="12.5">
      <c r="A135" s="131">
        <v>26</v>
      </c>
      <c r="B135" s="3039"/>
      <c r="C135" s="93" t="s">
        <v>288</v>
      </c>
      <c r="D135" s="1572">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2">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2">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2">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2">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2">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2">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2">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2">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2">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2">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2">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40">
        <f t="shared" si="57"/>
        <v>0</v>
      </c>
      <c r="R135" s="2637"/>
      <c r="S135" s="2634"/>
      <c r="T135" s="2634"/>
      <c r="U135" s="2635"/>
      <c r="V135" s="2635"/>
      <c r="W135" s="2638"/>
      <c r="X135" s="2635"/>
      <c r="Y135" s="1144"/>
      <c r="Z135" s="1144"/>
      <c r="AA135" s="1144"/>
      <c r="AB135" s="1144"/>
      <c r="AC135" s="1144"/>
      <c r="AD135" s="1144"/>
      <c r="AE135" s="1116"/>
      <c r="AF135" s="1116"/>
      <c r="AG135" s="1116"/>
      <c r="AH135" s="1116"/>
      <c r="AI135" s="1116"/>
      <c r="AJ135" s="1116"/>
      <c r="AK135" s="1116"/>
      <c r="AL135" s="1116"/>
      <c r="AM135" s="1116"/>
      <c r="AN135" s="1116"/>
      <c r="AO135" s="1116"/>
      <c r="AP135" s="1116"/>
      <c r="AQ135" s="1116"/>
      <c r="AR135" s="1116"/>
      <c r="AS135" s="1116"/>
    </row>
    <row r="136" spans="1:45" ht="13.5" thickBot="1">
      <c r="A136" s="133">
        <v>27</v>
      </c>
      <c r="B136" s="3040"/>
      <c r="C136" s="92" t="s">
        <v>42</v>
      </c>
      <c r="D136" s="1081">
        <f t="shared" ref="D136:O136" si="64">+D135-D134</f>
        <v>0</v>
      </c>
      <c r="E136" s="1461">
        <f t="shared" si="64"/>
        <v>0</v>
      </c>
      <c r="F136" s="1081">
        <f t="shared" si="64"/>
        <v>0</v>
      </c>
      <c r="G136" s="1461">
        <f t="shared" si="64"/>
        <v>0</v>
      </c>
      <c r="H136" s="1081">
        <f t="shared" si="64"/>
        <v>0</v>
      </c>
      <c r="I136" s="1081">
        <f t="shared" si="64"/>
        <v>0</v>
      </c>
      <c r="J136" s="1081">
        <f t="shared" si="64"/>
        <v>0</v>
      </c>
      <c r="K136" s="1081">
        <f t="shared" si="64"/>
        <v>0</v>
      </c>
      <c r="L136" s="1081">
        <f t="shared" si="64"/>
        <v>0</v>
      </c>
      <c r="M136" s="1461">
        <f t="shared" si="64"/>
        <v>0</v>
      </c>
      <c r="N136" s="1081">
        <f t="shared" si="64"/>
        <v>0</v>
      </c>
      <c r="O136" s="1457">
        <f t="shared" si="64"/>
        <v>0</v>
      </c>
      <c r="P136" s="943">
        <f t="shared" si="49"/>
        <v>0</v>
      </c>
      <c r="Q136" s="939">
        <f t="shared" si="57"/>
        <v>0</v>
      </c>
      <c r="R136" s="2639"/>
      <c r="S136" s="2634"/>
      <c r="T136" s="2634"/>
      <c r="U136" s="2642"/>
      <c r="V136" s="2642"/>
      <c r="W136" s="2641"/>
      <c r="X136" s="2642"/>
      <c r="Y136" s="1144"/>
      <c r="Z136" s="1144"/>
      <c r="AA136" s="1144"/>
      <c r="AB136" s="1144"/>
      <c r="AC136" s="1144"/>
      <c r="AD136" s="1144"/>
      <c r="AE136" s="1116"/>
      <c r="AF136" s="1116"/>
      <c r="AG136" s="1116"/>
      <c r="AH136" s="1116"/>
      <c r="AI136" s="1116"/>
      <c r="AJ136" s="1116"/>
      <c r="AK136" s="1116"/>
      <c r="AL136" s="1116"/>
      <c r="AM136" s="1116"/>
      <c r="AN136" s="1116"/>
      <c r="AO136" s="1116"/>
      <c r="AP136" s="1116"/>
      <c r="AQ136" s="1116"/>
      <c r="AR136" s="1116"/>
      <c r="AS136" s="1116"/>
    </row>
    <row r="137" spans="1:45" ht="12.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1244.4166666666665</v>
      </c>
      <c r="Q137" s="73">
        <f t="shared" si="57"/>
        <v>3173.9999999999991</v>
      </c>
      <c r="R137" s="1116"/>
      <c r="S137" s="1116"/>
      <c r="T137" s="1116"/>
      <c r="U137" s="1116"/>
      <c r="V137" s="1116"/>
      <c r="W137" s="1116"/>
      <c r="X137" s="1116"/>
      <c r="Y137" s="1144"/>
      <c r="Z137" s="1144"/>
      <c r="AA137" s="1144"/>
      <c r="AB137" s="1144"/>
      <c r="AC137" s="1144"/>
      <c r="AD137" s="1144"/>
      <c r="AE137" s="1116"/>
      <c r="AF137" s="1116"/>
      <c r="AG137" s="1116"/>
      <c r="AH137" s="1116"/>
      <c r="AI137" s="1116"/>
      <c r="AJ137" s="1116"/>
      <c r="AK137" s="1116"/>
      <c r="AL137" s="1116"/>
      <c r="AM137" s="1116"/>
      <c r="AN137" s="1116"/>
      <c r="AO137" s="1116"/>
      <c r="AP137" s="1116"/>
      <c r="AQ137" s="1116"/>
      <c r="AR137" s="1116"/>
      <c r="AS137" s="1116"/>
    </row>
    <row r="138" spans="1:45" ht="12.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1244.4166666666665</v>
      </c>
      <c r="Q138" s="75">
        <f t="shared" si="57"/>
        <v>3173.9999999999991</v>
      </c>
      <c r="R138" s="1116"/>
      <c r="S138" s="1116"/>
      <c r="T138" s="1116"/>
      <c r="U138" s="1116"/>
      <c r="V138" s="1116"/>
      <c r="W138" s="1116"/>
      <c r="X138" s="1116"/>
      <c r="Y138" s="1144"/>
      <c r="Z138" s="1144"/>
      <c r="AA138" s="1144"/>
      <c r="AB138" s="1144"/>
      <c r="AC138" s="1144"/>
      <c r="AD138" s="1144"/>
      <c r="AE138" s="1116"/>
      <c r="AF138" s="1116"/>
      <c r="AG138" s="1116"/>
      <c r="AH138" s="1116"/>
      <c r="AI138" s="1116"/>
      <c r="AJ138" s="1116"/>
      <c r="AK138" s="1116"/>
      <c r="AL138" s="1116"/>
      <c r="AM138" s="1116"/>
      <c r="AN138" s="1116"/>
      <c r="AO138" s="1116"/>
      <c r="AP138" s="1116"/>
      <c r="AQ138" s="1116"/>
      <c r="AR138" s="1116"/>
      <c r="AS138" s="1116"/>
    </row>
    <row r="139" spans="1:45" thickBot="1">
      <c r="A139" s="133">
        <v>30</v>
      </c>
      <c r="B139" s="3040"/>
      <c r="C139" s="92" t="s">
        <v>42</v>
      </c>
      <c r="D139" s="945">
        <f>+D138-D137</f>
        <v>0</v>
      </c>
      <c r="E139" s="1466">
        <f t="shared" ref="E139:O139" si="67">+E138-E137</f>
        <v>0</v>
      </c>
      <c r="F139" s="945">
        <f t="shared" si="67"/>
        <v>0</v>
      </c>
      <c r="G139" s="1466">
        <f t="shared" si="67"/>
        <v>0</v>
      </c>
      <c r="H139" s="945">
        <f t="shared" si="67"/>
        <v>0</v>
      </c>
      <c r="I139" s="945">
        <f t="shared" si="67"/>
        <v>0</v>
      </c>
      <c r="J139" s="945">
        <f t="shared" si="67"/>
        <v>0</v>
      </c>
      <c r="K139" s="945">
        <f t="shared" si="67"/>
        <v>0</v>
      </c>
      <c r="L139" s="945">
        <f t="shared" si="67"/>
        <v>0</v>
      </c>
      <c r="M139" s="1466">
        <f t="shared" si="67"/>
        <v>0</v>
      </c>
      <c r="N139" s="945">
        <f t="shared" si="67"/>
        <v>0</v>
      </c>
      <c r="O139" s="1464">
        <f t="shared" si="67"/>
        <v>0</v>
      </c>
      <c r="P139" s="123">
        <f t="shared" si="49"/>
        <v>0</v>
      </c>
      <c r="Q139" s="939">
        <f t="shared" si="57"/>
        <v>0</v>
      </c>
      <c r="R139" s="1116"/>
      <c r="S139" s="1116"/>
      <c r="T139" s="1116"/>
      <c r="U139" s="1116"/>
      <c r="V139" s="1116"/>
      <c r="W139" s="1116"/>
      <c r="X139" s="1116"/>
      <c r="Y139" s="1144"/>
      <c r="Z139" s="1144"/>
      <c r="AA139" s="1144"/>
      <c r="AB139" s="1144"/>
      <c r="AC139" s="1144"/>
      <c r="AD139" s="1144"/>
      <c r="AE139" s="1116"/>
      <c r="AF139" s="1116"/>
      <c r="AG139" s="1116"/>
      <c r="AH139" s="1116"/>
      <c r="AI139" s="1116"/>
      <c r="AJ139" s="1116"/>
      <c r="AK139" s="1116"/>
      <c r="AL139" s="1116"/>
      <c r="AM139" s="1116"/>
      <c r="AN139" s="1116"/>
      <c r="AO139" s="1116"/>
      <c r="AP139" s="1116"/>
      <c r="AQ139" s="1116"/>
      <c r="AR139" s="1116"/>
      <c r="AS139" s="1116"/>
    </row>
    <row r="140" spans="1:45">
      <c r="A140" s="80"/>
      <c r="B140" s="80"/>
      <c r="C140" s="80"/>
      <c r="D140" s="99"/>
      <c r="E140" s="99"/>
      <c r="F140" s="99"/>
      <c r="G140" s="99"/>
      <c r="H140" s="99"/>
      <c r="I140" s="100"/>
      <c r="J140" s="99"/>
      <c r="K140" s="99"/>
      <c r="L140" s="99"/>
      <c r="M140" s="99"/>
      <c r="N140" s="99"/>
      <c r="O140" s="99"/>
      <c r="P140" s="99"/>
      <c r="Q140" s="137"/>
      <c r="R140" s="1116"/>
      <c r="S140" s="1116"/>
      <c r="T140" s="1116"/>
      <c r="U140" s="1116"/>
      <c r="V140" s="1116"/>
      <c r="W140" s="1116"/>
      <c r="X140" s="1116"/>
      <c r="Y140" s="1144"/>
      <c r="Z140" s="1144"/>
      <c r="AA140" s="1144"/>
      <c r="AB140" s="1144"/>
      <c r="AC140" s="1144"/>
      <c r="AD140" s="1144"/>
      <c r="AE140" s="1116"/>
      <c r="AF140" s="1116"/>
      <c r="AG140" s="1116"/>
      <c r="AH140" s="1116"/>
      <c r="AI140" s="1116"/>
      <c r="AJ140" s="1116"/>
      <c r="AK140" s="1116"/>
      <c r="AL140" s="1116"/>
      <c r="AM140" s="1116"/>
      <c r="AN140" s="1116"/>
      <c r="AO140" s="1116"/>
      <c r="AP140" s="1116"/>
      <c r="AQ140" s="1116"/>
      <c r="AR140" s="1116"/>
      <c r="AS140" s="1116"/>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zoomScale="85" zoomScaleNormal="85" workbookViewId="0">
      <selection activeCell="E50" sqref="E50"/>
    </sheetView>
  </sheetViews>
  <sheetFormatPr defaultRowHeight="15.5"/>
  <cols>
    <col min="1" max="1" width="10.53515625" customWidth="1"/>
    <col min="2" max="2" width="10.4609375" style="1430" customWidth="1"/>
    <col min="3" max="3" width="9.53515625" style="1430" customWidth="1"/>
    <col min="4" max="4" width="10.61328125" style="1430" customWidth="1"/>
    <col min="5" max="5" width="34" style="1431" customWidth="1"/>
    <col min="6" max="6" width="11" style="1430" customWidth="1"/>
    <col min="7" max="9" width="11" style="1432" customWidth="1"/>
    <col min="10" max="11" width="12.53515625" style="1432" customWidth="1"/>
    <col min="12" max="13" width="11" customWidth="1"/>
    <col min="14" max="14" width="11.53515625" customWidth="1"/>
    <col min="15" max="15" width="11.61328125" style="1433" customWidth="1"/>
    <col min="16" max="16" width="10" style="1434" bestFit="1" customWidth="1"/>
    <col min="17" max="17" width="12.07421875" style="1434" bestFit="1" customWidth="1"/>
    <col min="18" max="18" width="9.921875" style="1434" bestFit="1" customWidth="1"/>
    <col min="19" max="31" width="11.61328125" style="1435" customWidth="1"/>
    <col min="32" max="58" width="11.61328125" customWidth="1"/>
    <col min="61" max="74" width="13.15234375" customWidth="1"/>
    <col min="77" max="78" width="9.15234375" customWidth="1"/>
    <col min="79" max="79" width="7.07421875" customWidth="1"/>
    <col min="80" max="83" width="9.15234375" customWidth="1"/>
    <col min="84" max="95" width="35.61328125" customWidth="1"/>
    <col min="96" max="96" width="2.61328125" customWidth="1"/>
    <col min="97" max="97" width="9.15234375" customWidth="1"/>
    <col min="98" max="98" width="24.15234375" customWidth="1"/>
    <col min="99" max="99" width="2.84375" customWidth="1"/>
    <col min="100" max="100" width="46.3828125" bestFit="1" customWidth="1"/>
    <col min="101" max="101" width="3" customWidth="1"/>
    <col min="102" max="102" width="9.15234375" customWidth="1"/>
  </cols>
  <sheetData>
    <row r="1" spans="1:102">
      <c r="A1" s="1048" t="str">
        <f>Summary!A1</f>
        <v>Public Health Wales Trust</v>
      </c>
      <c r="B1" s="1049"/>
      <c r="C1" s="1049"/>
      <c r="D1" s="1050"/>
      <c r="E1" s="1050"/>
      <c r="F1" s="1050"/>
      <c r="G1" s="1050"/>
      <c r="H1" s="1050"/>
      <c r="I1" s="1051"/>
      <c r="J1" s="1050"/>
      <c r="K1" s="1050"/>
      <c r="L1" s="1050"/>
      <c r="M1" s="1050"/>
      <c r="N1" s="1050"/>
      <c r="O1" s="1050"/>
      <c r="P1" s="1049"/>
      <c r="Q1" s="1467"/>
      <c r="R1" s="608"/>
      <c r="S1" s="1144"/>
      <c r="T1" s="1144"/>
      <c r="U1" s="1468"/>
      <c r="V1" s="1468"/>
      <c r="W1" s="1468"/>
      <c r="X1" s="1468"/>
      <c r="Y1" s="1468"/>
      <c r="Z1" s="1468"/>
      <c r="AA1" s="1468"/>
      <c r="AB1" s="1468"/>
      <c r="AC1" s="1468"/>
      <c r="AD1" s="1468"/>
      <c r="AE1" s="1468"/>
      <c r="AF1" s="1468"/>
      <c r="AG1" s="1468"/>
      <c r="AH1" s="1468"/>
      <c r="AI1" s="1468"/>
      <c r="AJ1" s="1468"/>
      <c r="AK1" s="1468"/>
      <c r="AL1" s="1468"/>
      <c r="AM1" s="1468"/>
      <c r="AN1" s="1468"/>
      <c r="AO1" s="1468">
        <f>VLOOKUP(Summary!H1,Summary!V1:W12,2,FALSE)</f>
        <v>1</v>
      </c>
      <c r="AP1" s="1468"/>
      <c r="AQ1" s="1468"/>
      <c r="AR1" s="1468"/>
      <c r="AS1" s="1468"/>
      <c r="AT1" s="1468"/>
      <c r="AU1" s="1468"/>
      <c r="AV1" s="1468"/>
      <c r="AW1" s="1468"/>
      <c r="AX1" s="1468"/>
      <c r="AY1" s="1468"/>
      <c r="AZ1" s="1468"/>
      <c r="BA1" s="1468"/>
      <c r="BB1" s="1468"/>
      <c r="BC1" s="1468"/>
      <c r="BD1" s="1468"/>
      <c r="BE1" s="1468"/>
      <c r="BF1" s="1468"/>
      <c r="BG1" s="1468"/>
      <c r="BH1" s="1468"/>
      <c r="BI1" s="1468"/>
      <c r="BJ1" s="1468"/>
      <c r="BK1" s="1468"/>
      <c r="BL1" s="1468"/>
      <c r="BM1" s="1468"/>
      <c r="BN1" s="1468"/>
      <c r="BO1" s="1468"/>
      <c r="BP1" s="1468"/>
      <c r="BQ1" s="1468"/>
      <c r="BR1" s="1468"/>
      <c r="BS1" s="1468"/>
      <c r="BT1" s="1468"/>
      <c r="BX1" s="1453"/>
      <c r="BY1" s="1453" t="s">
        <v>473</v>
      </c>
      <c r="BZ1" s="1453" t="s">
        <v>618</v>
      </c>
      <c r="CA1" s="1440" t="s">
        <v>619</v>
      </c>
      <c r="CC1" s="1550" t="s">
        <v>665</v>
      </c>
      <c r="CD1" s="1550" t="s">
        <v>666</v>
      </c>
      <c r="CE1" s="1550" t="s">
        <v>667</v>
      </c>
      <c r="CF1" s="1550" t="s">
        <v>668</v>
      </c>
      <c r="CG1" s="1550" t="s">
        <v>669</v>
      </c>
      <c r="CH1" s="1550" t="s">
        <v>670</v>
      </c>
      <c r="CI1" s="1550" t="s">
        <v>671</v>
      </c>
      <c r="CJ1" s="1550" t="s">
        <v>608</v>
      </c>
      <c r="CK1" s="1550" t="s">
        <v>672</v>
      </c>
      <c r="CL1" s="1550" t="s">
        <v>610</v>
      </c>
      <c r="CM1" s="1550" t="s">
        <v>306</v>
      </c>
      <c r="CN1" s="1550" t="s">
        <v>673</v>
      </c>
      <c r="CO1" s="1549"/>
      <c r="CQ1" s="1469" t="s">
        <v>819</v>
      </c>
      <c r="CS1" s="1470" t="str">
        <f>'C, C1, C2&amp; C3 - Savings Schemes'!B13</f>
        <v>CHC and Funded Nursing Care</v>
      </c>
      <c r="CT1" t="s">
        <v>397</v>
      </c>
      <c r="CV1" t="s">
        <v>399</v>
      </c>
      <c r="CX1" t="s">
        <v>1397</v>
      </c>
    </row>
    <row r="2" spans="1:102">
      <c r="A2" s="1048"/>
      <c r="B2" s="1048"/>
      <c r="C2" s="743"/>
      <c r="D2" s="845"/>
      <c r="E2" s="1050"/>
      <c r="F2" s="743"/>
      <c r="G2" s="1050"/>
      <c r="H2" s="1050"/>
      <c r="I2" s="1051"/>
      <c r="J2" s="1050"/>
      <c r="K2" s="1050"/>
      <c r="L2" s="1050"/>
      <c r="M2" s="1050"/>
      <c r="N2" s="1050"/>
      <c r="O2" s="1050"/>
      <c r="P2" s="1049"/>
      <c r="Q2" s="1467"/>
      <c r="R2" s="608"/>
      <c r="S2" s="1144"/>
      <c r="T2" s="1144"/>
      <c r="U2" s="1468"/>
      <c r="V2" s="1468"/>
      <c r="W2" s="1468"/>
      <c r="X2" s="1468"/>
      <c r="Y2" s="1468"/>
      <c r="Z2" s="1468"/>
      <c r="AA2" s="1468"/>
      <c r="AB2" s="1468"/>
      <c r="AC2" s="1468"/>
      <c r="AD2" s="1468"/>
      <c r="AE2" s="1468"/>
      <c r="AF2" s="1468"/>
      <c r="AG2" s="1468"/>
      <c r="AH2" s="1468"/>
      <c r="AI2" s="1468"/>
      <c r="AJ2" s="1468"/>
      <c r="AK2" s="1468"/>
      <c r="AL2" s="1468"/>
      <c r="AM2" s="1468"/>
      <c r="AN2" s="1468"/>
      <c r="AO2" s="1468"/>
      <c r="AP2" s="1468"/>
      <c r="AQ2" s="1468"/>
      <c r="AR2" s="1468"/>
      <c r="AS2" s="1468"/>
      <c r="AT2" s="1468"/>
      <c r="AU2" s="1468"/>
      <c r="AV2" s="1468"/>
      <c r="AW2" s="1468"/>
      <c r="AX2" s="1468"/>
      <c r="AY2" s="1468"/>
      <c r="AZ2" s="1468"/>
      <c r="BA2" s="1468"/>
      <c r="BB2" s="1468"/>
      <c r="BC2" s="1468"/>
      <c r="BD2" s="1468"/>
      <c r="BE2" s="1468"/>
      <c r="BF2" s="1468"/>
      <c r="BG2" s="1468"/>
      <c r="BH2" s="1468"/>
      <c r="BI2" s="1468"/>
      <c r="BJ2" s="1468"/>
      <c r="BK2" s="1468"/>
      <c r="BL2" s="1468"/>
      <c r="BM2" s="1468"/>
      <c r="BN2" s="1468"/>
      <c r="BO2" s="1468"/>
      <c r="BP2" s="1468"/>
      <c r="BQ2" s="1468"/>
      <c r="BR2" s="1468"/>
      <c r="BS2" s="1468"/>
      <c r="BT2" s="1468"/>
      <c r="BX2" s="1453"/>
      <c r="BY2" s="1453" t="s">
        <v>706</v>
      </c>
      <c r="BZ2" s="1453" t="s">
        <v>622</v>
      </c>
      <c r="CA2" s="1440" t="s">
        <v>620</v>
      </c>
      <c r="CC2" s="1551" t="s">
        <v>604</v>
      </c>
      <c r="CD2" s="1470" t="s">
        <v>674</v>
      </c>
      <c r="CE2" s="1470" t="s">
        <v>674</v>
      </c>
      <c r="CF2" s="1470" t="s">
        <v>674</v>
      </c>
      <c r="CG2" s="1470" t="s">
        <v>674</v>
      </c>
      <c r="CH2" s="1470" t="s">
        <v>674</v>
      </c>
      <c r="CI2" s="1470" t="s">
        <v>675</v>
      </c>
      <c r="CJ2" s="1470" t="s">
        <v>676</v>
      </c>
      <c r="CK2" s="1470" t="s">
        <v>677</v>
      </c>
      <c r="CL2" s="1470" t="s">
        <v>610</v>
      </c>
      <c r="CM2" s="1470" t="s">
        <v>306</v>
      </c>
      <c r="CN2" s="1470" t="s">
        <v>611</v>
      </c>
      <c r="CO2" s="1549"/>
      <c r="CQ2" s="1469" t="s">
        <v>603</v>
      </c>
      <c r="CS2" s="1470" t="str">
        <f>'C, C1, C2&amp; C3 - Savings Schemes'!B16</f>
        <v>Commissioned Services</v>
      </c>
      <c r="CT2" t="s">
        <v>397</v>
      </c>
      <c r="CV2" t="s">
        <v>397</v>
      </c>
      <c r="CX2" t="s">
        <v>1398</v>
      </c>
    </row>
    <row r="3" spans="1:102">
      <c r="A3" s="1049"/>
      <c r="B3" s="1049"/>
      <c r="C3" s="1052"/>
      <c r="D3" s="1053"/>
      <c r="E3" s="1053"/>
      <c r="F3" s="1053"/>
      <c r="G3" s="1053"/>
      <c r="H3" s="1053"/>
      <c r="I3" s="1054"/>
      <c r="J3" s="1053" t="s">
        <v>289</v>
      </c>
      <c r="K3" s="1050"/>
      <c r="L3" s="1053"/>
      <c r="M3" s="1050"/>
      <c r="N3" s="1050"/>
      <c r="O3" s="1050"/>
      <c r="P3" s="140"/>
      <c r="Q3" s="1467"/>
      <c r="R3" s="608"/>
      <c r="S3" s="1144"/>
      <c r="T3" s="1144"/>
      <c r="U3" s="140" t="str">
        <f>+Summary!H1</f>
        <v>Apr 23</v>
      </c>
      <c r="V3" s="1468"/>
      <c r="W3" s="1468"/>
      <c r="X3" s="1468"/>
      <c r="Y3" s="1468"/>
      <c r="Z3" s="1468"/>
      <c r="AA3" s="1468"/>
      <c r="AB3" s="1468"/>
      <c r="AC3" s="1468"/>
      <c r="AD3" s="1468"/>
      <c r="AE3" s="1468"/>
      <c r="AF3" s="1468"/>
      <c r="AG3" s="1468"/>
      <c r="AH3" s="1468"/>
      <c r="AI3" s="1468"/>
      <c r="AJ3" s="1468"/>
      <c r="AK3" s="1468"/>
      <c r="AL3" s="1468"/>
      <c r="AM3" s="1468"/>
      <c r="AN3" s="1468"/>
      <c r="AO3" s="1468"/>
      <c r="AP3" s="1468"/>
      <c r="AQ3" s="1468"/>
      <c r="AR3" s="1468"/>
      <c r="AS3" s="1468"/>
      <c r="AT3" s="1468"/>
      <c r="AU3" s="1468"/>
      <c r="AV3" s="1468"/>
      <c r="AW3" s="1468"/>
      <c r="AX3" s="1468"/>
      <c r="AY3" s="1468"/>
      <c r="AZ3" s="1468"/>
      <c r="BA3" s="1468"/>
      <c r="BB3" s="1468"/>
      <c r="BC3" s="1468"/>
      <c r="BD3" s="1468"/>
      <c r="BE3" s="1468"/>
      <c r="BF3" s="1468"/>
      <c r="BG3" s="1468"/>
      <c r="BH3" s="1468"/>
      <c r="BI3" s="1468"/>
      <c r="BJ3" s="1468"/>
      <c r="BK3" s="1468"/>
      <c r="BL3" s="1468"/>
      <c r="BM3" s="1468"/>
      <c r="BN3" s="1468"/>
      <c r="BO3" s="1468"/>
      <c r="BP3" s="1468"/>
      <c r="BQ3" s="1468"/>
      <c r="BR3" s="1468"/>
      <c r="BS3" s="1468"/>
      <c r="BT3" s="1468"/>
      <c r="BX3" s="1453"/>
      <c r="CC3" s="1551" t="s">
        <v>568</v>
      </c>
      <c r="CD3" s="1470" t="s">
        <v>678</v>
      </c>
      <c r="CE3" s="1470" t="s">
        <v>679</v>
      </c>
      <c r="CF3" s="1470" t="s">
        <v>680</v>
      </c>
      <c r="CG3" s="1470" t="s">
        <v>681</v>
      </c>
      <c r="CH3" s="1470" t="s">
        <v>682</v>
      </c>
      <c r="CI3" s="1470" t="s">
        <v>108</v>
      </c>
      <c r="CJ3" s="1470" t="s">
        <v>683</v>
      </c>
      <c r="CK3" s="1470" t="s">
        <v>684</v>
      </c>
      <c r="CL3" s="1470"/>
      <c r="CM3" s="1470"/>
      <c r="CN3" s="1470"/>
      <c r="CO3" s="1549"/>
      <c r="CQ3" s="1469" t="s">
        <v>342</v>
      </c>
      <c r="CS3" s="1470" t="str">
        <f>'C, C1, C2&amp; C3 - Savings Schemes'!B19</f>
        <v>Medicines Management (Primary &amp; Secondary Care)</v>
      </c>
      <c r="CT3" t="s">
        <v>397</v>
      </c>
      <c r="CV3" t="s">
        <v>1264</v>
      </c>
      <c r="CX3" t="s">
        <v>1399</v>
      </c>
    </row>
    <row r="4" spans="1:102">
      <c r="A4" s="1049"/>
      <c r="B4" s="1055"/>
      <c r="C4" s="1056">
        <v>1</v>
      </c>
      <c r="D4" s="845"/>
      <c r="E4" s="845" t="str">
        <f ca="1">"This Table is currently showing "&amp;$BU$1497&amp;" errors"</f>
        <v>This Table is currently showing 0 errors</v>
      </c>
      <c r="F4" s="1053"/>
      <c r="G4" s="1053"/>
      <c r="H4" s="1053"/>
      <c r="I4" s="845" t="s">
        <v>205</v>
      </c>
      <c r="J4" s="1053"/>
      <c r="K4" s="1053"/>
      <c r="L4" s="1053"/>
      <c r="M4" s="1125"/>
      <c r="N4" s="1050"/>
      <c r="O4" s="1050"/>
      <c r="P4" s="1049"/>
      <c r="Q4" s="1467"/>
      <c r="R4" s="608"/>
      <c r="S4" s="1144"/>
      <c r="T4" s="1144"/>
      <c r="U4" s="1468"/>
      <c r="V4" s="1468"/>
      <c r="W4" s="1468"/>
      <c r="X4" s="1468"/>
      <c r="Y4" s="1468"/>
      <c r="Z4" s="1468"/>
      <c r="AA4" s="1468"/>
      <c r="AB4" s="1468"/>
      <c r="AC4" s="1468"/>
      <c r="AD4" s="1468"/>
      <c r="AE4" s="1468"/>
      <c r="AF4" s="1468"/>
      <c r="AG4" s="1468"/>
      <c r="AH4" s="1468"/>
      <c r="AI4" s="1468"/>
      <c r="AJ4" s="1468"/>
      <c r="AK4" s="1468"/>
      <c r="AL4" s="1468"/>
      <c r="AM4" s="1468"/>
      <c r="AN4" s="1468"/>
      <c r="AO4" s="1468"/>
      <c r="AP4" s="1468"/>
      <c r="AQ4" s="1468"/>
      <c r="AR4" s="1468"/>
      <c r="AS4" s="1468"/>
      <c r="AT4" s="1468"/>
      <c r="AU4" s="1468"/>
      <c r="AV4" s="1468"/>
      <c r="AW4" s="1468"/>
      <c r="AX4" s="1468"/>
      <c r="AY4" s="1468"/>
      <c r="AZ4" s="1468"/>
      <c r="BA4" s="1468"/>
      <c r="BB4" s="1468"/>
      <c r="BC4" s="1468"/>
      <c r="BD4" s="1468"/>
      <c r="BE4" s="1468"/>
      <c r="BF4" s="1468"/>
      <c r="BG4" s="1468"/>
      <c r="BH4" s="1468"/>
      <c r="BI4" s="1468"/>
      <c r="BJ4" s="1468"/>
      <c r="BK4" s="1468"/>
      <c r="BL4" s="1468"/>
      <c r="BM4" s="1468"/>
      <c r="BN4" s="1468"/>
      <c r="BO4" s="1468"/>
      <c r="BP4" s="1468"/>
      <c r="BQ4" s="1468"/>
      <c r="BR4" s="1468"/>
      <c r="BS4" s="1468"/>
      <c r="BT4" s="1468"/>
      <c r="BX4" s="1453"/>
      <c r="CC4" s="1551" t="s">
        <v>605</v>
      </c>
      <c r="CD4" s="1470" t="s">
        <v>685</v>
      </c>
      <c r="CE4" s="1470" t="s">
        <v>686</v>
      </c>
      <c r="CF4" s="1470" t="s">
        <v>687</v>
      </c>
      <c r="CG4" s="1470" t="s">
        <v>688</v>
      </c>
      <c r="CH4" s="1470" t="s">
        <v>689</v>
      </c>
      <c r="CI4" s="1470" t="s">
        <v>690</v>
      </c>
      <c r="CJ4" s="1470" t="s">
        <v>691</v>
      </c>
      <c r="CK4" s="1470" t="s">
        <v>674</v>
      </c>
      <c r="CL4" s="1470"/>
      <c r="CM4" s="1470"/>
      <c r="CN4" s="1470"/>
      <c r="CO4" s="1549"/>
      <c r="CQ4" s="1469"/>
      <c r="CS4" s="1470" t="str">
        <f>'C, C1, C2&amp; C3 - Savings Schemes'!B22</f>
        <v>Non Pay</v>
      </c>
      <c r="CT4" t="s">
        <v>397</v>
      </c>
      <c r="CV4" t="s">
        <v>1265</v>
      </c>
      <c r="CX4" t="s">
        <v>1400</v>
      </c>
    </row>
    <row r="5" spans="1:102" ht="15.65" customHeight="1">
      <c r="A5" s="1712" t="s">
        <v>1270</v>
      </c>
      <c r="B5" s="1711"/>
      <c r="C5" s="1711"/>
      <c r="D5" s="1125">
        <f>IF(D6&lt;=VLOOKUP(Summary!$H$1,Summary!$V$1:$W$12,2,FALSE),1,0)</f>
        <v>1</v>
      </c>
      <c r="E5" s="1125">
        <f>IF(E6&lt;=VLOOKUP(Summary!$H$1,Summary!$V$1:$W$12,2,FALSE),1,0)</f>
        <v>0</v>
      </c>
      <c r="F5" s="1125">
        <f>IF(F6&lt;=VLOOKUP(Summary!$H$1,Summary!$V$1:$W$12,2,FALSE),1,0)</f>
        <v>0</v>
      </c>
      <c r="G5" s="1125">
        <f>IF(G6&lt;=VLOOKUP(Summary!$H$1,Summary!$V$1:$W$12,2,FALSE),1,0)</f>
        <v>0</v>
      </c>
      <c r="H5" s="1125">
        <f>IF(H6&lt;=VLOOKUP(Summary!$H$1,Summary!$V$1:$W$12,2,FALSE),1,0)</f>
        <v>0</v>
      </c>
      <c r="I5" s="1125">
        <f>IF(I6&lt;=VLOOKUP(Summary!$H$1,Summary!$V$1:$W$12,2,FALSE),1,0)</f>
        <v>0</v>
      </c>
      <c r="J5" s="1125">
        <f>IF(J6&lt;=VLOOKUP(Summary!$H$1,Summary!$V$1:$W$12,2,FALSE),1,0)</f>
        <v>0</v>
      </c>
      <c r="K5" s="1125">
        <f>IF(K6&lt;=VLOOKUP(Summary!$H$1,Summary!$V$1:$W$12,2,FALSE),1,0)</f>
        <v>0</v>
      </c>
      <c r="L5" s="1125">
        <f>IF(L6&lt;=VLOOKUP(Summary!$H$1,Summary!$V$1:$W$12,2,FALSE),1,0)</f>
        <v>0</v>
      </c>
      <c r="M5" s="1125">
        <f>IF(M6&lt;=VLOOKUP(Summary!$H$1,Summary!$V$1:$W$12,2,FALSE),1,0)</f>
        <v>0</v>
      </c>
      <c r="N5" s="1125">
        <f>IF(N6&lt;=VLOOKUP(Summary!$H$1,Summary!$V$1:$W$12,2,FALSE),1,0)</f>
        <v>0</v>
      </c>
      <c r="O5" s="1125">
        <f>IF(O6&lt;=VLOOKUP(Summary!$H$1,Summary!$V$1:$W$12,2,FALSE),1,0)</f>
        <v>0</v>
      </c>
      <c r="P5" s="1049"/>
      <c r="Q5" s="1467"/>
      <c r="R5" s="608"/>
      <c r="S5" s="1144"/>
      <c r="T5" s="1144"/>
      <c r="U5" s="1468"/>
      <c r="V5" s="1468"/>
      <c r="W5" s="1468"/>
      <c r="X5" s="1468"/>
      <c r="Y5" s="1468"/>
      <c r="Z5" s="1468"/>
      <c r="AA5" s="1468"/>
      <c r="AB5" s="1468"/>
      <c r="AC5" s="1468"/>
      <c r="AD5" s="1468"/>
      <c r="AE5" s="1468"/>
      <c r="AF5" s="1468"/>
      <c r="AG5" s="1468"/>
      <c r="AH5" s="1468"/>
      <c r="AI5" s="1468"/>
      <c r="AJ5" s="1468"/>
      <c r="AK5" s="1468"/>
      <c r="AL5" s="1468"/>
      <c r="AM5" s="1468"/>
      <c r="AN5" s="1468"/>
      <c r="AO5" s="1468"/>
      <c r="AP5" s="1468"/>
      <c r="AQ5" s="1468"/>
      <c r="AR5" s="1468"/>
      <c r="AS5" s="1468"/>
      <c r="AT5" s="1468"/>
      <c r="AU5" s="1468"/>
      <c r="AV5" s="1468"/>
      <c r="AW5" s="1468"/>
      <c r="AX5" s="1468"/>
      <c r="AY5" s="1468"/>
      <c r="AZ5" s="1468"/>
      <c r="BA5" s="1468"/>
      <c r="BB5" s="1468"/>
      <c r="BC5" s="1468"/>
      <c r="BD5" s="1468"/>
      <c r="BE5" s="1468"/>
      <c r="BF5" s="1468"/>
      <c r="BG5" s="1468"/>
      <c r="BH5" s="1468"/>
      <c r="BI5" s="1468"/>
      <c r="BJ5" s="1468"/>
      <c r="BK5" s="1468"/>
      <c r="BL5" s="1468"/>
      <c r="BM5" s="1468"/>
      <c r="BN5" s="1468"/>
      <c r="BO5" s="1468"/>
      <c r="BP5" s="1468"/>
      <c r="BQ5" s="1468"/>
      <c r="BR5" s="1468"/>
      <c r="BS5" s="1468"/>
      <c r="BT5" s="1468"/>
      <c r="BX5" s="1453"/>
      <c r="CC5" s="1551" t="s">
        <v>210</v>
      </c>
      <c r="CD5" s="1470" t="s">
        <v>692</v>
      </c>
      <c r="CE5" s="1470" t="s">
        <v>54</v>
      </c>
      <c r="CF5" s="1470" t="s">
        <v>693</v>
      </c>
      <c r="CG5" s="1470" t="s">
        <v>694</v>
      </c>
      <c r="CH5" s="1470" t="s">
        <v>695</v>
      </c>
      <c r="CI5" s="1470"/>
      <c r="CJ5" s="1470" t="s">
        <v>696</v>
      </c>
      <c r="CK5" s="1470" t="s">
        <v>697</v>
      </c>
      <c r="CL5" s="1470"/>
      <c r="CM5" s="1470"/>
      <c r="CN5" s="1470"/>
      <c r="CO5" s="1549"/>
      <c r="CQ5" s="1469" t="s">
        <v>822</v>
      </c>
      <c r="CS5" s="1470" t="str">
        <f>'C, C1, C2&amp; C3 - Savings Schemes'!B28</f>
        <v>Primary Care</v>
      </c>
      <c r="CT5" t="s">
        <v>397</v>
      </c>
      <c r="CV5" t="s">
        <v>1266</v>
      </c>
    </row>
    <row r="6" spans="1:102" ht="16" thickBot="1">
      <c r="A6" s="1711"/>
      <c r="B6" s="1711"/>
      <c r="C6" s="1711"/>
      <c r="D6" s="1125">
        <v>1</v>
      </c>
      <c r="E6" s="1125">
        <v>2</v>
      </c>
      <c r="F6" s="1125">
        <v>3</v>
      </c>
      <c r="G6" s="1125">
        <v>4</v>
      </c>
      <c r="H6" s="1125">
        <v>5</v>
      </c>
      <c r="I6" s="1125">
        <v>6</v>
      </c>
      <c r="J6" s="1125">
        <v>7</v>
      </c>
      <c r="K6" s="1125">
        <v>8</v>
      </c>
      <c r="L6" s="1125">
        <v>9</v>
      </c>
      <c r="M6" s="1125">
        <v>10</v>
      </c>
      <c r="N6" s="1125">
        <v>11</v>
      </c>
      <c r="O6" s="1125">
        <v>12</v>
      </c>
      <c r="P6" s="1049"/>
      <c r="Q6" s="1467"/>
      <c r="R6" s="608"/>
      <c r="S6" s="1144"/>
      <c r="T6" s="1144"/>
      <c r="U6" s="1468"/>
      <c r="V6" s="1468"/>
      <c r="W6" s="1468"/>
      <c r="X6" s="1468"/>
      <c r="Y6" s="1468"/>
      <c r="Z6" s="1468"/>
      <c r="AA6" s="1468"/>
      <c r="AB6" s="1468"/>
      <c r="AC6" s="1468"/>
      <c r="AD6" s="1468"/>
      <c r="AE6" s="1468"/>
      <c r="AF6" s="1468"/>
      <c r="AG6" s="1468"/>
      <c r="AH6" s="1468"/>
      <c r="AI6" s="1468"/>
      <c r="AJ6" s="1468"/>
      <c r="AK6" s="1468"/>
      <c r="AL6" s="1468"/>
      <c r="AM6" s="1468"/>
      <c r="AN6" s="1468"/>
      <c r="AO6" s="1468"/>
      <c r="AP6" s="1468"/>
      <c r="AQ6" s="1468"/>
      <c r="AR6" s="1468"/>
      <c r="AS6" s="1468"/>
      <c r="AT6" s="1468"/>
      <c r="AU6" s="1468"/>
      <c r="AV6" s="1468"/>
      <c r="AW6" s="1468"/>
      <c r="AX6" s="1468"/>
      <c r="AY6" s="1468"/>
      <c r="AZ6" s="1468"/>
      <c r="BA6" s="1468"/>
      <c r="BB6" s="1468"/>
      <c r="BC6" s="1468"/>
      <c r="BD6" s="1468"/>
      <c r="BE6" s="1468"/>
      <c r="BF6" s="1468"/>
      <c r="BG6" s="1468"/>
      <c r="BH6" s="1468"/>
      <c r="BI6" s="1468"/>
      <c r="BJ6" s="1468"/>
      <c r="BK6" s="1468"/>
      <c r="BL6" s="1468"/>
      <c r="BM6" s="1468"/>
      <c r="BN6" s="1468"/>
      <c r="BO6" s="1468"/>
      <c r="BP6" s="1468"/>
      <c r="BQ6" s="1468"/>
      <c r="BR6" s="1468"/>
      <c r="BS6" s="1468"/>
      <c r="BT6" s="1468"/>
      <c r="BX6" s="1453"/>
      <c r="CC6" s="1551" t="s">
        <v>606</v>
      </c>
      <c r="CD6" s="1470" t="s">
        <v>698</v>
      </c>
      <c r="CE6" s="1470"/>
      <c r="CF6" s="1470" t="s">
        <v>54</v>
      </c>
      <c r="CG6" s="1470" t="s">
        <v>54</v>
      </c>
      <c r="CH6" s="1470" t="s">
        <v>54</v>
      </c>
      <c r="CI6" s="1470"/>
      <c r="CJ6" s="1470" t="s">
        <v>54</v>
      </c>
      <c r="CK6" s="1470" t="s">
        <v>54</v>
      </c>
      <c r="CL6" s="1470"/>
      <c r="CM6" s="1470"/>
      <c r="CN6" s="1470"/>
      <c r="CO6" s="1549"/>
      <c r="CS6" s="1470" t="str">
        <f>CONCATENATE("Pay - ",'C, C1, C2&amp; C3 - Savings Schemes'!B53)</f>
        <v>Pay - Changes in Staffing Establishment</v>
      </c>
      <c r="CT6" t="s">
        <v>399</v>
      </c>
      <c r="CV6" s="1453" t="s">
        <v>1267</v>
      </c>
    </row>
    <row r="7" spans="1:102" ht="52.5" thickBot="1">
      <c r="A7" s="1125"/>
      <c r="B7" s="1690" t="s">
        <v>50</v>
      </c>
      <c r="C7" s="1699"/>
      <c r="D7" s="1704" t="s">
        <v>181</v>
      </c>
      <c r="E7" s="1697" t="s">
        <v>89</v>
      </c>
      <c r="F7" s="1704" t="s">
        <v>90</v>
      </c>
      <c r="G7" s="1697" t="s">
        <v>91</v>
      </c>
      <c r="H7" s="1704" t="s">
        <v>92</v>
      </c>
      <c r="I7" s="1697" t="s">
        <v>93</v>
      </c>
      <c r="J7" s="1704" t="s">
        <v>94</v>
      </c>
      <c r="K7" s="1697" t="s">
        <v>95</v>
      </c>
      <c r="L7" s="1704" t="s">
        <v>96</v>
      </c>
      <c r="M7" s="1697" t="s">
        <v>97</v>
      </c>
      <c r="N7" s="1704" t="s">
        <v>98</v>
      </c>
      <c r="O7" s="1697" t="s">
        <v>99</v>
      </c>
      <c r="P7" s="1704" t="s">
        <v>826</v>
      </c>
      <c r="Q7" s="1691" t="s">
        <v>276</v>
      </c>
      <c r="R7" s="1713" t="s">
        <v>434</v>
      </c>
      <c r="S7" s="1713" t="s">
        <v>708</v>
      </c>
      <c r="T7" s="1713" t="s">
        <v>854</v>
      </c>
      <c r="U7" s="1713" t="s">
        <v>842</v>
      </c>
      <c r="V7" s="1468"/>
      <c r="W7" s="1468"/>
      <c r="X7" s="3230" t="s">
        <v>895</v>
      </c>
      <c r="Y7" s="3230"/>
      <c r="Z7" s="3230"/>
      <c r="AA7" s="3230"/>
      <c r="AB7" s="1471" t="s">
        <v>896</v>
      </c>
      <c r="AC7" s="1471" t="s">
        <v>897</v>
      </c>
      <c r="AD7" s="1471" t="s">
        <v>822</v>
      </c>
      <c r="AE7" s="1471" t="s">
        <v>898</v>
      </c>
      <c r="AF7" s="1471" t="s">
        <v>603</v>
      </c>
      <c r="AG7" s="1471" t="s">
        <v>342</v>
      </c>
      <c r="AH7" s="1468"/>
      <c r="AI7" s="1468"/>
      <c r="AJ7" s="1468"/>
      <c r="AK7" s="1468"/>
      <c r="AL7" s="1468"/>
      <c r="AM7" s="1468"/>
      <c r="AN7" s="1468"/>
      <c r="AO7" s="1468"/>
      <c r="AP7" s="1468"/>
      <c r="AQ7" s="1468"/>
      <c r="AR7" s="1468"/>
      <c r="AS7" s="1468"/>
      <c r="AT7" s="1468"/>
      <c r="AU7" s="1468"/>
      <c r="AV7" s="1468"/>
      <c r="AW7" s="1468"/>
      <c r="AX7" s="1468"/>
      <c r="AY7" s="1468"/>
      <c r="AZ7" s="1468"/>
      <c r="BA7" s="1468"/>
      <c r="BB7" s="1468"/>
      <c r="BC7" s="1468"/>
      <c r="BD7" s="1468"/>
      <c r="BE7" s="1468"/>
      <c r="BF7" s="1468"/>
      <c r="BG7" s="1468"/>
      <c r="BH7" s="1468"/>
      <c r="BI7" s="1468"/>
      <c r="BJ7" s="1468"/>
      <c r="BK7" s="1468"/>
      <c r="BL7" s="1468"/>
      <c r="BM7" s="1468"/>
      <c r="BN7" s="1468"/>
      <c r="BO7" s="1468"/>
      <c r="BP7" s="1468"/>
      <c r="BQ7" s="1468"/>
      <c r="BR7" s="1468"/>
      <c r="BS7" s="1468"/>
      <c r="BT7" s="1468"/>
      <c r="BX7" s="1453"/>
      <c r="CC7" s="1551" t="s">
        <v>607</v>
      </c>
      <c r="CD7" s="1470" t="s">
        <v>699</v>
      </c>
      <c r="CE7" s="1470"/>
      <c r="CF7" s="1470"/>
      <c r="CG7" s="1470"/>
      <c r="CH7" s="1470"/>
      <c r="CI7" s="1470"/>
      <c r="CJ7" s="1470"/>
      <c r="CK7" s="1470"/>
      <c r="CL7" s="1470"/>
      <c r="CM7" s="1470"/>
      <c r="CN7" s="1470"/>
      <c r="CO7" s="1549"/>
      <c r="CS7" s="1470" t="str">
        <f>CONCATENATE("Pay - ",'C, C1, C2&amp; C3 - Savings Schemes'!B56)</f>
        <v>Pay - Variable Pay</v>
      </c>
      <c r="CT7" t="s">
        <v>399</v>
      </c>
      <c r="CV7" s="1453" t="s">
        <v>464</v>
      </c>
    </row>
    <row r="8" spans="1:102" ht="15.65" customHeight="1">
      <c r="A8" s="3073" t="s">
        <v>843</v>
      </c>
      <c r="B8" s="1063" t="s">
        <v>844</v>
      </c>
      <c r="C8" s="1705"/>
      <c r="D8" s="1706">
        <f t="shared" ref="D8:O8" si="0">SUMIFS(V$43:V$1496,$O$43:$O$1496,"&lt;&gt;Red",$R$43:$R$1496,$CQ$1,$L$43:$L$1496,$BY$1)+SUMIFS(V$43:V$1496,$O$43:$O$1496,"&lt;&gt;Red",$R$43:$R$1496,$CQ$5,$L$43:$L$1496,$BY$1)</f>
        <v>1244.4166666666665</v>
      </c>
      <c r="E8" s="1706">
        <f t="shared" si="0"/>
        <v>175.41666666666666</v>
      </c>
      <c r="F8" s="1706">
        <f t="shared" si="0"/>
        <v>175.41666666666666</v>
      </c>
      <c r="G8" s="1706">
        <f t="shared" si="0"/>
        <v>175.41666666666666</v>
      </c>
      <c r="H8" s="1706">
        <f t="shared" si="0"/>
        <v>175.41666666666666</v>
      </c>
      <c r="I8" s="1706">
        <f t="shared" si="0"/>
        <v>175.41666666666666</v>
      </c>
      <c r="J8" s="1706">
        <f t="shared" si="0"/>
        <v>175.41666666666666</v>
      </c>
      <c r="K8" s="1706">
        <f t="shared" si="0"/>
        <v>175.41666666666666</v>
      </c>
      <c r="L8" s="1706">
        <f t="shared" si="0"/>
        <v>175.41666666666666</v>
      </c>
      <c r="M8" s="1706">
        <f t="shared" si="0"/>
        <v>175.41666666666666</v>
      </c>
      <c r="N8" s="1706">
        <f t="shared" si="0"/>
        <v>175.41666666666666</v>
      </c>
      <c r="O8" s="1709">
        <f t="shared" si="0"/>
        <v>175.41666666666666</v>
      </c>
      <c r="P8" s="1458">
        <f>SUMPRODUCT($D$5:$O$5,D8:O8)</f>
        <v>1244.4166666666665</v>
      </c>
      <c r="Q8" s="1707">
        <f t="shared" ref="Q8:Q28" si="1">SUM(D8:O8)</f>
        <v>3173.9999999999991</v>
      </c>
      <c r="R8" s="1709">
        <f>SUMIFS(G$43:G$1496,$O$43:$O$1496,"&lt;&gt;Red",$R$43:$R$1496,$CQ$1,$L$43:$L$1496,$BY$1,$F$43:$F$1496,$BZ$2)+SUMIFS(G$43:G$1496,$O$43:$O$1496,"&lt;&gt;Red",$R$43:$R$1496,$CQ$5,$L$43:$L$1496,$BY$1,$F$43:$F$1496,$BZ$2)</f>
        <v>661</v>
      </c>
      <c r="S8" s="1709">
        <f>SUMIFS(G$43:G$1496,$O$43:$O$1496,"&lt;&gt;Red",$R$43:$R$1496,$CQ$1,$L$43:$L$1496,$BY$1,$F$43:$F$1496,$BZ$1)+SUMIFS(G$43:G$1496,$O$43:$O$1496,"&lt;&gt;Red",$R$43:$R$1496,$CQ$5,$L$43:$L$1496,$BY$1,$F$43:$F$1496,$BZ$1)</f>
        <v>2513</v>
      </c>
      <c r="T8" s="1709">
        <f>U8-S8</f>
        <v>0</v>
      </c>
      <c r="U8" s="1709">
        <f>SUMIFS(H$43:H$1496,$O$43:$O$1496,"&lt;&gt;Red",$R$43:$R$1496,$CQ$1,$L$43:$L$1496,$BY$1)+SUMIFS(H$43:H$1496,$O$43:$O$1496,"&lt;&gt;Red",$R$43:$R$1496,$CQ$5,$L$43:$L$1496,$BY$1)</f>
        <v>2513</v>
      </c>
      <c r="V8" s="1468"/>
      <c r="W8" s="1468"/>
      <c r="X8" s="3231" t="s">
        <v>604</v>
      </c>
      <c r="Y8" s="3231"/>
      <c r="Z8" s="3231"/>
      <c r="AA8" s="3231"/>
      <c r="AB8" s="1746">
        <f t="shared" ref="AB8:AB18" si="2">SUMIFS($AV$43:$AV$1543,$O$43:$O$1543,"&lt;&gt;Red",$P$43:$P$1543,$X8,$R$43:$R$1543,$CQ$1,$BV$43:$BV$1543,$CT$6)</f>
        <v>0</v>
      </c>
      <c r="AC8" s="1746">
        <f t="shared" ref="AC8:AC18" si="3">SUMIFS($AV$43:$AV$1543,$O$43:$O$1543,"&lt;&gt;Red",$P$43:$P$1543,$X8,$R$43:$R$1543,$CQ$1,$BV$43:$BV$1543,$CT$1)</f>
        <v>0</v>
      </c>
      <c r="AD8" s="1746">
        <f t="shared" ref="AD8:AD18" si="4">SUMIFS($AV$43:$AV$1543,$O$43:$O$1543, "&lt;&gt;Red",$P$43:$P$1543,$X8,$R$43:$R$1543,$AD$7)</f>
        <v>0</v>
      </c>
      <c r="AE8" s="1747">
        <f>SUM(AB8:AD8)</f>
        <v>0</v>
      </c>
      <c r="AF8" s="1746">
        <f t="shared" ref="AF8:AF18" si="5">SUMIFS($AV$43:$AV$1543,$O$43:$O$1543, "&lt;&gt;Red",$P$43:$P$1543,$X8,$R$43:$R$1543,$AF$7)</f>
        <v>0</v>
      </c>
      <c r="AG8" s="1746">
        <f t="shared" ref="AG8:AG18" si="6">SUMIFS($AV$43:$AV$1543,$O$43:$O$1543, "&lt;&gt;Red",$P$43:$P$1543,$X8,$R$43:$R$1543,$AG$7)</f>
        <v>0</v>
      </c>
      <c r="AH8" s="1468"/>
      <c r="AI8" s="1468"/>
      <c r="AJ8" s="1468"/>
      <c r="AK8" s="1468"/>
      <c r="AL8" s="1468"/>
      <c r="AM8" s="1468"/>
      <c r="AN8" s="1468"/>
      <c r="AO8" s="1468"/>
      <c r="AP8" s="1468"/>
      <c r="AQ8" s="1468"/>
      <c r="AR8" s="1468"/>
      <c r="AS8" s="1468"/>
      <c r="AT8" s="1468"/>
      <c r="AU8" s="1468"/>
      <c r="AV8" s="1468"/>
      <c r="AW8" s="1468"/>
      <c r="AX8" s="1468"/>
      <c r="AY8" s="1468"/>
      <c r="AZ8" s="1468"/>
      <c r="BA8" s="1468"/>
      <c r="BB8" s="1468"/>
      <c r="BC8" s="1468"/>
      <c r="BD8" s="1468"/>
      <c r="BE8" s="1468"/>
      <c r="BF8" s="1468"/>
      <c r="BG8" s="1468"/>
      <c r="BH8" s="1468"/>
      <c r="BI8" s="1468"/>
      <c r="BJ8" s="1468"/>
      <c r="BK8" s="1468"/>
      <c r="BL8" s="1468"/>
      <c r="BM8" s="1468"/>
      <c r="BN8" s="1468"/>
      <c r="BO8" s="1468"/>
      <c r="BP8" s="1468"/>
      <c r="BQ8" s="1468"/>
      <c r="BR8" s="1468"/>
      <c r="BS8" s="1468"/>
      <c r="BT8" s="1468"/>
      <c r="BX8" s="1453"/>
      <c r="CC8" s="1551" t="s">
        <v>608</v>
      </c>
      <c r="CD8" s="1470" t="s">
        <v>700</v>
      </c>
      <c r="CE8" s="1470"/>
      <c r="CF8" s="1470"/>
      <c r="CG8" s="1470"/>
      <c r="CH8" s="1470"/>
      <c r="CI8" s="1470"/>
      <c r="CJ8" s="1470"/>
      <c r="CK8" s="1470"/>
      <c r="CL8" s="1470"/>
      <c r="CM8" s="1470"/>
      <c r="CN8" s="1470"/>
      <c r="CO8" s="1549"/>
      <c r="CS8" s="1470" t="str">
        <f>CONCATENATE("Pay - ",'C, C1, C2&amp; C3 - Savings Schemes'!B59)</f>
        <v>Pay - Locum</v>
      </c>
      <c r="CT8" t="s">
        <v>399</v>
      </c>
      <c r="CV8" s="1453" t="s">
        <v>465</v>
      </c>
    </row>
    <row r="9" spans="1:102" ht="16" thickBot="1">
      <c r="A9" s="3074"/>
      <c r="B9" s="1698" t="s">
        <v>845</v>
      </c>
      <c r="C9" s="1371"/>
      <c r="D9" s="1708">
        <f t="shared" ref="D9:O9" si="7">SUMIFS(AI$43:AI$1496,$O$43:$O$1496,"&lt;&gt;Red",$R$43:$R$1496,$CQ$1,$L$43:$L$1496,$BY$1)+SUMIFS(AI$43:AI$1496,$O$43:$O$1496,"&lt;&gt;Red",$R$43:$R$1496,$CQ$5,$L$43:$L$1496,$BY$1)</f>
        <v>1244.4166666666665</v>
      </c>
      <c r="E9" s="1708">
        <f t="shared" si="7"/>
        <v>175.41666666666666</v>
      </c>
      <c r="F9" s="1708">
        <f t="shared" si="7"/>
        <v>175.41666666666666</v>
      </c>
      <c r="G9" s="1708">
        <f t="shared" si="7"/>
        <v>175.41666666666666</v>
      </c>
      <c r="H9" s="1708">
        <f t="shared" si="7"/>
        <v>175.41666666666666</v>
      </c>
      <c r="I9" s="1708">
        <f t="shared" si="7"/>
        <v>175.41666666666666</v>
      </c>
      <c r="J9" s="1708">
        <f t="shared" si="7"/>
        <v>175.41666666666666</v>
      </c>
      <c r="K9" s="1708">
        <f t="shared" si="7"/>
        <v>175.41666666666666</v>
      </c>
      <c r="L9" s="1708">
        <f t="shared" si="7"/>
        <v>175.41666666666666</v>
      </c>
      <c r="M9" s="1708">
        <f t="shared" si="7"/>
        <v>175.41666666666666</v>
      </c>
      <c r="N9" s="1708">
        <f t="shared" si="7"/>
        <v>175.41666666666666</v>
      </c>
      <c r="O9" s="1577">
        <f t="shared" si="7"/>
        <v>175.41666666666666</v>
      </c>
      <c r="P9" s="1465">
        <f t="shared" ref="P9:P28" si="8">SUMPRODUCT($D$5:$O$5,D9:O9)</f>
        <v>1244.4166666666665</v>
      </c>
      <c r="Q9" s="939">
        <f t="shared" si="1"/>
        <v>3173.9999999999991</v>
      </c>
      <c r="R9" s="1577">
        <f>SUMIFS(I$43:I$1496,$O$43:$O$1496,"&lt;&gt;Red",$R$43:$R$1496,$CQ$1,$L$43:$L$1496,$BY$1,$F$43:$F$1496,$BZ$2)+SUMIFS(I$43:I$1496,$O$43:$O$1496,"&lt;&gt;Red",$R$43:$R$1496,$CQ$5,$L$43:$L$1496,$BY$1,$F$43:$F$1496,$BZ$2)</f>
        <v>661</v>
      </c>
      <c r="S9" s="1577">
        <f>SUMIFS(I$43:I$1496,$O$43:$O$1496,"&lt;&gt;Red",$R$43:$R$1496,$CQ$1,$L$43:$L$1496,$BY$1,$F$43:$F$1496,$BZ$1)+SUMIFS(I$43:I$1496,$O$43:$O$1496,"&lt;&gt;Red",$R$43:$R$1496,$CQ$5,$L$43:$L$1496,$BY$1,$F$43:$F$1496,$BZ$1)</f>
        <v>2513</v>
      </c>
      <c r="T9" s="1577">
        <f>U9-S9</f>
        <v>0</v>
      </c>
      <c r="U9" s="1577">
        <f>SUMIFS(J$43:J$1496,$O$43:$O$1496,"&lt;&gt;Red",$R$43:$R$1496,$CQ$1,$L$43:$L$1496,$BY$1)+SUMIFS(J$43:J$1496,$O$43:$O$1496,"&lt;&gt;Red",$R$43:$R$1496,$CQ$5,$L$43:$L$1496,$BY$1)</f>
        <v>2513</v>
      </c>
      <c r="V9" s="1468"/>
      <c r="W9" s="1468"/>
      <c r="X9" s="3231" t="s">
        <v>568</v>
      </c>
      <c r="Y9" s="3231"/>
      <c r="Z9" s="3231"/>
      <c r="AA9" s="3231"/>
      <c r="AB9" s="1746">
        <f t="shared" si="2"/>
        <v>0</v>
      </c>
      <c r="AC9" s="1746">
        <f t="shared" si="3"/>
        <v>0</v>
      </c>
      <c r="AD9" s="1746">
        <f t="shared" si="4"/>
        <v>0</v>
      </c>
      <c r="AE9" s="1747">
        <f t="shared" ref="AE9:AE18" si="9">SUM(AB9:AD9)</f>
        <v>0</v>
      </c>
      <c r="AF9" s="1746">
        <f t="shared" si="5"/>
        <v>0</v>
      </c>
      <c r="AG9" s="1746">
        <f t="shared" si="6"/>
        <v>0</v>
      </c>
      <c r="AH9" s="1468"/>
      <c r="AI9" s="1468"/>
      <c r="AJ9" s="1468"/>
      <c r="AK9" s="1468"/>
      <c r="AL9" s="1468"/>
      <c r="AM9" s="1468"/>
      <c r="AN9" s="1468"/>
      <c r="AO9" s="1468"/>
      <c r="AP9" s="1468"/>
      <c r="AQ9" s="1468"/>
      <c r="AR9" s="1468"/>
      <c r="AS9" s="1468"/>
      <c r="AT9" s="1468"/>
      <c r="AU9" s="1468"/>
      <c r="AV9" s="1468"/>
      <c r="AW9" s="1468"/>
      <c r="AX9" s="1468"/>
      <c r="AY9" s="1468"/>
      <c r="AZ9" s="1468"/>
      <c r="BA9" s="1468"/>
      <c r="BB9" s="1468"/>
      <c r="BC9" s="1468"/>
      <c r="BD9" s="1468"/>
      <c r="BE9" s="1468"/>
      <c r="BF9" s="1468"/>
      <c r="BG9" s="1468"/>
      <c r="BH9" s="1468"/>
      <c r="BI9" s="1468"/>
      <c r="BJ9" s="1468"/>
      <c r="BK9" s="1468"/>
      <c r="BL9" s="1468"/>
      <c r="BM9" s="1468"/>
      <c r="BN9" s="1468"/>
      <c r="BO9" s="1468"/>
      <c r="BP9" s="1468"/>
      <c r="BQ9" s="1468"/>
      <c r="BR9" s="1468"/>
      <c r="BS9" s="1468"/>
      <c r="BT9" s="1468"/>
      <c r="BX9" s="1453"/>
      <c r="CC9" s="1551" t="s">
        <v>609</v>
      </c>
      <c r="CD9" s="1470" t="s">
        <v>701</v>
      </c>
      <c r="CE9" s="1470"/>
      <c r="CF9" s="1470"/>
      <c r="CG9" s="1470"/>
      <c r="CH9" s="1470"/>
      <c r="CI9" s="1470"/>
      <c r="CJ9" s="1470"/>
      <c r="CK9" s="1470"/>
      <c r="CL9" s="1470"/>
      <c r="CM9" s="1470"/>
      <c r="CN9" s="1470"/>
      <c r="CO9" s="1549"/>
      <c r="CS9" s="1470" t="str">
        <f>CONCATENATE("Pay - ",'C, C1, C2&amp; C3 - Savings Schemes'!B65)</f>
        <v>Pay - Changes in Bank Staff</v>
      </c>
      <c r="CT9" t="s">
        <v>399</v>
      </c>
      <c r="CV9" s="1453" t="s">
        <v>444</v>
      </c>
    </row>
    <row r="10" spans="1:102" ht="16" thickBot="1">
      <c r="A10" s="3074"/>
      <c r="B10" s="1700" t="s">
        <v>42</v>
      </c>
      <c r="C10" s="1109"/>
      <c r="D10" s="1703">
        <f>D9-D8</f>
        <v>0</v>
      </c>
      <c r="E10" s="1703">
        <f t="shared" ref="E10:O10" si="10">E9-E8</f>
        <v>0</v>
      </c>
      <c r="F10" s="1703">
        <f t="shared" si="10"/>
        <v>0</v>
      </c>
      <c r="G10" s="1703">
        <f t="shared" si="10"/>
        <v>0</v>
      </c>
      <c r="H10" s="1703">
        <f t="shared" si="10"/>
        <v>0</v>
      </c>
      <c r="I10" s="1703">
        <f t="shared" si="10"/>
        <v>0</v>
      </c>
      <c r="J10" s="1703">
        <f t="shared" si="10"/>
        <v>0</v>
      </c>
      <c r="K10" s="1703">
        <f t="shared" si="10"/>
        <v>0</v>
      </c>
      <c r="L10" s="1703">
        <f t="shared" si="10"/>
        <v>0</v>
      </c>
      <c r="M10" s="1703">
        <f t="shared" si="10"/>
        <v>0</v>
      </c>
      <c r="N10" s="1703">
        <f t="shared" si="10"/>
        <v>0</v>
      </c>
      <c r="O10" s="1710">
        <f t="shared" si="10"/>
        <v>0</v>
      </c>
      <c r="P10" s="1701">
        <f t="shared" si="8"/>
        <v>0</v>
      </c>
      <c r="Q10" s="1702">
        <f t="shared" si="1"/>
        <v>0</v>
      </c>
      <c r="R10" s="1710">
        <f>R9-R8</f>
        <v>0</v>
      </c>
      <c r="S10" s="1710">
        <f>S9-S8</f>
        <v>0</v>
      </c>
      <c r="T10" s="1710">
        <f>T9-T8</f>
        <v>0</v>
      </c>
      <c r="U10" s="1710">
        <f>U9-U8</f>
        <v>0</v>
      </c>
      <c r="V10" s="1468"/>
      <c r="W10" s="1468"/>
      <c r="X10" s="3231" t="s">
        <v>605</v>
      </c>
      <c r="Y10" s="3231"/>
      <c r="Z10" s="3231"/>
      <c r="AA10" s="3231"/>
      <c r="AB10" s="1746">
        <f t="shared" si="2"/>
        <v>0</v>
      </c>
      <c r="AC10" s="1746">
        <f t="shared" si="3"/>
        <v>0</v>
      </c>
      <c r="AD10" s="1746">
        <f t="shared" si="4"/>
        <v>0</v>
      </c>
      <c r="AE10" s="1747">
        <f t="shared" si="9"/>
        <v>0</v>
      </c>
      <c r="AF10" s="1746">
        <f t="shared" si="5"/>
        <v>0</v>
      </c>
      <c r="AG10" s="1746">
        <f t="shared" si="6"/>
        <v>0</v>
      </c>
      <c r="AH10" s="1468"/>
      <c r="AI10" s="1468"/>
      <c r="AJ10" s="1468"/>
      <c r="AK10" s="1468"/>
      <c r="AL10" s="1468"/>
      <c r="AM10" s="1468"/>
      <c r="AN10" s="1468"/>
      <c r="AO10" s="1468"/>
      <c r="AP10" s="1468"/>
      <c r="AQ10" s="1468"/>
      <c r="AR10" s="1468"/>
      <c r="AS10" s="1468"/>
      <c r="AT10" s="1468"/>
      <c r="AU10" s="1468"/>
      <c r="AV10" s="1468"/>
      <c r="AW10" s="1468"/>
      <c r="AX10" s="1468"/>
      <c r="AY10" s="1468"/>
      <c r="AZ10" s="1468"/>
      <c r="BA10" s="1468"/>
      <c r="BB10" s="1468"/>
      <c r="BC10" s="1468"/>
      <c r="BD10" s="1468"/>
      <c r="BE10" s="1468"/>
      <c r="BF10" s="1468"/>
      <c r="BG10" s="1468"/>
      <c r="BH10" s="1468"/>
      <c r="BI10" s="1468"/>
      <c r="BJ10" s="1468"/>
      <c r="BK10" s="1468"/>
      <c r="BL10" s="1468"/>
      <c r="BM10" s="1468"/>
      <c r="BN10" s="1468"/>
      <c r="BO10" s="1468"/>
      <c r="BP10" s="1468"/>
      <c r="BQ10" s="1468"/>
      <c r="BR10" s="1468"/>
      <c r="BS10" s="1468"/>
      <c r="BT10" s="1468"/>
      <c r="BX10" s="1453"/>
      <c r="CC10" s="1551" t="s">
        <v>610</v>
      </c>
      <c r="CD10" s="1470" t="s">
        <v>702</v>
      </c>
      <c r="CE10" s="1470"/>
      <c r="CF10" s="1470"/>
      <c r="CG10" s="1470"/>
      <c r="CH10" s="1470"/>
      <c r="CI10" s="1470"/>
      <c r="CJ10" s="1470"/>
      <c r="CK10" s="1470"/>
      <c r="CL10" s="1470"/>
      <c r="CM10" s="1470"/>
      <c r="CN10" s="1470"/>
      <c r="CO10" s="1549"/>
      <c r="CS10" s="1470" t="str">
        <f>CONCATENATE("Pay - ",'C, C1, C2&amp; C3 - Savings Schemes'!B68)</f>
        <v>Pay - Other (Please Specify)</v>
      </c>
      <c r="CT10" t="s">
        <v>399</v>
      </c>
      <c r="CV10" s="1453" t="s">
        <v>1268</v>
      </c>
    </row>
    <row r="11" spans="1:102">
      <c r="A11" s="3074"/>
      <c r="B11" s="1063" t="s">
        <v>846</v>
      </c>
      <c r="C11" s="1705"/>
      <c r="D11" s="1706">
        <f t="shared" ref="D11:O11" si="11">SUMIFS(V$43:V$1496,$O$43:$O$1496,"&lt;&gt;Red",$R$43:$R$1496,$CQ$1,$L$43:$L$1496,$BY$2)+SUMIFS(V$43:V$1496,$O$43:$O$1496,"&lt;&gt;Red",$R$43:$R$1496,$CQ$5,$L$43:$L$1496,$BY$2)</f>
        <v>0</v>
      </c>
      <c r="E11" s="1706">
        <f t="shared" si="11"/>
        <v>0</v>
      </c>
      <c r="F11" s="1706">
        <f t="shared" si="11"/>
        <v>0</v>
      </c>
      <c r="G11" s="1706">
        <f t="shared" si="11"/>
        <v>0</v>
      </c>
      <c r="H11" s="1706">
        <f t="shared" si="11"/>
        <v>0</v>
      </c>
      <c r="I11" s="1706">
        <f t="shared" si="11"/>
        <v>0</v>
      </c>
      <c r="J11" s="1706">
        <f t="shared" si="11"/>
        <v>0</v>
      </c>
      <c r="K11" s="1706">
        <f t="shared" si="11"/>
        <v>0</v>
      </c>
      <c r="L11" s="1706">
        <f t="shared" si="11"/>
        <v>0</v>
      </c>
      <c r="M11" s="1706">
        <f t="shared" si="11"/>
        <v>0</v>
      </c>
      <c r="N11" s="1706">
        <f t="shared" si="11"/>
        <v>0</v>
      </c>
      <c r="O11" s="1709">
        <f t="shared" si="11"/>
        <v>0</v>
      </c>
      <c r="P11" s="1458">
        <f t="shared" si="8"/>
        <v>0</v>
      </c>
      <c r="Q11" s="1707">
        <f t="shared" si="1"/>
        <v>0</v>
      </c>
      <c r="R11" s="1709">
        <f>SUMIFS(G$43:G$1496,$O$43:$O$1496,"&lt;&gt;Red",$R$43:$R$1496,$CQ$1,$L$43:$L$1496,$BY$2,$F$43:$F$1496,$BZ$2)+SUMIFS(G$43:G$1496,$O$43:$O$1496,"&lt;&gt;Red",$R$43:$R$1496,$CQ$5,$L$43:$L$1496,$BY$2,$F$43:$F$1496,$BZ$2)</f>
        <v>0</v>
      </c>
      <c r="S11" s="1709">
        <f>SUMIFS(G$43:G$1496,$O$43:$O$1496,"&lt;&gt;Red",$R$43:$R$1496,$CQ$1,$L$43:$L$1496,$BY$2,$F$43:$F$1496,$BZ$1)+SUMIFS(G$43:G$1496,$O$43:$O$1496,"&lt;&gt;Red",$R$43:$R$1496,$CQ$5,$L$43:$L$1496,$BY$2,$F$43:$F$1496,$BZ$1)</f>
        <v>0</v>
      </c>
      <c r="T11" s="1709">
        <f>U11-S11</f>
        <v>0</v>
      </c>
      <c r="U11" s="1709">
        <f>SUMIFS(H$43:H$1496,$O$43:$O$1496,"&lt;&gt;Red",$R$43:$R$1496,$CQ$1,$L$43:$L$1496,$BY$2)+SUMIFS(H$43:H$1496,$O$43:$O$1496,"&lt;&gt;Red",$R$43:$R$1496,$CQ$5,$L$43:$L$1496,$BY$2)</f>
        <v>0</v>
      </c>
      <c r="V11" s="1468"/>
      <c r="W11" s="1468"/>
      <c r="X11" s="3231" t="s">
        <v>210</v>
      </c>
      <c r="Y11" s="3231"/>
      <c r="Z11" s="3231"/>
      <c r="AA11" s="3231"/>
      <c r="AB11" s="1746">
        <f t="shared" si="2"/>
        <v>0</v>
      </c>
      <c r="AC11" s="1746">
        <f t="shared" si="3"/>
        <v>0</v>
      </c>
      <c r="AD11" s="1746">
        <f t="shared" si="4"/>
        <v>0</v>
      </c>
      <c r="AE11" s="1747">
        <f t="shared" si="9"/>
        <v>0</v>
      </c>
      <c r="AF11" s="1746">
        <f t="shared" si="5"/>
        <v>0</v>
      </c>
      <c r="AG11" s="1746">
        <f t="shared" si="6"/>
        <v>0</v>
      </c>
      <c r="AH11" s="1468"/>
      <c r="AI11" s="1468"/>
      <c r="AJ11" s="1468"/>
      <c r="AK11" s="1468"/>
      <c r="AL11" s="1468"/>
      <c r="AM11" s="1468"/>
      <c r="AN11" s="1468"/>
      <c r="AO11" s="1468"/>
      <c r="AP11" s="1468"/>
      <c r="AQ11" s="1468"/>
      <c r="AR11" s="1468"/>
      <c r="AS11" s="1468"/>
      <c r="AT11" s="1468"/>
      <c r="AU11" s="1468"/>
      <c r="AV11" s="1468"/>
      <c r="AW11" s="1468"/>
      <c r="AX11" s="1468"/>
      <c r="AY11" s="1468"/>
      <c r="AZ11" s="1468"/>
      <c r="BA11" s="1468"/>
      <c r="BB11" s="1468"/>
      <c r="BC11" s="1468"/>
      <c r="BD11" s="1468"/>
      <c r="BE11" s="1468"/>
      <c r="BF11" s="1468"/>
      <c r="BG11" s="1468"/>
      <c r="BH11" s="1468"/>
      <c r="BI11" s="1468"/>
      <c r="BJ11" s="1468"/>
      <c r="BK11" s="1468"/>
      <c r="BL11" s="1468"/>
      <c r="BM11" s="1468"/>
      <c r="BN11" s="1468"/>
      <c r="BO11" s="1468"/>
      <c r="BP11" s="1468"/>
      <c r="BQ11" s="1468"/>
      <c r="BR11" s="1468"/>
      <c r="BS11" s="1468"/>
      <c r="BT11" s="1468"/>
      <c r="CC11" s="1551" t="s">
        <v>306</v>
      </c>
      <c r="CD11" s="1470" t="s">
        <v>703</v>
      </c>
      <c r="CE11" s="1470"/>
      <c r="CF11" s="1470"/>
      <c r="CG11" s="1470"/>
      <c r="CH11" s="1470"/>
      <c r="CI11" s="1470"/>
      <c r="CJ11" s="1470"/>
      <c r="CK11" s="1470"/>
      <c r="CL11" s="1470"/>
      <c r="CM11" s="1470"/>
      <c r="CN11" s="1470"/>
      <c r="CO11" s="1549"/>
      <c r="CS11" s="1470" t="str">
        <f>CONCATENATE("Agency - ",'C, C1, C2&amp; C3 - Savings Schemes'!B83)</f>
        <v>Agency - Reduced usage of Agency/Locums paid at a premium</v>
      </c>
      <c r="CT11" t="s">
        <v>399</v>
      </c>
    </row>
    <row r="12" spans="1:102" ht="16" thickBot="1">
      <c r="A12" s="3074"/>
      <c r="B12" s="1698" t="s">
        <v>847</v>
      </c>
      <c r="C12" s="1371"/>
      <c r="D12" s="1708">
        <f t="shared" ref="D12:O12" si="12">SUMIFS(AI$43:AI$1496,$O$43:$O$1496,"&lt;&gt;Red",$R$43:$R$1496,$CQ$1,$L$43:$L$1496,$BY$2)+SUMIFS(AI$43:AI$1496,$O$43:$O$1496,"&lt;&gt;Red",$R$43:$R$1496,$CQ$5,$L$43:$L$1496,$BY$2)</f>
        <v>0</v>
      </c>
      <c r="E12" s="1708">
        <f t="shared" si="12"/>
        <v>0</v>
      </c>
      <c r="F12" s="1708">
        <f t="shared" si="12"/>
        <v>0</v>
      </c>
      <c r="G12" s="1708">
        <f t="shared" si="12"/>
        <v>0</v>
      </c>
      <c r="H12" s="1708">
        <f t="shared" si="12"/>
        <v>0</v>
      </c>
      <c r="I12" s="1708">
        <f t="shared" si="12"/>
        <v>0</v>
      </c>
      <c r="J12" s="1708">
        <f t="shared" si="12"/>
        <v>0</v>
      </c>
      <c r="K12" s="1708">
        <f t="shared" si="12"/>
        <v>0</v>
      </c>
      <c r="L12" s="1708">
        <f t="shared" si="12"/>
        <v>0</v>
      </c>
      <c r="M12" s="1708">
        <f t="shared" si="12"/>
        <v>0</v>
      </c>
      <c r="N12" s="1708">
        <f t="shared" si="12"/>
        <v>0</v>
      </c>
      <c r="O12" s="1577">
        <f t="shared" si="12"/>
        <v>0</v>
      </c>
      <c r="P12" s="1465">
        <f t="shared" si="8"/>
        <v>0</v>
      </c>
      <c r="Q12" s="939">
        <f t="shared" si="1"/>
        <v>0</v>
      </c>
      <c r="R12" s="1577">
        <f>SUMIFS(I$43:I$1496,$O$43:$O$1496,"&lt;&gt;Red",$R$43:$R$1496,$CQ$1,$L$43:$L$1496,$BY$2,$F$43:$F$1496,$BZ$2)+SUMIFS(I$43:I$1496,$O$43:$O$1496,"&lt;&gt;Red",$R$43:$R$1496,$CQ$5,$L$43:$L$1496,$BY$2,$F$43:$F$1496,$BZ$2)</f>
        <v>0</v>
      </c>
      <c r="S12" s="1577">
        <f>SUMIFS(I$43:I$1496,$O$43:$O$1496,"&lt;&gt;Red",$R$43:$R$1496,$CQ$1,$L$43:$L$1496,$BY$2,$F$43:$F$1496,$BZ$1)+SUMIFS(I$43:I$1496,$O$43:$O$1496,"&lt;&gt;Red",$R$43:$R$1496,$CQ$5,$L$43:$L$1496,$BY$2,$F$43:$F$1496,$BZ$1)</f>
        <v>0</v>
      </c>
      <c r="T12" s="1577">
        <f>U12-S12</f>
        <v>0</v>
      </c>
      <c r="U12" s="1577">
        <f>SUMIFS(J$43:J$1496,$O$43:$O$1496,"&lt;&gt;Red",$R$43:$R$1496,$CQ$1,$L$43:$L$1496,$BY$2)+SUMIFS(J$43:J$1496,$O$43:$O$1496,"&lt;&gt;Red",$R$43:$R$1496,$CQ$5,$L$43:$L$1496,$BY$2)</f>
        <v>0</v>
      </c>
      <c r="V12" s="1468"/>
      <c r="W12" s="1468"/>
      <c r="X12" s="3231" t="s">
        <v>606</v>
      </c>
      <c r="Y12" s="3231"/>
      <c r="Z12" s="3231"/>
      <c r="AA12" s="3231"/>
      <c r="AB12" s="1746">
        <f t="shared" si="2"/>
        <v>0</v>
      </c>
      <c r="AC12" s="1746">
        <f t="shared" si="3"/>
        <v>0</v>
      </c>
      <c r="AD12" s="1746">
        <f t="shared" si="4"/>
        <v>0</v>
      </c>
      <c r="AE12" s="1747">
        <f t="shared" si="9"/>
        <v>0</v>
      </c>
      <c r="AF12" s="1746">
        <f t="shared" si="5"/>
        <v>0</v>
      </c>
      <c r="AG12" s="1746">
        <f t="shared" si="6"/>
        <v>0</v>
      </c>
      <c r="AH12" s="1468"/>
      <c r="AI12" s="1468"/>
      <c r="AJ12" s="1468"/>
      <c r="AK12" s="1468"/>
      <c r="AL12" s="1468"/>
      <c r="AM12" s="1468"/>
      <c r="AN12" s="1468"/>
      <c r="AO12" s="1468"/>
      <c r="AP12" s="1468"/>
      <c r="AQ12" s="1468"/>
      <c r="AR12" s="1468"/>
      <c r="AS12" s="1468"/>
      <c r="AT12" s="1468"/>
      <c r="AU12" s="1468"/>
      <c r="AV12" s="1468"/>
      <c r="AW12" s="1468"/>
      <c r="AX12" s="1468"/>
      <c r="AY12" s="1468"/>
      <c r="AZ12" s="1468"/>
      <c r="BA12" s="1468"/>
      <c r="BB12" s="1468"/>
      <c r="BC12" s="1468"/>
      <c r="BD12" s="1468"/>
      <c r="BE12" s="1468"/>
      <c r="BF12" s="1468"/>
      <c r="BG12" s="1468"/>
      <c r="BH12" s="1468"/>
      <c r="BI12" s="1468"/>
      <c r="BJ12" s="1468"/>
      <c r="BK12" s="1468"/>
      <c r="BL12" s="1468"/>
      <c r="BM12" s="1468"/>
      <c r="BN12" s="1468"/>
      <c r="BO12" s="1468"/>
      <c r="BP12" s="1468"/>
      <c r="BQ12" s="1468"/>
      <c r="BR12" s="1468"/>
      <c r="BS12" s="1468"/>
      <c r="BT12" s="1468"/>
      <c r="CC12" s="1551" t="s">
        <v>611</v>
      </c>
      <c r="CD12" s="1470" t="s">
        <v>54</v>
      </c>
      <c r="CE12" s="1470"/>
      <c r="CF12" s="1470"/>
      <c r="CG12" s="1470"/>
      <c r="CH12" s="1470"/>
      <c r="CI12" s="1470"/>
      <c r="CJ12" s="1470"/>
      <c r="CK12" s="1470"/>
      <c r="CL12" s="1470"/>
      <c r="CM12" s="1470"/>
      <c r="CN12" s="1470"/>
      <c r="CS12" s="1470" t="str">
        <f>CONCATENATE("Agency - ",'C, C1, C2&amp; C3 - Savings Schemes'!B86)</f>
        <v>Agency - Non Medical 'off contract' to 'on contract'</v>
      </c>
      <c r="CT12" t="s">
        <v>399</v>
      </c>
    </row>
    <row r="13" spans="1:102" ht="15.65" customHeight="1" thickBot="1">
      <c r="A13" s="3074"/>
      <c r="B13" s="1700" t="s">
        <v>42</v>
      </c>
      <c r="C13" s="1109"/>
      <c r="D13" s="1703">
        <f>D12-D11</f>
        <v>0</v>
      </c>
      <c r="E13" s="1703">
        <f t="shared" ref="E13:O13" si="13">E12-E11</f>
        <v>0</v>
      </c>
      <c r="F13" s="1703">
        <f t="shared" si="13"/>
        <v>0</v>
      </c>
      <c r="G13" s="1703">
        <f t="shared" si="13"/>
        <v>0</v>
      </c>
      <c r="H13" s="1703">
        <f t="shared" si="13"/>
        <v>0</v>
      </c>
      <c r="I13" s="1703">
        <f t="shared" si="13"/>
        <v>0</v>
      </c>
      <c r="J13" s="1703">
        <f t="shared" si="13"/>
        <v>0</v>
      </c>
      <c r="K13" s="1703">
        <f t="shared" si="13"/>
        <v>0</v>
      </c>
      <c r="L13" s="1703">
        <f t="shared" si="13"/>
        <v>0</v>
      </c>
      <c r="M13" s="1703">
        <f t="shared" si="13"/>
        <v>0</v>
      </c>
      <c r="N13" s="1703">
        <f t="shared" si="13"/>
        <v>0</v>
      </c>
      <c r="O13" s="1710">
        <f t="shared" si="13"/>
        <v>0</v>
      </c>
      <c r="P13" s="1701">
        <f t="shared" si="8"/>
        <v>0</v>
      </c>
      <c r="Q13" s="1702">
        <f t="shared" si="1"/>
        <v>0</v>
      </c>
      <c r="R13" s="1710">
        <f>R12-R11</f>
        <v>0</v>
      </c>
      <c r="S13" s="1710">
        <f>S12-S11</f>
        <v>0</v>
      </c>
      <c r="T13" s="1710">
        <f>T12-T11</f>
        <v>0</v>
      </c>
      <c r="U13" s="1710">
        <f>U12-U11</f>
        <v>0</v>
      </c>
      <c r="V13" s="1468"/>
      <c r="W13" s="1468"/>
      <c r="X13" s="3231" t="s">
        <v>607</v>
      </c>
      <c r="Y13" s="3231"/>
      <c r="Z13" s="3231"/>
      <c r="AA13" s="3231"/>
      <c r="AB13" s="1746">
        <f t="shared" si="2"/>
        <v>733</v>
      </c>
      <c r="AC13" s="1746">
        <f t="shared" si="3"/>
        <v>1315</v>
      </c>
      <c r="AD13" s="1746">
        <f t="shared" si="4"/>
        <v>0</v>
      </c>
      <c r="AE13" s="1747">
        <f t="shared" si="9"/>
        <v>2048</v>
      </c>
      <c r="AF13" s="1746">
        <f t="shared" si="5"/>
        <v>0</v>
      </c>
      <c r="AG13" s="1746">
        <f t="shared" si="6"/>
        <v>0</v>
      </c>
      <c r="AH13" s="1468"/>
      <c r="AI13" s="1468"/>
      <c r="AJ13" s="1468"/>
      <c r="AK13" s="1468"/>
      <c r="AL13" s="1468"/>
      <c r="AM13" s="1468"/>
      <c r="AN13" s="1468"/>
      <c r="AO13" s="1468"/>
      <c r="AP13" s="1468"/>
      <c r="AQ13" s="1468"/>
      <c r="AR13" s="1468"/>
      <c r="AS13" s="1468"/>
      <c r="AT13" s="1468"/>
      <c r="AU13" s="1468"/>
      <c r="AV13" s="1468"/>
      <c r="AW13" s="1468"/>
      <c r="AX13" s="1468"/>
      <c r="AY13" s="1468"/>
      <c r="AZ13" s="1468"/>
      <c r="BA13" s="1468"/>
      <c r="BB13" s="1468"/>
      <c r="BC13" s="1468"/>
      <c r="BD13" s="1468"/>
      <c r="BE13" s="1468"/>
      <c r="BF13" s="1468"/>
      <c r="BG13" s="1468"/>
      <c r="BH13" s="1468"/>
      <c r="BI13" s="1468"/>
      <c r="BJ13" s="1468"/>
      <c r="BK13" s="1468"/>
      <c r="BL13" s="1468"/>
      <c r="BM13" s="1468"/>
      <c r="BN13" s="1468"/>
      <c r="BO13" s="1468"/>
      <c r="BP13" s="1468"/>
      <c r="BQ13" s="1468"/>
      <c r="BR13" s="1468"/>
      <c r="BS13" s="1468"/>
      <c r="BT13" s="1468"/>
      <c r="CD13" s="1470"/>
      <c r="CE13" s="1470"/>
      <c r="CF13" s="1470"/>
      <c r="CG13" s="1470"/>
      <c r="CH13" s="1470"/>
      <c r="CI13" s="1470"/>
      <c r="CJ13" s="1470"/>
      <c r="CK13" s="1470"/>
      <c r="CL13" s="1470"/>
      <c r="CM13" s="1470"/>
      <c r="CN13" s="1470"/>
      <c r="CS13" s="1470" t="str">
        <f>CONCATENATE("Agency - ",'C, C1, C2&amp; C3 - Savings Schemes'!B89)</f>
        <v>Agency - Medical - Impact of Agency pay rate caps</v>
      </c>
      <c r="CT13" t="s">
        <v>399</v>
      </c>
    </row>
    <row r="14" spans="1:102">
      <c r="A14" s="3074"/>
      <c r="B14" s="1063" t="s">
        <v>848</v>
      </c>
      <c r="C14" s="1705"/>
      <c r="D14" s="1706">
        <f>D8+D11</f>
        <v>1244.4166666666665</v>
      </c>
      <c r="E14" s="1706">
        <f t="shared" ref="E14:O14" si="14">E8+E11</f>
        <v>175.41666666666666</v>
      </c>
      <c r="F14" s="1706">
        <f t="shared" si="14"/>
        <v>175.41666666666666</v>
      </c>
      <c r="G14" s="1706">
        <f t="shared" si="14"/>
        <v>175.41666666666666</v>
      </c>
      <c r="H14" s="1706">
        <f t="shared" si="14"/>
        <v>175.41666666666666</v>
      </c>
      <c r="I14" s="1706">
        <f t="shared" si="14"/>
        <v>175.41666666666666</v>
      </c>
      <c r="J14" s="1706">
        <f t="shared" si="14"/>
        <v>175.41666666666666</v>
      </c>
      <c r="K14" s="1706">
        <f t="shared" si="14"/>
        <v>175.41666666666666</v>
      </c>
      <c r="L14" s="1706">
        <f t="shared" si="14"/>
        <v>175.41666666666666</v>
      </c>
      <c r="M14" s="1706">
        <f t="shared" si="14"/>
        <v>175.41666666666666</v>
      </c>
      <c r="N14" s="1706">
        <f t="shared" si="14"/>
        <v>175.41666666666666</v>
      </c>
      <c r="O14" s="1709">
        <f t="shared" si="14"/>
        <v>175.41666666666666</v>
      </c>
      <c r="P14" s="1458">
        <f t="shared" si="8"/>
        <v>1244.4166666666665</v>
      </c>
      <c r="Q14" s="1707">
        <f t="shared" si="1"/>
        <v>3173.9999999999991</v>
      </c>
      <c r="R14" s="1709">
        <f t="shared" ref="R14:U15" si="15">R8+R11</f>
        <v>661</v>
      </c>
      <c r="S14" s="1709">
        <f t="shared" si="15"/>
        <v>2513</v>
      </c>
      <c r="T14" s="1709">
        <f t="shared" si="15"/>
        <v>0</v>
      </c>
      <c r="U14" s="1709">
        <f t="shared" si="15"/>
        <v>2513</v>
      </c>
      <c r="V14" s="1468"/>
      <c r="W14" s="1468"/>
      <c r="X14" s="3231" t="s">
        <v>608</v>
      </c>
      <c r="Y14" s="3231"/>
      <c r="Z14" s="3231"/>
      <c r="AA14" s="3231"/>
      <c r="AB14" s="1746">
        <f t="shared" si="2"/>
        <v>0</v>
      </c>
      <c r="AC14" s="1746">
        <f t="shared" si="3"/>
        <v>0</v>
      </c>
      <c r="AD14" s="1746">
        <f t="shared" si="4"/>
        <v>0</v>
      </c>
      <c r="AE14" s="1747">
        <f t="shared" si="9"/>
        <v>0</v>
      </c>
      <c r="AF14" s="1746">
        <f t="shared" si="5"/>
        <v>0</v>
      </c>
      <c r="AG14" s="1746">
        <f t="shared" si="6"/>
        <v>0</v>
      </c>
      <c r="AH14" s="1468"/>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C14" s="1468"/>
      <c r="BD14" s="1468"/>
      <c r="BE14" s="1468"/>
      <c r="BF14" s="1468"/>
      <c r="BG14" s="1468"/>
      <c r="BH14" s="1468"/>
      <c r="BI14" s="1468"/>
      <c r="BJ14" s="1468"/>
      <c r="BK14" s="1468"/>
      <c r="BL14" s="1468"/>
      <c r="BM14" s="1468"/>
      <c r="BN14" s="1468"/>
      <c r="BO14" s="1468"/>
      <c r="BP14" s="1468"/>
      <c r="BQ14" s="1468"/>
      <c r="BR14" s="1468"/>
      <c r="BS14" s="1468"/>
      <c r="BT14" s="1468"/>
      <c r="CD14" s="1470"/>
      <c r="CE14" s="1470"/>
      <c r="CF14" s="1470"/>
      <c r="CG14" s="1470"/>
      <c r="CH14" s="1470"/>
      <c r="CI14" s="1470"/>
      <c r="CJ14" s="1470"/>
      <c r="CK14" s="1470"/>
      <c r="CL14" s="1470"/>
      <c r="CM14" s="1470"/>
      <c r="CN14" s="1470"/>
      <c r="CS14" s="1470" t="str">
        <f>CONCATENATE("Agency - ",'C, C1, C2&amp; C3 - Savings Schemes'!B92)</f>
        <v>Agency - Other (Please Specify)</v>
      </c>
      <c r="CT14" t="s">
        <v>399</v>
      </c>
    </row>
    <row r="15" spans="1:102" ht="16" thickBot="1">
      <c r="A15" s="3074"/>
      <c r="B15" s="1698" t="s">
        <v>849</v>
      </c>
      <c r="C15" s="1371"/>
      <c r="D15" s="1708">
        <f>D9+D12</f>
        <v>1244.4166666666665</v>
      </c>
      <c r="E15" s="1708">
        <f t="shared" ref="E15:O15" si="16">E9+E12</f>
        <v>175.41666666666666</v>
      </c>
      <c r="F15" s="1708">
        <f t="shared" si="16"/>
        <v>175.41666666666666</v>
      </c>
      <c r="G15" s="1708">
        <f t="shared" si="16"/>
        <v>175.41666666666666</v>
      </c>
      <c r="H15" s="1708">
        <f t="shared" si="16"/>
        <v>175.41666666666666</v>
      </c>
      <c r="I15" s="1708">
        <f t="shared" si="16"/>
        <v>175.41666666666666</v>
      </c>
      <c r="J15" s="1708">
        <f t="shared" si="16"/>
        <v>175.41666666666666</v>
      </c>
      <c r="K15" s="1708">
        <f t="shared" si="16"/>
        <v>175.41666666666666</v>
      </c>
      <c r="L15" s="1708">
        <f t="shared" si="16"/>
        <v>175.41666666666666</v>
      </c>
      <c r="M15" s="1708">
        <f t="shared" si="16"/>
        <v>175.41666666666666</v>
      </c>
      <c r="N15" s="1708">
        <f t="shared" si="16"/>
        <v>175.41666666666666</v>
      </c>
      <c r="O15" s="1577">
        <f t="shared" si="16"/>
        <v>175.41666666666666</v>
      </c>
      <c r="P15" s="1465">
        <f t="shared" si="8"/>
        <v>1244.4166666666665</v>
      </c>
      <c r="Q15" s="939">
        <f t="shared" si="1"/>
        <v>3173.9999999999991</v>
      </c>
      <c r="R15" s="1577">
        <f t="shared" si="15"/>
        <v>661</v>
      </c>
      <c r="S15" s="1577">
        <f t="shared" si="15"/>
        <v>2513</v>
      </c>
      <c r="T15" s="1577">
        <f t="shared" si="15"/>
        <v>0</v>
      </c>
      <c r="U15" s="1577">
        <f t="shared" si="15"/>
        <v>2513</v>
      </c>
      <c r="V15" s="1468"/>
      <c r="W15" s="1468"/>
      <c r="X15" s="3231" t="s">
        <v>609</v>
      </c>
      <c r="Y15" s="3231"/>
      <c r="Z15" s="3231"/>
      <c r="AA15" s="3231"/>
      <c r="AB15" s="1746">
        <f t="shared" si="2"/>
        <v>682.99999999999989</v>
      </c>
      <c r="AC15" s="1746">
        <f t="shared" si="3"/>
        <v>443.00000000000006</v>
      </c>
      <c r="AD15" s="1746">
        <f t="shared" si="4"/>
        <v>0</v>
      </c>
      <c r="AE15" s="1747">
        <f t="shared" si="9"/>
        <v>1126</v>
      </c>
      <c r="AF15" s="1746">
        <f t="shared" si="5"/>
        <v>0</v>
      </c>
      <c r="AG15" s="1746">
        <f t="shared" si="6"/>
        <v>0</v>
      </c>
      <c r="AH15" s="1468"/>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C15" s="1468"/>
      <c r="BD15" s="1468"/>
      <c r="BE15" s="1468"/>
      <c r="BF15" s="1468"/>
      <c r="BG15" s="1468"/>
      <c r="BH15" s="1468"/>
      <c r="BI15" s="1468"/>
      <c r="BJ15" s="1468"/>
      <c r="BK15" s="1468"/>
      <c r="BL15" s="1468"/>
      <c r="BM15" s="1468"/>
      <c r="BN15" s="1468"/>
      <c r="BO15" s="1468"/>
      <c r="BP15" s="1468"/>
      <c r="BQ15" s="1468"/>
      <c r="BR15" s="1468"/>
      <c r="BS15" s="1468"/>
      <c r="BT15" s="1468"/>
      <c r="CD15" s="1470"/>
      <c r="CE15" s="1470"/>
      <c r="CF15" s="1470"/>
      <c r="CG15" s="1470"/>
      <c r="CH15" s="1470"/>
      <c r="CI15" s="1470"/>
      <c r="CJ15" s="1470"/>
      <c r="CK15" s="1470"/>
      <c r="CL15" s="1470"/>
      <c r="CM15" s="1470"/>
      <c r="CN15" s="1470"/>
    </row>
    <row r="16" spans="1:102" ht="16" thickBot="1">
      <c r="A16" s="3075"/>
      <c r="B16" s="1700" t="s">
        <v>850</v>
      </c>
      <c r="C16" s="1109"/>
      <c r="D16" s="1703">
        <f>D15-D14</f>
        <v>0</v>
      </c>
      <c r="E16" s="1703">
        <f t="shared" ref="E16:O16" si="17">E15-E14</f>
        <v>0</v>
      </c>
      <c r="F16" s="1703">
        <f t="shared" si="17"/>
        <v>0</v>
      </c>
      <c r="G16" s="1703">
        <f t="shared" si="17"/>
        <v>0</v>
      </c>
      <c r="H16" s="1703">
        <f t="shared" si="17"/>
        <v>0</v>
      </c>
      <c r="I16" s="1703">
        <f t="shared" si="17"/>
        <v>0</v>
      </c>
      <c r="J16" s="1703">
        <f t="shared" si="17"/>
        <v>0</v>
      </c>
      <c r="K16" s="1703">
        <f t="shared" si="17"/>
        <v>0</v>
      </c>
      <c r="L16" s="1703">
        <f t="shared" si="17"/>
        <v>0</v>
      </c>
      <c r="M16" s="1703">
        <f t="shared" si="17"/>
        <v>0</v>
      </c>
      <c r="N16" s="1703">
        <f t="shared" si="17"/>
        <v>0</v>
      </c>
      <c r="O16" s="1710">
        <f t="shared" si="17"/>
        <v>0</v>
      </c>
      <c r="P16" s="1701">
        <f t="shared" si="8"/>
        <v>0</v>
      </c>
      <c r="Q16" s="1702">
        <f t="shared" si="1"/>
        <v>0</v>
      </c>
      <c r="R16" s="1710">
        <f>R15-R14</f>
        <v>0</v>
      </c>
      <c r="S16" s="1710">
        <f>S15-S14</f>
        <v>0</v>
      </c>
      <c r="T16" s="1710">
        <f>T15-T14</f>
        <v>0</v>
      </c>
      <c r="U16" s="1710">
        <f>U15-U14</f>
        <v>0</v>
      </c>
      <c r="V16" s="1468"/>
      <c r="W16" s="1468"/>
      <c r="X16" s="3231" t="s">
        <v>610</v>
      </c>
      <c r="Y16" s="3231"/>
      <c r="Z16" s="3231"/>
      <c r="AA16" s="3231"/>
      <c r="AB16" s="1746">
        <f t="shared" si="2"/>
        <v>0</v>
      </c>
      <c r="AC16" s="1746">
        <f t="shared" si="3"/>
        <v>0</v>
      </c>
      <c r="AD16" s="1746">
        <f t="shared" si="4"/>
        <v>0</v>
      </c>
      <c r="AE16" s="1747">
        <f t="shared" si="9"/>
        <v>0</v>
      </c>
      <c r="AF16" s="1746">
        <f t="shared" si="5"/>
        <v>0</v>
      </c>
      <c r="AG16" s="1746">
        <f t="shared" si="6"/>
        <v>0</v>
      </c>
      <c r="AH16" s="1468"/>
      <c r="AI16" s="1468"/>
      <c r="AJ16" s="1468"/>
      <c r="AK16" s="1468"/>
      <c r="AL16" s="1468"/>
      <c r="AM16" s="1468"/>
      <c r="AN16" s="1468"/>
      <c r="AO16" s="1468"/>
      <c r="AP16" s="1468"/>
      <c r="AQ16" s="1468"/>
      <c r="AR16" s="1468"/>
      <c r="AS16" s="1468"/>
      <c r="AT16" s="1468"/>
      <c r="AU16" s="1468"/>
      <c r="AV16" s="1468"/>
      <c r="AW16" s="1468"/>
      <c r="AX16" s="1468"/>
      <c r="AY16" s="1468"/>
      <c r="AZ16" s="1468"/>
      <c r="BA16" s="1468"/>
      <c r="BB16" s="1468"/>
      <c r="BC16" s="1468"/>
      <c r="BD16" s="1468"/>
      <c r="BE16" s="1468"/>
      <c r="BF16" s="1468"/>
      <c r="BG16" s="1468"/>
      <c r="BH16" s="1468"/>
      <c r="BI16" s="1468"/>
      <c r="BJ16" s="1468"/>
      <c r="BK16" s="1468"/>
      <c r="BL16" s="1468"/>
      <c r="BM16" s="1468"/>
      <c r="BN16" s="1468"/>
      <c r="BO16" s="1468"/>
      <c r="BP16" s="1468"/>
      <c r="BQ16" s="1468"/>
      <c r="BR16" s="1468"/>
      <c r="BS16" s="1468"/>
      <c r="BT16" s="1468"/>
      <c r="CD16" s="1470"/>
      <c r="CE16" s="1470"/>
      <c r="CF16" s="1470"/>
      <c r="CG16" s="1470"/>
      <c r="CH16" s="1470"/>
      <c r="CI16" s="1470"/>
      <c r="CJ16" s="1470"/>
      <c r="CK16" s="1470"/>
      <c r="CL16" s="1470"/>
      <c r="CM16" s="1470"/>
      <c r="CN16" s="1470"/>
    </row>
    <row r="17" spans="1:92">
      <c r="A17" s="3073" t="s">
        <v>1209</v>
      </c>
      <c r="B17" s="1063" t="s">
        <v>844</v>
      </c>
      <c r="C17" s="1705"/>
      <c r="D17" s="1706">
        <f t="shared" ref="D17:O17" si="18">SUMIFS(V$43:V$1496,$O$43:$O$1496,"&lt;&gt;Red",$R$43:$R$1496,$CQ$2,$L$43:$L$1496,$BY$1)</f>
        <v>0</v>
      </c>
      <c r="E17" s="1706">
        <f t="shared" si="18"/>
        <v>0</v>
      </c>
      <c r="F17" s="1706">
        <f t="shared" si="18"/>
        <v>0</v>
      </c>
      <c r="G17" s="1706">
        <f t="shared" si="18"/>
        <v>0</v>
      </c>
      <c r="H17" s="1706">
        <f t="shared" si="18"/>
        <v>0</v>
      </c>
      <c r="I17" s="1706">
        <f t="shared" si="18"/>
        <v>0</v>
      </c>
      <c r="J17" s="1706">
        <f t="shared" si="18"/>
        <v>0</v>
      </c>
      <c r="K17" s="1706">
        <f t="shared" si="18"/>
        <v>0</v>
      </c>
      <c r="L17" s="1706">
        <f t="shared" si="18"/>
        <v>0</v>
      </c>
      <c r="M17" s="1706">
        <f t="shared" si="18"/>
        <v>0</v>
      </c>
      <c r="N17" s="1706">
        <f t="shared" si="18"/>
        <v>0</v>
      </c>
      <c r="O17" s="1709">
        <f t="shared" si="18"/>
        <v>0</v>
      </c>
      <c r="P17" s="1458">
        <f t="shared" si="8"/>
        <v>0</v>
      </c>
      <c r="Q17" s="1707">
        <f t="shared" si="1"/>
        <v>0</v>
      </c>
      <c r="R17" s="1709">
        <f>SUMIFS(G$43:G$1496,$O$43:$O$1496,"&lt;&gt;Red",$R$43:$R$1496,$CQ$2,$L$43:$L$1496,$BY$1,$F$43:$F$1496,$BZ$2)</f>
        <v>0</v>
      </c>
      <c r="S17" s="1709">
        <f>SUMIFS(G$43:G$1496,$O$43:$O$1496,"&lt;&gt;Red",$R$43:$R$1496,$CQ$2,$L$43:$L$1496,$BY$1,$F$43:$F$1496,$BZ$1)</f>
        <v>0</v>
      </c>
      <c r="T17" s="1709">
        <f>U17-S17</f>
        <v>0</v>
      </c>
      <c r="U17" s="1709">
        <f>SUMIFS(H$43:H$1496,$O$43:$O$1496,"&lt;&gt;Red",$R$43:$R$1496,$CQ$2,$L$43:$L$1496,$BY$1)</f>
        <v>0</v>
      </c>
      <c r="V17" s="1468"/>
      <c r="W17" s="1468"/>
      <c r="X17" s="3231" t="s">
        <v>306</v>
      </c>
      <c r="Y17" s="3231"/>
      <c r="Z17" s="3231"/>
      <c r="AA17" s="3231"/>
      <c r="AB17" s="1746">
        <f t="shared" si="2"/>
        <v>0</v>
      </c>
      <c r="AC17" s="1746">
        <f t="shared" si="3"/>
        <v>0</v>
      </c>
      <c r="AD17" s="1746">
        <f t="shared" si="4"/>
        <v>0</v>
      </c>
      <c r="AE17" s="1747">
        <f t="shared" si="9"/>
        <v>0</v>
      </c>
      <c r="AF17" s="1746">
        <f t="shared" si="5"/>
        <v>0</v>
      </c>
      <c r="AG17" s="1746">
        <f t="shared" si="6"/>
        <v>0</v>
      </c>
      <c r="AH17" s="1468"/>
      <c r="AI17" s="1468"/>
      <c r="AJ17" s="1468"/>
      <c r="AK17" s="1468"/>
      <c r="AL17" s="1468"/>
      <c r="AM17" s="1468"/>
      <c r="AN17" s="1468"/>
      <c r="AO17" s="1468"/>
      <c r="AP17" s="1468"/>
      <c r="AQ17" s="1468"/>
      <c r="AR17" s="1468"/>
      <c r="AS17" s="1468"/>
      <c r="AT17" s="1468"/>
      <c r="AU17" s="1468"/>
      <c r="AV17" s="1468"/>
      <c r="AW17" s="1468"/>
      <c r="AX17" s="1468"/>
      <c r="AY17" s="1468"/>
      <c r="AZ17" s="1468"/>
      <c r="BA17" s="1468"/>
      <c r="BB17" s="1468"/>
      <c r="BC17" s="1468"/>
      <c r="BD17" s="1468"/>
      <c r="BE17" s="1468"/>
      <c r="BF17" s="1468"/>
      <c r="BG17" s="1468"/>
      <c r="BH17" s="1468"/>
      <c r="BI17" s="1468"/>
      <c r="BJ17" s="1468"/>
      <c r="BK17" s="1468"/>
      <c r="BL17" s="1468"/>
      <c r="BM17" s="1468"/>
      <c r="BN17" s="1468"/>
      <c r="BO17" s="1468"/>
      <c r="BP17" s="1468"/>
      <c r="BQ17" s="1468"/>
      <c r="BR17" s="1468"/>
      <c r="BS17" s="1468"/>
      <c r="BT17" s="1468"/>
      <c r="CD17" s="1470"/>
      <c r="CE17" s="1470"/>
      <c r="CF17" s="1470"/>
      <c r="CG17" s="1470"/>
      <c r="CH17" s="1470"/>
      <c r="CI17" s="1470"/>
      <c r="CJ17" s="1470"/>
      <c r="CK17" s="1470"/>
      <c r="CL17" s="1470"/>
      <c r="CM17" s="1470"/>
      <c r="CN17" s="1470"/>
    </row>
    <row r="18" spans="1:92" ht="15.65" customHeight="1" thickBot="1">
      <c r="A18" s="3074"/>
      <c r="B18" s="1698" t="s">
        <v>845</v>
      </c>
      <c r="C18" s="1371"/>
      <c r="D18" s="1708">
        <f t="shared" ref="D18:O18" si="19">SUMIFS(AI$43:AI$1496,$O$43:$O$1496,"&lt;&gt;Red",$R$43:$R$1496,$CQ$2,$L$43:$L$1496,$BY$1)</f>
        <v>0</v>
      </c>
      <c r="E18" s="1708">
        <f t="shared" si="19"/>
        <v>0</v>
      </c>
      <c r="F18" s="1708">
        <f t="shared" si="19"/>
        <v>0</v>
      </c>
      <c r="G18" s="1708">
        <f t="shared" si="19"/>
        <v>0</v>
      </c>
      <c r="H18" s="1708">
        <f t="shared" si="19"/>
        <v>0</v>
      </c>
      <c r="I18" s="1708">
        <f t="shared" si="19"/>
        <v>0</v>
      </c>
      <c r="J18" s="1708">
        <f t="shared" si="19"/>
        <v>0</v>
      </c>
      <c r="K18" s="1708">
        <f t="shared" si="19"/>
        <v>0</v>
      </c>
      <c r="L18" s="1708">
        <f t="shared" si="19"/>
        <v>0</v>
      </c>
      <c r="M18" s="1708">
        <f t="shared" si="19"/>
        <v>0</v>
      </c>
      <c r="N18" s="1708">
        <f t="shared" si="19"/>
        <v>0</v>
      </c>
      <c r="O18" s="1577">
        <f t="shared" si="19"/>
        <v>0</v>
      </c>
      <c r="P18" s="1465">
        <f t="shared" si="8"/>
        <v>0</v>
      </c>
      <c r="Q18" s="939">
        <f t="shared" si="1"/>
        <v>0</v>
      </c>
      <c r="R18" s="1577">
        <f>SUMIFS(I$43:I$1496,$O$43:$O$1496,"&lt;&gt;Red",$R$43:$R$1496,$CQ$2,$L$43:$L$1496,$BY$1,$F$43:$F$1496,$BZ$2)</f>
        <v>0</v>
      </c>
      <c r="S18" s="1577">
        <f>SUMIFS(I$43:I$1496,$O$43:$O$1496,"&lt;&gt;Red",$R$43:$R$1496,$CQ$2,$L$43:$L$1496,$BY$1,$F$43:$F$1496,$BZ$1)</f>
        <v>0</v>
      </c>
      <c r="T18" s="1577">
        <f>U18-S18</f>
        <v>0</v>
      </c>
      <c r="U18" s="1577">
        <f>SUMIFS(J$43:J$1496,$O$43:$O$1496,"&lt;&gt;Red",$R$43:$R$1496,$CQ$2,$L$43:$L$1496,$BY$1)</f>
        <v>0</v>
      </c>
      <c r="V18" s="1468"/>
      <c r="W18" s="1468"/>
      <c r="X18" s="3231" t="s">
        <v>611</v>
      </c>
      <c r="Y18" s="3231"/>
      <c r="Z18" s="3231"/>
      <c r="AA18" s="3231"/>
      <c r="AB18" s="1746">
        <f t="shared" si="2"/>
        <v>0</v>
      </c>
      <c r="AC18" s="1746">
        <f t="shared" si="3"/>
        <v>0</v>
      </c>
      <c r="AD18" s="1746">
        <f t="shared" si="4"/>
        <v>0</v>
      </c>
      <c r="AE18" s="1747">
        <f t="shared" si="9"/>
        <v>0</v>
      </c>
      <c r="AF18" s="1746">
        <f t="shared" si="5"/>
        <v>0</v>
      </c>
      <c r="AG18" s="1746">
        <f t="shared" si="6"/>
        <v>0</v>
      </c>
      <c r="AH18" s="1468"/>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C18" s="1468"/>
      <c r="BD18" s="1468"/>
      <c r="BE18" s="1468"/>
      <c r="BF18" s="1468"/>
      <c r="BG18" s="1468"/>
      <c r="BH18" s="1468"/>
      <c r="BI18" s="1468"/>
      <c r="BJ18" s="1468"/>
      <c r="BK18" s="1468"/>
      <c r="BL18" s="1468"/>
      <c r="BM18" s="1468"/>
      <c r="BN18" s="1468"/>
      <c r="BO18" s="1468"/>
      <c r="BP18" s="1468"/>
      <c r="BQ18" s="1468"/>
      <c r="BR18" s="1468"/>
      <c r="BS18" s="1468"/>
      <c r="BT18" s="1468"/>
      <c r="CD18" s="1470"/>
      <c r="CE18" s="1470"/>
      <c r="CF18" s="1470"/>
      <c r="CG18" s="1470"/>
      <c r="CH18" s="1470"/>
      <c r="CI18" s="1470"/>
      <c r="CJ18" s="1470"/>
      <c r="CK18" s="1470"/>
      <c r="CL18" s="1470"/>
      <c r="CM18" s="1470"/>
      <c r="CN18" s="1470"/>
    </row>
    <row r="19" spans="1:92" ht="16" thickBot="1">
      <c r="A19" s="3074"/>
      <c r="B19" s="1700" t="s">
        <v>42</v>
      </c>
      <c r="C19" s="1109"/>
      <c r="D19" s="1703">
        <f>D18-D17</f>
        <v>0</v>
      </c>
      <c r="E19" s="1703">
        <f t="shared" ref="E19:O19" si="20">E18-E17</f>
        <v>0</v>
      </c>
      <c r="F19" s="1703">
        <f t="shared" si="20"/>
        <v>0</v>
      </c>
      <c r="G19" s="1703">
        <f t="shared" si="20"/>
        <v>0</v>
      </c>
      <c r="H19" s="1703">
        <f t="shared" si="20"/>
        <v>0</v>
      </c>
      <c r="I19" s="1703">
        <f t="shared" si="20"/>
        <v>0</v>
      </c>
      <c r="J19" s="1703">
        <f t="shared" si="20"/>
        <v>0</v>
      </c>
      <c r="K19" s="1703">
        <f t="shared" si="20"/>
        <v>0</v>
      </c>
      <c r="L19" s="1703">
        <f t="shared" si="20"/>
        <v>0</v>
      </c>
      <c r="M19" s="1703">
        <f t="shared" si="20"/>
        <v>0</v>
      </c>
      <c r="N19" s="1703">
        <f t="shared" si="20"/>
        <v>0</v>
      </c>
      <c r="O19" s="1710">
        <f t="shared" si="20"/>
        <v>0</v>
      </c>
      <c r="P19" s="1701">
        <f t="shared" si="8"/>
        <v>0</v>
      </c>
      <c r="Q19" s="1702">
        <f t="shared" si="1"/>
        <v>0</v>
      </c>
      <c r="R19" s="1710">
        <f>R18-R17</f>
        <v>0</v>
      </c>
      <c r="S19" s="1710">
        <f>S18-S17</f>
        <v>0</v>
      </c>
      <c r="T19" s="1710">
        <f>T18-T17</f>
        <v>0</v>
      </c>
      <c r="U19" s="1710">
        <f>U18-U17</f>
        <v>0</v>
      </c>
      <c r="V19" s="1468"/>
      <c r="W19" s="1468"/>
      <c r="X19" s="3234" t="s">
        <v>78</v>
      </c>
      <c r="Y19" s="3235"/>
      <c r="Z19" s="3235"/>
      <c r="AA19" s="3236"/>
      <c r="AB19" s="1747">
        <f>SUM(AB8:AB18)</f>
        <v>1416</v>
      </c>
      <c r="AC19" s="1747">
        <f>SUM(AC8:AC18)</f>
        <v>1758</v>
      </c>
      <c r="AD19" s="1747">
        <f>SUM(AD8:AD18)</f>
        <v>0</v>
      </c>
      <c r="AE19" s="1747">
        <f>SUM(AB8:AD18)</f>
        <v>3174</v>
      </c>
      <c r="AF19" s="1747">
        <f>SUM(AF8:AF18)</f>
        <v>0</v>
      </c>
      <c r="AG19" s="1747">
        <f>SUM(AG8:AG18)</f>
        <v>0</v>
      </c>
      <c r="AH19" s="1468"/>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C19" s="1468"/>
      <c r="BD19" s="1468"/>
      <c r="BE19" s="1468"/>
      <c r="BF19" s="1468"/>
      <c r="BG19" s="1468"/>
      <c r="BH19" s="1468"/>
      <c r="BI19" s="1468"/>
      <c r="BJ19" s="1468"/>
      <c r="BK19" s="1468"/>
      <c r="BL19" s="1468"/>
      <c r="BM19" s="1468"/>
      <c r="BN19" s="1468"/>
      <c r="BO19" s="1468"/>
      <c r="BP19" s="1468"/>
      <c r="BQ19" s="1468"/>
      <c r="BR19" s="1468"/>
      <c r="BS19" s="1468"/>
      <c r="BT19" s="1468"/>
      <c r="CD19" s="1470"/>
      <c r="CE19" s="1470"/>
      <c r="CF19" s="1470"/>
      <c r="CG19" s="1470"/>
      <c r="CH19" s="1470"/>
      <c r="CI19" s="1470"/>
      <c r="CJ19" s="1470"/>
      <c r="CK19" s="1470"/>
      <c r="CL19" s="1470"/>
      <c r="CM19" s="1470"/>
      <c r="CN19" s="1470"/>
    </row>
    <row r="20" spans="1:92">
      <c r="A20" s="3074"/>
      <c r="B20" s="1063" t="s">
        <v>846</v>
      </c>
      <c r="C20" s="1705"/>
      <c r="D20" s="1706">
        <f t="shared" ref="D20:O20" si="21">SUMIFS(V$43:V$1496,$O$43:$O$1496,"&lt;&gt;Red",$R$43:$R$1496,$CQ$2,$L$43:$L$1496,$BY$2)</f>
        <v>0</v>
      </c>
      <c r="E20" s="1706">
        <f t="shared" si="21"/>
        <v>0</v>
      </c>
      <c r="F20" s="1706">
        <f t="shared" si="21"/>
        <v>0</v>
      </c>
      <c r="G20" s="1706">
        <f t="shared" si="21"/>
        <v>0</v>
      </c>
      <c r="H20" s="1706">
        <f t="shared" si="21"/>
        <v>0</v>
      </c>
      <c r="I20" s="1706">
        <f t="shared" si="21"/>
        <v>0</v>
      </c>
      <c r="J20" s="1706">
        <f t="shared" si="21"/>
        <v>0</v>
      </c>
      <c r="K20" s="1706">
        <f t="shared" si="21"/>
        <v>0</v>
      </c>
      <c r="L20" s="1706">
        <f t="shared" si="21"/>
        <v>0</v>
      </c>
      <c r="M20" s="1706">
        <f t="shared" si="21"/>
        <v>0</v>
      </c>
      <c r="N20" s="1706">
        <f t="shared" si="21"/>
        <v>0</v>
      </c>
      <c r="O20" s="1709">
        <f t="shared" si="21"/>
        <v>0</v>
      </c>
      <c r="P20" s="1458">
        <f t="shared" si="8"/>
        <v>0</v>
      </c>
      <c r="Q20" s="1707">
        <f t="shared" si="1"/>
        <v>0</v>
      </c>
      <c r="R20" s="1709">
        <f>SUMIFS(G$43:G$1496,$O$43:$O$1496,"&lt;&gt;Red",$R$43:$R$1496,$CQ$2,$L$43:$L$1496,$BY$2,$F$43:$F$1496,$BZ$2)</f>
        <v>0</v>
      </c>
      <c r="S20" s="1709">
        <f>SUMIFS(G$43:G$1496,$O$43:$O$1496,"&lt;&gt;Red",$R$43:$R$1496,$CQ$2,$L$43:$L$1496,$BY$2,$F$43:$F$1496,$BZ$1)</f>
        <v>0</v>
      </c>
      <c r="T20" s="1709">
        <f>U20-S20</f>
        <v>0</v>
      </c>
      <c r="U20" s="1709">
        <f>SUMIFS(H$43:H$1496,$O$43:$O$1496,"&lt;&gt;Red",$R$43:$R$1496,$CQ$2,$L$43:$L$1496,$BY$2)</f>
        <v>0</v>
      </c>
      <c r="V20" s="1468"/>
      <c r="W20" s="1468"/>
      <c r="X20" s="1468"/>
      <c r="Y20" s="1468"/>
      <c r="Z20" s="1468"/>
      <c r="AA20" s="1468"/>
      <c r="AB20" s="1468"/>
      <c r="AC20" s="1468"/>
      <c r="AD20" s="1468"/>
      <c r="AE20" s="1468"/>
      <c r="AF20" s="1468"/>
      <c r="AG20" s="1468"/>
      <c r="AH20" s="1468"/>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C20" s="1468"/>
      <c r="BD20" s="1468"/>
      <c r="BE20" s="1468"/>
      <c r="BF20" s="1468"/>
      <c r="BG20" s="1468"/>
      <c r="BH20" s="1468"/>
      <c r="BI20" s="1468"/>
      <c r="BJ20" s="1468"/>
      <c r="BK20" s="1468"/>
      <c r="BL20" s="1468"/>
      <c r="BM20" s="1468"/>
      <c r="BN20" s="1468"/>
      <c r="BO20" s="1468"/>
      <c r="BP20" s="1468"/>
      <c r="BQ20" s="1468"/>
      <c r="BR20" s="1468"/>
      <c r="BS20" s="1468"/>
      <c r="BT20" s="1468"/>
      <c r="CD20" s="1470"/>
      <c r="CE20" s="1470"/>
      <c r="CF20" s="1470"/>
      <c r="CG20" s="1470"/>
      <c r="CH20" s="1470"/>
      <c r="CI20" s="1470"/>
      <c r="CJ20" s="1470"/>
      <c r="CK20" s="1470"/>
      <c r="CL20" s="1470"/>
      <c r="CM20" s="1470"/>
      <c r="CN20" s="1470"/>
    </row>
    <row r="21" spans="1:92" ht="16" thickBot="1">
      <c r="A21" s="3074"/>
      <c r="B21" s="1698" t="s">
        <v>847</v>
      </c>
      <c r="C21" s="1371"/>
      <c r="D21" s="1708">
        <f t="shared" ref="D21:O21" si="22">SUMIFS(AI$43:AI$1496,$O$43:$O$1496,"&lt;&gt;Red",$R$43:$R$1496,$CQ$2,$L$43:$L$1496,$BY$2)</f>
        <v>0</v>
      </c>
      <c r="E21" s="1708">
        <f t="shared" si="22"/>
        <v>0</v>
      </c>
      <c r="F21" s="1708">
        <f t="shared" si="22"/>
        <v>0</v>
      </c>
      <c r="G21" s="1708">
        <f t="shared" si="22"/>
        <v>0</v>
      </c>
      <c r="H21" s="1708">
        <f t="shared" si="22"/>
        <v>0</v>
      </c>
      <c r="I21" s="1708">
        <f t="shared" si="22"/>
        <v>0</v>
      </c>
      <c r="J21" s="1708">
        <f t="shared" si="22"/>
        <v>0</v>
      </c>
      <c r="K21" s="1708">
        <f t="shared" si="22"/>
        <v>0</v>
      </c>
      <c r="L21" s="1708">
        <f t="shared" si="22"/>
        <v>0</v>
      </c>
      <c r="M21" s="1708">
        <f t="shared" si="22"/>
        <v>0</v>
      </c>
      <c r="N21" s="1708">
        <f t="shared" si="22"/>
        <v>0</v>
      </c>
      <c r="O21" s="1577">
        <f t="shared" si="22"/>
        <v>0</v>
      </c>
      <c r="P21" s="1465">
        <f t="shared" si="8"/>
        <v>0</v>
      </c>
      <c r="Q21" s="939">
        <f t="shared" si="1"/>
        <v>0</v>
      </c>
      <c r="R21" s="1577">
        <f>SUMIFS(I$43:I$1496,$O$43:$O$1496,"&lt;&gt;Red",$R$43:$R$1496,$CQ$2,$L$43:$L$1496,$BY$2,$F$43:$F$1496,$BZ$2)</f>
        <v>0</v>
      </c>
      <c r="S21" s="1577">
        <f>SUMIFS(I$43:I$1496,$O$43:$O$1496,"&lt;&gt;Red",$R$43:$R$1496,$CQ$2,$L$43:$L$1496,$BY$2,$F$43:$F$1496,$BZ$1)</f>
        <v>0</v>
      </c>
      <c r="T21" s="1577">
        <f>U21-S21</f>
        <v>0</v>
      </c>
      <c r="U21" s="1577">
        <f>SUMIFS(J$43:J$1496,$O$43:$O$1496,"&lt;&gt;Red",$R$43:$R$1496,$CQ$2,$L$43:$L$1496,$BY$2)</f>
        <v>0</v>
      </c>
      <c r="V21" s="1468"/>
      <c r="W21" s="1468"/>
      <c r="X21" s="1468"/>
      <c r="Y21" s="1468"/>
      <c r="Z21" s="1468"/>
      <c r="AA21" s="1468"/>
      <c r="AB21" s="1468"/>
      <c r="AC21" s="1468"/>
      <c r="AD21" s="1468"/>
      <c r="AE21" s="1468"/>
      <c r="AF21" s="1468"/>
      <c r="AG21" s="1468"/>
      <c r="AH21" s="1468"/>
      <c r="AI21" s="1468"/>
      <c r="AJ21" s="1468"/>
      <c r="AK21" s="1468"/>
      <c r="AL21" s="1468"/>
      <c r="AM21" s="1468"/>
      <c r="AN21" s="1468"/>
      <c r="AO21" s="1468"/>
      <c r="AP21" s="1468"/>
      <c r="AQ21" s="1468"/>
      <c r="AR21" s="1468"/>
      <c r="AS21" s="1468"/>
      <c r="AT21" s="1468"/>
      <c r="AU21" s="1468"/>
      <c r="AV21" s="1468"/>
      <c r="AW21" s="1468"/>
      <c r="AX21" s="1468"/>
      <c r="AY21" s="1468"/>
      <c r="AZ21" s="1468"/>
      <c r="BA21" s="1468"/>
      <c r="BB21" s="1468"/>
      <c r="BC21" s="1468"/>
      <c r="BD21" s="1468"/>
      <c r="BE21" s="1468"/>
      <c r="BF21" s="1468"/>
      <c r="BG21" s="1468"/>
      <c r="BH21" s="1468"/>
      <c r="BI21" s="1468"/>
      <c r="BJ21" s="1468"/>
      <c r="BK21" s="1468"/>
      <c r="BL21" s="1468"/>
      <c r="BM21" s="1468"/>
      <c r="BN21" s="1468"/>
      <c r="BO21" s="1468"/>
      <c r="BP21" s="1468"/>
      <c r="BQ21" s="1468"/>
      <c r="BR21" s="1468"/>
      <c r="BS21" s="1468"/>
      <c r="BT21" s="1468"/>
      <c r="CD21" s="1470"/>
      <c r="CE21" s="1470"/>
      <c r="CF21" s="1470"/>
      <c r="CG21" s="1470"/>
      <c r="CH21" s="1470"/>
      <c r="CI21" s="1470"/>
      <c r="CJ21" s="1470"/>
      <c r="CK21" s="1470"/>
      <c r="CL21" s="1470"/>
      <c r="CM21" s="1470"/>
      <c r="CN21" s="1470"/>
    </row>
    <row r="22" spans="1:92" ht="16" thickBot="1">
      <c r="A22" s="3074"/>
      <c r="B22" s="1700" t="s">
        <v>42</v>
      </c>
      <c r="C22" s="1109"/>
      <c r="D22" s="1703">
        <f>D21-D20</f>
        <v>0</v>
      </c>
      <c r="E22" s="1703">
        <f t="shared" ref="E22:O22" si="23">E21-E20</f>
        <v>0</v>
      </c>
      <c r="F22" s="1703">
        <f t="shared" si="23"/>
        <v>0</v>
      </c>
      <c r="G22" s="1703">
        <f t="shared" si="23"/>
        <v>0</v>
      </c>
      <c r="H22" s="1703">
        <f t="shared" si="23"/>
        <v>0</v>
      </c>
      <c r="I22" s="1703">
        <f t="shared" si="23"/>
        <v>0</v>
      </c>
      <c r="J22" s="1703">
        <f t="shared" si="23"/>
        <v>0</v>
      </c>
      <c r="K22" s="1703">
        <f t="shared" si="23"/>
        <v>0</v>
      </c>
      <c r="L22" s="1703">
        <f t="shared" si="23"/>
        <v>0</v>
      </c>
      <c r="M22" s="1703">
        <f t="shared" si="23"/>
        <v>0</v>
      </c>
      <c r="N22" s="1703">
        <f t="shared" si="23"/>
        <v>0</v>
      </c>
      <c r="O22" s="1710">
        <f t="shared" si="23"/>
        <v>0</v>
      </c>
      <c r="P22" s="1701">
        <f t="shared" si="8"/>
        <v>0</v>
      </c>
      <c r="Q22" s="1702">
        <f t="shared" si="1"/>
        <v>0</v>
      </c>
      <c r="R22" s="1710">
        <f>R21-R20</f>
        <v>0</v>
      </c>
      <c r="S22" s="1710">
        <f>S21-S20</f>
        <v>0</v>
      </c>
      <c r="T22" s="1710">
        <f>T21-T20</f>
        <v>0</v>
      </c>
      <c r="U22" s="1710">
        <f>U21-U20</f>
        <v>0</v>
      </c>
      <c r="V22" s="1468"/>
      <c r="W22" s="1468"/>
      <c r="X22" s="1468"/>
      <c r="Y22" s="1468"/>
      <c r="Z22" s="1468"/>
      <c r="AA22" s="1468"/>
      <c r="AB22" s="1468"/>
      <c r="AC22" s="1468"/>
      <c r="AD22" s="1468"/>
      <c r="AE22" s="1468"/>
      <c r="AF22" s="1468"/>
      <c r="AG22" s="1468"/>
      <c r="AH22" s="1468"/>
      <c r="AI22" s="1468"/>
      <c r="AJ22" s="1468"/>
      <c r="AK22" s="1468"/>
      <c r="AL22" s="1468"/>
      <c r="AM22" s="1468"/>
      <c r="AN22" s="1468"/>
      <c r="AO22" s="1468"/>
      <c r="AP22" s="1468"/>
      <c r="AQ22" s="1468"/>
      <c r="AR22" s="1468"/>
      <c r="AS22" s="1468"/>
      <c r="AT22" s="1468"/>
      <c r="AU22" s="1468"/>
      <c r="AV22" s="1468"/>
      <c r="AW22" s="1468"/>
      <c r="AX22" s="1468"/>
      <c r="AY22" s="1468"/>
      <c r="AZ22" s="1468"/>
      <c r="BA22" s="1468"/>
      <c r="BB22" s="1468"/>
      <c r="BC22" s="1468"/>
      <c r="BD22" s="1468"/>
      <c r="BE22" s="1468"/>
      <c r="BF22" s="1468"/>
      <c r="BG22" s="1468"/>
      <c r="BH22" s="1468"/>
      <c r="BI22" s="1468"/>
      <c r="BJ22" s="1468"/>
      <c r="BK22" s="1468"/>
      <c r="BL22" s="1468"/>
      <c r="BM22" s="1468"/>
      <c r="BN22" s="1468"/>
      <c r="BO22" s="1468"/>
      <c r="BP22" s="1468"/>
      <c r="BQ22" s="1468"/>
      <c r="BR22" s="1468"/>
      <c r="BS22" s="1468"/>
      <c r="BT22" s="1468"/>
      <c r="CD22" s="1470"/>
      <c r="CE22" s="1470"/>
      <c r="CF22" s="1470"/>
      <c r="CG22" s="1470"/>
      <c r="CH22" s="1470"/>
      <c r="CI22" s="1470"/>
      <c r="CJ22" s="1470"/>
      <c r="CK22" s="1470"/>
      <c r="CL22" s="1470"/>
      <c r="CM22" s="1470"/>
      <c r="CN22" s="1470"/>
    </row>
    <row r="23" spans="1:92" ht="15.65" customHeight="1">
      <c r="A23" s="3074"/>
      <c r="B23" s="1063" t="s">
        <v>848</v>
      </c>
      <c r="C23" s="1705"/>
      <c r="D23" s="1706">
        <f>D17+D20</f>
        <v>0</v>
      </c>
      <c r="E23" s="1706">
        <f t="shared" ref="E23:O23" si="24">E17+E20</f>
        <v>0</v>
      </c>
      <c r="F23" s="1706">
        <f t="shared" si="24"/>
        <v>0</v>
      </c>
      <c r="G23" s="1706">
        <f t="shared" si="24"/>
        <v>0</v>
      </c>
      <c r="H23" s="1706">
        <f t="shared" si="24"/>
        <v>0</v>
      </c>
      <c r="I23" s="1706">
        <f t="shared" si="24"/>
        <v>0</v>
      </c>
      <c r="J23" s="1706">
        <f t="shared" si="24"/>
        <v>0</v>
      </c>
      <c r="K23" s="1706">
        <f t="shared" si="24"/>
        <v>0</v>
      </c>
      <c r="L23" s="1706">
        <f t="shared" si="24"/>
        <v>0</v>
      </c>
      <c r="M23" s="1706">
        <f t="shared" si="24"/>
        <v>0</v>
      </c>
      <c r="N23" s="1706">
        <f t="shared" si="24"/>
        <v>0</v>
      </c>
      <c r="O23" s="1709">
        <f t="shared" si="24"/>
        <v>0</v>
      </c>
      <c r="P23" s="1458">
        <f t="shared" si="8"/>
        <v>0</v>
      </c>
      <c r="Q23" s="1707">
        <f t="shared" si="1"/>
        <v>0</v>
      </c>
      <c r="R23" s="1709">
        <f t="shared" ref="R23:U24" si="25">R17+R20</f>
        <v>0</v>
      </c>
      <c r="S23" s="1709">
        <f>S17+S20</f>
        <v>0</v>
      </c>
      <c r="T23" s="1709">
        <f t="shared" si="25"/>
        <v>0</v>
      </c>
      <c r="U23" s="1709">
        <f t="shared" si="25"/>
        <v>0</v>
      </c>
      <c r="V23" s="1468"/>
      <c r="W23" s="1468"/>
      <c r="X23" s="1468"/>
      <c r="Y23" s="1468"/>
      <c r="Z23" s="1468"/>
      <c r="AA23" s="1468"/>
      <c r="AB23" s="1468"/>
      <c r="AC23" s="1468"/>
      <c r="AD23" s="1468"/>
      <c r="AE23" s="1468"/>
      <c r="AF23" s="1468"/>
      <c r="AG23" s="1468"/>
      <c r="AH23" s="1468"/>
      <c r="AI23" s="1468"/>
      <c r="AJ23" s="1468"/>
      <c r="AK23" s="1468"/>
      <c r="AL23" s="1468"/>
      <c r="AM23" s="1468"/>
      <c r="AN23" s="1468"/>
      <c r="AO23" s="1468"/>
      <c r="AP23" s="1468"/>
      <c r="AQ23" s="1468"/>
      <c r="AR23" s="1468"/>
      <c r="AS23" s="1468"/>
      <c r="AT23" s="1468"/>
      <c r="AU23" s="1468"/>
      <c r="AV23" s="1468"/>
      <c r="AW23" s="1468"/>
      <c r="AX23" s="1468"/>
      <c r="AY23" s="1468"/>
      <c r="AZ23" s="1468"/>
      <c r="BA23" s="1468"/>
      <c r="BB23" s="1468"/>
      <c r="BC23" s="1468"/>
      <c r="BD23" s="1468"/>
      <c r="BE23" s="1468"/>
      <c r="BF23" s="1468"/>
      <c r="BG23" s="1468"/>
      <c r="BH23" s="1468"/>
      <c r="BI23" s="1468"/>
      <c r="BJ23" s="1468"/>
      <c r="BK23" s="1468"/>
      <c r="BL23" s="1468"/>
      <c r="BM23" s="1468"/>
      <c r="BN23" s="1468"/>
      <c r="BO23" s="1468"/>
      <c r="BP23" s="1468"/>
      <c r="BQ23" s="1468"/>
      <c r="BR23" s="1468"/>
      <c r="BS23" s="1468"/>
      <c r="BT23" s="1468"/>
      <c r="CD23" s="1470"/>
      <c r="CE23" s="1470"/>
      <c r="CF23" s="1470"/>
      <c r="CG23" s="1470"/>
      <c r="CH23" s="1470"/>
      <c r="CI23" s="1470"/>
      <c r="CJ23" s="1470"/>
      <c r="CK23" s="1470"/>
      <c r="CL23" s="1470"/>
      <c r="CM23" s="1470"/>
      <c r="CN23" s="1470"/>
    </row>
    <row r="24" spans="1:92" ht="16" thickBot="1">
      <c r="A24" s="3074"/>
      <c r="B24" s="1698" t="s">
        <v>849</v>
      </c>
      <c r="C24" s="1371"/>
      <c r="D24" s="1708">
        <f>D18+D21</f>
        <v>0</v>
      </c>
      <c r="E24" s="1708">
        <f t="shared" ref="E24:O24" si="26">E18+E21</f>
        <v>0</v>
      </c>
      <c r="F24" s="1708">
        <f t="shared" si="26"/>
        <v>0</v>
      </c>
      <c r="G24" s="1708">
        <f t="shared" si="26"/>
        <v>0</v>
      </c>
      <c r="H24" s="1708">
        <f t="shared" si="26"/>
        <v>0</v>
      </c>
      <c r="I24" s="1708">
        <f t="shared" si="26"/>
        <v>0</v>
      </c>
      <c r="J24" s="1708">
        <f t="shared" si="26"/>
        <v>0</v>
      </c>
      <c r="K24" s="1708">
        <f t="shared" si="26"/>
        <v>0</v>
      </c>
      <c r="L24" s="1708">
        <f t="shared" si="26"/>
        <v>0</v>
      </c>
      <c r="M24" s="1708">
        <f t="shared" si="26"/>
        <v>0</v>
      </c>
      <c r="N24" s="1708">
        <f t="shared" si="26"/>
        <v>0</v>
      </c>
      <c r="O24" s="1577">
        <f t="shared" si="26"/>
        <v>0</v>
      </c>
      <c r="P24" s="1465">
        <f t="shared" si="8"/>
        <v>0</v>
      </c>
      <c r="Q24" s="939">
        <f t="shared" si="1"/>
        <v>0</v>
      </c>
      <c r="R24" s="1577">
        <f t="shared" si="25"/>
        <v>0</v>
      </c>
      <c r="S24" s="1577">
        <f>S18+S21</f>
        <v>0</v>
      </c>
      <c r="T24" s="1577">
        <f t="shared" si="25"/>
        <v>0</v>
      </c>
      <c r="U24" s="1577">
        <f t="shared" si="25"/>
        <v>0</v>
      </c>
      <c r="V24" s="1468"/>
      <c r="W24" s="1468"/>
      <c r="X24" s="1468"/>
      <c r="Y24" s="1468"/>
      <c r="Z24" s="1468"/>
      <c r="AA24" s="1468"/>
      <c r="AB24" s="1468"/>
      <c r="AC24" s="1468"/>
      <c r="AD24" s="1468"/>
      <c r="AE24" s="1468"/>
      <c r="AF24" s="1468"/>
      <c r="AG24" s="1468"/>
      <c r="AH24" s="1468"/>
      <c r="AI24" s="1468"/>
      <c r="AJ24" s="1468"/>
      <c r="AK24" s="1468"/>
      <c r="AL24" s="1468"/>
      <c r="AM24" s="1468"/>
      <c r="AN24" s="1468"/>
      <c r="AO24" s="1468"/>
      <c r="AP24" s="1468"/>
      <c r="AQ24" s="1468"/>
      <c r="AR24" s="1468"/>
      <c r="AS24" s="1468"/>
      <c r="AT24" s="1468"/>
      <c r="AU24" s="1468"/>
      <c r="AV24" s="1468"/>
      <c r="AW24" s="1468"/>
      <c r="AX24" s="1468"/>
      <c r="AY24" s="1468"/>
      <c r="AZ24" s="1468"/>
      <c r="BA24" s="1468"/>
      <c r="BB24" s="1468"/>
      <c r="BC24" s="1468"/>
      <c r="BD24" s="1468"/>
      <c r="BE24" s="1468"/>
      <c r="BF24" s="1468"/>
      <c r="BG24" s="1468"/>
      <c r="BH24" s="1468"/>
      <c r="BI24" s="1468"/>
      <c r="BJ24" s="1468"/>
      <c r="BK24" s="1468"/>
      <c r="BL24" s="1468"/>
      <c r="BM24" s="1468"/>
      <c r="BN24" s="1468"/>
      <c r="BO24" s="1468"/>
      <c r="BP24" s="1468"/>
      <c r="BQ24" s="1468"/>
      <c r="BR24" s="1468"/>
      <c r="BS24" s="1468"/>
      <c r="BT24" s="1468"/>
      <c r="CD24" s="1470"/>
      <c r="CE24" s="1470"/>
      <c r="CF24" s="1470"/>
      <c r="CG24" s="1470"/>
      <c r="CH24" s="1470"/>
      <c r="CI24" s="1470"/>
      <c r="CJ24" s="1470"/>
      <c r="CK24" s="1470"/>
      <c r="CL24" s="1470"/>
      <c r="CM24" s="1470"/>
      <c r="CN24" s="1470"/>
    </row>
    <row r="25" spans="1:92" ht="16" thickBot="1">
      <c r="A25" s="3075"/>
      <c r="B25" s="1700" t="s">
        <v>850</v>
      </c>
      <c r="C25" s="1109"/>
      <c r="D25" s="1703">
        <f>D24-D23</f>
        <v>0</v>
      </c>
      <c r="E25" s="1703">
        <f t="shared" ref="E25:O25" si="27">E24-E23</f>
        <v>0</v>
      </c>
      <c r="F25" s="1703">
        <f t="shared" si="27"/>
        <v>0</v>
      </c>
      <c r="G25" s="1703">
        <f t="shared" si="27"/>
        <v>0</v>
      </c>
      <c r="H25" s="1703">
        <f t="shared" si="27"/>
        <v>0</v>
      </c>
      <c r="I25" s="1703">
        <f t="shared" si="27"/>
        <v>0</v>
      </c>
      <c r="J25" s="1703">
        <f t="shared" si="27"/>
        <v>0</v>
      </c>
      <c r="K25" s="1703">
        <f t="shared" si="27"/>
        <v>0</v>
      </c>
      <c r="L25" s="1703">
        <f t="shared" si="27"/>
        <v>0</v>
      </c>
      <c r="M25" s="1703">
        <f t="shared" si="27"/>
        <v>0</v>
      </c>
      <c r="N25" s="1703">
        <f t="shared" si="27"/>
        <v>0</v>
      </c>
      <c r="O25" s="1710">
        <f t="shared" si="27"/>
        <v>0</v>
      </c>
      <c r="P25" s="1701">
        <f t="shared" si="8"/>
        <v>0</v>
      </c>
      <c r="Q25" s="1702">
        <f t="shared" si="1"/>
        <v>0</v>
      </c>
      <c r="R25" s="1710">
        <f>R24-R23</f>
        <v>0</v>
      </c>
      <c r="S25" s="1710">
        <f>S24-S23</f>
        <v>0</v>
      </c>
      <c r="T25" s="1710">
        <f>T24-T23</f>
        <v>0</v>
      </c>
      <c r="U25" s="1710">
        <f>U24-U23</f>
        <v>0</v>
      </c>
      <c r="V25" s="1468"/>
      <c r="W25" s="1468"/>
      <c r="X25" s="1468"/>
      <c r="Y25" s="1468"/>
      <c r="Z25" s="1468"/>
      <c r="AA25" s="1468"/>
      <c r="AB25" s="1468"/>
      <c r="AC25" s="1468"/>
      <c r="AD25" s="1468"/>
      <c r="AE25" s="1468"/>
      <c r="AF25" s="1468"/>
      <c r="AG25" s="1468"/>
      <c r="AH25" s="1468"/>
      <c r="AI25" s="1468"/>
      <c r="AJ25" s="1468"/>
      <c r="AK25" s="1468"/>
      <c r="AL25" s="1468"/>
      <c r="AM25" s="1468"/>
      <c r="AN25" s="1468"/>
      <c r="AO25" s="1468"/>
      <c r="AP25" s="1468"/>
      <c r="AQ25" s="1468"/>
      <c r="AR25" s="1468"/>
      <c r="AS25" s="1468"/>
      <c r="AT25" s="1468"/>
      <c r="AU25" s="1468"/>
      <c r="AV25" s="1468"/>
      <c r="AW25" s="1468"/>
      <c r="AX25" s="1468"/>
      <c r="AY25" s="1468"/>
      <c r="AZ25" s="1468"/>
      <c r="BA25" s="1468"/>
      <c r="BB25" s="1468"/>
      <c r="BC25" s="1468"/>
      <c r="BD25" s="1468"/>
      <c r="BE25" s="1468"/>
      <c r="BF25" s="1468"/>
      <c r="BG25" s="1468"/>
      <c r="BH25" s="1468"/>
      <c r="BI25" s="1468"/>
      <c r="BJ25" s="1468"/>
      <c r="BK25" s="1468"/>
      <c r="BL25" s="1468"/>
      <c r="BM25" s="1468"/>
      <c r="BN25" s="1468"/>
      <c r="BO25" s="1468"/>
      <c r="BP25" s="1468"/>
      <c r="BQ25" s="1468"/>
      <c r="BR25" s="1468"/>
      <c r="BS25" s="1468"/>
      <c r="BT25" s="1468"/>
      <c r="CD25" s="1470"/>
      <c r="CE25" s="1470"/>
      <c r="CF25" s="1470"/>
      <c r="CG25" s="1470"/>
      <c r="CH25" s="1470"/>
      <c r="CI25" s="1470"/>
      <c r="CJ25" s="1470"/>
      <c r="CK25" s="1470"/>
      <c r="CL25" s="1470"/>
      <c r="CM25" s="1470"/>
      <c r="CN25" s="1470"/>
    </row>
    <row r="26" spans="1:92">
      <c r="A26" s="3073" t="s">
        <v>342</v>
      </c>
      <c r="B26" s="1063" t="s">
        <v>846</v>
      </c>
      <c r="C26" s="1705"/>
      <c r="D26" s="1706">
        <f t="shared" ref="D26:O26" si="28">SUMIFS(V$43:V$1496,$O$43:$O$1496,"&lt;&gt;Red",$R$43:$R$1496,$CQ$3,$L$43:$L$1496,$BY$2)</f>
        <v>0</v>
      </c>
      <c r="E26" s="1706">
        <f t="shared" si="28"/>
        <v>0</v>
      </c>
      <c r="F26" s="1706">
        <f t="shared" si="28"/>
        <v>0</v>
      </c>
      <c r="G26" s="1706">
        <f t="shared" si="28"/>
        <v>0</v>
      </c>
      <c r="H26" s="1706">
        <f t="shared" si="28"/>
        <v>0</v>
      </c>
      <c r="I26" s="1706">
        <f t="shared" si="28"/>
        <v>0</v>
      </c>
      <c r="J26" s="1706">
        <f t="shared" si="28"/>
        <v>0</v>
      </c>
      <c r="K26" s="1706">
        <f t="shared" si="28"/>
        <v>0</v>
      </c>
      <c r="L26" s="1706">
        <f t="shared" si="28"/>
        <v>0</v>
      </c>
      <c r="M26" s="1706">
        <f t="shared" si="28"/>
        <v>0</v>
      </c>
      <c r="N26" s="1706">
        <f t="shared" si="28"/>
        <v>0</v>
      </c>
      <c r="O26" s="1709">
        <f t="shared" si="28"/>
        <v>0</v>
      </c>
      <c r="P26" s="1458">
        <f t="shared" si="8"/>
        <v>0</v>
      </c>
      <c r="Q26" s="1707">
        <f t="shared" si="1"/>
        <v>0</v>
      </c>
      <c r="R26" s="1709">
        <f>SUMIFS(G$43:G$1496,$O$43:$O$1496,"&lt;&gt;Red",$R$43:$R$1496,$CQ$3,$L$43:$L$1496,$BY$2,$F$43:$F$1496,$BZ$2)</f>
        <v>0</v>
      </c>
      <c r="S26" s="1709">
        <f>SUMIFS(G$43:G$1496,$O$43:$O$1496,"&lt;&gt;Red",$R$43:$R$1496,$CQ$3,$L$43:$L$1496,$BY$2,$F$43:$F$1496,$BZ$1)</f>
        <v>0</v>
      </c>
      <c r="T26" s="1709">
        <f>U26-S26</f>
        <v>0</v>
      </c>
      <c r="U26" s="1709">
        <f>SUMIFS(H$43:H$1496,$O$43:$O$1496,"&lt;&gt;Red",$R$43:$R$1496,$CQ$3,$L$43:$L$1496,$BY$2)</f>
        <v>0</v>
      </c>
      <c r="V26" s="1468"/>
      <c r="W26" s="1468"/>
      <c r="X26" s="1468"/>
      <c r="Y26" s="1468"/>
      <c r="Z26" s="1468"/>
      <c r="AA26" s="1468"/>
      <c r="AB26" s="1468"/>
      <c r="AC26" s="1468"/>
      <c r="AD26" s="1468"/>
      <c r="AE26" s="1468"/>
      <c r="AF26" s="1468"/>
      <c r="AG26" s="1468"/>
      <c r="AH26" s="1468"/>
      <c r="AI26" s="1468"/>
      <c r="AJ26" s="1468"/>
      <c r="AK26" s="1468"/>
      <c r="AL26" s="1468"/>
      <c r="AM26" s="1468"/>
      <c r="AN26" s="1468"/>
      <c r="AO26" s="1468"/>
      <c r="AP26" s="1468"/>
      <c r="AQ26" s="1468"/>
      <c r="AR26" s="1468"/>
      <c r="AS26" s="1468"/>
      <c r="AT26" s="1468"/>
      <c r="AU26" s="1468"/>
      <c r="AV26" s="1468"/>
      <c r="AW26" s="1468"/>
      <c r="AX26" s="1468"/>
      <c r="AY26" s="1468"/>
      <c r="AZ26" s="1468"/>
      <c r="BA26" s="1468"/>
      <c r="BB26" s="1468"/>
      <c r="BC26" s="1468"/>
      <c r="BD26" s="1468"/>
      <c r="BE26" s="1468"/>
      <c r="BF26" s="1468"/>
      <c r="BG26" s="1468"/>
      <c r="BH26" s="1468"/>
      <c r="BI26" s="1468"/>
      <c r="BJ26" s="1468"/>
      <c r="BK26" s="1468"/>
      <c r="BL26" s="1468"/>
      <c r="BM26" s="1468"/>
      <c r="BN26" s="1468"/>
      <c r="BO26" s="1468"/>
      <c r="BP26" s="1468"/>
      <c r="BQ26" s="1468"/>
      <c r="BR26" s="1468"/>
      <c r="BS26" s="1468"/>
      <c r="BT26" s="1468"/>
    </row>
    <row r="27" spans="1:92" ht="16" thickBot="1">
      <c r="A27" s="3074"/>
      <c r="B27" s="1698" t="s">
        <v>847</v>
      </c>
      <c r="C27" s="1371"/>
      <c r="D27" s="1708">
        <f t="shared" ref="D27:O27" si="29">SUMIFS(AI$43:AI$1496,$O$43:$O$1496,"&lt;&gt;Red",$R$43:$R$1496,$CQ$3,$L$43:$L$1496,$BY$2)</f>
        <v>0</v>
      </c>
      <c r="E27" s="1708">
        <f t="shared" si="29"/>
        <v>0</v>
      </c>
      <c r="F27" s="1708">
        <f t="shared" si="29"/>
        <v>0</v>
      </c>
      <c r="G27" s="1708">
        <f t="shared" si="29"/>
        <v>0</v>
      </c>
      <c r="H27" s="1708">
        <f t="shared" si="29"/>
        <v>0</v>
      </c>
      <c r="I27" s="1708">
        <f t="shared" si="29"/>
        <v>0</v>
      </c>
      <c r="J27" s="1708">
        <f t="shared" si="29"/>
        <v>0</v>
      </c>
      <c r="K27" s="1708">
        <f t="shared" si="29"/>
        <v>0</v>
      </c>
      <c r="L27" s="1708">
        <f t="shared" si="29"/>
        <v>0</v>
      </c>
      <c r="M27" s="1708">
        <f t="shared" si="29"/>
        <v>0</v>
      </c>
      <c r="N27" s="1708">
        <f t="shared" si="29"/>
        <v>0</v>
      </c>
      <c r="O27" s="1577">
        <f t="shared" si="29"/>
        <v>0</v>
      </c>
      <c r="P27" s="1465">
        <f t="shared" si="8"/>
        <v>0</v>
      </c>
      <c r="Q27" s="939">
        <f t="shared" si="1"/>
        <v>0</v>
      </c>
      <c r="R27" s="1577">
        <f>SUMIFS(I$43:I$1496,$O$43:$O$1496,"&lt;&gt;Red",$R$43:$R$1496,$CQ$3,$L$43:$L$1496,$BY$2,$F$43:$F$1496,$BZ$2)</f>
        <v>0</v>
      </c>
      <c r="S27" s="1577">
        <f>SUMIFS(I$43:I$1496,$O$43:$O$1496,"&lt;&gt;Red",$R$43:$R$1496,$CQ$3,$L$43:$L$1496,$BY$2,$F$43:$F$1496,$BZ$1)</f>
        <v>0</v>
      </c>
      <c r="T27" s="1577">
        <f>U27-S27</f>
        <v>0</v>
      </c>
      <c r="U27" s="1577">
        <f>SUMIFS(J$43:J$1496,$O$43:$O$1496,"&lt;&gt;Red",$R$43:$R$1496,$CQ$3,$L$43:$L$1496,$BY$2)</f>
        <v>0</v>
      </c>
      <c r="V27" s="1468"/>
      <c r="W27" s="1468"/>
      <c r="X27" s="1468"/>
      <c r="Y27" s="1468"/>
      <c r="Z27" s="1468"/>
      <c r="AA27" s="1468"/>
      <c r="AB27" s="1468"/>
      <c r="AC27" s="1468"/>
      <c r="AD27" s="1468"/>
      <c r="AE27" s="1468"/>
      <c r="AF27" s="1468"/>
      <c r="AG27" s="1468"/>
      <c r="AH27" s="1468"/>
      <c r="AI27" s="1468"/>
      <c r="AJ27" s="1468"/>
      <c r="AK27" s="1468"/>
      <c r="AL27" s="1468"/>
      <c r="AM27" s="1468"/>
      <c r="AN27" s="1468"/>
      <c r="AO27" s="1468"/>
      <c r="AP27" s="1468"/>
      <c r="AQ27" s="1468"/>
      <c r="AR27" s="1468"/>
      <c r="AS27" s="1468"/>
      <c r="AT27" s="1468"/>
      <c r="AU27" s="1468"/>
      <c r="AV27" s="1468"/>
      <c r="AW27" s="1468"/>
      <c r="AX27" s="1468"/>
      <c r="AY27" s="1468"/>
      <c r="AZ27" s="1468"/>
      <c r="BA27" s="1468"/>
      <c r="BB27" s="1468"/>
      <c r="BC27" s="1468"/>
      <c r="BD27" s="1468"/>
      <c r="BE27" s="1468"/>
      <c r="BF27" s="1468"/>
      <c r="BG27" s="1468"/>
      <c r="BH27" s="1468"/>
      <c r="BI27" s="1468"/>
      <c r="BJ27" s="1468"/>
      <c r="BK27" s="1468"/>
      <c r="BL27" s="1468"/>
      <c r="BM27" s="1468"/>
      <c r="BN27" s="1468"/>
      <c r="BO27" s="1468"/>
      <c r="BP27" s="1468"/>
      <c r="BQ27" s="1468"/>
      <c r="BR27" s="1468"/>
      <c r="BS27" s="1468"/>
      <c r="BT27" s="1468"/>
    </row>
    <row r="28" spans="1:92" ht="16" thickBot="1">
      <c r="A28" s="3075"/>
      <c r="B28" s="1700" t="s">
        <v>42</v>
      </c>
      <c r="C28" s="1109"/>
      <c r="D28" s="1703">
        <f>D27-D26</f>
        <v>0</v>
      </c>
      <c r="E28" s="1703">
        <f t="shared" ref="E28:O28" si="30">E27-E26</f>
        <v>0</v>
      </c>
      <c r="F28" s="1703">
        <f t="shared" si="30"/>
        <v>0</v>
      </c>
      <c r="G28" s="1703">
        <f t="shared" si="30"/>
        <v>0</v>
      </c>
      <c r="H28" s="1703">
        <f t="shared" si="30"/>
        <v>0</v>
      </c>
      <c r="I28" s="1703">
        <f t="shared" si="30"/>
        <v>0</v>
      </c>
      <c r="J28" s="1703">
        <f t="shared" si="30"/>
        <v>0</v>
      </c>
      <c r="K28" s="1703">
        <f t="shared" si="30"/>
        <v>0</v>
      </c>
      <c r="L28" s="1703">
        <f t="shared" si="30"/>
        <v>0</v>
      </c>
      <c r="M28" s="1703">
        <f t="shared" si="30"/>
        <v>0</v>
      </c>
      <c r="N28" s="1703">
        <f t="shared" si="30"/>
        <v>0</v>
      </c>
      <c r="O28" s="1710">
        <f t="shared" si="30"/>
        <v>0</v>
      </c>
      <c r="P28" s="1701">
        <f t="shared" si="8"/>
        <v>0</v>
      </c>
      <c r="Q28" s="1702">
        <f t="shared" si="1"/>
        <v>0</v>
      </c>
      <c r="R28" s="1710">
        <f>R27-R26</f>
        <v>0</v>
      </c>
      <c r="S28" s="1710">
        <f>S27-S26</f>
        <v>0</v>
      </c>
      <c r="T28" s="1710">
        <f>T27-T26</f>
        <v>0</v>
      </c>
      <c r="U28" s="1710">
        <f>U27-U26</f>
        <v>0</v>
      </c>
      <c r="V28" s="1468"/>
      <c r="W28" s="1468"/>
      <c r="X28" s="1468"/>
      <c r="Y28" s="1468"/>
      <c r="Z28" s="1468"/>
      <c r="AA28" s="1468"/>
      <c r="AB28" s="1468"/>
      <c r="AC28" s="1468"/>
      <c r="AD28" s="1468"/>
      <c r="AE28" s="1468"/>
      <c r="AF28" s="1468"/>
      <c r="AG28" s="1468"/>
      <c r="AH28" s="1468"/>
      <c r="AI28" s="1468"/>
      <c r="AJ28" s="1468"/>
      <c r="AK28" s="1468"/>
      <c r="AL28" s="1468"/>
      <c r="AM28" s="1468"/>
      <c r="AN28" s="1468"/>
      <c r="AO28" s="1468"/>
      <c r="AP28" s="1468"/>
      <c r="AQ28" s="1468"/>
      <c r="AR28" s="1468"/>
      <c r="AS28" s="1468"/>
      <c r="AT28" s="1468"/>
      <c r="AU28" s="1468"/>
      <c r="AV28" s="1468"/>
      <c r="AW28" s="1468"/>
      <c r="AX28" s="1468"/>
      <c r="AY28" s="1468"/>
      <c r="AZ28" s="1468"/>
      <c r="BA28" s="1468"/>
      <c r="BB28" s="1468"/>
      <c r="BC28" s="1468"/>
      <c r="BD28" s="1468"/>
      <c r="BE28" s="1468"/>
      <c r="BF28" s="1468"/>
      <c r="BG28" s="1468"/>
      <c r="BH28" s="1468"/>
      <c r="BI28" s="1468"/>
      <c r="BJ28" s="1468"/>
      <c r="BK28" s="1468"/>
      <c r="BL28" s="1468"/>
      <c r="BM28" s="1468"/>
      <c r="BN28" s="1468"/>
      <c r="BO28" s="1468"/>
      <c r="BP28" s="1468"/>
      <c r="BQ28" s="1468"/>
      <c r="BR28" s="1468"/>
      <c r="BS28" s="1468"/>
      <c r="BT28" s="1468"/>
    </row>
    <row r="29" spans="1:92" ht="16" thickBot="1">
      <c r="A29" s="1468"/>
      <c r="B29" s="1468"/>
      <c r="C29" s="1468"/>
      <c r="D29" s="1468"/>
      <c r="E29" s="1468"/>
      <c r="F29" s="1468"/>
      <c r="G29" s="1468"/>
      <c r="H29" s="1468"/>
      <c r="I29" s="1468"/>
      <c r="J29" s="1468"/>
      <c r="K29" s="1468"/>
      <c r="L29" s="1468"/>
      <c r="M29" s="1468"/>
      <c r="N29" s="1468"/>
      <c r="O29" s="1468"/>
      <c r="P29" s="1468"/>
      <c r="Q29" s="1468"/>
      <c r="R29" s="1468"/>
      <c r="S29" s="1468"/>
      <c r="T29" s="1468"/>
      <c r="U29" s="1468"/>
      <c r="V29" s="1468"/>
      <c r="W29" s="1468"/>
      <c r="X29" s="1468"/>
      <c r="Y29" s="1468"/>
      <c r="Z29" s="1468"/>
      <c r="AA29" s="1468"/>
      <c r="AB29" s="1468"/>
      <c r="AC29" s="1468"/>
      <c r="AD29" s="1468"/>
      <c r="AE29" s="1468"/>
      <c r="AF29" s="1468"/>
      <c r="AG29" s="1468"/>
      <c r="AH29" s="1468"/>
      <c r="AI29" s="1468"/>
      <c r="AJ29" s="1468"/>
      <c r="AK29" s="1468"/>
      <c r="AL29" s="1468"/>
      <c r="AM29" s="1468"/>
      <c r="AN29" s="1468"/>
      <c r="AO29" s="1468"/>
      <c r="AP29" s="1468"/>
      <c r="AQ29" s="1468"/>
      <c r="AR29" s="1468"/>
      <c r="AS29" s="1468"/>
      <c r="AT29" s="1468"/>
      <c r="AU29" s="1468"/>
      <c r="AV29" s="1468"/>
      <c r="AW29" s="1468"/>
      <c r="AX29" s="1468"/>
      <c r="AY29" s="1468"/>
      <c r="AZ29" s="1468"/>
      <c r="BA29" s="1468"/>
      <c r="BB29" s="1468"/>
      <c r="BC29" s="1468"/>
      <c r="BD29" s="1468"/>
      <c r="BE29" s="1468"/>
      <c r="BF29" s="1468"/>
      <c r="BG29" s="1468"/>
      <c r="BH29" s="1468"/>
      <c r="BI29" s="1468"/>
      <c r="BJ29" s="1468"/>
      <c r="BK29" s="1468"/>
      <c r="BL29" s="1468"/>
      <c r="BM29" s="1468"/>
      <c r="BN29" s="1468"/>
      <c r="BO29" s="1468"/>
      <c r="BP29" s="1468"/>
      <c r="BQ29" s="1468"/>
      <c r="BR29" s="1468"/>
      <c r="BS29" s="1468"/>
      <c r="BT29" s="1468"/>
    </row>
    <row r="30" spans="1:92">
      <c r="A30" s="3073" t="s">
        <v>78</v>
      </c>
      <c r="B30" s="1063" t="s">
        <v>844</v>
      </c>
      <c r="C30" s="1705"/>
      <c r="D30" s="1706">
        <f>D8+D17</f>
        <v>1244.4166666666665</v>
      </c>
      <c r="E30" s="1706">
        <f t="shared" ref="E30:U30" si="31">E8+E17</f>
        <v>175.41666666666666</v>
      </c>
      <c r="F30" s="1706">
        <f t="shared" si="31"/>
        <v>175.41666666666666</v>
      </c>
      <c r="G30" s="1706">
        <f t="shared" si="31"/>
        <v>175.41666666666666</v>
      </c>
      <c r="H30" s="1706">
        <f t="shared" si="31"/>
        <v>175.41666666666666</v>
      </c>
      <c r="I30" s="1706">
        <f t="shared" si="31"/>
        <v>175.41666666666666</v>
      </c>
      <c r="J30" s="1706">
        <f t="shared" si="31"/>
        <v>175.41666666666666</v>
      </c>
      <c r="K30" s="1706">
        <f t="shared" si="31"/>
        <v>175.41666666666666</v>
      </c>
      <c r="L30" s="1706">
        <f t="shared" si="31"/>
        <v>175.41666666666666</v>
      </c>
      <c r="M30" s="1706">
        <f t="shared" si="31"/>
        <v>175.41666666666666</v>
      </c>
      <c r="N30" s="1706">
        <f t="shared" si="31"/>
        <v>175.41666666666666</v>
      </c>
      <c r="O30" s="1709">
        <f t="shared" si="31"/>
        <v>175.41666666666666</v>
      </c>
      <c r="P30" s="120">
        <f t="shared" si="31"/>
        <v>1244.4166666666665</v>
      </c>
      <c r="Q30" s="1707">
        <f t="shared" si="31"/>
        <v>3173.9999999999991</v>
      </c>
      <c r="R30" s="1709">
        <f t="shared" si="31"/>
        <v>661</v>
      </c>
      <c r="S30" s="1709">
        <f t="shared" si="31"/>
        <v>2513</v>
      </c>
      <c r="T30" s="1709">
        <f t="shared" si="31"/>
        <v>0</v>
      </c>
      <c r="U30" s="1709">
        <f t="shared" si="31"/>
        <v>2513</v>
      </c>
      <c r="V30" s="1468"/>
      <c r="W30" s="1468"/>
      <c r="X30" s="1468"/>
      <c r="Y30" s="1468"/>
      <c r="Z30" s="1468"/>
      <c r="AA30" s="1468"/>
      <c r="AB30" s="1468"/>
      <c r="AC30" s="1468"/>
      <c r="AD30" s="1468"/>
      <c r="AE30" s="1468"/>
      <c r="AF30" s="1468"/>
      <c r="AG30" s="1468"/>
      <c r="AH30" s="1468"/>
      <c r="AI30" s="1468"/>
      <c r="AJ30" s="1468"/>
      <c r="AK30" s="1468"/>
      <c r="AL30" s="1468"/>
      <c r="AM30" s="1468"/>
      <c r="AN30" s="1468"/>
      <c r="AO30" s="1468"/>
      <c r="AP30" s="1468"/>
      <c r="AQ30" s="1468"/>
      <c r="AR30" s="1468"/>
      <c r="AS30" s="1468"/>
      <c r="AT30" s="1468"/>
      <c r="AU30" s="1468"/>
      <c r="AV30" s="1468"/>
      <c r="AW30" s="1468"/>
      <c r="AX30" s="1468"/>
      <c r="AY30" s="1468"/>
      <c r="AZ30" s="1468"/>
      <c r="BA30" s="1468"/>
      <c r="BB30" s="1468"/>
      <c r="BC30" s="1468"/>
      <c r="BD30" s="1468"/>
      <c r="BE30" s="1468"/>
      <c r="BF30" s="1468"/>
      <c r="BG30" s="1468"/>
      <c r="BH30" s="1468"/>
      <c r="BI30" s="1468"/>
      <c r="BJ30" s="1468"/>
      <c r="BK30" s="1468"/>
      <c r="BL30" s="1468"/>
      <c r="BM30" s="1468"/>
      <c r="BN30" s="1468"/>
      <c r="BO30" s="1468"/>
      <c r="BP30" s="1468"/>
      <c r="BQ30" s="1468"/>
      <c r="BR30" s="1468"/>
      <c r="BS30" s="1468"/>
      <c r="BT30" s="1468"/>
    </row>
    <row r="31" spans="1:92" ht="16" thickBot="1">
      <c r="A31" s="3074"/>
      <c r="B31" s="1698" t="s">
        <v>845</v>
      </c>
      <c r="C31" s="1371"/>
      <c r="D31" s="1708">
        <f>D9+D18</f>
        <v>1244.4166666666665</v>
      </c>
      <c r="E31" s="1708">
        <f t="shared" ref="E31:U31" si="32">E9+E18</f>
        <v>175.41666666666666</v>
      </c>
      <c r="F31" s="1708">
        <f t="shared" si="32"/>
        <v>175.41666666666666</v>
      </c>
      <c r="G31" s="1708">
        <f t="shared" si="32"/>
        <v>175.41666666666666</v>
      </c>
      <c r="H31" s="1708">
        <f t="shared" si="32"/>
        <v>175.41666666666666</v>
      </c>
      <c r="I31" s="1708">
        <f t="shared" si="32"/>
        <v>175.41666666666666</v>
      </c>
      <c r="J31" s="1708">
        <f t="shared" si="32"/>
        <v>175.41666666666666</v>
      </c>
      <c r="K31" s="1708">
        <f t="shared" si="32"/>
        <v>175.41666666666666</v>
      </c>
      <c r="L31" s="1708">
        <f t="shared" si="32"/>
        <v>175.41666666666666</v>
      </c>
      <c r="M31" s="1708">
        <f t="shared" si="32"/>
        <v>175.41666666666666</v>
      </c>
      <c r="N31" s="1708">
        <f t="shared" si="32"/>
        <v>175.41666666666666</v>
      </c>
      <c r="O31" s="1577">
        <f t="shared" si="32"/>
        <v>175.41666666666666</v>
      </c>
      <c r="P31" s="942">
        <f t="shared" si="32"/>
        <v>1244.4166666666665</v>
      </c>
      <c r="Q31" s="939">
        <f t="shared" si="32"/>
        <v>3173.9999999999991</v>
      </c>
      <c r="R31" s="1577">
        <f t="shared" si="32"/>
        <v>661</v>
      </c>
      <c r="S31" s="1577">
        <f t="shared" si="32"/>
        <v>2513</v>
      </c>
      <c r="T31" s="1577">
        <f t="shared" si="32"/>
        <v>0</v>
      </c>
      <c r="U31" s="1577">
        <f t="shared" si="32"/>
        <v>2513</v>
      </c>
      <c r="V31" s="1468"/>
      <c r="W31" s="1468"/>
      <c r="X31" s="1468"/>
      <c r="Y31" s="1468"/>
      <c r="Z31" s="1468"/>
      <c r="AA31" s="1468"/>
      <c r="AB31" s="1468"/>
      <c r="AC31" s="1468"/>
      <c r="AD31" s="1468"/>
      <c r="AE31" s="1468"/>
      <c r="AF31" s="1468"/>
      <c r="AG31" s="1468"/>
      <c r="AH31" s="1468"/>
      <c r="AI31" s="1468"/>
      <c r="AJ31" s="1468"/>
      <c r="AK31" s="1468"/>
      <c r="AL31" s="1468"/>
      <c r="AM31" s="1468"/>
      <c r="AN31" s="1468"/>
      <c r="AO31" s="1468"/>
      <c r="AP31" s="1468"/>
      <c r="AQ31" s="1468"/>
      <c r="AR31" s="1468"/>
      <c r="AS31" s="1468"/>
      <c r="AT31" s="1468"/>
      <c r="AU31" s="1468"/>
      <c r="AV31" s="1468"/>
      <c r="AW31" s="1468"/>
      <c r="AX31" s="1468"/>
      <c r="AY31" s="1468"/>
      <c r="AZ31" s="1468"/>
      <c r="BA31" s="1468"/>
      <c r="BB31" s="1468"/>
      <c r="BC31" s="1468"/>
      <c r="BD31" s="1468"/>
      <c r="BE31" s="1468"/>
      <c r="BF31" s="1468"/>
      <c r="BG31" s="1468"/>
      <c r="BH31" s="1468"/>
      <c r="BI31" s="1468"/>
      <c r="BJ31" s="1468"/>
      <c r="BK31" s="1468"/>
      <c r="BL31" s="1468"/>
      <c r="BM31" s="1468"/>
      <c r="BN31" s="1468"/>
      <c r="BO31" s="1468"/>
      <c r="BP31" s="1468"/>
      <c r="BQ31" s="1468"/>
      <c r="BR31" s="1468"/>
      <c r="BS31" s="1468"/>
      <c r="BT31" s="1468"/>
    </row>
    <row r="32" spans="1:92" ht="16" thickBot="1">
      <c r="A32" s="3074"/>
      <c r="B32" s="1700" t="s">
        <v>42</v>
      </c>
      <c r="C32" s="1109"/>
      <c r="D32" s="1703">
        <f>D31-D30</f>
        <v>0</v>
      </c>
      <c r="E32" s="1703">
        <f t="shared" ref="E32:U32" si="33">E31-E30</f>
        <v>0</v>
      </c>
      <c r="F32" s="1703">
        <f t="shared" si="33"/>
        <v>0</v>
      </c>
      <c r="G32" s="1703">
        <f t="shared" si="33"/>
        <v>0</v>
      </c>
      <c r="H32" s="1703">
        <f t="shared" si="33"/>
        <v>0</v>
      </c>
      <c r="I32" s="1703">
        <f t="shared" si="33"/>
        <v>0</v>
      </c>
      <c r="J32" s="1703">
        <f t="shared" si="33"/>
        <v>0</v>
      </c>
      <c r="K32" s="1703">
        <f t="shared" si="33"/>
        <v>0</v>
      </c>
      <c r="L32" s="1703">
        <f t="shared" si="33"/>
        <v>0</v>
      </c>
      <c r="M32" s="1703">
        <f t="shared" si="33"/>
        <v>0</v>
      </c>
      <c r="N32" s="1703">
        <f t="shared" si="33"/>
        <v>0</v>
      </c>
      <c r="O32" s="1710">
        <f t="shared" si="33"/>
        <v>0</v>
      </c>
      <c r="P32" s="1703">
        <f t="shared" si="33"/>
        <v>0</v>
      </c>
      <c r="Q32" s="1702">
        <f t="shared" si="33"/>
        <v>0</v>
      </c>
      <c r="R32" s="1710">
        <f t="shared" si="33"/>
        <v>0</v>
      </c>
      <c r="S32" s="1710">
        <f t="shared" si="33"/>
        <v>0</v>
      </c>
      <c r="T32" s="1710">
        <f t="shared" si="33"/>
        <v>0</v>
      </c>
      <c r="U32" s="1710">
        <f t="shared" si="33"/>
        <v>0</v>
      </c>
      <c r="V32" s="1468"/>
      <c r="W32" s="1468"/>
      <c r="X32" s="1468"/>
      <c r="Y32" s="1468"/>
      <c r="Z32" s="1468"/>
      <c r="AA32" s="1468"/>
      <c r="AB32" s="1468"/>
      <c r="AC32" s="1468"/>
      <c r="AD32" s="1468"/>
      <c r="AE32" s="1468"/>
      <c r="AF32" s="1468"/>
      <c r="AG32" s="1468"/>
      <c r="AH32" s="1468"/>
      <c r="AI32" s="1468"/>
      <c r="AJ32" s="1468"/>
      <c r="AK32" s="1468"/>
      <c r="AL32" s="1468"/>
      <c r="AM32" s="1468"/>
      <c r="AN32" s="1468"/>
      <c r="AO32" s="1468"/>
      <c r="AP32" s="1468"/>
      <c r="AQ32" s="1468"/>
      <c r="AR32" s="1468"/>
      <c r="AS32" s="1468"/>
      <c r="AT32" s="1468"/>
      <c r="AU32" s="1468"/>
      <c r="AV32" s="1468"/>
      <c r="AW32" s="1468"/>
      <c r="AX32" s="1468"/>
      <c r="AY32" s="1468"/>
      <c r="AZ32" s="1468"/>
      <c r="BA32" s="1468"/>
      <c r="BB32" s="1468"/>
      <c r="BC32" s="1468"/>
      <c r="BD32" s="1468"/>
      <c r="BE32" s="1468"/>
      <c r="BF32" s="1468"/>
      <c r="BG32" s="1468"/>
      <c r="BH32" s="1468"/>
      <c r="BI32" s="1468"/>
      <c r="BJ32" s="1468"/>
      <c r="BK32" s="1468"/>
      <c r="BL32" s="1468"/>
      <c r="BM32" s="1468"/>
      <c r="BN32" s="1468"/>
      <c r="BO32" s="1468"/>
      <c r="BP32" s="1468"/>
      <c r="BQ32" s="1468"/>
      <c r="BR32" s="1468"/>
      <c r="BS32" s="1468"/>
      <c r="BT32" s="1468"/>
    </row>
    <row r="33" spans="1:103">
      <c r="A33" s="3074"/>
      <c r="B33" s="1063" t="s">
        <v>846</v>
      </c>
      <c r="C33" s="1705"/>
      <c r="D33" s="1706">
        <f>D11+D20+D26</f>
        <v>0</v>
      </c>
      <c r="E33" s="1706">
        <f t="shared" ref="E33:U33" si="34">E11+E20+E26</f>
        <v>0</v>
      </c>
      <c r="F33" s="1706">
        <f t="shared" si="34"/>
        <v>0</v>
      </c>
      <c r="G33" s="1706">
        <f t="shared" si="34"/>
        <v>0</v>
      </c>
      <c r="H33" s="1706">
        <f t="shared" si="34"/>
        <v>0</v>
      </c>
      <c r="I33" s="1706">
        <f t="shared" si="34"/>
        <v>0</v>
      </c>
      <c r="J33" s="1706">
        <f t="shared" si="34"/>
        <v>0</v>
      </c>
      <c r="K33" s="1706">
        <f t="shared" si="34"/>
        <v>0</v>
      </c>
      <c r="L33" s="1706">
        <f t="shared" si="34"/>
        <v>0</v>
      </c>
      <c r="M33" s="1706">
        <f t="shared" si="34"/>
        <v>0</v>
      </c>
      <c r="N33" s="1706">
        <f t="shared" si="34"/>
        <v>0</v>
      </c>
      <c r="O33" s="1709">
        <f t="shared" si="34"/>
        <v>0</v>
      </c>
      <c r="P33" s="120">
        <f t="shared" si="34"/>
        <v>0</v>
      </c>
      <c r="Q33" s="1707">
        <f t="shared" si="34"/>
        <v>0</v>
      </c>
      <c r="R33" s="1709">
        <f t="shared" si="34"/>
        <v>0</v>
      </c>
      <c r="S33" s="1709">
        <f t="shared" si="34"/>
        <v>0</v>
      </c>
      <c r="T33" s="1709">
        <f t="shared" si="34"/>
        <v>0</v>
      </c>
      <c r="U33" s="1709">
        <f t="shared" si="34"/>
        <v>0</v>
      </c>
      <c r="V33" s="1468"/>
      <c r="W33" s="1468"/>
      <c r="X33" s="1468"/>
      <c r="Y33" s="1468"/>
      <c r="Z33" s="1468"/>
      <c r="AA33" s="1468"/>
      <c r="AB33" s="1468"/>
      <c r="AC33" s="1468"/>
      <c r="AD33" s="1468"/>
      <c r="AE33" s="1468"/>
      <c r="AF33" s="1468"/>
      <c r="AG33" s="1468"/>
      <c r="AH33" s="1468"/>
      <c r="AI33" s="1468"/>
      <c r="AJ33" s="1468"/>
      <c r="AK33" s="1468"/>
      <c r="AL33" s="1468"/>
      <c r="AM33" s="1468"/>
      <c r="AN33" s="1468"/>
      <c r="AO33" s="1468"/>
      <c r="AP33" s="1468"/>
      <c r="AQ33" s="1468"/>
      <c r="AR33" s="1468"/>
      <c r="AS33" s="1468"/>
      <c r="AT33" s="1468"/>
      <c r="AU33" s="1468"/>
      <c r="AV33" s="1468"/>
      <c r="AW33" s="1468"/>
      <c r="AX33" s="1468"/>
      <c r="AY33" s="1468"/>
      <c r="AZ33" s="1468"/>
      <c r="BA33" s="1468"/>
      <c r="BB33" s="1468"/>
      <c r="BC33" s="1468"/>
      <c r="BD33" s="1468"/>
      <c r="BE33" s="1468"/>
      <c r="BF33" s="1468"/>
      <c r="BG33" s="1468"/>
      <c r="BH33" s="1468"/>
      <c r="BI33" s="1468"/>
      <c r="BJ33" s="1468"/>
      <c r="BK33" s="1468"/>
      <c r="BL33" s="1468"/>
      <c r="BM33" s="1468"/>
      <c r="BN33" s="1468"/>
      <c r="BO33" s="1468"/>
      <c r="BP33" s="1468"/>
      <c r="BQ33" s="1468"/>
      <c r="BR33" s="1468"/>
      <c r="BS33" s="1468"/>
      <c r="BT33" s="1468"/>
    </row>
    <row r="34" spans="1:103" ht="16" thickBot="1">
      <c r="A34" s="3074"/>
      <c r="B34" s="1698" t="s">
        <v>847</v>
      </c>
      <c r="C34" s="1371"/>
      <c r="D34" s="1708">
        <f>D12+D21+D27</f>
        <v>0</v>
      </c>
      <c r="E34" s="1708">
        <f t="shared" ref="E34:U34" si="35">E12+E21+E27</f>
        <v>0</v>
      </c>
      <c r="F34" s="1708">
        <f t="shared" si="35"/>
        <v>0</v>
      </c>
      <c r="G34" s="1708">
        <f t="shared" si="35"/>
        <v>0</v>
      </c>
      <c r="H34" s="1708">
        <f t="shared" si="35"/>
        <v>0</v>
      </c>
      <c r="I34" s="1708">
        <f t="shared" si="35"/>
        <v>0</v>
      </c>
      <c r="J34" s="1708">
        <f t="shared" si="35"/>
        <v>0</v>
      </c>
      <c r="K34" s="1708">
        <f t="shared" si="35"/>
        <v>0</v>
      </c>
      <c r="L34" s="1708">
        <f t="shared" si="35"/>
        <v>0</v>
      </c>
      <c r="M34" s="1708">
        <f t="shared" si="35"/>
        <v>0</v>
      </c>
      <c r="N34" s="1708">
        <f t="shared" si="35"/>
        <v>0</v>
      </c>
      <c r="O34" s="1577">
        <f t="shared" si="35"/>
        <v>0</v>
      </c>
      <c r="P34" s="942">
        <f t="shared" si="35"/>
        <v>0</v>
      </c>
      <c r="Q34" s="939">
        <f t="shared" si="35"/>
        <v>0</v>
      </c>
      <c r="R34" s="1577">
        <f t="shared" si="35"/>
        <v>0</v>
      </c>
      <c r="S34" s="1577">
        <f t="shared" si="35"/>
        <v>0</v>
      </c>
      <c r="T34" s="1577">
        <f t="shared" si="35"/>
        <v>0</v>
      </c>
      <c r="U34" s="1577">
        <f t="shared" si="35"/>
        <v>0</v>
      </c>
      <c r="V34" s="1468"/>
      <c r="W34" s="1468"/>
      <c r="X34" s="1468"/>
      <c r="Y34" s="1468"/>
      <c r="Z34" s="1468"/>
      <c r="AA34" s="1468"/>
      <c r="AB34" s="1468"/>
      <c r="AC34" s="1468"/>
      <c r="AD34" s="1468"/>
      <c r="AE34" s="1468"/>
      <c r="AF34" s="1468"/>
      <c r="AG34" s="1468"/>
      <c r="AH34" s="1468"/>
      <c r="AI34" s="1468"/>
      <c r="AJ34" s="1468"/>
      <c r="AK34" s="1468"/>
      <c r="AL34" s="1468"/>
      <c r="AM34" s="1468"/>
      <c r="AN34" s="1468"/>
      <c r="AO34" s="1468"/>
      <c r="AP34" s="1468"/>
      <c r="AQ34" s="1468"/>
      <c r="AR34" s="1468"/>
      <c r="AS34" s="1468"/>
      <c r="AT34" s="1468"/>
      <c r="AU34" s="1468"/>
      <c r="AV34" s="1468"/>
      <c r="AW34" s="1468"/>
      <c r="AX34" s="1468"/>
      <c r="AY34" s="1468"/>
      <c r="AZ34" s="1468"/>
      <c r="BA34" s="1468"/>
      <c r="BB34" s="1468"/>
      <c r="BC34" s="1468"/>
      <c r="BD34" s="1468"/>
      <c r="BE34" s="1468"/>
      <c r="BF34" s="1468"/>
      <c r="BG34" s="1468"/>
      <c r="BH34" s="1468"/>
      <c r="BI34" s="1468"/>
      <c r="BJ34" s="1468"/>
      <c r="BK34" s="1468"/>
      <c r="BL34" s="1468"/>
      <c r="BM34" s="1468"/>
      <c r="BN34" s="1468"/>
      <c r="BO34" s="1468"/>
      <c r="BP34" s="1468"/>
      <c r="BQ34" s="1468"/>
      <c r="BR34" s="1468"/>
      <c r="BS34" s="1468"/>
      <c r="BT34" s="1468"/>
    </row>
    <row r="35" spans="1:103" ht="16" thickBot="1">
      <c r="A35" s="3074"/>
      <c r="B35" s="1700" t="s">
        <v>42</v>
      </c>
      <c r="C35" s="1109"/>
      <c r="D35" s="1703">
        <f>D34-D33</f>
        <v>0</v>
      </c>
      <c r="E35" s="1703">
        <f t="shared" ref="E35:U35" si="36">E34-E33</f>
        <v>0</v>
      </c>
      <c r="F35" s="1703">
        <f t="shared" si="36"/>
        <v>0</v>
      </c>
      <c r="G35" s="1703">
        <f t="shared" si="36"/>
        <v>0</v>
      </c>
      <c r="H35" s="1703">
        <f t="shared" si="36"/>
        <v>0</v>
      </c>
      <c r="I35" s="1703">
        <f t="shared" si="36"/>
        <v>0</v>
      </c>
      <c r="J35" s="1703">
        <f t="shared" si="36"/>
        <v>0</v>
      </c>
      <c r="K35" s="1703">
        <f t="shared" si="36"/>
        <v>0</v>
      </c>
      <c r="L35" s="1703">
        <f t="shared" si="36"/>
        <v>0</v>
      </c>
      <c r="M35" s="1703">
        <f t="shared" si="36"/>
        <v>0</v>
      </c>
      <c r="N35" s="1703">
        <f t="shared" si="36"/>
        <v>0</v>
      </c>
      <c r="O35" s="1710">
        <f t="shared" si="36"/>
        <v>0</v>
      </c>
      <c r="P35" s="1703">
        <f t="shared" si="36"/>
        <v>0</v>
      </c>
      <c r="Q35" s="1702">
        <f t="shared" si="36"/>
        <v>0</v>
      </c>
      <c r="R35" s="1710">
        <f t="shared" si="36"/>
        <v>0</v>
      </c>
      <c r="S35" s="1710">
        <f t="shared" si="36"/>
        <v>0</v>
      </c>
      <c r="T35" s="1710">
        <f t="shared" si="36"/>
        <v>0</v>
      </c>
      <c r="U35" s="1710">
        <f t="shared" si="36"/>
        <v>0</v>
      </c>
      <c r="V35" s="1468"/>
      <c r="W35" s="1468"/>
      <c r="X35" s="1468"/>
      <c r="Y35" s="1468"/>
      <c r="Z35" s="1468"/>
      <c r="AA35" s="1468"/>
      <c r="AB35" s="1468"/>
      <c r="AC35" s="1468"/>
      <c r="AD35" s="1468"/>
      <c r="AE35" s="1468"/>
      <c r="AF35" s="1468"/>
      <c r="AG35" s="1468"/>
      <c r="AH35" s="1468"/>
      <c r="AI35" s="1468"/>
      <c r="AJ35" s="1468"/>
      <c r="AK35" s="1468"/>
      <c r="AL35" s="1468"/>
      <c r="AM35" s="1468"/>
      <c r="AN35" s="1468"/>
      <c r="AO35" s="1468"/>
      <c r="AP35" s="1468"/>
      <c r="AQ35" s="1468"/>
      <c r="AR35" s="1468"/>
      <c r="AS35" s="1468"/>
      <c r="AT35" s="1468"/>
      <c r="AU35" s="1468"/>
      <c r="AV35" s="1468"/>
      <c r="AW35" s="1468"/>
      <c r="AX35" s="1468"/>
      <c r="AY35" s="1468"/>
      <c r="AZ35" s="1468"/>
      <c r="BA35" s="1468"/>
      <c r="BB35" s="1468"/>
      <c r="BC35" s="1468"/>
      <c r="BD35" s="1468"/>
      <c r="BE35" s="1468"/>
      <c r="BF35" s="1468"/>
      <c r="BG35" s="1468"/>
      <c r="BH35" s="1468"/>
      <c r="BI35" s="1468"/>
      <c r="BJ35" s="1468"/>
      <c r="BK35" s="1468"/>
      <c r="BL35" s="1468"/>
      <c r="BM35" s="1468"/>
      <c r="BN35" s="1468"/>
      <c r="BO35" s="1468"/>
      <c r="BP35" s="1468"/>
      <c r="BQ35" s="1468"/>
      <c r="BR35" s="1468"/>
      <c r="BS35" s="1468"/>
      <c r="BT35" s="1468"/>
    </row>
    <row r="36" spans="1:103">
      <c r="A36" s="3074"/>
      <c r="B36" s="1063" t="s">
        <v>848</v>
      </c>
      <c r="C36" s="1705"/>
      <c r="D36" s="1706">
        <f>D30+D33</f>
        <v>1244.4166666666665</v>
      </c>
      <c r="E36" s="1706">
        <f t="shared" ref="E36:U36" si="37">E30+E33</f>
        <v>175.41666666666666</v>
      </c>
      <c r="F36" s="1706">
        <f t="shared" si="37"/>
        <v>175.41666666666666</v>
      </c>
      <c r="G36" s="1706">
        <f t="shared" si="37"/>
        <v>175.41666666666666</v>
      </c>
      <c r="H36" s="1706">
        <f t="shared" si="37"/>
        <v>175.41666666666666</v>
      </c>
      <c r="I36" s="1706">
        <f t="shared" si="37"/>
        <v>175.41666666666666</v>
      </c>
      <c r="J36" s="1706">
        <f t="shared" si="37"/>
        <v>175.41666666666666</v>
      </c>
      <c r="K36" s="1706">
        <f t="shared" si="37"/>
        <v>175.41666666666666</v>
      </c>
      <c r="L36" s="1706">
        <f t="shared" si="37"/>
        <v>175.41666666666666</v>
      </c>
      <c r="M36" s="1706">
        <f t="shared" si="37"/>
        <v>175.41666666666666</v>
      </c>
      <c r="N36" s="1706">
        <f t="shared" si="37"/>
        <v>175.41666666666666</v>
      </c>
      <c r="O36" s="1709">
        <f t="shared" si="37"/>
        <v>175.41666666666666</v>
      </c>
      <c r="P36" s="120">
        <f t="shared" si="37"/>
        <v>1244.4166666666665</v>
      </c>
      <c r="Q36" s="1707">
        <f t="shared" si="37"/>
        <v>3173.9999999999991</v>
      </c>
      <c r="R36" s="1709">
        <f t="shared" si="37"/>
        <v>661</v>
      </c>
      <c r="S36" s="1709">
        <f t="shared" si="37"/>
        <v>2513</v>
      </c>
      <c r="T36" s="1709">
        <f t="shared" si="37"/>
        <v>0</v>
      </c>
      <c r="U36" s="1709">
        <f t="shared" si="37"/>
        <v>2513</v>
      </c>
      <c r="V36" s="1468"/>
      <c r="W36" s="1468"/>
      <c r="X36" s="1468"/>
      <c r="Y36" s="1468"/>
      <c r="Z36" s="1468"/>
      <c r="AA36" s="1468"/>
      <c r="AB36" s="1468"/>
      <c r="AC36" s="1468"/>
      <c r="AD36" s="1468"/>
      <c r="AE36" s="1468"/>
      <c r="AF36" s="1468"/>
      <c r="AG36" s="1468"/>
      <c r="AH36" s="1468"/>
      <c r="AI36" s="1468"/>
      <c r="AJ36" s="1468"/>
      <c r="AK36" s="1468"/>
      <c r="AL36" s="1468"/>
      <c r="AM36" s="1468"/>
      <c r="AN36" s="1468"/>
      <c r="AO36" s="1468"/>
      <c r="AP36" s="1468"/>
      <c r="AQ36" s="1468"/>
      <c r="AR36" s="1468"/>
      <c r="AS36" s="1468"/>
      <c r="AT36" s="1468"/>
      <c r="AU36" s="1468"/>
      <c r="AV36" s="1468"/>
      <c r="AW36" s="1468"/>
      <c r="AX36" s="1468"/>
      <c r="AY36" s="1468"/>
      <c r="AZ36" s="1468"/>
      <c r="BA36" s="1468"/>
      <c r="BB36" s="1468"/>
      <c r="BC36" s="1468"/>
      <c r="BD36" s="1468"/>
      <c r="BE36" s="1468"/>
      <c r="BF36" s="1468"/>
      <c r="BG36" s="1468"/>
      <c r="BH36" s="1468"/>
      <c r="BI36" s="1468"/>
      <c r="BJ36" s="1468"/>
      <c r="BK36" s="1468"/>
      <c r="BL36" s="1468"/>
      <c r="BM36" s="1468"/>
      <c r="BN36" s="1468"/>
      <c r="BO36" s="1468"/>
      <c r="BP36" s="1468"/>
      <c r="BQ36" s="1468"/>
      <c r="BR36" s="1468"/>
      <c r="BS36" s="1468"/>
      <c r="BT36" s="1468"/>
    </row>
    <row r="37" spans="1:103" ht="16" thickBot="1">
      <c r="A37" s="3074"/>
      <c r="B37" s="1698" t="s">
        <v>849</v>
      </c>
      <c r="C37" s="1371"/>
      <c r="D37" s="1708">
        <f>D31+D34</f>
        <v>1244.4166666666665</v>
      </c>
      <c r="E37" s="1708">
        <f t="shared" ref="E37:U37" si="38">E31+E34</f>
        <v>175.41666666666666</v>
      </c>
      <c r="F37" s="1708">
        <f t="shared" si="38"/>
        <v>175.41666666666666</v>
      </c>
      <c r="G37" s="1708">
        <f t="shared" si="38"/>
        <v>175.41666666666666</v>
      </c>
      <c r="H37" s="1708">
        <f t="shared" si="38"/>
        <v>175.41666666666666</v>
      </c>
      <c r="I37" s="1708">
        <f t="shared" si="38"/>
        <v>175.41666666666666</v>
      </c>
      <c r="J37" s="1708">
        <f t="shared" si="38"/>
        <v>175.41666666666666</v>
      </c>
      <c r="K37" s="1708">
        <f t="shared" si="38"/>
        <v>175.41666666666666</v>
      </c>
      <c r="L37" s="1708">
        <f t="shared" si="38"/>
        <v>175.41666666666666</v>
      </c>
      <c r="M37" s="1708">
        <f t="shared" si="38"/>
        <v>175.41666666666666</v>
      </c>
      <c r="N37" s="1708">
        <f t="shared" si="38"/>
        <v>175.41666666666666</v>
      </c>
      <c r="O37" s="1577">
        <f t="shared" si="38"/>
        <v>175.41666666666666</v>
      </c>
      <c r="P37" s="942">
        <f t="shared" si="38"/>
        <v>1244.4166666666665</v>
      </c>
      <c r="Q37" s="939">
        <f t="shared" si="38"/>
        <v>3173.9999999999991</v>
      </c>
      <c r="R37" s="1577">
        <f t="shared" si="38"/>
        <v>661</v>
      </c>
      <c r="S37" s="1577">
        <f t="shared" si="38"/>
        <v>2513</v>
      </c>
      <c r="T37" s="1577">
        <f t="shared" si="38"/>
        <v>0</v>
      </c>
      <c r="U37" s="1577">
        <f t="shared" si="38"/>
        <v>2513</v>
      </c>
      <c r="V37" s="1468"/>
      <c r="W37" s="1468"/>
      <c r="X37" s="1468"/>
      <c r="Y37" s="1468"/>
      <c r="Z37" s="1468"/>
      <c r="AA37" s="1468"/>
      <c r="AB37" s="1468"/>
      <c r="AC37" s="1468"/>
      <c r="AD37" s="1468"/>
      <c r="AE37" s="1468"/>
      <c r="AF37" s="1468"/>
      <c r="AG37" s="1468"/>
      <c r="AH37" s="1468"/>
      <c r="AI37" s="1468"/>
      <c r="AJ37" s="1468"/>
      <c r="AK37" s="1468"/>
      <c r="AL37" s="1468"/>
      <c r="AM37" s="1468"/>
      <c r="AN37" s="1468"/>
      <c r="AO37" s="1468"/>
      <c r="AP37" s="1468"/>
      <c r="AQ37" s="1468"/>
      <c r="AR37" s="1468"/>
      <c r="AS37" s="1468"/>
      <c r="AT37" s="1468"/>
      <c r="AU37" s="1468"/>
      <c r="AV37" s="1468"/>
      <c r="AW37" s="1468"/>
      <c r="AX37" s="1468"/>
      <c r="AY37" s="1468"/>
      <c r="AZ37" s="1468"/>
      <c r="BA37" s="1468"/>
      <c r="BB37" s="1468"/>
      <c r="BC37" s="1468"/>
      <c r="BD37" s="1468"/>
      <c r="BE37" s="1468"/>
      <c r="BF37" s="1468"/>
      <c r="BG37" s="1468"/>
      <c r="BH37" s="1468"/>
      <c r="BI37" s="1468"/>
      <c r="BJ37" s="1468"/>
      <c r="BK37" s="1468"/>
      <c r="BL37" s="1468"/>
      <c r="BM37" s="1468"/>
      <c r="BN37" s="1468"/>
      <c r="BO37" s="1468"/>
      <c r="BP37" s="1468"/>
      <c r="BQ37" s="1468"/>
      <c r="BR37" s="1468"/>
      <c r="BS37" s="1468"/>
      <c r="BT37" s="1468"/>
    </row>
    <row r="38" spans="1:103" ht="16" thickBot="1">
      <c r="A38" s="3075"/>
      <c r="B38" s="1700" t="s">
        <v>850</v>
      </c>
      <c r="C38" s="1109"/>
      <c r="D38" s="1703">
        <f>D37-D36</f>
        <v>0</v>
      </c>
      <c r="E38" s="1703">
        <f t="shared" ref="E38:U38" si="39">E37-E36</f>
        <v>0</v>
      </c>
      <c r="F38" s="1703">
        <f t="shared" si="39"/>
        <v>0</v>
      </c>
      <c r="G38" s="1703">
        <f t="shared" si="39"/>
        <v>0</v>
      </c>
      <c r="H38" s="1703">
        <f t="shared" si="39"/>
        <v>0</v>
      </c>
      <c r="I38" s="1703">
        <f t="shared" si="39"/>
        <v>0</v>
      </c>
      <c r="J38" s="1703">
        <f t="shared" si="39"/>
        <v>0</v>
      </c>
      <c r="K38" s="1703">
        <f t="shared" si="39"/>
        <v>0</v>
      </c>
      <c r="L38" s="1703">
        <f t="shared" si="39"/>
        <v>0</v>
      </c>
      <c r="M38" s="1703">
        <f t="shared" si="39"/>
        <v>0</v>
      </c>
      <c r="N38" s="1703">
        <f t="shared" si="39"/>
        <v>0</v>
      </c>
      <c r="O38" s="1710">
        <f t="shared" si="39"/>
        <v>0</v>
      </c>
      <c r="P38" s="1703">
        <f t="shared" si="39"/>
        <v>0</v>
      </c>
      <c r="Q38" s="1702">
        <f t="shared" si="39"/>
        <v>0</v>
      </c>
      <c r="R38" s="1710">
        <f t="shared" si="39"/>
        <v>0</v>
      </c>
      <c r="S38" s="1710">
        <f t="shared" si="39"/>
        <v>0</v>
      </c>
      <c r="T38" s="1710">
        <f t="shared" si="39"/>
        <v>0</v>
      </c>
      <c r="U38" s="1710">
        <f t="shared" si="39"/>
        <v>0</v>
      </c>
      <c r="V38" s="1468"/>
      <c r="W38" s="1468"/>
      <c r="X38" s="1468"/>
      <c r="Y38" s="1468"/>
      <c r="Z38" s="1468"/>
      <c r="AA38" s="1468"/>
      <c r="AB38" s="1468"/>
      <c r="AC38" s="1468"/>
      <c r="AD38" s="1468"/>
      <c r="AE38" s="1468"/>
      <c r="AF38" s="1468"/>
      <c r="AG38" s="1468"/>
      <c r="AH38" s="1468"/>
      <c r="AI38" s="1468"/>
      <c r="AJ38" s="1468"/>
      <c r="AK38" s="1468"/>
      <c r="AL38" s="1468"/>
      <c r="AM38" s="1468"/>
      <c r="AN38" s="1468"/>
      <c r="AO38" s="1468"/>
      <c r="AP38" s="1468"/>
      <c r="AQ38" s="1468"/>
      <c r="AR38" s="1468"/>
      <c r="AS38" s="1468"/>
      <c r="AT38" s="1468"/>
      <c r="AU38" s="1468"/>
      <c r="AV38" s="1468"/>
      <c r="AW38" s="1468"/>
      <c r="AX38" s="1468"/>
      <c r="AY38" s="1468"/>
      <c r="AZ38" s="1468"/>
      <c r="BA38" s="1468"/>
      <c r="BB38" s="1468"/>
      <c r="BC38" s="1468"/>
      <c r="BD38" s="1468"/>
      <c r="BE38" s="1468"/>
      <c r="BF38" s="1468"/>
      <c r="BG38" s="1468"/>
      <c r="BH38" s="1468"/>
      <c r="BI38" s="1468"/>
      <c r="BJ38" s="1468"/>
      <c r="BK38" s="1468"/>
      <c r="BL38" s="1468"/>
      <c r="BM38" s="1468"/>
      <c r="BN38" s="1468"/>
      <c r="BO38" s="1468"/>
      <c r="BP38" s="1468"/>
      <c r="BQ38" s="1468"/>
      <c r="BR38" s="1468"/>
      <c r="BS38" s="1468"/>
      <c r="BT38" s="1468"/>
    </row>
    <row r="39" spans="1:103">
      <c r="A39" s="1468"/>
      <c r="B39" s="1472"/>
      <c r="C39" s="1472"/>
      <c r="D39" s="1472"/>
      <c r="E39" s="1473"/>
      <c r="F39" s="1472"/>
      <c r="G39" s="1474"/>
      <c r="H39" s="1474"/>
      <c r="I39" s="1468"/>
      <c r="J39" s="1468"/>
      <c r="K39" s="1468"/>
      <c r="L39" s="1468"/>
      <c r="M39" s="1468"/>
      <c r="N39" s="1468"/>
      <c r="O39" s="1468"/>
      <c r="P39" s="1468"/>
      <c r="Q39" s="1468"/>
      <c r="R39" s="1468"/>
      <c r="S39" s="1468"/>
      <c r="T39" s="1468"/>
      <c r="U39" s="1468"/>
      <c r="V39" s="1468"/>
      <c r="W39" s="1468"/>
      <c r="X39" s="1468"/>
      <c r="Y39" s="1468"/>
      <c r="Z39" s="1468"/>
      <c r="AA39" s="1468"/>
      <c r="AB39" s="1468"/>
      <c r="AC39" s="1468"/>
      <c r="AD39" s="1468"/>
      <c r="AE39" s="1468"/>
      <c r="AF39" s="1468"/>
      <c r="AG39" s="1468"/>
      <c r="AH39" s="1468"/>
      <c r="AI39" s="1468"/>
      <c r="AJ39" s="1468"/>
      <c r="AK39" s="1468"/>
      <c r="AL39" s="1468"/>
      <c r="AM39" s="1468"/>
      <c r="AN39" s="1468"/>
      <c r="AO39" s="1468"/>
      <c r="AP39" s="1468"/>
      <c r="AQ39" s="1468"/>
      <c r="AR39" s="1468"/>
      <c r="AS39" s="1468"/>
      <c r="AT39" s="1468"/>
      <c r="AU39" s="1468"/>
      <c r="AV39" s="1468"/>
      <c r="AW39" s="1468"/>
      <c r="AX39" s="1468"/>
      <c r="AY39" s="1468"/>
      <c r="AZ39" s="1468"/>
      <c r="BA39" s="1468"/>
      <c r="BB39" s="1468"/>
      <c r="BC39" s="1468"/>
      <c r="BD39" s="1468"/>
      <c r="BE39" s="1468"/>
      <c r="BF39" s="1468"/>
      <c r="BG39" s="1468"/>
      <c r="BH39" s="1468"/>
      <c r="BI39" s="1468"/>
      <c r="BJ39" s="1468"/>
      <c r="BK39" s="1468"/>
      <c r="BL39" s="1468"/>
      <c r="BM39" s="1468"/>
      <c r="BN39" s="1468"/>
      <c r="BO39" s="1468"/>
      <c r="BP39" s="1468"/>
      <c r="BQ39" s="1468"/>
      <c r="BR39" s="1468"/>
      <c r="BS39" s="1468"/>
      <c r="BT39" s="1468"/>
      <c r="BU39" s="1468"/>
      <c r="BV39" s="1468"/>
    </row>
    <row r="40" spans="1:103">
      <c r="A40" s="1468"/>
      <c r="B40" s="1472"/>
      <c r="C40" s="1472"/>
      <c r="D40" s="1472"/>
      <c r="E40" s="1473"/>
      <c r="F40" s="1472"/>
      <c r="G40" s="1474"/>
      <c r="H40" s="1474"/>
      <c r="I40" s="1468"/>
      <c r="J40" s="1468"/>
      <c r="K40" s="1468"/>
      <c r="L40" s="1475"/>
      <c r="M40" s="1476"/>
      <c r="N40" s="1476"/>
      <c r="O40" s="1476"/>
      <c r="P40" s="1477"/>
      <c r="Q40" s="1477"/>
      <c r="R40" s="1477"/>
      <c r="S40" s="1477"/>
      <c r="T40" s="1477"/>
      <c r="U40" s="1477"/>
      <c r="V40" s="1477"/>
      <c r="W40" s="1477"/>
      <c r="X40" s="1477"/>
      <c r="Y40" s="1477"/>
      <c r="Z40" s="1477"/>
      <c r="AA40" s="1477"/>
      <c r="AB40" s="1477"/>
      <c r="AC40" s="107">
        <f t="shared" ref="AC40:AN40" si="40">IF(AC41&lt;=$AO$1,1,0)</f>
        <v>1</v>
      </c>
      <c r="AD40" s="107">
        <f t="shared" si="40"/>
        <v>0</v>
      </c>
      <c r="AE40" s="107">
        <f t="shared" si="40"/>
        <v>0</v>
      </c>
      <c r="AF40" s="107">
        <f t="shared" si="40"/>
        <v>0</v>
      </c>
      <c r="AG40" s="107">
        <f t="shared" si="40"/>
        <v>0</v>
      </c>
      <c r="AH40" s="107">
        <f t="shared" si="40"/>
        <v>0</v>
      </c>
      <c r="AI40" s="107">
        <f t="shared" si="40"/>
        <v>0</v>
      </c>
      <c r="AJ40" s="107">
        <f t="shared" si="40"/>
        <v>0</v>
      </c>
      <c r="AK40" s="107">
        <f t="shared" si="40"/>
        <v>0</v>
      </c>
      <c r="AL40" s="107">
        <f t="shared" si="40"/>
        <v>0</v>
      </c>
      <c r="AM40" s="107">
        <f t="shared" si="40"/>
        <v>0</v>
      </c>
      <c r="AN40" s="107">
        <f t="shared" si="40"/>
        <v>0</v>
      </c>
      <c r="AO40" s="1468"/>
      <c r="AP40" s="1468"/>
      <c r="AQ40" s="1468"/>
      <c r="AR40" s="1468"/>
      <c r="AS40" s="1468"/>
      <c r="AT40" s="1468"/>
      <c r="AU40" s="1468"/>
      <c r="AV40" s="1468"/>
      <c r="AW40" s="1468"/>
      <c r="AX40" s="1468"/>
      <c r="AY40" s="1468"/>
      <c r="AZ40" s="1468"/>
      <c r="BA40" s="1468"/>
      <c r="BB40" s="1468"/>
      <c r="BC40" s="1468"/>
      <c r="BD40" s="1468"/>
      <c r="BE40" s="1468"/>
      <c r="BF40" s="1468"/>
      <c r="BG40" s="1468"/>
      <c r="BH40" s="1468"/>
      <c r="BI40" s="1468"/>
      <c r="BJ40" s="1468"/>
      <c r="BK40" s="1468"/>
      <c r="BL40" s="1468"/>
      <c r="BM40" s="1468"/>
      <c r="BN40" s="1468"/>
      <c r="BO40" s="1468"/>
      <c r="BP40" s="1468"/>
      <c r="BQ40" s="1468"/>
      <c r="BR40" s="1468"/>
      <c r="BS40" s="1468"/>
      <c r="BT40" s="1468"/>
      <c r="BU40" s="1468"/>
      <c r="BV40" s="1468"/>
      <c r="CS40" s="14"/>
    </row>
    <row r="41" spans="1:103">
      <c r="A41" s="1523"/>
      <c r="B41" s="1472"/>
      <c r="C41" s="1472"/>
      <c r="D41" s="1472"/>
      <c r="E41" s="1473"/>
      <c r="F41" s="1472"/>
      <c r="G41" s="1474"/>
      <c r="H41" s="1474"/>
      <c r="I41" s="1552"/>
      <c r="J41" s="1468"/>
      <c r="K41" s="1468"/>
      <c r="L41" s="1475"/>
      <c r="M41" s="1476"/>
      <c r="N41" s="1476"/>
      <c r="O41" s="1476"/>
      <c r="P41" s="1477"/>
      <c r="Q41" s="1477"/>
      <c r="R41" s="1477"/>
      <c r="S41" s="1477"/>
      <c r="T41" s="1477"/>
      <c r="U41" s="1477"/>
      <c r="V41" s="1477"/>
      <c r="W41" s="1477"/>
      <c r="X41" s="1477"/>
      <c r="Y41" s="1477"/>
      <c r="Z41" s="1477"/>
      <c r="AA41" s="1477"/>
      <c r="AB41" s="1477"/>
      <c r="AC41" s="1546">
        <v>1</v>
      </c>
      <c r="AD41" s="1546">
        <v>2</v>
      </c>
      <c r="AE41" s="1546">
        <v>3</v>
      </c>
      <c r="AF41" s="1546">
        <v>4</v>
      </c>
      <c r="AG41" s="1546">
        <v>5</v>
      </c>
      <c r="AH41" s="1546">
        <v>6</v>
      </c>
      <c r="AI41" s="1546">
        <v>7</v>
      </c>
      <c r="AJ41" s="1546">
        <v>8</v>
      </c>
      <c r="AK41" s="1546">
        <v>9</v>
      </c>
      <c r="AL41" s="1546">
        <v>10</v>
      </c>
      <c r="AM41" s="1546">
        <v>11</v>
      </c>
      <c r="AN41" s="1546">
        <v>12</v>
      </c>
      <c r="AO41" s="1468"/>
      <c r="AP41" s="1468"/>
      <c r="AQ41" s="1468"/>
      <c r="AR41" s="1468"/>
      <c r="AS41" s="1468"/>
      <c r="AT41" s="1468"/>
      <c r="AU41" s="1468"/>
      <c r="AV41" s="1468"/>
      <c r="AW41" s="1468"/>
      <c r="AX41" s="1468"/>
      <c r="AY41" s="1468"/>
      <c r="AZ41" s="1468"/>
      <c r="BA41" s="1468"/>
      <c r="BB41" s="1468"/>
      <c r="BC41" s="1468"/>
      <c r="BD41" s="1468"/>
      <c r="BE41" s="1468"/>
      <c r="BF41" s="1468"/>
      <c r="BG41" s="3011"/>
      <c r="BH41" s="3010"/>
      <c r="BI41" s="3010"/>
      <c r="BJ41" s="3232" t="s">
        <v>1417</v>
      </c>
      <c r="BK41" s="3233"/>
      <c r="BL41" s="3233"/>
      <c r="BM41" s="3233"/>
      <c r="BN41" s="3233"/>
      <c r="BO41" s="3233"/>
      <c r="BP41" s="3233"/>
      <c r="BQ41" s="3233"/>
      <c r="BR41" s="3233"/>
      <c r="BS41" s="3233"/>
      <c r="BT41" s="3233"/>
      <c r="BU41" s="3233"/>
      <c r="BV41" s="3233"/>
      <c r="CS41" s="9"/>
    </row>
    <row r="42" spans="1:103" s="14" customFormat="1" ht="84.75" customHeight="1">
      <c r="A42" s="1478" t="s">
        <v>621</v>
      </c>
      <c r="B42" s="1479" t="s">
        <v>612</v>
      </c>
      <c r="C42" s="1479" t="s">
        <v>613</v>
      </c>
      <c r="D42" s="1479" t="s">
        <v>623</v>
      </c>
      <c r="E42" s="1479" t="s">
        <v>661</v>
      </c>
      <c r="F42" s="1480" t="s">
        <v>614</v>
      </c>
      <c r="G42" s="1481" t="s">
        <v>705</v>
      </c>
      <c r="H42" s="1481" t="s">
        <v>711</v>
      </c>
      <c r="I42" s="1481" t="s">
        <v>710</v>
      </c>
      <c r="J42" s="1481" t="s">
        <v>663</v>
      </c>
      <c r="K42" s="1481" t="s">
        <v>852</v>
      </c>
      <c r="L42" s="1481" t="s">
        <v>1100</v>
      </c>
      <c r="M42" s="1482" t="s">
        <v>615</v>
      </c>
      <c r="N42" s="1479" t="s">
        <v>616</v>
      </c>
      <c r="O42" s="1482" t="s">
        <v>824</v>
      </c>
      <c r="P42" s="1471" t="s">
        <v>617</v>
      </c>
      <c r="Q42" s="1471" t="s">
        <v>707</v>
      </c>
      <c r="R42" s="1471" t="s">
        <v>662</v>
      </c>
      <c r="S42" s="1471" t="s">
        <v>825</v>
      </c>
      <c r="T42" s="1471" t="s">
        <v>1418</v>
      </c>
      <c r="U42" s="1471" t="s">
        <v>1396</v>
      </c>
      <c r="V42" s="1520" t="s">
        <v>624</v>
      </c>
      <c r="W42" s="1520" t="s">
        <v>625</v>
      </c>
      <c r="X42" s="1520" t="s">
        <v>626</v>
      </c>
      <c r="Y42" s="1520" t="s">
        <v>627</v>
      </c>
      <c r="Z42" s="1520" t="s">
        <v>628</v>
      </c>
      <c r="AA42" s="1520" t="s">
        <v>629</v>
      </c>
      <c r="AB42" s="1520" t="s">
        <v>630</v>
      </c>
      <c r="AC42" s="1520" t="s">
        <v>631</v>
      </c>
      <c r="AD42" s="1520" t="s">
        <v>632</v>
      </c>
      <c r="AE42" s="1520" t="s">
        <v>633</v>
      </c>
      <c r="AF42" s="1520" t="s">
        <v>634</v>
      </c>
      <c r="AG42" s="1520" t="s">
        <v>635</v>
      </c>
      <c r="AH42" s="1520" t="s">
        <v>636</v>
      </c>
      <c r="AI42" s="1520" t="s">
        <v>637</v>
      </c>
      <c r="AJ42" s="1520" t="s">
        <v>638</v>
      </c>
      <c r="AK42" s="1520" t="s">
        <v>639</v>
      </c>
      <c r="AL42" s="1520" t="s">
        <v>640</v>
      </c>
      <c r="AM42" s="1520" t="s">
        <v>641</v>
      </c>
      <c r="AN42" s="1520" t="s">
        <v>642</v>
      </c>
      <c r="AO42" s="1520" t="s">
        <v>643</v>
      </c>
      <c r="AP42" s="1520" t="s">
        <v>644</v>
      </c>
      <c r="AQ42" s="1520" t="s">
        <v>645</v>
      </c>
      <c r="AR42" s="1520" t="s">
        <v>646</v>
      </c>
      <c r="AS42" s="1520" t="s">
        <v>647</v>
      </c>
      <c r="AT42" s="1520" t="s">
        <v>720</v>
      </c>
      <c r="AU42" s="1545" t="s">
        <v>664</v>
      </c>
      <c r="AV42" s="1471" t="s">
        <v>704</v>
      </c>
      <c r="AW42" s="1521" t="s">
        <v>648</v>
      </c>
      <c r="AX42" s="1521" t="s">
        <v>649</v>
      </c>
      <c r="AY42" s="1521" t="s">
        <v>650</v>
      </c>
      <c r="AZ42" s="1521" t="s">
        <v>651</v>
      </c>
      <c r="BA42" s="1521" t="s">
        <v>652</v>
      </c>
      <c r="BB42" s="1521" t="s">
        <v>653</v>
      </c>
      <c r="BC42" s="1521" t="s">
        <v>654</v>
      </c>
      <c r="BD42" s="1521" t="s">
        <v>655</v>
      </c>
      <c r="BE42" s="1521" t="s">
        <v>656</v>
      </c>
      <c r="BF42" s="1521" t="s">
        <v>657</v>
      </c>
      <c r="BG42" s="1521" t="s">
        <v>658</v>
      </c>
      <c r="BH42" s="1521" t="s">
        <v>659</v>
      </c>
      <c r="BI42" s="1471" t="s">
        <v>660</v>
      </c>
      <c r="BJ42" s="1471" t="s">
        <v>714</v>
      </c>
      <c r="BK42" s="1471" t="s">
        <v>715</v>
      </c>
      <c r="BL42" s="1471" t="s">
        <v>823</v>
      </c>
      <c r="BM42" s="1471" t="s">
        <v>817</v>
      </c>
      <c r="BN42" s="1471" t="s">
        <v>716</v>
      </c>
      <c r="BO42" s="1471" t="s">
        <v>818</v>
      </c>
      <c r="BP42" s="1471" t="s">
        <v>718</v>
      </c>
      <c r="BQ42" s="1471" t="s">
        <v>719</v>
      </c>
      <c r="BR42" s="1471" t="s">
        <v>738</v>
      </c>
      <c r="BS42" s="1471" t="s">
        <v>996</v>
      </c>
      <c r="BT42" s="1471" t="s">
        <v>851</v>
      </c>
      <c r="BU42" s="1471" t="s">
        <v>888</v>
      </c>
      <c r="BV42" s="1471" t="s">
        <v>820</v>
      </c>
      <c r="CI42"/>
      <c r="CY42" s="9"/>
    </row>
    <row r="43" spans="1:103" s="9" customFormat="1" ht="37.5">
      <c r="A43" s="1483" t="s">
        <v>621</v>
      </c>
      <c r="B43" s="1580" t="s">
        <v>1425</v>
      </c>
      <c r="C43" s="1580" t="s">
        <v>1425</v>
      </c>
      <c r="D43" s="1580" t="s">
        <v>1424</v>
      </c>
      <c r="E43" s="1581" t="s">
        <v>1434</v>
      </c>
      <c r="F43" s="1436" t="s">
        <v>618</v>
      </c>
      <c r="G43" s="1547">
        <f>AH43</f>
        <v>443.00000000000006</v>
      </c>
      <c r="H43" s="1484">
        <v>443.00000000000006</v>
      </c>
      <c r="I43" s="1547">
        <f>AV43</f>
        <v>443.00000000000006</v>
      </c>
      <c r="J43" s="1484">
        <v>443.00000000000006</v>
      </c>
      <c r="K43" s="1484"/>
      <c r="L43" s="1436" t="s">
        <v>473</v>
      </c>
      <c r="M43" s="1437">
        <v>45017</v>
      </c>
      <c r="N43" s="1437">
        <v>45017</v>
      </c>
      <c r="O43" s="3013" t="s">
        <v>619</v>
      </c>
      <c r="P43" s="1486" t="s">
        <v>609</v>
      </c>
      <c r="Q43" s="1486" t="s">
        <v>54</v>
      </c>
      <c r="R43" s="1487" t="s">
        <v>819</v>
      </c>
      <c r="S43" s="1444" t="s">
        <v>397</v>
      </c>
      <c r="T43" s="1444" t="s">
        <v>397</v>
      </c>
      <c r="U43" s="1444" t="s">
        <v>1397</v>
      </c>
      <c r="V43" s="1488">
        <f>(1126-683)/12</f>
        <v>36.916666666666664</v>
      </c>
      <c r="W43" s="1488">
        <f t="shared" ref="W43:AG48" si="41">V43</f>
        <v>36.916666666666664</v>
      </c>
      <c r="X43" s="1488">
        <f t="shared" si="41"/>
        <v>36.916666666666664</v>
      </c>
      <c r="Y43" s="1488">
        <f t="shared" si="41"/>
        <v>36.916666666666664</v>
      </c>
      <c r="Z43" s="1488">
        <f t="shared" si="41"/>
        <v>36.916666666666664</v>
      </c>
      <c r="AA43" s="1488">
        <f t="shared" si="41"/>
        <v>36.916666666666664</v>
      </c>
      <c r="AB43" s="1488">
        <f t="shared" si="41"/>
        <v>36.916666666666664</v>
      </c>
      <c r="AC43" s="1488">
        <f t="shared" si="41"/>
        <v>36.916666666666664</v>
      </c>
      <c r="AD43" s="1488">
        <f t="shared" si="41"/>
        <v>36.916666666666664</v>
      </c>
      <c r="AE43" s="1488">
        <f t="shared" si="41"/>
        <v>36.916666666666664</v>
      </c>
      <c r="AF43" s="1488">
        <f t="shared" si="41"/>
        <v>36.916666666666664</v>
      </c>
      <c r="AG43" s="1488">
        <f t="shared" si="41"/>
        <v>36.916666666666664</v>
      </c>
      <c r="AH43" s="1451">
        <f t="shared" ref="AH43:AH106" si="42">SUM(V43:AG43)</f>
        <v>443.00000000000006</v>
      </c>
      <c r="AI43" s="1488">
        <f>(1126-683)/12</f>
        <v>36.916666666666664</v>
      </c>
      <c r="AJ43" s="1488">
        <f t="shared" ref="AJ43:AJ48" si="43">AI43</f>
        <v>36.916666666666664</v>
      </c>
      <c r="AK43" s="1488">
        <f t="shared" ref="AK43:AK48" si="44">AJ43</f>
        <v>36.916666666666664</v>
      </c>
      <c r="AL43" s="1488">
        <f t="shared" ref="AL43:AL48" si="45">AK43</f>
        <v>36.916666666666664</v>
      </c>
      <c r="AM43" s="1488">
        <f t="shared" ref="AM43:AM48" si="46">AL43</f>
        <v>36.916666666666664</v>
      </c>
      <c r="AN43" s="1488">
        <f t="shared" ref="AN43:AN48" si="47">AM43</f>
        <v>36.916666666666664</v>
      </c>
      <c r="AO43" s="1488">
        <f t="shared" ref="AO43:AO48" si="48">AN43</f>
        <v>36.916666666666664</v>
      </c>
      <c r="AP43" s="1488">
        <f t="shared" ref="AP43:AP48" si="49">AO43</f>
        <v>36.916666666666664</v>
      </c>
      <c r="AQ43" s="1488">
        <f t="shared" ref="AQ43:AQ48" si="50">AP43</f>
        <v>36.916666666666664</v>
      </c>
      <c r="AR43" s="1488">
        <f t="shared" ref="AR43:AR48" si="51">AQ43</f>
        <v>36.916666666666664</v>
      </c>
      <c r="AS43" s="1488">
        <f t="shared" ref="AS43:AS48" si="52">AR43</f>
        <v>36.916666666666664</v>
      </c>
      <c r="AT43" s="1488">
        <f t="shared" ref="AT43:AT48" si="53">AS43</f>
        <v>36.916666666666664</v>
      </c>
      <c r="AU43" s="1599">
        <f t="shared" ref="AU43:AU106" si="54">SUMPRODUCT($AC$40:$AN$40,AI43:AT43)</f>
        <v>36.916666666666664</v>
      </c>
      <c r="AV43" s="1544">
        <f>SUM(AI43:AT43)</f>
        <v>443.00000000000006</v>
      </c>
      <c r="AW43" s="1452">
        <f t="shared" ref="AW43:AW106" si="55">AI43-V43</f>
        <v>0</v>
      </c>
      <c r="AX43" s="1452">
        <f t="shared" ref="AX43:AX106" si="56">AJ43-W43</f>
        <v>0</v>
      </c>
      <c r="AY43" s="1452">
        <f t="shared" ref="AY43:AY106" si="57">AK43-X43</f>
        <v>0</v>
      </c>
      <c r="AZ43" s="1452">
        <f t="shared" ref="AZ43:AZ106" si="58">AL43-Y43</f>
        <v>0</v>
      </c>
      <c r="BA43" s="1452">
        <f t="shared" ref="BA43:BA106" si="59">AM43-Z43</f>
        <v>0</v>
      </c>
      <c r="BB43" s="1452">
        <f t="shared" ref="BB43:BB106" si="60">AN43-AA43</f>
        <v>0</v>
      </c>
      <c r="BC43" s="1452">
        <f t="shared" ref="BC43:BC106" si="61">AO43-AB43</f>
        <v>0</v>
      </c>
      <c r="BD43" s="1452">
        <f t="shared" ref="BD43:BD106" si="62">AP43-AC43</f>
        <v>0</v>
      </c>
      <c r="BE43" s="1452">
        <f t="shared" ref="BE43:BE106" si="63">AQ43-AD43</f>
        <v>0</v>
      </c>
      <c r="BF43" s="1452">
        <f t="shared" ref="BF43:BF106" si="64">AR43-AE43</f>
        <v>0</v>
      </c>
      <c r="BG43" s="1452">
        <f t="shared" ref="BG43:BG106" si="65">AS43-AF43</f>
        <v>0</v>
      </c>
      <c r="BH43" s="1452">
        <f t="shared" ref="BH43:BH106" si="66">AT43-AG43</f>
        <v>0</v>
      </c>
      <c r="BI43" s="1452">
        <f>SUM(AW43:BH43)</f>
        <v>0</v>
      </c>
      <c r="BJ43" s="1452" t="str">
        <f t="shared" ref="BJ43:BJ106" si="67">IF(OR(G43&gt;0,I43&gt;0),IF(AND(B43&lt;&gt;"",C43&lt;&gt;"",D43&lt;&gt;"",E43&lt;&gt;"",F43&lt;&gt;"",L43&lt;&gt;"",M43&lt;&gt;"",N43&lt;&gt;"",O43&lt;&gt;"",P43&lt;&gt;"",Q43&lt;&gt;"",R43&lt;&gt;""),"","ERROR"),"")</f>
        <v/>
      </c>
      <c r="BK43" s="1452" t="str">
        <f t="shared" ref="BK43:BK106" si="68">IF(COUNTIF($D$43:$D$1496,D43)&gt;1,"ERROR","")</f>
        <v/>
      </c>
      <c r="BL43" s="1452" t="str">
        <f t="shared" ref="BL43:BL106" si="69">IF(AND(OR(R43=$CQ$1,R43=$CQ$3),S43=""),"ERROR","")</f>
        <v/>
      </c>
      <c r="BM43" s="1452" t="str">
        <f t="shared" ref="BM43:BM106" si="70">IF(AND(OR(R43=$CQ$2),S43&lt;&gt;""),"ERROR","")</f>
        <v/>
      </c>
      <c r="BN43" s="1452" t="str">
        <f t="shared" ref="BN43:BN106" ca="1" si="71">IF(AND(O43=$CA$2,N43&lt;TODAY()),"ERROR","")</f>
        <v/>
      </c>
      <c r="BO43" s="1452" t="str">
        <f>IF(AND(AV43&gt;0,AH43=0),"ERROR","")</f>
        <v/>
      </c>
      <c r="BP43" s="1452" t="str">
        <f t="shared" ref="BP43:BP106" si="72">IF(AND(F43=$BZ$1,G43&gt;H43),"ERROR","")</f>
        <v/>
      </c>
      <c r="BQ43" s="1452" t="str">
        <f t="shared" ref="BQ43:BQ106" si="73">IF(AND(F43=$BZ$1,I43&gt;J43),"ERROR","")</f>
        <v/>
      </c>
      <c r="BR43" s="1452" t="str">
        <f t="shared" ref="BR43:BR106" si="74">IF(AND(F43=$BZ$2,SUM(H43,J43)&gt;0),"ERROR","")</f>
        <v/>
      </c>
      <c r="BS43" s="1452" t="str">
        <f t="shared" ref="BS43:BS106" si="75">IF(AND(I43=0,J43&gt;0),"ERROR","")</f>
        <v/>
      </c>
      <c r="BT43" s="1452" t="str">
        <f t="shared" ref="BT43:BT106" si="76">IF(AND(O43=$CA$1,K43&lt;&gt;0),"ERROR","")</f>
        <v/>
      </c>
      <c r="BU43" s="1452" t="str">
        <f t="shared" ref="BU43:BU106" si="77">IF(AND(O43=$CA$2,I43-AU43-K43&lt;0),"ERROR","")</f>
        <v/>
      </c>
      <c r="BV43" s="1452" t="str">
        <f t="shared" ref="BV43:BV106" si="78">IF(S43="","",VLOOKUP(S43,$CS$1:$CT$14,2,0))</f>
        <v>Non Pay</v>
      </c>
      <c r="BW43" s="1558">
        <f ca="1">COUNTIF(BJ43:BU43,"ERROR")</f>
        <v>0</v>
      </c>
      <c r="CI43" s="14"/>
    </row>
    <row r="44" spans="1:103" s="9" customFormat="1" ht="37.5">
      <c r="A44" s="1483" t="str">
        <f t="shared" ref="A44:A107" si="79">$A$1</f>
        <v>Public Health Wales Trust</v>
      </c>
      <c r="B44" s="1580" t="s">
        <v>1425</v>
      </c>
      <c r="C44" s="1580" t="s">
        <v>1425</v>
      </c>
      <c r="D44" s="1580" t="s">
        <v>1427</v>
      </c>
      <c r="E44" s="1581" t="s">
        <v>1435</v>
      </c>
      <c r="F44" s="1436" t="s">
        <v>618</v>
      </c>
      <c r="G44" s="1547">
        <f t="shared" ref="G44:G107" si="80">AH44</f>
        <v>682.99999999999989</v>
      </c>
      <c r="H44" s="1484">
        <v>682.99999999999989</v>
      </c>
      <c r="I44" s="1547">
        <f t="shared" ref="I44:I107" si="81">AV44</f>
        <v>682.99999999999989</v>
      </c>
      <c r="J44" s="1484">
        <v>682.99999999999989</v>
      </c>
      <c r="K44" s="1484"/>
      <c r="L44" s="1436" t="s">
        <v>473</v>
      </c>
      <c r="M44" s="1437">
        <v>45017</v>
      </c>
      <c r="N44" s="1437">
        <v>45017</v>
      </c>
      <c r="O44" s="3013" t="s">
        <v>619</v>
      </c>
      <c r="P44" s="1486" t="s">
        <v>609</v>
      </c>
      <c r="Q44" s="1486" t="s">
        <v>54</v>
      </c>
      <c r="R44" s="1487" t="s">
        <v>819</v>
      </c>
      <c r="S44" s="1444" t="s">
        <v>1443</v>
      </c>
      <c r="T44" s="1444" t="s">
        <v>1442</v>
      </c>
      <c r="U44" s="1444" t="s">
        <v>1397</v>
      </c>
      <c r="V44" s="1488">
        <f>683/12</f>
        <v>56.916666666666664</v>
      </c>
      <c r="W44" s="1488">
        <f t="shared" si="41"/>
        <v>56.916666666666664</v>
      </c>
      <c r="X44" s="1488">
        <f t="shared" si="41"/>
        <v>56.916666666666664</v>
      </c>
      <c r="Y44" s="1488">
        <f t="shared" si="41"/>
        <v>56.916666666666664</v>
      </c>
      <c r="Z44" s="1488">
        <f t="shared" si="41"/>
        <v>56.916666666666664</v>
      </c>
      <c r="AA44" s="1488">
        <f t="shared" si="41"/>
        <v>56.916666666666664</v>
      </c>
      <c r="AB44" s="1488">
        <f t="shared" si="41"/>
        <v>56.916666666666664</v>
      </c>
      <c r="AC44" s="1488">
        <f t="shared" si="41"/>
        <v>56.916666666666664</v>
      </c>
      <c r="AD44" s="1488">
        <f t="shared" si="41"/>
        <v>56.916666666666664</v>
      </c>
      <c r="AE44" s="1488">
        <f t="shared" si="41"/>
        <v>56.916666666666664</v>
      </c>
      <c r="AF44" s="1488">
        <f t="shared" si="41"/>
        <v>56.916666666666664</v>
      </c>
      <c r="AG44" s="1488">
        <f t="shared" si="41"/>
        <v>56.916666666666664</v>
      </c>
      <c r="AH44" s="1451">
        <f t="shared" si="42"/>
        <v>682.99999999999989</v>
      </c>
      <c r="AI44" s="1488">
        <f>683/12</f>
        <v>56.916666666666664</v>
      </c>
      <c r="AJ44" s="1488">
        <f t="shared" si="43"/>
        <v>56.916666666666664</v>
      </c>
      <c r="AK44" s="1488">
        <f t="shared" si="44"/>
        <v>56.916666666666664</v>
      </c>
      <c r="AL44" s="1488">
        <f t="shared" si="45"/>
        <v>56.916666666666664</v>
      </c>
      <c r="AM44" s="1488">
        <f t="shared" si="46"/>
        <v>56.916666666666664</v>
      </c>
      <c r="AN44" s="1488">
        <f t="shared" si="47"/>
        <v>56.916666666666664</v>
      </c>
      <c r="AO44" s="1488">
        <f t="shared" si="48"/>
        <v>56.916666666666664</v>
      </c>
      <c r="AP44" s="1488">
        <f t="shared" si="49"/>
        <v>56.916666666666664</v>
      </c>
      <c r="AQ44" s="1488">
        <f t="shared" si="50"/>
        <v>56.916666666666664</v>
      </c>
      <c r="AR44" s="1488">
        <f t="shared" si="51"/>
        <v>56.916666666666664</v>
      </c>
      <c r="AS44" s="1488">
        <f t="shared" si="52"/>
        <v>56.916666666666664</v>
      </c>
      <c r="AT44" s="1488">
        <f t="shared" si="53"/>
        <v>56.916666666666664</v>
      </c>
      <c r="AU44" s="1599">
        <f t="shared" si="54"/>
        <v>56.916666666666664</v>
      </c>
      <c r="AV44" s="1544">
        <f t="shared" ref="AV44:AV107" si="82">SUM(AI44:AT44)</f>
        <v>682.99999999999989</v>
      </c>
      <c r="AW44" s="1452">
        <f t="shared" si="55"/>
        <v>0</v>
      </c>
      <c r="AX44" s="1452">
        <f t="shared" si="56"/>
        <v>0</v>
      </c>
      <c r="AY44" s="1452">
        <f t="shared" si="57"/>
        <v>0</v>
      </c>
      <c r="AZ44" s="1452">
        <f t="shared" si="58"/>
        <v>0</v>
      </c>
      <c r="BA44" s="1452">
        <f t="shared" si="59"/>
        <v>0</v>
      </c>
      <c r="BB44" s="1452">
        <f t="shared" si="60"/>
        <v>0</v>
      </c>
      <c r="BC44" s="1452">
        <f t="shared" si="61"/>
        <v>0</v>
      </c>
      <c r="BD44" s="1452">
        <f t="shared" si="62"/>
        <v>0</v>
      </c>
      <c r="BE44" s="1452">
        <f t="shared" si="63"/>
        <v>0</v>
      </c>
      <c r="BF44" s="1452">
        <f t="shared" si="64"/>
        <v>0</v>
      </c>
      <c r="BG44" s="1452">
        <f t="shared" si="65"/>
        <v>0</v>
      </c>
      <c r="BH44" s="1452">
        <f t="shared" si="66"/>
        <v>0</v>
      </c>
      <c r="BI44" s="1452">
        <f t="shared" ref="BI44:BI107" si="83">SUM(AW44:BH44)</f>
        <v>0</v>
      </c>
      <c r="BJ44" s="1452" t="str">
        <f t="shared" si="67"/>
        <v/>
      </c>
      <c r="BK44" s="1452" t="str">
        <f t="shared" si="68"/>
        <v/>
      </c>
      <c r="BL44" s="1452" t="str">
        <f t="shared" si="69"/>
        <v/>
      </c>
      <c r="BM44" s="1452" t="str">
        <f t="shared" si="70"/>
        <v/>
      </c>
      <c r="BN44" s="1452" t="str">
        <f t="shared" ca="1" si="71"/>
        <v/>
      </c>
      <c r="BO44" s="1452" t="str">
        <f t="shared" ref="BO44:BO107" si="84">IF(AND(AV44&gt;0,AH44=0),"ERROR","")</f>
        <v/>
      </c>
      <c r="BP44" s="1452" t="str">
        <f t="shared" si="72"/>
        <v/>
      </c>
      <c r="BQ44" s="1452" t="str">
        <f t="shared" si="73"/>
        <v/>
      </c>
      <c r="BR44" s="1452" t="str">
        <f t="shared" si="74"/>
        <v/>
      </c>
      <c r="BS44" s="1452" t="str">
        <f t="shared" si="75"/>
        <v/>
      </c>
      <c r="BT44" s="1452" t="str">
        <f t="shared" si="76"/>
        <v/>
      </c>
      <c r="BU44" s="1452" t="str">
        <f t="shared" si="77"/>
        <v/>
      </c>
      <c r="BV44" s="1452" t="str">
        <f t="shared" si="78"/>
        <v>Pay</v>
      </c>
      <c r="BW44" s="1558">
        <f ca="1">COUNTIF(BJ44:BU44,"ERROR")</f>
        <v>0</v>
      </c>
    </row>
    <row r="45" spans="1:103" s="9" customFormat="1" ht="62.5">
      <c r="A45" s="1483" t="str">
        <f t="shared" si="79"/>
        <v>Public Health Wales Trust</v>
      </c>
      <c r="B45" s="1580" t="s">
        <v>1426</v>
      </c>
      <c r="C45" s="1580" t="s">
        <v>1426</v>
      </c>
      <c r="D45" s="1580" t="s">
        <v>1428</v>
      </c>
      <c r="E45" s="1581" t="s">
        <v>1436</v>
      </c>
      <c r="F45" s="1436" t="s">
        <v>618</v>
      </c>
      <c r="G45" s="1547">
        <f t="shared" si="80"/>
        <v>258</v>
      </c>
      <c r="H45" s="1484">
        <v>258</v>
      </c>
      <c r="I45" s="1547">
        <f t="shared" si="81"/>
        <v>258</v>
      </c>
      <c r="J45" s="1484">
        <v>258</v>
      </c>
      <c r="K45" s="1484"/>
      <c r="L45" s="1436" t="s">
        <v>473</v>
      </c>
      <c r="M45" s="1437">
        <v>45017</v>
      </c>
      <c r="N45" s="1437">
        <v>45017</v>
      </c>
      <c r="O45" s="3013" t="s">
        <v>619</v>
      </c>
      <c r="P45" s="1486" t="s">
        <v>607</v>
      </c>
      <c r="Q45" s="1486" t="s">
        <v>690</v>
      </c>
      <c r="R45" s="1487" t="s">
        <v>819</v>
      </c>
      <c r="S45" s="1444" t="s">
        <v>397</v>
      </c>
      <c r="T45" s="1444" t="s">
        <v>397</v>
      </c>
      <c r="U45" s="1444" t="s">
        <v>1397</v>
      </c>
      <c r="V45" s="1488">
        <f>258/12</f>
        <v>21.5</v>
      </c>
      <c r="W45" s="1488">
        <f t="shared" si="41"/>
        <v>21.5</v>
      </c>
      <c r="X45" s="1488">
        <f t="shared" si="41"/>
        <v>21.5</v>
      </c>
      <c r="Y45" s="1488">
        <f t="shared" si="41"/>
        <v>21.5</v>
      </c>
      <c r="Z45" s="1488">
        <f t="shared" si="41"/>
        <v>21.5</v>
      </c>
      <c r="AA45" s="1488">
        <f t="shared" si="41"/>
        <v>21.5</v>
      </c>
      <c r="AB45" s="1488">
        <f t="shared" si="41"/>
        <v>21.5</v>
      </c>
      <c r="AC45" s="1488">
        <f t="shared" si="41"/>
        <v>21.5</v>
      </c>
      <c r="AD45" s="1488">
        <f t="shared" si="41"/>
        <v>21.5</v>
      </c>
      <c r="AE45" s="1488">
        <f t="shared" si="41"/>
        <v>21.5</v>
      </c>
      <c r="AF45" s="1488">
        <f t="shared" si="41"/>
        <v>21.5</v>
      </c>
      <c r="AG45" s="1488">
        <f t="shared" si="41"/>
        <v>21.5</v>
      </c>
      <c r="AH45" s="1451">
        <f t="shared" si="42"/>
        <v>258</v>
      </c>
      <c r="AI45" s="1488">
        <f>258/12</f>
        <v>21.5</v>
      </c>
      <c r="AJ45" s="1488">
        <f t="shared" si="43"/>
        <v>21.5</v>
      </c>
      <c r="AK45" s="1488">
        <f t="shared" si="44"/>
        <v>21.5</v>
      </c>
      <c r="AL45" s="1488">
        <f t="shared" si="45"/>
        <v>21.5</v>
      </c>
      <c r="AM45" s="1488">
        <f t="shared" si="46"/>
        <v>21.5</v>
      </c>
      <c r="AN45" s="1488">
        <f t="shared" si="47"/>
        <v>21.5</v>
      </c>
      <c r="AO45" s="1488">
        <f t="shared" si="48"/>
        <v>21.5</v>
      </c>
      <c r="AP45" s="1488">
        <f t="shared" si="49"/>
        <v>21.5</v>
      </c>
      <c r="AQ45" s="1488">
        <f t="shared" si="50"/>
        <v>21.5</v>
      </c>
      <c r="AR45" s="1488">
        <f t="shared" si="51"/>
        <v>21.5</v>
      </c>
      <c r="AS45" s="1488">
        <f t="shared" si="52"/>
        <v>21.5</v>
      </c>
      <c r="AT45" s="1488">
        <f t="shared" si="53"/>
        <v>21.5</v>
      </c>
      <c r="AU45" s="1599">
        <f t="shared" si="54"/>
        <v>21.5</v>
      </c>
      <c r="AV45" s="1544">
        <f t="shared" si="82"/>
        <v>258</v>
      </c>
      <c r="AW45" s="1452">
        <f t="shared" si="55"/>
        <v>0</v>
      </c>
      <c r="AX45" s="1452">
        <f t="shared" si="56"/>
        <v>0</v>
      </c>
      <c r="AY45" s="1452">
        <f t="shared" si="57"/>
        <v>0</v>
      </c>
      <c r="AZ45" s="1452">
        <f t="shared" si="58"/>
        <v>0</v>
      </c>
      <c r="BA45" s="1452">
        <f t="shared" si="59"/>
        <v>0</v>
      </c>
      <c r="BB45" s="1452">
        <f t="shared" si="60"/>
        <v>0</v>
      </c>
      <c r="BC45" s="1452">
        <f t="shared" si="61"/>
        <v>0</v>
      </c>
      <c r="BD45" s="1452">
        <f t="shared" si="62"/>
        <v>0</v>
      </c>
      <c r="BE45" s="1452">
        <f t="shared" si="63"/>
        <v>0</v>
      </c>
      <c r="BF45" s="1452">
        <f t="shared" si="64"/>
        <v>0</v>
      </c>
      <c r="BG45" s="1452">
        <f t="shared" si="65"/>
        <v>0</v>
      </c>
      <c r="BH45" s="1452">
        <f t="shared" si="66"/>
        <v>0</v>
      </c>
      <c r="BI45" s="1452">
        <f t="shared" si="83"/>
        <v>0</v>
      </c>
      <c r="BJ45" s="1452" t="str">
        <f t="shared" si="67"/>
        <v/>
      </c>
      <c r="BK45" s="1452" t="str">
        <f t="shared" si="68"/>
        <v/>
      </c>
      <c r="BL45" s="1452" t="str">
        <f t="shared" si="69"/>
        <v/>
      </c>
      <c r="BM45" s="1452" t="str">
        <f t="shared" si="70"/>
        <v/>
      </c>
      <c r="BN45" s="1452" t="str">
        <f t="shared" ca="1" si="71"/>
        <v/>
      </c>
      <c r="BO45" s="1452" t="str">
        <f t="shared" si="84"/>
        <v/>
      </c>
      <c r="BP45" s="1452" t="str">
        <f t="shared" si="72"/>
        <v/>
      </c>
      <c r="BQ45" s="1452" t="str">
        <f t="shared" si="73"/>
        <v/>
      </c>
      <c r="BR45" s="1452" t="str">
        <f t="shared" si="74"/>
        <v/>
      </c>
      <c r="BS45" s="1452" t="str">
        <f t="shared" si="75"/>
        <v/>
      </c>
      <c r="BT45" s="1452" t="str">
        <f t="shared" si="76"/>
        <v/>
      </c>
      <c r="BU45" s="1452" t="str">
        <f t="shared" si="77"/>
        <v/>
      </c>
      <c r="BV45" s="1452" t="str">
        <f t="shared" si="78"/>
        <v>Non Pay</v>
      </c>
      <c r="BW45" s="1558">
        <f t="shared" ref="BW45:BW107" ca="1" si="85">COUNTIF(BJ45:BU45,"ERROR")</f>
        <v>0</v>
      </c>
    </row>
    <row r="46" spans="1:103" s="9" customFormat="1" ht="62.5">
      <c r="A46" s="1483" t="str">
        <f t="shared" si="79"/>
        <v>Public Health Wales Trust</v>
      </c>
      <c r="B46" s="1580" t="s">
        <v>1426</v>
      </c>
      <c r="C46" s="1580" t="s">
        <v>1426</v>
      </c>
      <c r="D46" s="1580" t="s">
        <v>1429</v>
      </c>
      <c r="E46" s="1581" t="s">
        <v>1437</v>
      </c>
      <c r="F46" s="1436" t="s">
        <v>622</v>
      </c>
      <c r="G46" s="1547">
        <f t="shared" si="80"/>
        <v>480.99999999999994</v>
      </c>
      <c r="H46" s="1484"/>
      <c r="I46" s="1547">
        <f t="shared" si="81"/>
        <v>480.99999999999994</v>
      </c>
      <c r="J46" s="1484"/>
      <c r="K46" s="1484"/>
      <c r="L46" s="1436" t="s">
        <v>473</v>
      </c>
      <c r="M46" s="1437">
        <v>45017</v>
      </c>
      <c r="N46" s="1437">
        <v>45017</v>
      </c>
      <c r="O46" s="3013" t="s">
        <v>619</v>
      </c>
      <c r="P46" s="1486" t="s">
        <v>607</v>
      </c>
      <c r="Q46" s="1486" t="s">
        <v>690</v>
      </c>
      <c r="R46" s="1487" t="s">
        <v>819</v>
      </c>
      <c r="S46" s="1444" t="s">
        <v>397</v>
      </c>
      <c r="T46" s="1444" t="s">
        <v>397</v>
      </c>
      <c r="U46" s="1444" t="s">
        <v>1397</v>
      </c>
      <c r="V46" s="1488">
        <f>481/12</f>
        <v>40.083333333333336</v>
      </c>
      <c r="W46" s="1488">
        <f t="shared" si="41"/>
        <v>40.083333333333336</v>
      </c>
      <c r="X46" s="1488">
        <f t="shared" si="41"/>
        <v>40.083333333333336</v>
      </c>
      <c r="Y46" s="1488">
        <f t="shared" si="41"/>
        <v>40.083333333333336</v>
      </c>
      <c r="Z46" s="1488">
        <f t="shared" si="41"/>
        <v>40.083333333333336</v>
      </c>
      <c r="AA46" s="1488">
        <f t="shared" si="41"/>
        <v>40.083333333333336</v>
      </c>
      <c r="AB46" s="1488">
        <f t="shared" si="41"/>
        <v>40.083333333333336</v>
      </c>
      <c r="AC46" s="1488">
        <f t="shared" si="41"/>
        <v>40.083333333333336</v>
      </c>
      <c r="AD46" s="1488">
        <f t="shared" si="41"/>
        <v>40.083333333333336</v>
      </c>
      <c r="AE46" s="1488">
        <f t="shared" si="41"/>
        <v>40.083333333333336</v>
      </c>
      <c r="AF46" s="1488">
        <f t="shared" si="41"/>
        <v>40.083333333333336</v>
      </c>
      <c r="AG46" s="1488">
        <f t="shared" si="41"/>
        <v>40.083333333333336</v>
      </c>
      <c r="AH46" s="1451">
        <f t="shared" si="42"/>
        <v>480.99999999999994</v>
      </c>
      <c r="AI46" s="1488">
        <f>481/12</f>
        <v>40.083333333333336</v>
      </c>
      <c r="AJ46" s="1488">
        <f t="shared" si="43"/>
        <v>40.083333333333336</v>
      </c>
      <c r="AK46" s="1488">
        <f t="shared" si="44"/>
        <v>40.083333333333336</v>
      </c>
      <c r="AL46" s="1488">
        <f t="shared" si="45"/>
        <v>40.083333333333336</v>
      </c>
      <c r="AM46" s="1488">
        <f t="shared" si="46"/>
        <v>40.083333333333336</v>
      </c>
      <c r="AN46" s="1488">
        <f t="shared" si="47"/>
        <v>40.083333333333336</v>
      </c>
      <c r="AO46" s="1488">
        <f t="shared" si="48"/>
        <v>40.083333333333336</v>
      </c>
      <c r="AP46" s="1488">
        <f t="shared" si="49"/>
        <v>40.083333333333336</v>
      </c>
      <c r="AQ46" s="1488">
        <f t="shared" si="50"/>
        <v>40.083333333333336</v>
      </c>
      <c r="AR46" s="1488">
        <f t="shared" si="51"/>
        <v>40.083333333333336</v>
      </c>
      <c r="AS46" s="1488">
        <f t="shared" si="52"/>
        <v>40.083333333333336</v>
      </c>
      <c r="AT46" s="1488">
        <f t="shared" si="53"/>
        <v>40.083333333333336</v>
      </c>
      <c r="AU46" s="1599">
        <f t="shared" si="54"/>
        <v>40.083333333333336</v>
      </c>
      <c r="AV46" s="1544">
        <f t="shared" si="82"/>
        <v>480.99999999999994</v>
      </c>
      <c r="AW46" s="1452">
        <f t="shared" si="55"/>
        <v>0</v>
      </c>
      <c r="AX46" s="1452">
        <f t="shared" si="56"/>
        <v>0</v>
      </c>
      <c r="AY46" s="1452">
        <f t="shared" si="57"/>
        <v>0</v>
      </c>
      <c r="AZ46" s="1452">
        <f t="shared" si="58"/>
        <v>0</v>
      </c>
      <c r="BA46" s="1452">
        <f t="shared" si="59"/>
        <v>0</v>
      </c>
      <c r="BB46" s="1452">
        <f t="shared" si="60"/>
        <v>0</v>
      </c>
      <c r="BC46" s="1452">
        <f t="shared" si="61"/>
        <v>0</v>
      </c>
      <c r="BD46" s="1452">
        <f t="shared" si="62"/>
        <v>0</v>
      </c>
      <c r="BE46" s="1452">
        <f t="shared" si="63"/>
        <v>0</v>
      </c>
      <c r="BF46" s="1452">
        <f t="shared" si="64"/>
        <v>0</v>
      </c>
      <c r="BG46" s="1452">
        <f t="shared" si="65"/>
        <v>0</v>
      </c>
      <c r="BH46" s="1452">
        <f t="shared" si="66"/>
        <v>0</v>
      </c>
      <c r="BI46" s="1452">
        <f t="shared" si="83"/>
        <v>0</v>
      </c>
      <c r="BJ46" s="1452" t="str">
        <f t="shared" si="67"/>
        <v/>
      </c>
      <c r="BK46" s="1452" t="str">
        <f t="shared" si="68"/>
        <v/>
      </c>
      <c r="BL46" s="1452" t="str">
        <f t="shared" si="69"/>
        <v/>
      </c>
      <c r="BM46" s="1452" t="str">
        <f t="shared" si="70"/>
        <v/>
      </c>
      <c r="BN46" s="1452" t="str">
        <f t="shared" ca="1" si="71"/>
        <v/>
      </c>
      <c r="BO46" s="1452" t="str">
        <f t="shared" si="84"/>
        <v/>
      </c>
      <c r="BP46" s="1452" t="str">
        <f t="shared" si="72"/>
        <v/>
      </c>
      <c r="BQ46" s="1452" t="str">
        <f t="shared" si="73"/>
        <v/>
      </c>
      <c r="BR46" s="1452" t="str">
        <f t="shared" si="74"/>
        <v/>
      </c>
      <c r="BS46" s="1452" t="str">
        <f t="shared" si="75"/>
        <v/>
      </c>
      <c r="BT46" s="1452" t="str">
        <f t="shared" si="76"/>
        <v/>
      </c>
      <c r="BU46" s="1452" t="str">
        <f t="shared" si="77"/>
        <v/>
      </c>
      <c r="BV46" s="1452" t="str">
        <f t="shared" si="78"/>
        <v>Non Pay</v>
      </c>
      <c r="BW46" s="1558">
        <f t="shared" ca="1" si="85"/>
        <v>0</v>
      </c>
    </row>
    <row r="47" spans="1:103" s="9" customFormat="1" ht="62.5">
      <c r="A47" s="1483" t="str">
        <f t="shared" si="79"/>
        <v>Public Health Wales Trust</v>
      </c>
      <c r="B47" s="1580" t="s">
        <v>1426</v>
      </c>
      <c r="C47" s="1580" t="s">
        <v>1426</v>
      </c>
      <c r="D47" s="1580" t="s">
        <v>1430</v>
      </c>
      <c r="E47" s="1581" t="s">
        <v>1438</v>
      </c>
      <c r="F47" s="1436" t="s">
        <v>622</v>
      </c>
      <c r="G47" s="1547">
        <f t="shared" si="80"/>
        <v>180</v>
      </c>
      <c r="H47" s="1484"/>
      <c r="I47" s="1547">
        <f t="shared" si="81"/>
        <v>180</v>
      </c>
      <c r="J47" s="1484"/>
      <c r="K47" s="1484"/>
      <c r="L47" s="1436" t="s">
        <v>473</v>
      </c>
      <c r="M47" s="1437">
        <v>45017</v>
      </c>
      <c r="N47" s="1437">
        <v>45017</v>
      </c>
      <c r="O47" s="3013" t="s">
        <v>619</v>
      </c>
      <c r="P47" s="1486" t="s">
        <v>607</v>
      </c>
      <c r="Q47" s="1486" t="s">
        <v>690</v>
      </c>
      <c r="R47" s="1487" t="s">
        <v>819</v>
      </c>
      <c r="S47" s="1444" t="s">
        <v>397</v>
      </c>
      <c r="T47" s="1444" t="s">
        <v>397</v>
      </c>
      <c r="U47" s="1444" t="s">
        <v>1397</v>
      </c>
      <c r="V47" s="1488">
        <f>180/12</f>
        <v>15</v>
      </c>
      <c r="W47" s="1488">
        <f t="shared" si="41"/>
        <v>15</v>
      </c>
      <c r="X47" s="1488">
        <f t="shared" si="41"/>
        <v>15</v>
      </c>
      <c r="Y47" s="1488">
        <f t="shared" si="41"/>
        <v>15</v>
      </c>
      <c r="Z47" s="1488">
        <f t="shared" si="41"/>
        <v>15</v>
      </c>
      <c r="AA47" s="1488">
        <f t="shared" si="41"/>
        <v>15</v>
      </c>
      <c r="AB47" s="1488">
        <f t="shared" si="41"/>
        <v>15</v>
      </c>
      <c r="AC47" s="1488">
        <f t="shared" si="41"/>
        <v>15</v>
      </c>
      <c r="AD47" s="1488">
        <f t="shared" si="41"/>
        <v>15</v>
      </c>
      <c r="AE47" s="1488">
        <f t="shared" si="41"/>
        <v>15</v>
      </c>
      <c r="AF47" s="1488">
        <f t="shared" si="41"/>
        <v>15</v>
      </c>
      <c r="AG47" s="1488">
        <f t="shared" si="41"/>
        <v>15</v>
      </c>
      <c r="AH47" s="1451">
        <f t="shared" si="42"/>
        <v>180</v>
      </c>
      <c r="AI47" s="1488">
        <f>180/12</f>
        <v>15</v>
      </c>
      <c r="AJ47" s="1488">
        <f t="shared" si="43"/>
        <v>15</v>
      </c>
      <c r="AK47" s="1488">
        <f t="shared" si="44"/>
        <v>15</v>
      </c>
      <c r="AL47" s="1488">
        <f t="shared" si="45"/>
        <v>15</v>
      </c>
      <c r="AM47" s="1488">
        <f t="shared" si="46"/>
        <v>15</v>
      </c>
      <c r="AN47" s="1488">
        <f t="shared" si="47"/>
        <v>15</v>
      </c>
      <c r="AO47" s="1488">
        <f t="shared" si="48"/>
        <v>15</v>
      </c>
      <c r="AP47" s="1488">
        <f t="shared" si="49"/>
        <v>15</v>
      </c>
      <c r="AQ47" s="1488">
        <f t="shared" si="50"/>
        <v>15</v>
      </c>
      <c r="AR47" s="1488">
        <f t="shared" si="51"/>
        <v>15</v>
      </c>
      <c r="AS47" s="1488">
        <f t="shared" si="52"/>
        <v>15</v>
      </c>
      <c r="AT47" s="1488">
        <f t="shared" si="53"/>
        <v>15</v>
      </c>
      <c r="AU47" s="1599">
        <f t="shared" si="54"/>
        <v>15</v>
      </c>
      <c r="AV47" s="1544">
        <f t="shared" si="82"/>
        <v>180</v>
      </c>
      <c r="AW47" s="1452">
        <f t="shared" si="55"/>
        <v>0</v>
      </c>
      <c r="AX47" s="1452">
        <f t="shared" si="56"/>
        <v>0</v>
      </c>
      <c r="AY47" s="1452">
        <f t="shared" si="57"/>
        <v>0</v>
      </c>
      <c r="AZ47" s="1452">
        <f t="shared" si="58"/>
        <v>0</v>
      </c>
      <c r="BA47" s="1452">
        <f t="shared" si="59"/>
        <v>0</v>
      </c>
      <c r="BB47" s="1452">
        <f t="shared" si="60"/>
        <v>0</v>
      </c>
      <c r="BC47" s="1452">
        <f t="shared" si="61"/>
        <v>0</v>
      </c>
      <c r="BD47" s="1452">
        <f t="shared" si="62"/>
        <v>0</v>
      </c>
      <c r="BE47" s="1452">
        <f t="shared" si="63"/>
        <v>0</v>
      </c>
      <c r="BF47" s="1452">
        <f t="shared" si="64"/>
        <v>0</v>
      </c>
      <c r="BG47" s="1452">
        <f t="shared" si="65"/>
        <v>0</v>
      </c>
      <c r="BH47" s="1452">
        <f t="shared" si="66"/>
        <v>0</v>
      </c>
      <c r="BI47" s="1452">
        <f t="shared" si="83"/>
        <v>0</v>
      </c>
      <c r="BJ47" s="1452" t="str">
        <f t="shared" si="67"/>
        <v/>
      </c>
      <c r="BK47" s="1452" t="str">
        <f t="shared" si="68"/>
        <v/>
      </c>
      <c r="BL47" s="1452" t="str">
        <f t="shared" si="69"/>
        <v/>
      </c>
      <c r="BM47" s="1452" t="str">
        <f t="shared" si="70"/>
        <v/>
      </c>
      <c r="BN47" s="1452" t="str">
        <f t="shared" ca="1" si="71"/>
        <v/>
      </c>
      <c r="BO47" s="1452" t="str">
        <f t="shared" si="84"/>
        <v/>
      </c>
      <c r="BP47" s="1452" t="str">
        <f t="shared" si="72"/>
        <v/>
      </c>
      <c r="BQ47" s="1452" t="str">
        <f t="shared" si="73"/>
        <v/>
      </c>
      <c r="BR47" s="1452" t="str">
        <f t="shared" si="74"/>
        <v/>
      </c>
      <c r="BS47" s="1452" t="str">
        <f t="shared" si="75"/>
        <v/>
      </c>
      <c r="BT47" s="1452" t="str">
        <f t="shared" si="76"/>
        <v/>
      </c>
      <c r="BU47" s="1452" t="str">
        <f t="shared" si="77"/>
        <v/>
      </c>
      <c r="BV47" s="1452" t="str">
        <f t="shared" si="78"/>
        <v>Non Pay</v>
      </c>
      <c r="BW47" s="1558">
        <f t="shared" ca="1" si="85"/>
        <v>0</v>
      </c>
    </row>
    <row r="48" spans="1:103" s="9" customFormat="1" ht="62.5">
      <c r="A48" s="1483" t="str">
        <f t="shared" si="79"/>
        <v>Public Health Wales Trust</v>
      </c>
      <c r="B48" s="1580" t="s">
        <v>1426</v>
      </c>
      <c r="C48" s="1580" t="s">
        <v>1426</v>
      </c>
      <c r="D48" s="1580" t="s">
        <v>1431</v>
      </c>
      <c r="E48" s="1581" t="s">
        <v>1439</v>
      </c>
      <c r="F48" s="1436" t="s">
        <v>618</v>
      </c>
      <c r="G48" s="1547">
        <f t="shared" si="80"/>
        <v>60</v>
      </c>
      <c r="H48" s="1484">
        <v>60</v>
      </c>
      <c r="I48" s="1547">
        <f t="shared" si="81"/>
        <v>60</v>
      </c>
      <c r="J48" s="1484">
        <v>60</v>
      </c>
      <c r="K48" s="1484"/>
      <c r="L48" s="1436" t="s">
        <v>473</v>
      </c>
      <c r="M48" s="1437">
        <v>45017</v>
      </c>
      <c r="N48" s="1437">
        <v>45017</v>
      </c>
      <c r="O48" s="3013" t="s">
        <v>619</v>
      </c>
      <c r="P48" s="1486" t="s">
        <v>607</v>
      </c>
      <c r="Q48" s="1486" t="s">
        <v>690</v>
      </c>
      <c r="R48" s="1487" t="s">
        <v>819</v>
      </c>
      <c r="S48" s="1444" t="s">
        <v>397</v>
      </c>
      <c r="T48" s="1444" t="s">
        <v>397</v>
      </c>
      <c r="U48" s="1444" t="s">
        <v>1397</v>
      </c>
      <c r="V48" s="1488">
        <f>60/12</f>
        <v>5</v>
      </c>
      <c r="W48" s="1488">
        <f t="shared" si="41"/>
        <v>5</v>
      </c>
      <c r="X48" s="1488">
        <f t="shared" si="41"/>
        <v>5</v>
      </c>
      <c r="Y48" s="1488">
        <f t="shared" si="41"/>
        <v>5</v>
      </c>
      <c r="Z48" s="1488">
        <f t="shared" si="41"/>
        <v>5</v>
      </c>
      <c r="AA48" s="1488">
        <f t="shared" si="41"/>
        <v>5</v>
      </c>
      <c r="AB48" s="1488">
        <f t="shared" si="41"/>
        <v>5</v>
      </c>
      <c r="AC48" s="1488">
        <f t="shared" si="41"/>
        <v>5</v>
      </c>
      <c r="AD48" s="1488">
        <f t="shared" si="41"/>
        <v>5</v>
      </c>
      <c r="AE48" s="1488">
        <f t="shared" si="41"/>
        <v>5</v>
      </c>
      <c r="AF48" s="1488">
        <f t="shared" si="41"/>
        <v>5</v>
      </c>
      <c r="AG48" s="1488">
        <f t="shared" si="41"/>
        <v>5</v>
      </c>
      <c r="AH48" s="1451">
        <f t="shared" si="42"/>
        <v>60</v>
      </c>
      <c r="AI48" s="1488">
        <f>60/12</f>
        <v>5</v>
      </c>
      <c r="AJ48" s="1488">
        <f t="shared" si="43"/>
        <v>5</v>
      </c>
      <c r="AK48" s="1488">
        <f t="shared" si="44"/>
        <v>5</v>
      </c>
      <c r="AL48" s="1488">
        <f t="shared" si="45"/>
        <v>5</v>
      </c>
      <c r="AM48" s="1488">
        <f t="shared" si="46"/>
        <v>5</v>
      </c>
      <c r="AN48" s="1488">
        <f t="shared" si="47"/>
        <v>5</v>
      </c>
      <c r="AO48" s="1488">
        <f t="shared" si="48"/>
        <v>5</v>
      </c>
      <c r="AP48" s="1488">
        <f t="shared" si="49"/>
        <v>5</v>
      </c>
      <c r="AQ48" s="1488">
        <f t="shared" si="50"/>
        <v>5</v>
      </c>
      <c r="AR48" s="1488">
        <f t="shared" si="51"/>
        <v>5</v>
      </c>
      <c r="AS48" s="1488">
        <f t="shared" si="52"/>
        <v>5</v>
      </c>
      <c r="AT48" s="1488">
        <f t="shared" si="53"/>
        <v>5</v>
      </c>
      <c r="AU48" s="1599">
        <f t="shared" si="54"/>
        <v>5</v>
      </c>
      <c r="AV48" s="1544">
        <f t="shared" si="82"/>
        <v>60</v>
      </c>
      <c r="AW48" s="1452">
        <f t="shared" si="55"/>
        <v>0</v>
      </c>
      <c r="AX48" s="1452">
        <f t="shared" si="56"/>
        <v>0</v>
      </c>
      <c r="AY48" s="1452">
        <f t="shared" si="57"/>
        <v>0</v>
      </c>
      <c r="AZ48" s="1452">
        <f t="shared" si="58"/>
        <v>0</v>
      </c>
      <c r="BA48" s="1452">
        <f t="shared" si="59"/>
        <v>0</v>
      </c>
      <c r="BB48" s="1452">
        <f t="shared" si="60"/>
        <v>0</v>
      </c>
      <c r="BC48" s="1452">
        <f t="shared" si="61"/>
        <v>0</v>
      </c>
      <c r="BD48" s="1452">
        <f t="shared" si="62"/>
        <v>0</v>
      </c>
      <c r="BE48" s="1452">
        <f t="shared" si="63"/>
        <v>0</v>
      </c>
      <c r="BF48" s="1452">
        <f t="shared" si="64"/>
        <v>0</v>
      </c>
      <c r="BG48" s="1452">
        <f t="shared" si="65"/>
        <v>0</v>
      </c>
      <c r="BH48" s="1452">
        <f t="shared" si="66"/>
        <v>0</v>
      </c>
      <c r="BI48" s="1452">
        <f t="shared" si="83"/>
        <v>0</v>
      </c>
      <c r="BJ48" s="1452" t="str">
        <f t="shared" si="67"/>
        <v/>
      </c>
      <c r="BK48" s="1452" t="str">
        <f t="shared" si="68"/>
        <v/>
      </c>
      <c r="BL48" s="1452" t="str">
        <f t="shared" si="69"/>
        <v/>
      </c>
      <c r="BM48" s="1452" t="str">
        <f t="shared" si="70"/>
        <v/>
      </c>
      <c r="BN48" s="1452" t="str">
        <f t="shared" ca="1" si="71"/>
        <v/>
      </c>
      <c r="BO48" s="1452" t="str">
        <f t="shared" si="84"/>
        <v/>
      </c>
      <c r="BP48" s="1452" t="str">
        <f t="shared" si="72"/>
        <v/>
      </c>
      <c r="BQ48" s="1452" t="str">
        <f t="shared" si="73"/>
        <v/>
      </c>
      <c r="BR48" s="1452" t="str">
        <f t="shared" si="74"/>
        <v/>
      </c>
      <c r="BS48" s="1452" t="str">
        <f t="shared" si="75"/>
        <v/>
      </c>
      <c r="BT48" s="1452" t="str">
        <f t="shared" si="76"/>
        <v/>
      </c>
      <c r="BU48" s="1452" t="str">
        <f t="shared" si="77"/>
        <v/>
      </c>
      <c r="BV48" s="1452" t="str">
        <f t="shared" si="78"/>
        <v>Non Pay</v>
      </c>
      <c r="BW48" s="1558">
        <f t="shared" ca="1" si="85"/>
        <v>0</v>
      </c>
    </row>
    <row r="49" spans="1:75" s="9" customFormat="1" ht="62.5">
      <c r="A49" s="1483" t="str">
        <f t="shared" si="79"/>
        <v>Public Health Wales Trust</v>
      </c>
      <c r="B49" s="1580" t="s">
        <v>1426</v>
      </c>
      <c r="C49" s="1580" t="s">
        <v>1426</v>
      </c>
      <c r="D49" s="1580" t="s">
        <v>1432</v>
      </c>
      <c r="E49" s="1581" t="s">
        <v>1440</v>
      </c>
      <c r="F49" s="1436" t="s">
        <v>618</v>
      </c>
      <c r="G49" s="1547">
        <f t="shared" si="80"/>
        <v>733</v>
      </c>
      <c r="H49" s="1484">
        <v>733.00000000000011</v>
      </c>
      <c r="I49" s="1547">
        <f t="shared" si="81"/>
        <v>733</v>
      </c>
      <c r="J49" s="1484">
        <v>733.00000000000011</v>
      </c>
      <c r="K49" s="1484"/>
      <c r="L49" s="1436" t="s">
        <v>473</v>
      </c>
      <c r="M49" s="1437">
        <v>45017</v>
      </c>
      <c r="N49" s="1437">
        <v>45017</v>
      </c>
      <c r="O49" s="3013" t="s">
        <v>619</v>
      </c>
      <c r="P49" s="1486" t="s">
        <v>607</v>
      </c>
      <c r="Q49" s="1486" t="s">
        <v>690</v>
      </c>
      <c r="R49" s="1487" t="s">
        <v>819</v>
      </c>
      <c r="S49" s="1444" t="s">
        <v>1444</v>
      </c>
      <c r="T49" s="1444" t="s">
        <v>399</v>
      </c>
      <c r="U49" s="1444" t="s">
        <v>1398</v>
      </c>
      <c r="V49" s="1488">
        <v>733</v>
      </c>
      <c r="W49" s="1488"/>
      <c r="X49" s="1488"/>
      <c r="Y49" s="1488"/>
      <c r="Z49" s="1488"/>
      <c r="AA49" s="1488"/>
      <c r="AB49" s="1488"/>
      <c r="AC49" s="1488"/>
      <c r="AD49" s="1488"/>
      <c r="AE49" s="1488"/>
      <c r="AF49" s="1488"/>
      <c r="AG49" s="1488"/>
      <c r="AH49" s="1451">
        <f t="shared" si="42"/>
        <v>733</v>
      </c>
      <c r="AI49" s="1488">
        <v>733</v>
      </c>
      <c r="AJ49" s="1488"/>
      <c r="AK49" s="1488"/>
      <c r="AL49" s="1488"/>
      <c r="AM49" s="1488"/>
      <c r="AN49" s="1488"/>
      <c r="AO49" s="1488"/>
      <c r="AP49" s="1488"/>
      <c r="AQ49" s="1488"/>
      <c r="AR49" s="1488"/>
      <c r="AS49" s="1488"/>
      <c r="AT49" s="1488"/>
      <c r="AU49" s="1599">
        <f t="shared" si="54"/>
        <v>733</v>
      </c>
      <c r="AV49" s="1544">
        <f t="shared" si="82"/>
        <v>733</v>
      </c>
      <c r="AW49" s="1452">
        <f t="shared" si="55"/>
        <v>0</v>
      </c>
      <c r="AX49" s="1452">
        <f t="shared" si="56"/>
        <v>0</v>
      </c>
      <c r="AY49" s="1452">
        <f t="shared" si="57"/>
        <v>0</v>
      </c>
      <c r="AZ49" s="1452">
        <f t="shared" si="58"/>
        <v>0</v>
      </c>
      <c r="BA49" s="1452">
        <f t="shared" si="59"/>
        <v>0</v>
      </c>
      <c r="BB49" s="1452">
        <f t="shared" si="60"/>
        <v>0</v>
      </c>
      <c r="BC49" s="1452">
        <f t="shared" si="61"/>
        <v>0</v>
      </c>
      <c r="BD49" s="1452">
        <f t="shared" si="62"/>
        <v>0</v>
      </c>
      <c r="BE49" s="1452">
        <f t="shared" si="63"/>
        <v>0</v>
      </c>
      <c r="BF49" s="1452">
        <f t="shared" si="64"/>
        <v>0</v>
      </c>
      <c r="BG49" s="1452">
        <f t="shared" si="65"/>
        <v>0</v>
      </c>
      <c r="BH49" s="1452">
        <f t="shared" si="66"/>
        <v>0</v>
      </c>
      <c r="BI49" s="1452">
        <f t="shared" si="83"/>
        <v>0</v>
      </c>
      <c r="BJ49" s="1452" t="str">
        <f t="shared" si="67"/>
        <v/>
      </c>
      <c r="BK49" s="1452" t="str">
        <f t="shared" si="68"/>
        <v/>
      </c>
      <c r="BL49" s="1452" t="str">
        <f t="shared" si="69"/>
        <v/>
      </c>
      <c r="BM49" s="1452" t="str">
        <f t="shared" si="70"/>
        <v/>
      </c>
      <c r="BN49" s="1452" t="str">
        <f t="shared" ca="1" si="71"/>
        <v/>
      </c>
      <c r="BO49" s="1452" t="str">
        <f t="shared" si="84"/>
        <v/>
      </c>
      <c r="BP49" s="1452" t="str">
        <f t="shared" si="72"/>
        <v/>
      </c>
      <c r="BQ49" s="1452" t="str">
        <f t="shared" si="73"/>
        <v/>
      </c>
      <c r="BR49" s="1452" t="str">
        <f t="shared" si="74"/>
        <v/>
      </c>
      <c r="BS49" s="1452" t="str">
        <f t="shared" si="75"/>
        <v/>
      </c>
      <c r="BT49" s="1452" t="str">
        <f t="shared" si="76"/>
        <v/>
      </c>
      <c r="BU49" s="1452" t="str">
        <f t="shared" si="77"/>
        <v/>
      </c>
      <c r="BV49" s="1452" t="str">
        <f t="shared" si="78"/>
        <v>Pay</v>
      </c>
      <c r="BW49" s="1558">
        <f t="shared" ca="1" si="85"/>
        <v>0</v>
      </c>
    </row>
    <row r="50" spans="1:75" s="9" customFormat="1" ht="62.5">
      <c r="A50" s="1483" t="str">
        <f t="shared" si="79"/>
        <v>Public Health Wales Trust</v>
      </c>
      <c r="B50" s="1580" t="s">
        <v>1426</v>
      </c>
      <c r="C50" s="1580" t="s">
        <v>1426</v>
      </c>
      <c r="D50" s="1580" t="s">
        <v>1433</v>
      </c>
      <c r="E50" s="1581" t="s">
        <v>1441</v>
      </c>
      <c r="F50" s="1436" t="s">
        <v>618</v>
      </c>
      <c r="G50" s="1547">
        <f t="shared" si="80"/>
        <v>336</v>
      </c>
      <c r="H50" s="1484">
        <v>336</v>
      </c>
      <c r="I50" s="1547">
        <f t="shared" si="81"/>
        <v>336</v>
      </c>
      <c r="J50" s="1484">
        <v>336</v>
      </c>
      <c r="K50" s="1484"/>
      <c r="L50" s="1436" t="s">
        <v>473</v>
      </c>
      <c r="M50" s="1437">
        <v>45017</v>
      </c>
      <c r="N50" s="1437">
        <v>45017</v>
      </c>
      <c r="O50" s="3013" t="s">
        <v>619</v>
      </c>
      <c r="P50" s="1486" t="s">
        <v>607</v>
      </c>
      <c r="Q50" s="1486" t="s">
        <v>690</v>
      </c>
      <c r="R50" s="1487" t="s">
        <v>819</v>
      </c>
      <c r="S50" s="1444" t="s">
        <v>397</v>
      </c>
      <c r="T50" s="1444" t="s">
        <v>397</v>
      </c>
      <c r="U50" s="1444" t="s">
        <v>1398</v>
      </c>
      <c r="V50" s="1488">
        <v>336</v>
      </c>
      <c r="W50" s="1488"/>
      <c r="X50" s="1488"/>
      <c r="Y50" s="1488"/>
      <c r="Z50" s="1488"/>
      <c r="AA50" s="1488"/>
      <c r="AB50" s="1488"/>
      <c r="AC50" s="1488"/>
      <c r="AD50" s="1488"/>
      <c r="AE50" s="1488"/>
      <c r="AF50" s="1488"/>
      <c r="AG50" s="1488"/>
      <c r="AH50" s="1451">
        <f t="shared" si="42"/>
        <v>336</v>
      </c>
      <c r="AI50" s="1488">
        <v>336</v>
      </c>
      <c r="AJ50" s="1488"/>
      <c r="AK50" s="1488"/>
      <c r="AL50" s="1488"/>
      <c r="AM50" s="1488"/>
      <c r="AN50" s="1488"/>
      <c r="AO50" s="1488"/>
      <c r="AP50" s="1488"/>
      <c r="AQ50" s="1488"/>
      <c r="AR50" s="1488"/>
      <c r="AS50" s="1488"/>
      <c r="AT50" s="1488"/>
      <c r="AU50" s="1599">
        <f t="shared" si="54"/>
        <v>336</v>
      </c>
      <c r="AV50" s="1544">
        <f t="shared" si="82"/>
        <v>336</v>
      </c>
      <c r="AW50" s="1452">
        <f t="shared" si="55"/>
        <v>0</v>
      </c>
      <c r="AX50" s="1452">
        <f t="shared" si="56"/>
        <v>0</v>
      </c>
      <c r="AY50" s="1452">
        <f t="shared" si="57"/>
        <v>0</v>
      </c>
      <c r="AZ50" s="1452">
        <f t="shared" si="58"/>
        <v>0</v>
      </c>
      <c r="BA50" s="1452">
        <f t="shared" si="59"/>
        <v>0</v>
      </c>
      <c r="BB50" s="1452">
        <f t="shared" si="60"/>
        <v>0</v>
      </c>
      <c r="BC50" s="1452">
        <f t="shared" si="61"/>
        <v>0</v>
      </c>
      <c r="BD50" s="1452">
        <f t="shared" si="62"/>
        <v>0</v>
      </c>
      <c r="BE50" s="1452">
        <f t="shared" si="63"/>
        <v>0</v>
      </c>
      <c r="BF50" s="1452">
        <f t="shared" si="64"/>
        <v>0</v>
      </c>
      <c r="BG50" s="1452">
        <f t="shared" si="65"/>
        <v>0</v>
      </c>
      <c r="BH50" s="1452">
        <f t="shared" si="66"/>
        <v>0</v>
      </c>
      <c r="BI50" s="1452">
        <f t="shared" si="83"/>
        <v>0</v>
      </c>
      <c r="BJ50" s="1452" t="str">
        <f t="shared" si="67"/>
        <v/>
      </c>
      <c r="BK50" s="1452" t="str">
        <f t="shared" si="68"/>
        <v/>
      </c>
      <c r="BL50" s="1452" t="str">
        <f t="shared" si="69"/>
        <v/>
      </c>
      <c r="BM50" s="1452" t="str">
        <f t="shared" si="70"/>
        <v/>
      </c>
      <c r="BN50" s="1452" t="str">
        <f t="shared" ca="1" si="71"/>
        <v/>
      </c>
      <c r="BO50" s="1452" t="str">
        <f t="shared" si="84"/>
        <v/>
      </c>
      <c r="BP50" s="1452" t="str">
        <f t="shared" si="72"/>
        <v/>
      </c>
      <c r="BQ50" s="1452" t="str">
        <f t="shared" si="73"/>
        <v/>
      </c>
      <c r="BR50" s="1452" t="str">
        <f t="shared" si="74"/>
        <v/>
      </c>
      <c r="BS50" s="1452" t="str">
        <f t="shared" si="75"/>
        <v/>
      </c>
      <c r="BT50" s="1452" t="str">
        <f t="shared" si="76"/>
        <v/>
      </c>
      <c r="BU50" s="1452" t="str">
        <f t="shared" si="77"/>
        <v/>
      </c>
      <c r="BV50" s="1452" t="str">
        <f t="shared" si="78"/>
        <v>Non Pay</v>
      </c>
      <c r="BW50" s="1558">
        <f t="shared" ca="1" si="85"/>
        <v>0</v>
      </c>
    </row>
    <row r="51" spans="1:75" s="9" customFormat="1" ht="12.5">
      <c r="A51" s="1483" t="str">
        <f t="shared" si="79"/>
        <v>Public Health Wales Trust</v>
      </c>
      <c r="B51" s="1580"/>
      <c r="C51" s="1580"/>
      <c r="D51" s="1580"/>
      <c r="E51" s="1581"/>
      <c r="F51" s="1436"/>
      <c r="G51" s="1547">
        <f t="shared" si="80"/>
        <v>0</v>
      </c>
      <c r="H51" s="1484"/>
      <c r="I51" s="1547">
        <f t="shared" si="81"/>
        <v>0</v>
      </c>
      <c r="J51" s="1484"/>
      <c r="K51" s="1484"/>
      <c r="L51" s="1436"/>
      <c r="M51" s="1437"/>
      <c r="N51" s="1437"/>
      <c r="O51" s="1485"/>
      <c r="P51" s="1486"/>
      <c r="Q51" s="1486"/>
      <c r="R51" s="1487"/>
      <c r="S51" s="1444"/>
      <c r="T51" s="1444"/>
      <c r="U51" s="1444"/>
      <c r="V51" s="1488"/>
      <c r="W51" s="1488"/>
      <c r="X51" s="1488"/>
      <c r="Y51" s="1488"/>
      <c r="Z51" s="1488"/>
      <c r="AA51" s="1488"/>
      <c r="AB51" s="1488"/>
      <c r="AC51" s="1488"/>
      <c r="AD51" s="1488"/>
      <c r="AE51" s="1488"/>
      <c r="AF51" s="1488"/>
      <c r="AG51" s="1488"/>
      <c r="AH51" s="1451">
        <f t="shared" si="42"/>
        <v>0</v>
      </c>
      <c r="AI51" s="1488"/>
      <c r="AJ51" s="1488"/>
      <c r="AK51" s="1488"/>
      <c r="AL51" s="1488"/>
      <c r="AM51" s="1488"/>
      <c r="AN51" s="1488"/>
      <c r="AO51" s="1488"/>
      <c r="AP51" s="1488"/>
      <c r="AQ51" s="1488"/>
      <c r="AR51" s="1488"/>
      <c r="AS51" s="1488"/>
      <c r="AT51" s="1542"/>
      <c r="AU51" s="1599">
        <f t="shared" si="54"/>
        <v>0</v>
      </c>
      <c r="AV51" s="1544">
        <f t="shared" si="82"/>
        <v>0</v>
      </c>
      <c r="AW51" s="1452">
        <f t="shared" si="55"/>
        <v>0</v>
      </c>
      <c r="AX51" s="1452">
        <f t="shared" si="56"/>
        <v>0</v>
      </c>
      <c r="AY51" s="1452">
        <f t="shared" si="57"/>
        <v>0</v>
      </c>
      <c r="AZ51" s="1452">
        <f t="shared" si="58"/>
        <v>0</v>
      </c>
      <c r="BA51" s="1452">
        <f t="shared" si="59"/>
        <v>0</v>
      </c>
      <c r="BB51" s="1452">
        <f t="shared" si="60"/>
        <v>0</v>
      </c>
      <c r="BC51" s="1452">
        <f t="shared" si="61"/>
        <v>0</v>
      </c>
      <c r="BD51" s="1452">
        <f t="shared" si="62"/>
        <v>0</v>
      </c>
      <c r="BE51" s="1452">
        <f t="shared" si="63"/>
        <v>0</v>
      </c>
      <c r="BF51" s="1452">
        <f t="shared" si="64"/>
        <v>0</v>
      </c>
      <c r="BG51" s="1452">
        <f t="shared" si="65"/>
        <v>0</v>
      </c>
      <c r="BH51" s="1452">
        <f t="shared" si="66"/>
        <v>0</v>
      </c>
      <c r="BI51" s="1452">
        <f t="shared" si="83"/>
        <v>0</v>
      </c>
      <c r="BJ51" s="1452" t="str">
        <f t="shared" si="67"/>
        <v/>
      </c>
      <c r="BK51" s="1452" t="str">
        <f t="shared" si="68"/>
        <v/>
      </c>
      <c r="BL51" s="1452" t="str">
        <f t="shared" si="69"/>
        <v/>
      </c>
      <c r="BM51" s="1452" t="str">
        <f t="shared" si="70"/>
        <v/>
      </c>
      <c r="BN51" s="1452" t="str">
        <f t="shared" ca="1" si="71"/>
        <v/>
      </c>
      <c r="BO51" s="1452" t="str">
        <f t="shared" si="84"/>
        <v/>
      </c>
      <c r="BP51" s="1452" t="str">
        <f t="shared" si="72"/>
        <v/>
      </c>
      <c r="BQ51" s="1452" t="str">
        <f t="shared" si="73"/>
        <v/>
      </c>
      <c r="BR51" s="1452" t="str">
        <f t="shared" si="74"/>
        <v/>
      </c>
      <c r="BS51" s="1452" t="str">
        <f t="shared" si="75"/>
        <v/>
      </c>
      <c r="BT51" s="1452" t="str">
        <f t="shared" si="76"/>
        <v/>
      </c>
      <c r="BU51" s="1452" t="str">
        <f t="shared" si="77"/>
        <v/>
      </c>
      <c r="BV51" s="1452" t="str">
        <f t="shared" si="78"/>
        <v/>
      </c>
      <c r="BW51" s="1558">
        <f t="shared" ca="1" si="85"/>
        <v>0</v>
      </c>
    </row>
    <row r="52" spans="1:75" s="9" customFormat="1" ht="12.5">
      <c r="A52" s="1483" t="str">
        <f t="shared" si="79"/>
        <v>Public Health Wales Trust</v>
      </c>
      <c r="B52" s="1580"/>
      <c r="C52" s="1580"/>
      <c r="D52" s="1580"/>
      <c r="E52" s="1581"/>
      <c r="F52" s="1436"/>
      <c r="G52" s="1547">
        <f t="shared" si="80"/>
        <v>0</v>
      </c>
      <c r="H52" s="1484"/>
      <c r="I52" s="1547">
        <f t="shared" si="81"/>
        <v>0</v>
      </c>
      <c r="J52" s="1484"/>
      <c r="K52" s="1484"/>
      <c r="L52" s="1436"/>
      <c r="M52" s="1437"/>
      <c r="N52" s="1437"/>
      <c r="O52" s="1485"/>
      <c r="P52" s="1486"/>
      <c r="Q52" s="1486"/>
      <c r="R52" s="1487"/>
      <c r="S52" s="1444"/>
      <c r="T52" s="1444"/>
      <c r="U52" s="1444"/>
      <c r="V52" s="1488"/>
      <c r="W52" s="1488"/>
      <c r="X52" s="1488"/>
      <c r="Y52" s="1488"/>
      <c r="Z52" s="1488"/>
      <c r="AA52" s="1488"/>
      <c r="AB52" s="1488"/>
      <c r="AC52" s="1488"/>
      <c r="AD52" s="1488"/>
      <c r="AE52" s="1488"/>
      <c r="AF52" s="1488"/>
      <c r="AG52" s="1488"/>
      <c r="AH52" s="1451">
        <f t="shared" si="42"/>
        <v>0</v>
      </c>
      <c r="AI52" s="1488"/>
      <c r="AJ52" s="1488"/>
      <c r="AK52" s="1488"/>
      <c r="AL52" s="1488"/>
      <c r="AM52" s="1488"/>
      <c r="AN52" s="1488"/>
      <c r="AO52" s="1488"/>
      <c r="AP52" s="1488"/>
      <c r="AQ52" s="1488"/>
      <c r="AR52" s="1488"/>
      <c r="AS52" s="1488"/>
      <c r="AT52" s="1542"/>
      <c r="AU52" s="1599">
        <f t="shared" si="54"/>
        <v>0</v>
      </c>
      <c r="AV52" s="1544">
        <f t="shared" si="82"/>
        <v>0</v>
      </c>
      <c r="AW52" s="1452">
        <f t="shared" si="55"/>
        <v>0</v>
      </c>
      <c r="AX52" s="1452">
        <f t="shared" si="56"/>
        <v>0</v>
      </c>
      <c r="AY52" s="1452">
        <f t="shared" si="57"/>
        <v>0</v>
      </c>
      <c r="AZ52" s="1452">
        <f t="shared" si="58"/>
        <v>0</v>
      </c>
      <c r="BA52" s="1452">
        <f t="shared" si="59"/>
        <v>0</v>
      </c>
      <c r="BB52" s="1452">
        <f t="shared" si="60"/>
        <v>0</v>
      </c>
      <c r="BC52" s="1452">
        <f t="shared" si="61"/>
        <v>0</v>
      </c>
      <c r="BD52" s="1452">
        <f t="shared" si="62"/>
        <v>0</v>
      </c>
      <c r="BE52" s="1452">
        <f t="shared" si="63"/>
        <v>0</v>
      </c>
      <c r="BF52" s="1452">
        <f t="shared" si="64"/>
        <v>0</v>
      </c>
      <c r="BG52" s="1452">
        <f t="shared" si="65"/>
        <v>0</v>
      </c>
      <c r="BH52" s="1452">
        <f t="shared" si="66"/>
        <v>0</v>
      </c>
      <c r="BI52" s="1452">
        <f t="shared" si="83"/>
        <v>0</v>
      </c>
      <c r="BJ52" s="1452" t="str">
        <f t="shared" si="67"/>
        <v/>
      </c>
      <c r="BK52" s="1452" t="str">
        <f t="shared" si="68"/>
        <v/>
      </c>
      <c r="BL52" s="1452" t="str">
        <f t="shared" si="69"/>
        <v/>
      </c>
      <c r="BM52" s="1452" t="str">
        <f t="shared" si="70"/>
        <v/>
      </c>
      <c r="BN52" s="1452" t="str">
        <f t="shared" ca="1" si="71"/>
        <v/>
      </c>
      <c r="BO52" s="1452" t="str">
        <f t="shared" si="84"/>
        <v/>
      </c>
      <c r="BP52" s="1452" t="str">
        <f t="shared" si="72"/>
        <v/>
      </c>
      <c r="BQ52" s="1452" t="str">
        <f t="shared" si="73"/>
        <v/>
      </c>
      <c r="BR52" s="1452" t="str">
        <f t="shared" si="74"/>
        <v/>
      </c>
      <c r="BS52" s="1452" t="str">
        <f t="shared" si="75"/>
        <v/>
      </c>
      <c r="BT52" s="1452" t="str">
        <f t="shared" si="76"/>
        <v/>
      </c>
      <c r="BU52" s="1452" t="str">
        <f t="shared" si="77"/>
        <v/>
      </c>
      <c r="BV52" s="1452" t="str">
        <f t="shared" si="78"/>
        <v/>
      </c>
      <c r="BW52" s="1558">
        <f t="shared" ca="1" si="85"/>
        <v>0</v>
      </c>
    </row>
    <row r="53" spans="1:75" s="9" customFormat="1" ht="12.5">
      <c r="A53" s="1483" t="str">
        <f t="shared" si="79"/>
        <v>Public Health Wales Trust</v>
      </c>
      <c r="B53" s="1580"/>
      <c r="C53" s="1580"/>
      <c r="D53" s="1580"/>
      <c r="E53" s="1581"/>
      <c r="F53" s="1436"/>
      <c r="G53" s="1547">
        <f t="shared" si="80"/>
        <v>0</v>
      </c>
      <c r="H53" s="1484"/>
      <c r="I53" s="1547">
        <f t="shared" si="81"/>
        <v>0</v>
      </c>
      <c r="J53" s="1484"/>
      <c r="K53" s="1484"/>
      <c r="L53" s="1436"/>
      <c r="M53" s="1437"/>
      <c r="N53" s="1437"/>
      <c r="O53" s="1485"/>
      <c r="P53" s="1486"/>
      <c r="Q53" s="1486"/>
      <c r="R53" s="1487"/>
      <c r="S53" s="1444"/>
      <c r="T53" s="1444"/>
      <c r="U53" s="1444"/>
      <c r="V53" s="1488"/>
      <c r="W53" s="1488"/>
      <c r="X53" s="1488"/>
      <c r="Y53" s="1488"/>
      <c r="Z53" s="1488"/>
      <c r="AA53" s="1488"/>
      <c r="AB53" s="1488"/>
      <c r="AC53" s="1488"/>
      <c r="AD53" s="1488"/>
      <c r="AE53" s="1488"/>
      <c r="AF53" s="1488"/>
      <c r="AG53" s="1488"/>
      <c r="AH53" s="1451">
        <f t="shared" si="42"/>
        <v>0</v>
      </c>
      <c r="AI53" s="1488"/>
      <c r="AJ53" s="1488"/>
      <c r="AK53" s="1488"/>
      <c r="AL53" s="1488"/>
      <c r="AM53" s="1488"/>
      <c r="AN53" s="1488"/>
      <c r="AO53" s="1488"/>
      <c r="AP53" s="1488"/>
      <c r="AQ53" s="1488"/>
      <c r="AR53" s="1488"/>
      <c r="AS53" s="1488"/>
      <c r="AT53" s="1542"/>
      <c r="AU53" s="1599">
        <f t="shared" si="54"/>
        <v>0</v>
      </c>
      <c r="AV53" s="1544">
        <f t="shared" si="82"/>
        <v>0</v>
      </c>
      <c r="AW53" s="1452">
        <f t="shared" si="55"/>
        <v>0</v>
      </c>
      <c r="AX53" s="1452">
        <f t="shared" si="56"/>
        <v>0</v>
      </c>
      <c r="AY53" s="1452">
        <f t="shared" si="57"/>
        <v>0</v>
      </c>
      <c r="AZ53" s="1452">
        <f t="shared" si="58"/>
        <v>0</v>
      </c>
      <c r="BA53" s="1452">
        <f t="shared" si="59"/>
        <v>0</v>
      </c>
      <c r="BB53" s="1452">
        <f t="shared" si="60"/>
        <v>0</v>
      </c>
      <c r="BC53" s="1452">
        <f t="shared" si="61"/>
        <v>0</v>
      </c>
      <c r="BD53" s="1452">
        <f t="shared" si="62"/>
        <v>0</v>
      </c>
      <c r="BE53" s="1452">
        <f t="shared" si="63"/>
        <v>0</v>
      </c>
      <c r="BF53" s="1452">
        <f t="shared" si="64"/>
        <v>0</v>
      </c>
      <c r="BG53" s="1452">
        <f t="shared" si="65"/>
        <v>0</v>
      </c>
      <c r="BH53" s="1452">
        <f t="shared" si="66"/>
        <v>0</v>
      </c>
      <c r="BI53" s="1452">
        <f t="shared" si="83"/>
        <v>0</v>
      </c>
      <c r="BJ53" s="1452" t="str">
        <f t="shared" si="67"/>
        <v/>
      </c>
      <c r="BK53" s="1452" t="str">
        <f t="shared" si="68"/>
        <v/>
      </c>
      <c r="BL53" s="1452" t="str">
        <f t="shared" si="69"/>
        <v/>
      </c>
      <c r="BM53" s="1452" t="str">
        <f t="shared" si="70"/>
        <v/>
      </c>
      <c r="BN53" s="1452" t="str">
        <f t="shared" ca="1" si="71"/>
        <v/>
      </c>
      <c r="BO53" s="1452" t="str">
        <f t="shared" si="84"/>
        <v/>
      </c>
      <c r="BP53" s="1452" t="str">
        <f t="shared" si="72"/>
        <v/>
      </c>
      <c r="BQ53" s="1452" t="str">
        <f t="shared" si="73"/>
        <v/>
      </c>
      <c r="BR53" s="1452" t="str">
        <f t="shared" si="74"/>
        <v/>
      </c>
      <c r="BS53" s="1452" t="str">
        <f t="shared" si="75"/>
        <v/>
      </c>
      <c r="BT53" s="1452" t="str">
        <f t="shared" si="76"/>
        <v/>
      </c>
      <c r="BU53" s="1452" t="str">
        <f t="shared" si="77"/>
        <v/>
      </c>
      <c r="BV53" s="1452" t="str">
        <f t="shared" si="78"/>
        <v/>
      </c>
      <c r="BW53" s="1558">
        <f t="shared" ca="1" si="85"/>
        <v>0</v>
      </c>
    </row>
    <row r="54" spans="1:75" s="9" customFormat="1" ht="12.5">
      <c r="A54" s="1483" t="str">
        <f t="shared" si="79"/>
        <v>Public Health Wales Trust</v>
      </c>
      <c r="B54" s="1580"/>
      <c r="C54" s="1580"/>
      <c r="D54" s="1580"/>
      <c r="E54" s="1581"/>
      <c r="F54" s="1436"/>
      <c r="G54" s="1547">
        <f t="shared" si="80"/>
        <v>0</v>
      </c>
      <c r="H54" s="1484"/>
      <c r="I54" s="1547">
        <f t="shared" si="81"/>
        <v>0</v>
      </c>
      <c r="J54" s="1484"/>
      <c r="K54" s="1484"/>
      <c r="L54" s="1436"/>
      <c r="M54" s="1437"/>
      <c r="N54" s="1437"/>
      <c r="O54" s="1485"/>
      <c r="P54" s="1486"/>
      <c r="Q54" s="1486"/>
      <c r="R54" s="1487"/>
      <c r="S54" s="1444"/>
      <c r="T54" s="1444"/>
      <c r="U54" s="1444"/>
      <c r="V54" s="1488"/>
      <c r="W54" s="1488"/>
      <c r="X54" s="1488"/>
      <c r="Y54" s="1488"/>
      <c r="Z54" s="1488"/>
      <c r="AA54" s="1488"/>
      <c r="AB54" s="1488"/>
      <c r="AC54" s="1488"/>
      <c r="AD54" s="1488"/>
      <c r="AE54" s="1488"/>
      <c r="AF54" s="1488"/>
      <c r="AG54" s="1488"/>
      <c r="AH54" s="1451">
        <f t="shared" si="42"/>
        <v>0</v>
      </c>
      <c r="AI54" s="1488"/>
      <c r="AJ54" s="1488"/>
      <c r="AK54" s="1488"/>
      <c r="AL54" s="1488"/>
      <c r="AM54" s="1488"/>
      <c r="AN54" s="1488"/>
      <c r="AO54" s="1488"/>
      <c r="AP54" s="1488"/>
      <c r="AQ54" s="1488"/>
      <c r="AR54" s="1488"/>
      <c r="AS54" s="1488"/>
      <c r="AT54" s="1542"/>
      <c r="AU54" s="1599">
        <f t="shared" si="54"/>
        <v>0</v>
      </c>
      <c r="AV54" s="1544">
        <f t="shared" si="82"/>
        <v>0</v>
      </c>
      <c r="AW54" s="1452">
        <f t="shared" si="55"/>
        <v>0</v>
      </c>
      <c r="AX54" s="1452">
        <f t="shared" si="56"/>
        <v>0</v>
      </c>
      <c r="AY54" s="1452">
        <f t="shared" si="57"/>
        <v>0</v>
      </c>
      <c r="AZ54" s="1452">
        <f t="shared" si="58"/>
        <v>0</v>
      </c>
      <c r="BA54" s="1452">
        <f t="shared" si="59"/>
        <v>0</v>
      </c>
      <c r="BB54" s="1452">
        <f t="shared" si="60"/>
        <v>0</v>
      </c>
      <c r="BC54" s="1452">
        <f t="shared" si="61"/>
        <v>0</v>
      </c>
      <c r="BD54" s="1452">
        <f t="shared" si="62"/>
        <v>0</v>
      </c>
      <c r="BE54" s="1452">
        <f t="shared" si="63"/>
        <v>0</v>
      </c>
      <c r="BF54" s="1452">
        <f t="shared" si="64"/>
        <v>0</v>
      </c>
      <c r="BG54" s="1452">
        <f t="shared" si="65"/>
        <v>0</v>
      </c>
      <c r="BH54" s="1452">
        <f t="shared" si="66"/>
        <v>0</v>
      </c>
      <c r="BI54" s="1452">
        <f t="shared" si="83"/>
        <v>0</v>
      </c>
      <c r="BJ54" s="1452" t="str">
        <f t="shared" si="67"/>
        <v/>
      </c>
      <c r="BK54" s="1452" t="str">
        <f t="shared" si="68"/>
        <v/>
      </c>
      <c r="BL54" s="1452" t="str">
        <f t="shared" si="69"/>
        <v/>
      </c>
      <c r="BM54" s="1452" t="str">
        <f t="shared" si="70"/>
        <v/>
      </c>
      <c r="BN54" s="1452" t="str">
        <f t="shared" ca="1" si="71"/>
        <v/>
      </c>
      <c r="BO54" s="1452" t="str">
        <f t="shared" si="84"/>
        <v/>
      </c>
      <c r="BP54" s="1452" t="str">
        <f t="shared" si="72"/>
        <v/>
      </c>
      <c r="BQ54" s="1452" t="str">
        <f t="shared" si="73"/>
        <v/>
      </c>
      <c r="BR54" s="1452" t="str">
        <f t="shared" si="74"/>
        <v/>
      </c>
      <c r="BS54" s="1452" t="str">
        <f t="shared" si="75"/>
        <v/>
      </c>
      <c r="BT54" s="1452" t="str">
        <f t="shared" si="76"/>
        <v/>
      </c>
      <c r="BU54" s="1452" t="str">
        <f t="shared" si="77"/>
        <v/>
      </c>
      <c r="BV54" s="1452" t="str">
        <f t="shared" si="78"/>
        <v/>
      </c>
      <c r="BW54" s="1558">
        <f t="shared" ca="1" si="85"/>
        <v>0</v>
      </c>
    </row>
    <row r="55" spans="1:75" s="9" customFormat="1" ht="12.5">
      <c r="A55" s="1483" t="str">
        <f t="shared" si="79"/>
        <v>Public Health Wales Trust</v>
      </c>
      <c r="B55" s="1580"/>
      <c r="C55" s="1580"/>
      <c r="D55" s="1580"/>
      <c r="E55" s="1581"/>
      <c r="F55" s="1436"/>
      <c r="G55" s="1547">
        <f t="shared" si="80"/>
        <v>0</v>
      </c>
      <c r="H55" s="1484"/>
      <c r="I55" s="1547">
        <f t="shared" si="81"/>
        <v>0</v>
      </c>
      <c r="J55" s="1484"/>
      <c r="K55" s="1484"/>
      <c r="L55" s="1436"/>
      <c r="M55" s="1437"/>
      <c r="N55" s="1437"/>
      <c r="O55" s="1485"/>
      <c r="P55" s="1486"/>
      <c r="Q55" s="1486"/>
      <c r="R55" s="1487"/>
      <c r="S55" s="1444"/>
      <c r="T55" s="1444"/>
      <c r="U55" s="1444"/>
      <c r="V55" s="1488"/>
      <c r="W55" s="1488"/>
      <c r="X55" s="1488"/>
      <c r="Y55" s="1488"/>
      <c r="Z55" s="1488"/>
      <c r="AA55" s="1488"/>
      <c r="AB55" s="1488"/>
      <c r="AC55" s="1488"/>
      <c r="AD55" s="1488"/>
      <c r="AE55" s="1488"/>
      <c r="AF55" s="1488"/>
      <c r="AG55" s="1488"/>
      <c r="AH55" s="1451">
        <f t="shared" si="42"/>
        <v>0</v>
      </c>
      <c r="AI55" s="1488"/>
      <c r="AJ55" s="1488"/>
      <c r="AK55" s="1488"/>
      <c r="AL55" s="1488"/>
      <c r="AM55" s="1488"/>
      <c r="AN55" s="1488"/>
      <c r="AO55" s="1488"/>
      <c r="AP55" s="1488"/>
      <c r="AQ55" s="1488"/>
      <c r="AR55" s="1488"/>
      <c r="AS55" s="1488"/>
      <c r="AT55" s="1542"/>
      <c r="AU55" s="1599">
        <f t="shared" si="54"/>
        <v>0</v>
      </c>
      <c r="AV55" s="1544">
        <f t="shared" si="82"/>
        <v>0</v>
      </c>
      <c r="AW55" s="1452">
        <f t="shared" si="55"/>
        <v>0</v>
      </c>
      <c r="AX55" s="1452">
        <f t="shared" si="56"/>
        <v>0</v>
      </c>
      <c r="AY55" s="1452">
        <f t="shared" si="57"/>
        <v>0</v>
      </c>
      <c r="AZ55" s="1452">
        <f t="shared" si="58"/>
        <v>0</v>
      </c>
      <c r="BA55" s="1452">
        <f t="shared" si="59"/>
        <v>0</v>
      </c>
      <c r="BB55" s="1452">
        <f t="shared" si="60"/>
        <v>0</v>
      </c>
      <c r="BC55" s="1452">
        <f t="shared" si="61"/>
        <v>0</v>
      </c>
      <c r="BD55" s="1452">
        <f t="shared" si="62"/>
        <v>0</v>
      </c>
      <c r="BE55" s="1452">
        <f t="shared" si="63"/>
        <v>0</v>
      </c>
      <c r="BF55" s="1452">
        <f t="shared" si="64"/>
        <v>0</v>
      </c>
      <c r="BG55" s="1452">
        <f t="shared" si="65"/>
        <v>0</v>
      </c>
      <c r="BH55" s="1452">
        <f t="shared" si="66"/>
        <v>0</v>
      </c>
      <c r="BI55" s="1452">
        <f t="shared" si="83"/>
        <v>0</v>
      </c>
      <c r="BJ55" s="1452" t="str">
        <f t="shared" si="67"/>
        <v/>
      </c>
      <c r="BK55" s="1452" t="str">
        <f t="shared" si="68"/>
        <v/>
      </c>
      <c r="BL55" s="1452" t="str">
        <f t="shared" si="69"/>
        <v/>
      </c>
      <c r="BM55" s="1452" t="str">
        <f t="shared" si="70"/>
        <v/>
      </c>
      <c r="BN55" s="1452" t="str">
        <f t="shared" ca="1" si="71"/>
        <v/>
      </c>
      <c r="BO55" s="1452" t="str">
        <f t="shared" si="84"/>
        <v/>
      </c>
      <c r="BP55" s="1452" t="str">
        <f t="shared" si="72"/>
        <v/>
      </c>
      <c r="BQ55" s="1452" t="str">
        <f t="shared" si="73"/>
        <v/>
      </c>
      <c r="BR55" s="1452" t="str">
        <f t="shared" si="74"/>
        <v/>
      </c>
      <c r="BS55" s="1452" t="str">
        <f t="shared" si="75"/>
        <v/>
      </c>
      <c r="BT55" s="1452" t="str">
        <f t="shared" si="76"/>
        <v/>
      </c>
      <c r="BU55" s="1452" t="str">
        <f t="shared" si="77"/>
        <v/>
      </c>
      <c r="BV55" s="1452" t="str">
        <f t="shared" si="78"/>
        <v/>
      </c>
      <c r="BW55" s="1558">
        <f t="shared" ca="1" si="85"/>
        <v>0</v>
      </c>
    </row>
    <row r="56" spans="1:75" s="9" customFormat="1" ht="12.5">
      <c r="A56" s="1483" t="str">
        <f t="shared" si="79"/>
        <v>Public Health Wales Trust</v>
      </c>
      <c r="B56" s="1580"/>
      <c r="C56" s="1580"/>
      <c r="D56" s="1580"/>
      <c r="E56" s="1581"/>
      <c r="F56" s="1436"/>
      <c r="G56" s="1547">
        <f t="shared" si="80"/>
        <v>0</v>
      </c>
      <c r="H56" s="1484"/>
      <c r="I56" s="1547">
        <f t="shared" si="81"/>
        <v>0</v>
      </c>
      <c r="J56" s="1484"/>
      <c r="K56" s="1484"/>
      <c r="L56" s="1436"/>
      <c r="M56" s="1437"/>
      <c r="N56" s="1437"/>
      <c r="O56" s="1485"/>
      <c r="P56" s="1486"/>
      <c r="Q56" s="1486"/>
      <c r="R56" s="1487"/>
      <c r="S56" s="1444"/>
      <c r="T56" s="1444"/>
      <c r="U56" s="1444"/>
      <c r="V56" s="1488"/>
      <c r="W56" s="1488"/>
      <c r="X56" s="1488"/>
      <c r="Y56" s="1488"/>
      <c r="Z56" s="1488"/>
      <c r="AA56" s="1488"/>
      <c r="AB56" s="1488"/>
      <c r="AC56" s="1488"/>
      <c r="AD56" s="1488"/>
      <c r="AE56" s="1488"/>
      <c r="AF56" s="1488"/>
      <c r="AG56" s="1488"/>
      <c r="AH56" s="1451">
        <f t="shared" si="42"/>
        <v>0</v>
      </c>
      <c r="AI56" s="1488"/>
      <c r="AJ56" s="1488"/>
      <c r="AK56" s="1488"/>
      <c r="AL56" s="1488"/>
      <c r="AM56" s="1488"/>
      <c r="AN56" s="1488"/>
      <c r="AO56" s="1488"/>
      <c r="AP56" s="1488"/>
      <c r="AQ56" s="1488"/>
      <c r="AR56" s="1488"/>
      <c r="AS56" s="1488"/>
      <c r="AT56" s="1542"/>
      <c r="AU56" s="1599">
        <f t="shared" si="54"/>
        <v>0</v>
      </c>
      <c r="AV56" s="1544">
        <f t="shared" si="82"/>
        <v>0</v>
      </c>
      <c r="AW56" s="1452">
        <f t="shared" si="55"/>
        <v>0</v>
      </c>
      <c r="AX56" s="1452">
        <f t="shared" si="56"/>
        <v>0</v>
      </c>
      <c r="AY56" s="1452">
        <f t="shared" si="57"/>
        <v>0</v>
      </c>
      <c r="AZ56" s="1452">
        <f t="shared" si="58"/>
        <v>0</v>
      </c>
      <c r="BA56" s="1452">
        <f t="shared" si="59"/>
        <v>0</v>
      </c>
      <c r="BB56" s="1452">
        <f t="shared" si="60"/>
        <v>0</v>
      </c>
      <c r="BC56" s="1452">
        <f t="shared" si="61"/>
        <v>0</v>
      </c>
      <c r="BD56" s="1452">
        <f t="shared" si="62"/>
        <v>0</v>
      </c>
      <c r="BE56" s="1452">
        <f t="shared" si="63"/>
        <v>0</v>
      </c>
      <c r="BF56" s="1452">
        <f t="shared" si="64"/>
        <v>0</v>
      </c>
      <c r="BG56" s="1452">
        <f t="shared" si="65"/>
        <v>0</v>
      </c>
      <c r="BH56" s="1452">
        <f t="shared" si="66"/>
        <v>0</v>
      </c>
      <c r="BI56" s="1452">
        <f t="shared" si="83"/>
        <v>0</v>
      </c>
      <c r="BJ56" s="1452" t="str">
        <f t="shared" si="67"/>
        <v/>
      </c>
      <c r="BK56" s="1452" t="str">
        <f t="shared" si="68"/>
        <v/>
      </c>
      <c r="BL56" s="1452" t="str">
        <f t="shared" si="69"/>
        <v/>
      </c>
      <c r="BM56" s="1452" t="str">
        <f t="shared" si="70"/>
        <v/>
      </c>
      <c r="BN56" s="1452" t="str">
        <f t="shared" ca="1" si="71"/>
        <v/>
      </c>
      <c r="BO56" s="1452" t="str">
        <f t="shared" si="84"/>
        <v/>
      </c>
      <c r="BP56" s="1452" t="str">
        <f t="shared" si="72"/>
        <v/>
      </c>
      <c r="BQ56" s="1452" t="str">
        <f t="shared" si="73"/>
        <v/>
      </c>
      <c r="BR56" s="1452" t="str">
        <f t="shared" si="74"/>
        <v/>
      </c>
      <c r="BS56" s="1452" t="str">
        <f t="shared" si="75"/>
        <v/>
      </c>
      <c r="BT56" s="1452" t="str">
        <f t="shared" si="76"/>
        <v/>
      </c>
      <c r="BU56" s="1452" t="str">
        <f t="shared" si="77"/>
        <v/>
      </c>
      <c r="BV56" s="1452" t="str">
        <f t="shared" si="78"/>
        <v/>
      </c>
      <c r="BW56" s="1558">
        <f t="shared" ca="1" si="85"/>
        <v>0</v>
      </c>
    </row>
    <row r="57" spans="1:75" s="9" customFormat="1" ht="12.5">
      <c r="A57" s="1483" t="str">
        <f t="shared" si="79"/>
        <v>Public Health Wales Trust</v>
      </c>
      <c r="B57" s="1580"/>
      <c r="C57" s="1580"/>
      <c r="D57" s="1580"/>
      <c r="E57" s="1581"/>
      <c r="F57" s="1436"/>
      <c r="G57" s="1547">
        <f t="shared" si="80"/>
        <v>0</v>
      </c>
      <c r="H57" s="1484"/>
      <c r="I57" s="1547">
        <f t="shared" si="81"/>
        <v>0</v>
      </c>
      <c r="J57" s="1484"/>
      <c r="K57" s="1484"/>
      <c r="L57" s="1436"/>
      <c r="M57" s="1437"/>
      <c r="N57" s="1437"/>
      <c r="O57" s="1485"/>
      <c r="P57" s="1486"/>
      <c r="Q57" s="1486"/>
      <c r="R57" s="1487"/>
      <c r="S57" s="1444"/>
      <c r="T57" s="1444"/>
      <c r="U57" s="1444"/>
      <c r="V57" s="1488"/>
      <c r="W57" s="1488"/>
      <c r="X57" s="1488"/>
      <c r="Y57" s="1488"/>
      <c r="Z57" s="1488"/>
      <c r="AA57" s="1488"/>
      <c r="AB57" s="1488"/>
      <c r="AC57" s="1488"/>
      <c r="AD57" s="1488"/>
      <c r="AE57" s="1488"/>
      <c r="AF57" s="1488"/>
      <c r="AG57" s="1488"/>
      <c r="AH57" s="1451">
        <f t="shared" si="42"/>
        <v>0</v>
      </c>
      <c r="AI57" s="1488"/>
      <c r="AJ57" s="1488"/>
      <c r="AK57" s="1488"/>
      <c r="AL57" s="1488"/>
      <c r="AM57" s="1488"/>
      <c r="AN57" s="1488"/>
      <c r="AO57" s="1488"/>
      <c r="AP57" s="1488"/>
      <c r="AQ57" s="1488"/>
      <c r="AR57" s="1488"/>
      <c r="AS57" s="1488"/>
      <c r="AT57" s="1542"/>
      <c r="AU57" s="1599">
        <f t="shared" si="54"/>
        <v>0</v>
      </c>
      <c r="AV57" s="1544">
        <f t="shared" si="82"/>
        <v>0</v>
      </c>
      <c r="AW57" s="1452">
        <f t="shared" si="55"/>
        <v>0</v>
      </c>
      <c r="AX57" s="1452">
        <f t="shared" si="56"/>
        <v>0</v>
      </c>
      <c r="AY57" s="1452">
        <f t="shared" si="57"/>
        <v>0</v>
      </c>
      <c r="AZ57" s="1452">
        <f t="shared" si="58"/>
        <v>0</v>
      </c>
      <c r="BA57" s="1452">
        <f t="shared" si="59"/>
        <v>0</v>
      </c>
      <c r="BB57" s="1452">
        <f t="shared" si="60"/>
        <v>0</v>
      </c>
      <c r="BC57" s="1452">
        <f t="shared" si="61"/>
        <v>0</v>
      </c>
      <c r="BD57" s="1452">
        <f t="shared" si="62"/>
        <v>0</v>
      </c>
      <c r="BE57" s="1452">
        <f t="shared" si="63"/>
        <v>0</v>
      </c>
      <c r="BF57" s="1452">
        <f t="shared" si="64"/>
        <v>0</v>
      </c>
      <c r="BG57" s="1452">
        <f t="shared" si="65"/>
        <v>0</v>
      </c>
      <c r="BH57" s="1452">
        <f t="shared" si="66"/>
        <v>0</v>
      </c>
      <c r="BI57" s="1452">
        <f t="shared" si="83"/>
        <v>0</v>
      </c>
      <c r="BJ57" s="1452" t="str">
        <f t="shared" si="67"/>
        <v/>
      </c>
      <c r="BK57" s="1452" t="str">
        <f t="shared" si="68"/>
        <v/>
      </c>
      <c r="BL57" s="1452" t="str">
        <f t="shared" si="69"/>
        <v/>
      </c>
      <c r="BM57" s="1452" t="str">
        <f t="shared" si="70"/>
        <v/>
      </c>
      <c r="BN57" s="1452" t="str">
        <f t="shared" ca="1" si="71"/>
        <v/>
      </c>
      <c r="BO57" s="1452" t="str">
        <f t="shared" si="84"/>
        <v/>
      </c>
      <c r="BP57" s="1452" t="str">
        <f t="shared" si="72"/>
        <v/>
      </c>
      <c r="BQ57" s="1452" t="str">
        <f t="shared" si="73"/>
        <v/>
      </c>
      <c r="BR57" s="1452" t="str">
        <f t="shared" si="74"/>
        <v/>
      </c>
      <c r="BS57" s="1452" t="str">
        <f t="shared" si="75"/>
        <v/>
      </c>
      <c r="BT57" s="1452" t="str">
        <f t="shared" si="76"/>
        <v/>
      </c>
      <c r="BU57" s="1452" t="str">
        <f t="shared" si="77"/>
        <v/>
      </c>
      <c r="BV57" s="1452" t="str">
        <f t="shared" si="78"/>
        <v/>
      </c>
      <c r="BW57" s="1558">
        <f t="shared" ca="1" si="85"/>
        <v>0</v>
      </c>
    </row>
    <row r="58" spans="1:75" s="9" customFormat="1" ht="12.5">
      <c r="A58" s="1483" t="str">
        <f t="shared" si="79"/>
        <v>Public Health Wales Trust</v>
      </c>
      <c r="B58" s="1580"/>
      <c r="C58" s="1580"/>
      <c r="D58" s="1580"/>
      <c r="E58" s="1581"/>
      <c r="F58" s="1436"/>
      <c r="G58" s="1547">
        <f t="shared" si="80"/>
        <v>0</v>
      </c>
      <c r="H58" s="1484"/>
      <c r="I58" s="1547">
        <f t="shared" si="81"/>
        <v>0</v>
      </c>
      <c r="J58" s="1484"/>
      <c r="K58" s="1484"/>
      <c r="L58" s="1436"/>
      <c r="M58" s="1437"/>
      <c r="N58" s="1437"/>
      <c r="O58" s="1485"/>
      <c r="P58" s="1486"/>
      <c r="Q58" s="1486"/>
      <c r="R58" s="1487"/>
      <c r="S58" s="1444"/>
      <c r="T58" s="1444"/>
      <c r="U58" s="1444"/>
      <c r="V58" s="1488"/>
      <c r="W58" s="1488"/>
      <c r="X58" s="1488"/>
      <c r="Y58" s="1488"/>
      <c r="Z58" s="1488"/>
      <c r="AA58" s="1488"/>
      <c r="AB58" s="1488"/>
      <c r="AC58" s="1488"/>
      <c r="AD58" s="1488"/>
      <c r="AE58" s="1488"/>
      <c r="AF58" s="1488"/>
      <c r="AG58" s="1488"/>
      <c r="AH58" s="1451">
        <f t="shared" si="42"/>
        <v>0</v>
      </c>
      <c r="AI58" s="1488"/>
      <c r="AJ58" s="1488"/>
      <c r="AK58" s="1488"/>
      <c r="AL58" s="1488"/>
      <c r="AM58" s="1488"/>
      <c r="AN58" s="1488"/>
      <c r="AO58" s="1488"/>
      <c r="AP58" s="1488"/>
      <c r="AQ58" s="1488"/>
      <c r="AR58" s="1488"/>
      <c r="AS58" s="1488"/>
      <c r="AT58" s="1542"/>
      <c r="AU58" s="1599">
        <f t="shared" si="54"/>
        <v>0</v>
      </c>
      <c r="AV58" s="1544">
        <f t="shared" si="82"/>
        <v>0</v>
      </c>
      <c r="AW58" s="1452">
        <f t="shared" si="55"/>
        <v>0</v>
      </c>
      <c r="AX58" s="1452">
        <f t="shared" si="56"/>
        <v>0</v>
      </c>
      <c r="AY58" s="1452">
        <f t="shared" si="57"/>
        <v>0</v>
      </c>
      <c r="AZ58" s="1452">
        <f t="shared" si="58"/>
        <v>0</v>
      </c>
      <c r="BA58" s="1452">
        <f t="shared" si="59"/>
        <v>0</v>
      </c>
      <c r="BB58" s="1452">
        <f t="shared" si="60"/>
        <v>0</v>
      </c>
      <c r="BC58" s="1452">
        <f t="shared" si="61"/>
        <v>0</v>
      </c>
      <c r="BD58" s="1452">
        <f t="shared" si="62"/>
        <v>0</v>
      </c>
      <c r="BE58" s="1452">
        <f t="shared" si="63"/>
        <v>0</v>
      </c>
      <c r="BF58" s="1452">
        <f t="shared" si="64"/>
        <v>0</v>
      </c>
      <c r="BG58" s="1452">
        <f t="shared" si="65"/>
        <v>0</v>
      </c>
      <c r="BH58" s="1452">
        <f t="shared" si="66"/>
        <v>0</v>
      </c>
      <c r="BI58" s="1452">
        <f t="shared" si="83"/>
        <v>0</v>
      </c>
      <c r="BJ58" s="1452" t="str">
        <f t="shared" si="67"/>
        <v/>
      </c>
      <c r="BK58" s="1452" t="str">
        <f t="shared" si="68"/>
        <v/>
      </c>
      <c r="BL58" s="1452" t="str">
        <f t="shared" si="69"/>
        <v/>
      </c>
      <c r="BM58" s="1452" t="str">
        <f t="shared" si="70"/>
        <v/>
      </c>
      <c r="BN58" s="1452" t="str">
        <f t="shared" ca="1" si="71"/>
        <v/>
      </c>
      <c r="BO58" s="1452" t="str">
        <f t="shared" si="84"/>
        <v/>
      </c>
      <c r="BP58" s="1452" t="str">
        <f t="shared" si="72"/>
        <v/>
      </c>
      <c r="BQ58" s="1452" t="str">
        <f t="shared" si="73"/>
        <v/>
      </c>
      <c r="BR58" s="1452" t="str">
        <f t="shared" si="74"/>
        <v/>
      </c>
      <c r="BS58" s="1452" t="str">
        <f t="shared" si="75"/>
        <v/>
      </c>
      <c r="BT58" s="1452" t="str">
        <f t="shared" si="76"/>
        <v/>
      </c>
      <c r="BU58" s="1452" t="str">
        <f t="shared" si="77"/>
        <v/>
      </c>
      <c r="BV58" s="1452" t="str">
        <f t="shared" si="78"/>
        <v/>
      </c>
      <c r="BW58" s="1558">
        <f t="shared" ca="1" si="85"/>
        <v>0</v>
      </c>
    </row>
    <row r="59" spans="1:75" s="9" customFormat="1" ht="12.5">
      <c r="A59" s="1483" t="str">
        <f t="shared" si="79"/>
        <v>Public Health Wales Trust</v>
      </c>
      <c r="B59" s="1580"/>
      <c r="C59" s="1580"/>
      <c r="D59" s="1580"/>
      <c r="E59" s="1581"/>
      <c r="F59" s="1436"/>
      <c r="G59" s="1547">
        <f t="shared" si="80"/>
        <v>0</v>
      </c>
      <c r="H59" s="1484"/>
      <c r="I59" s="1547">
        <f t="shared" si="81"/>
        <v>0</v>
      </c>
      <c r="J59" s="1484"/>
      <c r="K59" s="1484"/>
      <c r="L59" s="1436"/>
      <c r="M59" s="1437"/>
      <c r="N59" s="1437"/>
      <c r="O59" s="1485"/>
      <c r="P59" s="1486"/>
      <c r="Q59" s="1486"/>
      <c r="R59" s="1487"/>
      <c r="S59" s="1444"/>
      <c r="T59" s="1444"/>
      <c r="U59" s="1444"/>
      <c r="V59" s="1488"/>
      <c r="W59" s="1488"/>
      <c r="X59" s="1488"/>
      <c r="Y59" s="1488"/>
      <c r="Z59" s="1488"/>
      <c r="AA59" s="1488"/>
      <c r="AB59" s="1488"/>
      <c r="AC59" s="1488"/>
      <c r="AD59" s="1488"/>
      <c r="AE59" s="1488"/>
      <c r="AF59" s="1488"/>
      <c r="AG59" s="1488"/>
      <c r="AH59" s="1451">
        <f t="shared" si="42"/>
        <v>0</v>
      </c>
      <c r="AI59" s="1488"/>
      <c r="AJ59" s="1488"/>
      <c r="AK59" s="1488"/>
      <c r="AL59" s="1488"/>
      <c r="AM59" s="1488"/>
      <c r="AN59" s="1488"/>
      <c r="AO59" s="1488"/>
      <c r="AP59" s="1488"/>
      <c r="AQ59" s="1488"/>
      <c r="AR59" s="1488"/>
      <c r="AS59" s="1488"/>
      <c r="AT59" s="1542"/>
      <c r="AU59" s="1599">
        <f t="shared" si="54"/>
        <v>0</v>
      </c>
      <c r="AV59" s="1544">
        <f t="shared" si="82"/>
        <v>0</v>
      </c>
      <c r="AW59" s="1452">
        <f t="shared" si="55"/>
        <v>0</v>
      </c>
      <c r="AX59" s="1452">
        <f t="shared" si="56"/>
        <v>0</v>
      </c>
      <c r="AY59" s="1452">
        <f t="shared" si="57"/>
        <v>0</v>
      </c>
      <c r="AZ59" s="1452">
        <f t="shared" si="58"/>
        <v>0</v>
      </c>
      <c r="BA59" s="1452">
        <f t="shared" si="59"/>
        <v>0</v>
      </c>
      <c r="BB59" s="1452">
        <f t="shared" si="60"/>
        <v>0</v>
      </c>
      <c r="BC59" s="1452">
        <f t="shared" si="61"/>
        <v>0</v>
      </c>
      <c r="BD59" s="1452">
        <f t="shared" si="62"/>
        <v>0</v>
      </c>
      <c r="BE59" s="1452">
        <f t="shared" si="63"/>
        <v>0</v>
      </c>
      <c r="BF59" s="1452">
        <f t="shared" si="64"/>
        <v>0</v>
      </c>
      <c r="BG59" s="1452">
        <f t="shared" si="65"/>
        <v>0</v>
      </c>
      <c r="BH59" s="1452">
        <f t="shared" si="66"/>
        <v>0</v>
      </c>
      <c r="BI59" s="1452">
        <f t="shared" si="83"/>
        <v>0</v>
      </c>
      <c r="BJ59" s="1452" t="str">
        <f t="shared" si="67"/>
        <v/>
      </c>
      <c r="BK59" s="1452" t="str">
        <f t="shared" si="68"/>
        <v/>
      </c>
      <c r="BL59" s="1452" t="str">
        <f t="shared" si="69"/>
        <v/>
      </c>
      <c r="BM59" s="1452" t="str">
        <f t="shared" si="70"/>
        <v/>
      </c>
      <c r="BN59" s="1452" t="str">
        <f t="shared" ca="1" si="71"/>
        <v/>
      </c>
      <c r="BO59" s="1452" t="str">
        <f t="shared" si="84"/>
        <v/>
      </c>
      <c r="BP59" s="1452" t="str">
        <f t="shared" si="72"/>
        <v/>
      </c>
      <c r="BQ59" s="1452" t="str">
        <f t="shared" si="73"/>
        <v/>
      </c>
      <c r="BR59" s="1452" t="str">
        <f t="shared" si="74"/>
        <v/>
      </c>
      <c r="BS59" s="1452" t="str">
        <f t="shared" si="75"/>
        <v/>
      </c>
      <c r="BT59" s="1452" t="str">
        <f t="shared" si="76"/>
        <v/>
      </c>
      <c r="BU59" s="1452" t="str">
        <f t="shared" si="77"/>
        <v/>
      </c>
      <c r="BV59" s="1452" t="str">
        <f t="shared" si="78"/>
        <v/>
      </c>
      <c r="BW59" s="1558">
        <f t="shared" ca="1" si="85"/>
        <v>0</v>
      </c>
    </row>
    <row r="60" spans="1:75" s="9" customFormat="1" ht="12.5">
      <c r="A60" s="1483" t="str">
        <f t="shared" si="79"/>
        <v>Public Health Wales Trust</v>
      </c>
      <c r="B60" s="1580"/>
      <c r="C60" s="1580"/>
      <c r="D60" s="1580"/>
      <c r="E60" s="1581"/>
      <c r="F60" s="1436"/>
      <c r="G60" s="1547">
        <f t="shared" si="80"/>
        <v>0</v>
      </c>
      <c r="H60" s="1484"/>
      <c r="I60" s="1547">
        <f t="shared" si="81"/>
        <v>0</v>
      </c>
      <c r="J60" s="1484"/>
      <c r="K60" s="1484"/>
      <c r="L60" s="1436"/>
      <c r="M60" s="1437"/>
      <c r="N60" s="1437"/>
      <c r="O60" s="1485"/>
      <c r="P60" s="1486"/>
      <c r="Q60" s="1486"/>
      <c r="R60" s="1487"/>
      <c r="S60" s="1444"/>
      <c r="T60" s="1444"/>
      <c r="U60" s="1444"/>
      <c r="V60" s="1488"/>
      <c r="W60" s="1488"/>
      <c r="X60" s="1488"/>
      <c r="Y60" s="1488"/>
      <c r="Z60" s="1488"/>
      <c r="AA60" s="1488"/>
      <c r="AB60" s="1488"/>
      <c r="AC60" s="1488"/>
      <c r="AD60" s="1488"/>
      <c r="AE60" s="1488"/>
      <c r="AF60" s="1488"/>
      <c r="AG60" s="1488"/>
      <c r="AH60" s="1451">
        <f t="shared" si="42"/>
        <v>0</v>
      </c>
      <c r="AI60" s="1488"/>
      <c r="AJ60" s="1488"/>
      <c r="AK60" s="1488"/>
      <c r="AL60" s="1488"/>
      <c r="AM60" s="1488"/>
      <c r="AN60" s="1488"/>
      <c r="AO60" s="1488"/>
      <c r="AP60" s="1488"/>
      <c r="AQ60" s="1488"/>
      <c r="AR60" s="1488"/>
      <c r="AS60" s="1488"/>
      <c r="AT60" s="1542"/>
      <c r="AU60" s="1599">
        <f t="shared" si="54"/>
        <v>0</v>
      </c>
      <c r="AV60" s="1544">
        <f t="shared" si="82"/>
        <v>0</v>
      </c>
      <c r="AW60" s="1452">
        <f t="shared" si="55"/>
        <v>0</v>
      </c>
      <c r="AX60" s="1452">
        <f t="shared" si="56"/>
        <v>0</v>
      </c>
      <c r="AY60" s="1452">
        <f t="shared" si="57"/>
        <v>0</v>
      </c>
      <c r="AZ60" s="1452">
        <f t="shared" si="58"/>
        <v>0</v>
      </c>
      <c r="BA60" s="1452">
        <f t="shared" si="59"/>
        <v>0</v>
      </c>
      <c r="BB60" s="1452">
        <f t="shared" si="60"/>
        <v>0</v>
      </c>
      <c r="BC60" s="1452">
        <f t="shared" si="61"/>
        <v>0</v>
      </c>
      <c r="BD60" s="1452">
        <f t="shared" si="62"/>
        <v>0</v>
      </c>
      <c r="BE60" s="1452">
        <f t="shared" si="63"/>
        <v>0</v>
      </c>
      <c r="BF60" s="1452">
        <f t="shared" si="64"/>
        <v>0</v>
      </c>
      <c r="BG60" s="1452">
        <f t="shared" si="65"/>
        <v>0</v>
      </c>
      <c r="BH60" s="1452">
        <f t="shared" si="66"/>
        <v>0</v>
      </c>
      <c r="BI60" s="1452">
        <f t="shared" si="83"/>
        <v>0</v>
      </c>
      <c r="BJ60" s="1452" t="str">
        <f t="shared" si="67"/>
        <v/>
      </c>
      <c r="BK60" s="1452" t="str">
        <f t="shared" si="68"/>
        <v/>
      </c>
      <c r="BL60" s="1452" t="str">
        <f t="shared" si="69"/>
        <v/>
      </c>
      <c r="BM60" s="1452" t="str">
        <f t="shared" si="70"/>
        <v/>
      </c>
      <c r="BN60" s="1452" t="str">
        <f t="shared" ca="1" si="71"/>
        <v/>
      </c>
      <c r="BO60" s="1452" t="str">
        <f t="shared" si="84"/>
        <v/>
      </c>
      <c r="BP60" s="1452" t="str">
        <f t="shared" si="72"/>
        <v/>
      </c>
      <c r="BQ60" s="1452" t="str">
        <f t="shared" si="73"/>
        <v/>
      </c>
      <c r="BR60" s="1452" t="str">
        <f t="shared" si="74"/>
        <v/>
      </c>
      <c r="BS60" s="1452" t="str">
        <f t="shared" si="75"/>
        <v/>
      </c>
      <c r="BT60" s="1452" t="str">
        <f t="shared" si="76"/>
        <v/>
      </c>
      <c r="BU60" s="1452" t="str">
        <f t="shared" si="77"/>
        <v/>
      </c>
      <c r="BV60" s="1452" t="str">
        <f t="shared" si="78"/>
        <v/>
      </c>
      <c r="BW60" s="1558">
        <f t="shared" ca="1" si="85"/>
        <v>0</v>
      </c>
    </row>
    <row r="61" spans="1:75" s="9" customFormat="1" ht="12.5">
      <c r="A61" s="1483" t="str">
        <f t="shared" si="79"/>
        <v>Public Health Wales Trust</v>
      </c>
      <c r="B61" s="1580"/>
      <c r="C61" s="1580"/>
      <c r="D61" s="1580"/>
      <c r="E61" s="1581"/>
      <c r="F61" s="1436"/>
      <c r="G61" s="1547">
        <f t="shared" si="80"/>
        <v>0</v>
      </c>
      <c r="H61" s="1484"/>
      <c r="I61" s="1547">
        <f t="shared" si="81"/>
        <v>0</v>
      </c>
      <c r="J61" s="1484"/>
      <c r="K61" s="1484"/>
      <c r="L61" s="1436"/>
      <c r="M61" s="1437"/>
      <c r="N61" s="1437"/>
      <c r="O61" s="1485"/>
      <c r="P61" s="1486"/>
      <c r="Q61" s="1486"/>
      <c r="R61" s="1487"/>
      <c r="S61" s="1444"/>
      <c r="T61" s="1444"/>
      <c r="U61" s="1444"/>
      <c r="V61" s="1488"/>
      <c r="W61" s="1488"/>
      <c r="X61" s="1488"/>
      <c r="Y61" s="1488"/>
      <c r="Z61" s="1488"/>
      <c r="AA61" s="1488"/>
      <c r="AB61" s="1488"/>
      <c r="AC61" s="1488"/>
      <c r="AD61" s="1488"/>
      <c r="AE61" s="1488"/>
      <c r="AF61" s="1488"/>
      <c r="AG61" s="1488"/>
      <c r="AH61" s="1451">
        <f t="shared" si="42"/>
        <v>0</v>
      </c>
      <c r="AI61" s="1488"/>
      <c r="AJ61" s="1488"/>
      <c r="AK61" s="1488"/>
      <c r="AL61" s="1488"/>
      <c r="AM61" s="1488"/>
      <c r="AN61" s="1488"/>
      <c r="AO61" s="1488"/>
      <c r="AP61" s="1488"/>
      <c r="AQ61" s="1488"/>
      <c r="AR61" s="1488"/>
      <c r="AS61" s="1488"/>
      <c r="AT61" s="1542"/>
      <c r="AU61" s="1599">
        <f t="shared" si="54"/>
        <v>0</v>
      </c>
      <c r="AV61" s="1544">
        <f t="shared" si="82"/>
        <v>0</v>
      </c>
      <c r="AW61" s="1452">
        <f t="shared" si="55"/>
        <v>0</v>
      </c>
      <c r="AX61" s="1452">
        <f t="shared" si="56"/>
        <v>0</v>
      </c>
      <c r="AY61" s="1452">
        <f t="shared" si="57"/>
        <v>0</v>
      </c>
      <c r="AZ61" s="1452">
        <f t="shared" si="58"/>
        <v>0</v>
      </c>
      <c r="BA61" s="1452">
        <f t="shared" si="59"/>
        <v>0</v>
      </c>
      <c r="BB61" s="1452">
        <f t="shared" si="60"/>
        <v>0</v>
      </c>
      <c r="BC61" s="1452">
        <f t="shared" si="61"/>
        <v>0</v>
      </c>
      <c r="BD61" s="1452">
        <f t="shared" si="62"/>
        <v>0</v>
      </c>
      <c r="BE61" s="1452">
        <f t="shared" si="63"/>
        <v>0</v>
      </c>
      <c r="BF61" s="1452">
        <f t="shared" si="64"/>
        <v>0</v>
      </c>
      <c r="BG61" s="1452">
        <f t="shared" si="65"/>
        <v>0</v>
      </c>
      <c r="BH61" s="1452">
        <f t="shared" si="66"/>
        <v>0</v>
      </c>
      <c r="BI61" s="1452">
        <f t="shared" si="83"/>
        <v>0</v>
      </c>
      <c r="BJ61" s="1452" t="str">
        <f t="shared" si="67"/>
        <v/>
      </c>
      <c r="BK61" s="1452" t="str">
        <f t="shared" si="68"/>
        <v/>
      </c>
      <c r="BL61" s="1452" t="str">
        <f t="shared" si="69"/>
        <v/>
      </c>
      <c r="BM61" s="1452" t="str">
        <f t="shared" si="70"/>
        <v/>
      </c>
      <c r="BN61" s="1452" t="str">
        <f t="shared" ca="1" si="71"/>
        <v/>
      </c>
      <c r="BO61" s="1452" t="str">
        <f t="shared" si="84"/>
        <v/>
      </c>
      <c r="BP61" s="1452" t="str">
        <f t="shared" si="72"/>
        <v/>
      </c>
      <c r="BQ61" s="1452" t="str">
        <f t="shared" si="73"/>
        <v/>
      </c>
      <c r="BR61" s="1452" t="str">
        <f t="shared" si="74"/>
        <v/>
      </c>
      <c r="BS61" s="1452" t="str">
        <f t="shared" si="75"/>
        <v/>
      </c>
      <c r="BT61" s="1452" t="str">
        <f t="shared" si="76"/>
        <v/>
      </c>
      <c r="BU61" s="1452" t="str">
        <f t="shared" si="77"/>
        <v/>
      </c>
      <c r="BV61" s="1452" t="str">
        <f t="shared" si="78"/>
        <v/>
      </c>
      <c r="BW61" s="1558">
        <f t="shared" ca="1" si="85"/>
        <v>0</v>
      </c>
    </row>
    <row r="62" spans="1:75" s="9" customFormat="1" ht="12.5">
      <c r="A62" s="1483" t="str">
        <f t="shared" si="79"/>
        <v>Public Health Wales Trust</v>
      </c>
      <c r="B62" s="1580"/>
      <c r="C62" s="1580"/>
      <c r="D62" s="1580"/>
      <c r="E62" s="1581"/>
      <c r="F62" s="1436"/>
      <c r="G62" s="1547">
        <f t="shared" si="80"/>
        <v>0</v>
      </c>
      <c r="H62" s="1484"/>
      <c r="I62" s="1547">
        <f t="shared" si="81"/>
        <v>0</v>
      </c>
      <c r="J62" s="1484"/>
      <c r="K62" s="1484"/>
      <c r="L62" s="1436"/>
      <c r="M62" s="1437"/>
      <c r="N62" s="1437"/>
      <c r="O62" s="1485"/>
      <c r="P62" s="1486"/>
      <c r="Q62" s="1486"/>
      <c r="R62" s="1487"/>
      <c r="S62" s="1444"/>
      <c r="T62" s="1444"/>
      <c r="U62" s="1444"/>
      <c r="V62" s="1488"/>
      <c r="W62" s="1488"/>
      <c r="X62" s="1488"/>
      <c r="Y62" s="1488"/>
      <c r="Z62" s="1488"/>
      <c r="AA62" s="1488"/>
      <c r="AB62" s="1488"/>
      <c r="AC62" s="1488"/>
      <c r="AD62" s="1488"/>
      <c r="AE62" s="1488"/>
      <c r="AF62" s="1488"/>
      <c r="AG62" s="1488"/>
      <c r="AH62" s="1451">
        <f t="shared" si="42"/>
        <v>0</v>
      </c>
      <c r="AI62" s="1488"/>
      <c r="AJ62" s="1488"/>
      <c r="AK62" s="1488"/>
      <c r="AL62" s="1488"/>
      <c r="AM62" s="1488"/>
      <c r="AN62" s="1488"/>
      <c r="AO62" s="1488"/>
      <c r="AP62" s="1488"/>
      <c r="AQ62" s="1488"/>
      <c r="AR62" s="1488"/>
      <c r="AS62" s="1488"/>
      <c r="AT62" s="1542"/>
      <c r="AU62" s="1599">
        <f t="shared" si="54"/>
        <v>0</v>
      </c>
      <c r="AV62" s="1544">
        <f t="shared" si="82"/>
        <v>0</v>
      </c>
      <c r="AW62" s="1452">
        <f t="shared" si="55"/>
        <v>0</v>
      </c>
      <c r="AX62" s="1452">
        <f t="shared" si="56"/>
        <v>0</v>
      </c>
      <c r="AY62" s="1452">
        <f t="shared" si="57"/>
        <v>0</v>
      </c>
      <c r="AZ62" s="1452">
        <f t="shared" si="58"/>
        <v>0</v>
      </c>
      <c r="BA62" s="1452">
        <f t="shared" si="59"/>
        <v>0</v>
      </c>
      <c r="BB62" s="1452">
        <f t="shared" si="60"/>
        <v>0</v>
      </c>
      <c r="BC62" s="1452">
        <f t="shared" si="61"/>
        <v>0</v>
      </c>
      <c r="BD62" s="1452">
        <f t="shared" si="62"/>
        <v>0</v>
      </c>
      <c r="BE62" s="1452">
        <f t="shared" si="63"/>
        <v>0</v>
      </c>
      <c r="BF62" s="1452">
        <f t="shared" si="64"/>
        <v>0</v>
      </c>
      <c r="BG62" s="1452">
        <f t="shared" si="65"/>
        <v>0</v>
      </c>
      <c r="BH62" s="1452">
        <f t="shared" si="66"/>
        <v>0</v>
      </c>
      <c r="BI62" s="1452">
        <f t="shared" si="83"/>
        <v>0</v>
      </c>
      <c r="BJ62" s="1452" t="str">
        <f t="shared" si="67"/>
        <v/>
      </c>
      <c r="BK62" s="1452" t="str">
        <f t="shared" si="68"/>
        <v/>
      </c>
      <c r="BL62" s="1452" t="str">
        <f t="shared" si="69"/>
        <v/>
      </c>
      <c r="BM62" s="1452" t="str">
        <f t="shared" si="70"/>
        <v/>
      </c>
      <c r="BN62" s="1452" t="str">
        <f t="shared" ca="1" si="71"/>
        <v/>
      </c>
      <c r="BO62" s="1452" t="str">
        <f t="shared" si="84"/>
        <v/>
      </c>
      <c r="BP62" s="1452" t="str">
        <f t="shared" si="72"/>
        <v/>
      </c>
      <c r="BQ62" s="1452" t="str">
        <f t="shared" si="73"/>
        <v/>
      </c>
      <c r="BR62" s="1452" t="str">
        <f t="shared" si="74"/>
        <v/>
      </c>
      <c r="BS62" s="1452" t="str">
        <f t="shared" si="75"/>
        <v/>
      </c>
      <c r="BT62" s="1452" t="str">
        <f t="shared" si="76"/>
        <v/>
      </c>
      <c r="BU62" s="1452" t="str">
        <f t="shared" si="77"/>
        <v/>
      </c>
      <c r="BV62" s="1452" t="str">
        <f t="shared" si="78"/>
        <v/>
      </c>
      <c r="BW62" s="1558">
        <f t="shared" ca="1" si="85"/>
        <v>0</v>
      </c>
    </row>
    <row r="63" spans="1:75" s="9" customFormat="1" ht="12.5">
      <c r="A63" s="1483" t="str">
        <f t="shared" si="79"/>
        <v>Public Health Wales Trust</v>
      </c>
      <c r="B63" s="1580"/>
      <c r="C63" s="1580"/>
      <c r="D63" s="1580"/>
      <c r="E63" s="1581"/>
      <c r="F63" s="1436"/>
      <c r="G63" s="1547">
        <f t="shared" si="80"/>
        <v>0</v>
      </c>
      <c r="H63" s="1484"/>
      <c r="I63" s="1547">
        <f t="shared" si="81"/>
        <v>0</v>
      </c>
      <c r="J63" s="1484"/>
      <c r="K63" s="1484"/>
      <c r="L63" s="1436"/>
      <c r="M63" s="1437"/>
      <c r="N63" s="1437"/>
      <c r="O63" s="1485"/>
      <c r="P63" s="1486"/>
      <c r="Q63" s="1486"/>
      <c r="R63" s="1487"/>
      <c r="S63" s="1444"/>
      <c r="T63" s="1444"/>
      <c r="U63" s="1444"/>
      <c r="V63" s="1488"/>
      <c r="W63" s="1488"/>
      <c r="X63" s="1488"/>
      <c r="Y63" s="1488"/>
      <c r="Z63" s="1488"/>
      <c r="AA63" s="1488"/>
      <c r="AB63" s="1488"/>
      <c r="AC63" s="1488"/>
      <c r="AD63" s="1488"/>
      <c r="AE63" s="1488"/>
      <c r="AF63" s="1488"/>
      <c r="AG63" s="1488"/>
      <c r="AH63" s="1451">
        <f t="shared" si="42"/>
        <v>0</v>
      </c>
      <c r="AI63" s="1488"/>
      <c r="AJ63" s="1488"/>
      <c r="AK63" s="1488"/>
      <c r="AL63" s="1488"/>
      <c r="AM63" s="1488"/>
      <c r="AN63" s="1488"/>
      <c r="AO63" s="1488"/>
      <c r="AP63" s="1488"/>
      <c r="AQ63" s="1488"/>
      <c r="AR63" s="1488"/>
      <c r="AS63" s="1488"/>
      <c r="AT63" s="1542"/>
      <c r="AU63" s="1599">
        <f t="shared" si="54"/>
        <v>0</v>
      </c>
      <c r="AV63" s="1544">
        <f t="shared" si="82"/>
        <v>0</v>
      </c>
      <c r="AW63" s="1452">
        <f t="shared" si="55"/>
        <v>0</v>
      </c>
      <c r="AX63" s="1452">
        <f t="shared" si="56"/>
        <v>0</v>
      </c>
      <c r="AY63" s="1452">
        <f t="shared" si="57"/>
        <v>0</v>
      </c>
      <c r="AZ63" s="1452">
        <f t="shared" si="58"/>
        <v>0</v>
      </c>
      <c r="BA63" s="1452">
        <f t="shared" si="59"/>
        <v>0</v>
      </c>
      <c r="BB63" s="1452">
        <f t="shared" si="60"/>
        <v>0</v>
      </c>
      <c r="BC63" s="1452">
        <f t="shared" si="61"/>
        <v>0</v>
      </c>
      <c r="BD63" s="1452">
        <f t="shared" si="62"/>
        <v>0</v>
      </c>
      <c r="BE63" s="1452">
        <f t="shared" si="63"/>
        <v>0</v>
      </c>
      <c r="BF63" s="1452">
        <f t="shared" si="64"/>
        <v>0</v>
      </c>
      <c r="BG63" s="1452">
        <f t="shared" si="65"/>
        <v>0</v>
      </c>
      <c r="BH63" s="1452">
        <f t="shared" si="66"/>
        <v>0</v>
      </c>
      <c r="BI63" s="1452">
        <f t="shared" si="83"/>
        <v>0</v>
      </c>
      <c r="BJ63" s="1452" t="str">
        <f t="shared" si="67"/>
        <v/>
      </c>
      <c r="BK63" s="1452" t="str">
        <f t="shared" si="68"/>
        <v/>
      </c>
      <c r="BL63" s="1452" t="str">
        <f t="shared" si="69"/>
        <v/>
      </c>
      <c r="BM63" s="1452" t="str">
        <f t="shared" si="70"/>
        <v/>
      </c>
      <c r="BN63" s="1452" t="str">
        <f t="shared" ca="1" si="71"/>
        <v/>
      </c>
      <c r="BO63" s="1452" t="str">
        <f t="shared" si="84"/>
        <v/>
      </c>
      <c r="BP63" s="1452" t="str">
        <f t="shared" si="72"/>
        <v/>
      </c>
      <c r="BQ63" s="1452" t="str">
        <f t="shared" si="73"/>
        <v/>
      </c>
      <c r="BR63" s="1452" t="str">
        <f t="shared" si="74"/>
        <v/>
      </c>
      <c r="BS63" s="1452" t="str">
        <f t="shared" si="75"/>
        <v/>
      </c>
      <c r="BT63" s="1452" t="str">
        <f t="shared" si="76"/>
        <v/>
      </c>
      <c r="BU63" s="1452" t="str">
        <f t="shared" si="77"/>
        <v/>
      </c>
      <c r="BV63" s="1452" t="str">
        <f t="shared" si="78"/>
        <v/>
      </c>
      <c r="BW63" s="1558">
        <f t="shared" ca="1" si="85"/>
        <v>0</v>
      </c>
    </row>
    <row r="64" spans="1:75" s="9" customFormat="1" ht="12.5">
      <c r="A64" s="1483" t="str">
        <f t="shared" si="79"/>
        <v>Public Health Wales Trust</v>
      </c>
      <c r="B64" s="1580"/>
      <c r="C64" s="1580"/>
      <c r="D64" s="1580"/>
      <c r="E64" s="1581"/>
      <c r="F64" s="1436"/>
      <c r="G64" s="1547">
        <f t="shared" si="80"/>
        <v>0</v>
      </c>
      <c r="H64" s="1484"/>
      <c r="I64" s="1547">
        <f t="shared" si="81"/>
        <v>0</v>
      </c>
      <c r="J64" s="1484"/>
      <c r="K64" s="1484"/>
      <c r="L64" s="1436"/>
      <c r="M64" s="1437"/>
      <c r="N64" s="1437"/>
      <c r="O64" s="1485"/>
      <c r="P64" s="1486"/>
      <c r="Q64" s="1486"/>
      <c r="R64" s="1487"/>
      <c r="S64" s="1444"/>
      <c r="T64" s="1444"/>
      <c r="U64" s="1444"/>
      <c r="V64" s="1488"/>
      <c r="W64" s="1488"/>
      <c r="X64" s="1488"/>
      <c r="Y64" s="1488"/>
      <c r="Z64" s="1488"/>
      <c r="AA64" s="1488"/>
      <c r="AB64" s="1488"/>
      <c r="AC64" s="1488"/>
      <c r="AD64" s="1488"/>
      <c r="AE64" s="1488"/>
      <c r="AF64" s="1488"/>
      <c r="AG64" s="1488"/>
      <c r="AH64" s="1451">
        <f t="shared" si="42"/>
        <v>0</v>
      </c>
      <c r="AI64" s="1488"/>
      <c r="AJ64" s="1488"/>
      <c r="AK64" s="1488"/>
      <c r="AL64" s="1488"/>
      <c r="AM64" s="1488"/>
      <c r="AN64" s="1488"/>
      <c r="AO64" s="1488"/>
      <c r="AP64" s="1488"/>
      <c r="AQ64" s="1488"/>
      <c r="AR64" s="1488"/>
      <c r="AS64" s="1488"/>
      <c r="AT64" s="1542"/>
      <c r="AU64" s="1599">
        <f t="shared" si="54"/>
        <v>0</v>
      </c>
      <c r="AV64" s="1544">
        <f t="shared" si="82"/>
        <v>0</v>
      </c>
      <c r="AW64" s="1452">
        <f t="shared" si="55"/>
        <v>0</v>
      </c>
      <c r="AX64" s="1452">
        <f t="shared" si="56"/>
        <v>0</v>
      </c>
      <c r="AY64" s="1452">
        <f t="shared" si="57"/>
        <v>0</v>
      </c>
      <c r="AZ64" s="1452">
        <f t="shared" si="58"/>
        <v>0</v>
      </c>
      <c r="BA64" s="1452">
        <f t="shared" si="59"/>
        <v>0</v>
      </c>
      <c r="BB64" s="1452">
        <f t="shared" si="60"/>
        <v>0</v>
      </c>
      <c r="BC64" s="1452">
        <f t="shared" si="61"/>
        <v>0</v>
      </c>
      <c r="BD64" s="1452">
        <f t="shared" si="62"/>
        <v>0</v>
      </c>
      <c r="BE64" s="1452">
        <f t="shared" si="63"/>
        <v>0</v>
      </c>
      <c r="BF64" s="1452">
        <f t="shared" si="64"/>
        <v>0</v>
      </c>
      <c r="BG64" s="1452">
        <f t="shared" si="65"/>
        <v>0</v>
      </c>
      <c r="BH64" s="1452">
        <f t="shared" si="66"/>
        <v>0</v>
      </c>
      <c r="BI64" s="1452">
        <f t="shared" si="83"/>
        <v>0</v>
      </c>
      <c r="BJ64" s="1452" t="str">
        <f t="shared" si="67"/>
        <v/>
      </c>
      <c r="BK64" s="1452" t="str">
        <f t="shared" si="68"/>
        <v/>
      </c>
      <c r="BL64" s="1452" t="str">
        <f t="shared" si="69"/>
        <v/>
      </c>
      <c r="BM64" s="1452" t="str">
        <f t="shared" si="70"/>
        <v/>
      </c>
      <c r="BN64" s="1452" t="str">
        <f t="shared" ca="1" si="71"/>
        <v/>
      </c>
      <c r="BO64" s="1452" t="str">
        <f t="shared" si="84"/>
        <v/>
      </c>
      <c r="BP64" s="1452" t="str">
        <f t="shared" si="72"/>
        <v/>
      </c>
      <c r="BQ64" s="1452" t="str">
        <f t="shared" si="73"/>
        <v/>
      </c>
      <c r="BR64" s="1452" t="str">
        <f t="shared" si="74"/>
        <v/>
      </c>
      <c r="BS64" s="1452" t="str">
        <f t="shared" si="75"/>
        <v/>
      </c>
      <c r="BT64" s="1452" t="str">
        <f t="shared" si="76"/>
        <v/>
      </c>
      <c r="BU64" s="1452" t="str">
        <f t="shared" si="77"/>
        <v/>
      </c>
      <c r="BV64" s="1452" t="str">
        <f t="shared" si="78"/>
        <v/>
      </c>
      <c r="BW64" s="1558">
        <f t="shared" ca="1" si="85"/>
        <v>0</v>
      </c>
    </row>
    <row r="65" spans="1:75" s="9" customFormat="1" ht="12.5">
      <c r="A65" s="1483" t="str">
        <f t="shared" si="79"/>
        <v>Public Health Wales Trust</v>
      </c>
      <c r="B65" s="1580"/>
      <c r="C65" s="1580"/>
      <c r="D65" s="1580"/>
      <c r="E65" s="1581"/>
      <c r="F65" s="1436"/>
      <c r="G65" s="1547">
        <f t="shared" si="80"/>
        <v>0</v>
      </c>
      <c r="H65" s="1484"/>
      <c r="I65" s="1547">
        <f t="shared" si="81"/>
        <v>0</v>
      </c>
      <c r="J65" s="1484"/>
      <c r="K65" s="1484"/>
      <c r="L65" s="1436"/>
      <c r="M65" s="1437"/>
      <c r="N65" s="1437"/>
      <c r="O65" s="1485"/>
      <c r="P65" s="1486"/>
      <c r="Q65" s="1486"/>
      <c r="R65" s="1487"/>
      <c r="S65" s="1444"/>
      <c r="T65" s="1444"/>
      <c r="U65" s="1444"/>
      <c r="V65" s="1488"/>
      <c r="W65" s="1488"/>
      <c r="X65" s="1488"/>
      <c r="Y65" s="1488"/>
      <c r="Z65" s="1488"/>
      <c r="AA65" s="1488"/>
      <c r="AB65" s="1488"/>
      <c r="AC65" s="1488"/>
      <c r="AD65" s="1488"/>
      <c r="AE65" s="1488"/>
      <c r="AF65" s="1488"/>
      <c r="AG65" s="1488"/>
      <c r="AH65" s="1451">
        <f t="shared" si="42"/>
        <v>0</v>
      </c>
      <c r="AI65" s="1488"/>
      <c r="AJ65" s="1488"/>
      <c r="AK65" s="1488"/>
      <c r="AL65" s="1488"/>
      <c r="AM65" s="1488"/>
      <c r="AN65" s="1488"/>
      <c r="AO65" s="1488"/>
      <c r="AP65" s="1488"/>
      <c r="AQ65" s="1488"/>
      <c r="AR65" s="1488"/>
      <c r="AS65" s="1488"/>
      <c r="AT65" s="1542"/>
      <c r="AU65" s="1599">
        <f t="shared" si="54"/>
        <v>0</v>
      </c>
      <c r="AV65" s="1544">
        <f t="shared" si="82"/>
        <v>0</v>
      </c>
      <c r="AW65" s="1452">
        <f t="shared" si="55"/>
        <v>0</v>
      </c>
      <c r="AX65" s="1452">
        <f t="shared" si="56"/>
        <v>0</v>
      </c>
      <c r="AY65" s="1452">
        <f t="shared" si="57"/>
        <v>0</v>
      </c>
      <c r="AZ65" s="1452">
        <f t="shared" si="58"/>
        <v>0</v>
      </c>
      <c r="BA65" s="1452">
        <f t="shared" si="59"/>
        <v>0</v>
      </c>
      <c r="BB65" s="1452">
        <f t="shared" si="60"/>
        <v>0</v>
      </c>
      <c r="BC65" s="1452">
        <f t="shared" si="61"/>
        <v>0</v>
      </c>
      <c r="BD65" s="1452">
        <f t="shared" si="62"/>
        <v>0</v>
      </c>
      <c r="BE65" s="1452">
        <f t="shared" si="63"/>
        <v>0</v>
      </c>
      <c r="BF65" s="1452">
        <f t="shared" si="64"/>
        <v>0</v>
      </c>
      <c r="BG65" s="1452">
        <f t="shared" si="65"/>
        <v>0</v>
      </c>
      <c r="BH65" s="1452">
        <f t="shared" si="66"/>
        <v>0</v>
      </c>
      <c r="BI65" s="1452">
        <f t="shared" si="83"/>
        <v>0</v>
      </c>
      <c r="BJ65" s="1452" t="str">
        <f t="shared" si="67"/>
        <v/>
      </c>
      <c r="BK65" s="1452" t="str">
        <f t="shared" si="68"/>
        <v/>
      </c>
      <c r="BL65" s="1452" t="str">
        <f t="shared" si="69"/>
        <v/>
      </c>
      <c r="BM65" s="1452" t="str">
        <f t="shared" si="70"/>
        <v/>
      </c>
      <c r="BN65" s="1452" t="str">
        <f t="shared" ca="1" si="71"/>
        <v/>
      </c>
      <c r="BO65" s="1452" t="str">
        <f t="shared" si="84"/>
        <v/>
      </c>
      <c r="BP65" s="1452" t="str">
        <f t="shared" si="72"/>
        <v/>
      </c>
      <c r="BQ65" s="1452" t="str">
        <f t="shared" si="73"/>
        <v/>
      </c>
      <c r="BR65" s="1452" t="str">
        <f t="shared" si="74"/>
        <v/>
      </c>
      <c r="BS65" s="1452" t="str">
        <f t="shared" si="75"/>
        <v/>
      </c>
      <c r="BT65" s="1452" t="str">
        <f t="shared" si="76"/>
        <v/>
      </c>
      <c r="BU65" s="1452" t="str">
        <f t="shared" si="77"/>
        <v/>
      </c>
      <c r="BV65" s="1452" t="str">
        <f t="shared" si="78"/>
        <v/>
      </c>
      <c r="BW65" s="1558">
        <f t="shared" ca="1" si="85"/>
        <v>0</v>
      </c>
    </row>
    <row r="66" spans="1:75" s="9" customFormat="1" ht="12.5">
      <c r="A66" s="1483" t="str">
        <f t="shared" si="79"/>
        <v>Public Health Wales Trust</v>
      </c>
      <c r="B66" s="1580"/>
      <c r="C66" s="1580"/>
      <c r="D66" s="1580"/>
      <c r="E66" s="1581"/>
      <c r="F66" s="1436"/>
      <c r="G66" s="1547">
        <f t="shared" si="80"/>
        <v>0</v>
      </c>
      <c r="H66" s="1484"/>
      <c r="I66" s="1547">
        <f t="shared" si="81"/>
        <v>0</v>
      </c>
      <c r="J66" s="1484"/>
      <c r="K66" s="1484"/>
      <c r="L66" s="1436"/>
      <c r="M66" s="1437"/>
      <c r="N66" s="1437"/>
      <c r="O66" s="1485"/>
      <c r="P66" s="1486"/>
      <c r="Q66" s="1486"/>
      <c r="R66" s="1487"/>
      <c r="S66" s="1444"/>
      <c r="T66" s="1444"/>
      <c r="U66" s="1444"/>
      <c r="V66" s="1488"/>
      <c r="W66" s="1488"/>
      <c r="X66" s="1488"/>
      <c r="Y66" s="1488"/>
      <c r="Z66" s="1488"/>
      <c r="AA66" s="1488"/>
      <c r="AB66" s="1488"/>
      <c r="AC66" s="1488"/>
      <c r="AD66" s="1488"/>
      <c r="AE66" s="1488"/>
      <c r="AF66" s="1488"/>
      <c r="AG66" s="1488"/>
      <c r="AH66" s="1451">
        <f t="shared" si="42"/>
        <v>0</v>
      </c>
      <c r="AI66" s="1488"/>
      <c r="AJ66" s="1488"/>
      <c r="AK66" s="1488"/>
      <c r="AL66" s="1488"/>
      <c r="AM66" s="1488"/>
      <c r="AN66" s="1488"/>
      <c r="AO66" s="1488"/>
      <c r="AP66" s="1488"/>
      <c r="AQ66" s="1488"/>
      <c r="AR66" s="1488"/>
      <c r="AS66" s="1488"/>
      <c r="AT66" s="1542"/>
      <c r="AU66" s="1599">
        <f t="shared" si="54"/>
        <v>0</v>
      </c>
      <c r="AV66" s="1544">
        <f t="shared" si="82"/>
        <v>0</v>
      </c>
      <c r="AW66" s="1452">
        <f t="shared" si="55"/>
        <v>0</v>
      </c>
      <c r="AX66" s="1452">
        <f t="shared" si="56"/>
        <v>0</v>
      </c>
      <c r="AY66" s="1452">
        <f t="shared" si="57"/>
        <v>0</v>
      </c>
      <c r="AZ66" s="1452">
        <f t="shared" si="58"/>
        <v>0</v>
      </c>
      <c r="BA66" s="1452">
        <f t="shared" si="59"/>
        <v>0</v>
      </c>
      <c r="BB66" s="1452">
        <f t="shared" si="60"/>
        <v>0</v>
      </c>
      <c r="BC66" s="1452">
        <f t="shared" si="61"/>
        <v>0</v>
      </c>
      <c r="BD66" s="1452">
        <f t="shared" si="62"/>
        <v>0</v>
      </c>
      <c r="BE66" s="1452">
        <f t="shared" si="63"/>
        <v>0</v>
      </c>
      <c r="BF66" s="1452">
        <f t="shared" si="64"/>
        <v>0</v>
      </c>
      <c r="BG66" s="1452">
        <f t="shared" si="65"/>
        <v>0</v>
      </c>
      <c r="BH66" s="1452">
        <f t="shared" si="66"/>
        <v>0</v>
      </c>
      <c r="BI66" s="1452">
        <f t="shared" si="83"/>
        <v>0</v>
      </c>
      <c r="BJ66" s="1452" t="str">
        <f t="shared" si="67"/>
        <v/>
      </c>
      <c r="BK66" s="1452" t="str">
        <f t="shared" si="68"/>
        <v/>
      </c>
      <c r="BL66" s="1452" t="str">
        <f t="shared" si="69"/>
        <v/>
      </c>
      <c r="BM66" s="1452" t="str">
        <f t="shared" si="70"/>
        <v/>
      </c>
      <c r="BN66" s="1452" t="str">
        <f t="shared" ca="1" si="71"/>
        <v/>
      </c>
      <c r="BO66" s="1452" t="str">
        <f t="shared" si="84"/>
        <v/>
      </c>
      <c r="BP66" s="1452" t="str">
        <f t="shared" si="72"/>
        <v/>
      </c>
      <c r="BQ66" s="1452" t="str">
        <f t="shared" si="73"/>
        <v/>
      </c>
      <c r="BR66" s="1452" t="str">
        <f t="shared" si="74"/>
        <v/>
      </c>
      <c r="BS66" s="1452" t="str">
        <f t="shared" si="75"/>
        <v/>
      </c>
      <c r="BT66" s="1452" t="str">
        <f t="shared" si="76"/>
        <v/>
      </c>
      <c r="BU66" s="1452" t="str">
        <f t="shared" si="77"/>
        <v/>
      </c>
      <c r="BV66" s="1452" t="str">
        <f t="shared" si="78"/>
        <v/>
      </c>
      <c r="BW66" s="1558">
        <f t="shared" ca="1" si="85"/>
        <v>0</v>
      </c>
    </row>
    <row r="67" spans="1:75" s="9" customFormat="1" ht="12.5">
      <c r="A67" s="1483" t="str">
        <f t="shared" si="79"/>
        <v>Public Health Wales Trust</v>
      </c>
      <c r="B67" s="1580"/>
      <c r="C67" s="1580"/>
      <c r="D67" s="1580"/>
      <c r="E67" s="1581"/>
      <c r="F67" s="1436"/>
      <c r="G67" s="1547">
        <f t="shared" si="80"/>
        <v>0</v>
      </c>
      <c r="H67" s="1484"/>
      <c r="I67" s="1547">
        <f t="shared" si="81"/>
        <v>0</v>
      </c>
      <c r="J67" s="1484"/>
      <c r="K67" s="1484"/>
      <c r="L67" s="1436"/>
      <c r="M67" s="1437"/>
      <c r="N67" s="1437"/>
      <c r="O67" s="1485"/>
      <c r="P67" s="1486"/>
      <c r="Q67" s="1486"/>
      <c r="R67" s="1487"/>
      <c r="S67" s="1444"/>
      <c r="T67" s="1444"/>
      <c r="U67" s="1444"/>
      <c r="V67" s="1488"/>
      <c r="W67" s="1488"/>
      <c r="X67" s="1488"/>
      <c r="Y67" s="1488"/>
      <c r="Z67" s="1488"/>
      <c r="AA67" s="1488"/>
      <c r="AB67" s="1488"/>
      <c r="AC67" s="1488"/>
      <c r="AD67" s="1488"/>
      <c r="AE67" s="1488"/>
      <c r="AF67" s="1488"/>
      <c r="AG67" s="1488"/>
      <c r="AH67" s="1451">
        <f t="shared" si="42"/>
        <v>0</v>
      </c>
      <c r="AI67" s="1488"/>
      <c r="AJ67" s="1488"/>
      <c r="AK67" s="1488"/>
      <c r="AL67" s="1488"/>
      <c r="AM67" s="1488"/>
      <c r="AN67" s="1488"/>
      <c r="AO67" s="1488"/>
      <c r="AP67" s="1488"/>
      <c r="AQ67" s="1488"/>
      <c r="AR67" s="1488"/>
      <c r="AS67" s="1488"/>
      <c r="AT67" s="1542"/>
      <c r="AU67" s="1599">
        <f t="shared" si="54"/>
        <v>0</v>
      </c>
      <c r="AV67" s="1544">
        <f t="shared" si="82"/>
        <v>0</v>
      </c>
      <c r="AW67" s="1452">
        <f t="shared" si="55"/>
        <v>0</v>
      </c>
      <c r="AX67" s="1452">
        <f t="shared" si="56"/>
        <v>0</v>
      </c>
      <c r="AY67" s="1452">
        <f t="shared" si="57"/>
        <v>0</v>
      </c>
      <c r="AZ67" s="1452">
        <f t="shared" si="58"/>
        <v>0</v>
      </c>
      <c r="BA67" s="1452">
        <f t="shared" si="59"/>
        <v>0</v>
      </c>
      <c r="BB67" s="1452">
        <f t="shared" si="60"/>
        <v>0</v>
      </c>
      <c r="BC67" s="1452">
        <f t="shared" si="61"/>
        <v>0</v>
      </c>
      <c r="BD67" s="1452">
        <f t="shared" si="62"/>
        <v>0</v>
      </c>
      <c r="BE67" s="1452">
        <f t="shared" si="63"/>
        <v>0</v>
      </c>
      <c r="BF67" s="1452">
        <f t="shared" si="64"/>
        <v>0</v>
      </c>
      <c r="BG67" s="1452">
        <f t="shared" si="65"/>
        <v>0</v>
      </c>
      <c r="BH67" s="1452">
        <f t="shared" si="66"/>
        <v>0</v>
      </c>
      <c r="BI67" s="1452">
        <f t="shared" si="83"/>
        <v>0</v>
      </c>
      <c r="BJ67" s="1452" t="str">
        <f t="shared" si="67"/>
        <v/>
      </c>
      <c r="BK67" s="1452" t="str">
        <f t="shared" si="68"/>
        <v/>
      </c>
      <c r="BL67" s="1452" t="str">
        <f t="shared" si="69"/>
        <v/>
      </c>
      <c r="BM67" s="1452" t="str">
        <f t="shared" si="70"/>
        <v/>
      </c>
      <c r="BN67" s="1452" t="str">
        <f t="shared" ca="1" si="71"/>
        <v/>
      </c>
      <c r="BO67" s="1452" t="str">
        <f t="shared" si="84"/>
        <v/>
      </c>
      <c r="BP67" s="1452" t="str">
        <f t="shared" si="72"/>
        <v/>
      </c>
      <c r="BQ67" s="1452" t="str">
        <f t="shared" si="73"/>
        <v/>
      </c>
      <c r="BR67" s="1452" t="str">
        <f t="shared" si="74"/>
        <v/>
      </c>
      <c r="BS67" s="1452" t="str">
        <f t="shared" si="75"/>
        <v/>
      </c>
      <c r="BT67" s="1452" t="str">
        <f t="shared" si="76"/>
        <v/>
      </c>
      <c r="BU67" s="1452" t="str">
        <f t="shared" si="77"/>
        <v/>
      </c>
      <c r="BV67" s="1452" t="str">
        <f t="shared" si="78"/>
        <v/>
      </c>
      <c r="BW67" s="1558">
        <f t="shared" ca="1" si="85"/>
        <v>0</v>
      </c>
    </row>
    <row r="68" spans="1:75" s="9" customFormat="1" ht="12.5">
      <c r="A68" s="1483" t="str">
        <f t="shared" si="79"/>
        <v>Public Health Wales Trust</v>
      </c>
      <c r="B68" s="1580"/>
      <c r="C68" s="1580"/>
      <c r="D68" s="1580"/>
      <c r="E68" s="1581"/>
      <c r="F68" s="1436"/>
      <c r="G68" s="1547">
        <f t="shared" si="80"/>
        <v>0</v>
      </c>
      <c r="H68" s="1484"/>
      <c r="I68" s="1547">
        <f t="shared" si="81"/>
        <v>0</v>
      </c>
      <c r="J68" s="1484"/>
      <c r="K68" s="1484"/>
      <c r="L68" s="1436"/>
      <c r="M68" s="1437"/>
      <c r="N68" s="1437"/>
      <c r="O68" s="1485"/>
      <c r="P68" s="1486"/>
      <c r="Q68" s="1486"/>
      <c r="R68" s="1487"/>
      <c r="S68" s="1444"/>
      <c r="T68" s="1444"/>
      <c r="U68" s="1444"/>
      <c r="V68" s="1488"/>
      <c r="W68" s="1488"/>
      <c r="X68" s="1488"/>
      <c r="Y68" s="1488"/>
      <c r="Z68" s="1488"/>
      <c r="AA68" s="1488"/>
      <c r="AB68" s="1488"/>
      <c r="AC68" s="1488"/>
      <c r="AD68" s="1488"/>
      <c r="AE68" s="1488"/>
      <c r="AF68" s="1488"/>
      <c r="AG68" s="1488"/>
      <c r="AH68" s="1451">
        <f t="shared" si="42"/>
        <v>0</v>
      </c>
      <c r="AI68" s="1488"/>
      <c r="AJ68" s="1488"/>
      <c r="AK68" s="1488"/>
      <c r="AL68" s="1488"/>
      <c r="AM68" s="1488"/>
      <c r="AN68" s="1488"/>
      <c r="AO68" s="1488"/>
      <c r="AP68" s="1488"/>
      <c r="AQ68" s="1488"/>
      <c r="AR68" s="1488"/>
      <c r="AS68" s="1488"/>
      <c r="AT68" s="1542"/>
      <c r="AU68" s="1599">
        <f t="shared" si="54"/>
        <v>0</v>
      </c>
      <c r="AV68" s="1544">
        <f t="shared" si="82"/>
        <v>0</v>
      </c>
      <c r="AW68" s="1452">
        <f t="shared" si="55"/>
        <v>0</v>
      </c>
      <c r="AX68" s="1452">
        <f t="shared" si="56"/>
        <v>0</v>
      </c>
      <c r="AY68" s="1452">
        <f t="shared" si="57"/>
        <v>0</v>
      </c>
      <c r="AZ68" s="1452">
        <f t="shared" si="58"/>
        <v>0</v>
      </c>
      <c r="BA68" s="1452">
        <f t="shared" si="59"/>
        <v>0</v>
      </c>
      <c r="BB68" s="1452">
        <f t="shared" si="60"/>
        <v>0</v>
      </c>
      <c r="BC68" s="1452">
        <f t="shared" si="61"/>
        <v>0</v>
      </c>
      <c r="BD68" s="1452">
        <f t="shared" si="62"/>
        <v>0</v>
      </c>
      <c r="BE68" s="1452">
        <f t="shared" si="63"/>
        <v>0</v>
      </c>
      <c r="BF68" s="1452">
        <f t="shared" si="64"/>
        <v>0</v>
      </c>
      <c r="BG68" s="1452">
        <f t="shared" si="65"/>
        <v>0</v>
      </c>
      <c r="BH68" s="1452">
        <f t="shared" si="66"/>
        <v>0</v>
      </c>
      <c r="BI68" s="1452">
        <f t="shared" si="83"/>
        <v>0</v>
      </c>
      <c r="BJ68" s="1452" t="str">
        <f t="shared" si="67"/>
        <v/>
      </c>
      <c r="BK68" s="1452" t="str">
        <f t="shared" si="68"/>
        <v/>
      </c>
      <c r="BL68" s="1452" t="str">
        <f t="shared" si="69"/>
        <v/>
      </c>
      <c r="BM68" s="1452" t="str">
        <f t="shared" si="70"/>
        <v/>
      </c>
      <c r="BN68" s="1452" t="str">
        <f t="shared" ca="1" si="71"/>
        <v/>
      </c>
      <c r="BO68" s="1452" t="str">
        <f t="shared" si="84"/>
        <v/>
      </c>
      <c r="BP68" s="1452" t="str">
        <f t="shared" si="72"/>
        <v/>
      </c>
      <c r="BQ68" s="1452" t="str">
        <f t="shared" si="73"/>
        <v/>
      </c>
      <c r="BR68" s="1452" t="str">
        <f t="shared" si="74"/>
        <v/>
      </c>
      <c r="BS68" s="1452" t="str">
        <f t="shared" si="75"/>
        <v/>
      </c>
      <c r="BT68" s="1452" t="str">
        <f t="shared" si="76"/>
        <v/>
      </c>
      <c r="BU68" s="1452" t="str">
        <f t="shared" si="77"/>
        <v/>
      </c>
      <c r="BV68" s="1452" t="str">
        <f t="shared" si="78"/>
        <v/>
      </c>
      <c r="BW68" s="1558">
        <f t="shared" ca="1" si="85"/>
        <v>0</v>
      </c>
    </row>
    <row r="69" spans="1:75" s="9" customFormat="1" ht="12.5">
      <c r="A69" s="1483" t="str">
        <f t="shared" si="79"/>
        <v>Public Health Wales Trust</v>
      </c>
      <c r="B69" s="1580"/>
      <c r="C69" s="1580"/>
      <c r="D69" s="1580"/>
      <c r="E69" s="1581"/>
      <c r="F69" s="1436"/>
      <c r="G69" s="1547">
        <f t="shared" si="80"/>
        <v>0</v>
      </c>
      <c r="H69" s="1484"/>
      <c r="I69" s="1547">
        <f t="shared" si="81"/>
        <v>0</v>
      </c>
      <c r="J69" s="1484"/>
      <c r="K69" s="1484"/>
      <c r="L69" s="1436"/>
      <c r="M69" s="1437"/>
      <c r="N69" s="1437"/>
      <c r="O69" s="1485"/>
      <c r="P69" s="1486"/>
      <c r="Q69" s="1486"/>
      <c r="R69" s="1487"/>
      <c r="S69" s="1444"/>
      <c r="T69" s="1444"/>
      <c r="U69" s="1444"/>
      <c r="V69" s="1488"/>
      <c r="W69" s="1488"/>
      <c r="X69" s="1488"/>
      <c r="Y69" s="1488"/>
      <c r="Z69" s="1488"/>
      <c r="AA69" s="1488"/>
      <c r="AB69" s="1488"/>
      <c r="AC69" s="1488"/>
      <c r="AD69" s="1488"/>
      <c r="AE69" s="1488"/>
      <c r="AF69" s="1488"/>
      <c r="AG69" s="1488"/>
      <c r="AH69" s="1451">
        <f t="shared" si="42"/>
        <v>0</v>
      </c>
      <c r="AI69" s="1488"/>
      <c r="AJ69" s="1488"/>
      <c r="AK69" s="1488"/>
      <c r="AL69" s="1488"/>
      <c r="AM69" s="1488"/>
      <c r="AN69" s="1488"/>
      <c r="AO69" s="1488"/>
      <c r="AP69" s="1488"/>
      <c r="AQ69" s="1488"/>
      <c r="AR69" s="1488"/>
      <c r="AS69" s="1488"/>
      <c r="AT69" s="1542"/>
      <c r="AU69" s="1599">
        <f t="shared" si="54"/>
        <v>0</v>
      </c>
      <c r="AV69" s="1544">
        <f t="shared" si="82"/>
        <v>0</v>
      </c>
      <c r="AW69" s="1452">
        <f t="shared" si="55"/>
        <v>0</v>
      </c>
      <c r="AX69" s="1452">
        <f t="shared" si="56"/>
        <v>0</v>
      </c>
      <c r="AY69" s="1452">
        <f t="shared" si="57"/>
        <v>0</v>
      </c>
      <c r="AZ69" s="1452">
        <f t="shared" si="58"/>
        <v>0</v>
      </c>
      <c r="BA69" s="1452">
        <f t="shared" si="59"/>
        <v>0</v>
      </c>
      <c r="BB69" s="1452">
        <f t="shared" si="60"/>
        <v>0</v>
      </c>
      <c r="BC69" s="1452">
        <f t="shared" si="61"/>
        <v>0</v>
      </c>
      <c r="BD69" s="1452">
        <f t="shared" si="62"/>
        <v>0</v>
      </c>
      <c r="BE69" s="1452">
        <f t="shared" si="63"/>
        <v>0</v>
      </c>
      <c r="BF69" s="1452">
        <f t="shared" si="64"/>
        <v>0</v>
      </c>
      <c r="BG69" s="1452">
        <f t="shared" si="65"/>
        <v>0</v>
      </c>
      <c r="BH69" s="1452">
        <f t="shared" si="66"/>
        <v>0</v>
      </c>
      <c r="BI69" s="1452">
        <f t="shared" si="83"/>
        <v>0</v>
      </c>
      <c r="BJ69" s="1452" t="str">
        <f t="shared" si="67"/>
        <v/>
      </c>
      <c r="BK69" s="1452" t="str">
        <f t="shared" si="68"/>
        <v/>
      </c>
      <c r="BL69" s="1452" t="str">
        <f t="shared" si="69"/>
        <v/>
      </c>
      <c r="BM69" s="1452" t="str">
        <f t="shared" si="70"/>
        <v/>
      </c>
      <c r="BN69" s="1452" t="str">
        <f t="shared" ca="1" si="71"/>
        <v/>
      </c>
      <c r="BO69" s="1452" t="str">
        <f t="shared" si="84"/>
        <v/>
      </c>
      <c r="BP69" s="1452" t="str">
        <f t="shared" si="72"/>
        <v/>
      </c>
      <c r="BQ69" s="1452" t="str">
        <f t="shared" si="73"/>
        <v/>
      </c>
      <c r="BR69" s="1452" t="str">
        <f t="shared" si="74"/>
        <v/>
      </c>
      <c r="BS69" s="1452" t="str">
        <f t="shared" si="75"/>
        <v/>
      </c>
      <c r="BT69" s="1452" t="str">
        <f t="shared" si="76"/>
        <v/>
      </c>
      <c r="BU69" s="1452" t="str">
        <f t="shared" si="77"/>
        <v/>
      </c>
      <c r="BV69" s="1452" t="str">
        <f t="shared" si="78"/>
        <v/>
      </c>
      <c r="BW69" s="1558">
        <f t="shared" ca="1" si="85"/>
        <v>0</v>
      </c>
    </row>
    <row r="70" spans="1:75" s="9" customFormat="1" ht="12.5">
      <c r="A70" s="1483" t="str">
        <f t="shared" si="79"/>
        <v>Public Health Wales Trust</v>
      </c>
      <c r="B70" s="1580"/>
      <c r="C70" s="1580"/>
      <c r="D70" s="1580"/>
      <c r="E70" s="1581"/>
      <c r="F70" s="1436"/>
      <c r="G70" s="1547">
        <f t="shared" si="80"/>
        <v>0</v>
      </c>
      <c r="H70" s="1484"/>
      <c r="I70" s="1547">
        <f t="shared" si="81"/>
        <v>0</v>
      </c>
      <c r="J70" s="1484"/>
      <c r="K70" s="1484"/>
      <c r="L70" s="1436"/>
      <c r="M70" s="1437"/>
      <c r="N70" s="1437"/>
      <c r="O70" s="1485"/>
      <c r="P70" s="1486"/>
      <c r="Q70" s="1486"/>
      <c r="R70" s="1487"/>
      <c r="S70" s="1444"/>
      <c r="T70" s="1444"/>
      <c r="U70" s="1444"/>
      <c r="V70" s="1488"/>
      <c r="W70" s="1488"/>
      <c r="X70" s="1488"/>
      <c r="Y70" s="1488"/>
      <c r="Z70" s="1488"/>
      <c r="AA70" s="1488"/>
      <c r="AB70" s="1488"/>
      <c r="AC70" s="1488"/>
      <c r="AD70" s="1488"/>
      <c r="AE70" s="1488"/>
      <c r="AF70" s="1488"/>
      <c r="AG70" s="1488"/>
      <c r="AH70" s="1451">
        <f t="shared" si="42"/>
        <v>0</v>
      </c>
      <c r="AI70" s="1488"/>
      <c r="AJ70" s="1488"/>
      <c r="AK70" s="1488"/>
      <c r="AL70" s="1488"/>
      <c r="AM70" s="1488"/>
      <c r="AN70" s="1488"/>
      <c r="AO70" s="1488"/>
      <c r="AP70" s="1488"/>
      <c r="AQ70" s="1488"/>
      <c r="AR70" s="1488"/>
      <c r="AS70" s="1488"/>
      <c r="AT70" s="1542"/>
      <c r="AU70" s="1599">
        <f t="shared" si="54"/>
        <v>0</v>
      </c>
      <c r="AV70" s="1544">
        <f t="shared" si="82"/>
        <v>0</v>
      </c>
      <c r="AW70" s="1452">
        <f t="shared" si="55"/>
        <v>0</v>
      </c>
      <c r="AX70" s="1452">
        <f t="shared" si="56"/>
        <v>0</v>
      </c>
      <c r="AY70" s="1452">
        <f t="shared" si="57"/>
        <v>0</v>
      </c>
      <c r="AZ70" s="1452">
        <f t="shared" si="58"/>
        <v>0</v>
      </c>
      <c r="BA70" s="1452">
        <f t="shared" si="59"/>
        <v>0</v>
      </c>
      <c r="BB70" s="1452">
        <f t="shared" si="60"/>
        <v>0</v>
      </c>
      <c r="BC70" s="1452">
        <f t="shared" si="61"/>
        <v>0</v>
      </c>
      <c r="BD70" s="1452">
        <f t="shared" si="62"/>
        <v>0</v>
      </c>
      <c r="BE70" s="1452">
        <f t="shared" si="63"/>
        <v>0</v>
      </c>
      <c r="BF70" s="1452">
        <f t="shared" si="64"/>
        <v>0</v>
      </c>
      <c r="BG70" s="1452">
        <f t="shared" si="65"/>
        <v>0</v>
      </c>
      <c r="BH70" s="1452">
        <f t="shared" si="66"/>
        <v>0</v>
      </c>
      <c r="BI70" s="1452">
        <f t="shared" si="83"/>
        <v>0</v>
      </c>
      <c r="BJ70" s="1452" t="str">
        <f t="shared" si="67"/>
        <v/>
      </c>
      <c r="BK70" s="1452" t="str">
        <f t="shared" si="68"/>
        <v/>
      </c>
      <c r="BL70" s="1452" t="str">
        <f t="shared" si="69"/>
        <v/>
      </c>
      <c r="BM70" s="1452" t="str">
        <f t="shared" si="70"/>
        <v/>
      </c>
      <c r="BN70" s="1452" t="str">
        <f t="shared" ca="1" si="71"/>
        <v/>
      </c>
      <c r="BO70" s="1452" t="str">
        <f t="shared" si="84"/>
        <v/>
      </c>
      <c r="BP70" s="1452" t="str">
        <f t="shared" si="72"/>
        <v/>
      </c>
      <c r="BQ70" s="1452" t="str">
        <f t="shared" si="73"/>
        <v/>
      </c>
      <c r="BR70" s="1452" t="str">
        <f t="shared" si="74"/>
        <v/>
      </c>
      <c r="BS70" s="1452" t="str">
        <f t="shared" si="75"/>
        <v/>
      </c>
      <c r="BT70" s="1452" t="str">
        <f t="shared" si="76"/>
        <v/>
      </c>
      <c r="BU70" s="1452" t="str">
        <f t="shared" si="77"/>
        <v/>
      </c>
      <c r="BV70" s="1452" t="str">
        <f t="shared" si="78"/>
        <v/>
      </c>
      <c r="BW70" s="1558">
        <f t="shared" ca="1" si="85"/>
        <v>0</v>
      </c>
    </row>
    <row r="71" spans="1:75" s="9" customFormat="1" ht="12.5">
      <c r="A71" s="1483" t="str">
        <f t="shared" si="79"/>
        <v>Public Health Wales Trust</v>
      </c>
      <c r="B71" s="1580"/>
      <c r="C71" s="1580"/>
      <c r="D71" s="1580"/>
      <c r="E71" s="1581"/>
      <c r="F71" s="1436"/>
      <c r="G71" s="1547">
        <f t="shared" si="80"/>
        <v>0</v>
      </c>
      <c r="H71" s="1484"/>
      <c r="I71" s="1547">
        <f t="shared" si="81"/>
        <v>0</v>
      </c>
      <c r="J71" s="1484"/>
      <c r="K71" s="1484"/>
      <c r="L71" s="1436"/>
      <c r="M71" s="1437"/>
      <c r="N71" s="1437"/>
      <c r="O71" s="1485"/>
      <c r="P71" s="1486"/>
      <c r="Q71" s="1486"/>
      <c r="R71" s="1487"/>
      <c r="S71" s="1444"/>
      <c r="T71" s="1444"/>
      <c r="U71" s="1444"/>
      <c r="V71" s="1488"/>
      <c r="W71" s="1488"/>
      <c r="X71" s="1488"/>
      <c r="Y71" s="1488"/>
      <c r="Z71" s="1488"/>
      <c r="AA71" s="1488"/>
      <c r="AB71" s="1488"/>
      <c r="AC71" s="1488"/>
      <c r="AD71" s="1488"/>
      <c r="AE71" s="1488"/>
      <c r="AF71" s="1488"/>
      <c r="AG71" s="1488"/>
      <c r="AH71" s="1451">
        <f t="shared" si="42"/>
        <v>0</v>
      </c>
      <c r="AI71" s="1488"/>
      <c r="AJ71" s="1488"/>
      <c r="AK71" s="1488"/>
      <c r="AL71" s="1488"/>
      <c r="AM71" s="1488"/>
      <c r="AN71" s="1488"/>
      <c r="AO71" s="1488"/>
      <c r="AP71" s="1488"/>
      <c r="AQ71" s="1488"/>
      <c r="AR71" s="1488"/>
      <c r="AS71" s="1488"/>
      <c r="AT71" s="1542"/>
      <c r="AU71" s="1599">
        <f t="shared" si="54"/>
        <v>0</v>
      </c>
      <c r="AV71" s="1544">
        <f t="shared" si="82"/>
        <v>0</v>
      </c>
      <c r="AW71" s="1452">
        <f t="shared" si="55"/>
        <v>0</v>
      </c>
      <c r="AX71" s="1452">
        <f t="shared" si="56"/>
        <v>0</v>
      </c>
      <c r="AY71" s="1452">
        <f t="shared" si="57"/>
        <v>0</v>
      </c>
      <c r="AZ71" s="1452">
        <f t="shared" si="58"/>
        <v>0</v>
      </c>
      <c r="BA71" s="1452">
        <f t="shared" si="59"/>
        <v>0</v>
      </c>
      <c r="BB71" s="1452">
        <f t="shared" si="60"/>
        <v>0</v>
      </c>
      <c r="BC71" s="1452">
        <f t="shared" si="61"/>
        <v>0</v>
      </c>
      <c r="BD71" s="1452">
        <f t="shared" si="62"/>
        <v>0</v>
      </c>
      <c r="BE71" s="1452">
        <f t="shared" si="63"/>
        <v>0</v>
      </c>
      <c r="BF71" s="1452">
        <f t="shared" si="64"/>
        <v>0</v>
      </c>
      <c r="BG71" s="1452">
        <f t="shared" si="65"/>
        <v>0</v>
      </c>
      <c r="BH71" s="1452">
        <f t="shared" si="66"/>
        <v>0</v>
      </c>
      <c r="BI71" s="1452">
        <f t="shared" si="83"/>
        <v>0</v>
      </c>
      <c r="BJ71" s="1452" t="str">
        <f t="shared" si="67"/>
        <v/>
      </c>
      <c r="BK71" s="1452" t="str">
        <f t="shared" si="68"/>
        <v/>
      </c>
      <c r="BL71" s="1452" t="str">
        <f t="shared" si="69"/>
        <v/>
      </c>
      <c r="BM71" s="1452" t="str">
        <f t="shared" si="70"/>
        <v/>
      </c>
      <c r="BN71" s="1452" t="str">
        <f t="shared" ca="1" si="71"/>
        <v/>
      </c>
      <c r="BO71" s="1452" t="str">
        <f t="shared" si="84"/>
        <v/>
      </c>
      <c r="BP71" s="1452" t="str">
        <f t="shared" si="72"/>
        <v/>
      </c>
      <c r="BQ71" s="1452" t="str">
        <f t="shared" si="73"/>
        <v/>
      </c>
      <c r="BR71" s="1452" t="str">
        <f t="shared" si="74"/>
        <v/>
      </c>
      <c r="BS71" s="1452" t="str">
        <f t="shared" si="75"/>
        <v/>
      </c>
      <c r="BT71" s="1452" t="str">
        <f t="shared" si="76"/>
        <v/>
      </c>
      <c r="BU71" s="1452" t="str">
        <f t="shared" si="77"/>
        <v/>
      </c>
      <c r="BV71" s="1452" t="str">
        <f t="shared" si="78"/>
        <v/>
      </c>
      <c r="BW71" s="1558">
        <f t="shared" ca="1" si="85"/>
        <v>0</v>
      </c>
    </row>
    <row r="72" spans="1:75" s="9" customFormat="1" ht="12.5">
      <c r="A72" s="1483" t="str">
        <f t="shared" si="79"/>
        <v>Public Health Wales Trust</v>
      </c>
      <c r="B72" s="1580"/>
      <c r="C72" s="1580"/>
      <c r="D72" s="1580"/>
      <c r="E72" s="1581"/>
      <c r="F72" s="1436"/>
      <c r="G72" s="1547">
        <f t="shared" si="80"/>
        <v>0</v>
      </c>
      <c r="H72" s="1484"/>
      <c r="I72" s="1547">
        <f t="shared" si="81"/>
        <v>0</v>
      </c>
      <c r="J72" s="1484"/>
      <c r="K72" s="1484"/>
      <c r="L72" s="1436"/>
      <c r="M72" s="1437"/>
      <c r="N72" s="1437"/>
      <c r="O72" s="1485"/>
      <c r="P72" s="1486"/>
      <c r="Q72" s="1486"/>
      <c r="R72" s="1487"/>
      <c r="S72" s="1444"/>
      <c r="T72" s="1444"/>
      <c r="U72" s="1444"/>
      <c r="V72" s="1488"/>
      <c r="W72" s="1488"/>
      <c r="X72" s="1488"/>
      <c r="Y72" s="1488"/>
      <c r="Z72" s="1488"/>
      <c r="AA72" s="1488"/>
      <c r="AB72" s="1488"/>
      <c r="AC72" s="1488"/>
      <c r="AD72" s="1488"/>
      <c r="AE72" s="1488"/>
      <c r="AF72" s="1488"/>
      <c r="AG72" s="1488"/>
      <c r="AH72" s="1451">
        <f t="shared" si="42"/>
        <v>0</v>
      </c>
      <c r="AI72" s="1488"/>
      <c r="AJ72" s="1488"/>
      <c r="AK72" s="1488"/>
      <c r="AL72" s="1488"/>
      <c r="AM72" s="1488"/>
      <c r="AN72" s="1488"/>
      <c r="AO72" s="1488"/>
      <c r="AP72" s="1488"/>
      <c r="AQ72" s="1488"/>
      <c r="AR72" s="1488"/>
      <c r="AS72" s="1488"/>
      <c r="AT72" s="1542"/>
      <c r="AU72" s="1599">
        <f t="shared" si="54"/>
        <v>0</v>
      </c>
      <c r="AV72" s="1544">
        <f t="shared" si="82"/>
        <v>0</v>
      </c>
      <c r="AW72" s="1452">
        <f t="shared" si="55"/>
        <v>0</v>
      </c>
      <c r="AX72" s="1452">
        <f t="shared" si="56"/>
        <v>0</v>
      </c>
      <c r="AY72" s="1452">
        <f t="shared" si="57"/>
        <v>0</v>
      </c>
      <c r="AZ72" s="1452">
        <f t="shared" si="58"/>
        <v>0</v>
      </c>
      <c r="BA72" s="1452">
        <f t="shared" si="59"/>
        <v>0</v>
      </c>
      <c r="BB72" s="1452">
        <f t="shared" si="60"/>
        <v>0</v>
      </c>
      <c r="BC72" s="1452">
        <f t="shared" si="61"/>
        <v>0</v>
      </c>
      <c r="BD72" s="1452">
        <f t="shared" si="62"/>
        <v>0</v>
      </c>
      <c r="BE72" s="1452">
        <f t="shared" si="63"/>
        <v>0</v>
      </c>
      <c r="BF72" s="1452">
        <f t="shared" si="64"/>
        <v>0</v>
      </c>
      <c r="BG72" s="1452">
        <f t="shared" si="65"/>
        <v>0</v>
      </c>
      <c r="BH72" s="1452">
        <f t="shared" si="66"/>
        <v>0</v>
      </c>
      <c r="BI72" s="1452">
        <f t="shared" si="83"/>
        <v>0</v>
      </c>
      <c r="BJ72" s="1452" t="str">
        <f t="shared" si="67"/>
        <v/>
      </c>
      <c r="BK72" s="1452" t="str">
        <f t="shared" si="68"/>
        <v/>
      </c>
      <c r="BL72" s="1452" t="str">
        <f t="shared" si="69"/>
        <v/>
      </c>
      <c r="BM72" s="1452" t="str">
        <f t="shared" si="70"/>
        <v/>
      </c>
      <c r="BN72" s="1452" t="str">
        <f t="shared" ca="1" si="71"/>
        <v/>
      </c>
      <c r="BO72" s="1452" t="str">
        <f t="shared" si="84"/>
        <v/>
      </c>
      <c r="BP72" s="1452" t="str">
        <f t="shared" si="72"/>
        <v/>
      </c>
      <c r="BQ72" s="1452" t="str">
        <f t="shared" si="73"/>
        <v/>
      </c>
      <c r="BR72" s="1452" t="str">
        <f t="shared" si="74"/>
        <v/>
      </c>
      <c r="BS72" s="1452" t="str">
        <f t="shared" si="75"/>
        <v/>
      </c>
      <c r="BT72" s="1452" t="str">
        <f t="shared" si="76"/>
        <v/>
      </c>
      <c r="BU72" s="1452" t="str">
        <f t="shared" si="77"/>
        <v/>
      </c>
      <c r="BV72" s="1452" t="str">
        <f t="shared" si="78"/>
        <v/>
      </c>
      <c r="BW72" s="1558">
        <f t="shared" ca="1" si="85"/>
        <v>0</v>
      </c>
    </row>
    <row r="73" spans="1:75" s="9" customFormat="1" ht="12.5">
      <c r="A73" s="1483" t="str">
        <f t="shared" si="79"/>
        <v>Public Health Wales Trust</v>
      </c>
      <c r="B73" s="1580"/>
      <c r="C73" s="1580"/>
      <c r="D73" s="1580"/>
      <c r="E73" s="1581"/>
      <c r="F73" s="1436"/>
      <c r="G73" s="1547">
        <f t="shared" si="80"/>
        <v>0</v>
      </c>
      <c r="H73" s="1484"/>
      <c r="I73" s="1547">
        <f t="shared" si="81"/>
        <v>0</v>
      </c>
      <c r="J73" s="1484"/>
      <c r="K73" s="1484"/>
      <c r="L73" s="1436"/>
      <c r="M73" s="1437"/>
      <c r="N73" s="1437"/>
      <c r="O73" s="1485"/>
      <c r="P73" s="1486"/>
      <c r="Q73" s="1486"/>
      <c r="R73" s="1487"/>
      <c r="S73" s="1444"/>
      <c r="T73" s="1444"/>
      <c r="U73" s="1444"/>
      <c r="V73" s="1488"/>
      <c r="W73" s="1488"/>
      <c r="X73" s="1488"/>
      <c r="Y73" s="1488"/>
      <c r="Z73" s="1488"/>
      <c r="AA73" s="1488"/>
      <c r="AB73" s="1488"/>
      <c r="AC73" s="1488"/>
      <c r="AD73" s="1488"/>
      <c r="AE73" s="1488"/>
      <c r="AF73" s="1488"/>
      <c r="AG73" s="1488"/>
      <c r="AH73" s="1451">
        <f t="shared" si="42"/>
        <v>0</v>
      </c>
      <c r="AI73" s="1488"/>
      <c r="AJ73" s="1488"/>
      <c r="AK73" s="1488"/>
      <c r="AL73" s="1488"/>
      <c r="AM73" s="1488"/>
      <c r="AN73" s="1488"/>
      <c r="AO73" s="1488"/>
      <c r="AP73" s="1488"/>
      <c r="AQ73" s="1488"/>
      <c r="AR73" s="1488"/>
      <c r="AS73" s="1488"/>
      <c r="AT73" s="1542"/>
      <c r="AU73" s="1599">
        <f t="shared" si="54"/>
        <v>0</v>
      </c>
      <c r="AV73" s="1544">
        <f t="shared" si="82"/>
        <v>0</v>
      </c>
      <c r="AW73" s="1452">
        <f t="shared" si="55"/>
        <v>0</v>
      </c>
      <c r="AX73" s="1452">
        <f t="shared" si="56"/>
        <v>0</v>
      </c>
      <c r="AY73" s="1452">
        <f t="shared" si="57"/>
        <v>0</v>
      </c>
      <c r="AZ73" s="1452">
        <f t="shared" si="58"/>
        <v>0</v>
      </c>
      <c r="BA73" s="1452">
        <f t="shared" si="59"/>
        <v>0</v>
      </c>
      <c r="BB73" s="1452">
        <f t="shared" si="60"/>
        <v>0</v>
      </c>
      <c r="BC73" s="1452">
        <f t="shared" si="61"/>
        <v>0</v>
      </c>
      <c r="BD73" s="1452">
        <f t="shared" si="62"/>
        <v>0</v>
      </c>
      <c r="BE73" s="1452">
        <f t="shared" si="63"/>
        <v>0</v>
      </c>
      <c r="BF73" s="1452">
        <f t="shared" si="64"/>
        <v>0</v>
      </c>
      <c r="BG73" s="1452">
        <f t="shared" si="65"/>
        <v>0</v>
      </c>
      <c r="BH73" s="1452">
        <f t="shared" si="66"/>
        <v>0</v>
      </c>
      <c r="BI73" s="1452">
        <f t="shared" si="83"/>
        <v>0</v>
      </c>
      <c r="BJ73" s="1452" t="str">
        <f t="shared" si="67"/>
        <v/>
      </c>
      <c r="BK73" s="1452" t="str">
        <f t="shared" si="68"/>
        <v/>
      </c>
      <c r="BL73" s="1452" t="str">
        <f t="shared" si="69"/>
        <v/>
      </c>
      <c r="BM73" s="1452" t="str">
        <f t="shared" si="70"/>
        <v/>
      </c>
      <c r="BN73" s="1452" t="str">
        <f t="shared" ca="1" si="71"/>
        <v/>
      </c>
      <c r="BO73" s="1452" t="str">
        <f t="shared" si="84"/>
        <v/>
      </c>
      <c r="BP73" s="1452" t="str">
        <f t="shared" si="72"/>
        <v/>
      </c>
      <c r="BQ73" s="1452" t="str">
        <f t="shared" si="73"/>
        <v/>
      </c>
      <c r="BR73" s="1452" t="str">
        <f t="shared" si="74"/>
        <v/>
      </c>
      <c r="BS73" s="1452" t="str">
        <f t="shared" si="75"/>
        <v/>
      </c>
      <c r="BT73" s="1452" t="str">
        <f t="shared" si="76"/>
        <v/>
      </c>
      <c r="BU73" s="1452" t="str">
        <f t="shared" si="77"/>
        <v/>
      </c>
      <c r="BV73" s="1452" t="str">
        <f t="shared" si="78"/>
        <v/>
      </c>
      <c r="BW73" s="1558">
        <f t="shared" ca="1" si="85"/>
        <v>0</v>
      </c>
    </row>
    <row r="74" spans="1:75" s="9" customFormat="1" ht="12.5">
      <c r="A74" s="1483" t="str">
        <f t="shared" si="79"/>
        <v>Public Health Wales Trust</v>
      </c>
      <c r="B74" s="1580"/>
      <c r="C74" s="1580"/>
      <c r="D74" s="1580"/>
      <c r="E74" s="1581"/>
      <c r="F74" s="1436"/>
      <c r="G74" s="1547">
        <f t="shared" si="80"/>
        <v>0</v>
      </c>
      <c r="H74" s="1484"/>
      <c r="I74" s="1547">
        <f t="shared" si="81"/>
        <v>0</v>
      </c>
      <c r="J74" s="1484"/>
      <c r="K74" s="1484"/>
      <c r="L74" s="1436"/>
      <c r="M74" s="1437"/>
      <c r="N74" s="1437"/>
      <c r="O74" s="1485"/>
      <c r="P74" s="1486"/>
      <c r="Q74" s="1486"/>
      <c r="R74" s="1487"/>
      <c r="S74" s="1444"/>
      <c r="T74" s="1444"/>
      <c r="U74" s="1444"/>
      <c r="V74" s="1488"/>
      <c r="W74" s="1488"/>
      <c r="X74" s="1488"/>
      <c r="Y74" s="1488"/>
      <c r="Z74" s="1488"/>
      <c r="AA74" s="1488"/>
      <c r="AB74" s="1488"/>
      <c r="AC74" s="1488"/>
      <c r="AD74" s="1488"/>
      <c r="AE74" s="1488"/>
      <c r="AF74" s="1488"/>
      <c r="AG74" s="1488"/>
      <c r="AH74" s="1451">
        <f t="shared" si="42"/>
        <v>0</v>
      </c>
      <c r="AI74" s="1488"/>
      <c r="AJ74" s="1488"/>
      <c r="AK74" s="1488"/>
      <c r="AL74" s="1488"/>
      <c r="AM74" s="1488"/>
      <c r="AN74" s="1488"/>
      <c r="AO74" s="1488"/>
      <c r="AP74" s="1488"/>
      <c r="AQ74" s="1488"/>
      <c r="AR74" s="1488"/>
      <c r="AS74" s="1488"/>
      <c r="AT74" s="1542"/>
      <c r="AU74" s="1599">
        <f t="shared" si="54"/>
        <v>0</v>
      </c>
      <c r="AV74" s="1544">
        <f t="shared" si="82"/>
        <v>0</v>
      </c>
      <c r="AW74" s="1452">
        <f t="shared" si="55"/>
        <v>0</v>
      </c>
      <c r="AX74" s="1452">
        <f t="shared" si="56"/>
        <v>0</v>
      </c>
      <c r="AY74" s="1452">
        <f t="shared" si="57"/>
        <v>0</v>
      </c>
      <c r="AZ74" s="1452">
        <f t="shared" si="58"/>
        <v>0</v>
      </c>
      <c r="BA74" s="1452">
        <f t="shared" si="59"/>
        <v>0</v>
      </c>
      <c r="BB74" s="1452">
        <f t="shared" si="60"/>
        <v>0</v>
      </c>
      <c r="BC74" s="1452">
        <f t="shared" si="61"/>
        <v>0</v>
      </c>
      <c r="BD74" s="1452">
        <f t="shared" si="62"/>
        <v>0</v>
      </c>
      <c r="BE74" s="1452">
        <f t="shared" si="63"/>
        <v>0</v>
      </c>
      <c r="BF74" s="1452">
        <f t="shared" si="64"/>
        <v>0</v>
      </c>
      <c r="BG74" s="1452">
        <f t="shared" si="65"/>
        <v>0</v>
      </c>
      <c r="BH74" s="1452">
        <f t="shared" si="66"/>
        <v>0</v>
      </c>
      <c r="BI74" s="1452">
        <f t="shared" si="83"/>
        <v>0</v>
      </c>
      <c r="BJ74" s="1452" t="str">
        <f t="shared" si="67"/>
        <v/>
      </c>
      <c r="BK74" s="1452" t="str">
        <f t="shared" si="68"/>
        <v/>
      </c>
      <c r="BL74" s="1452" t="str">
        <f t="shared" si="69"/>
        <v/>
      </c>
      <c r="BM74" s="1452" t="str">
        <f t="shared" si="70"/>
        <v/>
      </c>
      <c r="BN74" s="1452" t="str">
        <f t="shared" ca="1" si="71"/>
        <v/>
      </c>
      <c r="BO74" s="1452" t="str">
        <f t="shared" si="84"/>
        <v/>
      </c>
      <c r="BP74" s="1452" t="str">
        <f t="shared" si="72"/>
        <v/>
      </c>
      <c r="BQ74" s="1452" t="str">
        <f t="shared" si="73"/>
        <v/>
      </c>
      <c r="BR74" s="1452" t="str">
        <f t="shared" si="74"/>
        <v/>
      </c>
      <c r="BS74" s="1452" t="str">
        <f t="shared" si="75"/>
        <v/>
      </c>
      <c r="BT74" s="1452" t="str">
        <f t="shared" si="76"/>
        <v/>
      </c>
      <c r="BU74" s="1452" t="str">
        <f t="shared" si="77"/>
        <v/>
      </c>
      <c r="BV74" s="1452" t="str">
        <f t="shared" si="78"/>
        <v/>
      </c>
      <c r="BW74" s="1558">
        <f t="shared" ca="1" si="85"/>
        <v>0</v>
      </c>
    </row>
    <row r="75" spans="1:75" s="9" customFormat="1" ht="12.5">
      <c r="A75" s="1483" t="str">
        <f t="shared" si="79"/>
        <v>Public Health Wales Trust</v>
      </c>
      <c r="B75" s="1580"/>
      <c r="C75" s="1580"/>
      <c r="D75" s="1580"/>
      <c r="E75" s="1581"/>
      <c r="F75" s="1436"/>
      <c r="G75" s="1547">
        <f t="shared" si="80"/>
        <v>0</v>
      </c>
      <c r="H75" s="1484"/>
      <c r="I75" s="1547">
        <f t="shared" si="81"/>
        <v>0</v>
      </c>
      <c r="J75" s="1484"/>
      <c r="K75" s="1484"/>
      <c r="L75" s="1436"/>
      <c r="M75" s="1437"/>
      <c r="N75" s="1437"/>
      <c r="O75" s="1485"/>
      <c r="P75" s="1486"/>
      <c r="Q75" s="1486"/>
      <c r="R75" s="1487"/>
      <c r="S75" s="1444"/>
      <c r="T75" s="1444"/>
      <c r="U75" s="1444"/>
      <c r="V75" s="1488"/>
      <c r="W75" s="1488"/>
      <c r="X75" s="1488"/>
      <c r="Y75" s="1488"/>
      <c r="Z75" s="1488"/>
      <c r="AA75" s="1488"/>
      <c r="AB75" s="1488"/>
      <c r="AC75" s="1488"/>
      <c r="AD75" s="1488"/>
      <c r="AE75" s="1488"/>
      <c r="AF75" s="1488"/>
      <c r="AG75" s="1488"/>
      <c r="AH75" s="1451">
        <f t="shared" si="42"/>
        <v>0</v>
      </c>
      <c r="AI75" s="1488"/>
      <c r="AJ75" s="1488"/>
      <c r="AK75" s="1488"/>
      <c r="AL75" s="1488"/>
      <c r="AM75" s="1488"/>
      <c r="AN75" s="1488"/>
      <c r="AO75" s="1488"/>
      <c r="AP75" s="1488"/>
      <c r="AQ75" s="1488"/>
      <c r="AR75" s="1488"/>
      <c r="AS75" s="1488"/>
      <c r="AT75" s="1542"/>
      <c r="AU75" s="1599">
        <f t="shared" si="54"/>
        <v>0</v>
      </c>
      <c r="AV75" s="1544">
        <f t="shared" si="82"/>
        <v>0</v>
      </c>
      <c r="AW75" s="1452">
        <f t="shared" si="55"/>
        <v>0</v>
      </c>
      <c r="AX75" s="1452">
        <f t="shared" si="56"/>
        <v>0</v>
      </c>
      <c r="AY75" s="1452">
        <f t="shared" si="57"/>
        <v>0</v>
      </c>
      <c r="AZ75" s="1452">
        <f t="shared" si="58"/>
        <v>0</v>
      </c>
      <c r="BA75" s="1452">
        <f t="shared" si="59"/>
        <v>0</v>
      </c>
      <c r="BB75" s="1452">
        <f t="shared" si="60"/>
        <v>0</v>
      </c>
      <c r="BC75" s="1452">
        <f t="shared" si="61"/>
        <v>0</v>
      </c>
      <c r="BD75" s="1452">
        <f t="shared" si="62"/>
        <v>0</v>
      </c>
      <c r="BE75" s="1452">
        <f t="shared" si="63"/>
        <v>0</v>
      </c>
      <c r="BF75" s="1452">
        <f t="shared" si="64"/>
        <v>0</v>
      </c>
      <c r="BG75" s="1452">
        <f t="shared" si="65"/>
        <v>0</v>
      </c>
      <c r="BH75" s="1452">
        <f t="shared" si="66"/>
        <v>0</v>
      </c>
      <c r="BI75" s="1452">
        <f t="shared" si="83"/>
        <v>0</v>
      </c>
      <c r="BJ75" s="1452" t="str">
        <f t="shared" si="67"/>
        <v/>
      </c>
      <c r="BK75" s="1452" t="str">
        <f t="shared" si="68"/>
        <v/>
      </c>
      <c r="BL75" s="1452" t="str">
        <f t="shared" si="69"/>
        <v/>
      </c>
      <c r="BM75" s="1452" t="str">
        <f t="shared" si="70"/>
        <v/>
      </c>
      <c r="BN75" s="1452" t="str">
        <f t="shared" ca="1" si="71"/>
        <v/>
      </c>
      <c r="BO75" s="1452" t="str">
        <f t="shared" si="84"/>
        <v/>
      </c>
      <c r="BP75" s="1452" t="str">
        <f t="shared" si="72"/>
        <v/>
      </c>
      <c r="BQ75" s="1452" t="str">
        <f t="shared" si="73"/>
        <v/>
      </c>
      <c r="BR75" s="1452" t="str">
        <f t="shared" si="74"/>
        <v/>
      </c>
      <c r="BS75" s="1452" t="str">
        <f t="shared" si="75"/>
        <v/>
      </c>
      <c r="BT75" s="1452" t="str">
        <f t="shared" si="76"/>
        <v/>
      </c>
      <c r="BU75" s="1452" t="str">
        <f t="shared" si="77"/>
        <v/>
      </c>
      <c r="BV75" s="1452" t="str">
        <f t="shared" si="78"/>
        <v/>
      </c>
      <c r="BW75" s="1558">
        <f t="shared" ca="1" si="85"/>
        <v>0</v>
      </c>
    </row>
    <row r="76" spans="1:75" s="9" customFormat="1" ht="12.5">
      <c r="A76" s="1483" t="str">
        <f t="shared" si="79"/>
        <v>Public Health Wales Trust</v>
      </c>
      <c r="B76" s="1580"/>
      <c r="C76" s="1580"/>
      <c r="D76" s="1580"/>
      <c r="E76" s="1581"/>
      <c r="F76" s="1436"/>
      <c r="G76" s="1547">
        <f t="shared" si="80"/>
        <v>0</v>
      </c>
      <c r="H76" s="1484"/>
      <c r="I76" s="1547">
        <f t="shared" si="81"/>
        <v>0</v>
      </c>
      <c r="J76" s="1484"/>
      <c r="K76" s="1484"/>
      <c r="L76" s="1436"/>
      <c r="M76" s="1437"/>
      <c r="N76" s="1437"/>
      <c r="O76" s="1485"/>
      <c r="P76" s="1486"/>
      <c r="Q76" s="1486"/>
      <c r="R76" s="1487"/>
      <c r="S76" s="1444"/>
      <c r="T76" s="1444"/>
      <c r="U76" s="1444"/>
      <c r="V76" s="1488"/>
      <c r="W76" s="1488"/>
      <c r="X76" s="1488"/>
      <c r="Y76" s="1488"/>
      <c r="Z76" s="1488"/>
      <c r="AA76" s="1488"/>
      <c r="AB76" s="1488"/>
      <c r="AC76" s="1488"/>
      <c r="AD76" s="1488"/>
      <c r="AE76" s="1488"/>
      <c r="AF76" s="1488"/>
      <c r="AG76" s="1488"/>
      <c r="AH76" s="1451">
        <f t="shared" si="42"/>
        <v>0</v>
      </c>
      <c r="AI76" s="1488"/>
      <c r="AJ76" s="1488"/>
      <c r="AK76" s="1488"/>
      <c r="AL76" s="1488"/>
      <c r="AM76" s="1488"/>
      <c r="AN76" s="1488"/>
      <c r="AO76" s="1488"/>
      <c r="AP76" s="1488"/>
      <c r="AQ76" s="1488"/>
      <c r="AR76" s="1488"/>
      <c r="AS76" s="1488"/>
      <c r="AT76" s="1542"/>
      <c r="AU76" s="1599">
        <f t="shared" si="54"/>
        <v>0</v>
      </c>
      <c r="AV76" s="1544">
        <f t="shared" si="82"/>
        <v>0</v>
      </c>
      <c r="AW76" s="1452">
        <f t="shared" si="55"/>
        <v>0</v>
      </c>
      <c r="AX76" s="1452">
        <f t="shared" si="56"/>
        <v>0</v>
      </c>
      <c r="AY76" s="1452">
        <f t="shared" si="57"/>
        <v>0</v>
      </c>
      <c r="AZ76" s="1452">
        <f t="shared" si="58"/>
        <v>0</v>
      </c>
      <c r="BA76" s="1452">
        <f t="shared" si="59"/>
        <v>0</v>
      </c>
      <c r="BB76" s="1452">
        <f t="shared" si="60"/>
        <v>0</v>
      </c>
      <c r="BC76" s="1452">
        <f t="shared" si="61"/>
        <v>0</v>
      </c>
      <c r="BD76" s="1452">
        <f t="shared" si="62"/>
        <v>0</v>
      </c>
      <c r="BE76" s="1452">
        <f t="shared" si="63"/>
        <v>0</v>
      </c>
      <c r="BF76" s="1452">
        <f t="shared" si="64"/>
        <v>0</v>
      </c>
      <c r="BG76" s="1452">
        <f t="shared" si="65"/>
        <v>0</v>
      </c>
      <c r="BH76" s="1452">
        <f t="shared" si="66"/>
        <v>0</v>
      </c>
      <c r="BI76" s="1452">
        <f t="shared" si="83"/>
        <v>0</v>
      </c>
      <c r="BJ76" s="1452" t="str">
        <f t="shared" si="67"/>
        <v/>
      </c>
      <c r="BK76" s="1452" t="str">
        <f t="shared" si="68"/>
        <v/>
      </c>
      <c r="BL76" s="1452" t="str">
        <f t="shared" si="69"/>
        <v/>
      </c>
      <c r="BM76" s="1452" t="str">
        <f t="shared" si="70"/>
        <v/>
      </c>
      <c r="BN76" s="1452" t="str">
        <f t="shared" ca="1" si="71"/>
        <v/>
      </c>
      <c r="BO76" s="1452" t="str">
        <f t="shared" si="84"/>
        <v/>
      </c>
      <c r="BP76" s="1452" t="str">
        <f t="shared" si="72"/>
        <v/>
      </c>
      <c r="BQ76" s="1452" t="str">
        <f t="shared" si="73"/>
        <v/>
      </c>
      <c r="BR76" s="1452" t="str">
        <f t="shared" si="74"/>
        <v/>
      </c>
      <c r="BS76" s="1452" t="str">
        <f t="shared" si="75"/>
        <v/>
      </c>
      <c r="BT76" s="1452" t="str">
        <f t="shared" si="76"/>
        <v/>
      </c>
      <c r="BU76" s="1452" t="str">
        <f t="shared" si="77"/>
        <v/>
      </c>
      <c r="BV76" s="1452" t="str">
        <f t="shared" si="78"/>
        <v/>
      </c>
      <c r="BW76" s="1558">
        <f t="shared" ca="1" si="85"/>
        <v>0</v>
      </c>
    </row>
    <row r="77" spans="1:75" s="9" customFormat="1" ht="12.5">
      <c r="A77" s="1483" t="str">
        <f t="shared" si="79"/>
        <v>Public Health Wales Trust</v>
      </c>
      <c r="B77" s="1580"/>
      <c r="C77" s="1580"/>
      <c r="D77" s="1580"/>
      <c r="E77" s="1581"/>
      <c r="F77" s="1436"/>
      <c r="G77" s="1547">
        <f t="shared" si="80"/>
        <v>0</v>
      </c>
      <c r="H77" s="1484"/>
      <c r="I77" s="1547">
        <f t="shared" si="81"/>
        <v>0</v>
      </c>
      <c r="J77" s="1484"/>
      <c r="K77" s="1484"/>
      <c r="L77" s="1436"/>
      <c r="M77" s="1437"/>
      <c r="N77" s="1437"/>
      <c r="O77" s="1485"/>
      <c r="P77" s="1486"/>
      <c r="Q77" s="1486"/>
      <c r="R77" s="1487"/>
      <c r="S77" s="1444"/>
      <c r="T77" s="1444"/>
      <c r="U77" s="1444"/>
      <c r="V77" s="1488"/>
      <c r="W77" s="1488"/>
      <c r="X77" s="1488"/>
      <c r="Y77" s="1488"/>
      <c r="Z77" s="1488"/>
      <c r="AA77" s="1488"/>
      <c r="AB77" s="1488"/>
      <c r="AC77" s="1488"/>
      <c r="AD77" s="1488"/>
      <c r="AE77" s="1488"/>
      <c r="AF77" s="1488"/>
      <c r="AG77" s="1488"/>
      <c r="AH77" s="1451">
        <f t="shared" si="42"/>
        <v>0</v>
      </c>
      <c r="AI77" s="1488"/>
      <c r="AJ77" s="1488"/>
      <c r="AK77" s="1488"/>
      <c r="AL77" s="1488"/>
      <c r="AM77" s="1488"/>
      <c r="AN77" s="1488"/>
      <c r="AO77" s="1488"/>
      <c r="AP77" s="1488"/>
      <c r="AQ77" s="1488"/>
      <c r="AR77" s="1488"/>
      <c r="AS77" s="1488"/>
      <c r="AT77" s="1542"/>
      <c r="AU77" s="1599">
        <f t="shared" si="54"/>
        <v>0</v>
      </c>
      <c r="AV77" s="1544">
        <f t="shared" si="82"/>
        <v>0</v>
      </c>
      <c r="AW77" s="1452">
        <f t="shared" si="55"/>
        <v>0</v>
      </c>
      <c r="AX77" s="1452">
        <f t="shared" si="56"/>
        <v>0</v>
      </c>
      <c r="AY77" s="1452">
        <f t="shared" si="57"/>
        <v>0</v>
      </c>
      <c r="AZ77" s="1452">
        <f t="shared" si="58"/>
        <v>0</v>
      </c>
      <c r="BA77" s="1452">
        <f t="shared" si="59"/>
        <v>0</v>
      </c>
      <c r="BB77" s="1452">
        <f t="shared" si="60"/>
        <v>0</v>
      </c>
      <c r="BC77" s="1452">
        <f t="shared" si="61"/>
        <v>0</v>
      </c>
      <c r="BD77" s="1452">
        <f t="shared" si="62"/>
        <v>0</v>
      </c>
      <c r="BE77" s="1452">
        <f t="shared" si="63"/>
        <v>0</v>
      </c>
      <c r="BF77" s="1452">
        <f t="shared" si="64"/>
        <v>0</v>
      </c>
      <c r="BG77" s="1452">
        <f t="shared" si="65"/>
        <v>0</v>
      </c>
      <c r="BH77" s="1452">
        <f t="shared" si="66"/>
        <v>0</v>
      </c>
      <c r="BI77" s="1452">
        <f t="shared" si="83"/>
        <v>0</v>
      </c>
      <c r="BJ77" s="1452" t="str">
        <f t="shared" si="67"/>
        <v/>
      </c>
      <c r="BK77" s="1452" t="str">
        <f t="shared" si="68"/>
        <v/>
      </c>
      <c r="BL77" s="1452" t="str">
        <f t="shared" si="69"/>
        <v/>
      </c>
      <c r="BM77" s="1452" t="str">
        <f t="shared" si="70"/>
        <v/>
      </c>
      <c r="BN77" s="1452" t="str">
        <f t="shared" ca="1" si="71"/>
        <v/>
      </c>
      <c r="BO77" s="1452" t="str">
        <f t="shared" si="84"/>
        <v/>
      </c>
      <c r="BP77" s="1452" t="str">
        <f t="shared" si="72"/>
        <v/>
      </c>
      <c r="BQ77" s="1452" t="str">
        <f t="shared" si="73"/>
        <v/>
      </c>
      <c r="BR77" s="1452" t="str">
        <f t="shared" si="74"/>
        <v/>
      </c>
      <c r="BS77" s="1452" t="str">
        <f t="shared" si="75"/>
        <v/>
      </c>
      <c r="BT77" s="1452" t="str">
        <f t="shared" si="76"/>
        <v/>
      </c>
      <c r="BU77" s="1452" t="str">
        <f t="shared" si="77"/>
        <v/>
      </c>
      <c r="BV77" s="1452" t="str">
        <f t="shared" si="78"/>
        <v/>
      </c>
      <c r="BW77" s="1558">
        <f t="shared" ca="1" si="85"/>
        <v>0</v>
      </c>
    </row>
    <row r="78" spans="1:75" s="9" customFormat="1" ht="12.5">
      <c r="A78" s="1483" t="str">
        <f t="shared" si="79"/>
        <v>Public Health Wales Trust</v>
      </c>
      <c r="B78" s="1580"/>
      <c r="C78" s="1580"/>
      <c r="D78" s="1580"/>
      <c r="E78" s="1581"/>
      <c r="F78" s="1436"/>
      <c r="G78" s="1547">
        <f t="shared" si="80"/>
        <v>0</v>
      </c>
      <c r="H78" s="1484"/>
      <c r="I78" s="1547">
        <f t="shared" si="81"/>
        <v>0</v>
      </c>
      <c r="J78" s="1484"/>
      <c r="K78" s="1484"/>
      <c r="L78" s="1436"/>
      <c r="M78" s="1437"/>
      <c r="N78" s="1437"/>
      <c r="O78" s="1485"/>
      <c r="P78" s="1486"/>
      <c r="Q78" s="1486"/>
      <c r="R78" s="1487"/>
      <c r="S78" s="1444"/>
      <c r="T78" s="1444"/>
      <c r="U78" s="1444"/>
      <c r="V78" s="1488"/>
      <c r="W78" s="1488"/>
      <c r="X78" s="1488"/>
      <c r="Y78" s="1488"/>
      <c r="Z78" s="1488"/>
      <c r="AA78" s="1488"/>
      <c r="AB78" s="1488"/>
      <c r="AC78" s="1488"/>
      <c r="AD78" s="1488"/>
      <c r="AE78" s="1488"/>
      <c r="AF78" s="1488"/>
      <c r="AG78" s="1488"/>
      <c r="AH78" s="1451">
        <f t="shared" si="42"/>
        <v>0</v>
      </c>
      <c r="AI78" s="1488"/>
      <c r="AJ78" s="1488"/>
      <c r="AK78" s="1488"/>
      <c r="AL78" s="1488"/>
      <c r="AM78" s="1488"/>
      <c r="AN78" s="1488"/>
      <c r="AO78" s="1488"/>
      <c r="AP78" s="1488"/>
      <c r="AQ78" s="1488"/>
      <c r="AR78" s="1488"/>
      <c r="AS78" s="1488"/>
      <c r="AT78" s="1542"/>
      <c r="AU78" s="1599">
        <f t="shared" si="54"/>
        <v>0</v>
      </c>
      <c r="AV78" s="1544">
        <f t="shared" si="82"/>
        <v>0</v>
      </c>
      <c r="AW78" s="1452">
        <f t="shared" si="55"/>
        <v>0</v>
      </c>
      <c r="AX78" s="1452">
        <f t="shared" si="56"/>
        <v>0</v>
      </c>
      <c r="AY78" s="1452">
        <f t="shared" si="57"/>
        <v>0</v>
      </c>
      <c r="AZ78" s="1452">
        <f t="shared" si="58"/>
        <v>0</v>
      </c>
      <c r="BA78" s="1452">
        <f t="shared" si="59"/>
        <v>0</v>
      </c>
      <c r="BB78" s="1452">
        <f t="shared" si="60"/>
        <v>0</v>
      </c>
      <c r="BC78" s="1452">
        <f t="shared" si="61"/>
        <v>0</v>
      </c>
      <c r="BD78" s="1452">
        <f t="shared" si="62"/>
        <v>0</v>
      </c>
      <c r="BE78" s="1452">
        <f t="shared" si="63"/>
        <v>0</v>
      </c>
      <c r="BF78" s="1452">
        <f t="shared" si="64"/>
        <v>0</v>
      </c>
      <c r="BG78" s="1452">
        <f t="shared" si="65"/>
        <v>0</v>
      </c>
      <c r="BH78" s="1452">
        <f t="shared" si="66"/>
        <v>0</v>
      </c>
      <c r="BI78" s="1452">
        <f t="shared" si="83"/>
        <v>0</v>
      </c>
      <c r="BJ78" s="1452" t="str">
        <f t="shared" si="67"/>
        <v/>
      </c>
      <c r="BK78" s="1452" t="str">
        <f t="shared" si="68"/>
        <v/>
      </c>
      <c r="BL78" s="1452" t="str">
        <f t="shared" si="69"/>
        <v/>
      </c>
      <c r="BM78" s="1452" t="str">
        <f t="shared" si="70"/>
        <v/>
      </c>
      <c r="BN78" s="1452" t="str">
        <f t="shared" ca="1" si="71"/>
        <v/>
      </c>
      <c r="BO78" s="1452" t="str">
        <f t="shared" si="84"/>
        <v/>
      </c>
      <c r="BP78" s="1452" t="str">
        <f t="shared" si="72"/>
        <v/>
      </c>
      <c r="BQ78" s="1452" t="str">
        <f t="shared" si="73"/>
        <v/>
      </c>
      <c r="BR78" s="1452" t="str">
        <f t="shared" si="74"/>
        <v/>
      </c>
      <c r="BS78" s="1452" t="str">
        <f t="shared" si="75"/>
        <v/>
      </c>
      <c r="BT78" s="1452" t="str">
        <f t="shared" si="76"/>
        <v/>
      </c>
      <c r="BU78" s="1452" t="str">
        <f t="shared" si="77"/>
        <v/>
      </c>
      <c r="BV78" s="1452" t="str">
        <f t="shared" si="78"/>
        <v/>
      </c>
      <c r="BW78" s="1558">
        <f t="shared" ca="1" si="85"/>
        <v>0</v>
      </c>
    </row>
    <row r="79" spans="1:75" s="9" customFormat="1" ht="12.5">
      <c r="A79" s="1483" t="str">
        <f t="shared" si="79"/>
        <v>Public Health Wales Trust</v>
      </c>
      <c r="B79" s="1580"/>
      <c r="C79" s="1580"/>
      <c r="D79" s="1580"/>
      <c r="E79" s="1581"/>
      <c r="F79" s="1436"/>
      <c r="G79" s="1547">
        <f t="shared" si="80"/>
        <v>0</v>
      </c>
      <c r="H79" s="1484"/>
      <c r="I79" s="1547">
        <f t="shared" si="81"/>
        <v>0</v>
      </c>
      <c r="J79" s="1484"/>
      <c r="K79" s="1484"/>
      <c r="L79" s="1436"/>
      <c r="M79" s="1437"/>
      <c r="N79" s="1437"/>
      <c r="O79" s="1485"/>
      <c r="P79" s="1486"/>
      <c r="Q79" s="1486"/>
      <c r="R79" s="1487"/>
      <c r="S79" s="1444"/>
      <c r="T79" s="1444"/>
      <c r="U79" s="1444"/>
      <c r="V79" s="1488"/>
      <c r="W79" s="1488"/>
      <c r="X79" s="1488"/>
      <c r="Y79" s="1488"/>
      <c r="Z79" s="1488"/>
      <c r="AA79" s="1488"/>
      <c r="AB79" s="1488"/>
      <c r="AC79" s="1488"/>
      <c r="AD79" s="1488"/>
      <c r="AE79" s="1488"/>
      <c r="AF79" s="1488"/>
      <c r="AG79" s="1488"/>
      <c r="AH79" s="1451">
        <f t="shared" si="42"/>
        <v>0</v>
      </c>
      <c r="AI79" s="1488"/>
      <c r="AJ79" s="1488"/>
      <c r="AK79" s="1488"/>
      <c r="AL79" s="1488"/>
      <c r="AM79" s="1488"/>
      <c r="AN79" s="1488"/>
      <c r="AO79" s="1488"/>
      <c r="AP79" s="1488"/>
      <c r="AQ79" s="1488"/>
      <c r="AR79" s="1488"/>
      <c r="AS79" s="1488"/>
      <c r="AT79" s="1542"/>
      <c r="AU79" s="1599">
        <f t="shared" si="54"/>
        <v>0</v>
      </c>
      <c r="AV79" s="1544">
        <f t="shared" si="82"/>
        <v>0</v>
      </c>
      <c r="AW79" s="1452">
        <f t="shared" si="55"/>
        <v>0</v>
      </c>
      <c r="AX79" s="1452">
        <f t="shared" si="56"/>
        <v>0</v>
      </c>
      <c r="AY79" s="1452">
        <f t="shared" si="57"/>
        <v>0</v>
      </c>
      <c r="AZ79" s="1452">
        <f t="shared" si="58"/>
        <v>0</v>
      </c>
      <c r="BA79" s="1452">
        <f t="shared" si="59"/>
        <v>0</v>
      </c>
      <c r="BB79" s="1452">
        <f t="shared" si="60"/>
        <v>0</v>
      </c>
      <c r="BC79" s="1452">
        <f t="shared" si="61"/>
        <v>0</v>
      </c>
      <c r="BD79" s="1452">
        <f t="shared" si="62"/>
        <v>0</v>
      </c>
      <c r="BE79" s="1452">
        <f t="shared" si="63"/>
        <v>0</v>
      </c>
      <c r="BF79" s="1452">
        <f t="shared" si="64"/>
        <v>0</v>
      </c>
      <c r="BG79" s="1452">
        <f t="shared" si="65"/>
        <v>0</v>
      </c>
      <c r="BH79" s="1452">
        <f t="shared" si="66"/>
        <v>0</v>
      </c>
      <c r="BI79" s="1452">
        <f t="shared" si="83"/>
        <v>0</v>
      </c>
      <c r="BJ79" s="1452" t="str">
        <f t="shared" si="67"/>
        <v/>
      </c>
      <c r="BK79" s="1452" t="str">
        <f t="shared" si="68"/>
        <v/>
      </c>
      <c r="BL79" s="1452" t="str">
        <f t="shared" si="69"/>
        <v/>
      </c>
      <c r="BM79" s="1452" t="str">
        <f t="shared" si="70"/>
        <v/>
      </c>
      <c r="BN79" s="1452" t="str">
        <f t="shared" ca="1" si="71"/>
        <v/>
      </c>
      <c r="BO79" s="1452" t="str">
        <f t="shared" si="84"/>
        <v/>
      </c>
      <c r="BP79" s="1452" t="str">
        <f t="shared" si="72"/>
        <v/>
      </c>
      <c r="BQ79" s="1452" t="str">
        <f t="shared" si="73"/>
        <v/>
      </c>
      <c r="BR79" s="1452" t="str">
        <f t="shared" si="74"/>
        <v/>
      </c>
      <c r="BS79" s="1452" t="str">
        <f t="shared" si="75"/>
        <v/>
      </c>
      <c r="BT79" s="1452" t="str">
        <f t="shared" si="76"/>
        <v/>
      </c>
      <c r="BU79" s="1452" t="str">
        <f t="shared" si="77"/>
        <v/>
      </c>
      <c r="BV79" s="1452" t="str">
        <f t="shared" si="78"/>
        <v/>
      </c>
      <c r="BW79" s="1558">
        <f t="shared" ca="1" si="85"/>
        <v>0</v>
      </c>
    </row>
    <row r="80" spans="1:75" s="9" customFormat="1" ht="12.5">
      <c r="A80" s="1483" t="str">
        <f t="shared" si="79"/>
        <v>Public Health Wales Trust</v>
      </c>
      <c r="B80" s="1580"/>
      <c r="C80" s="1580"/>
      <c r="D80" s="1580"/>
      <c r="E80" s="1581"/>
      <c r="F80" s="1436"/>
      <c r="G80" s="1547">
        <f t="shared" si="80"/>
        <v>0</v>
      </c>
      <c r="H80" s="1484"/>
      <c r="I80" s="1547">
        <f t="shared" si="81"/>
        <v>0</v>
      </c>
      <c r="J80" s="1484"/>
      <c r="K80" s="1484"/>
      <c r="L80" s="1436"/>
      <c r="M80" s="1437"/>
      <c r="N80" s="1437"/>
      <c r="O80" s="1485"/>
      <c r="P80" s="1486"/>
      <c r="Q80" s="1486"/>
      <c r="R80" s="1487"/>
      <c r="S80" s="1444"/>
      <c r="T80" s="1444"/>
      <c r="U80" s="1444"/>
      <c r="V80" s="1488"/>
      <c r="W80" s="1488"/>
      <c r="X80" s="1488"/>
      <c r="Y80" s="1488"/>
      <c r="Z80" s="1488"/>
      <c r="AA80" s="1488"/>
      <c r="AB80" s="1488"/>
      <c r="AC80" s="1488"/>
      <c r="AD80" s="1488"/>
      <c r="AE80" s="1488"/>
      <c r="AF80" s="1488"/>
      <c r="AG80" s="1488"/>
      <c r="AH80" s="1451">
        <f t="shared" si="42"/>
        <v>0</v>
      </c>
      <c r="AI80" s="1488"/>
      <c r="AJ80" s="1488"/>
      <c r="AK80" s="1488"/>
      <c r="AL80" s="1488"/>
      <c r="AM80" s="1488"/>
      <c r="AN80" s="1488"/>
      <c r="AO80" s="1488"/>
      <c r="AP80" s="1488"/>
      <c r="AQ80" s="1488"/>
      <c r="AR80" s="1488"/>
      <c r="AS80" s="1488"/>
      <c r="AT80" s="1542"/>
      <c r="AU80" s="1599">
        <f t="shared" si="54"/>
        <v>0</v>
      </c>
      <c r="AV80" s="1544">
        <f t="shared" si="82"/>
        <v>0</v>
      </c>
      <c r="AW80" s="1452">
        <f t="shared" si="55"/>
        <v>0</v>
      </c>
      <c r="AX80" s="1452">
        <f t="shared" si="56"/>
        <v>0</v>
      </c>
      <c r="AY80" s="1452">
        <f t="shared" si="57"/>
        <v>0</v>
      </c>
      <c r="AZ80" s="1452">
        <f t="shared" si="58"/>
        <v>0</v>
      </c>
      <c r="BA80" s="1452">
        <f t="shared" si="59"/>
        <v>0</v>
      </c>
      <c r="BB80" s="1452">
        <f t="shared" si="60"/>
        <v>0</v>
      </c>
      <c r="BC80" s="1452">
        <f t="shared" si="61"/>
        <v>0</v>
      </c>
      <c r="BD80" s="1452">
        <f t="shared" si="62"/>
        <v>0</v>
      </c>
      <c r="BE80" s="1452">
        <f t="shared" si="63"/>
        <v>0</v>
      </c>
      <c r="BF80" s="1452">
        <f t="shared" si="64"/>
        <v>0</v>
      </c>
      <c r="BG80" s="1452">
        <f t="shared" si="65"/>
        <v>0</v>
      </c>
      <c r="BH80" s="1452">
        <f t="shared" si="66"/>
        <v>0</v>
      </c>
      <c r="BI80" s="1452">
        <f t="shared" si="83"/>
        <v>0</v>
      </c>
      <c r="BJ80" s="1452" t="str">
        <f t="shared" si="67"/>
        <v/>
      </c>
      <c r="BK80" s="1452" t="str">
        <f t="shared" si="68"/>
        <v/>
      </c>
      <c r="BL80" s="1452" t="str">
        <f t="shared" si="69"/>
        <v/>
      </c>
      <c r="BM80" s="1452" t="str">
        <f t="shared" si="70"/>
        <v/>
      </c>
      <c r="BN80" s="1452" t="str">
        <f t="shared" ca="1" si="71"/>
        <v/>
      </c>
      <c r="BO80" s="1452" t="str">
        <f t="shared" si="84"/>
        <v/>
      </c>
      <c r="BP80" s="1452" t="str">
        <f t="shared" si="72"/>
        <v/>
      </c>
      <c r="BQ80" s="1452" t="str">
        <f t="shared" si="73"/>
        <v/>
      </c>
      <c r="BR80" s="1452" t="str">
        <f t="shared" si="74"/>
        <v/>
      </c>
      <c r="BS80" s="1452" t="str">
        <f t="shared" si="75"/>
        <v/>
      </c>
      <c r="BT80" s="1452" t="str">
        <f t="shared" si="76"/>
        <v/>
      </c>
      <c r="BU80" s="1452" t="str">
        <f t="shared" si="77"/>
        <v/>
      </c>
      <c r="BV80" s="1452" t="str">
        <f t="shared" si="78"/>
        <v/>
      </c>
      <c r="BW80" s="1558">
        <f t="shared" ca="1" si="85"/>
        <v>0</v>
      </c>
    </row>
    <row r="81" spans="1:103" s="9" customFormat="1" ht="12.5">
      <c r="A81" s="1483" t="str">
        <f t="shared" si="79"/>
        <v>Public Health Wales Trust</v>
      </c>
      <c r="B81" s="1580"/>
      <c r="C81" s="1580"/>
      <c r="D81" s="1580"/>
      <c r="E81" s="1581"/>
      <c r="F81" s="1436"/>
      <c r="G81" s="1547">
        <f t="shared" si="80"/>
        <v>0</v>
      </c>
      <c r="H81" s="1484"/>
      <c r="I81" s="1547">
        <f t="shared" si="81"/>
        <v>0</v>
      </c>
      <c r="J81" s="1484"/>
      <c r="K81" s="1484"/>
      <c r="L81" s="1436"/>
      <c r="M81" s="1437"/>
      <c r="N81" s="1437"/>
      <c r="O81" s="1485"/>
      <c r="P81" s="1486"/>
      <c r="Q81" s="1486"/>
      <c r="R81" s="1487"/>
      <c r="S81" s="1444"/>
      <c r="T81" s="1444"/>
      <c r="U81" s="1444"/>
      <c r="V81" s="1488"/>
      <c r="W81" s="1488"/>
      <c r="X81" s="1488"/>
      <c r="Y81" s="1488"/>
      <c r="Z81" s="1488"/>
      <c r="AA81" s="1488"/>
      <c r="AB81" s="1488"/>
      <c r="AC81" s="1488"/>
      <c r="AD81" s="1488"/>
      <c r="AE81" s="1488"/>
      <c r="AF81" s="1488"/>
      <c r="AG81" s="1488"/>
      <c r="AH81" s="1451">
        <f t="shared" si="42"/>
        <v>0</v>
      </c>
      <c r="AI81" s="1488"/>
      <c r="AJ81" s="1488"/>
      <c r="AK81" s="1488"/>
      <c r="AL81" s="1488"/>
      <c r="AM81" s="1488"/>
      <c r="AN81" s="1488"/>
      <c r="AO81" s="1488"/>
      <c r="AP81" s="1488"/>
      <c r="AQ81" s="1488"/>
      <c r="AR81" s="1488"/>
      <c r="AS81" s="1488"/>
      <c r="AT81" s="1542"/>
      <c r="AU81" s="1599">
        <f t="shared" si="54"/>
        <v>0</v>
      </c>
      <c r="AV81" s="1544">
        <f t="shared" si="82"/>
        <v>0</v>
      </c>
      <c r="AW81" s="1452">
        <f t="shared" si="55"/>
        <v>0</v>
      </c>
      <c r="AX81" s="1452">
        <f t="shared" si="56"/>
        <v>0</v>
      </c>
      <c r="AY81" s="1452">
        <f t="shared" si="57"/>
        <v>0</v>
      </c>
      <c r="AZ81" s="1452">
        <f t="shared" si="58"/>
        <v>0</v>
      </c>
      <c r="BA81" s="1452">
        <f t="shared" si="59"/>
        <v>0</v>
      </c>
      <c r="BB81" s="1452">
        <f t="shared" si="60"/>
        <v>0</v>
      </c>
      <c r="BC81" s="1452">
        <f t="shared" si="61"/>
        <v>0</v>
      </c>
      <c r="BD81" s="1452">
        <f t="shared" si="62"/>
        <v>0</v>
      </c>
      <c r="BE81" s="1452">
        <f t="shared" si="63"/>
        <v>0</v>
      </c>
      <c r="BF81" s="1452">
        <f t="shared" si="64"/>
        <v>0</v>
      </c>
      <c r="BG81" s="1452">
        <f t="shared" si="65"/>
        <v>0</v>
      </c>
      <c r="BH81" s="1452">
        <f t="shared" si="66"/>
        <v>0</v>
      </c>
      <c r="BI81" s="1452">
        <f t="shared" si="83"/>
        <v>0</v>
      </c>
      <c r="BJ81" s="1452" t="str">
        <f t="shared" si="67"/>
        <v/>
      </c>
      <c r="BK81" s="1452" t="str">
        <f t="shared" si="68"/>
        <v/>
      </c>
      <c r="BL81" s="1452" t="str">
        <f t="shared" si="69"/>
        <v/>
      </c>
      <c r="BM81" s="1452" t="str">
        <f t="shared" si="70"/>
        <v/>
      </c>
      <c r="BN81" s="1452" t="str">
        <f t="shared" ca="1" si="71"/>
        <v/>
      </c>
      <c r="BO81" s="1452" t="str">
        <f t="shared" si="84"/>
        <v/>
      </c>
      <c r="BP81" s="1452" t="str">
        <f t="shared" si="72"/>
        <v/>
      </c>
      <c r="BQ81" s="1452" t="str">
        <f t="shared" si="73"/>
        <v/>
      </c>
      <c r="BR81" s="1452" t="str">
        <f t="shared" si="74"/>
        <v/>
      </c>
      <c r="BS81" s="1452" t="str">
        <f t="shared" si="75"/>
        <v/>
      </c>
      <c r="BT81" s="1452" t="str">
        <f t="shared" si="76"/>
        <v/>
      </c>
      <c r="BU81" s="1452" t="str">
        <f t="shared" si="77"/>
        <v/>
      </c>
      <c r="BV81" s="1452" t="str">
        <f t="shared" si="78"/>
        <v/>
      </c>
      <c r="BW81" s="1558">
        <f t="shared" ca="1" si="85"/>
        <v>0</v>
      </c>
    </row>
    <row r="82" spans="1:103" s="9" customFormat="1" ht="12.5">
      <c r="A82" s="1483" t="str">
        <f t="shared" si="79"/>
        <v>Public Health Wales Trust</v>
      </c>
      <c r="B82" s="1580"/>
      <c r="C82" s="1580"/>
      <c r="D82" s="1580"/>
      <c r="E82" s="1581"/>
      <c r="F82" s="1436"/>
      <c r="G82" s="1547">
        <f t="shared" si="80"/>
        <v>0</v>
      </c>
      <c r="H82" s="1484"/>
      <c r="I82" s="1547">
        <f t="shared" si="81"/>
        <v>0</v>
      </c>
      <c r="J82" s="1484"/>
      <c r="K82" s="1484"/>
      <c r="L82" s="1436"/>
      <c r="M82" s="1437"/>
      <c r="N82" s="1437"/>
      <c r="O82" s="1485"/>
      <c r="P82" s="1486"/>
      <c r="Q82" s="1486"/>
      <c r="R82" s="1487"/>
      <c r="S82" s="1444"/>
      <c r="T82" s="1444"/>
      <c r="U82" s="1444"/>
      <c r="V82" s="1488"/>
      <c r="W82" s="1488"/>
      <c r="X82" s="1488"/>
      <c r="Y82" s="1488"/>
      <c r="Z82" s="1488"/>
      <c r="AA82" s="1488"/>
      <c r="AB82" s="1488"/>
      <c r="AC82" s="1488"/>
      <c r="AD82" s="1488"/>
      <c r="AE82" s="1488"/>
      <c r="AF82" s="1488"/>
      <c r="AG82" s="1488"/>
      <c r="AH82" s="1451">
        <f t="shared" si="42"/>
        <v>0</v>
      </c>
      <c r="AI82" s="1488"/>
      <c r="AJ82" s="1488"/>
      <c r="AK82" s="1488"/>
      <c r="AL82" s="1488"/>
      <c r="AM82" s="1488"/>
      <c r="AN82" s="1488"/>
      <c r="AO82" s="1488"/>
      <c r="AP82" s="1488"/>
      <c r="AQ82" s="1488"/>
      <c r="AR82" s="1488"/>
      <c r="AS82" s="1488"/>
      <c r="AT82" s="1542"/>
      <c r="AU82" s="1599">
        <f t="shared" si="54"/>
        <v>0</v>
      </c>
      <c r="AV82" s="1544">
        <f t="shared" si="82"/>
        <v>0</v>
      </c>
      <c r="AW82" s="1452">
        <f t="shared" si="55"/>
        <v>0</v>
      </c>
      <c r="AX82" s="1452">
        <f t="shared" si="56"/>
        <v>0</v>
      </c>
      <c r="AY82" s="1452">
        <f t="shared" si="57"/>
        <v>0</v>
      </c>
      <c r="AZ82" s="1452">
        <f t="shared" si="58"/>
        <v>0</v>
      </c>
      <c r="BA82" s="1452">
        <f t="shared" si="59"/>
        <v>0</v>
      </c>
      <c r="BB82" s="1452">
        <f t="shared" si="60"/>
        <v>0</v>
      </c>
      <c r="BC82" s="1452">
        <f t="shared" si="61"/>
        <v>0</v>
      </c>
      <c r="BD82" s="1452">
        <f t="shared" si="62"/>
        <v>0</v>
      </c>
      <c r="BE82" s="1452">
        <f t="shared" si="63"/>
        <v>0</v>
      </c>
      <c r="BF82" s="1452">
        <f t="shared" si="64"/>
        <v>0</v>
      </c>
      <c r="BG82" s="1452">
        <f t="shared" si="65"/>
        <v>0</v>
      </c>
      <c r="BH82" s="1452">
        <f t="shared" si="66"/>
        <v>0</v>
      </c>
      <c r="BI82" s="1452">
        <f t="shared" si="83"/>
        <v>0</v>
      </c>
      <c r="BJ82" s="1452" t="str">
        <f t="shared" si="67"/>
        <v/>
      </c>
      <c r="BK82" s="1452" t="str">
        <f t="shared" si="68"/>
        <v/>
      </c>
      <c r="BL82" s="1452" t="str">
        <f t="shared" si="69"/>
        <v/>
      </c>
      <c r="BM82" s="1452" t="str">
        <f t="shared" si="70"/>
        <v/>
      </c>
      <c r="BN82" s="1452" t="str">
        <f t="shared" ca="1" si="71"/>
        <v/>
      </c>
      <c r="BO82" s="1452" t="str">
        <f t="shared" si="84"/>
        <v/>
      </c>
      <c r="BP82" s="1452" t="str">
        <f t="shared" si="72"/>
        <v/>
      </c>
      <c r="BQ82" s="1452" t="str">
        <f t="shared" si="73"/>
        <v/>
      </c>
      <c r="BR82" s="1452" t="str">
        <f t="shared" si="74"/>
        <v/>
      </c>
      <c r="BS82" s="1452" t="str">
        <f t="shared" si="75"/>
        <v/>
      </c>
      <c r="BT82" s="1452" t="str">
        <f t="shared" si="76"/>
        <v/>
      </c>
      <c r="BU82" s="1452" t="str">
        <f t="shared" si="77"/>
        <v/>
      </c>
      <c r="BV82" s="1452" t="str">
        <f t="shared" si="78"/>
        <v/>
      </c>
      <c r="BW82" s="1558">
        <f t="shared" ca="1" si="85"/>
        <v>0</v>
      </c>
    </row>
    <row r="83" spans="1:103" s="9" customFormat="1" ht="12.5">
      <c r="A83" s="1483" t="str">
        <f t="shared" si="79"/>
        <v>Public Health Wales Trust</v>
      </c>
      <c r="B83" s="1580"/>
      <c r="C83" s="1580"/>
      <c r="D83" s="1580"/>
      <c r="E83" s="1581"/>
      <c r="F83" s="1436"/>
      <c r="G83" s="1547">
        <f t="shared" si="80"/>
        <v>0</v>
      </c>
      <c r="H83" s="1484"/>
      <c r="I83" s="1547">
        <f t="shared" si="81"/>
        <v>0</v>
      </c>
      <c r="J83" s="1484"/>
      <c r="K83" s="1484"/>
      <c r="L83" s="1436"/>
      <c r="M83" s="1437"/>
      <c r="N83" s="1437"/>
      <c r="O83" s="1485"/>
      <c r="P83" s="1486"/>
      <c r="Q83" s="1486"/>
      <c r="R83" s="1487"/>
      <c r="S83" s="1444"/>
      <c r="T83" s="1444"/>
      <c r="U83" s="1444"/>
      <c r="V83" s="1488"/>
      <c r="W83" s="1488"/>
      <c r="X83" s="1488"/>
      <c r="Y83" s="1488"/>
      <c r="Z83" s="1488"/>
      <c r="AA83" s="1488"/>
      <c r="AB83" s="1488"/>
      <c r="AC83" s="1488"/>
      <c r="AD83" s="1488"/>
      <c r="AE83" s="1488"/>
      <c r="AF83" s="1488"/>
      <c r="AG83" s="1488"/>
      <c r="AH83" s="1451">
        <f t="shared" si="42"/>
        <v>0</v>
      </c>
      <c r="AI83" s="1488"/>
      <c r="AJ83" s="1488"/>
      <c r="AK83" s="1488"/>
      <c r="AL83" s="1488"/>
      <c r="AM83" s="1488"/>
      <c r="AN83" s="1488"/>
      <c r="AO83" s="1488"/>
      <c r="AP83" s="1488"/>
      <c r="AQ83" s="1488"/>
      <c r="AR83" s="1488"/>
      <c r="AS83" s="1488"/>
      <c r="AT83" s="1542"/>
      <c r="AU83" s="1599">
        <f t="shared" si="54"/>
        <v>0</v>
      </c>
      <c r="AV83" s="1544">
        <f t="shared" si="82"/>
        <v>0</v>
      </c>
      <c r="AW83" s="1452">
        <f t="shared" si="55"/>
        <v>0</v>
      </c>
      <c r="AX83" s="1452">
        <f t="shared" si="56"/>
        <v>0</v>
      </c>
      <c r="AY83" s="1452">
        <f t="shared" si="57"/>
        <v>0</v>
      </c>
      <c r="AZ83" s="1452">
        <f t="shared" si="58"/>
        <v>0</v>
      </c>
      <c r="BA83" s="1452">
        <f t="shared" si="59"/>
        <v>0</v>
      </c>
      <c r="BB83" s="1452">
        <f t="shared" si="60"/>
        <v>0</v>
      </c>
      <c r="BC83" s="1452">
        <f t="shared" si="61"/>
        <v>0</v>
      </c>
      <c r="BD83" s="1452">
        <f t="shared" si="62"/>
        <v>0</v>
      </c>
      <c r="BE83" s="1452">
        <f t="shared" si="63"/>
        <v>0</v>
      </c>
      <c r="BF83" s="1452">
        <f t="shared" si="64"/>
        <v>0</v>
      </c>
      <c r="BG83" s="1452">
        <f t="shared" si="65"/>
        <v>0</v>
      </c>
      <c r="BH83" s="1452">
        <f t="shared" si="66"/>
        <v>0</v>
      </c>
      <c r="BI83" s="1452">
        <f t="shared" si="83"/>
        <v>0</v>
      </c>
      <c r="BJ83" s="1452" t="str">
        <f t="shared" si="67"/>
        <v/>
      </c>
      <c r="BK83" s="1452" t="str">
        <f t="shared" si="68"/>
        <v/>
      </c>
      <c r="BL83" s="1452" t="str">
        <f t="shared" si="69"/>
        <v/>
      </c>
      <c r="BM83" s="1452" t="str">
        <f t="shared" si="70"/>
        <v/>
      </c>
      <c r="BN83" s="1452" t="str">
        <f t="shared" ca="1" si="71"/>
        <v/>
      </c>
      <c r="BO83" s="1452" t="str">
        <f t="shared" si="84"/>
        <v/>
      </c>
      <c r="BP83" s="1452" t="str">
        <f t="shared" si="72"/>
        <v/>
      </c>
      <c r="BQ83" s="1452" t="str">
        <f t="shared" si="73"/>
        <v/>
      </c>
      <c r="BR83" s="1452" t="str">
        <f t="shared" si="74"/>
        <v/>
      </c>
      <c r="BS83" s="1452" t="str">
        <f t="shared" si="75"/>
        <v/>
      </c>
      <c r="BT83" s="1452" t="str">
        <f t="shared" si="76"/>
        <v/>
      </c>
      <c r="BU83" s="1452" t="str">
        <f t="shared" si="77"/>
        <v/>
      </c>
      <c r="BV83" s="1452" t="str">
        <f t="shared" si="78"/>
        <v/>
      </c>
      <c r="BW83" s="1558">
        <f t="shared" ca="1" si="85"/>
        <v>0</v>
      </c>
    </row>
    <row r="84" spans="1:103" s="9" customFormat="1" ht="12.5">
      <c r="A84" s="1483" t="str">
        <f t="shared" si="79"/>
        <v>Public Health Wales Trust</v>
      </c>
      <c r="B84" s="1580"/>
      <c r="C84" s="1580"/>
      <c r="D84" s="1580"/>
      <c r="E84" s="1581"/>
      <c r="F84" s="1436"/>
      <c r="G84" s="1547">
        <f t="shared" si="80"/>
        <v>0</v>
      </c>
      <c r="H84" s="1484"/>
      <c r="I84" s="1547">
        <f t="shared" si="81"/>
        <v>0</v>
      </c>
      <c r="J84" s="1484"/>
      <c r="K84" s="1484"/>
      <c r="L84" s="1436"/>
      <c r="M84" s="1437"/>
      <c r="N84" s="1437"/>
      <c r="O84" s="1485"/>
      <c r="P84" s="1486"/>
      <c r="Q84" s="1486"/>
      <c r="R84" s="1487"/>
      <c r="S84" s="1444"/>
      <c r="T84" s="1444"/>
      <c r="U84" s="1444"/>
      <c r="V84" s="1488"/>
      <c r="W84" s="1488"/>
      <c r="X84" s="1488"/>
      <c r="Y84" s="1488"/>
      <c r="Z84" s="1488"/>
      <c r="AA84" s="1488"/>
      <c r="AB84" s="1488"/>
      <c r="AC84" s="1488"/>
      <c r="AD84" s="1488"/>
      <c r="AE84" s="1488"/>
      <c r="AF84" s="1488"/>
      <c r="AG84" s="1488"/>
      <c r="AH84" s="1451">
        <f t="shared" si="42"/>
        <v>0</v>
      </c>
      <c r="AI84" s="1488"/>
      <c r="AJ84" s="1488"/>
      <c r="AK84" s="1488"/>
      <c r="AL84" s="1488"/>
      <c r="AM84" s="1488"/>
      <c r="AN84" s="1488"/>
      <c r="AO84" s="1488"/>
      <c r="AP84" s="1488"/>
      <c r="AQ84" s="1488"/>
      <c r="AR84" s="1488"/>
      <c r="AS84" s="1488"/>
      <c r="AT84" s="1542"/>
      <c r="AU84" s="1599">
        <f t="shared" si="54"/>
        <v>0</v>
      </c>
      <c r="AV84" s="1544">
        <f t="shared" si="82"/>
        <v>0</v>
      </c>
      <c r="AW84" s="1452">
        <f t="shared" si="55"/>
        <v>0</v>
      </c>
      <c r="AX84" s="1452">
        <f t="shared" si="56"/>
        <v>0</v>
      </c>
      <c r="AY84" s="1452">
        <f t="shared" si="57"/>
        <v>0</v>
      </c>
      <c r="AZ84" s="1452">
        <f t="shared" si="58"/>
        <v>0</v>
      </c>
      <c r="BA84" s="1452">
        <f t="shared" si="59"/>
        <v>0</v>
      </c>
      <c r="BB84" s="1452">
        <f t="shared" si="60"/>
        <v>0</v>
      </c>
      <c r="BC84" s="1452">
        <f t="shared" si="61"/>
        <v>0</v>
      </c>
      <c r="BD84" s="1452">
        <f t="shared" si="62"/>
        <v>0</v>
      </c>
      <c r="BE84" s="1452">
        <f t="shared" si="63"/>
        <v>0</v>
      </c>
      <c r="BF84" s="1452">
        <f t="shared" si="64"/>
        <v>0</v>
      </c>
      <c r="BG84" s="1452">
        <f t="shared" si="65"/>
        <v>0</v>
      </c>
      <c r="BH84" s="1452">
        <f t="shared" si="66"/>
        <v>0</v>
      </c>
      <c r="BI84" s="1452">
        <f t="shared" si="83"/>
        <v>0</v>
      </c>
      <c r="BJ84" s="1452" t="str">
        <f t="shared" si="67"/>
        <v/>
      </c>
      <c r="BK84" s="1452" t="str">
        <f t="shared" si="68"/>
        <v/>
      </c>
      <c r="BL84" s="1452" t="str">
        <f t="shared" si="69"/>
        <v/>
      </c>
      <c r="BM84" s="1452" t="str">
        <f t="shared" si="70"/>
        <v/>
      </c>
      <c r="BN84" s="1452" t="str">
        <f t="shared" ca="1" si="71"/>
        <v/>
      </c>
      <c r="BO84" s="1452" t="str">
        <f t="shared" si="84"/>
        <v/>
      </c>
      <c r="BP84" s="1452" t="str">
        <f t="shared" si="72"/>
        <v/>
      </c>
      <c r="BQ84" s="1452" t="str">
        <f t="shared" si="73"/>
        <v/>
      </c>
      <c r="BR84" s="1452" t="str">
        <f t="shared" si="74"/>
        <v/>
      </c>
      <c r="BS84" s="1452" t="str">
        <f t="shared" si="75"/>
        <v/>
      </c>
      <c r="BT84" s="1452" t="str">
        <f t="shared" si="76"/>
        <v/>
      </c>
      <c r="BU84" s="1452" t="str">
        <f t="shared" si="77"/>
        <v/>
      </c>
      <c r="BV84" s="1452" t="str">
        <f t="shared" si="78"/>
        <v/>
      </c>
      <c r="BW84" s="1558">
        <f t="shared" ca="1" si="85"/>
        <v>0</v>
      </c>
    </row>
    <row r="85" spans="1:103" s="9" customFormat="1" ht="13">
      <c r="A85" s="1483" t="str">
        <f t="shared" si="79"/>
        <v>Public Health Wales Trust</v>
      </c>
      <c r="B85" s="1580"/>
      <c r="C85" s="1580"/>
      <c r="D85" s="1580"/>
      <c r="E85" s="1581"/>
      <c r="F85" s="1436"/>
      <c r="G85" s="1547">
        <f t="shared" si="80"/>
        <v>0</v>
      </c>
      <c r="H85" s="1484"/>
      <c r="I85" s="1547">
        <f t="shared" si="81"/>
        <v>0</v>
      </c>
      <c r="J85" s="1484"/>
      <c r="K85" s="1484"/>
      <c r="L85" s="1436"/>
      <c r="M85" s="1437"/>
      <c r="N85" s="1437"/>
      <c r="O85" s="1485"/>
      <c r="P85" s="1486"/>
      <c r="Q85" s="1486"/>
      <c r="R85" s="1487"/>
      <c r="S85" s="1444"/>
      <c r="T85" s="1444"/>
      <c r="U85" s="1444"/>
      <c r="V85" s="1488"/>
      <c r="W85" s="1488"/>
      <c r="X85" s="1488"/>
      <c r="Y85" s="1488"/>
      <c r="Z85" s="1488"/>
      <c r="AA85" s="1488"/>
      <c r="AB85" s="1488"/>
      <c r="AC85" s="1488"/>
      <c r="AD85" s="1488"/>
      <c r="AE85" s="1488"/>
      <c r="AF85" s="1488"/>
      <c r="AG85" s="1488"/>
      <c r="AH85" s="1451">
        <f t="shared" si="42"/>
        <v>0</v>
      </c>
      <c r="AI85" s="1488"/>
      <c r="AJ85" s="1488"/>
      <c r="AK85" s="1488"/>
      <c r="AL85" s="1488"/>
      <c r="AM85" s="1488"/>
      <c r="AN85" s="1488"/>
      <c r="AO85" s="1488"/>
      <c r="AP85" s="1488"/>
      <c r="AQ85" s="1488"/>
      <c r="AR85" s="1488"/>
      <c r="AS85" s="1488"/>
      <c r="AT85" s="1542"/>
      <c r="AU85" s="1599">
        <f t="shared" si="54"/>
        <v>0</v>
      </c>
      <c r="AV85" s="1544">
        <f t="shared" si="82"/>
        <v>0</v>
      </c>
      <c r="AW85" s="1452">
        <f t="shared" si="55"/>
        <v>0</v>
      </c>
      <c r="AX85" s="1452">
        <f t="shared" si="56"/>
        <v>0</v>
      </c>
      <c r="AY85" s="1452">
        <f t="shared" si="57"/>
        <v>0</v>
      </c>
      <c r="AZ85" s="1452">
        <f t="shared" si="58"/>
        <v>0</v>
      </c>
      <c r="BA85" s="1452">
        <f t="shared" si="59"/>
        <v>0</v>
      </c>
      <c r="BB85" s="1452">
        <f t="shared" si="60"/>
        <v>0</v>
      </c>
      <c r="BC85" s="1452">
        <f t="shared" si="61"/>
        <v>0</v>
      </c>
      <c r="BD85" s="1452">
        <f t="shared" si="62"/>
        <v>0</v>
      </c>
      <c r="BE85" s="1452">
        <f t="shared" si="63"/>
        <v>0</v>
      </c>
      <c r="BF85" s="1452">
        <f t="shared" si="64"/>
        <v>0</v>
      </c>
      <c r="BG85" s="1452">
        <f t="shared" si="65"/>
        <v>0</v>
      </c>
      <c r="BH85" s="1452">
        <f t="shared" si="66"/>
        <v>0</v>
      </c>
      <c r="BI85" s="1452">
        <f t="shared" si="83"/>
        <v>0</v>
      </c>
      <c r="BJ85" s="1452" t="str">
        <f t="shared" si="67"/>
        <v/>
      </c>
      <c r="BK85" s="1452" t="str">
        <f t="shared" si="68"/>
        <v/>
      </c>
      <c r="BL85" s="1452" t="str">
        <f t="shared" si="69"/>
        <v/>
      </c>
      <c r="BM85" s="1452" t="str">
        <f t="shared" si="70"/>
        <v/>
      </c>
      <c r="BN85" s="1452" t="str">
        <f t="shared" ca="1" si="71"/>
        <v/>
      </c>
      <c r="BO85" s="1452" t="str">
        <f t="shared" si="84"/>
        <v/>
      </c>
      <c r="BP85" s="1452" t="str">
        <f t="shared" si="72"/>
        <v/>
      </c>
      <c r="BQ85" s="1452" t="str">
        <f t="shared" si="73"/>
        <v/>
      </c>
      <c r="BR85" s="1452" t="str">
        <f t="shared" si="74"/>
        <v/>
      </c>
      <c r="BS85" s="1452" t="str">
        <f t="shared" si="75"/>
        <v/>
      </c>
      <c r="BT85" s="1452" t="str">
        <f t="shared" si="76"/>
        <v/>
      </c>
      <c r="BU85" s="1452" t="str">
        <f t="shared" si="77"/>
        <v/>
      </c>
      <c r="BV85" s="1452" t="str">
        <f t="shared" si="78"/>
        <v/>
      </c>
      <c r="BW85" s="1558">
        <f t="shared" ca="1" si="85"/>
        <v>0</v>
      </c>
      <c r="CY85" s="1438"/>
    </row>
    <row r="86" spans="1:103" s="9" customFormat="1" ht="12.5">
      <c r="A86" s="1483" t="str">
        <f t="shared" si="79"/>
        <v>Public Health Wales Trust</v>
      </c>
      <c r="B86" s="1580"/>
      <c r="C86" s="1580"/>
      <c r="D86" s="1580"/>
      <c r="E86" s="1581"/>
      <c r="F86" s="1436"/>
      <c r="G86" s="1547">
        <f t="shared" si="80"/>
        <v>0</v>
      </c>
      <c r="H86" s="1484"/>
      <c r="I86" s="1547">
        <f t="shared" si="81"/>
        <v>0</v>
      </c>
      <c r="J86" s="1484"/>
      <c r="K86" s="1484"/>
      <c r="L86" s="1436"/>
      <c r="M86" s="1437"/>
      <c r="N86" s="1437"/>
      <c r="O86" s="1485"/>
      <c r="P86" s="1486"/>
      <c r="Q86" s="1486"/>
      <c r="R86" s="1487"/>
      <c r="S86" s="1444"/>
      <c r="T86" s="1444"/>
      <c r="U86" s="1444"/>
      <c r="V86" s="1488"/>
      <c r="W86" s="1488"/>
      <c r="X86" s="1488"/>
      <c r="Y86" s="1488"/>
      <c r="Z86" s="1488"/>
      <c r="AA86" s="1488"/>
      <c r="AB86" s="1488"/>
      <c r="AC86" s="1488"/>
      <c r="AD86" s="1488"/>
      <c r="AE86" s="1488"/>
      <c r="AF86" s="1488"/>
      <c r="AG86" s="1488"/>
      <c r="AH86" s="1451">
        <f t="shared" si="42"/>
        <v>0</v>
      </c>
      <c r="AI86" s="1488"/>
      <c r="AJ86" s="1488"/>
      <c r="AK86" s="1488"/>
      <c r="AL86" s="1488"/>
      <c r="AM86" s="1488"/>
      <c r="AN86" s="1488"/>
      <c r="AO86" s="1488"/>
      <c r="AP86" s="1488"/>
      <c r="AQ86" s="1488"/>
      <c r="AR86" s="1488"/>
      <c r="AS86" s="1488"/>
      <c r="AT86" s="1542"/>
      <c r="AU86" s="1599">
        <f t="shared" si="54"/>
        <v>0</v>
      </c>
      <c r="AV86" s="1544">
        <f t="shared" si="82"/>
        <v>0</v>
      </c>
      <c r="AW86" s="1452">
        <f t="shared" si="55"/>
        <v>0</v>
      </c>
      <c r="AX86" s="1452">
        <f t="shared" si="56"/>
        <v>0</v>
      </c>
      <c r="AY86" s="1452">
        <f t="shared" si="57"/>
        <v>0</v>
      </c>
      <c r="AZ86" s="1452">
        <f t="shared" si="58"/>
        <v>0</v>
      </c>
      <c r="BA86" s="1452">
        <f t="shared" si="59"/>
        <v>0</v>
      </c>
      <c r="BB86" s="1452">
        <f t="shared" si="60"/>
        <v>0</v>
      </c>
      <c r="BC86" s="1452">
        <f t="shared" si="61"/>
        <v>0</v>
      </c>
      <c r="BD86" s="1452">
        <f t="shared" si="62"/>
        <v>0</v>
      </c>
      <c r="BE86" s="1452">
        <f t="shared" si="63"/>
        <v>0</v>
      </c>
      <c r="BF86" s="1452">
        <f t="shared" si="64"/>
        <v>0</v>
      </c>
      <c r="BG86" s="1452">
        <f t="shared" si="65"/>
        <v>0</v>
      </c>
      <c r="BH86" s="1452">
        <f t="shared" si="66"/>
        <v>0</v>
      </c>
      <c r="BI86" s="1452">
        <f t="shared" si="83"/>
        <v>0</v>
      </c>
      <c r="BJ86" s="1452" t="str">
        <f t="shared" si="67"/>
        <v/>
      </c>
      <c r="BK86" s="1452" t="str">
        <f t="shared" si="68"/>
        <v/>
      </c>
      <c r="BL86" s="1452" t="str">
        <f t="shared" si="69"/>
        <v/>
      </c>
      <c r="BM86" s="1452" t="str">
        <f t="shared" si="70"/>
        <v/>
      </c>
      <c r="BN86" s="1452" t="str">
        <f t="shared" ca="1" si="71"/>
        <v/>
      </c>
      <c r="BO86" s="1452" t="str">
        <f t="shared" si="84"/>
        <v/>
      </c>
      <c r="BP86" s="1452" t="str">
        <f t="shared" si="72"/>
        <v/>
      </c>
      <c r="BQ86" s="1452" t="str">
        <f t="shared" si="73"/>
        <v/>
      </c>
      <c r="BR86" s="1452" t="str">
        <f t="shared" si="74"/>
        <v/>
      </c>
      <c r="BS86" s="1452" t="str">
        <f t="shared" si="75"/>
        <v/>
      </c>
      <c r="BT86" s="1452" t="str">
        <f t="shared" si="76"/>
        <v/>
      </c>
      <c r="BU86" s="1452" t="str">
        <f t="shared" si="77"/>
        <v/>
      </c>
      <c r="BV86" s="1452" t="str">
        <f t="shared" si="78"/>
        <v/>
      </c>
      <c r="BW86" s="1558">
        <f t="shared" ca="1" si="85"/>
        <v>0</v>
      </c>
    </row>
    <row r="87" spans="1:103" s="1438" customFormat="1" ht="13">
      <c r="A87" s="1483" t="str">
        <f t="shared" si="79"/>
        <v>Public Health Wales Trust</v>
      </c>
      <c r="B87" s="1580"/>
      <c r="C87" s="1580"/>
      <c r="D87" s="1580"/>
      <c r="E87" s="1581"/>
      <c r="F87" s="1436"/>
      <c r="G87" s="1547">
        <f t="shared" si="80"/>
        <v>0</v>
      </c>
      <c r="H87" s="1484"/>
      <c r="I87" s="1547">
        <f t="shared" si="81"/>
        <v>0</v>
      </c>
      <c r="J87" s="1484"/>
      <c r="K87" s="1484"/>
      <c r="L87" s="1436"/>
      <c r="M87" s="1437"/>
      <c r="N87" s="1437"/>
      <c r="O87" s="1485"/>
      <c r="P87" s="1486"/>
      <c r="Q87" s="1486"/>
      <c r="R87" s="1487"/>
      <c r="S87" s="1444"/>
      <c r="T87" s="1444"/>
      <c r="U87" s="1444"/>
      <c r="V87" s="1488"/>
      <c r="W87" s="1488"/>
      <c r="X87" s="1488"/>
      <c r="Y87" s="1488"/>
      <c r="Z87" s="1488"/>
      <c r="AA87" s="1488"/>
      <c r="AB87" s="1488"/>
      <c r="AC87" s="1488"/>
      <c r="AD87" s="1488"/>
      <c r="AE87" s="1488"/>
      <c r="AF87" s="1488"/>
      <c r="AG87" s="1488"/>
      <c r="AH87" s="1451">
        <f t="shared" si="42"/>
        <v>0</v>
      </c>
      <c r="AI87" s="1488"/>
      <c r="AJ87" s="1488"/>
      <c r="AK87" s="1488"/>
      <c r="AL87" s="1488"/>
      <c r="AM87" s="1488"/>
      <c r="AN87" s="1488"/>
      <c r="AO87" s="1488"/>
      <c r="AP87" s="1488"/>
      <c r="AQ87" s="1488"/>
      <c r="AR87" s="1488"/>
      <c r="AS87" s="1488"/>
      <c r="AT87" s="1542"/>
      <c r="AU87" s="1599">
        <f t="shared" si="54"/>
        <v>0</v>
      </c>
      <c r="AV87" s="1544">
        <f t="shared" si="82"/>
        <v>0</v>
      </c>
      <c r="AW87" s="1452">
        <f t="shared" si="55"/>
        <v>0</v>
      </c>
      <c r="AX87" s="1452">
        <f t="shared" si="56"/>
        <v>0</v>
      </c>
      <c r="AY87" s="1452">
        <f t="shared" si="57"/>
        <v>0</v>
      </c>
      <c r="AZ87" s="1452">
        <f t="shared" si="58"/>
        <v>0</v>
      </c>
      <c r="BA87" s="1452">
        <f t="shared" si="59"/>
        <v>0</v>
      </c>
      <c r="BB87" s="1452">
        <f t="shared" si="60"/>
        <v>0</v>
      </c>
      <c r="BC87" s="1452">
        <f t="shared" si="61"/>
        <v>0</v>
      </c>
      <c r="BD87" s="1452">
        <f t="shared" si="62"/>
        <v>0</v>
      </c>
      <c r="BE87" s="1452">
        <f t="shared" si="63"/>
        <v>0</v>
      </c>
      <c r="BF87" s="1452">
        <f t="shared" si="64"/>
        <v>0</v>
      </c>
      <c r="BG87" s="1452">
        <f t="shared" si="65"/>
        <v>0</v>
      </c>
      <c r="BH87" s="1452">
        <f t="shared" si="66"/>
        <v>0</v>
      </c>
      <c r="BI87" s="1452">
        <f t="shared" si="83"/>
        <v>0</v>
      </c>
      <c r="BJ87" s="1452" t="str">
        <f t="shared" si="67"/>
        <v/>
      </c>
      <c r="BK87" s="1452" t="str">
        <f t="shared" si="68"/>
        <v/>
      </c>
      <c r="BL87" s="1452" t="str">
        <f t="shared" si="69"/>
        <v/>
      </c>
      <c r="BM87" s="1452" t="str">
        <f t="shared" si="70"/>
        <v/>
      </c>
      <c r="BN87" s="1452" t="str">
        <f t="shared" ca="1" si="71"/>
        <v/>
      </c>
      <c r="BO87" s="1452" t="str">
        <f t="shared" si="84"/>
        <v/>
      </c>
      <c r="BP87" s="1452" t="str">
        <f t="shared" si="72"/>
        <v/>
      </c>
      <c r="BQ87" s="1452" t="str">
        <f t="shared" si="73"/>
        <v/>
      </c>
      <c r="BR87" s="1452" t="str">
        <f t="shared" si="74"/>
        <v/>
      </c>
      <c r="BS87" s="1452" t="str">
        <f t="shared" si="75"/>
        <v/>
      </c>
      <c r="BT87" s="1452" t="str">
        <f t="shared" si="76"/>
        <v/>
      </c>
      <c r="BU87" s="1452" t="str">
        <f t="shared" si="77"/>
        <v/>
      </c>
      <c r="BV87" s="1452" t="str">
        <f t="shared" si="78"/>
        <v/>
      </c>
      <c r="BW87" s="1558">
        <f t="shared" ca="1" si="85"/>
        <v>0</v>
      </c>
      <c r="CI87" s="9"/>
      <c r="CY87" s="9"/>
    </row>
    <row r="88" spans="1:103" s="9" customFormat="1" ht="13">
      <c r="A88" s="1483" t="str">
        <f t="shared" si="79"/>
        <v>Public Health Wales Trust</v>
      </c>
      <c r="B88" s="1580"/>
      <c r="C88" s="1580"/>
      <c r="D88" s="1580"/>
      <c r="E88" s="1581"/>
      <c r="F88" s="1436"/>
      <c r="G88" s="1547">
        <f t="shared" si="80"/>
        <v>0</v>
      </c>
      <c r="H88" s="1484"/>
      <c r="I88" s="1547">
        <f t="shared" si="81"/>
        <v>0</v>
      </c>
      <c r="J88" s="1484"/>
      <c r="K88" s="1484"/>
      <c r="L88" s="1436"/>
      <c r="M88" s="1437"/>
      <c r="N88" s="1437"/>
      <c r="O88" s="1485"/>
      <c r="P88" s="1486"/>
      <c r="Q88" s="1486"/>
      <c r="R88" s="1487"/>
      <c r="S88" s="1444"/>
      <c r="T88" s="1444"/>
      <c r="U88" s="1444"/>
      <c r="V88" s="1488"/>
      <c r="W88" s="1488"/>
      <c r="X88" s="1488"/>
      <c r="Y88" s="1488"/>
      <c r="Z88" s="1488"/>
      <c r="AA88" s="1488"/>
      <c r="AB88" s="1488"/>
      <c r="AC88" s="1488"/>
      <c r="AD88" s="1488"/>
      <c r="AE88" s="1488"/>
      <c r="AF88" s="1488"/>
      <c r="AG88" s="1488"/>
      <c r="AH88" s="1451">
        <f t="shared" si="42"/>
        <v>0</v>
      </c>
      <c r="AI88" s="1488"/>
      <c r="AJ88" s="1488"/>
      <c r="AK88" s="1488"/>
      <c r="AL88" s="1488"/>
      <c r="AM88" s="1488"/>
      <c r="AN88" s="1488"/>
      <c r="AO88" s="1488"/>
      <c r="AP88" s="1488"/>
      <c r="AQ88" s="1488"/>
      <c r="AR88" s="1488"/>
      <c r="AS88" s="1488"/>
      <c r="AT88" s="1542"/>
      <c r="AU88" s="1599">
        <f t="shared" si="54"/>
        <v>0</v>
      </c>
      <c r="AV88" s="1544">
        <f t="shared" si="82"/>
        <v>0</v>
      </c>
      <c r="AW88" s="1452">
        <f t="shared" si="55"/>
        <v>0</v>
      </c>
      <c r="AX88" s="1452">
        <f t="shared" si="56"/>
        <v>0</v>
      </c>
      <c r="AY88" s="1452">
        <f t="shared" si="57"/>
        <v>0</v>
      </c>
      <c r="AZ88" s="1452">
        <f t="shared" si="58"/>
        <v>0</v>
      </c>
      <c r="BA88" s="1452">
        <f t="shared" si="59"/>
        <v>0</v>
      </c>
      <c r="BB88" s="1452">
        <f t="shared" si="60"/>
        <v>0</v>
      </c>
      <c r="BC88" s="1452">
        <f t="shared" si="61"/>
        <v>0</v>
      </c>
      <c r="BD88" s="1452">
        <f t="shared" si="62"/>
        <v>0</v>
      </c>
      <c r="BE88" s="1452">
        <f t="shared" si="63"/>
        <v>0</v>
      </c>
      <c r="BF88" s="1452">
        <f t="shared" si="64"/>
        <v>0</v>
      </c>
      <c r="BG88" s="1452">
        <f t="shared" si="65"/>
        <v>0</v>
      </c>
      <c r="BH88" s="1452">
        <f t="shared" si="66"/>
        <v>0</v>
      </c>
      <c r="BI88" s="1452">
        <f t="shared" si="83"/>
        <v>0</v>
      </c>
      <c r="BJ88" s="1452" t="str">
        <f t="shared" si="67"/>
        <v/>
      </c>
      <c r="BK88" s="1452" t="str">
        <f t="shared" si="68"/>
        <v/>
      </c>
      <c r="BL88" s="1452" t="str">
        <f t="shared" si="69"/>
        <v/>
      </c>
      <c r="BM88" s="1452" t="str">
        <f t="shared" si="70"/>
        <v/>
      </c>
      <c r="BN88" s="1452" t="str">
        <f t="shared" ca="1" si="71"/>
        <v/>
      </c>
      <c r="BO88" s="1452" t="str">
        <f t="shared" si="84"/>
        <v/>
      </c>
      <c r="BP88" s="1452" t="str">
        <f t="shared" si="72"/>
        <v/>
      </c>
      <c r="BQ88" s="1452" t="str">
        <f t="shared" si="73"/>
        <v/>
      </c>
      <c r="BR88" s="1452" t="str">
        <f t="shared" si="74"/>
        <v/>
      </c>
      <c r="BS88" s="1452" t="str">
        <f t="shared" si="75"/>
        <v/>
      </c>
      <c r="BT88" s="1452" t="str">
        <f t="shared" si="76"/>
        <v/>
      </c>
      <c r="BU88" s="1452" t="str">
        <f t="shared" si="77"/>
        <v/>
      </c>
      <c r="BV88" s="1452" t="str">
        <f t="shared" si="78"/>
        <v/>
      </c>
      <c r="BW88" s="1558">
        <f t="shared" ca="1" si="85"/>
        <v>0</v>
      </c>
      <c r="CI88" s="1438"/>
    </row>
    <row r="89" spans="1:103" s="9" customFormat="1" ht="12.5">
      <c r="A89" s="1483" t="str">
        <f t="shared" si="79"/>
        <v>Public Health Wales Trust</v>
      </c>
      <c r="B89" s="1580"/>
      <c r="C89" s="1580"/>
      <c r="D89" s="1580"/>
      <c r="E89" s="1581"/>
      <c r="F89" s="1436"/>
      <c r="G89" s="1547">
        <f t="shared" si="80"/>
        <v>0</v>
      </c>
      <c r="H89" s="1484"/>
      <c r="I89" s="1547">
        <f t="shared" si="81"/>
        <v>0</v>
      </c>
      <c r="J89" s="1484"/>
      <c r="K89" s="1484"/>
      <c r="L89" s="1436"/>
      <c r="M89" s="1437"/>
      <c r="N89" s="1437"/>
      <c r="O89" s="1485"/>
      <c r="P89" s="1486"/>
      <c r="Q89" s="1486"/>
      <c r="R89" s="1487"/>
      <c r="S89" s="1444"/>
      <c r="T89" s="1444"/>
      <c r="U89" s="1444"/>
      <c r="V89" s="1488"/>
      <c r="W89" s="1488"/>
      <c r="X89" s="1488"/>
      <c r="Y89" s="1488"/>
      <c r="Z89" s="1488"/>
      <c r="AA89" s="1488"/>
      <c r="AB89" s="1488"/>
      <c r="AC89" s="1488"/>
      <c r="AD89" s="1488"/>
      <c r="AE89" s="1488"/>
      <c r="AF89" s="1488"/>
      <c r="AG89" s="1488"/>
      <c r="AH89" s="1451">
        <f t="shared" si="42"/>
        <v>0</v>
      </c>
      <c r="AI89" s="1488"/>
      <c r="AJ89" s="1488"/>
      <c r="AK89" s="1488"/>
      <c r="AL89" s="1488"/>
      <c r="AM89" s="1488"/>
      <c r="AN89" s="1488"/>
      <c r="AO89" s="1488"/>
      <c r="AP89" s="1488"/>
      <c r="AQ89" s="1488"/>
      <c r="AR89" s="1488"/>
      <c r="AS89" s="1488"/>
      <c r="AT89" s="1542"/>
      <c r="AU89" s="1599">
        <f t="shared" si="54"/>
        <v>0</v>
      </c>
      <c r="AV89" s="1544">
        <f t="shared" si="82"/>
        <v>0</v>
      </c>
      <c r="AW89" s="1452">
        <f t="shared" si="55"/>
        <v>0</v>
      </c>
      <c r="AX89" s="1452">
        <f t="shared" si="56"/>
        <v>0</v>
      </c>
      <c r="AY89" s="1452">
        <f t="shared" si="57"/>
        <v>0</v>
      </c>
      <c r="AZ89" s="1452">
        <f t="shared" si="58"/>
        <v>0</v>
      </c>
      <c r="BA89" s="1452">
        <f t="shared" si="59"/>
        <v>0</v>
      </c>
      <c r="BB89" s="1452">
        <f t="shared" si="60"/>
        <v>0</v>
      </c>
      <c r="BC89" s="1452">
        <f t="shared" si="61"/>
        <v>0</v>
      </c>
      <c r="BD89" s="1452">
        <f t="shared" si="62"/>
        <v>0</v>
      </c>
      <c r="BE89" s="1452">
        <f t="shared" si="63"/>
        <v>0</v>
      </c>
      <c r="BF89" s="1452">
        <f t="shared" si="64"/>
        <v>0</v>
      </c>
      <c r="BG89" s="1452">
        <f t="shared" si="65"/>
        <v>0</v>
      </c>
      <c r="BH89" s="1452">
        <f t="shared" si="66"/>
        <v>0</v>
      </c>
      <c r="BI89" s="1452">
        <f t="shared" si="83"/>
        <v>0</v>
      </c>
      <c r="BJ89" s="1452" t="str">
        <f t="shared" si="67"/>
        <v/>
      </c>
      <c r="BK89" s="1452" t="str">
        <f t="shared" si="68"/>
        <v/>
      </c>
      <c r="BL89" s="1452" t="str">
        <f t="shared" si="69"/>
        <v/>
      </c>
      <c r="BM89" s="1452" t="str">
        <f t="shared" si="70"/>
        <v/>
      </c>
      <c r="BN89" s="1452" t="str">
        <f t="shared" ca="1" si="71"/>
        <v/>
      </c>
      <c r="BO89" s="1452" t="str">
        <f t="shared" si="84"/>
        <v/>
      </c>
      <c r="BP89" s="1452" t="str">
        <f t="shared" si="72"/>
        <v/>
      </c>
      <c r="BQ89" s="1452" t="str">
        <f t="shared" si="73"/>
        <v/>
      </c>
      <c r="BR89" s="1452" t="str">
        <f t="shared" si="74"/>
        <v/>
      </c>
      <c r="BS89" s="1452" t="str">
        <f t="shared" si="75"/>
        <v/>
      </c>
      <c r="BT89" s="1452" t="str">
        <f t="shared" si="76"/>
        <v/>
      </c>
      <c r="BU89" s="1452" t="str">
        <f t="shared" si="77"/>
        <v/>
      </c>
      <c r="BV89" s="1452" t="str">
        <f t="shared" si="78"/>
        <v/>
      </c>
      <c r="BW89" s="1558">
        <f t="shared" ca="1" si="85"/>
        <v>0</v>
      </c>
    </row>
    <row r="90" spans="1:103" s="9" customFormat="1" ht="12.5">
      <c r="A90" s="1483" t="str">
        <f t="shared" si="79"/>
        <v>Public Health Wales Trust</v>
      </c>
      <c r="B90" s="1580"/>
      <c r="C90" s="1580"/>
      <c r="D90" s="1580"/>
      <c r="E90" s="1581"/>
      <c r="F90" s="1436"/>
      <c r="G90" s="1547">
        <f t="shared" si="80"/>
        <v>0</v>
      </c>
      <c r="H90" s="1484"/>
      <c r="I90" s="1547">
        <f t="shared" si="81"/>
        <v>0</v>
      </c>
      <c r="J90" s="1484"/>
      <c r="K90" s="1484"/>
      <c r="L90" s="1436"/>
      <c r="M90" s="1437"/>
      <c r="N90" s="1437"/>
      <c r="O90" s="1485"/>
      <c r="P90" s="1486"/>
      <c r="Q90" s="1486"/>
      <c r="R90" s="1487"/>
      <c r="S90" s="1444"/>
      <c r="T90" s="1444"/>
      <c r="U90" s="1444"/>
      <c r="V90" s="1488"/>
      <c r="W90" s="1488"/>
      <c r="X90" s="1488"/>
      <c r="Y90" s="1488"/>
      <c r="Z90" s="1488"/>
      <c r="AA90" s="1488"/>
      <c r="AB90" s="1488"/>
      <c r="AC90" s="1488"/>
      <c r="AD90" s="1488"/>
      <c r="AE90" s="1488"/>
      <c r="AF90" s="1488"/>
      <c r="AG90" s="1488"/>
      <c r="AH90" s="1451">
        <f t="shared" si="42"/>
        <v>0</v>
      </c>
      <c r="AI90" s="1488"/>
      <c r="AJ90" s="1488"/>
      <c r="AK90" s="1488"/>
      <c r="AL90" s="1488"/>
      <c r="AM90" s="1488"/>
      <c r="AN90" s="1488"/>
      <c r="AO90" s="1488"/>
      <c r="AP90" s="1488"/>
      <c r="AQ90" s="1488"/>
      <c r="AR90" s="1488"/>
      <c r="AS90" s="1488"/>
      <c r="AT90" s="1542"/>
      <c r="AU90" s="1599">
        <f t="shared" si="54"/>
        <v>0</v>
      </c>
      <c r="AV90" s="1544">
        <f t="shared" si="82"/>
        <v>0</v>
      </c>
      <c r="AW90" s="1452">
        <f t="shared" si="55"/>
        <v>0</v>
      </c>
      <c r="AX90" s="1452">
        <f t="shared" si="56"/>
        <v>0</v>
      </c>
      <c r="AY90" s="1452">
        <f t="shared" si="57"/>
        <v>0</v>
      </c>
      <c r="AZ90" s="1452">
        <f t="shared" si="58"/>
        <v>0</v>
      </c>
      <c r="BA90" s="1452">
        <f t="shared" si="59"/>
        <v>0</v>
      </c>
      <c r="BB90" s="1452">
        <f t="shared" si="60"/>
        <v>0</v>
      </c>
      <c r="BC90" s="1452">
        <f t="shared" si="61"/>
        <v>0</v>
      </c>
      <c r="BD90" s="1452">
        <f t="shared" si="62"/>
        <v>0</v>
      </c>
      <c r="BE90" s="1452">
        <f t="shared" si="63"/>
        <v>0</v>
      </c>
      <c r="BF90" s="1452">
        <f t="shared" si="64"/>
        <v>0</v>
      </c>
      <c r="BG90" s="1452">
        <f t="shared" si="65"/>
        <v>0</v>
      </c>
      <c r="BH90" s="1452">
        <f t="shared" si="66"/>
        <v>0</v>
      </c>
      <c r="BI90" s="1452">
        <f t="shared" si="83"/>
        <v>0</v>
      </c>
      <c r="BJ90" s="1452" t="str">
        <f t="shared" si="67"/>
        <v/>
      </c>
      <c r="BK90" s="1452" t="str">
        <f t="shared" si="68"/>
        <v/>
      </c>
      <c r="BL90" s="1452" t="str">
        <f t="shared" si="69"/>
        <v/>
      </c>
      <c r="BM90" s="1452" t="str">
        <f t="shared" si="70"/>
        <v/>
      </c>
      <c r="BN90" s="1452" t="str">
        <f t="shared" ca="1" si="71"/>
        <v/>
      </c>
      <c r="BO90" s="1452" t="str">
        <f t="shared" si="84"/>
        <v/>
      </c>
      <c r="BP90" s="1452" t="str">
        <f t="shared" si="72"/>
        <v/>
      </c>
      <c r="BQ90" s="1452" t="str">
        <f t="shared" si="73"/>
        <v/>
      </c>
      <c r="BR90" s="1452" t="str">
        <f t="shared" si="74"/>
        <v/>
      </c>
      <c r="BS90" s="1452" t="str">
        <f t="shared" si="75"/>
        <v/>
      </c>
      <c r="BT90" s="1452" t="str">
        <f t="shared" si="76"/>
        <v/>
      </c>
      <c r="BU90" s="1452" t="str">
        <f t="shared" si="77"/>
        <v/>
      </c>
      <c r="BV90" s="1452" t="str">
        <f t="shared" si="78"/>
        <v/>
      </c>
      <c r="BW90" s="1558">
        <f t="shared" ca="1" si="85"/>
        <v>0</v>
      </c>
    </row>
    <row r="91" spans="1:103" s="9" customFormat="1" ht="12.5">
      <c r="A91" s="1483" t="str">
        <f t="shared" si="79"/>
        <v>Public Health Wales Trust</v>
      </c>
      <c r="B91" s="1580"/>
      <c r="C91" s="1580"/>
      <c r="D91" s="1580"/>
      <c r="E91" s="1581"/>
      <c r="F91" s="1436"/>
      <c r="G91" s="1547">
        <f t="shared" si="80"/>
        <v>0</v>
      </c>
      <c r="H91" s="1484"/>
      <c r="I91" s="1547">
        <f t="shared" si="81"/>
        <v>0</v>
      </c>
      <c r="J91" s="1484"/>
      <c r="K91" s="1484"/>
      <c r="L91" s="1436"/>
      <c r="M91" s="1437"/>
      <c r="N91" s="1437"/>
      <c r="O91" s="1485"/>
      <c r="P91" s="1486"/>
      <c r="Q91" s="1486"/>
      <c r="R91" s="1487"/>
      <c r="S91" s="1444"/>
      <c r="T91" s="1444"/>
      <c r="U91" s="1444"/>
      <c r="V91" s="1488"/>
      <c r="W91" s="1488"/>
      <c r="X91" s="1488"/>
      <c r="Y91" s="1488"/>
      <c r="Z91" s="1488"/>
      <c r="AA91" s="1488"/>
      <c r="AB91" s="1488"/>
      <c r="AC91" s="1488"/>
      <c r="AD91" s="1488"/>
      <c r="AE91" s="1488"/>
      <c r="AF91" s="1488"/>
      <c r="AG91" s="1488"/>
      <c r="AH91" s="1451">
        <f t="shared" si="42"/>
        <v>0</v>
      </c>
      <c r="AI91" s="1488"/>
      <c r="AJ91" s="1488"/>
      <c r="AK91" s="1488"/>
      <c r="AL91" s="1488"/>
      <c r="AM91" s="1488"/>
      <c r="AN91" s="1488"/>
      <c r="AO91" s="1488"/>
      <c r="AP91" s="1488"/>
      <c r="AQ91" s="1488"/>
      <c r="AR91" s="1488"/>
      <c r="AS91" s="1488"/>
      <c r="AT91" s="1542"/>
      <c r="AU91" s="1599">
        <f t="shared" si="54"/>
        <v>0</v>
      </c>
      <c r="AV91" s="1544">
        <f t="shared" si="82"/>
        <v>0</v>
      </c>
      <c r="AW91" s="1452">
        <f t="shared" si="55"/>
        <v>0</v>
      </c>
      <c r="AX91" s="1452">
        <f t="shared" si="56"/>
        <v>0</v>
      </c>
      <c r="AY91" s="1452">
        <f t="shared" si="57"/>
        <v>0</v>
      </c>
      <c r="AZ91" s="1452">
        <f t="shared" si="58"/>
        <v>0</v>
      </c>
      <c r="BA91" s="1452">
        <f t="shared" si="59"/>
        <v>0</v>
      </c>
      <c r="BB91" s="1452">
        <f t="shared" si="60"/>
        <v>0</v>
      </c>
      <c r="BC91" s="1452">
        <f t="shared" si="61"/>
        <v>0</v>
      </c>
      <c r="BD91" s="1452">
        <f t="shared" si="62"/>
        <v>0</v>
      </c>
      <c r="BE91" s="1452">
        <f t="shared" si="63"/>
        <v>0</v>
      </c>
      <c r="BF91" s="1452">
        <f t="shared" si="64"/>
        <v>0</v>
      </c>
      <c r="BG91" s="1452">
        <f t="shared" si="65"/>
        <v>0</v>
      </c>
      <c r="BH91" s="1452">
        <f t="shared" si="66"/>
        <v>0</v>
      </c>
      <c r="BI91" s="1452">
        <f t="shared" si="83"/>
        <v>0</v>
      </c>
      <c r="BJ91" s="1452" t="str">
        <f t="shared" si="67"/>
        <v/>
      </c>
      <c r="BK91" s="1452" t="str">
        <f t="shared" si="68"/>
        <v/>
      </c>
      <c r="BL91" s="1452" t="str">
        <f t="shared" si="69"/>
        <v/>
      </c>
      <c r="BM91" s="1452" t="str">
        <f t="shared" si="70"/>
        <v/>
      </c>
      <c r="BN91" s="1452" t="str">
        <f t="shared" ca="1" si="71"/>
        <v/>
      </c>
      <c r="BO91" s="1452" t="str">
        <f t="shared" si="84"/>
        <v/>
      </c>
      <c r="BP91" s="1452" t="str">
        <f t="shared" si="72"/>
        <v/>
      </c>
      <c r="BQ91" s="1452" t="str">
        <f t="shared" si="73"/>
        <v/>
      </c>
      <c r="BR91" s="1452" t="str">
        <f t="shared" si="74"/>
        <v/>
      </c>
      <c r="BS91" s="1452" t="str">
        <f t="shared" si="75"/>
        <v/>
      </c>
      <c r="BT91" s="1452" t="str">
        <f t="shared" si="76"/>
        <v/>
      </c>
      <c r="BU91" s="1452" t="str">
        <f t="shared" si="77"/>
        <v/>
      </c>
      <c r="BV91" s="1452" t="str">
        <f t="shared" si="78"/>
        <v/>
      </c>
      <c r="BW91" s="1558">
        <f t="shared" ca="1" si="85"/>
        <v>0</v>
      </c>
    </row>
    <row r="92" spans="1:103" s="9" customFormat="1" ht="12.5">
      <c r="A92" s="1483" t="str">
        <f t="shared" si="79"/>
        <v>Public Health Wales Trust</v>
      </c>
      <c r="B92" s="1580"/>
      <c r="C92" s="1580"/>
      <c r="D92" s="1580"/>
      <c r="E92" s="1581"/>
      <c r="F92" s="1436"/>
      <c r="G92" s="1547">
        <f t="shared" si="80"/>
        <v>0</v>
      </c>
      <c r="H92" s="1484"/>
      <c r="I92" s="1547">
        <f t="shared" si="81"/>
        <v>0</v>
      </c>
      <c r="J92" s="1484"/>
      <c r="K92" s="1484"/>
      <c r="L92" s="1436"/>
      <c r="M92" s="1437"/>
      <c r="N92" s="1437"/>
      <c r="O92" s="1485"/>
      <c r="P92" s="1486"/>
      <c r="Q92" s="1486"/>
      <c r="R92" s="1487"/>
      <c r="S92" s="1444"/>
      <c r="T92" s="1444"/>
      <c r="U92" s="1444"/>
      <c r="V92" s="1488"/>
      <c r="W92" s="1488"/>
      <c r="X92" s="1488"/>
      <c r="Y92" s="1488"/>
      <c r="Z92" s="1488"/>
      <c r="AA92" s="1488"/>
      <c r="AB92" s="1488"/>
      <c r="AC92" s="1488"/>
      <c r="AD92" s="1488"/>
      <c r="AE92" s="1488"/>
      <c r="AF92" s="1488"/>
      <c r="AG92" s="1488"/>
      <c r="AH92" s="1451">
        <f t="shared" si="42"/>
        <v>0</v>
      </c>
      <c r="AI92" s="1488"/>
      <c r="AJ92" s="1488"/>
      <c r="AK92" s="1488"/>
      <c r="AL92" s="1488"/>
      <c r="AM92" s="1488"/>
      <c r="AN92" s="1488"/>
      <c r="AO92" s="1488"/>
      <c r="AP92" s="1488"/>
      <c r="AQ92" s="1488"/>
      <c r="AR92" s="1488"/>
      <c r="AS92" s="1488"/>
      <c r="AT92" s="1542"/>
      <c r="AU92" s="1599">
        <f t="shared" si="54"/>
        <v>0</v>
      </c>
      <c r="AV92" s="1544">
        <f t="shared" si="82"/>
        <v>0</v>
      </c>
      <c r="AW92" s="1452">
        <f t="shared" si="55"/>
        <v>0</v>
      </c>
      <c r="AX92" s="1452">
        <f t="shared" si="56"/>
        <v>0</v>
      </c>
      <c r="AY92" s="1452">
        <f t="shared" si="57"/>
        <v>0</v>
      </c>
      <c r="AZ92" s="1452">
        <f t="shared" si="58"/>
        <v>0</v>
      </c>
      <c r="BA92" s="1452">
        <f t="shared" si="59"/>
        <v>0</v>
      </c>
      <c r="BB92" s="1452">
        <f t="shared" si="60"/>
        <v>0</v>
      </c>
      <c r="BC92" s="1452">
        <f t="shared" si="61"/>
        <v>0</v>
      </c>
      <c r="BD92" s="1452">
        <f t="shared" si="62"/>
        <v>0</v>
      </c>
      <c r="BE92" s="1452">
        <f t="shared" si="63"/>
        <v>0</v>
      </c>
      <c r="BF92" s="1452">
        <f t="shared" si="64"/>
        <v>0</v>
      </c>
      <c r="BG92" s="1452">
        <f t="shared" si="65"/>
        <v>0</v>
      </c>
      <c r="BH92" s="1452">
        <f t="shared" si="66"/>
        <v>0</v>
      </c>
      <c r="BI92" s="1452">
        <f t="shared" si="83"/>
        <v>0</v>
      </c>
      <c r="BJ92" s="1452" t="str">
        <f t="shared" si="67"/>
        <v/>
      </c>
      <c r="BK92" s="1452" t="str">
        <f t="shared" si="68"/>
        <v/>
      </c>
      <c r="BL92" s="1452" t="str">
        <f t="shared" si="69"/>
        <v/>
      </c>
      <c r="BM92" s="1452" t="str">
        <f t="shared" si="70"/>
        <v/>
      </c>
      <c r="BN92" s="1452" t="str">
        <f t="shared" ca="1" si="71"/>
        <v/>
      </c>
      <c r="BO92" s="1452" t="str">
        <f t="shared" si="84"/>
        <v/>
      </c>
      <c r="BP92" s="1452" t="str">
        <f t="shared" si="72"/>
        <v/>
      </c>
      <c r="BQ92" s="1452" t="str">
        <f t="shared" si="73"/>
        <v/>
      </c>
      <c r="BR92" s="1452" t="str">
        <f t="shared" si="74"/>
        <v/>
      </c>
      <c r="BS92" s="1452" t="str">
        <f t="shared" si="75"/>
        <v/>
      </c>
      <c r="BT92" s="1452" t="str">
        <f t="shared" si="76"/>
        <v/>
      </c>
      <c r="BU92" s="1452" t="str">
        <f t="shared" si="77"/>
        <v/>
      </c>
      <c r="BV92" s="1452" t="str">
        <f t="shared" si="78"/>
        <v/>
      </c>
      <c r="BW92" s="1558">
        <f t="shared" ca="1" si="85"/>
        <v>0</v>
      </c>
    </row>
    <row r="93" spans="1:103" s="9" customFormat="1" ht="12.5">
      <c r="A93" s="1483" t="str">
        <f t="shared" si="79"/>
        <v>Public Health Wales Trust</v>
      </c>
      <c r="B93" s="1580"/>
      <c r="C93" s="1580"/>
      <c r="D93" s="1580"/>
      <c r="E93" s="1581"/>
      <c r="F93" s="1436"/>
      <c r="G93" s="1547">
        <f t="shared" si="80"/>
        <v>0</v>
      </c>
      <c r="H93" s="1484"/>
      <c r="I93" s="1547">
        <f t="shared" si="81"/>
        <v>0</v>
      </c>
      <c r="J93" s="1484"/>
      <c r="K93" s="1484"/>
      <c r="L93" s="1436"/>
      <c r="M93" s="1437"/>
      <c r="N93" s="1437"/>
      <c r="O93" s="1485"/>
      <c r="P93" s="1486"/>
      <c r="Q93" s="1486"/>
      <c r="R93" s="1487"/>
      <c r="S93" s="1444"/>
      <c r="T93" s="1444"/>
      <c r="U93" s="1444"/>
      <c r="V93" s="1488"/>
      <c r="W93" s="1488"/>
      <c r="X93" s="1488"/>
      <c r="Y93" s="1488"/>
      <c r="Z93" s="1488"/>
      <c r="AA93" s="1488"/>
      <c r="AB93" s="1488"/>
      <c r="AC93" s="1488"/>
      <c r="AD93" s="1488"/>
      <c r="AE93" s="1488"/>
      <c r="AF93" s="1488"/>
      <c r="AG93" s="1488"/>
      <c r="AH93" s="1451">
        <f t="shared" si="42"/>
        <v>0</v>
      </c>
      <c r="AI93" s="1488"/>
      <c r="AJ93" s="1488"/>
      <c r="AK93" s="1488"/>
      <c r="AL93" s="1488"/>
      <c r="AM93" s="1488"/>
      <c r="AN93" s="1488"/>
      <c r="AO93" s="1488"/>
      <c r="AP93" s="1488"/>
      <c r="AQ93" s="1488"/>
      <c r="AR93" s="1488"/>
      <c r="AS93" s="1488"/>
      <c r="AT93" s="1542"/>
      <c r="AU93" s="1599">
        <f t="shared" si="54"/>
        <v>0</v>
      </c>
      <c r="AV93" s="1544">
        <f t="shared" si="82"/>
        <v>0</v>
      </c>
      <c r="AW93" s="1452">
        <f t="shared" si="55"/>
        <v>0</v>
      </c>
      <c r="AX93" s="1452">
        <f t="shared" si="56"/>
        <v>0</v>
      </c>
      <c r="AY93" s="1452">
        <f t="shared" si="57"/>
        <v>0</v>
      </c>
      <c r="AZ93" s="1452">
        <f t="shared" si="58"/>
        <v>0</v>
      </c>
      <c r="BA93" s="1452">
        <f t="shared" si="59"/>
        <v>0</v>
      </c>
      <c r="BB93" s="1452">
        <f t="shared" si="60"/>
        <v>0</v>
      </c>
      <c r="BC93" s="1452">
        <f t="shared" si="61"/>
        <v>0</v>
      </c>
      <c r="BD93" s="1452">
        <f t="shared" si="62"/>
        <v>0</v>
      </c>
      <c r="BE93" s="1452">
        <f t="shared" si="63"/>
        <v>0</v>
      </c>
      <c r="BF93" s="1452">
        <f t="shared" si="64"/>
        <v>0</v>
      </c>
      <c r="BG93" s="1452">
        <f t="shared" si="65"/>
        <v>0</v>
      </c>
      <c r="BH93" s="1452">
        <f t="shared" si="66"/>
        <v>0</v>
      </c>
      <c r="BI93" s="1452">
        <f t="shared" si="83"/>
        <v>0</v>
      </c>
      <c r="BJ93" s="1452" t="str">
        <f t="shared" si="67"/>
        <v/>
      </c>
      <c r="BK93" s="1452" t="str">
        <f t="shared" si="68"/>
        <v/>
      </c>
      <c r="BL93" s="1452" t="str">
        <f t="shared" si="69"/>
        <v/>
      </c>
      <c r="BM93" s="1452" t="str">
        <f t="shared" si="70"/>
        <v/>
      </c>
      <c r="BN93" s="1452" t="str">
        <f t="shared" ca="1" si="71"/>
        <v/>
      </c>
      <c r="BO93" s="1452" t="str">
        <f t="shared" si="84"/>
        <v/>
      </c>
      <c r="BP93" s="1452" t="str">
        <f t="shared" si="72"/>
        <v/>
      </c>
      <c r="BQ93" s="1452" t="str">
        <f t="shared" si="73"/>
        <v/>
      </c>
      <c r="BR93" s="1452" t="str">
        <f t="shared" si="74"/>
        <v/>
      </c>
      <c r="BS93" s="1452" t="str">
        <f t="shared" si="75"/>
        <v/>
      </c>
      <c r="BT93" s="1452" t="str">
        <f t="shared" si="76"/>
        <v/>
      </c>
      <c r="BU93" s="1452" t="str">
        <f t="shared" si="77"/>
        <v/>
      </c>
      <c r="BV93" s="1452" t="str">
        <f t="shared" si="78"/>
        <v/>
      </c>
      <c r="BW93" s="1558">
        <f t="shared" ca="1" si="85"/>
        <v>0</v>
      </c>
    </row>
    <row r="94" spans="1:103" s="9" customFormat="1" ht="12.5">
      <c r="A94" s="1483" t="str">
        <f t="shared" si="79"/>
        <v>Public Health Wales Trust</v>
      </c>
      <c r="B94" s="1580"/>
      <c r="C94" s="1580"/>
      <c r="D94" s="1580"/>
      <c r="E94" s="1581"/>
      <c r="F94" s="1436"/>
      <c r="G94" s="1547">
        <f t="shared" si="80"/>
        <v>0</v>
      </c>
      <c r="H94" s="1484"/>
      <c r="I94" s="1547">
        <f t="shared" si="81"/>
        <v>0</v>
      </c>
      <c r="J94" s="1484"/>
      <c r="K94" s="1484"/>
      <c r="L94" s="1436"/>
      <c r="M94" s="1437"/>
      <c r="N94" s="1437"/>
      <c r="O94" s="1485"/>
      <c r="P94" s="1486"/>
      <c r="Q94" s="1486"/>
      <c r="R94" s="1487"/>
      <c r="S94" s="1444"/>
      <c r="T94" s="1444"/>
      <c r="U94" s="1444"/>
      <c r="V94" s="1488"/>
      <c r="W94" s="1488"/>
      <c r="X94" s="1488"/>
      <c r="Y94" s="1488"/>
      <c r="Z94" s="1488"/>
      <c r="AA94" s="1488"/>
      <c r="AB94" s="1488"/>
      <c r="AC94" s="1488"/>
      <c r="AD94" s="1488"/>
      <c r="AE94" s="1488"/>
      <c r="AF94" s="1488"/>
      <c r="AG94" s="1488"/>
      <c r="AH94" s="1451">
        <f t="shared" si="42"/>
        <v>0</v>
      </c>
      <c r="AI94" s="1488"/>
      <c r="AJ94" s="1488"/>
      <c r="AK94" s="1488"/>
      <c r="AL94" s="1488"/>
      <c r="AM94" s="1488"/>
      <c r="AN94" s="1488"/>
      <c r="AO94" s="1488"/>
      <c r="AP94" s="1488"/>
      <c r="AQ94" s="1488"/>
      <c r="AR94" s="1488"/>
      <c r="AS94" s="1488"/>
      <c r="AT94" s="1542"/>
      <c r="AU94" s="1599">
        <f t="shared" si="54"/>
        <v>0</v>
      </c>
      <c r="AV94" s="1544">
        <f t="shared" si="82"/>
        <v>0</v>
      </c>
      <c r="AW94" s="1452">
        <f t="shared" si="55"/>
        <v>0</v>
      </c>
      <c r="AX94" s="1452">
        <f t="shared" si="56"/>
        <v>0</v>
      </c>
      <c r="AY94" s="1452">
        <f t="shared" si="57"/>
        <v>0</v>
      </c>
      <c r="AZ94" s="1452">
        <f t="shared" si="58"/>
        <v>0</v>
      </c>
      <c r="BA94" s="1452">
        <f t="shared" si="59"/>
        <v>0</v>
      </c>
      <c r="BB94" s="1452">
        <f t="shared" si="60"/>
        <v>0</v>
      </c>
      <c r="BC94" s="1452">
        <f t="shared" si="61"/>
        <v>0</v>
      </c>
      <c r="BD94" s="1452">
        <f t="shared" si="62"/>
        <v>0</v>
      </c>
      <c r="BE94" s="1452">
        <f t="shared" si="63"/>
        <v>0</v>
      </c>
      <c r="BF94" s="1452">
        <f t="shared" si="64"/>
        <v>0</v>
      </c>
      <c r="BG94" s="1452">
        <f t="shared" si="65"/>
        <v>0</v>
      </c>
      <c r="BH94" s="1452">
        <f t="shared" si="66"/>
        <v>0</v>
      </c>
      <c r="BI94" s="1452">
        <f t="shared" si="83"/>
        <v>0</v>
      </c>
      <c r="BJ94" s="1452" t="str">
        <f t="shared" si="67"/>
        <v/>
      </c>
      <c r="BK94" s="1452" t="str">
        <f t="shared" si="68"/>
        <v/>
      </c>
      <c r="BL94" s="1452" t="str">
        <f t="shared" si="69"/>
        <v/>
      </c>
      <c r="BM94" s="1452" t="str">
        <f t="shared" si="70"/>
        <v/>
      </c>
      <c r="BN94" s="1452" t="str">
        <f t="shared" ca="1" si="71"/>
        <v/>
      </c>
      <c r="BO94" s="1452" t="str">
        <f t="shared" si="84"/>
        <v/>
      </c>
      <c r="BP94" s="1452" t="str">
        <f t="shared" si="72"/>
        <v/>
      </c>
      <c r="BQ94" s="1452" t="str">
        <f t="shared" si="73"/>
        <v/>
      </c>
      <c r="BR94" s="1452" t="str">
        <f t="shared" si="74"/>
        <v/>
      </c>
      <c r="BS94" s="1452" t="str">
        <f t="shared" si="75"/>
        <v/>
      </c>
      <c r="BT94" s="1452" t="str">
        <f t="shared" si="76"/>
        <v/>
      </c>
      <c r="BU94" s="1452" t="str">
        <f t="shared" si="77"/>
        <v/>
      </c>
      <c r="BV94" s="1452" t="str">
        <f t="shared" si="78"/>
        <v/>
      </c>
      <c r="BW94" s="1558">
        <f t="shared" ca="1" si="85"/>
        <v>0</v>
      </c>
    </row>
    <row r="95" spans="1:103" s="9" customFormat="1" ht="13">
      <c r="A95" s="1483" t="str">
        <f t="shared" si="79"/>
        <v>Public Health Wales Trust</v>
      </c>
      <c r="B95" s="1580"/>
      <c r="C95" s="1580"/>
      <c r="D95" s="1582"/>
      <c r="E95" s="1581"/>
      <c r="F95" s="1436"/>
      <c r="G95" s="1547">
        <f t="shared" si="80"/>
        <v>0</v>
      </c>
      <c r="H95" s="1484"/>
      <c r="I95" s="1547">
        <f t="shared" si="81"/>
        <v>0</v>
      </c>
      <c r="J95" s="1484"/>
      <c r="K95" s="1484"/>
      <c r="L95" s="1436"/>
      <c r="M95" s="1437"/>
      <c r="N95" s="1437"/>
      <c r="O95" s="1485"/>
      <c r="P95" s="1486"/>
      <c r="Q95" s="1486"/>
      <c r="R95" s="1487"/>
      <c r="S95" s="1444"/>
      <c r="T95" s="1444"/>
      <c r="U95" s="1444"/>
      <c r="V95" s="1488"/>
      <c r="W95" s="1488"/>
      <c r="X95" s="1488"/>
      <c r="Y95" s="1488"/>
      <c r="Z95" s="1488"/>
      <c r="AA95" s="1488"/>
      <c r="AB95" s="1488"/>
      <c r="AC95" s="1488"/>
      <c r="AD95" s="1488"/>
      <c r="AE95" s="1488"/>
      <c r="AF95" s="1488"/>
      <c r="AG95" s="1488"/>
      <c r="AH95" s="1451">
        <f t="shared" si="42"/>
        <v>0</v>
      </c>
      <c r="AI95" s="1488"/>
      <c r="AJ95" s="1488"/>
      <c r="AK95" s="1488"/>
      <c r="AL95" s="1519"/>
      <c r="AM95" s="1488"/>
      <c r="AN95" s="1519"/>
      <c r="AO95" s="1519"/>
      <c r="AP95" s="1519"/>
      <c r="AQ95" s="1519"/>
      <c r="AR95" s="1519"/>
      <c r="AS95" s="1519"/>
      <c r="AT95" s="1543"/>
      <c r="AU95" s="1599">
        <f t="shared" si="54"/>
        <v>0</v>
      </c>
      <c r="AV95" s="1544">
        <f t="shared" si="82"/>
        <v>0</v>
      </c>
      <c r="AW95" s="1452">
        <f t="shared" si="55"/>
        <v>0</v>
      </c>
      <c r="AX95" s="1452">
        <f t="shared" si="56"/>
        <v>0</v>
      </c>
      <c r="AY95" s="1452">
        <f t="shared" si="57"/>
        <v>0</v>
      </c>
      <c r="AZ95" s="1452">
        <f t="shared" si="58"/>
        <v>0</v>
      </c>
      <c r="BA95" s="1452">
        <f t="shared" si="59"/>
        <v>0</v>
      </c>
      <c r="BB95" s="1452">
        <f t="shared" si="60"/>
        <v>0</v>
      </c>
      <c r="BC95" s="1452">
        <f t="shared" si="61"/>
        <v>0</v>
      </c>
      <c r="BD95" s="1452">
        <f t="shared" si="62"/>
        <v>0</v>
      </c>
      <c r="BE95" s="1452">
        <f t="shared" si="63"/>
        <v>0</v>
      </c>
      <c r="BF95" s="1452">
        <f t="shared" si="64"/>
        <v>0</v>
      </c>
      <c r="BG95" s="1452">
        <f t="shared" si="65"/>
        <v>0</v>
      </c>
      <c r="BH95" s="1452">
        <f t="shared" si="66"/>
        <v>0</v>
      </c>
      <c r="BI95" s="1452">
        <f t="shared" si="83"/>
        <v>0</v>
      </c>
      <c r="BJ95" s="1452" t="str">
        <f t="shared" si="67"/>
        <v/>
      </c>
      <c r="BK95" s="1452" t="str">
        <f t="shared" si="68"/>
        <v/>
      </c>
      <c r="BL95" s="1452" t="str">
        <f t="shared" si="69"/>
        <v/>
      </c>
      <c r="BM95" s="1452" t="str">
        <f t="shared" si="70"/>
        <v/>
      </c>
      <c r="BN95" s="1452" t="str">
        <f t="shared" ca="1" si="71"/>
        <v/>
      </c>
      <c r="BO95" s="1452" t="str">
        <f t="shared" si="84"/>
        <v/>
      </c>
      <c r="BP95" s="1452" t="str">
        <f t="shared" si="72"/>
        <v/>
      </c>
      <c r="BQ95" s="1452" t="str">
        <f t="shared" si="73"/>
        <v/>
      </c>
      <c r="BR95" s="1452" t="str">
        <f t="shared" si="74"/>
        <v/>
      </c>
      <c r="BS95" s="1452" t="str">
        <f t="shared" si="75"/>
        <v/>
      </c>
      <c r="BT95" s="1452" t="str">
        <f t="shared" si="76"/>
        <v/>
      </c>
      <c r="BU95" s="1452" t="str">
        <f t="shared" si="77"/>
        <v/>
      </c>
      <c r="BV95" s="1452" t="str">
        <f t="shared" si="78"/>
        <v/>
      </c>
      <c r="BW95" s="1558">
        <f t="shared" ca="1" si="85"/>
        <v>0</v>
      </c>
    </row>
    <row r="96" spans="1:103" s="9" customFormat="1" ht="12.5">
      <c r="A96" s="1483" t="str">
        <f t="shared" si="79"/>
        <v>Public Health Wales Trust</v>
      </c>
      <c r="B96" s="1583"/>
      <c r="C96" s="1583"/>
      <c r="D96" s="1583"/>
      <c r="E96" s="1581"/>
      <c r="F96" s="1436"/>
      <c r="G96" s="1547">
        <f t="shared" si="80"/>
        <v>0</v>
      </c>
      <c r="H96" s="1484"/>
      <c r="I96" s="1547">
        <f t="shared" si="81"/>
        <v>0</v>
      </c>
      <c r="J96" s="1485"/>
      <c r="K96" s="1485"/>
      <c r="L96" s="1436"/>
      <c r="M96" s="1439"/>
      <c r="N96" s="1439"/>
      <c r="O96" s="1485"/>
      <c r="P96" s="1486"/>
      <c r="Q96" s="1486"/>
      <c r="R96" s="1487"/>
      <c r="S96" s="1444"/>
      <c r="T96" s="1444"/>
      <c r="U96" s="1444"/>
      <c r="V96" s="1488"/>
      <c r="W96" s="1488"/>
      <c r="X96" s="1488"/>
      <c r="Y96" s="1488"/>
      <c r="Z96" s="1488"/>
      <c r="AA96" s="1488"/>
      <c r="AB96" s="1488"/>
      <c r="AC96" s="1488"/>
      <c r="AD96" s="1488"/>
      <c r="AE96" s="1488"/>
      <c r="AF96" s="1488"/>
      <c r="AG96" s="1488"/>
      <c r="AH96" s="1451">
        <f t="shared" si="42"/>
        <v>0</v>
      </c>
      <c r="AI96" s="1488"/>
      <c r="AJ96" s="1488"/>
      <c r="AK96" s="1488"/>
      <c r="AL96" s="1488"/>
      <c r="AM96" s="1488"/>
      <c r="AN96" s="1488"/>
      <c r="AO96" s="1488"/>
      <c r="AP96" s="1488"/>
      <c r="AQ96" s="1488"/>
      <c r="AR96" s="1488"/>
      <c r="AS96" s="1488"/>
      <c r="AT96" s="1542"/>
      <c r="AU96" s="1599">
        <f t="shared" si="54"/>
        <v>0</v>
      </c>
      <c r="AV96" s="1544">
        <f t="shared" si="82"/>
        <v>0</v>
      </c>
      <c r="AW96" s="1452">
        <f t="shared" si="55"/>
        <v>0</v>
      </c>
      <c r="AX96" s="1452">
        <f t="shared" si="56"/>
        <v>0</v>
      </c>
      <c r="AY96" s="1452">
        <f t="shared" si="57"/>
        <v>0</v>
      </c>
      <c r="AZ96" s="1452">
        <f t="shared" si="58"/>
        <v>0</v>
      </c>
      <c r="BA96" s="1452">
        <f t="shared" si="59"/>
        <v>0</v>
      </c>
      <c r="BB96" s="1452">
        <f t="shared" si="60"/>
        <v>0</v>
      </c>
      <c r="BC96" s="1452">
        <f t="shared" si="61"/>
        <v>0</v>
      </c>
      <c r="BD96" s="1452">
        <f t="shared" si="62"/>
        <v>0</v>
      </c>
      <c r="BE96" s="1452">
        <f t="shared" si="63"/>
        <v>0</v>
      </c>
      <c r="BF96" s="1452">
        <f t="shared" si="64"/>
        <v>0</v>
      </c>
      <c r="BG96" s="1452">
        <f t="shared" si="65"/>
        <v>0</v>
      </c>
      <c r="BH96" s="1452">
        <f t="shared" si="66"/>
        <v>0</v>
      </c>
      <c r="BI96" s="1452">
        <f t="shared" si="83"/>
        <v>0</v>
      </c>
      <c r="BJ96" s="1452" t="str">
        <f t="shared" si="67"/>
        <v/>
      </c>
      <c r="BK96" s="1452" t="str">
        <f t="shared" si="68"/>
        <v/>
      </c>
      <c r="BL96" s="1452" t="str">
        <f t="shared" si="69"/>
        <v/>
      </c>
      <c r="BM96" s="1452" t="str">
        <f t="shared" si="70"/>
        <v/>
      </c>
      <c r="BN96" s="1452" t="str">
        <f t="shared" ca="1" si="71"/>
        <v/>
      </c>
      <c r="BO96" s="1452" t="str">
        <f t="shared" si="84"/>
        <v/>
      </c>
      <c r="BP96" s="1452" t="str">
        <f t="shared" si="72"/>
        <v/>
      </c>
      <c r="BQ96" s="1452" t="str">
        <f t="shared" si="73"/>
        <v/>
      </c>
      <c r="BR96" s="1452" t="str">
        <f t="shared" si="74"/>
        <v/>
      </c>
      <c r="BS96" s="1452" t="str">
        <f t="shared" si="75"/>
        <v/>
      </c>
      <c r="BT96" s="1452" t="str">
        <f t="shared" si="76"/>
        <v/>
      </c>
      <c r="BU96" s="1452" t="str">
        <f t="shared" si="77"/>
        <v/>
      </c>
      <c r="BV96" s="1452" t="str">
        <f t="shared" si="78"/>
        <v/>
      </c>
      <c r="BW96" s="1558">
        <f t="shared" ca="1" si="85"/>
        <v>0</v>
      </c>
    </row>
    <row r="97" spans="1:75" s="9" customFormat="1" ht="12.5">
      <c r="A97" s="1483" t="str">
        <f t="shared" si="79"/>
        <v>Public Health Wales Trust</v>
      </c>
      <c r="B97" s="1583"/>
      <c r="C97" s="1583"/>
      <c r="D97" s="1583"/>
      <c r="E97" s="1581"/>
      <c r="F97" s="1436"/>
      <c r="G97" s="1547">
        <f t="shared" si="80"/>
        <v>0</v>
      </c>
      <c r="H97" s="1484"/>
      <c r="I97" s="1547">
        <f t="shared" si="81"/>
        <v>0</v>
      </c>
      <c r="J97" s="1485"/>
      <c r="K97" s="1485"/>
      <c r="L97" s="1436"/>
      <c r="M97" s="1439"/>
      <c r="N97" s="1439"/>
      <c r="O97" s="1485"/>
      <c r="P97" s="1486"/>
      <c r="Q97" s="1486"/>
      <c r="R97" s="1487"/>
      <c r="S97" s="1444"/>
      <c r="T97" s="1444"/>
      <c r="U97" s="1444"/>
      <c r="V97" s="1488"/>
      <c r="W97" s="1488"/>
      <c r="X97" s="1488"/>
      <c r="Y97" s="1488"/>
      <c r="Z97" s="1488"/>
      <c r="AA97" s="1488"/>
      <c r="AB97" s="1488"/>
      <c r="AC97" s="1488"/>
      <c r="AD97" s="1488"/>
      <c r="AE97" s="1488"/>
      <c r="AF97" s="1488"/>
      <c r="AG97" s="1488"/>
      <c r="AH97" s="1451">
        <f t="shared" si="42"/>
        <v>0</v>
      </c>
      <c r="AI97" s="1488"/>
      <c r="AJ97" s="1488"/>
      <c r="AK97" s="1488"/>
      <c r="AL97" s="1488"/>
      <c r="AM97" s="1488"/>
      <c r="AN97" s="1488"/>
      <c r="AO97" s="1488"/>
      <c r="AP97" s="1488"/>
      <c r="AQ97" s="1488"/>
      <c r="AR97" s="1488"/>
      <c r="AS97" s="1488"/>
      <c r="AT97" s="1542"/>
      <c r="AU97" s="1599">
        <f t="shared" si="54"/>
        <v>0</v>
      </c>
      <c r="AV97" s="1544">
        <f t="shared" si="82"/>
        <v>0</v>
      </c>
      <c r="AW97" s="1452">
        <f t="shared" si="55"/>
        <v>0</v>
      </c>
      <c r="AX97" s="1452">
        <f t="shared" si="56"/>
        <v>0</v>
      </c>
      <c r="AY97" s="1452">
        <f t="shared" si="57"/>
        <v>0</v>
      </c>
      <c r="AZ97" s="1452">
        <f t="shared" si="58"/>
        <v>0</v>
      </c>
      <c r="BA97" s="1452">
        <f t="shared" si="59"/>
        <v>0</v>
      </c>
      <c r="BB97" s="1452">
        <f t="shared" si="60"/>
        <v>0</v>
      </c>
      <c r="BC97" s="1452">
        <f t="shared" si="61"/>
        <v>0</v>
      </c>
      <c r="BD97" s="1452">
        <f t="shared" si="62"/>
        <v>0</v>
      </c>
      <c r="BE97" s="1452">
        <f t="shared" si="63"/>
        <v>0</v>
      </c>
      <c r="BF97" s="1452">
        <f t="shared" si="64"/>
        <v>0</v>
      </c>
      <c r="BG97" s="1452">
        <f t="shared" si="65"/>
        <v>0</v>
      </c>
      <c r="BH97" s="1452">
        <f t="shared" si="66"/>
        <v>0</v>
      </c>
      <c r="BI97" s="1452">
        <f t="shared" si="83"/>
        <v>0</v>
      </c>
      <c r="BJ97" s="1452" t="str">
        <f t="shared" si="67"/>
        <v/>
      </c>
      <c r="BK97" s="1452" t="str">
        <f t="shared" si="68"/>
        <v/>
      </c>
      <c r="BL97" s="1452" t="str">
        <f t="shared" si="69"/>
        <v/>
      </c>
      <c r="BM97" s="1452" t="str">
        <f t="shared" si="70"/>
        <v/>
      </c>
      <c r="BN97" s="1452" t="str">
        <f t="shared" ca="1" si="71"/>
        <v/>
      </c>
      <c r="BO97" s="1452" t="str">
        <f t="shared" si="84"/>
        <v/>
      </c>
      <c r="BP97" s="1452" t="str">
        <f t="shared" si="72"/>
        <v/>
      </c>
      <c r="BQ97" s="1452" t="str">
        <f t="shared" si="73"/>
        <v/>
      </c>
      <c r="BR97" s="1452" t="str">
        <f t="shared" si="74"/>
        <v/>
      </c>
      <c r="BS97" s="1452" t="str">
        <f t="shared" si="75"/>
        <v/>
      </c>
      <c r="BT97" s="1452" t="str">
        <f t="shared" si="76"/>
        <v/>
      </c>
      <c r="BU97" s="1452" t="str">
        <f t="shared" si="77"/>
        <v/>
      </c>
      <c r="BV97" s="1452" t="str">
        <f t="shared" si="78"/>
        <v/>
      </c>
      <c r="BW97" s="1558">
        <f t="shared" ca="1" si="85"/>
        <v>0</v>
      </c>
    </row>
    <row r="98" spans="1:75" s="9" customFormat="1" ht="12.5">
      <c r="A98" s="1483" t="str">
        <f t="shared" si="79"/>
        <v>Public Health Wales Trust</v>
      </c>
      <c r="B98" s="1583"/>
      <c r="C98" s="1583"/>
      <c r="D98" s="1583"/>
      <c r="E98" s="1581"/>
      <c r="F98" s="1436"/>
      <c r="G98" s="1547">
        <f t="shared" si="80"/>
        <v>0</v>
      </c>
      <c r="H98" s="1484"/>
      <c r="I98" s="1547">
        <f t="shared" si="81"/>
        <v>0</v>
      </c>
      <c r="J98" s="1485"/>
      <c r="K98" s="1485"/>
      <c r="L98" s="1436"/>
      <c r="M98" s="1439"/>
      <c r="N98" s="1439"/>
      <c r="O98" s="1485"/>
      <c r="P98" s="1486"/>
      <c r="Q98" s="1486"/>
      <c r="R98" s="1487"/>
      <c r="S98" s="1444"/>
      <c r="T98" s="1444"/>
      <c r="U98" s="1444"/>
      <c r="V98" s="1488"/>
      <c r="W98" s="1488"/>
      <c r="X98" s="1488"/>
      <c r="Y98" s="1488"/>
      <c r="Z98" s="1488"/>
      <c r="AA98" s="1488"/>
      <c r="AB98" s="1488"/>
      <c r="AC98" s="1488"/>
      <c r="AD98" s="1488"/>
      <c r="AE98" s="1488"/>
      <c r="AF98" s="1488"/>
      <c r="AG98" s="1488"/>
      <c r="AH98" s="1451">
        <f t="shared" si="42"/>
        <v>0</v>
      </c>
      <c r="AI98" s="1488"/>
      <c r="AJ98" s="1488"/>
      <c r="AK98" s="1488"/>
      <c r="AL98" s="1488"/>
      <c r="AM98" s="1488"/>
      <c r="AN98" s="1488"/>
      <c r="AO98" s="1488"/>
      <c r="AP98" s="1488"/>
      <c r="AQ98" s="1488"/>
      <c r="AR98" s="1488"/>
      <c r="AS98" s="1488"/>
      <c r="AT98" s="1542"/>
      <c r="AU98" s="1599">
        <f t="shared" si="54"/>
        <v>0</v>
      </c>
      <c r="AV98" s="1544">
        <f t="shared" si="82"/>
        <v>0</v>
      </c>
      <c r="AW98" s="1452">
        <f t="shared" si="55"/>
        <v>0</v>
      </c>
      <c r="AX98" s="1452">
        <f t="shared" si="56"/>
        <v>0</v>
      </c>
      <c r="AY98" s="1452">
        <f t="shared" si="57"/>
        <v>0</v>
      </c>
      <c r="AZ98" s="1452">
        <f t="shared" si="58"/>
        <v>0</v>
      </c>
      <c r="BA98" s="1452">
        <f t="shared" si="59"/>
        <v>0</v>
      </c>
      <c r="BB98" s="1452">
        <f t="shared" si="60"/>
        <v>0</v>
      </c>
      <c r="BC98" s="1452">
        <f t="shared" si="61"/>
        <v>0</v>
      </c>
      <c r="BD98" s="1452">
        <f t="shared" si="62"/>
        <v>0</v>
      </c>
      <c r="BE98" s="1452">
        <f t="shared" si="63"/>
        <v>0</v>
      </c>
      <c r="BF98" s="1452">
        <f t="shared" si="64"/>
        <v>0</v>
      </c>
      <c r="BG98" s="1452">
        <f t="shared" si="65"/>
        <v>0</v>
      </c>
      <c r="BH98" s="1452">
        <f t="shared" si="66"/>
        <v>0</v>
      </c>
      <c r="BI98" s="1452">
        <f t="shared" si="83"/>
        <v>0</v>
      </c>
      <c r="BJ98" s="1452" t="str">
        <f t="shared" si="67"/>
        <v/>
      </c>
      <c r="BK98" s="1452" t="str">
        <f t="shared" si="68"/>
        <v/>
      </c>
      <c r="BL98" s="1452" t="str">
        <f t="shared" si="69"/>
        <v/>
      </c>
      <c r="BM98" s="1452" t="str">
        <f t="shared" si="70"/>
        <v/>
      </c>
      <c r="BN98" s="1452" t="str">
        <f t="shared" ca="1" si="71"/>
        <v/>
      </c>
      <c r="BO98" s="1452" t="str">
        <f t="shared" si="84"/>
        <v/>
      </c>
      <c r="BP98" s="1452" t="str">
        <f t="shared" si="72"/>
        <v/>
      </c>
      <c r="BQ98" s="1452" t="str">
        <f t="shared" si="73"/>
        <v/>
      </c>
      <c r="BR98" s="1452" t="str">
        <f t="shared" si="74"/>
        <v/>
      </c>
      <c r="BS98" s="1452" t="str">
        <f t="shared" si="75"/>
        <v/>
      </c>
      <c r="BT98" s="1452" t="str">
        <f t="shared" si="76"/>
        <v/>
      </c>
      <c r="BU98" s="1452" t="str">
        <f t="shared" si="77"/>
        <v/>
      </c>
      <c r="BV98" s="1452" t="str">
        <f t="shared" si="78"/>
        <v/>
      </c>
      <c r="BW98" s="1558">
        <f t="shared" ca="1" si="85"/>
        <v>0</v>
      </c>
    </row>
    <row r="99" spans="1:75" s="9" customFormat="1" ht="12.5">
      <c r="A99" s="1483" t="str">
        <f t="shared" si="79"/>
        <v>Public Health Wales Trust</v>
      </c>
      <c r="B99" s="1583"/>
      <c r="C99" s="1583"/>
      <c r="D99" s="1583"/>
      <c r="E99" s="1581"/>
      <c r="F99" s="1436"/>
      <c r="G99" s="1547">
        <f t="shared" si="80"/>
        <v>0</v>
      </c>
      <c r="H99" s="1484"/>
      <c r="I99" s="1547">
        <f t="shared" si="81"/>
        <v>0</v>
      </c>
      <c r="J99" s="1485"/>
      <c r="K99" s="1485"/>
      <c r="L99" s="1436"/>
      <c r="M99" s="1439"/>
      <c r="N99" s="1439"/>
      <c r="O99" s="1485"/>
      <c r="P99" s="1486"/>
      <c r="Q99" s="1486"/>
      <c r="R99" s="1487"/>
      <c r="S99" s="1444"/>
      <c r="T99" s="1444"/>
      <c r="U99" s="1444"/>
      <c r="V99" s="1488"/>
      <c r="W99" s="1488"/>
      <c r="X99" s="1488"/>
      <c r="Y99" s="1488"/>
      <c r="Z99" s="1488"/>
      <c r="AA99" s="1488"/>
      <c r="AB99" s="1488"/>
      <c r="AC99" s="1488"/>
      <c r="AD99" s="1488"/>
      <c r="AE99" s="1488"/>
      <c r="AF99" s="1488"/>
      <c r="AG99" s="1488"/>
      <c r="AH99" s="1451">
        <f t="shared" si="42"/>
        <v>0</v>
      </c>
      <c r="AI99" s="1488"/>
      <c r="AJ99" s="1488"/>
      <c r="AK99" s="1488"/>
      <c r="AL99" s="1488"/>
      <c r="AM99" s="1488"/>
      <c r="AN99" s="1488"/>
      <c r="AO99" s="1488"/>
      <c r="AP99" s="1488"/>
      <c r="AQ99" s="1488"/>
      <c r="AR99" s="1488"/>
      <c r="AS99" s="1488"/>
      <c r="AT99" s="1542"/>
      <c r="AU99" s="1599">
        <f t="shared" si="54"/>
        <v>0</v>
      </c>
      <c r="AV99" s="1544">
        <f t="shared" si="82"/>
        <v>0</v>
      </c>
      <c r="AW99" s="1452">
        <f t="shared" si="55"/>
        <v>0</v>
      </c>
      <c r="AX99" s="1452">
        <f t="shared" si="56"/>
        <v>0</v>
      </c>
      <c r="AY99" s="1452">
        <f t="shared" si="57"/>
        <v>0</v>
      </c>
      <c r="AZ99" s="1452">
        <f t="shared" si="58"/>
        <v>0</v>
      </c>
      <c r="BA99" s="1452">
        <f t="shared" si="59"/>
        <v>0</v>
      </c>
      <c r="BB99" s="1452">
        <f t="shared" si="60"/>
        <v>0</v>
      </c>
      <c r="BC99" s="1452">
        <f t="shared" si="61"/>
        <v>0</v>
      </c>
      <c r="BD99" s="1452">
        <f t="shared" si="62"/>
        <v>0</v>
      </c>
      <c r="BE99" s="1452">
        <f t="shared" si="63"/>
        <v>0</v>
      </c>
      <c r="BF99" s="1452">
        <f t="shared" si="64"/>
        <v>0</v>
      </c>
      <c r="BG99" s="1452">
        <f t="shared" si="65"/>
        <v>0</v>
      </c>
      <c r="BH99" s="1452">
        <f t="shared" si="66"/>
        <v>0</v>
      </c>
      <c r="BI99" s="1452">
        <f t="shared" si="83"/>
        <v>0</v>
      </c>
      <c r="BJ99" s="1452" t="str">
        <f t="shared" si="67"/>
        <v/>
      </c>
      <c r="BK99" s="1452" t="str">
        <f t="shared" si="68"/>
        <v/>
      </c>
      <c r="BL99" s="1452" t="str">
        <f t="shared" si="69"/>
        <v/>
      </c>
      <c r="BM99" s="1452" t="str">
        <f t="shared" si="70"/>
        <v/>
      </c>
      <c r="BN99" s="1452" t="str">
        <f t="shared" ca="1" si="71"/>
        <v/>
      </c>
      <c r="BO99" s="1452" t="str">
        <f t="shared" si="84"/>
        <v/>
      </c>
      <c r="BP99" s="1452" t="str">
        <f t="shared" si="72"/>
        <v/>
      </c>
      <c r="BQ99" s="1452" t="str">
        <f t="shared" si="73"/>
        <v/>
      </c>
      <c r="BR99" s="1452" t="str">
        <f t="shared" si="74"/>
        <v/>
      </c>
      <c r="BS99" s="1452" t="str">
        <f t="shared" si="75"/>
        <v/>
      </c>
      <c r="BT99" s="1452" t="str">
        <f t="shared" si="76"/>
        <v/>
      </c>
      <c r="BU99" s="1452" t="str">
        <f t="shared" si="77"/>
        <v/>
      </c>
      <c r="BV99" s="1452" t="str">
        <f t="shared" si="78"/>
        <v/>
      </c>
      <c r="BW99" s="1558">
        <f t="shared" ca="1" si="85"/>
        <v>0</v>
      </c>
    </row>
    <row r="100" spans="1:75" s="9" customFormat="1" ht="12.5">
      <c r="A100" s="1483" t="str">
        <f t="shared" si="79"/>
        <v>Public Health Wales Trust</v>
      </c>
      <c r="B100" s="1583"/>
      <c r="C100" s="1583"/>
      <c r="D100" s="1583"/>
      <c r="E100" s="1581"/>
      <c r="F100" s="1436"/>
      <c r="G100" s="1547">
        <f t="shared" si="80"/>
        <v>0</v>
      </c>
      <c r="H100" s="1484"/>
      <c r="I100" s="1547">
        <f t="shared" si="81"/>
        <v>0</v>
      </c>
      <c r="J100" s="1485"/>
      <c r="K100" s="1485"/>
      <c r="L100" s="1436"/>
      <c r="M100" s="1439"/>
      <c r="N100" s="1439"/>
      <c r="O100" s="1485"/>
      <c r="P100" s="1486"/>
      <c r="Q100" s="1486"/>
      <c r="R100" s="1487"/>
      <c r="S100" s="1444"/>
      <c r="T100" s="1444"/>
      <c r="U100" s="1444"/>
      <c r="V100" s="1488"/>
      <c r="W100" s="1488"/>
      <c r="X100" s="1488"/>
      <c r="Y100" s="1488"/>
      <c r="Z100" s="1488"/>
      <c r="AA100" s="1488"/>
      <c r="AB100" s="1488"/>
      <c r="AC100" s="1488"/>
      <c r="AD100" s="1488"/>
      <c r="AE100" s="1488"/>
      <c r="AF100" s="1488"/>
      <c r="AG100" s="1488"/>
      <c r="AH100" s="1451">
        <f t="shared" si="42"/>
        <v>0</v>
      </c>
      <c r="AI100" s="1488"/>
      <c r="AJ100" s="1488"/>
      <c r="AK100" s="1488"/>
      <c r="AL100" s="1488"/>
      <c r="AM100" s="1488"/>
      <c r="AN100" s="1488"/>
      <c r="AO100" s="1488"/>
      <c r="AP100" s="1488"/>
      <c r="AQ100" s="1488"/>
      <c r="AR100" s="1488"/>
      <c r="AS100" s="1488"/>
      <c r="AT100" s="1542"/>
      <c r="AU100" s="1599">
        <f t="shared" si="54"/>
        <v>0</v>
      </c>
      <c r="AV100" s="1544">
        <f t="shared" si="82"/>
        <v>0</v>
      </c>
      <c r="AW100" s="1452">
        <f t="shared" si="55"/>
        <v>0</v>
      </c>
      <c r="AX100" s="1452">
        <f t="shared" si="56"/>
        <v>0</v>
      </c>
      <c r="AY100" s="1452">
        <f t="shared" si="57"/>
        <v>0</v>
      </c>
      <c r="AZ100" s="1452">
        <f t="shared" si="58"/>
        <v>0</v>
      </c>
      <c r="BA100" s="1452">
        <f t="shared" si="59"/>
        <v>0</v>
      </c>
      <c r="BB100" s="1452">
        <f t="shared" si="60"/>
        <v>0</v>
      </c>
      <c r="BC100" s="1452">
        <f t="shared" si="61"/>
        <v>0</v>
      </c>
      <c r="BD100" s="1452">
        <f t="shared" si="62"/>
        <v>0</v>
      </c>
      <c r="BE100" s="1452">
        <f t="shared" si="63"/>
        <v>0</v>
      </c>
      <c r="BF100" s="1452">
        <f t="shared" si="64"/>
        <v>0</v>
      </c>
      <c r="BG100" s="1452">
        <f t="shared" si="65"/>
        <v>0</v>
      </c>
      <c r="BH100" s="1452">
        <f t="shared" si="66"/>
        <v>0</v>
      </c>
      <c r="BI100" s="1452">
        <f t="shared" si="83"/>
        <v>0</v>
      </c>
      <c r="BJ100" s="1452" t="str">
        <f t="shared" si="67"/>
        <v/>
      </c>
      <c r="BK100" s="1452" t="str">
        <f t="shared" si="68"/>
        <v/>
      </c>
      <c r="BL100" s="1452" t="str">
        <f t="shared" si="69"/>
        <v/>
      </c>
      <c r="BM100" s="1452" t="str">
        <f t="shared" si="70"/>
        <v/>
      </c>
      <c r="BN100" s="1452" t="str">
        <f t="shared" ca="1" si="71"/>
        <v/>
      </c>
      <c r="BO100" s="1452" t="str">
        <f t="shared" si="84"/>
        <v/>
      </c>
      <c r="BP100" s="1452" t="str">
        <f t="shared" si="72"/>
        <v/>
      </c>
      <c r="BQ100" s="1452" t="str">
        <f t="shared" si="73"/>
        <v/>
      </c>
      <c r="BR100" s="1452" t="str">
        <f t="shared" si="74"/>
        <v/>
      </c>
      <c r="BS100" s="1452" t="str">
        <f t="shared" si="75"/>
        <v/>
      </c>
      <c r="BT100" s="1452" t="str">
        <f t="shared" si="76"/>
        <v/>
      </c>
      <c r="BU100" s="1452" t="str">
        <f t="shared" si="77"/>
        <v/>
      </c>
      <c r="BV100" s="1452" t="str">
        <f t="shared" si="78"/>
        <v/>
      </c>
      <c r="BW100" s="1558">
        <f t="shared" ca="1" si="85"/>
        <v>0</v>
      </c>
    </row>
    <row r="101" spans="1:75" s="9" customFormat="1" ht="12.5">
      <c r="A101" s="1483" t="str">
        <f t="shared" si="79"/>
        <v>Public Health Wales Trust</v>
      </c>
      <c r="B101" s="1583"/>
      <c r="C101" s="1583"/>
      <c r="D101" s="1583"/>
      <c r="E101" s="1581"/>
      <c r="F101" s="1436"/>
      <c r="G101" s="1547">
        <f t="shared" si="80"/>
        <v>0</v>
      </c>
      <c r="H101" s="1484"/>
      <c r="I101" s="1547">
        <f t="shared" si="81"/>
        <v>0</v>
      </c>
      <c r="J101" s="1485"/>
      <c r="K101" s="1485"/>
      <c r="L101" s="1436"/>
      <c r="M101" s="1439"/>
      <c r="N101" s="1439"/>
      <c r="O101" s="1485"/>
      <c r="P101" s="1486"/>
      <c r="Q101" s="1486"/>
      <c r="R101" s="1487"/>
      <c r="S101" s="1444"/>
      <c r="T101" s="1444"/>
      <c r="U101" s="1444"/>
      <c r="V101" s="1488"/>
      <c r="W101" s="1488"/>
      <c r="X101" s="1488"/>
      <c r="Y101" s="1488"/>
      <c r="Z101" s="1488"/>
      <c r="AA101" s="1488"/>
      <c r="AB101" s="1488"/>
      <c r="AC101" s="1488"/>
      <c r="AD101" s="1488"/>
      <c r="AE101" s="1488"/>
      <c r="AF101" s="1488"/>
      <c r="AG101" s="1488"/>
      <c r="AH101" s="1451">
        <f t="shared" si="42"/>
        <v>0</v>
      </c>
      <c r="AI101" s="1488"/>
      <c r="AJ101" s="1488"/>
      <c r="AK101" s="1488"/>
      <c r="AL101" s="1488"/>
      <c r="AM101" s="1488"/>
      <c r="AN101" s="1488"/>
      <c r="AO101" s="1488"/>
      <c r="AP101" s="1488"/>
      <c r="AQ101" s="1488"/>
      <c r="AR101" s="1488"/>
      <c r="AS101" s="1488"/>
      <c r="AT101" s="1542"/>
      <c r="AU101" s="1599">
        <f t="shared" si="54"/>
        <v>0</v>
      </c>
      <c r="AV101" s="1544">
        <f t="shared" si="82"/>
        <v>0</v>
      </c>
      <c r="AW101" s="1452">
        <f t="shared" si="55"/>
        <v>0</v>
      </c>
      <c r="AX101" s="1452">
        <f t="shared" si="56"/>
        <v>0</v>
      </c>
      <c r="AY101" s="1452">
        <f t="shared" si="57"/>
        <v>0</v>
      </c>
      <c r="AZ101" s="1452">
        <f t="shared" si="58"/>
        <v>0</v>
      </c>
      <c r="BA101" s="1452">
        <f t="shared" si="59"/>
        <v>0</v>
      </c>
      <c r="BB101" s="1452">
        <f t="shared" si="60"/>
        <v>0</v>
      </c>
      <c r="BC101" s="1452">
        <f t="shared" si="61"/>
        <v>0</v>
      </c>
      <c r="BD101" s="1452">
        <f t="shared" si="62"/>
        <v>0</v>
      </c>
      <c r="BE101" s="1452">
        <f t="shared" si="63"/>
        <v>0</v>
      </c>
      <c r="BF101" s="1452">
        <f t="shared" si="64"/>
        <v>0</v>
      </c>
      <c r="BG101" s="1452">
        <f t="shared" si="65"/>
        <v>0</v>
      </c>
      <c r="BH101" s="1452">
        <f t="shared" si="66"/>
        <v>0</v>
      </c>
      <c r="BI101" s="1452">
        <f t="shared" si="83"/>
        <v>0</v>
      </c>
      <c r="BJ101" s="1452" t="str">
        <f t="shared" si="67"/>
        <v/>
      </c>
      <c r="BK101" s="1452" t="str">
        <f t="shared" si="68"/>
        <v/>
      </c>
      <c r="BL101" s="1452" t="str">
        <f t="shared" si="69"/>
        <v/>
      </c>
      <c r="BM101" s="1452" t="str">
        <f t="shared" si="70"/>
        <v/>
      </c>
      <c r="BN101" s="1452" t="str">
        <f t="shared" ca="1" si="71"/>
        <v/>
      </c>
      <c r="BO101" s="1452" t="str">
        <f t="shared" si="84"/>
        <v/>
      </c>
      <c r="BP101" s="1452" t="str">
        <f t="shared" si="72"/>
        <v/>
      </c>
      <c r="BQ101" s="1452" t="str">
        <f t="shared" si="73"/>
        <v/>
      </c>
      <c r="BR101" s="1452" t="str">
        <f t="shared" si="74"/>
        <v/>
      </c>
      <c r="BS101" s="1452" t="str">
        <f t="shared" si="75"/>
        <v/>
      </c>
      <c r="BT101" s="1452" t="str">
        <f t="shared" si="76"/>
        <v/>
      </c>
      <c r="BU101" s="1452" t="str">
        <f t="shared" si="77"/>
        <v/>
      </c>
      <c r="BV101" s="1452" t="str">
        <f t="shared" si="78"/>
        <v/>
      </c>
      <c r="BW101" s="1558">
        <f t="shared" ca="1" si="85"/>
        <v>0</v>
      </c>
    </row>
    <row r="102" spans="1:75" s="9" customFormat="1" ht="12.5">
      <c r="A102" s="1483" t="str">
        <f t="shared" si="79"/>
        <v>Public Health Wales Trust</v>
      </c>
      <c r="B102" s="1583"/>
      <c r="C102" s="1583"/>
      <c r="D102" s="1583"/>
      <c r="E102" s="1581"/>
      <c r="F102" s="1436"/>
      <c r="G102" s="1547">
        <f t="shared" si="80"/>
        <v>0</v>
      </c>
      <c r="H102" s="1484"/>
      <c r="I102" s="1547">
        <f t="shared" si="81"/>
        <v>0</v>
      </c>
      <c r="J102" s="1485"/>
      <c r="K102" s="1485"/>
      <c r="L102" s="1436"/>
      <c r="M102" s="1439"/>
      <c r="N102" s="1439"/>
      <c r="O102" s="1485"/>
      <c r="P102" s="1486"/>
      <c r="Q102" s="1486"/>
      <c r="R102" s="1487"/>
      <c r="S102" s="1444"/>
      <c r="T102" s="1444"/>
      <c r="U102" s="1444"/>
      <c r="V102" s="1488"/>
      <c r="W102" s="1488"/>
      <c r="X102" s="1488"/>
      <c r="Y102" s="1488"/>
      <c r="Z102" s="1488"/>
      <c r="AA102" s="1488"/>
      <c r="AB102" s="1488"/>
      <c r="AC102" s="1488"/>
      <c r="AD102" s="1488"/>
      <c r="AE102" s="1488"/>
      <c r="AF102" s="1488"/>
      <c r="AG102" s="1488"/>
      <c r="AH102" s="1451">
        <f t="shared" si="42"/>
        <v>0</v>
      </c>
      <c r="AI102" s="1488"/>
      <c r="AJ102" s="1488"/>
      <c r="AK102" s="1488"/>
      <c r="AL102" s="1488"/>
      <c r="AM102" s="1488"/>
      <c r="AN102" s="1488"/>
      <c r="AO102" s="1488"/>
      <c r="AP102" s="1488"/>
      <c r="AQ102" s="1488"/>
      <c r="AR102" s="1488"/>
      <c r="AS102" s="1488"/>
      <c r="AT102" s="1542"/>
      <c r="AU102" s="1599">
        <f t="shared" si="54"/>
        <v>0</v>
      </c>
      <c r="AV102" s="1544">
        <f t="shared" si="82"/>
        <v>0</v>
      </c>
      <c r="AW102" s="1452">
        <f t="shared" si="55"/>
        <v>0</v>
      </c>
      <c r="AX102" s="1452">
        <f t="shared" si="56"/>
        <v>0</v>
      </c>
      <c r="AY102" s="1452">
        <f t="shared" si="57"/>
        <v>0</v>
      </c>
      <c r="AZ102" s="1452">
        <f t="shared" si="58"/>
        <v>0</v>
      </c>
      <c r="BA102" s="1452">
        <f t="shared" si="59"/>
        <v>0</v>
      </c>
      <c r="BB102" s="1452">
        <f t="shared" si="60"/>
        <v>0</v>
      </c>
      <c r="BC102" s="1452">
        <f t="shared" si="61"/>
        <v>0</v>
      </c>
      <c r="BD102" s="1452">
        <f t="shared" si="62"/>
        <v>0</v>
      </c>
      <c r="BE102" s="1452">
        <f t="shared" si="63"/>
        <v>0</v>
      </c>
      <c r="BF102" s="1452">
        <f t="shared" si="64"/>
        <v>0</v>
      </c>
      <c r="BG102" s="1452">
        <f t="shared" si="65"/>
        <v>0</v>
      </c>
      <c r="BH102" s="1452">
        <f t="shared" si="66"/>
        <v>0</v>
      </c>
      <c r="BI102" s="1452">
        <f t="shared" si="83"/>
        <v>0</v>
      </c>
      <c r="BJ102" s="1452" t="str">
        <f t="shared" si="67"/>
        <v/>
      </c>
      <c r="BK102" s="1452" t="str">
        <f t="shared" si="68"/>
        <v/>
      </c>
      <c r="BL102" s="1452" t="str">
        <f t="shared" si="69"/>
        <v/>
      </c>
      <c r="BM102" s="1452" t="str">
        <f t="shared" si="70"/>
        <v/>
      </c>
      <c r="BN102" s="1452" t="str">
        <f t="shared" ca="1" si="71"/>
        <v/>
      </c>
      <c r="BO102" s="1452" t="str">
        <f t="shared" si="84"/>
        <v/>
      </c>
      <c r="BP102" s="1452" t="str">
        <f t="shared" si="72"/>
        <v/>
      </c>
      <c r="BQ102" s="1452" t="str">
        <f t="shared" si="73"/>
        <v/>
      </c>
      <c r="BR102" s="1452" t="str">
        <f t="shared" si="74"/>
        <v/>
      </c>
      <c r="BS102" s="1452" t="str">
        <f t="shared" si="75"/>
        <v/>
      </c>
      <c r="BT102" s="1452" t="str">
        <f t="shared" si="76"/>
        <v/>
      </c>
      <c r="BU102" s="1452" t="str">
        <f t="shared" si="77"/>
        <v/>
      </c>
      <c r="BV102" s="1452" t="str">
        <f t="shared" si="78"/>
        <v/>
      </c>
      <c r="BW102" s="1558">
        <f t="shared" ca="1" si="85"/>
        <v>0</v>
      </c>
    </row>
    <row r="103" spans="1:75" s="9" customFormat="1" ht="12.5">
      <c r="A103" s="1483" t="str">
        <f t="shared" si="79"/>
        <v>Public Health Wales Trust</v>
      </c>
      <c r="B103" s="1583"/>
      <c r="C103" s="1583"/>
      <c r="D103" s="1583"/>
      <c r="E103" s="1581"/>
      <c r="F103" s="1436"/>
      <c r="G103" s="1547">
        <f t="shared" si="80"/>
        <v>0</v>
      </c>
      <c r="H103" s="1484"/>
      <c r="I103" s="1547">
        <f t="shared" si="81"/>
        <v>0</v>
      </c>
      <c r="J103" s="1485"/>
      <c r="K103" s="1485"/>
      <c r="L103" s="1436"/>
      <c r="M103" s="1439"/>
      <c r="N103" s="1439"/>
      <c r="O103" s="1485"/>
      <c r="P103" s="1486"/>
      <c r="Q103" s="1486"/>
      <c r="R103" s="1487"/>
      <c r="S103" s="1444"/>
      <c r="T103" s="1444"/>
      <c r="U103" s="1444"/>
      <c r="V103" s="1488"/>
      <c r="W103" s="1488"/>
      <c r="X103" s="1488"/>
      <c r="Y103" s="1488"/>
      <c r="Z103" s="1488"/>
      <c r="AA103" s="1488"/>
      <c r="AB103" s="1488"/>
      <c r="AC103" s="1488"/>
      <c r="AD103" s="1488"/>
      <c r="AE103" s="1488"/>
      <c r="AF103" s="1488"/>
      <c r="AG103" s="1488"/>
      <c r="AH103" s="1451">
        <f t="shared" si="42"/>
        <v>0</v>
      </c>
      <c r="AI103" s="1488"/>
      <c r="AJ103" s="1488"/>
      <c r="AK103" s="1488"/>
      <c r="AL103" s="1488"/>
      <c r="AM103" s="1488"/>
      <c r="AN103" s="1488"/>
      <c r="AO103" s="1488"/>
      <c r="AP103" s="1488"/>
      <c r="AQ103" s="1488"/>
      <c r="AR103" s="1488"/>
      <c r="AS103" s="1488"/>
      <c r="AT103" s="1542"/>
      <c r="AU103" s="1599">
        <f t="shared" si="54"/>
        <v>0</v>
      </c>
      <c r="AV103" s="1544">
        <f t="shared" si="82"/>
        <v>0</v>
      </c>
      <c r="AW103" s="1452">
        <f t="shared" si="55"/>
        <v>0</v>
      </c>
      <c r="AX103" s="1452">
        <f t="shared" si="56"/>
        <v>0</v>
      </c>
      <c r="AY103" s="1452">
        <f t="shared" si="57"/>
        <v>0</v>
      </c>
      <c r="AZ103" s="1452">
        <f t="shared" si="58"/>
        <v>0</v>
      </c>
      <c r="BA103" s="1452">
        <f t="shared" si="59"/>
        <v>0</v>
      </c>
      <c r="BB103" s="1452">
        <f t="shared" si="60"/>
        <v>0</v>
      </c>
      <c r="BC103" s="1452">
        <f t="shared" si="61"/>
        <v>0</v>
      </c>
      <c r="BD103" s="1452">
        <f t="shared" si="62"/>
        <v>0</v>
      </c>
      <c r="BE103" s="1452">
        <f t="shared" si="63"/>
        <v>0</v>
      </c>
      <c r="BF103" s="1452">
        <f t="shared" si="64"/>
        <v>0</v>
      </c>
      <c r="BG103" s="1452">
        <f t="shared" si="65"/>
        <v>0</v>
      </c>
      <c r="BH103" s="1452">
        <f t="shared" si="66"/>
        <v>0</v>
      </c>
      <c r="BI103" s="1452">
        <f t="shared" si="83"/>
        <v>0</v>
      </c>
      <c r="BJ103" s="1452" t="str">
        <f t="shared" si="67"/>
        <v/>
      </c>
      <c r="BK103" s="1452" t="str">
        <f t="shared" si="68"/>
        <v/>
      </c>
      <c r="BL103" s="1452" t="str">
        <f t="shared" si="69"/>
        <v/>
      </c>
      <c r="BM103" s="1452" t="str">
        <f t="shared" si="70"/>
        <v/>
      </c>
      <c r="BN103" s="1452" t="str">
        <f t="shared" ca="1" si="71"/>
        <v/>
      </c>
      <c r="BO103" s="1452" t="str">
        <f t="shared" si="84"/>
        <v/>
      </c>
      <c r="BP103" s="1452" t="str">
        <f t="shared" si="72"/>
        <v/>
      </c>
      <c r="BQ103" s="1452" t="str">
        <f t="shared" si="73"/>
        <v/>
      </c>
      <c r="BR103" s="1452" t="str">
        <f t="shared" si="74"/>
        <v/>
      </c>
      <c r="BS103" s="1452" t="str">
        <f t="shared" si="75"/>
        <v/>
      </c>
      <c r="BT103" s="1452" t="str">
        <f t="shared" si="76"/>
        <v/>
      </c>
      <c r="BU103" s="1452" t="str">
        <f t="shared" si="77"/>
        <v/>
      </c>
      <c r="BV103" s="1452" t="str">
        <f t="shared" si="78"/>
        <v/>
      </c>
      <c r="BW103" s="1558">
        <f t="shared" ca="1" si="85"/>
        <v>0</v>
      </c>
    </row>
    <row r="104" spans="1:75" s="9" customFormat="1" ht="12.5">
      <c r="A104" s="1483" t="str">
        <f t="shared" si="79"/>
        <v>Public Health Wales Trust</v>
      </c>
      <c r="B104" s="1583"/>
      <c r="C104" s="1583"/>
      <c r="D104" s="1583"/>
      <c r="E104" s="1581"/>
      <c r="F104" s="1436"/>
      <c r="G104" s="1547">
        <f t="shared" si="80"/>
        <v>0</v>
      </c>
      <c r="H104" s="1484"/>
      <c r="I104" s="1547">
        <f t="shared" si="81"/>
        <v>0</v>
      </c>
      <c r="J104" s="1485"/>
      <c r="K104" s="1485"/>
      <c r="L104" s="1436"/>
      <c r="M104" s="1439"/>
      <c r="N104" s="1439"/>
      <c r="O104" s="1485"/>
      <c r="P104" s="1486"/>
      <c r="Q104" s="1486"/>
      <c r="R104" s="1487"/>
      <c r="S104" s="1444"/>
      <c r="T104" s="1444"/>
      <c r="U104" s="1444"/>
      <c r="V104" s="1488"/>
      <c r="W104" s="1488"/>
      <c r="X104" s="1488"/>
      <c r="Y104" s="1488"/>
      <c r="Z104" s="1488"/>
      <c r="AA104" s="1488"/>
      <c r="AB104" s="1488"/>
      <c r="AC104" s="1488"/>
      <c r="AD104" s="1488"/>
      <c r="AE104" s="1488"/>
      <c r="AF104" s="1488"/>
      <c r="AG104" s="1488"/>
      <c r="AH104" s="1451">
        <f t="shared" si="42"/>
        <v>0</v>
      </c>
      <c r="AI104" s="1488"/>
      <c r="AJ104" s="1488"/>
      <c r="AK104" s="1488"/>
      <c r="AL104" s="1488"/>
      <c r="AM104" s="1488"/>
      <c r="AN104" s="1488"/>
      <c r="AO104" s="1488"/>
      <c r="AP104" s="1488"/>
      <c r="AQ104" s="1488"/>
      <c r="AR104" s="1488"/>
      <c r="AS104" s="1488"/>
      <c r="AT104" s="1542"/>
      <c r="AU104" s="1599">
        <f t="shared" si="54"/>
        <v>0</v>
      </c>
      <c r="AV104" s="1544">
        <f t="shared" si="82"/>
        <v>0</v>
      </c>
      <c r="AW104" s="1452">
        <f t="shared" si="55"/>
        <v>0</v>
      </c>
      <c r="AX104" s="1452">
        <f t="shared" si="56"/>
        <v>0</v>
      </c>
      <c r="AY104" s="1452">
        <f t="shared" si="57"/>
        <v>0</v>
      </c>
      <c r="AZ104" s="1452">
        <f t="shared" si="58"/>
        <v>0</v>
      </c>
      <c r="BA104" s="1452">
        <f t="shared" si="59"/>
        <v>0</v>
      </c>
      <c r="BB104" s="1452">
        <f t="shared" si="60"/>
        <v>0</v>
      </c>
      <c r="BC104" s="1452">
        <f t="shared" si="61"/>
        <v>0</v>
      </c>
      <c r="BD104" s="1452">
        <f t="shared" si="62"/>
        <v>0</v>
      </c>
      <c r="BE104" s="1452">
        <f t="shared" si="63"/>
        <v>0</v>
      </c>
      <c r="BF104" s="1452">
        <f t="shared" si="64"/>
        <v>0</v>
      </c>
      <c r="BG104" s="1452">
        <f t="shared" si="65"/>
        <v>0</v>
      </c>
      <c r="BH104" s="1452">
        <f t="shared" si="66"/>
        <v>0</v>
      </c>
      <c r="BI104" s="1452">
        <f t="shared" si="83"/>
        <v>0</v>
      </c>
      <c r="BJ104" s="1452" t="str">
        <f t="shared" si="67"/>
        <v/>
      </c>
      <c r="BK104" s="1452" t="str">
        <f t="shared" si="68"/>
        <v/>
      </c>
      <c r="BL104" s="1452" t="str">
        <f t="shared" si="69"/>
        <v/>
      </c>
      <c r="BM104" s="1452" t="str">
        <f t="shared" si="70"/>
        <v/>
      </c>
      <c r="BN104" s="1452" t="str">
        <f t="shared" ca="1" si="71"/>
        <v/>
      </c>
      <c r="BO104" s="1452" t="str">
        <f t="shared" si="84"/>
        <v/>
      </c>
      <c r="BP104" s="1452" t="str">
        <f t="shared" si="72"/>
        <v/>
      </c>
      <c r="BQ104" s="1452" t="str">
        <f t="shared" si="73"/>
        <v/>
      </c>
      <c r="BR104" s="1452" t="str">
        <f t="shared" si="74"/>
        <v/>
      </c>
      <c r="BS104" s="1452" t="str">
        <f t="shared" si="75"/>
        <v/>
      </c>
      <c r="BT104" s="1452" t="str">
        <f t="shared" si="76"/>
        <v/>
      </c>
      <c r="BU104" s="1452" t="str">
        <f t="shared" si="77"/>
        <v/>
      </c>
      <c r="BV104" s="1452" t="str">
        <f t="shared" si="78"/>
        <v/>
      </c>
      <c r="BW104" s="1558">
        <f t="shared" ca="1" si="85"/>
        <v>0</v>
      </c>
    </row>
    <row r="105" spans="1:75" s="9" customFormat="1" ht="12.5">
      <c r="A105" s="1483" t="str">
        <f t="shared" si="79"/>
        <v>Public Health Wales Trust</v>
      </c>
      <c r="B105" s="1583"/>
      <c r="C105" s="1583"/>
      <c r="D105" s="1583"/>
      <c r="E105" s="1581"/>
      <c r="F105" s="1436"/>
      <c r="G105" s="1547">
        <f t="shared" si="80"/>
        <v>0</v>
      </c>
      <c r="H105" s="1484"/>
      <c r="I105" s="1547">
        <f t="shared" si="81"/>
        <v>0</v>
      </c>
      <c r="J105" s="1485"/>
      <c r="K105" s="1485"/>
      <c r="L105" s="1436"/>
      <c r="M105" s="1439"/>
      <c r="N105" s="1439"/>
      <c r="O105" s="1485"/>
      <c r="P105" s="1486"/>
      <c r="Q105" s="1486"/>
      <c r="R105" s="1487"/>
      <c r="S105" s="1444"/>
      <c r="T105" s="1444"/>
      <c r="U105" s="1444"/>
      <c r="V105" s="1488"/>
      <c r="W105" s="1488"/>
      <c r="X105" s="1488"/>
      <c r="Y105" s="1488"/>
      <c r="Z105" s="1488"/>
      <c r="AA105" s="1488"/>
      <c r="AB105" s="1488"/>
      <c r="AC105" s="1488"/>
      <c r="AD105" s="1488"/>
      <c r="AE105" s="1488"/>
      <c r="AF105" s="1488"/>
      <c r="AG105" s="1488"/>
      <c r="AH105" s="1451">
        <f t="shared" si="42"/>
        <v>0</v>
      </c>
      <c r="AI105" s="1488"/>
      <c r="AJ105" s="1488"/>
      <c r="AK105" s="1488"/>
      <c r="AL105" s="1488"/>
      <c r="AM105" s="1488"/>
      <c r="AN105" s="1488"/>
      <c r="AO105" s="1488"/>
      <c r="AP105" s="1488"/>
      <c r="AQ105" s="1488"/>
      <c r="AR105" s="1488"/>
      <c r="AS105" s="1488"/>
      <c r="AT105" s="1542"/>
      <c r="AU105" s="1599">
        <f t="shared" si="54"/>
        <v>0</v>
      </c>
      <c r="AV105" s="1544">
        <f t="shared" si="82"/>
        <v>0</v>
      </c>
      <c r="AW105" s="1452">
        <f t="shared" si="55"/>
        <v>0</v>
      </c>
      <c r="AX105" s="1452">
        <f t="shared" si="56"/>
        <v>0</v>
      </c>
      <c r="AY105" s="1452">
        <f t="shared" si="57"/>
        <v>0</v>
      </c>
      <c r="AZ105" s="1452">
        <f t="shared" si="58"/>
        <v>0</v>
      </c>
      <c r="BA105" s="1452">
        <f t="shared" si="59"/>
        <v>0</v>
      </c>
      <c r="BB105" s="1452">
        <f t="shared" si="60"/>
        <v>0</v>
      </c>
      <c r="BC105" s="1452">
        <f t="shared" si="61"/>
        <v>0</v>
      </c>
      <c r="BD105" s="1452">
        <f t="shared" si="62"/>
        <v>0</v>
      </c>
      <c r="BE105" s="1452">
        <f t="shared" si="63"/>
        <v>0</v>
      </c>
      <c r="BF105" s="1452">
        <f t="shared" si="64"/>
        <v>0</v>
      </c>
      <c r="BG105" s="1452">
        <f t="shared" si="65"/>
        <v>0</v>
      </c>
      <c r="BH105" s="1452">
        <f t="shared" si="66"/>
        <v>0</v>
      </c>
      <c r="BI105" s="1452">
        <f t="shared" si="83"/>
        <v>0</v>
      </c>
      <c r="BJ105" s="1452" t="str">
        <f t="shared" si="67"/>
        <v/>
      </c>
      <c r="BK105" s="1452" t="str">
        <f t="shared" si="68"/>
        <v/>
      </c>
      <c r="BL105" s="1452" t="str">
        <f t="shared" si="69"/>
        <v/>
      </c>
      <c r="BM105" s="1452" t="str">
        <f t="shared" si="70"/>
        <v/>
      </c>
      <c r="BN105" s="1452" t="str">
        <f t="shared" ca="1" si="71"/>
        <v/>
      </c>
      <c r="BO105" s="1452" t="str">
        <f t="shared" si="84"/>
        <v/>
      </c>
      <c r="BP105" s="1452" t="str">
        <f t="shared" si="72"/>
        <v/>
      </c>
      <c r="BQ105" s="1452" t="str">
        <f t="shared" si="73"/>
        <v/>
      </c>
      <c r="BR105" s="1452" t="str">
        <f t="shared" si="74"/>
        <v/>
      </c>
      <c r="BS105" s="1452" t="str">
        <f t="shared" si="75"/>
        <v/>
      </c>
      <c r="BT105" s="1452" t="str">
        <f t="shared" si="76"/>
        <v/>
      </c>
      <c r="BU105" s="1452" t="str">
        <f t="shared" si="77"/>
        <v/>
      </c>
      <c r="BV105" s="1452" t="str">
        <f t="shared" si="78"/>
        <v/>
      </c>
      <c r="BW105" s="1558">
        <f t="shared" ca="1" si="85"/>
        <v>0</v>
      </c>
    </row>
    <row r="106" spans="1:75" s="9" customFormat="1" ht="12.5">
      <c r="A106" s="1483" t="str">
        <f t="shared" si="79"/>
        <v>Public Health Wales Trust</v>
      </c>
      <c r="B106" s="1583"/>
      <c r="C106" s="1583"/>
      <c r="D106" s="1583"/>
      <c r="E106" s="1581"/>
      <c r="F106" s="1436"/>
      <c r="G106" s="1547">
        <f t="shared" si="80"/>
        <v>0</v>
      </c>
      <c r="H106" s="1484"/>
      <c r="I106" s="1547">
        <f t="shared" si="81"/>
        <v>0</v>
      </c>
      <c r="J106" s="1485"/>
      <c r="K106" s="1485"/>
      <c r="L106" s="1436"/>
      <c r="M106" s="1439"/>
      <c r="N106" s="1439"/>
      <c r="O106" s="1485"/>
      <c r="P106" s="1486"/>
      <c r="Q106" s="1486"/>
      <c r="R106" s="1487"/>
      <c r="S106" s="1444"/>
      <c r="T106" s="1444"/>
      <c r="U106" s="1444"/>
      <c r="V106" s="1488"/>
      <c r="W106" s="1488"/>
      <c r="X106" s="1488"/>
      <c r="Y106" s="1488"/>
      <c r="Z106" s="1488"/>
      <c r="AA106" s="1488"/>
      <c r="AB106" s="1488"/>
      <c r="AC106" s="1488"/>
      <c r="AD106" s="1488"/>
      <c r="AE106" s="1488"/>
      <c r="AF106" s="1488"/>
      <c r="AG106" s="1488"/>
      <c r="AH106" s="1451">
        <f t="shared" si="42"/>
        <v>0</v>
      </c>
      <c r="AI106" s="1488"/>
      <c r="AJ106" s="1488"/>
      <c r="AK106" s="1488"/>
      <c r="AL106" s="1488"/>
      <c r="AM106" s="1488"/>
      <c r="AN106" s="1488"/>
      <c r="AO106" s="1488"/>
      <c r="AP106" s="1488"/>
      <c r="AQ106" s="1488"/>
      <c r="AR106" s="1488"/>
      <c r="AS106" s="1488"/>
      <c r="AT106" s="1542"/>
      <c r="AU106" s="1599">
        <f t="shared" si="54"/>
        <v>0</v>
      </c>
      <c r="AV106" s="1544">
        <f t="shared" si="82"/>
        <v>0</v>
      </c>
      <c r="AW106" s="1452">
        <f t="shared" si="55"/>
        <v>0</v>
      </c>
      <c r="AX106" s="1452">
        <f t="shared" si="56"/>
        <v>0</v>
      </c>
      <c r="AY106" s="1452">
        <f t="shared" si="57"/>
        <v>0</v>
      </c>
      <c r="AZ106" s="1452">
        <f t="shared" si="58"/>
        <v>0</v>
      </c>
      <c r="BA106" s="1452">
        <f t="shared" si="59"/>
        <v>0</v>
      </c>
      <c r="BB106" s="1452">
        <f t="shared" si="60"/>
        <v>0</v>
      </c>
      <c r="BC106" s="1452">
        <f t="shared" si="61"/>
        <v>0</v>
      </c>
      <c r="BD106" s="1452">
        <f t="shared" si="62"/>
        <v>0</v>
      </c>
      <c r="BE106" s="1452">
        <f t="shared" si="63"/>
        <v>0</v>
      </c>
      <c r="BF106" s="1452">
        <f t="shared" si="64"/>
        <v>0</v>
      </c>
      <c r="BG106" s="1452">
        <f t="shared" si="65"/>
        <v>0</v>
      </c>
      <c r="BH106" s="1452">
        <f t="shared" si="66"/>
        <v>0</v>
      </c>
      <c r="BI106" s="1452">
        <f t="shared" si="83"/>
        <v>0</v>
      </c>
      <c r="BJ106" s="1452" t="str">
        <f t="shared" si="67"/>
        <v/>
      </c>
      <c r="BK106" s="1452" t="str">
        <f t="shared" si="68"/>
        <v/>
      </c>
      <c r="BL106" s="1452" t="str">
        <f t="shared" si="69"/>
        <v/>
      </c>
      <c r="BM106" s="1452" t="str">
        <f t="shared" si="70"/>
        <v/>
      </c>
      <c r="BN106" s="1452" t="str">
        <f t="shared" ca="1" si="71"/>
        <v/>
      </c>
      <c r="BO106" s="1452" t="str">
        <f t="shared" si="84"/>
        <v/>
      </c>
      <c r="BP106" s="1452" t="str">
        <f t="shared" si="72"/>
        <v/>
      </c>
      <c r="BQ106" s="1452" t="str">
        <f t="shared" si="73"/>
        <v/>
      </c>
      <c r="BR106" s="1452" t="str">
        <f t="shared" si="74"/>
        <v/>
      </c>
      <c r="BS106" s="1452" t="str">
        <f t="shared" si="75"/>
        <v/>
      </c>
      <c r="BT106" s="1452" t="str">
        <f t="shared" si="76"/>
        <v/>
      </c>
      <c r="BU106" s="1452" t="str">
        <f t="shared" si="77"/>
        <v/>
      </c>
      <c r="BV106" s="1452" t="str">
        <f t="shared" si="78"/>
        <v/>
      </c>
      <c r="BW106" s="1558">
        <f t="shared" ca="1" si="85"/>
        <v>0</v>
      </c>
    </row>
    <row r="107" spans="1:75" s="9" customFormat="1" ht="12.5">
      <c r="A107" s="1483" t="str">
        <f t="shared" si="79"/>
        <v>Public Health Wales Trust</v>
      </c>
      <c r="B107" s="1583"/>
      <c r="C107" s="1583"/>
      <c r="D107" s="1583"/>
      <c r="E107" s="1581"/>
      <c r="F107" s="1436"/>
      <c r="G107" s="1547">
        <f t="shared" si="80"/>
        <v>0</v>
      </c>
      <c r="H107" s="1484"/>
      <c r="I107" s="1547">
        <f t="shared" si="81"/>
        <v>0</v>
      </c>
      <c r="J107" s="1485"/>
      <c r="K107" s="1485"/>
      <c r="L107" s="1436"/>
      <c r="M107" s="1439"/>
      <c r="N107" s="1439"/>
      <c r="O107" s="1485"/>
      <c r="P107" s="1486"/>
      <c r="Q107" s="1486"/>
      <c r="R107" s="1487"/>
      <c r="S107" s="1444"/>
      <c r="T107" s="1444"/>
      <c r="U107" s="1444"/>
      <c r="V107" s="1488"/>
      <c r="W107" s="1488"/>
      <c r="X107" s="1488"/>
      <c r="Y107" s="1488"/>
      <c r="Z107" s="1488"/>
      <c r="AA107" s="1488"/>
      <c r="AB107" s="1488"/>
      <c r="AC107" s="1488"/>
      <c r="AD107" s="1488"/>
      <c r="AE107" s="1488"/>
      <c r="AF107" s="1488"/>
      <c r="AG107" s="1488"/>
      <c r="AH107" s="1451">
        <f t="shared" ref="AH107:AH170" si="86">SUM(V107:AG107)</f>
        <v>0</v>
      </c>
      <c r="AI107" s="1488"/>
      <c r="AJ107" s="1488"/>
      <c r="AK107" s="1488"/>
      <c r="AL107" s="1488"/>
      <c r="AM107" s="1488"/>
      <c r="AN107" s="1488"/>
      <c r="AO107" s="1488"/>
      <c r="AP107" s="1488"/>
      <c r="AQ107" s="1488"/>
      <c r="AR107" s="1488"/>
      <c r="AS107" s="1488"/>
      <c r="AT107" s="1542"/>
      <c r="AU107" s="1599">
        <f t="shared" ref="AU107:AU170" si="87">SUMPRODUCT($AC$40:$AN$40,AI107:AT107)</f>
        <v>0</v>
      </c>
      <c r="AV107" s="1544">
        <f t="shared" si="82"/>
        <v>0</v>
      </c>
      <c r="AW107" s="1452">
        <f t="shared" ref="AW107:AW170" si="88">AI107-V107</f>
        <v>0</v>
      </c>
      <c r="AX107" s="1452">
        <f t="shared" ref="AX107:AX170" si="89">AJ107-W107</f>
        <v>0</v>
      </c>
      <c r="AY107" s="1452">
        <f t="shared" ref="AY107:AY170" si="90">AK107-X107</f>
        <v>0</v>
      </c>
      <c r="AZ107" s="1452">
        <f t="shared" ref="AZ107:AZ170" si="91">AL107-Y107</f>
        <v>0</v>
      </c>
      <c r="BA107" s="1452">
        <f t="shared" ref="BA107:BA170" si="92">AM107-Z107</f>
        <v>0</v>
      </c>
      <c r="BB107" s="1452">
        <f t="shared" ref="BB107:BB170" si="93">AN107-AA107</f>
        <v>0</v>
      </c>
      <c r="BC107" s="1452">
        <f t="shared" ref="BC107:BC170" si="94">AO107-AB107</f>
        <v>0</v>
      </c>
      <c r="BD107" s="1452">
        <f t="shared" ref="BD107:BD170" si="95">AP107-AC107</f>
        <v>0</v>
      </c>
      <c r="BE107" s="1452">
        <f t="shared" ref="BE107:BE170" si="96">AQ107-AD107</f>
        <v>0</v>
      </c>
      <c r="BF107" s="1452">
        <f t="shared" ref="BF107:BF170" si="97">AR107-AE107</f>
        <v>0</v>
      </c>
      <c r="BG107" s="1452">
        <f t="shared" ref="BG107:BG170" si="98">AS107-AF107</f>
        <v>0</v>
      </c>
      <c r="BH107" s="1452">
        <f t="shared" ref="BH107:BH170" si="99">AT107-AG107</f>
        <v>0</v>
      </c>
      <c r="BI107" s="1452">
        <f t="shared" si="83"/>
        <v>0</v>
      </c>
      <c r="BJ107" s="1452" t="str">
        <f t="shared" ref="BJ107:BJ170" si="100">IF(OR(G107&gt;0,I107&gt;0),IF(AND(B107&lt;&gt;"",C107&lt;&gt;"",D107&lt;&gt;"",E107&lt;&gt;"",F107&lt;&gt;"",L107&lt;&gt;"",M107&lt;&gt;"",N107&lt;&gt;"",O107&lt;&gt;"",P107&lt;&gt;"",Q107&lt;&gt;"",R107&lt;&gt;""),"","ERROR"),"")</f>
        <v/>
      </c>
      <c r="BK107" s="1452" t="str">
        <f t="shared" ref="BK107:BK170" si="101">IF(COUNTIF($D$43:$D$1496,D107)&gt;1,"ERROR","")</f>
        <v/>
      </c>
      <c r="BL107" s="1452" t="str">
        <f t="shared" ref="BL107:BL170" si="102">IF(AND(OR(R107=$CQ$1,R107=$CQ$3),S107=""),"ERROR","")</f>
        <v/>
      </c>
      <c r="BM107" s="1452" t="str">
        <f t="shared" ref="BM107:BM170" si="103">IF(AND(OR(R107=$CQ$2),S107&lt;&gt;""),"ERROR","")</f>
        <v/>
      </c>
      <c r="BN107" s="1452" t="str">
        <f t="shared" ref="BN107:BN170" ca="1" si="104">IF(AND(O107=$CA$2,N107&lt;TODAY()),"ERROR","")</f>
        <v/>
      </c>
      <c r="BO107" s="1452" t="str">
        <f t="shared" si="84"/>
        <v/>
      </c>
      <c r="BP107" s="1452" t="str">
        <f t="shared" ref="BP107:BP170" si="105">IF(AND(F107=$BZ$1,G107&gt;H107),"ERROR","")</f>
        <v/>
      </c>
      <c r="BQ107" s="1452" t="str">
        <f t="shared" ref="BQ107:BQ170" si="106">IF(AND(F107=$BZ$1,I107&gt;J107),"ERROR","")</f>
        <v/>
      </c>
      <c r="BR107" s="1452" t="str">
        <f t="shared" ref="BR107:BR170" si="107">IF(AND(F107=$BZ$2,SUM(H107,J107)&gt;0),"ERROR","")</f>
        <v/>
      </c>
      <c r="BS107" s="1452" t="str">
        <f t="shared" ref="BS107:BS170" si="108">IF(AND(I107=0,J107&gt;0),"ERROR","")</f>
        <v/>
      </c>
      <c r="BT107" s="1452" t="str">
        <f t="shared" ref="BT107:BT170" si="109">IF(AND(O107=$CA$1,K107&lt;&gt;0),"ERROR","")</f>
        <v/>
      </c>
      <c r="BU107" s="1452" t="str">
        <f t="shared" ref="BU107:BU170" si="110">IF(AND(O107=$CA$2,I107-AU107-K107&lt;0),"ERROR","")</f>
        <v/>
      </c>
      <c r="BV107" s="1452" t="str">
        <f t="shared" ref="BV107:BV170" si="111">IF(S107="","",VLOOKUP(S107,$CS$1:$CT$14,2,0))</f>
        <v/>
      </c>
      <c r="BW107" s="1558">
        <f t="shared" ca="1" si="85"/>
        <v>0</v>
      </c>
    </row>
    <row r="108" spans="1:75" s="9" customFormat="1" ht="12.5">
      <c r="A108" s="1483" t="str">
        <f t="shared" ref="A108:A171" si="112">$A$1</f>
        <v>Public Health Wales Trust</v>
      </c>
      <c r="B108" s="1583"/>
      <c r="C108" s="1583"/>
      <c r="D108" s="1583"/>
      <c r="E108" s="1581"/>
      <c r="F108" s="1436"/>
      <c r="G108" s="1547">
        <f t="shared" ref="G108:G171" si="113">AH108</f>
        <v>0</v>
      </c>
      <c r="H108" s="1484"/>
      <c r="I108" s="1547">
        <f t="shared" ref="I108:I171" si="114">AV108</f>
        <v>0</v>
      </c>
      <c r="J108" s="1485"/>
      <c r="K108" s="1485"/>
      <c r="L108" s="1436"/>
      <c r="M108" s="1439"/>
      <c r="N108" s="1439"/>
      <c r="O108" s="1485"/>
      <c r="P108" s="1486"/>
      <c r="Q108" s="1486"/>
      <c r="R108" s="1487"/>
      <c r="S108" s="1444"/>
      <c r="T108" s="1444"/>
      <c r="U108" s="1444"/>
      <c r="V108" s="1488"/>
      <c r="W108" s="1488"/>
      <c r="X108" s="1488"/>
      <c r="Y108" s="1488"/>
      <c r="Z108" s="1488"/>
      <c r="AA108" s="1488"/>
      <c r="AB108" s="1488"/>
      <c r="AC108" s="1488"/>
      <c r="AD108" s="1488"/>
      <c r="AE108" s="1488"/>
      <c r="AF108" s="1488"/>
      <c r="AG108" s="1488"/>
      <c r="AH108" s="1451">
        <f t="shared" si="86"/>
        <v>0</v>
      </c>
      <c r="AI108" s="1488"/>
      <c r="AJ108" s="1488"/>
      <c r="AK108" s="1488"/>
      <c r="AL108" s="1488"/>
      <c r="AM108" s="1488"/>
      <c r="AN108" s="1488"/>
      <c r="AO108" s="1488"/>
      <c r="AP108" s="1488"/>
      <c r="AQ108" s="1488"/>
      <c r="AR108" s="1488"/>
      <c r="AS108" s="1488"/>
      <c r="AT108" s="1542"/>
      <c r="AU108" s="1599">
        <f t="shared" si="87"/>
        <v>0</v>
      </c>
      <c r="AV108" s="1544">
        <f t="shared" ref="AV108:AV171" si="115">SUM(AI108:AT108)</f>
        <v>0</v>
      </c>
      <c r="AW108" s="1452">
        <f t="shared" si="88"/>
        <v>0</v>
      </c>
      <c r="AX108" s="1452">
        <f t="shared" si="89"/>
        <v>0</v>
      </c>
      <c r="AY108" s="1452">
        <f t="shared" si="90"/>
        <v>0</v>
      </c>
      <c r="AZ108" s="1452">
        <f t="shared" si="91"/>
        <v>0</v>
      </c>
      <c r="BA108" s="1452">
        <f t="shared" si="92"/>
        <v>0</v>
      </c>
      <c r="BB108" s="1452">
        <f t="shared" si="93"/>
        <v>0</v>
      </c>
      <c r="BC108" s="1452">
        <f t="shared" si="94"/>
        <v>0</v>
      </c>
      <c r="BD108" s="1452">
        <f t="shared" si="95"/>
        <v>0</v>
      </c>
      <c r="BE108" s="1452">
        <f t="shared" si="96"/>
        <v>0</v>
      </c>
      <c r="BF108" s="1452">
        <f t="shared" si="97"/>
        <v>0</v>
      </c>
      <c r="BG108" s="1452">
        <f t="shared" si="98"/>
        <v>0</v>
      </c>
      <c r="BH108" s="1452">
        <f t="shared" si="99"/>
        <v>0</v>
      </c>
      <c r="BI108" s="1452">
        <f t="shared" ref="BI108:BI171" si="116">SUM(AW108:BH108)</f>
        <v>0</v>
      </c>
      <c r="BJ108" s="1452" t="str">
        <f t="shared" si="100"/>
        <v/>
      </c>
      <c r="BK108" s="1452" t="str">
        <f t="shared" si="101"/>
        <v/>
      </c>
      <c r="BL108" s="1452" t="str">
        <f t="shared" si="102"/>
        <v/>
      </c>
      <c r="BM108" s="1452" t="str">
        <f t="shared" si="103"/>
        <v/>
      </c>
      <c r="BN108" s="1452" t="str">
        <f t="shared" ca="1" si="104"/>
        <v/>
      </c>
      <c r="BO108" s="1452" t="str">
        <f t="shared" ref="BO108:BO171" si="117">IF(AND(AV108&gt;0,AH108=0),"ERROR","")</f>
        <v/>
      </c>
      <c r="BP108" s="1452" t="str">
        <f t="shared" si="105"/>
        <v/>
      </c>
      <c r="BQ108" s="1452" t="str">
        <f t="shared" si="106"/>
        <v/>
      </c>
      <c r="BR108" s="1452" t="str">
        <f t="shared" si="107"/>
        <v/>
      </c>
      <c r="BS108" s="1452" t="str">
        <f t="shared" si="108"/>
        <v/>
      </c>
      <c r="BT108" s="1452" t="str">
        <f t="shared" si="109"/>
        <v/>
      </c>
      <c r="BU108" s="1452" t="str">
        <f t="shared" si="110"/>
        <v/>
      </c>
      <c r="BV108" s="1452" t="str">
        <f t="shared" si="111"/>
        <v/>
      </c>
      <c r="BW108" s="1558">
        <f t="shared" ref="BW108:BW171" ca="1" si="118">COUNTIF(BJ108:BU108,"ERROR")</f>
        <v>0</v>
      </c>
    </row>
    <row r="109" spans="1:75" s="9" customFormat="1" ht="12.5">
      <c r="A109" s="1483" t="str">
        <f t="shared" si="112"/>
        <v>Public Health Wales Trust</v>
      </c>
      <c r="B109" s="1583"/>
      <c r="C109" s="1583"/>
      <c r="D109" s="1583"/>
      <c r="E109" s="1581"/>
      <c r="F109" s="1436"/>
      <c r="G109" s="1547">
        <f t="shared" si="113"/>
        <v>0</v>
      </c>
      <c r="H109" s="1484"/>
      <c r="I109" s="1547">
        <f t="shared" si="114"/>
        <v>0</v>
      </c>
      <c r="J109" s="1485"/>
      <c r="K109" s="1485"/>
      <c r="L109" s="1436"/>
      <c r="M109" s="1439"/>
      <c r="N109" s="1439"/>
      <c r="O109" s="1485"/>
      <c r="P109" s="1486"/>
      <c r="Q109" s="1486"/>
      <c r="R109" s="1487"/>
      <c r="S109" s="1444"/>
      <c r="T109" s="1444"/>
      <c r="U109" s="1444"/>
      <c r="V109" s="1488"/>
      <c r="W109" s="1488"/>
      <c r="X109" s="1488"/>
      <c r="Y109" s="1488"/>
      <c r="Z109" s="1488"/>
      <c r="AA109" s="1488"/>
      <c r="AB109" s="1488"/>
      <c r="AC109" s="1488"/>
      <c r="AD109" s="1488"/>
      <c r="AE109" s="1488"/>
      <c r="AF109" s="1488"/>
      <c r="AG109" s="1488"/>
      <c r="AH109" s="1451">
        <f t="shared" si="86"/>
        <v>0</v>
      </c>
      <c r="AI109" s="1488"/>
      <c r="AJ109" s="1488"/>
      <c r="AK109" s="1488"/>
      <c r="AL109" s="1488"/>
      <c r="AM109" s="1488"/>
      <c r="AN109" s="1488"/>
      <c r="AO109" s="1488"/>
      <c r="AP109" s="1488"/>
      <c r="AQ109" s="1488"/>
      <c r="AR109" s="1488"/>
      <c r="AS109" s="1488"/>
      <c r="AT109" s="1542"/>
      <c r="AU109" s="1599">
        <f t="shared" si="87"/>
        <v>0</v>
      </c>
      <c r="AV109" s="1544">
        <f t="shared" si="115"/>
        <v>0</v>
      </c>
      <c r="AW109" s="1452">
        <f t="shared" si="88"/>
        <v>0</v>
      </c>
      <c r="AX109" s="1452">
        <f t="shared" si="89"/>
        <v>0</v>
      </c>
      <c r="AY109" s="1452">
        <f t="shared" si="90"/>
        <v>0</v>
      </c>
      <c r="AZ109" s="1452">
        <f t="shared" si="91"/>
        <v>0</v>
      </c>
      <c r="BA109" s="1452">
        <f t="shared" si="92"/>
        <v>0</v>
      </c>
      <c r="BB109" s="1452">
        <f t="shared" si="93"/>
        <v>0</v>
      </c>
      <c r="BC109" s="1452">
        <f t="shared" si="94"/>
        <v>0</v>
      </c>
      <c r="BD109" s="1452">
        <f t="shared" si="95"/>
        <v>0</v>
      </c>
      <c r="BE109" s="1452">
        <f t="shared" si="96"/>
        <v>0</v>
      </c>
      <c r="BF109" s="1452">
        <f t="shared" si="97"/>
        <v>0</v>
      </c>
      <c r="BG109" s="1452">
        <f t="shared" si="98"/>
        <v>0</v>
      </c>
      <c r="BH109" s="1452">
        <f t="shared" si="99"/>
        <v>0</v>
      </c>
      <c r="BI109" s="1452">
        <f t="shared" si="116"/>
        <v>0</v>
      </c>
      <c r="BJ109" s="1452" t="str">
        <f t="shared" si="100"/>
        <v/>
      </c>
      <c r="BK109" s="1452" t="str">
        <f t="shared" si="101"/>
        <v/>
      </c>
      <c r="BL109" s="1452" t="str">
        <f t="shared" si="102"/>
        <v/>
      </c>
      <c r="BM109" s="1452" t="str">
        <f t="shared" si="103"/>
        <v/>
      </c>
      <c r="BN109" s="1452" t="str">
        <f t="shared" ca="1" si="104"/>
        <v/>
      </c>
      <c r="BO109" s="1452" t="str">
        <f t="shared" si="117"/>
        <v/>
      </c>
      <c r="BP109" s="1452" t="str">
        <f t="shared" si="105"/>
        <v/>
      </c>
      <c r="BQ109" s="1452" t="str">
        <f t="shared" si="106"/>
        <v/>
      </c>
      <c r="BR109" s="1452" t="str">
        <f t="shared" si="107"/>
        <v/>
      </c>
      <c r="BS109" s="1452" t="str">
        <f t="shared" si="108"/>
        <v/>
      </c>
      <c r="BT109" s="1452" t="str">
        <f t="shared" si="109"/>
        <v/>
      </c>
      <c r="BU109" s="1452" t="str">
        <f t="shared" si="110"/>
        <v/>
      </c>
      <c r="BV109" s="1452" t="str">
        <f t="shared" si="111"/>
        <v/>
      </c>
      <c r="BW109" s="1558">
        <f t="shared" ca="1" si="118"/>
        <v>0</v>
      </c>
    </row>
    <row r="110" spans="1:75" s="9" customFormat="1" ht="12.5">
      <c r="A110" s="1483" t="str">
        <f t="shared" si="112"/>
        <v>Public Health Wales Trust</v>
      </c>
      <c r="B110" s="1583"/>
      <c r="C110" s="1583"/>
      <c r="D110" s="1583"/>
      <c r="E110" s="1581"/>
      <c r="F110" s="1436"/>
      <c r="G110" s="1547">
        <f t="shared" si="113"/>
        <v>0</v>
      </c>
      <c r="H110" s="1484"/>
      <c r="I110" s="1547">
        <f t="shared" si="114"/>
        <v>0</v>
      </c>
      <c r="J110" s="1485"/>
      <c r="K110" s="1485"/>
      <c r="L110" s="1436"/>
      <c r="M110" s="1439"/>
      <c r="N110" s="1439"/>
      <c r="O110" s="1485"/>
      <c r="P110" s="1486"/>
      <c r="Q110" s="1486"/>
      <c r="R110" s="1487"/>
      <c r="S110" s="1444"/>
      <c r="T110" s="1444"/>
      <c r="U110" s="1444"/>
      <c r="V110" s="1488"/>
      <c r="W110" s="1488"/>
      <c r="X110" s="1488"/>
      <c r="Y110" s="1488"/>
      <c r="Z110" s="1488"/>
      <c r="AA110" s="1488"/>
      <c r="AB110" s="1488"/>
      <c r="AC110" s="1488"/>
      <c r="AD110" s="1488"/>
      <c r="AE110" s="1488"/>
      <c r="AF110" s="1488"/>
      <c r="AG110" s="1488"/>
      <c r="AH110" s="1451">
        <f t="shared" si="86"/>
        <v>0</v>
      </c>
      <c r="AI110" s="1488"/>
      <c r="AJ110" s="1488"/>
      <c r="AK110" s="1488"/>
      <c r="AL110" s="1488"/>
      <c r="AM110" s="1488"/>
      <c r="AN110" s="1488"/>
      <c r="AO110" s="1488"/>
      <c r="AP110" s="1488"/>
      <c r="AQ110" s="1488"/>
      <c r="AR110" s="1488"/>
      <c r="AS110" s="1488"/>
      <c r="AT110" s="1542"/>
      <c r="AU110" s="1599">
        <f t="shared" si="87"/>
        <v>0</v>
      </c>
      <c r="AV110" s="1544">
        <f t="shared" si="115"/>
        <v>0</v>
      </c>
      <c r="AW110" s="1452">
        <f t="shared" si="88"/>
        <v>0</v>
      </c>
      <c r="AX110" s="1452">
        <f t="shared" si="89"/>
        <v>0</v>
      </c>
      <c r="AY110" s="1452">
        <f t="shared" si="90"/>
        <v>0</v>
      </c>
      <c r="AZ110" s="1452">
        <f t="shared" si="91"/>
        <v>0</v>
      </c>
      <c r="BA110" s="1452">
        <f t="shared" si="92"/>
        <v>0</v>
      </c>
      <c r="BB110" s="1452">
        <f t="shared" si="93"/>
        <v>0</v>
      </c>
      <c r="BC110" s="1452">
        <f t="shared" si="94"/>
        <v>0</v>
      </c>
      <c r="BD110" s="1452">
        <f t="shared" si="95"/>
        <v>0</v>
      </c>
      <c r="BE110" s="1452">
        <f t="shared" si="96"/>
        <v>0</v>
      </c>
      <c r="BF110" s="1452">
        <f t="shared" si="97"/>
        <v>0</v>
      </c>
      <c r="BG110" s="1452">
        <f t="shared" si="98"/>
        <v>0</v>
      </c>
      <c r="BH110" s="1452">
        <f t="shared" si="99"/>
        <v>0</v>
      </c>
      <c r="BI110" s="1452">
        <f t="shared" si="116"/>
        <v>0</v>
      </c>
      <c r="BJ110" s="1452" t="str">
        <f t="shared" si="100"/>
        <v/>
      </c>
      <c r="BK110" s="1452" t="str">
        <f t="shared" si="101"/>
        <v/>
      </c>
      <c r="BL110" s="1452" t="str">
        <f t="shared" si="102"/>
        <v/>
      </c>
      <c r="BM110" s="1452" t="str">
        <f t="shared" si="103"/>
        <v/>
      </c>
      <c r="BN110" s="1452" t="str">
        <f t="shared" ca="1" si="104"/>
        <v/>
      </c>
      <c r="BO110" s="1452" t="str">
        <f t="shared" si="117"/>
        <v/>
      </c>
      <c r="BP110" s="1452" t="str">
        <f t="shared" si="105"/>
        <v/>
      </c>
      <c r="BQ110" s="1452" t="str">
        <f t="shared" si="106"/>
        <v/>
      </c>
      <c r="BR110" s="1452" t="str">
        <f t="shared" si="107"/>
        <v/>
      </c>
      <c r="BS110" s="1452" t="str">
        <f t="shared" si="108"/>
        <v/>
      </c>
      <c r="BT110" s="1452" t="str">
        <f t="shared" si="109"/>
        <v/>
      </c>
      <c r="BU110" s="1452" t="str">
        <f t="shared" si="110"/>
        <v/>
      </c>
      <c r="BV110" s="1452" t="str">
        <f t="shared" si="111"/>
        <v/>
      </c>
      <c r="BW110" s="1558">
        <f t="shared" ca="1" si="118"/>
        <v>0</v>
      </c>
    </row>
    <row r="111" spans="1:75" s="9" customFormat="1" ht="12.5">
      <c r="A111" s="1483" t="str">
        <f t="shared" si="112"/>
        <v>Public Health Wales Trust</v>
      </c>
      <c r="B111" s="1583"/>
      <c r="C111" s="1583"/>
      <c r="D111" s="1583"/>
      <c r="E111" s="1581"/>
      <c r="F111" s="1436"/>
      <c r="G111" s="1547">
        <f t="shared" si="113"/>
        <v>0</v>
      </c>
      <c r="H111" s="1484"/>
      <c r="I111" s="1547">
        <f t="shared" si="114"/>
        <v>0</v>
      </c>
      <c r="J111" s="1485"/>
      <c r="K111" s="1485"/>
      <c r="L111" s="1436"/>
      <c r="M111" s="1439"/>
      <c r="N111" s="1439"/>
      <c r="O111" s="1485"/>
      <c r="P111" s="1486"/>
      <c r="Q111" s="1486"/>
      <c r="R111" s="1487"/>
      <c r="S111" s="1444"/>
      <c r="T111" s="1444"/>
      <c r="U111" s="1444"/>
      <c r="V111" s="1488"/>
      <c r="W111" s="1488"/>
      <c r="X111" s="1488"/>
      <c r="Y111" s="1488"/>
      <c r="Z111" s="1488"/>
      <c r="AA111" s="1488"/>
      <c r="AB111" s="1488"/>
      <c r="AC111" s="1488"/>
      <c r="AD111" s="1488"/>
      <c r="AE111" s="1488"/>
      <c r="AF111" s="1488"/>
      <c r="AG111" s="1488"/>
      <c r="AH111" s="1451">
        <f t="shared" si="86"/>
        <v>0</v>
      </c>
      <c r="AI111" s="1488"/>
      <c r="AJ111" s="1488"/>
      <c r="AK111" s="1488"/>
      <c r="AL111" s="1488"/>
      <c r="AM111" s="1488"/>
      <c r="AN111" s="1488"/>
      <c r="AO111" s="1488"/>
      <c r="AP111" s="1488"/>
      <c r="AQ111" s="1488"/>
      <c r="AR111" s="1488"/>
      <c r="AS111" s="1488"/>
      <c r="AT111" s="1542"/>
      <c r="AU111" s="1599">
        <f t="shared" si="87"/>
        <v>0</v>
      </c>
      <c r="AV111" s="1544">
        <f t="shared" si="115"/>
        <v>0</v>
      </c>
      <c r="AW111" s="1452">
        <f t="shared" si="88"/>
        <v>0</v>
      </c>
      <c r="AX111" s="1452">
        <f t="shared" si="89"/>
        <v>0</v>
      </c>
      <c r="AY111" s="1452">
        <f t="shared" si="90"/>
        <v>0</v>
      </c>
      <c r="AZ111" s="1452">
        <f t="shared" si="91"/>
        <v>0</v>
      </c>
      <c r="BA111" s="1452">
        <f t="shared" si="92"/>
        <v>0</v>
      </c>
      <c r="BB111" s="1452">
        <f t="shared" si="93"/>
        <v>0</v>
      </c>
      <c r="BC111" s="1452">
        <f t="shared" si="94"/>
        <v>0</v>
      </c>
      <c r="BD111" s="1452">
        <f t="shared" si="95"/>
        <v>0</v>
      </c>
      <c r="BE111" s="1452">
        <f t="shared" si="96"/>
        <v>0</v>
      </c>
      <c r="BF111" s="1452">
        <f t="shared" si="97"/>
        <v>0</v>
      </c>
      <c r="BG111" s="1452">
        <f t="shared" si="98"/>
        <v>0</v>
      </c>
      <c r="BH111" s="1452">
        <f t="shared" si="99"/>
        <v>0</v>
      </c>
      <c r="BI111" s="1452">
        <f t="shared" si="116"/>
        <v>0</v>
      </c>
      <c r="BJ111" s="1452" t="str">
        <f t="shared" si="100"/>
        <v/>
      </c>
      <c r="BK111" s="1452" t="str">
        <f t="shared" si="101"/>
        <v/>
      </c>
      <c r="BL111" s="1452" t="str">
        <f t="shared" si="102"/>
        <v/>
      </c>
      <c r="BM111" s="1452" t="str">
        <f t="shared" si="103"/>
        <v/>
      </c>
      <c r="BN111" s="1452" t="str">
        <f t="shared" ca="1" si="104"/>
        <v/>
      </c>
      <c r="BO111" s="1452" t="str">
        <f t="shared" si="117"/>
        <v/>
      </c>
      <c r="BP111" s="1452" t="str">
        <f t="shared" si="105"/>
        <v/>
      </c>
      <c r="BQ111" s="1452" t="str">
        <f t="shared" si="106"/>
        <v/>
      </c>
      <c r="BR111" s="1452" t="str">
        <f t="shared" si="107"/>
        <v/>
      </c>
      <c r="BS111" s="1452" t="str">
        <f t="shared" si="108"/>
        <v/>
      </c>
      <c r="BT111" s="1452" t="str">
        <f t="shared" si="109"/>
        <v/>
      </c>
      <c r="BU111" s="1452" t="str">
        <f t="shared" si="110"/>
        <v/>
      </c>
      <c r="BV111" s="1452" t="str">
        <f t="shared" si="111"/>
        <v/>
      </c>
      <c r="BW111" s="1558">
        <f t="shared" ca="1" si="118"/>
        <v>0</v>
      </c>
    </row>
    <row r="112" spans="1:75" s="9" customFormat="1" ht="12.5">
      <c r="A112" s="1483" t="str">
        <f t="shared" si="112"/>
        <v>Public Health Wales Trust</v>
      </c>
      <c r="B112" s="1583"/>
      <c r="C112" s="1583"/>
      <c r="D112" s="1583"/>
      <c r="E112" s="1581"/>
      <c r="F112" s="1436"/>
      <c r="G112" s="1547">
        <f t="shared" si="113"/>
        <v>0</v>
      </c>
      <c r="H112" s="1484"/>
      <c r="I112" s="1547">
        <f t="shared" si="114"/>
        <v>0</v>
      </c>
      <c r="J112" s="1485"/>
      <c r="K112" s="1485"/>
      <c r="L112" s="1436"/>
      <c r="M112" s="1439"/>
      <c r="N112" s="1439"/>
      <c r="O112" s="1485"/>
      <c r="P112" s="1486"/>
      <c r="Q112" s="1486"/>
      <c r="R112" s="1487"/>
      <c r="S112" s="1444"/>
      <c r="T112" s="1444"/>
      <c r="U112" s="1444"/>
      <c r="V112" s="1488"/>
      <c r="W112" s="1488"/>
      <c r="X112" s="1488"/>
      <c r="Y112" s="1488"/>
      <c r="Z112" s="1488"/>
      <c r="AA112" s="1488"/>
      <c r="AB112" s="1488"/>
      <c r="AC112" s="1488"/>
      <c r="AD112" s="1488"/>
      <c r="AE112" s="1488"/>
      <c r="AF112" s="1488"/>
      <c r="AG112" s="1488"/>
      <c r="AH112" s="1451">
        <f t="shared" si="86"/>
        <v>0</v>
      </c>
      <c r="AI112" s="1488"/>
      <c r="AJ112" s="1488"/>
      <c r="AK112" s="1488"/>
      <c r="AL112" s="1488"/>
      <c r="AM112" s="1488"/>
      <c r="AN112" s="1488"/>
      <c r="AO112" s="1488"/>
      <c r="AP112" s="1488"/>
      <c r="AQ112" s="1488"/>
      <c r="AR112" s="1488"/>
      <c r="AS112" s="1488"/>
      <c r="AT112" s="1542"/>
      <c r="AU112" s="1599">
        <f t="shared" si="87"/>
        <v>0</v>
      </c>
      <c r="AV112" s="1544">
        <f t="shared" si="115"/>
        <v>0</v>
      </c>
      <c r="AW112" s="1452">
        <f t="shared" si="88"/>
        <v>0</v>
      </c>
      <c r="AX112" s="1452">
        <f t="shared" si="89"/>
        <v>0</v>
      </c>
      <c r="AY112" s="1452">
        <f t="shared" si="90"/>
        <v>0</v>
      </c>
      <c r="AZ112" s="1452">
        <f t="shared" si="91"/>
        <v>0</v>
      </c>
      <c r="BA112" s="1452">
        <f t="shared" si="92"/>
        <v>0</v>
      </c>
      <c r="BB112" s="1452">
        <f t="shared" si="93"/>
        <v>0</v>
      </c>
      <c r="BC112" s="1452">
        <f t="shared" si="94"/>
        <v>0</v>
      </c>
      <c r="BD112" s="1452">
        <f t="shared" si="95"/>
        <v>0</v>
      </c>
      <c r="BE112" s="1452">
        <f t="shared" si="96"/>
        <v>0</v>
      </c>
      <c r="BF112" s="1452">
        <f t="shared" si="97"/>
        <v>0</v>
      </c>
      <c r="BG112" s="1452">
        <f t="shared" si="98"/>
        <v>0</v>
      </c>
      <c r="BH112" s="1452">
        <f t="shared" si="99"/>
        <v>0</v>
      </c>
      <c r="BI112" s="1452">
        <f t="shared" si="116"/>
        <v>0</v>
      </c>
      <c r="BJ112" s="1452" t="str">
        <f t="shared" si="100"/>
        <v/>
      </c>
      <c r="BK112" s="1452" t="str">
        <f t="shared" si="101"/>
        <v/>
      </c>
      <c r="BL112" s="1452" t="str">
        <f t="shared" si="102"/>
        <v/>
      </c>
      <c r="BM112" s="1452" t="str">
        <f t="shared" si="103"/>
        <v/>
      </c>
      <c r="BN112" s="1452" t="str">
        <f t="shared" ca="1" si="104"/>
        <v/>
      </c>
      <c r="BO112" s="1452" t="str">
        <f t="shared" si="117"/>
        <v/>
      </c>
      <c r="BP112" s="1452" t="str">
        <f t="shared" si="105"/>
        <v/>
      </c>
      <c r="BQ112" s="1452" t="str">
        <f t="shared" si="106"/>
        <v/>
      </c>
      <c r="BR112" s="1452" t="str">
        <f t="shared" si="107"/>
        <v/>
      </c>
      <c r="BS112" s="1452" t="str">
        <f t="shared" si="108"/>
        <v/>
      </c>
      <c r="BT112" s="1452" t="str">
        <f t="shared" si="109"/>
        <v/>
      </c>
      <c r="BU112" s="1452" t="str">
        <f t="shared" si="110"/>
        <v/>
      </c>
      <c r="BV112" s="1452" t="str">
        <f t="shared" si="111"/>
        <v/>
      </c>
      <c r="BW112" s="1558">
        <f t="shared" ca="1" si="118"/>
        <v>0</v>
      </c>
    </row>
    <row r="113" spans="1:75" s="9" customFormat="1" ht="12.5">
      <c r="A113" s="1483" t="str">
        <f t="shared" si="112"/>
        <v>Public Health Wales Trust</v>
      </c>
      <c r="B113" s="1583"/>
      <c r="C113" s="1583"/>
      <c r="D113" s="1583"/>
      <c r="E113" s="1581"/>
      <c r="F113" s="1436"/>
      <c r="G113" s="1547">
        <f t="shared" si="113"/>
        <v>0</v>
      </c>
      <c r="H113" s="1484"/>
      <c r="I113" s="1547">
        <f t="shared" si="114"/>
        <v>0</v>
      </c>
      <c r="J113" s="1485"/>
      <c r="K113" s="1485"/>
      <c r="L113" s="1436"/>
      <c r="M113" s="1439"/>
      <c r="N113" s="1439"/>
      <c r="O113" s="1485"/>
      <c r="P113" s="1486"/>
      <c r="Q113" s="1486"/>
      <c r="R113" s="1487"/>
      <c r="S113" s="1444"/>
      <c r="T113" s="1444"/>
      <c r="U113" s="1444"/>
      <c r="V113" s="1488"/>
      <c r="W113" s="1488"/>
      <c r="X113" s="1488"/>
      <c r="Y113" s="1488"/>
      <c r="Z113" s="1488"/>
      <c r="AA113" s="1488"/>
      <c r="AB113" s="1488"/>
      <c r="AC113" s="1488"/>
      <c r="AD113" s="1488"/>
      <c r="AE113" s="1488"/>
      <c r="AF113" s="1488"/>
      <c r="AG113" s="1488"/>
      <c r="AH113" s="1451">
        <f t="shared" si="86"/>
        <v>0</v>
      </c>
      <c r="AI113" s="1488"/>
      <c r="AJ113" s="1488"/>
      <c r="AK113" s="1488"/>
      <c r="AL113" s="1488"/>
      <c r="AM113" s="1488"/>
      <c r="AN113" s="1488"/>
      <c r="AO113" s="1488"/>
      <c r="AP113" s="1488"/>
      <c r="AQ113" s="1488"/>
      <c r="AR113" s="1488"/>
      <c r="AS113" s="1488"/>
      <c r="AT113" s="1542"/>
      <c r="AU113" s="1599">
        <f t="shared" si="87"/>
        <v>0</v>
      </c>
      <c r="AV113" s="1544">
        <f t="shared" si="115"/>
        <v>0</v>
      </c>
      <c r="AW113" s="1452">
        <f t="shared" si="88"/>
        <v>0</v>
      </c>
      <c r="AX113" s="1452">
        <f t="shared" si="89"/>
        <v>0</v>
      </c>
      <c r="AY113" s="1452">
        <f t="shared" si="90"/>
        <v>0</v>
      </c>
      <c r="AZ113" s="1452">
        <f t="shared" si="91"/>
        <v>0</v>
      </c>
      <c r="BA113" s="1452">
        <f t="shared" si="92"/>
        <v>0</v>
      </c>
      <c r="BB113" s="1452">
        <f t="shared" si="93"/>
        <v>0</v>
      </c>
      <c r="BC113" s="1452">
        <f t="shared" si="94"/>
        <v>0</v>
      </c>
      <c r="BD113" s="1452">
        <f t="shared" si="95"/>
        <v>0</v>
      </c>
      <c r="BE113" s="1452">
        <f t="shared" si="96"/>
        <v>0</v>
      </c>
      <c r="BF113" s="1452">
        <f t="shared" si="97"/>
        <v>0</v>
      </c>
      <c r="BG113" s="1452">
        <f t="shared" si="98"/>
        <v>0</v>
      </c>
      <c r="BH113" s="1452">
        <f t="shared" si="99"/>
        <v>0</v>
      </c>
      <c r="BI113" s="1452">
        <f t="shared" si="116"/>
        <v>0</v>
      </c>
      <c r="BJ113" s="1452" t="str">
        <f t="shared" si="100"/>
        <v/>
      </c>
      <c r="BK113" s="1452" t="str">
        <f t="shared" si="101"/>
        <v/>
      </c>
      <c r="BL113" s="1452" t="str">
        <f t="shared" si="102"/>
        <v/>
      </c>
      <c r="BM113" s="1452" t="str">
        <f t="shared" si="103"/>
        <v/>
      </c>
      <c r="BN113" s="1452" t="str">
        <f t="shared" ca="1" si="104"/>
        <v/>
      </c>
      <c r="BO113" s="1452" t="str">
        <f t="shared" si="117"/>
        <v/>
      </c>
      <c r="BP113" s="1452" t="str">
        <f t="shared" si="105"/>
        <v/>
      </c>
      <c r="BQ113" s="1452" t="str">
        <f t="shared" si="106"/>
        <v/>
      </c>
      <c r="BR113" s="1452" t="str">
        <f t="shared" si="107"/>
        <v/>
      </c>
      <c r="BS113" s="1452" t="str">
        <f t="shared" si="108"/>
        <v/>
      </c>
      <c r="BT113" s="1452" t="str">
        <f t="shared" si="109"/>
        <v/>
      </c>
      <c r="BU113" s="1452" t="str">
        <f t="shared" si="110"/>
        <v/>
      </c>
      <c r="BV113" s="1452" t="str">
        <f t="shared" si="111"/>
        <v/>
      </c>
      <c r="BW113" s="1558">
        <f t="shared" ca="1" si="118"/>
        <v>0</v>
      </c>
    </row>
    <row r="114" spans="1:75" s="9" customFormat="1" ht="12.5">
      <c r="A114" s="1483" t="str">
        <f t="shared" si="112"/>
        <v>Public Health Wales Trust</v>
      </c>
      <c r="B114" s="1583"/>
      <c r="C114" s="1583"/>
      <c r="D114" s="1583"/>
      <c r="E114" s="1581"/>
      <c r="F114" s="1436"/>
      <c r="G114" s="1547">
        <f t="shared" si="113"/>
        <v>0</v>
      </c>
      <c r="H114" s="1484"/>
      <c r="I114" s="1547">
        <f t="shared" si="114"/>
        <v>0</v>
      </c>
      <c r="J114" s="1485"/>
      <c r="K114" s="1485"/>
      <c r="L114" s="1436"/>
      <c r="M114" s="1439"/>
      <c r="N114" s="1439"/>
      <c r="O114" s="1485"/>
      <c r="P114" s="1486"/>
      <c r="Q114" s="1486"/>
      <c r="R114" s="1487"/>
      <c r="S114" s="1444"/>
      <c r="T114" s="1444"/>
      <c r="U114" s="1444"/>
      <c r="V114" s="1488"/>
      <c r="W114" s="1488"/>
      <c r="X114" s="1488"/>
      <c r="Y114" s="1488"/>
      <c r="Z114" s="1488"/>
      <c r="AA114" s="1488"/>
      <c r="AB114" s="1488"/>
      <c r="AC114" s="1488"/>
      <c r="AD114" s="1488"/>
      <c r="AE114" s="1488"/>
      <c r="AF114" s="1488"/>
      <c r="AG114" s="1488"/>
      <c r="AH114" s="1451">
        <f t="shared" si="86"/>
        <v>0</v>
      </c>
      <c r="AI114" s="1488"/>
      <c r="AJ114" s="1488"/>
      <c r="AK114" s="1488"/>
      <c r="AL114" s="1488"/>
      <c r="AM114" s="1488"/>
      <c r="AN114" s="1488"/>
      <c r="AO114" s="1488"/>
      <c r="AP114" s="1488"/>
      <c r="AQ114" s="1488"/>
      <c r="AR114" s="1488"/>
      <c r="AS114" s="1488"/>
      <c r="AT114" s="1542"/>
      <c r="AU114" s="1599">
        <f t="shared" si="87"/>
        <v>0</v>
      </c>
      <c r="AV114" s="1544">
        <f t="shared" si="115"/>
        <v>0</v>
      </c>
      <c r="AW114" s="1452">
        <f t="shared" si="88"/>
        <v>0</v>
      </c>
      <c r="AX114" s="1452">
        <f t="shared" si="89"/>
        <v>0</v>
      </c>
      <c r="AY114" s="1452">
        <f t="shared" si="90"/>
        <v>0</v>
      </c>
      <c r="AZ114" s="1452">
        <f t="shared" si="91"/>
        <v>0</v>
      </c>
      <c r="BA114" s="1452">
        <f t="shared" si="92"/>
        <v>0</v>
      </c>
      <c r="BB114" s="1452">
        <f t="shared" si="93"/>
        <v>0</v>
      </c>
      <c r="BC114" s="1452">
        <f t="shared" si="94"/>
        <v>0</v>
      </c>
      <c r="BD114" s="1452">
        <f t="shared" si="95"/>
        <v>0</v>
      </c>
      <c r="BE114" s="1452">
        <f t="shared" si="96"/>
        <v>0</v>
      </c>
      <c r="BF114" s="1452">
        <f t="shared" si="97"/>
        <v>0</v>
      </c>
      <c r="BG114" s="1452">
        <f t="shared" si="98"/>
        <v>0</v>
      </c>
      <c r="BH114" s="1452">
        <f t="shared" si="99"/>
        <v>0</v>
      </c>
      <c r="BI114" s="1452">
        <f t="shared" si="116"/>
        <v>0</v>
      </c>
      <c r="BJ114" s="1452" t="str">
        <f t="shared" si="100"/>
        <v/>
      </c>
      <c r="BK114" s="1452" t="str">
        <f t="shared" si="101"/>
        <v/>
      </c>
      <c r="BL114" s="1452" t="str">
        <f t="shared" si="102"/>
        <v/>
      </c>
      <c r="BM114" s="1452" t="str">
        <f t="shared" si="103"/>
        <v/>
      </c>
      <c r="BN114" s="1452" t="str">
        <f t="shared" ca="1" si="104"/>
        <v/>
      </c>
      <c r="BO114" s="1452" t="str">
        <f t="shared" si="117"/>
        <v/>
      </c>
      <c r="BP114" s="1452" t="str">
        <f t="shared" si="105"/>
        <v/>
      </c>
      <c r="BQ114" s="1452" t="str">
        <f t="shared" si="106"/>
        <v/>
      </c>
      <c r="BR114" s="1452" t="str">
        <f t="shared" si="107"/>
        <v/>
      </c>
      <c r="BS114" s="1452" t="str">
        <f t="shared" si="108"/>
        <v/>
      </c>
      <c r="BT114" s="1452" t="str">
        <f t="shared" si="109"/>
        <v/>
      </c>
      <c r="BU114" s="1452" t="str">
        <f t="shared" si="110"/>
        <v/>
      </c>
      <c r="BV114" s="1452" t="str">
        <f t="shared" si="111"/>
        <v/>
      </c>
      <c r="BW114" s="1558">
        <f t="shared" ca="1" si="118"/>
        <v>0</v>
      </c>
    </row>
    <row r="115" spans="1:75" s="9" customFormat="1" ht="12.5">
      <c r="A115" s="1483" t="str">
        <f t="shared" si="112"/>
        <v>Public Health Wales Trust</v>
      </c>
      <c r="B115" s="1583"/>
      <c r="C115" s="1583"/>
      <c r="D115" s="1583"/>
      <c r="E115" s="1581"/>
      <c r="F115" s="1436"/>
      <c r="G115" s="1547">
        <f t="shared" si="113"/>
        <v>0</v>
      </c>
      <c r="H115" s="1484"/>
      <c r="I115" s="1547">
        <f t="shared" si="114"/>
        <v>0</v>
      </c>
      <c r="J115" s="1485"/>
      <c r="K115" s="1485"/>
      <c r="L115" s="1436"/>
      <c r="M115" s="1439"/>
      <c r="N115" s="1439"/>
      <c r="O115" s="1485"/>
      <c r="P115" s="1486"/>
      <c r="Q115" s="1486"/>
      <c r="R115" s="1487"/>
      <c r="S115" s="1444"/>
      <c r="T115" s="1444"/>
      <c r="U115" s="1444"/>
      <c r="V115" s="1488"/>
      <c r="W115" s="1488"/>
      <c r="X115" s="1488"/>
      <c r="Y115" s="1488"/>
      <c r="Z115" s="1488"/>
      <c r="AA115" s="1488"/>
      <c r="AB115" s="1488"/>
      <c r="AC115" s="1488"/>
      <c r="AD115" s="1488"/>
      <c r="AE115" s="1488"/>
      <c r="AF115" s="1488"/>
      <c r="AG115" s="1488"/>
      <c r="AH115" s="1451">
        <f t="shared" si="86"/>
        <v>0</v>
      </c>
      <c r="AI115" s="1488"/>
      <c r="AJ115" s="1488"/>
      <c r="AK115" s="1488"/>
      <c r="AL115" s="1488"/>
      <c r="AM115" s="1488"/>
      <c r="AN115" s="1488"/>
      <c r="AO115" s="1488"/>
      <c r="AP115" s="1488"/>
      <c r="AQ115" s="1488"/>
      <c r="AR115" s="1488"/>
      <c r="AS115" s="1488"/>
      <c r="AT115" s="1542"/>
      <c r="AU115" s="1599">
        <f t="shared" si="87"/>
        <v>0</v>
      </c>
      <c r="AV115" s="1544">
        <f t="shared" si="115"/>
        <v>0</v>
      </c>
      <c r="AW115" s="1452">
        <f t="shared" si="88"/>
        <v>0</v>
      </c>
      <c r="AX115" s="1452">
        <f t="shared" si="89"/>
        <v>0</v>
      </c>
      <c r="AY115" s="1452">
        <f t="shared" si="90"/>
        <v>0</v>
      </c>
      <c r="AZ115" s="1452">
        <f t="shared" si="91"/>
        <v>0</v>
      </c>
      <c r="BA115" s="1452">
        <f t="shared" si="92"/>
        <v>0</v>
      </c>
      <c r="BB115" s="1452">
        <f t="shared" si="93"/>
        <v>0</v>
      </c>
      <c r="BC115" s="1452">
        <f t="shared" si="94"/>
        <v>0</v>
      </c>
      <c r="BD115" s="1452">
        <f t="shared" si="95"/>
        <v>0</v>
      </c>
      <c r="BE115" s="1452">
        <f t="shared" si="96"/>
        <v>0</v>
      </c>
      <c r="BF115" s="1452">
        <f t="shared" si="97"/>
        <v>0</v>
      </c>
      <c r="BG115" s="1452">
        <f t="shared" si="98"/>
        <v>0</v>
      </c>
      <c r="BH115" s="1452">
        <f t="shared" si="99"/>
        <v>0</v>
      </c>
      <c r="BI115" s="1452">
        <f t="shared" si="116"/>
        <v>0</v>
      </c>
      <c r="BJ115" s="1452" t="str">
        <f t="shared" si="100"/>
        <v/>
      </c>
      <c r="BK115" s="1452" t="str">
        <f t="shared" si="101"/>
        <v/>
      </c>
      <c r="BL115" s="1452" t="str">
        <f t="shared" si="102"/>
        <v/>
      </c>
      <c r="BM115" s="1452" t="str">
        <f t="shared" si="103"/>
        <v/>
      </c>
      <c r="BN115" s="1452" t="str">
        <f t="shared" ca="1" si="104"/>
        <v/>
      </c>
      <c r="BO115" s="1452" t="str">
        <f t="shared" si="117"/>
        <v/>
      </c>
      <c r="BP115" s="1452" t="str">
        <f t="shared" si="105"/>
        <v/>
      </c>
      <c r="BQ115" s="1452" t="str">
        <f t="shared" si="106"/>
        <v/>
      </c>
      <c r="BR115" s="1452" t="str">
        <f t="shared" si="107"/>
        <v/>
      </c>
      <c r="BS115" s="1452" t="str">
        <f t="shared" si="108"/>
        <v/>
      </c>
      <c r="BT115" s="1452" t="str">
        <f t="shared" si="109"/>
        <v/>
      </c>
      <c r="BU115" s="1452" t="str">
        <f t="shared" si="110"/>
        <v/>
      </c>
      <c r="BV115" s="1452" t="str">
        <f t="shared" si="111"/>
        <v/>
      </c>
      <c r="BW115" s="1558">
        <f t="shared" ca="1" si="118"/>
        <v>0</v>
      </c>
    </row>
    <row r="116" spans="1:75" s="9" customFormat="1" ht="12.5">
      <c r="A116" s="1483" t="str">
        <f t="shared" si="112"/>
        <v>Public Health Wales Trust</v>
      </c>
      <c r="B116" s="1583"/>
      <c r="C116" s="1583"/>
      <c r="D116" s="1583"/>
      <c r="E116" s="1581"/>
      <c r="F116" s="1436"/>
      <c r="G116" s="1547">
        <f t="shared" si="113"/>
        <v>0</v>
      </c>
      <c r="H116" s="1484"/>
      <c r="I116" s="1547">
        <f t="shared" si="114"/>
        <v>0</v>
      </c>
      <c r="J116" s="1485"/>
      <c r="K116" s="1485"/>
      <c r="L116" s="1436"/>
      <c r="M116" s="1439"/>
      <c r="N116" s="1439"/>
      <c r="O116" s="1485"/>
      <c r="P116" s="1486"/>
      <c r="Q116" s="1486"/>
      <c r="R116" s="1487"/>
      <c r="S116" s="1444"/>
      <c r="T116" s="1444"/>
      <c r="U116" s="1444"/>
      <c r="V116" s="1488"/>
      <c r="W116" s="1488"/>
      <c r="X116" s="1488"/>
      <c r="Y116" s="1488"/>
      <c r="Z116" s="1488"/>
      <c r="AA116" s="1488"/>
      <c r="AB116" s="1488"/>
      <c r="AC116" s="1488"/>
      <c r="AD116" s="1488"/>
      <c r="AE116" s="1488"/>
      <c r="AF116" s="1488"/>
      <c r="AG116" s="1488"/>
      <c r="AH116" s="1451">
        <f t="shared" si="86"/>
        <v>0</v>
      </c>
      <c r="AI116" s="1488"/>
      <c r="AJ116" s="1488"/>
      <c r="AK116" s="1488"/>
      <c r="AL116" s="1488"/>
      <c r="AM116" s="1488"/>
      <c r="AN116" s="1488"/>
      <c r="AO116" s="1488"/>
      <c r="AP116" s="1488"/>
      <c r="AQ116" s="1488"/>
      <c r="AR116" s="1488"/>
      <c r="AS116" s="1488"/>
      <c r="AT116" s="1542"/>
      <c r="AU116" s="1599">
        <f t="shared" si="87"/>
        <v>0</v>
      </c>
      <c r="AV116" s="1544">
        <f t="shared" si="115"/>
        <v>0</v>
      </c>
      <c r="AW116" s="1452">
        <f t="shared" si="88"/>
        <v>0</v>
      </c>
      <c r="AX116" s="1452">
        <f t="shared" si="89"/>
        <v>0</v>
      </c>
      <c r="AY116" s="1452">
        <f t="shared" si="90"/>
        <v>0</v>
      </c>
      <c r="AZ116" s="1452">
        <f t="shared" si="91"/>
        <v>0</v>
      </c>
      <c r="BA116" s="1452">
        <f t="shared" si="92"/>
        <v>0</v>
      </c>
      <c r="BB116" s="1452">
        <f t="shared" si="93"/>
        <v>0</v>
      </c>
      <c r="BC116" s="1452">
        <f t="shared" si="94"/>
        <v>0</v>
      </c>
      <c r="BD116" s="1452">
        <f t="shared" si="95"/>
        <v>0</v>
      </c>
      <c r="BE116" s="1452">
        <f t="shared" si="96"/>
        <v>0</v>
      </c>
      <c r="BF116" s="1452">
        <f t="shared" si="97"/>
        <v>0</v>
      </c>
      <c r="BG116" s="1452">
        <f t="shared" si="98"/>
        <v>0</v>
      </c>
      <c r="BH116" s="1452">
        <f t="shared" si="99"/>
        <v>0</v>
      </c>
      <c r="BI116" s="1452">
        <f t="shared" si="116"/>
        <v>0</v>
      </c>
      <c r="BJ116" s="1452" t="str">
        <f t="shared" si="100"/>
        <v/>
      </c>
      <c r="BK116" s="1452" t="str">
        <f t="shared" si="101"/>
        <v/>
      </c>
      <c r="BL116" s="1452" t="str">
        <f t="shared" si="102"/>
        <v/>
      </c>
      <c r="BM116" s="1452" t="str">
        <f t="shared" si="103"/>
        <v/>
      </c>
      <c r="BN116" s="1452" t="str">
        <f t="shared" ca="1" si="104"/>
        <v/>
      </c>
      <c r="BO116" s="1452" t="str">
        <f t="shared" si="117"/>
        <v/>
      </c>
      <c r="BP116" s="1452" t="str">
        <f t="shared" si="105"/>
        <v/>
      </c>
      <c r="BQ116" s="1452" t="str">
        <f t="shared" si="106"/>
        <v/>
      </c>
      <c r="BR116" s="1452" t="str">
        <f t="shared" si="107"/>
        <v/>
      </c>
      <c r="BS116" s="1452" t="str">
        <f t="shared" si="108"/>
        <v/>
      </c>
      <c r="BT116" s="1452" t="str">
        <f t="shared" si="109"/>
        <v/>
      </c>
      <c r="BU116" s="1452" t="str">
        <f t="shared" si="110"/>
        <v/>
      </c>
      <c r="BV116" s="1452" t="str">
        <f t="shared" si="111"/>
        <v/>
      </c>
      <c r="BW116" s="1558">
        <f t="shared" ca="1" si="118"/>
        <v>0</v>
      </c>
    </row>
    <row r="117" spans="1:75" s="9" customFormat="1" ht="12.5">
      <c r="A117" s="1483" t="str">
        <f t="shared" si="112"/>
        <v>Public Health Wales Trust</v>
      </c>
      <c r="B117" s="1583"/>
      <c r="C117" s="1583"/>
      <c r="D117" s="1583"/>
      <c r="E117" s="1581"/>
      <c r="F117" s="1436"/>
      <c r="G117" s="1547">
        <f t="shared" si="113"/>
        <v>0</v>
      </c>
      <c r="H117" s="1484"/>
      <c r="I117" s="1547">
        <f t="shared" si="114"/>
        <v>0</v>
      </c>
      <c r="J117" s="1485"/>
      <c r="K117" s="1485"/>
      <c r="L117" s="1436"/>
      <c r="M117" s="1439"/>
      <c r="N117" s="1439"/>
      <c r="O117" s="1485"/>
      <c r="P117" s="1486"/>
      <c r="Q117" s="1486"/>
      <c r="R117" s="1487"/>
      <c r="S117" s="1444"/>
      <c r="T117" s="1444"/>
      <c r="U117" s="1444"/>
      <c r="V117" s="1488"/>
      <c r="W117" s="1488"/>
      <c r="X117" s="1488"/>
      <c r="Y117" s="1488"/>
      <c r="Z117" s="1488"/>
      <c r="AA117" s="1488"/>
      <c r="AB117" s="1488"/>
      <c r="AC117" s="1488"/>
      <c r="AD117" s="1488"/>
      <c r="AE117" s="1488"/>
      <c r="AF117" s="1488"/>
      <c r="AG117" s="1488"/>
      <c r="AH117" s="1451">
        <f t="shared" si="86"/>
        <v>0</v>
      </c>
      <c r="AI117" s="1488"/>
      <c r="AJ117" s="1488"/>
      <c r="AK117" s="1488"/>
      <c r="AL117" s="1488"/>
      <c r="AM117" s="1488"/>
      <c r="AN117" s="1488"/>
      <c r="AO117" s="1488"/>
      <c r="AP117" s="1488"/>
      <c r="AQ117" s="1488"/>
      <c r="AR117" s="1488"/>
      <c r="AS117" s="1488"/>
      <c r="AT117" s="1542"/>
      <c r="AU117" s="1599">
        <f t="shared" si="87"/>
        <v>0</v>
      </c>
      <c r="AV117" s="1544">
        <f t="shared" si="115"/>
        <v>0</v>
      </c>
      <c r="AW117" s="1452">
        <f t="shared" si="88"/>
        <v>0</v>
      </c>
      <c r="AX117" s="1452">
        <f t="shared" si="89"/>
        <v>0</v>
      </c>
      <c r="AY117" s="1452">
        <f t="shared" si="90"/>
        <v>0</v>
      </c>
      <c r="AZ117" s="1452">
        <f t="shared" si="91"/>
        <v>0</v>
      </c>
      <c r="BA117" s="1452">
        <f t="shared" si="92"/>
        <v>0</v>
      </c>
      <c r="BB117" s="1452">
        <f t="shared" si="93"/>
        <v>0</v>
      </c>
      <c r="BC117" s="1452">
        <f t="shared" si="94"/>
        <v>0</v>
      </c>
      <c r="BD117" s="1452">
        <f t="shared" si="95"/>
        <v>0</v>
      </c>
      <c r="BE117" s="1452">
        <f t="shared" si="96"/>
        <v>0</v>
      </c>
      <c r="BF117" s="1452">
        <f t="shared" si="97"/>
        <v>0</v>
      </c>
      <c r="BG117" s="1452">
        <f t="shared" si="98"/>
        <v>0</v>
      </c>
      <c r="BH117" s="1452">
        <f t="shared" si="99"/>
        <v>0</v>
      </c>
      <c r="BI117" s="1452">
        <f t="shared" si="116"/>
        <v>0</v>
      </c>
      <c r="BJ117" s="1452" t="str">
        <f t="shared" si="100"/>
        <v/>
      </c>
      <c r="BK117" s="1452" t="str">
        <f t="shared" si="101"/>
        <v/>
      </c>
      <c r="BL117" s="1452" t="str">
        <f t="shared" si="102"/>
        <v/>
      </c>
      <c r="BM117" s="1452" t="str">
        <f t="shared" si="103"/>
        <v/>
      </c>
      <c r="BN117" s="1452" t="str">
        <f t="shared" ca="1" si="104"/>
        <v/>
      </c>
      <c r="BO117" s="1452" t="str">
        <f t="shared" si="117"/>
        <v/>
      </c>
      <c r="BP117" s="1452" t="str">
        <f t="shared" si="105"/>
        <v/>
      </c>
      <c r="BQ117" s="1452" t="str">
        <f t="shared" si="106"/>
        <v/>
      </c>
      <c r="BR117" s="1452" t="str">
        <f t="shared" si="107"/>
        <v/>
      </c>
      <c r="BS117" s="1452" t="str">
        <f t="shared" si="108"/>
        <v/>
      </c>
      <c r="BT117" s="1452" t="str">
        <f t="shared" si="109"/>
        <v/>
      </c>
      <c r="BU117" s="1452" t="str">
        <f t="shared" si="110"/>
        <v/>
      </c>
      <c r="BV117" s="1452" t="str">
        <f t="shared" si="111"/>
        <v/>
      </c>
      <c r="BW117" s="1558">
        <f t="shared" ca="1" si="118"/>
        <v>0</v>
      </c>
    </row>
    <row r="118" spans="1:75" s="9" customFormat="1" ht="12.5">
      <c r="A118" s="1483" t="str">
        <f t="shared" si="112"/>
        <v>Public Health Wales Trust</v>
      </c>
      <c r="B118" s="1583"/>
      <c r="C118" s="1583"/>
      <c r="D118" s="1583"/>
      <c r="E118" s="1581"/>
      <c r="F118" s="1436"/>
      <c r="G118" s="1547">
        <f t="shared" si="113"/>
        <v>0</v>
      </c>
      <c r="H118" s="1484"/>
      <c r="I118" s="1547">
        <f t="shared" si="114"/>
        <v>0</v>
      </c>
      <c r="J118" s="1485"/>
      <c r="K118" s="1485"/>
      <c r="L118" s="1436"/>
      <c r="M118" s="1439"/>
      <c r="N118" s="1439"/>
      <c r="O118" s="1485"/>
      <c r="P118" s="1486"/>
      <c r="Q118" s="1486"/>
      <c r="R118" s="1487"/>
      <c r="S118" s="1444"/>
      <c r="T118" s="1444"/>
      <c r="U118" s="1444"/>
      <c r="V118" s="1488"/>
      <c r="W118" s="1488"/>
      <c r="X118" s="1488"/>
      <c r="Y118" s="1488"/>
      <c r="Z118" s="1488"/>
      <c r="AA118" s="1488"/>
      <c r="AB118" s="1488"/>
      <c r="AC118" s="1488"/>
      <c r="AD118" s="1488"/>
      <c r="AE118" s="1488"/>
      <c r="AF118" s="1488"/>
      <c r="AG118" s="1488"/>
      <c r="AH118" s="1451">
        <f t="shared" si="86"/>
        <v>0</v>
      </c>
      <c r="AI118" s="1488"/>
      <c r="AJ118" s="1488"/>
      <c r="AK118" s="1488"/>
      <c r="AL118" s="1488"/>
      <c r="AM118" s="1488"/>
      <c r="AN118" s="1488"/>
      <c r="AO118" s="1488"/>
      <c r="AP118" s="1488"/>
      <c r="AQ118" s="1488"/>
      <c r="AR118" s="1488"/>
      <c r="AS118" s="1488"/>
      <c r="AT118" s="1542"/>
      <c r="AU118" s="1599">
        <f t="shared" si="87"/>
        <v>0</v>
      </c>
      <c r="AV118" s="1544">
        <f t="shared" si="115"/>
        <v>0</v>
      </c>
      <c r="AW118" s="1452">
        <f t="shared" si="88"/>
        <v>0</v>
      </c>
      <c r="AX118" s="1452">
        <f t="shared" si="89"/>
        <v>0</v>
      </c>
      <c r="AY118" s="1452">
        <f t="shared" si="90"/>
        <v>0</v>
      </c>
      <c r="AZ118" s="1452">
        <f t="shared" si="91"/>
        <v>0</v>
      </c>
      <c r="BA118" s="1452">
        <f t="shared" si="92"/>
        <v>0</v>
      </c>
      <c r="BB118" s="1452">
        <f t="shared" si="93"/>
        <v>0</v>
      </c>
      <c r="BC118" s="1452">
        <f t="shared" si="94"/>
        <v>0</v>
      </c>
      <c r="BD118" s="1452">
        <f t="shared" si="95"/>
        <v>0</v>
      </c>
      <c r="BE118" s="1452">
        <f t="shared" si="96"/>
        <v>0</v>
      </c>
      <c r="BF118" s="1452">
        <f t="shared" si="97"/>
        <v>0</v>
      </c>
      <c r="BG118" s="1452">
        <f t="shared" si="98"/>
        <v>0</v>
      </c>
      <c r="BH118" s="1452">
        <f t="shared" si="99"/>
        <v>0</v>
      </c>
      <c r="BI118" s="1452">
        <f t="shared" si="116"/>
        <v>0</v>
      </c>
      <c r="BJ118" s="1452" t="str">
        <f t="shared" si="100"/>
        <v/>
      </c>
      <c r="BK118" s="1452" t="str">
        <f t="shared" si="101"/>
        <v/>
      </c>
      <c r="BL118" s="1452" t="str">
        <f t="shared" si="102"/>
        <v/>
      </c>
      <c r="BM118" s="1452" t="str">
        <f t="shared" si="103"/>
        <v/>
      </c>
      <c r="BN118" s="1452" t="str">
        <f t="shared" ca="1" si="104"/>
        <v/>
      </c>
      <c r="BO118" s="1452" t="str">
        <f t="shared" si="117"/>
        <v/>
      </c>
      <c r="BP118" s="1452" t="str">
        <f t="shared" si="105"/>
        <v/>
      </c>
      <c r="BQ118" s="1452" t="str">
        <f t="shared" si="106"/>
        <v/>
      </c>
      <c r="BR118" s="1452" t="str">
        <f t="shared" si="107"/>
        <v/>
      </c>
      <c r="BS118" s="1452" t="str">
        <f t="shared" si="108"/>
        <v/>
      </c>
      <c r="BT118" s="1452" t="str">
        <f t="shared" si="109"/>
        <v/>
      </c>
      <c r="BU118" s="1452" t="str">
        <f t="shared" si="110"/>
        <v/>
      </c>
      <c r="BV118" s="1452" t="str">
        <f t="shared" si="111"/>
        <v/>
      </c>
      <c r="BW118" s="1558">
        <f t="shared" ca="1" si="118"/>
        <v>0</v>
      </c>
    </row>
    <row r="119" spans="1:75" s="9" customFormat="1" ht="12.5">
      <c r="A119" s="1483" t="str">
        <f t="shared" si="112"/>
        <v>Public Health Wales Trust</v>
      </c>
      <c r="B119" s="1583"/>
      <c r="C119" s="1583"/>
      <c r="D119" s="1583"/>
      <c r="E119" s="1581"/>
      <c r="F119" s="1436"/>
      <c r="G119" s="1547">
        <f t="shared" si="113"/>
        <v>0</v>
      </c>
      <c r="H119" s="1484"/>
      <c r="I119" s="1547">
        <f t="shared" si="114"/>
        <v>0</v>
      </c>
      <c r="J119" s="1485"/>
      <c r="K119" s="1485"/>
      <c r="L119" s="1436"/>
      <c r="M119" s="1439"/>
      <c r="N119" s="1439"/>
      <c r="O119" s="1485"/>
      <c r="P119" s="1486"/>
      <c r="Q119" s="1486"/>
      <c r="R119" s="1487"/>
      <c r="S119" s="1444"/>
      <c r="T119" s="1444"/>
      <c r="U119" s="1444"/>
      <c r="V119" s="1488"/>
      <c r="W119" s="1488"/>
      <c r="X119" s="1488"/>
      <c r="Y119" s="1488"/>
      <c r="Z119" s="1488"/>
      <c r="AA119" s="1488"/>
      <c r="AB119" s="1488"/>
      <c r="AC119" s="1488"/>
      <c r="AD119" s="1488"/>
      <c r="AE119" s="1488"/>
      <c r="AF119" s="1488"/>
      <c r="AG119" s="1488"/>
      <c r="AH119" s="1451">
        <f t="shared" si="86"/>
        <v>0</v>
      </c>
      <c r="AI119" s="1488"/>
      <c r="AJ119" s="1488"/>
      <c r="AK119" s="1488"/>
      <c r="AL119" s="1488"/>
      <c r="AM119" s="1488"/>
      <c r="AN119" s="1488"/>
      <c r="AO119" s="1488"/>
      <c r="AP119" s="1488"/>
      <c r="AQ119" s="1488"/>
      <c r="AR119" s="1488"/>
      <c r="AS119" s="1488"/>
      <c r="AT119" s="1542"/>
      <c r="AU119" s="1599">
        <f t="shared" si="87"/>
        <v>0</v>
      </c>
      <c r="AV119" s="1544">
        <f t="shared" si="115"/>
        <v>0</v>
      </c>
      <c r="AW119" s="1452">
        <f t="shared" si="88"/>
        <v>0</v>
      </c>
      <c r="AX119" s="1452">
        <f t="shared" si="89"/>
        <v>0</v>
      </c>
      <c r="AY119" s="1452">
        <f t="shared" si="90"/>
        <v>0</v>
      </c>
      <c r="AZ119" s="1452">
        <f t="shared" si="91"/>
        <v>0</v>
      </c>
      <c r="BA119" s="1452">
        <f t="shared" si="92"/>
        <v>0</v>
      </c>
      <c r="BB119" s="1452">
        <f t="shared" si="93"/>
        <v>0</v>
      </c>
      <c r="BC119" s="1452">
        <f t="shared" si="94"/>
        <v>0</v>
      </c>
      <c r="BD119" s="1452">
        <f t="shared" si="95"/>
        <v>0</v>
      </c>
      <c r="BE119" s="1452">
        <f t="shared" si="96"/>
        <v>0</v>
      </c>
      <c r="BF119" s="1452">
        <f t="shared" si="97"/>
        <v>0</v>
      </c>
      <c r="BG119" s="1452">
        <f t="shared" si="98"/>
        <v>0</v>
      </c>
      <c r="BH119" s="1452">
        <f t="shared" si="99"/>
        <v>0</v>
      </c>
      <c r="BI119" s="1452">
        <f t="shared" si="116"/>
        <v>0</v>
      </c>
      <c r="BJ119" s="1452" t="str">
        <f t="shared" si="100"/>
        <v/>
      </c>
      <c r="BK119" s="1452" t="str">
        <f t="shared" si="101"/>
        <v/>
      </c>
      <c r="BL119" s="1452" t="str">
        <f t="shared" si="102"/>
        <v/>
      </c>
      <c r="BM119" s="1452" t="str">
        <f t="shared" si="103"/>
        <v/>
      </c>
      <c r="BN119" s="1452" t="str">
        <f t="shared" ca="1" si="104"/>
        <v/>
      </c>
      <c r="BO119" s="1452" t="str">
        <f t="shared" si="117"/>
        <v/>
      </c>
      <c r="BP119" s="1452" t="str">
        <f t="shared" si="105"/>
        <v/>
      </c>
      <c r="BQ119" s="1452" t="str">
        <f t="shared" si="106"/>
        <v/>
      </c>
      <c r="BR119" s="1452" t="str">
        <f t="shared" si="107"/>
        <v/>
      </c>
      <c r="BS119" s="1452" t="str">
        <f t="shared" si="108"/>
        <v/>
      </c>
      <c r="BT119" s="1452" t="str">
        <f t="shared" si="109"/>
        <v/>
      </c>
      <c r="BU119" s="1452" t="str">
        <f t="shared" si="110"/>
        <v/>
      </c>
      <c r="BV119" s="1452" t="str">
        <f t="shared" si="111"/>
        <v/>
      </c>
      <c r="BW119" s="1558">
        <f t="shared" ca="1" si="118"/>
        <v>0</v>
      </c>
    </row>
    <row r="120" spans="1:75" s="9" customFormat="1" ht="12.5">
      <c r="A120" s="1483" t="str">
        <f t="shared" si="112"/>
        <v>Public Health Wales Trust</v>
      </c>
      <c r="B120" s="1583"/>
      <c r="C120" s="1583"/>
      <c r="D120" s="1583"/>
      <c r="E120" s="1581"/>
      <c r="F120" s="1436"/>
      <c r="G120" s="1547">
        <f t="shared" si="113"/>
        <v>0</v>
      </c>
      <c r="H120" s="1484"/>
      <c r="I120" s="1547">
        <f t="shared" si="114"/>
        <v>0</v>
      </c>
      <c r="J120" s="1485"/>
      <c r="K120" s="1485"/>
      <c r="L120" s="1436"/>
      <c r="M120" s="1439"/>
      <c r="N120" s="1439"/>
      <c r="O120" s="1485"/>
      <c r="P120" s="1486"/>
      <c r="Q120" s="1486"/>
      <c r="R120" s="1487"/>
      <c r="S120" s="1444"/>
      <c r="T120" s="1444"/>
      <c r="U120" s="1444"/>
      <c r="V120" s="1488"/>
      <c r="W120" s="1488"/>
      <c r="X120" s="1488"/>
      <c r="Y120" s="1488"/>
      <c r="Z120" s="1488"/>
      <c r="AA120" s="1488"/>
      <c r="AB120" s="1488"/>
      <c r="AC120" s="1488"/>
      <c r="AD120" s="1488"/>
      <c r="AE120" s="1488"/>
      <c r="AF120" s="1488"/>
      <c r="AG120" s="1488"/>
      <c r="AH120" s="1451">
        <f t="shared" si="86"/>
        <v>0</v>
      </c>
      <c r="AI120" s="1488"/>
      <c r="AJ120" s="1488"/>
      <c r="AK120" s="1488"/>
      <c r="AL120" s="1488"/>
      <c r="AM120" s="1488"/>
      <c r="AN120" s="1488"/>
      <c r="AO120" s="1488"/>
      <c r="AP120" s="1488"/>
      <c r="AQ120" s="1488"/>
      <c r="AR120" s="1488"/>
      <c r="AS120" s="1488"/>
      <c r="AT120" s="1542"/>
      <c r="AU120" s="1599">
        <f t="shared" si="87"/>
        <v>0</v>
      </c>
      <c r="AV120" s="1544">
        <f t="shared" si="115"/>
        <v>0</v>
      </c>
      <c r="AW120" s="1452">
        <f t="shared" si="88"/>
        <v>0</v>
      </c>
      <c r="AX120" s="1452">
        <f t="shared" si="89"/>
        <v>0</v>
      </c>
      <c r="AY120" s="1452">
        <f t="shared" si="90"/>
        <v>0</v>
      </c>
      <c r="AZ120" s="1452">
        <f t="shared" si="91"/>
        <v>0</v>
      </c>
      <c r="BA120" s="1452">
        <f t="shared" si="92"/>
        <v>0</v>
      </c>
      <c r="BB120" s="1452">
        <f t="shared" si="93"/>
        <v>0</v>
      </c>
      <c r="BC120" s="1452">
        <f t="shared" si="94"/>
        <v>0</v>
      </c>
      <c r="BD120" s="1452">
        <f t="shared" si="95"/>
        <v>0</v>
      </c>
      <c r="BE120" s="1452">
        <f t="shared" si="96"/>
        <v>0</v>
      </c>
      <c r="BF120" s="1452">
        <f t="shared" si="97"/>
        <v>0</v>
      </c>
      <c r="BG120" s="1452">
        <f t="shared" si="98"/>
        <v>0</v>
      </c>
      <c r="BH120" s="1452">
        <f t="shared" si="99"/>
        <v>0</v>
      </c>
      <c r="BI120" s="1452">
        <f t="shared" si="116"/>
        <v>0</v>
      </c>
      <c r="BJ120" s="1452" t="str">
        <f t="shared" si="100"/>
        <v/>
      </c>
      <c r="BK120" s="1452" t="str">
        <f t="shared" si="101"/>
        <v/>
      </c>
      <c r="BL120" s="1452" t="str">
        <f t="shared" si="102"/>
        <v/>
      </c>
      <c r="BM120" s="1452" t="str">
        <f t="shared" si="103"/>
        <v/>
      </c>
      <c r="BN120" s="1452" t="str">
        <f t="shared" ca="1" si="104"/>
        <v/>
      </c>
      <c r="BO120" s="1452" t="str">
        <f t="shared" si="117"/>
        <v/>
      </c>
      <c r="BP120" s="1452" t="str">
        <f t="shared" si="105"/>
        <v/>
      </c>
      <c r="BQ120" s="1452" t="str">
        <f t="shared" si="106"/>
        <v/>
      </c>
      <c r="BR120" s="1452" t="str">
        <f t="shared" si="107"/>
        <v/>
      </c>
      <c r="BS120" s="1452" t="str">
        <f t="shared" si="108"/>
        <v/>
      </c>
      <c r="BT120" s="1452" t="str">
        <f t="shared" si="109"/>
        <v/>
      </c>
      <c r="BU120" s="1452" t="str">
        <f t="shared" si="110"/>
        <v/>
      </c>
      <c r="BV120" s="1452" t="str">
        <f t="shared" si="111"/>
        <v/>
      </c>
      <c r="BW120" s="1558">
        <f t="shared" ca="1" si="118"/>
        <v>0</v>
      </c>
    </row>
    <row r="121" spans="1:75" s="9" customFormat="1" ht="12.5">
      <c r="A121" s="1483" t="str">
        <f t="shared" si="112"/>
        <v>Public Health Wales Trust</v>
      </c>
      <c r="B121" s="1583"/>
      <c r="C121" s="1583"/>
      <c r="D121" s="1583"/>
      <c r="E121" s="1581"/>
      <c r="F121" s="1436"/>
      <c r="G121" s="1547">
        <f t="shared" si="113"/>
        <v>0</v>
      </c>
      <c r="H121" s="1484"/>
      <c r="I121" s="1547">
        <f t="shared" si="114"/>
        <v>0</v>
      </c>
      <c r="J121" s="1485"/>
      <c r="K121" s="1485"/>
      <c r="L121" s="1436"/>
      <c r="M121" s="1439"/>
      <c r="N121" s="1439"/>
      <c r="O121" s="1485"/>
      <c r="P121" s="1486"/>
      <c r="Q121" s="1486"/>
      <c r="R121" s="1487"/>
      <c r="S121" s="1444"/>
      <c r="T121" s="1444"/>
      <c r="U121" s="1444"/>
      <c r="V121" s="1488"/>
      <c r="W121" s="1488"/>
      <c r="X121" s="1488"/>
      <c r="Y121" s="1488"/>
      <c r="Z121" s="1488"/>
      <c r="AA121" s="1488"/>
      <c r="AB121" s="1488"/>
      <c r="AC121" s="1488"/>
      <c r="AD121" s="1488"/>
      <c r="AE121" s="1488"/>
      <c r="AF121" s="1488"/>
      <c r="AG121" s="1488"/>
      <c r="AH121" s="1451">
        <f t="shared" si="86"/>
        <v>0</v>
      </c>
      <c r="AI121" s="1488"/>
      <c r="AJ121" s="1488"/>
      <c r="AK121" s="1488"/>
      <c r="AL121" s="1488"/>
      <c r="AM121" s="1488"/>
      <c r="AN121" s="1488"/>
      <c r="AO121" s="1488"/>
      <c r="AP121" s="1488"/>
      <c r="AQ121" s="1488"/>
      <c r="AR121" s="1488"/>
      <c r="AS121" s="1488"/>
      <c r="AT121" s="1542"/>
      <c r="AU121" s="1599">
        <f t="shared" si="87"/>
        <v>0</v>
      </c>
      <c r="AV121" s="1544">
        <f t="shared" si="115"/>
        <v>0</v>
      </c>
      <c r="AW121" s="1452">
        <f t="shared" si="88"/>
        <v>0</v>
      </c>
      <c r="AX121" s="1452">
        <f t="shared" si="89"/>
        <v>0</v>
      </c>
      <c r="AY121" s="1452">
        <f t="shared" si="90"/>
        <v>0</v>
      </c>
      <c r="AZ121" s="1452">
        <f t="shared" si="91"/>
        <v>0</v>
      </c>
      <c r="BA121" s="1452">
        <f t="shared" si="92"/>
        <v>0</v>
      </c>
      <c r="BB121" s="1452">
        <f t="shared" si="93"/>
        <v>0</v>
      </c>
      <c r="BC121" s="1452">
        <f t="shared" si="94"/>
        <v>0</v>
      </c>
      <c r="BD121" s="1452">
        <f t="shared" si="95"/>
        <v>0</v>
      </c>
      <c r="BE121" s="1452">
        <f t="shared" si="96"/>
        <v>0</v>
      </c>
      <c r="BF121" s="1452">
        <f t="shared" si="97"/>
        <v>0</v>
      </c>
      <c r="BG121" s="1452">
        <f t="shared" si="98"/>
        <v>0</v>
      </c>
      <c r="BH121" s="1452">
        <f t="shared" si="99"/>
        <v>0</v>
      </c>
      <c r="BI121" s="1452">
        <f t="shared" si="116"/>
        <v>0</v>
      </c>
      <c r="BJ121" s="1452" t="str">
        <f t="shared" si="100"/>
        <v/>
      </c>
      <c r="BK121" s="1452" t="str">
        <f t="shared" si="101"/>
        <v/>
      </c>
      <c r="BL121" s="1452" t="str">
        <f t="shared" si="102"/>
        <v/>
      </c>
      <c r="BM121" s="1452" t="str">
        <f t="shared" si="103"/>
        <v/>
      </c>
      <c r="BN121" s="1452" t="str">
        <f t="shared" ca="1" si="104"/>
        <v/>
      </c>
      <c r="BO121" s="1452" t="str">
        <f t="shared" si="117"/>
        <v/>
      </c>
      <c r="BP121" s="1452" t="str">
        <f t="shared" si="105"/>
        <v/>
      </c>
      <c r="BQ121" s="1452" t="str">
        <f t="shared" si="106"/>
        <v/>
      </c>
      <c r="BR121" s="1452" t="str">
        <f t="shared" si="107"/>
        <v/>
      </c>
      <c r="BS121" s="1452" t="str">
        <f t="shared" si="108"/>
        <v/>
      </c>
      <c r="BT121" s="1452" t="str">
        <f t="shared" si="109"/>
        <v/>
      </c>
      <c r="BU121" s="1452" t="str">
        <f t="shared" si="110"/>
        <v/>
      </c>
      <c r="BV121" s="1452" t="str">
        <f t="shared" si="111"/>
        <v/>
      </c>
      <c r="BW121" s="1558">
        <f t="shared" ca="1" si="118"/>
        <v>0</v>
      </c>
    </row>
    <row r="122" spans="1:75" s="9" customFormat="1" ht="12.5">
      <c r="A122" s="1483" t="str">
        <f t="shared" si="112"/>
        <v>Public Health Wales Trust</v>
      </c>
      <c r="B122" s="1583"/>
      <c r="C122" s="1583"/>
      <c r="D122" s="1583"/>
      <c r="E122" s="1581"/>
      <c r="F122" s="1436"/>
      <c r="G122" s="1547">
        <f t="shared" si="113"/>
        <v>0</v>
      </c>
      <c r="H122" s="1484"/>
      <c r="I122" s="1547">
        <f t="shared" si="114"/>
        <v>0</v>
      </c>
      <c r="J122" s="1485"/>
      <c r="K122" s="1485"/>
      <c r="L122" s="1436"/>
      <c r="M122" s="1439"/>
      <c r="N122" s="1439"/>
      <c r="O122" s="1485"/>
      <c r="P122" s="1486"/>
      <c r="Q122" s="1486"/>
      <c r="R122" s="1487"/>
      <c r="S122" s="1444"/>
      <c r="T122" s="1444"/>
      <c r="U122" s="1444"/>
      <c r="V122" s="1488"/>
      <c r="W122" s="1488"/>
      <c r="X122" s="1488"/>
      <c r="Y122" s="1488"/>
      <c r="Z122" s="1488"/>
      <c r="AA122" s="1488"/>
      <c r="AB122" s="1488"/>
      <c r="AC122" s="1488"/>
      <c r="AD122" s="1488"/>
      <c r="AE122" s="1488"/>
      <c r="AF122" s="1488"/>
      <c r="AG122" s="1488"/>
      <c r="AH122" s="1451">
        <f t="shared" si="86"/>
        <v>0</v>
      </c>
      <c r="AI122" s="1488"/>
      <c r="AJ122" s="1488"/>
      <c r="AK122" s="1488"/>
      <c r="AL122" s="1488"/>
      <c r="AM122" s="1488"/>
      <c r="AN122" s="1488"/>
      <c r="AO122" s="1488"/>
      <c r="AP122" s="1488"/>
      <c r="AQ122" s="1488"/>
      <c r="AR122" s="1488"/>
      <c r="AS122" s="1488"/>
      <c r="AT122" s="1542"/>
      <c r="AU122" s="1599">
        <f t="shared" si="87"/>
        <v>0</v>
      </c>
      <c r="AV122" s="1544">
        <f t="shared" si="115"/>
        <v>0</v>
      </c>
      <c r="AW122" s="1452">
        <f t="shared" si="88"/>
        <v>0</v>
      </c>
      <c r="AX122" s="1452">
        <f t="shared" si="89"/>
        <v>0</v>
      </c>
      <c r="AY122" s="1452">
        <f t="shared" si="90"/>
        <v>0</v>
      </c>
      <c r="AZ122" s="1452">
        <f t="shared" si="91"/>
        <v>0</v>
      </c>
      <c r="BA122" s="1452">
        <f t="shared" si="92"/>
        <v>0</v>
      </c>
      <c r="BB122" s="1452">
        <f t="shared" si="93"/>
        <v>0</v>
      </c>
      <c r="BC122" s="1452">
        <f t="shared" si="94"/>
        <v>0</v>
      </c>
      <c r="BD122" s="1452">
        <f t="shared" si="95"/>
        <v>0</v>
      </c>
      <c r="BE122" s="1452">
        <f t="shared" si="96"/>
        <v>0</v>
      </c>
      <c r="BF122" s="1452">
        <f t="shared" si="97"/>
        <v>0</v>
      </c>
      <c r="BG122" s="1452">
        <f t="shared" si="98"/>
        <v>0</v>
      </c>
      <c r="BH122" s="1452">
        <f t="shared" si="99"/>
        <v>0</v>
      </c>
      <c r="BI122" s="1452">
        <f t="shared" si="116"/>
        <v>0</v>
      </c>
      <c r="BJ122" s="1452" t="str">
        <f t="shared" si="100"/>
        <v/>
      </c>
      <c r="BK122" s="1452" t="str">
        <f t="shared" si="101"/>
        <v/>
      </c>
      <c r="BL122" s="1452" t="str">
        <f t="shared" si="102"/>
        <v/>
      </c>
      <c r="BM122" s="1452" t="str">
        <f t="shared" si="103"/>
        <v/>
      </c>
      <c r="BN122" s="1452" t="str">
        <f t="shared" ca="1" si="104"/>
        <v/>
      </c>
      <c r="BO122" s="1452" t="str">
        <f t="shared" si="117"/>
        <v/>
      </c>
      <c r="BP122" s="1452" t="str">
        <f t="shared" si="105"/>
        <v/>
      </c>
      <c r="BQ122" s="1452" t="str">
        <f t="shared" si="106"/>
        <v/>
      </c>
      <c r="BR122" s="1452" t="str">
        <f t="shared" si="107"/>
        <v/>
      </c>
      <c r="BS122" s="1452" t="str">
        <f t="shared" si="108"/>
        <v/>
      </c>
      <c r="BT122" s="1452" t="str">
        <f t="shared" si="109"/>
        <v/>
      </c>
      <c r="BU122" s="1452" t="str">
        <f t="shared" si="110"/>
        <v/>
      </c>
      <c r="BV122" s="1452" t="str">
        <f t="shared" si="111"/>
        <v/>
      </c>
      <c r="BW122" s="1558">
        <f t="shared" ca="1" si="118"/>
        <v>0</v>
      </c>
    </row>
    <row r="123" spans="1:75" s="9" customFormat="1" ht="12.5">
      <c r="A123" s="1483" t="str">
        <f t="shared" si="112"/>
        <v>Public Health Wales Trust</v>
      </c>
      <c r="B123" s="1583"/>
      <c r="C123" s="1583"/>
      <c r="D123" s="1583"/>
      <c r="E123" s="1581"/>
      <c r="F123" s="1436"/>
      <c r="G123" s="1547">
        <f t="shared" si="113"/>
        <v>0</v>
      </c>
      <c r="H123" s="1484"/>
      <c r="I123" s="1547">
        <f t="shared" si="114"/>
        <v>0</v>
      </c>
      <c r="J123" s="1485"/>
      <c r="K123" s="1485"/>
      <c r="L123" s="1436"/>
      <c r="M123" s="1439"/>
      <c r="N123" s="1439"/>
      <c r="O123" s="1485"/>
      <c r="P123" s="1486"/>
      <c r="Q123" s="1486"/>
      <c r="R123" s="1487"/>
      <c r="S123" s="1444"/>
      <c r="T123" s="1444"/>
      <c r="U123" s="1444"/>
      <c r="V123" s="1488"/>
      <c r="W123" s="1488"/>
      <c r="X123" s="1488"/>
      <c r="Y123" s="1488"/>
      <c r="Z123" s="1488"/>
      <c r="AA123" s="1488"/>
      <c r="AB123" s="1488"/>
      <c r="AC123" s="1488"/>
      <c r="AD123" s="1488"/>
      <c r="AE123" s="1488"/>
      <c r="AF123" s="1488"/>
      <c r="AG123" s="1488"/>
      <c r="AH123" s="1451">
        <f t="shared" si="86"/>
        <v>0</v>
      </c>
      <c r="AI123" s="1488"/>
      <c r="AJ123" s="1488"/>
      <c r="AK123" s="1488"/>
      <c r="AL123" s="1488"/>
      <c r="AM123" s="1488"/>
      <c r="AN123" s="1488"/>
      <c r="AO123" s="1488"/>
      <c r="AP123" s="1488"/>
      <c r="AQ123" s="1488"/>
      <c r="AR123" s="1488"/>
      <c r="AS123" s="1488"/>
      <c r="AT123" s="1542"/>
      <c r="AU123" s="1599">
        <f t="shared" si="87"/>
        <v>0</v>
      </c>
      <c r="AV123" s="1544">
        <f t="shared" si="115"/>
        <v>0</v>
      </c>
      <c r="AW123" s="1452">
        <f t="shared" si="88"/>
        <v>0</v>
      </c>
      <c r="AX123" s="1452">
        <f t="shared" si="89"/>
        <v>0</v>
      </c>
      <c r="AY123" s="1452">
        <f t="shared" si="90"/>
        <v>0</v>
      </c>
      <c r="AZ123" s="1452">
        <f t="shared" si="91"/>
        <v>0</v>
      </c>
      <c r="BA123" s="1452">
        <f t="shared" si="92"/>
        <v>0</v>
      </c>
      <c r="BB123" s="1452">
        <f t="shared" si="93"/>
        <v>0</v>
      </c>
      <c r="BC123" s="1452">
        <f t="shared" si="94"/>
        <v>0</v>
      </c>
      <c r="BD123" s="1452">
        <f t="shared" si="95"/>
        <v>0</v>
      </c>
      <c r="BE123" s="1452">
        <f t="shared" si="96"/>
        <v>0</v>
      </c>
      <c r="BF123" s="1452">
        <f t="shared" si="97"/>
        <v>0</v>
      </c>
      <c r="BG123" s="1452">
        <f t="shared" si="98"/>
        <v>0</v>
      </c>
      <c r="BH123" s="1452">
        <f t="shared" si="99"/>
        <v>0</v>
      </c>
      <c r="BI123" s="1452">
        <f t="shared" si="116"/>
        <v>0</v>
      </c>
      <c r="BJ123" s="1452" t="str">
        <f t="shared" si="100"/>
        <v/>
      </c>
      <c r="BK123" s="1452" t="str">
        <f t="shared" si="101"/>
        <v/>
      </c>
      <c r="BL123" s="1452" t="str">
        <f t="shared" si="102"/>
        <v/>
      </c>
      <c r="BM123" s="1452" t="str">
        <f t="shared" si="103"/>
        <v/>
      </c>
      <c r="BN123" s="1452" t="str">
        <f t="shared" ca="1" si="104"/>
        <v/>
      </c>
      <c r="BO123" s="1452" t="str">
        <f t="shared" si="117"/>
        <v/>
      </c>
      <c r="BP123" s="1452" t="str">
        <f t="shared" si="105"/>
        <v/>
      </c>
      <c r="BQ123" s="1452" t="str">
        <f t="shared" si="106"/>
        <v/>
      </c>
      <c r="BR123" s="1452" t="str">
        <f t="shared" si="107"/>
        <v/>
      </c>
      <c r="BS123" s="1452" t="str">
        <f t="shared" si="108"/>
        <v/>
      </c>
      <c r="BT123" s="1452" t="str">
        <f t="shared" si="109"/>
        <v/>
      </c>
      <c r="BU123" s="1452" t="str">
        <f t="shared" si="110"/>
        <v/>
      </c>
      <c r="BV123" s="1452" t="str">
        <f t="shared" si="111"/>
        <v/>
      </c>
      <c r="BW123" s="1558">
        <f t="shared" ca="1" si="118"/>
        <v>0</v>
      </c>
    </row>
    <row r="124" spans="1:75" s="9" customFormat="1" ht="12.5">
      <c r="A124" s="1483" t="str">
        <f t="shared" si="112"/>
        <v>Public Health Wales Trust</v>
      </c>
      <c r="B124" s="1583"/>
      <c r="C124" s="1583"/>
      <c r="D124" s="1583"/>
      <c r="E124" s="1581"/>
      <c r="F124" s="1436"/>
      <c r="G124" s="1547">
        <f t="shared" si="113"/>
        <v>0</v>
      </c>
      <c r="H124" s="1484"/>
      <c r="I124" s="1547">
        <f t="shared" si="114"/>
        <v>0</v>
      </c>
      <c r="J124" s="1485"/>
      <c r="K124" s="1485"/>
      <c r="L124" s="1436"/>
      <c r="M124" s="1439"/>
      <c r="N124" s="1439"/>
      <c r="O124" s="1485"/>
      <c r="P124" s="1486"/>
      <c r="Q124" s="1486"/>
      <c r="R124" s="1487"/>
      <c r="S124" s="1444"/>
      <c r="T124" s="1444"/>
      <c r="U124" s="1444"/>
      <c r="V124" s="1488"/>
      <c r="W124" s="1488"/>
      <c r="X124" s="1488"/>
      <c r="Y124" s="1488"/>
      <c r="Z124" s="1488"/>
      <c r="AA124" s="1488"/>
      <c r="AB124" s="1488"/>
      <c r="AC124" s="1488"/>
      <c r="AD124" s="1488"/>
      <c r="AE124" s="1488"/>
      <c r="AF124" s="1488"/>
      <c r="AG124" s="1488"/>
      <c r="AH124" s="1451">
        <f t="shared" si="86"/>
        <v>0</v>
      </c>
      <c r="AI124" s="1488"/>
      <c r="AJ124" s="1488"/>
      <c r="AK124" s="1488"/>
      <c r="AL124" s="1488"/>
      <c r="AM124" s="1488"/>
      <c r="AN124" s="1488"/>
      <c r="AO124" s="1488"/>
      <c r="AP124" s="1488"/>
      <c r="AQ124" s="1488"/>
      <c r="AR124" s="1488"/>
      <c r="AS124" s="1488"/>
      <c r="AT124" s="1542"/>
      <c r="AU124" s="1599">
        <f t="shared" si="87"/>
        <v>0</v>
      </c>
      <c r="AV124" s="1544">
        <f t="shared" si="115"/>
        <v>0</v>
      </c>
      <c r="AW124" s="1452">
        <f t="shared" si="88"/>
        <v>0</v>
      </c>
      <c r="AX124" s="1452">
        <f t="shared" si="89"/>
        <v>0</v>
      </c>
      <c r="AY124" s="1452">
        <f t="shared" si="90"/>
        <v>0</v>
      </c>
      <c r="AZ124" s="1452">
        <f t="shared" si="91"/>
        <v>0</v>
      </c>
      <c r="BA124" s="1452">
        <f t="shared" si="92"/>
        <v>0</v>
      </c>
      <c r="BB124" s="1452">
        <f t="shared" si="93"/>
        <v>0</v>
      </c>
      <c r="BC124" s="1452">
        <f t="shared" si="94"/>
        <v>0</v>
      </c>
      <c r="BD124" s="1452">
        <f t="shared" si="95"/>
        <v>0</v>
      </c>
      <c r="BE124" s="1452">
        <f t="shared" si="96"/>
        <v>0</v>
      </c>
      <c r="BF124" s="1452">
        <f t="shared" si="97"/>
        <v>0</v>
      </c>
      <c r="BG124" s="1452">
        <f t="shared" si="98"/>
        <v>0</v>
      </c>
      <c r="BH124" s="1452">
        <f t="shared" si="99"/>
        <v>0</v>
      </c>
      <c r="BI124" s="1452">
        <f t="shared" si="116"/>
        <v>0</v>
      </c>
      <c r="BJ124" s="1452" t="str">
        <f t="shared" si="100"/>
        <v/>
      </c>
      <c r="BK124" s="1452" t="str">
        <f t="shared" si="101"/>
        <v/>
      </c>
      <c r="BL124" s="1452" t="str">
        <f t="shared" si="102"/>
        <v/>
      </c>
      <c r="BM124" s="1452" t="str">
        <f t="shared" si="103"/>
        <v/>
      </c>
      <c r="BN124" s="1452" t="str">
        <f t="shared" ca="1" si="104"/>
        <v/>
      </c>
      <c r="BO124" s="1452" t="str">
        <f t="shared" si="117"/>
        <v/>
      </c>
      <c r="BP124" s="1452" t="str">
        <f t="shared" si="105"/>
        <v/>
      </c>
      <c r="BQ124" s="1452" t="str">
        <f t="shared" si="106"/>
        <v/>
      </c>
      <c r="BR124" s="1452" t="str">
        <f t="shared" si="107"/>
        <v/>
      </c>
      <c r="BS124" s="1452" t="str">
        <f t="shared" si="108"/>
        <v/>
      </c>
      <c r="BT124" s="1452" t="str">
        <f t="shared" si="109"/>
        <v/>
      </c>
      <c r="BU124" s="1452" t="str">
        <f t="shared" si="110"/>
        <v/>
      </c>
      <c r="BV124" s="1452" t="str">
        <f t="shared" si="111"/>
        <v/>
      </c>
      <c r="BW124" s="1558">
        <f t="shared" ca="1" si="118"/>
        <v>0</v>
      </c>
    </row>
    <row r="125" spans="1:75" s="9" customFormat="1" ht="12.5">
      <c r="A125" s="1483" t="str">
        <f t="shared" si="112"/>
        <v>Public Health Wales Trust</v>
      </c>
      <c r="B125" s="1583"/>
      <c r="C125" s="1583"/>
      <c r="D125" s="1583"/>
      <c r="E125" s="1581"/>
      <c r="F125" s="1436"/>
      <c r="G125" s="1547">
        <f t="shared" si="113"/>
        <v>0</v>
      </c>
      <c r="H125" s="1484"/>
      <c r="I125" s="1547">
        <f t="shared" si="114"/>
        <v>0</v>
      </c>
      <c r="J125" s="1485"/>
      <c r="K125" s="1485"/>
      <c r="L125" s="1436"/>
      <c r="M125" s="1439"/>
      <c r="N125" s="1439"/>
      <c r="O125" s="1485"/>
      <c r="P125" s="1486"/>
      <c r="Q125" s="1486"/>
      <c r="R125" s="1487"/>
      <c r="S125" s="1444"/>
      <c r="T125" s="1444"/>
      <c r="U125" s="1444"/>
      <c r="V125" s="1488"/>
      <c r="W125" s="1488"/>
      <c r="X125" s="1488"/>
      <c r="Y125" s="1488"/>
      <c r="Z125" s="1488"/>
      <c r="AA125" s="1488"/>
      <c r="AB125" s="1488"/>
      <c r="AC125" s="1488"/>
      <c r="AD125" s="1488"/>
      <c r="AE125" s="1488"/>
      <c r="AF125" s="1488"/>
      <c r="AG125" s="1488"/>
      <c r="AH125" s="1451">
        <f t="shared" si="86"/>
        <v>0</v>
      </c>
      <c r="AI125" s="1488"/>
      <c r="AJ125" s="1488"/>
      <c r="AK125" s="1488"/>
      <c r="AL125" s="1488"/>
      <c r="AM125" s="1488"/>
      <c r="AN125" s="1488"/>
      <c r="AO125" s="1488"/>
      <c r="AP125" s="1488"/>
      <c r="AQ125" s="1488"/>
      <c r="AR125" s="1488"/>
      <c r="AS125" s="1488"/>
      <c r="AT125" s="1542"/>
      <c r="AU125" s="1599">
        <f t="shared" si="87"/>
        <v>0</v>
      </c>
      <c r="AV125" s="1544">
        <f t="shared" si="115"/>
        <v>0</v>
      </c>
      <c r="AW125" s="1452">
        <f t="shared" si="88"/>
        <v>0</v>
      </c>
      <c r="AX125" s="1452">
        <f t="shared" si="89"/>
        <v>0</v>
      </c>
      <c r="AY125" s="1452">
        <f t="shared" si="90"/>
        <v>0</v>
      </c>
      <c r="AZ125" s="1452">
        <f t="shared" si="91"/>
        <v>0</v>
      </c>
      <c r="BA125" s="1452">
        <f t="shared" si="92"/>
        <v>0</v>
      </c>
      <c r="BB125" s="1452">
        <f t="shared" si="93"/>
        <v>0</v>
      </c>
      <c r="BC125" s="1452">
        <f t="shared" si="94"/>
        <v>0</v>
      </c>
      <c r="BD125" s="1452">
        <f t="shared" si="95"/>
        <v>0</v>
      </c>
      <c r="BE125" s="1452">
        <f t="shared" si="96"/>
        <v>0</v>
      </c>
      <c r="BF125" s="1452">
        <f t="shared" si="97"/>
        <v>0</v>
      </c>
      <c r="BG125" s="1452">
        <f t="shared" si="98"/>
        <v>0</v>
      </c>
      <c r="BH125" s="1452">
        <f t="shared" si="99"/>
        <v>0</v>
      </c>
      <c r="BI125" s="1452">
        <f t="shared" si="116"/>
        <v>0</v>
      </c>
      <c r="BJ125" s="1452" t="str">
        <f t="shared" si="100"/>
        <v/>
      </c>
      <c r="BK125" s="1452" t="str">
        <f t="shared" si="101"/>
        <v/>
      </c>
      <c r="BL125" s="1452" t="str">
        <f t="shared" si="102"/>
        <v/>
      </c>
      <c r="BM125" s="1452" t="str">
        <f t="shared" si="103"/>
        <v/>
      </c>
      <c r="BN125" s="1452" t="str">
        <f t="shared" ca="1" si="104"/>
        <v/>
      </c>
      <c r="BO125" s="1452" t="str">
        <f t="shared" si="117"/>
        <v/>
      </c>
      <c r="BP125" s="1452" t="str">
        <f t="shared" si="105"/>
        <v/>
      </c>
      <c r="BQ125" s="1452" t="str">
        <f t="shared" si="106"/>
        <v/>
      </c>
      <c r="BR125" s="1452" t="str">
        <f t="shared" si="107"/>
        <v/>
      </c>
      <c r="BS125" s="1452" t="str">
        <f t="shared" si="108"/>
        <v/>
      </c>
      <c r="BT125" s="1452" t="str">
        <f t="shared" si="109"/>
        <v/>
      </c>
      <c r="BU125" s="1452" t="str">
        <f t="shared" si="110"/>
        <v/>
      </c>
      <c r="BV125" s="1452" t="str">
        <f t="shared" si="111"/>
        <v/>
      </c>
      <c r="BW125" s="1558">
        <f t="shared" ca="1" si="118"/>
        <v>0</v>
      </c>
    </row>
    <row r="126" spans="1:75" s="9" customFormat="1" ht="12.5">
      <c r="A126" s="1483" t="str">
        <f t="shared" si="112"/>
        <v>Public Health Wales Trust</v>
      </c>
      <c r="B126" s="1583"/>
      <c r="C126" s="1583"/>
      <c r="D126" s="1583"/>
      <c r="E126" s="1581"/>
      <c r="F126" s="1436"/>
      <c r="G126" s="1547">
        <f t="shared" si="113"/>
        <v>0</v>
      </c>
      <c r="H126" s="1484"/>
      <c r="I126" s="1547">
        <f t="shared" si="114"/>
        <v>0</v>
      </c>
      <c r="J126" s="1485"/>
      <c r="K126" s="1485"/>
      <c r="L126" s="1436"/>
      <c r="M126" s="1439"/>
      <c r="N126" s="1439"/>
      <c r="O126" s="1485"/>
      <c r="P126" s="1486"/>
      <c r="Q126" s="1486"/>
      <c r="R126" s="1487"/>
      <c r="S126" s="1444"/>
      <c r="T126" s="1444"/>
      <c r="U126" s="1444"/>
      <c r="V126" s="1488"/>
      <c r="W126" s="1488"/>
      <c r="X126" s="1488"/>
      <c r="Y126" s="1488"/>
      <c r="Z126" s="1488"/>
      <c r="AA126" s="1488"/>
      <c r="AB126" s="1488"/>
      <c r="AC126" s="1488"/>
      <c r="AD126" s="1488"/>
      <c r="AE126" s="1488"/>
      <c r="AF126" s="1488"/>
      <c r="AG126" s="1488"/>
      <c r="AH126" s="1451">
        <f t="shared" si="86"/>
        <v>0</v>
      </c>
      <c r="AI126" s="1488"/>
      <c r="AJ126" s="1488"/>
      <c r="AK126" s="1488"/>
      <c r="AL126" s="1488"/>
      <c r="AM126" s="1488"/>
      <c r="AN126" s="1488"/>
      <c r="AO126" s="1488"/>
      <c r="AP126" s="1488"/>
      <c r="AQ126" s="1488"/>
      <c r="AR126" s="1488"/>
      <c r="AS126" s="1488"/>
      <c r="AT126" s="1542"/>
      <c r="AU126" s="1599">
        <f t="shared" si="87"/>
        <v>0</v>
      </c>
      <c r="AV126" s="1544">
        <f t="shared" si="115"/>
        <v>0</v>
      </c>
      <c r="AW126" s="1452">
        <f t="shared" si="88"/>
        <v>0</v>
      </c>
      <c r="AX126" s="1452">
        <f t="shared" si="89"/>
        <v>0</v>
      </c>
      <c r="AY126" s="1452">
        <f t="shared" si="90"/>
        <v>0</v>
      </c>
      <c r="AZ126" s="1452">
        <f t="shared" si="91"/>
        <v>0</v>
      </c>
      <c r="BA126" s="1452">
        <f t="shared" si="92"/>
        <v>0</v>
      </c>
      <c r="BB126" s="1452">
        <f t="shared" si="93"/>
        <v>0</v>
      </c>
      <c r="BC126" s="1452">
        <f t="shared" si="94"/>
        <v>0</v>
      </c>
      <c r="BD126" s="1452">
        <f t="shared" si="95"/>
        <v>0</v>
      </c>
      <c r="BE126" s="1452">
        <f t="shared" si="96"/>
        <v>0</v>
      </c>
      <c r="BF126" s="1452">
        <f t="shared" si="97"/>
        <v>0</v>
      </c>
      <c r="BG126" s="1452">
        <f t="shared" si="98"/>
        <v>0</v>
      </c>
      <c r="BH126" s="1452">
        <f t="shared" si="99"/>
        <v>0</v>
      </c>
      <c r="BI126" s="1452">
        <f t="shared" si="116"/>
        <v>0</v>
      </c>
      <c r="BJ126" s="1452" t="str">
        <f t="shared" si="100"/>
        <v/>
      </c>
      <c r="BK126" s="1452" t="str">
        <f t="shared" si="101"/>
        <v/>
      </c>
      <c r="BL126" s="1452" t="str">
        <f t="shared" si="102"/>
        <v/>
      </c>
      <c r="BM126" s="1452" t="str">
        <f t="shared" si="103"/>
        <v/>
      </c>
      <c r="BN126" s="1452" t="str">
        <f t="shared" ca="1" si="104"/>
        <v/>
      </c>
      <c r="BO126" s="1452" t="str">
        <f t="shared" si="117"/>
        <v/>
      </c>
      <c r="BP126" s="1452" t="str">
        <f t="shared" si="105"/>
        <v/>
      </c>
      <c r="BQ126" s="1452" t="str">
        <f t="shared" si="106"/>
        <v/>
      </c>
      <c r="BR126" s="1452" t="str">
        <f t="shared" si="107"/>
        <v/>
      </c>
      <c r="BS126" s="1452" t="str">
        <f t="shared" si="108"/>
        <v/>
      </c>
      <c r="BT126" s="1452" t="str">
        <f t="shared" si="109"/>
        <v/>
      </c>
      <c r="BU126" s="1452" t="str">
        <f t="shared" si="110"/>
        <v/>
      </c>
      <c r="BV126" s="1452" t="str">
        <f t="shared" si="111"/>
        <v/>
      </c>
      <c r="BW126" s="1558">
        <f t="shared" ca="1" si="118"/>
        <v>0</v>
      </c>
    </row>
    <row r="127" spans="1:75" s="9" customFormat="1" ht="12.5">
      <c r="A127" s="1483" t="str">
        <f t="shared" si="112"/>
        <v>Public Health Wales Trust</v>
      </c>
      <c r="B127" s="1583"/>
      <c r="C127" s="1583"/>
      <c r="D127" s="1583"/>
      <c r="E127" s="1581"/>
      <c r="F127" s="1436"/>
      <c r="G127" s="1547">
        <f t="shared" si="113"/>
        <v>0</v>
      </c>
      <c r="H127" s="1484"/>
      <c r="I127" s="1547">
        <f t="shared" si="114"/>
        <v>0</v>
      </c>
      <c r="J127" s="1485"/>
      <c r="K127" s="1485"/>
      <c r="L127" s="1436"/>
      <c r="M127" s="1439"/>
      <c r="N127" s="1439"/>
      <c r="O127" s="1485"/>
      <c r="P127" s="1486"/>
      <c r="Q127" s="1486"/>
      <c r="R127" s="1487"/>
      <c r="S127" s="1444"/>
      <c r="T127" s="1444"/>
      <c r="U127" s="1444"/>
      <c r="V127" s="1488"/>
      <c r="W127" s="1488"/>
      <c r="X127" s="1488"/>
      <c r="Y127" s="1488"/>
      <c r="Z127" s="1488"/>
      <c r="AA127" s="1488"/>
      <c r="AB127" s="1488"/>
      <c r="AC127" s="1488"/>
      <c r="AD127" s="1488"/>
      <c r="AE127" s="1488"/>
      <c r="AF127" s="1488"/>
      <c r="AG127" s="1488"/>
      <c r="AH127" s="1451">
        <f t="shared" si="86"/>
        <v>0</v>
      </c>
      <c r="AI127" s="1488"/>
      <c r="AJ127" s="1488"/>
      <c r="AK127" s="1488"/>
      <c r="AL127" s="1488"/>
      <c r="AM127" s="1488"/>
      <c r="AN127" s="1488"/>
      <c r="AO127" s="1488"/>
      <c r="AP127" s="1488"/>
      <c r="AQ127" s="1488"/>
      <c r="AR127" s="1488"/>
      <c r="AS127" s="1488"/>
      <c r="AT127" s="1542"/>
      <c r="AU127" s="1599">
        <f t="shared" si="87"/>
        <v>0</v>
      </c>
      <c r="AV127" s="1544">
        <f t="shared" si="115"/>
        <v>0</v>
      </c>
      <c r="AW127" s="1452">
        <f t="shared" si="88"/>
        <v>0</v>
      </c>
      <c r="AX127" s="1452">
        <f t="shared" si="89"/>
        <v>0</v>
      </c>
      <c r="AY127" s="1452">
        <f t="shared" si="90"/>
        <v>0</v>
      </c>
      <c r="AZ127" s="1452">
        <f t="shared" si="91"/>
        <v>0</v>
      </c>
      <c r="BA127" s="1452">
        <f t="shared" si="92"/>
        <v>0</v>
      </c>
      <c r="BB127" s="1452">
        <f t="shared" si="93"/>
        <v>0</v>
      </c>
      <c r="BC127" s="1452">
        <f t="shared" si="94"/>
        <v>0</v>
      </c>
      <c r="BD127" s="1452">
        <f t="shared" si="95"/>
        <v>0</v>
      </c>
      <c r="BE127" s="1452">
        <f t="shared" si="96"/>
        <v>0</v>
      </c>
      <c r="BF127" s="1452">
        <f t="shared" si="97"/>
        <v>0</v>
      </c>
      <c r="BG127" s="1452">
        <f t="shared" si="98"/>
        <v>0</v>
      </c>
      <c r="BH127" s="1452">
        <f t="shared" si="99"/>
        <v>0</v>
      </c>
      <c r="BI127" s="1452">
        <f t="shared" si="116"/>
        <v>0</v>
      </c>
      <c r="BJ127" s="1452" t="str">
        <f t="shared" si="100"/>
        <v/>
      </c>
      <c r="BK127" s="1452" t="str">
        <f t="shared" si="101"/>
        <v/>
      </c>
      <c r="BL127" s="1452" t="str">
        <f t="shared" si="102"/>
        <v/>
      </c>
      <c r="BM127" s="1452" t="str">
        <f t="shared" si="103"/>
        <v/>
      </c>
      <c r="BN127" s="1452" t="str">
        <f t="shared" ca="1" si="104"/>
        <v/>
      </c>
      <c r="BO127" s="1452" t="str">
        <f t="shared" si="117"/>
        <v/>
      </c>
      <c r="BP127" s="1452" t="str">
        <f t="shared" si="105"/>
        <v/>
      </c>
      <c r="BQ127" s="1452" t="str">
        <f t="shared" si="106"/>
        <v/>
      </c>
      <c r="BR127" s="1452" t="str">
        <f t="shared" si="107"/>
        <v/>
      </c>
      <c r="BS127" s="1452" t="str">
        <f t="shared" si="108"/>
        <v/>
      </c>
      <c r="BT127" s="1452" t="str">
        <f t="shared" si="109"/>
        <v/>
      </c>
      <c r="BU127" s="1452" t="str">
        <f t="shared" si="110"/>
        <v/>
      </c>
      <c r="BV127" s="1452" t="str">
        <f t="shared" si="111"/>
        <v/>
      </c>
      <c r="BW127" s="1558">
        <f t="shared" ca="1" si="118"/>
        <v>0</v>
      </c>
    </row>
    <row r="128" spans="1:75" s="9" customFormat="1" ht="12.5">
      <c r="A128" s="1483" t="str">
        <f t="shared" si="112"/>
        <v>Public Health Wales Trust</v>
      </c>
      <c r="B128" s="1583"/>
      <c r="C128" s="1583"/>
      <c r="D128" s="1583"/>
      <c r="E128" s="1581"/>
      <c r="F128" s="1436"/>
      <c r="G128" s="1547">
        <f t="shared" si="113"/>
        <v>0</v>
      </c>
      <c r="H128" s="1484"/>
      <c r="I128" s="1547">
        <f t="shared" si="114"/>
        <v>0</v>
      </c>
      <c r="J128" s="1485"/>
      <c r="K128" s="1485"/>
      <c r="L128" s="1436"/>
      <c r="M128" s="1439"/>
      <c r="N128" s="1439"/>
      <c r="O128" s="1485"/>
      <c r="P128" s="1486"/>
      <c r="Q128" s="1486"/>
      <c r="R128" s="1487"/>
      <c r="S128" s="1444"/>
      <c r="T128" s="1444"/>
      <c r="U128" s="1444"/>
      <c r="V128" s="1488"/>
      <c r="W128" s="1488"/>
      <c r="X128" s="1488"/>
      <c r="Y128" s="1488"/>
      <c r="Z128" s="1488"/>
      <c r="AA128" s="1488"/>
      <c r="AB128" s="1488"/>
      <c r="AC128" s="1488"/>
      <c r="AD128" s="1488"/>
      <c r="AE128" s="1488"/>
      <c r="AF128" s="1488"/>
      <c r="AG128" s="1488"/>
      <c r="AH128" s="1451">
        <f t="shared" si="86"/>
        <v>0</v>
      </c>
      <c r="AI128" s="1488"/>
      <c r="AJ128" s="1488"/>
      <c r="AK128" s="1488"/>
      <c r="AL128" s="1488"/>
      <c r="AM128" s="1488"/>
      <c r="AN128" s="1488"/>
      <c r="AO128" s="1488"/>
      <c r="AP128" s="1488"/>
      <c r="AQ128" s="1488"/>
      <c r="AR128" s="1488"/>
      <c r="AS128" s="1488"/>
      <c r="AT128" s="1542"/>
      <c r="AU128" s="1599">
        <f t="shared" si="87"/>
        <v>0</v>
      </c>
      <c r="AV128" s="1544">
        <f t="shared" si="115"/>
        <v>0</v>
      </c>
      <c r="AW128" s="1452">
        <f t="shared" si="88"/>
        <v>0</v>
      </c>
      <c r="AX128" s="1452">
        <f t="shared" si="89"/>
        <v>0</v>
      </c>
      <c r="AY128" s="1452">
        <f t="shared" si="90"/>
        <v>0</v>
      </c>
      <c r="AZ128" s="1452">
        <f t="shared" si="91"/>
        <v>0</v>
      </c>
      <c r="BA128" s="1452">
        <f t="shared" si="92"/>
        <v>0</v>
      </c>
      <c r="BB128" s="1452">
        <f t="shared" si="93"/>
        <v>0</v>
      </c>
      <c r="BC128" s="1452">
        <f t="shared" si="94"/>
        <v>0</v>
      </c>
      <c r="BD128" s="1452">
        <f t="shared" si="95"/>
        <v>0</v>
      </c>
      <c r="BE128" s="1452">
        <f t="shared" si="96"/>
        <v>0</v>
      </c>
      <c r="BF128" s="1452">
        <f t="shared" si="97"/>
        <v>0</v>
      </c>
      <c r="BG128" s="1452">
        <f t="shared" si="98"/>
        <v>0</v>
      </c>
      <c r="BH128" s="1452">
        <f t="shared" si="99"/>
        <v>0</v>
      </c>
      <c r="BI128" s="1452">
        <f t="shared" si="116"/>
        <v>0</v>
      </c>
      <c r="BJ128" s="1452" t="str">
        <f t="shared" si="100"/>
        <v/>
      </c>
      <c r="BK128" s="1452" t="str">
        <f t="shared" si="101"/>
        <v/>
      </c>
      <c r="BL128" s="1452" t="str">
        <f t="shared" si="102"/>
        <v/>
      </c>
      <c r="BM128" s="1452" t="str">
        <f t="shared" si="103"/>
        <v/>
      </c>
      <c r="BN128" s="1452" t="str">
        <f t="shared" ca="1" si="104"/>
        <v/>
      </c>
      <c r="BO128" s="1452" t="str">
        <f t="shared" si="117"/>
        <v/>
      </c>
      <c r="BP128" s="1452" t="str">
        <f t="shared" si="105"/>
        <v/>
      </c>
      <c r="BQ128" s="1452" t="str">
        <f t="shared" si="106"/>
        <v/>
      </c>
      <c r="BR128" s="1452" t="str">
        <f t="shared" si="107"/>
        <v/>
      </c>
      <c r="BS128" s="1452" t="str">
        <f t="shared" si="108"/>
        <v/>
      </c>
      <c r="BT128" s="1452" t="str">
        <f t="shared" si="109"/>
        <v/>
      </c>
      <c r="BU128" s="1452" t="str">
        <f t="shared" si="110"/>
        <v/>
      </c>
      <c r="BV128" s="1452" t="str">
        <f t="shared" si="111"/>
        <v/>
      </c>
      <c r="BW128" s="1558">
        <f t="shared" ca="1" si="118"/>
        <v>0</v>
      </c>
    </row>
    <row r="129" spans="1:75" s="9" customFormat="1" ht="12.5">
      <c r="A129" s="1483" t="str">
        <f t="shared" si="112"/>
        <v>Public Health Wales Trust</v>
      </c>
      <c r="B129" s="1583"/>
      <c r="C129" s="1583"/>
      <c r="D129" s="1583"/>
      <c r="E129" s="1581"/>
      <c r="F129" s="1436"/>
      <c r="G129" s="1547">
        <f t="shared" si="113"/>
        <v>0</v>
      </c>
      <c r="H129" s="1484"/>
      <c r="I129" s="1547">
        <f t="shared" si="114"/>
        <v>0</v>
      </c>
      <c r="J129" s="1485"/>
      <c r="K129" s="1485"/>
      <c r="L129" s="1436"/>
      <c r="M129" s="1439"/>
      <c r="N129" s="1439"/>
      <c r="O129" s="1485"/>
      <c r="P129" s="1486"/>
      <c r="Q129" s="1486"/>
      <c r="R129" s="1487"/>
      <c r="S129" s="1444"/>
      <c r="T129" s="1444"/>
      <c r="U129" s="1444"/>
      <c r="V129" s="1488"/>
      <c r="W129" s="1488"/>
      <c r="X129" s="1488"/>
      <c r="Y129" s="1488"/>
      <c r="Z129" s="1488"/>
      <c r="AA129" s="1488"/>
      <c r="AB129" s="1488"/>
      <c r="AC129" s="1488"/>
      <c r="AD129" s="1488"/>
      <c r="AE129" s="1488"/>
      <c r="AF129" s="1488"/>
      <c r="AG129" s="1488"/>
      <c r="AH129" s="1451">
        <f t="shared" si="86"/>
        <v>0</v>
      </c>
      <c r="AI129" s="1488"/>
      <c r="AJ129" s="1488"/>
      <c r="AK129" s="1488"/>
      <c r="AL129" s="1488"/>
      <c r="AM129" s="1488"/>
      <c r="AN129" s="1488"/>
      <c r="AO129" s="1488"/>
      <c r="AP129" s="1488"/>
      <c r="AQ129" s="1488"/>
      <c r="AR129" s="1488"/>
      <c r="AS129" s="1488"/>
      <c r="AT129" s="1542"/>
      <c r="AU129" s="1599">
        <f t="shared" si="87"/>
        <v>0</v>
      </c>
      <c r="AV129" s="1544">
        <f t="shared" si="115"/>
        <v>0</v>
      </c>
      <c r="AW129" s="1452">
        <f t="shared" si="88"/>
        <v>0</v>
      </c>
      <c r="AX129" s="1452">
        <f t="shared" si="89"/>
        <v>0</v>
      </c>
      <c r="AY129" s="1452">
        <f t="shared" si="90"/>
        <v>0</v>
      </c>
      <c r="AZ129" s="1452">
        <f t="shared" si="91"/>
        <v>0</v>
      </c>
      <c r="BA129" s="1452">
        <f t="shared" si="92"/>
        <v>0</v>
      </c>
      <c r="BB129" s="1452">
        <f t="shared" si="93"/>
        <v>0</v>
      </c>
      <c r="BC129" s="1452">
        <f t="shared" si="94"/>
        <v>0</v>
      </c>
      <c r="BD129" s="1452">
        <f t="shared" si="95"/>
        <v>0</v>
      </c>
      <c r="BE129" s="1452">
        <f t="shared" si="96"/>
        <v>0</v>
      </c>
      <c r="BF129" s="1452">
        <f t="shared" si="97"/>
        <v>0</v>
      </c>
      <c r="BG129" s="1452">
        <f t="shared" si="98"/>
        <v>0</v>
      </c>
      <c r="BH129" s="1452">
        <f t="shared" si="99"/>
        <v>0</v>
      </c>
      <c r="BI129" s="1452">
        <f t="shared" si="116"/>
        <v>0</v>
      </c>
      <c r="BJ129" s="1452" t="str">
        <f t="shared" si="100"/>
        <v/>
      </c>
      <c r="BK129" s="1452" t="str">
        <f t="shared" si="101"/>
        <v/>
      </c>
      <c r="BL129" s="1452" t="str">
        <f t="shared" si="102"/>
        <v/>
      </c>
      <c r="BM129" s="1452" t="str">
        <f t="shared" si="103"/>
        <v/>
      </c>
      <c r="BN129" s="1452" t="str">
        <f t="shared" ca="1" si="104"/>
        <v/>
      </c>
      <c r="BO129" s="1452" t="str">
        <f t="shared" si="117"/>
        <v/>
      </c>
      <c r="BP129" s="1452" t="str">
        <f t="shared" si="105"/>
        <v/>
      </c>
      <c r="BQ129" s="1452" t="str">
        <f t="shared" si="106"/>
        <v/>
      </c>
      <c r="BR129" s="1452" t="str">
        <f t="shared" si="107"/>
        <v/>
      </c>
      <c r="BS129" s="1452" t="str">
        <f t="shared" si="108"/>
        <v/>
      </c>
      <c r="BT129" s="1452" t="str">
        <f t="shared" si="109"/>
        <v/>
      </c>
      <c r="BU129" s="1452" t="str">
        <f t="shared" si="110"/>
        <v/>
      </c>
      <c r="BV129" s="1452" t="str">
        <f t="shared" si="111"/>
        <v/>
      </c>
      <c r="BW129" s="1558">
        <f t="shared" ca="1" si="118"/>
        <v>0</v>
      </c>
    </row>
    <row r="130" spans="1:75" s="9" customFormat="1" ht="12.5">
      <c r="A130" s="1483" t="str">
        <f t="shared" si="112"/>
        <v>Public Health Wales Trust</v>
      </c>
      <c r="B130" s="1583"/>
      <c r="C130" s="1583"/>
      <c r="D130" s="1583"/>
      <c r="E130" s="1581"/>
      <c r="F130" s="1436"/>
      <c r="G130" s="1547">
        <f t="shared" si="113"/>
        <v>0</v>
      </c>
      <c r="H130" s="1484"/>
      <c r="I130" s="1547">
        <f t="shared" si="114"/>
        <v>0</v>
      </c>
      <c r="J130" s="1485"/>
      <c r="K130" s="1485"/>
      <c r="L130" s="1436"/>
      <c r="M130" s="1439"/>
      <c r="N130" s="1439"/>
      <c r="O130" s="1485"/>
      <c r="P130" s="1486"/>
      <c r="Q130" s="1486"/>
      <c r="R130" s="1487"/>
      <c r="S130" s="1444"/>
      <c r="T130" s="1444"/>
      <c r="U130" s="1444"/>
      <c r="V130" s="1488"/>
      <c r="W130" s="1488"/>
      <c r="X130" s="1488"/>
      <c r="Y130" s="1488"/>
      <c r="Z130" s="1488"/>
      <c r="AA130" s="1488"/>
      <c r="AB130" s="1488"/>
      <c r="AC130" s="1488"/>
      <c r="AD130" s="1488"/>
      <c r="AE130" s="1488"/>
      <c r="AF130" s="1488"/>
      <c r="AG130" s="1488"/>
      <c r="AH130" s="1451">
        <f t="shared" si="86"/>
        <v>0</v>
      </c>
      <c r="AI130" s="1488"/>
      <c r="AJ130" s="1488"/>
      <c r="AK130" s="1488"/>
      <c r="AL130" s="1488"/>
      <c r="AM130" s="1488"/>
      <c r="AN130" s="1488"/>
      <c r="AO130" s="1488"/>
      <c r="AP130" s="1488"/>
      <c r="AQ130" s="1488"/>
      <c r="AR130" s="1488"/>
      <c r="AS130" s="1488"/>
      <c r="AT130" s="1542"/>
      <c r="AU130" s="1599">
        <f t="shared" si="87"/>
        <v>0</v>
      </c>
      <c r="AV130" s="1544">
        <f t="shared" si="115"/>
        <v>0</v>
      </c>
      <c r="AW130" s="1452">
        <f t="shared" si="88"/>
        <v>0</v>
      </c>
      <c r="AX130" s="1452">
        <f t="shared" si="89"/>
        <v>0</v>
      </c>
      <c r="AY130" s="1452">
        <f t="shared" si="90"/>
        <v>0</v>
      </c>
      <c r="AZ130" s="1452">
        <f t="shared" si="91"/>
        <v>0</v>
      </c>
      <c r="BA130" s="1452">
        <f t="shared" si="92"/>
        <v>0</v>
      </c>
      <c r="BB130" s="1452">
        <f t="shared" si="93"/>
        <v>0</v>
      </c>
      <c r="BC130" s="1452">
        <f t="shared" si="94"/>
        <v>0</v>
      </c>
      <c r="BD130" s="1452">
        <f t="shared" si="95"/>
        <v>0</v>
      </c>
      <c r="BE130" s="1452">
        <f t="shared" si="96"/>
        <v>0</v>
      </c>
      <c r="BF130" s="1452">
        <f t="shared" si="97"/>
        <v>0</v>
      </c>
      <c r="BG130" s="1452">
        <f t="shared" si="98"/>
        <v>0</v>
      </c>
      <c r="BH130" s="1452">
        <f t="shared" si="99"/>
        <v>0</v>
      </c>
      <c r="BI130" s="1452">
        <f t="shared" si="116"/>
        <v>0</v>
      </c>
      <c r="BJ130" s="1452" t="str">
        <f t="shared" si="100"/>
        <v/>
      </c>
      <c r="BK130" s="1452" t="str">
        <f t="shared" si="101"/>
        <v/>
      </c>
      <c r="BL130" s="1452" t="str">
        <f t="shared" si="102"/>
        <v/>
      </c>
      <c r="BM130" s="1452" t="str">
        <f t="shared" si="103"/>
        <v/>
      </c>
      <c r="BN130" s="1452" t="str">
        <f t="shared" ca="1" si="104"/>
        <v/>
      </c>
      <c r="BO130" s="1452" t="str">
        <f t="shared" si="117"/>
        <v/>
      </c>
      <c r="BP130" s="1452" t="str">
        <f t="shared" si="105"/>
        <v/>
      </c>
      <c r="BQ130" s="1452" t="str">
        <f t="shared" si="106"/>
        <v/>
      </c>
      <c r="BR130" s="1452" t="str">
        <f t="shared" si="107"/>
        <v/>
      </c>
      <c r="BS130" s="1452" t="str">
        <f t="shared" si="108"/>
        <v/>
      </c>
      <c r="BT130" s="1452" t="str">
        <f t="shared" si="109"/>
        <v/>
      </c>
      <c r="BU130" s="1452" t="str">
        <f t="shared" si="110"/>
        <v/>
      </c>
      <c r="BV130" s="1452" t="str">
        <f t="shared" si="111"/>
        <v/>
      </c>
      <c r="BW130" s="1558">
        <f t="shared" ca="1" si="118"/>
        <v>0</v>
      </c>
    </row>
    <row r="131" spans="1:75" s="9" customFormat="1" ht="12.5">
      <c r="A131" s="1483" t="str">
        <f t="shared" si="112"/>
        <v>Public Health Wales Trust</v>
      </c>
      <c r="B131" s="1583"/>
      <c r="C131" s="1583"/>
      <c r="D131" s="1583"/>
      <c r="E131" s="1581"/>
      <c r="F131" s="1436"/>
      <c r="G131" s="1547">
        <f t="shared" si="113"/>
        <v>0</v>
      </c>
      <c r="H131" s="1484"/>
      <c r="I131" s="1547">
        <f t="shared" si="114"/>
        <v>0</v>
      </c>
      <c r="J131" s="1485"/>
      <c r="K131" s="1485"/>
      <c r="L131" s="1436"/>
      <c r="M131" s="1439"/>
      <c r="N131" s="1439"/>
      <c r="O131" s="1485"/>
      <c r="P131" s="1486"/>
      <c r="Q131" s="1486"/>
      <c r="R131" s="1487"/>
      <c r="S131" s="1444"/>
      <c r="T131" s="1444"/>
      <c r="U131" s="1444"/>
      <c r="V131" s="1488"/>
      <c r="W131" s="1488"/>
      <c r="X131" s="1488"/>
      <c r="Y131" s="1488"/>
      <c r="Z131" s="1488"/>
      <c r="AA131" s="1488"/>
      <c r="AB131" s="1488"/>
      <c r="AC131" s="1488"/>
      <c r="AD131" s="1488"/>
      <c r="AE131" s="1488"/>
      <c r="AF131" s="1488"/>
      <c r="AG131" s="1488"/>
      <c r="AH131" s="1451">
        <f t="shared" si="86"/>
        <v>0</v>
      </c>
      <c r="AI131" s="1488"/>
      <c r="AJ131" s="1488"/>
      <c r="AK131" s="1488"/>
      <c r="AL131" s="1488"/>
      <c r="AM131" s="1488"/>
      <c r="AN131" s="1488"/>
      <c r="AO131" s="1488"/>
      <c r="AP131" s="1488"/>
      <c r="AQ131" s="1488"/>
      <c r="AR131" s="1488"/>
      <c r="AS131" s="1488"/>
      <c r="AT131" s="1542"/>
      <c r="AU131" s="1599">
        <f t="shared" si="87"/>
        <v>0</v>
      </c>
      <c r="AV131" s="1544">
        <f t="shared" si="115"/>
        <v>0</v>
      </c>
      <c r="AW131" s="1452">
        <f t="shared" si="88"/>
        <v>0</v>
      </c>
      <c r="AX131" s="1452">
        <f t="shared" si="89"/>
        <v>0</v>
      </c>
      <c r="AY131" s="1452">
        <f t="shared" si="90"/>
        <v>0</v>
      </c>
      <c r="AZ131" s="1452">
        <f t="shared" si="91"/>
        <v>0</v>
      </c>
      <c r="BA131" s="1452">
        <f t="shared" si="92"/>
        <v>0</v>
      </c>
      <c r="BB131" s="1452">
        <f t="shared" si="93"/>
        <v>0</v>
      </c>
      <c r="BC131" s="1452">
        <f t="shared" si="94"/>
        <v>0</v>
      </c>
      <c r="BD131" s="1452">
        <f t="shared" si="95"/>
        <v>0</v>
      </c>
      <c r="BE131" s="1452">
        <f t="shared" si="96"/>
        <v>0</v>
      </c>
      <c r="BF131" s="1452">
        <f t="shared" si="97"/>
        <v>0</v>
      </c>
      <c r="BG131" s="1452">
        <f t="shared" si="98"/>
        <v>0</v>
      </c>
      <c r="BH131" s="1452">
        <f t="shared" si="99"/>
        <v>0</v>
      </c>
      <c r="BI131" s="1452">
        <f t="shared" si="116"/>
        <v>0</v>
      </c>
      <c r="BJ131" s="1452" t="str">
        <f t="shared" si="100"/>
        <v/>
      </c>
      <c r="BK131" s="1452" t="str">
        <f t="shared" si="101"/>
        <v/>
      </c>
      <c r="BL131" s="1452" t="str">
        <f t="shared" si="102"/>
        <v/>
      </c>
      <c r="BM131" s="1452" t="str">
        <f t="shared" si="103"/>
        <v/>
      </c>
      <c r="BN131" s="1452" t="str">
        <f t="shared" ca="1" si="104"/>
        <v/>
      </c>
      <c r="BO131" s="1452" t="str">
        <f t="shared" si="117"/>
        <v/>
      </c>
      <c r="BP131" s="1452" t="str">
        <f t="shared" si="105"/>
        <v/>
      </c>
      <c r="BQ131" s="1452" t="str">
        <f t="shared" si="106"/>
        <v/>
      </c>
      <c r="BR131" s="1452" t="str">
        <f t="shared" si="107"/>
        <v/>
      </c>
      <c r="BS131" s="1452" t="str">
        <f t="shared" si="108"/>
        <v/>
      </c>
      <c r="BT131" s="1452" t="str">
        <f t="shared" si="109"/>
        <v/>
      </c>
      <c r="BU131" s="1452" t="str">
        <f t="shared" si="110"/>
        <v/>
      </c>
      <c r="BV131" s="1452" t="str">
        <f t="shared" si="111"/>
        <v/>
      </c>
      <c r="BW131" s="1558">
        <f t="shared" ca="1" si="118"/>
        <v>0</v>
      </c>
    </row>
    <row r="132" spans="1:75" s="9" customFormat="1" ht="12.5">
      <c r="A132" s="1483" t="str">
        <f t="shared" si="112"/>
        <v>Public Health Wales Trust</v>
      </c>
      <c r="B132" s="1583"/>
      <c r="C132" s="1583"/>
      <c r="D132" s="1583"/>
      <c r="E132" s="1581"/>
      <c r="F132" s="1436"/>
      <c r="G132" s="1547">
        <f t="shared" si="113"/>
        <v>0</v>
      </c>
      <c r="H132" s="1484"/>
      <c r="I132" s="1547">
        <f t="shared" si="114"/>
        <v>0</v>
      </c>
      <c r="J132" s="1485"/>
      <c r="K132" s="1485"/>
      <c r="L132" s="1436"/>
      <c r="M132" s="1439"/>
      <c r="N132" s="1439"/>
      <c r="O132" s="1485"/>
      <c r="P132" s="1486"/>
      <c r="Q132" s="1486"/>
      <c r="R132" s="1487"/>
      <c r="S132" s="1444"/>
      <c r="T132" s="1444"/>
      <c r="U132" s="1444"/>
      <c r="V132" s="1488"/>
      <c r="W132" s="1488"/>
      <c r="X132" s="1488"/>
      <c r="Y132" s="1488"/>
      <c r="Z132" s="1488"/>
      <c r="AA132" s="1488"/>
      <c r="AB132" s="1488"/>
      <c r="AC132" s="1488"/>
      <c r="AD132" s="1488"/>
      <c r="AE132" s="1488"/>
      <c r="AF132" s="1488"/>
      <c r="AG132" s="1488"/>
      <c r="AH132" s="1451">
        <f t="shared" si="86"/>
        <v>0</v>
      </c>
      <c r="AI132" s="1488"/>
      <c r="AJ132" s="1488"/>
      <c r="AK132" s="1488"/>
      <c r="AL132" s="1488"/>
      <c r="AM132" s="1488"/>
      <c r="AN132" s="1488"/>
      <c r="AO132" s="1488"/>
      <c r="AP132" s="1488"/>
      <c r="AQ132" s="1488"/>
      <c r="AR132" s="1488"/>
      <c r="AS132" s="1488"/>
      <c r="AT132" s="1542"/>
      <c r="AU132" s="1599">
        <f t="shared" si="87"/>
        <v>0</v>
      </c>
      <c r="AV132" s="1544">
        <f t="shared" si="115"/>
        <v>0</v>
      </c>
      <c r="AW132" s="1452">
        <f t="shared" si="88"/>
        <v>0</v>
      </c>
      <c r="AX132" s="1452">
        <f t="shared" si="89"/>
        <v>0</v>
      </c>
      <c r="AY132" s="1452">
        <f t="shared" si="90"/>
        <v>0</v>
      </c>
      <c r="AZ132" s="1452">
        <f t="shared" si="91"/>
        <v>0</v>
      </c>
      <c r="BA132" s="1452">
        <f t="shared" si="92"/>
        <v>0</v>
      </c>
      <c r="BB132" s="1452">
        <f t="shared" si="93"/>
        <v>0</v>
      </c>
      <c r="BC132" s="1452">
        <f t="shared" si="94"/>
        <v>0</v>
      </c>
      <c r="BD132" s="1452">
        <f t="shared" si="95"/>
        <v>0</v>
      </c>
      <c r="BE132" s="1452">
        <f t="shared" si="96"/>
        <v>0</v>
      </c>
      <c r="BF132" s="1452">
        <f t="shared" si="97"/>
        <v>0</v>
      </c>
      <c r="BG132" s="1452">
        <f t="shared" si="98"/>
        <v>0</v>
      </c>
      <c r="BH132" s="1452">
        <f t="shared" si="99"/>
        <v>0</v>
      </c>
      <c r="BI132" s="1452">
        <f t="shared" si="116"/>
        <v>0</v>
      </c>
      <c r="BJ132" s="1452" t="str">
        <f t="shared" si="100"/>
        <v/>
      </c>
      <c r="BK132" s="1452" t="str">
        <f t="shared" si="101"/>
        <v/>
      </c>
      <c r="BL132" s="1452" t="str">
        <f t="shared" si="102"/>
        <v/>
      </c>
      <c r="BM132" s="1452" t="str">
        <f t="shared" si="103"/>
        <v/>
      </c>
      <c r="BN132" s="1452" t="str">
        <f t="shared" ca="1" si="104"/>
        <v/>
      </c>
      <c r="BO132" s="1452" t="str">
        <f t="shared" si="117"/>
        <v/>
      </c>
      <c r="BP132" s="1452" t="str">
        <f t="shared" si="105"/>
        <v/>
      </c>
      <c r="BQ132" s="1452" t="str">
        <f t="shared" si="106"/>
        <v/>
      </c>
      <c r="BR132" s="1452" t="str">
        <f t="shared" si="107"/>
        <v/>
      </c>
      <c r="BS132" s="1452" t="str">
        <f t="shared" si="108"/>
        <v/>
      </c>
      <c r="BT132" s="1452" t="str">
        <f t="shared" si="109"/>
        <v/>
      </c>
      <c r="BU132" s="1452" t="str">
        <f t="shared" si="110"/>
        <v/>
      </c>
      <c r="BV132" s="1452" t="str">
        <f t="shared" si="111"/>
        <v/>
      </c>
      <c r="BW132" s="1558">
        <f t="shared" ca="1" si="118"/>
        <v>0</v>
      </c>
    </row>
    <row r="133" spans="1:75" s="9" customFormat="1" ht="12.5">
      <c r="A133" s="1483" t="str">
        <f t="shared" si="112"/>
        <v>Public Health Wales Trust</v>
      </c>
      <c r="B133" s="1583"/>
      <c r="C133" s="1583"/>
      <c r="D133" s="1583"/>
      <c r="E133" s="1581"/>
      <c r="F133" s="1436"/>
      <c r="G133" s="1547">
        <f t="shared" si="113"/>
        <v>0</v>
      </c>
      <c r="H133" s="1484"/>
      <c r="I133" s="1547">
        <f t="shared" si="114"/>
        <v>0</v>
      </c>
      <c r="J133" s="1485"/>
      <c r="K133" s="1485"/>
      <c r="L133" s="1436"/>
      <c r="M133" s="1439"/>
      <c r="N133" s="1439"/>
      <c r="O133" s="1485"/>
      <c r="P133" s="1486"/>
      <c r="Q133" s="1486"/>
      <c r="R133" s="1487"/>
      <c r="S133" s="1444"/>
      <c r="T133" s="1444"/>
      <c r="U133" s="1444"/>
      <c r="V133" s="1488"/>
      <c r="W133" s="1488"/>
      <c r="X133" s="1488"/>
      <c r="Y133" s="1488"/>
      <c r="Z133" s="1488"/>
      <c r="AA133" s="1488"/>
      <c r="AB133" s="1488"/>
      <c r="AC133" s="1488"/>
      <c r="AD133" s="1488"/>
      <c r="AE133" s="1488"/>
      <c r="AF133" s="1488"/>
      <c r="AG133" s="1488"/>
      <c r="AH133" s="1451">
        <f t="shared" si="86"/>
        <v>0</v>
      </c>
      <c r="AI133" s="1488"/>
      <c r="AJ133" s="1488"/>
      <c r="AK133" s="1488"/>
      <c r="AL133" s="1488"/>
      <c r="AM133" s="1488"/>
      <c r="AN133" s="1488"/>
      <c r="AO133" s="1488"/>
      <c r="AP133" s="1488"/>
      <c r="AQ133" s="1488"/>
      <c r="AR133" s="1488"/>
      <c r="AS133" s="1488"/>
      <c r="AT133" s="1542"/>
      <c r="AU133" s="1599">
        <f t="shared" si="87"/>
        <v>0</v>
      </c>
      <c r="AV133" s="1544">
        <f t="shared" si="115"/>
        <v>0</v>
      </c>
      <c r="AW133" s="1452">
        <f t="shared" si="88"/>
        <v>0</v>
      </c>
      <c r="AX133" s="1452">
        <f t="shared" si="89"/>
        <v>0</v>
      </c>
      <c r="AY133" s="1452">
        <f t="shared" si="90"/>
        <v>0</v>
      </c>
      <c r="AZ133" s="1452">
        <f t="shared" si="91"/>
        <v>0</v>
      </c>
      <c r="BA133" s="1452">
        <f t="shared" si="92"/>
        <v>0</v>
      </c>
      <c r="BB133" s="1452">
        <f t="shared" si="93"/>
        <v>0</v>
      </c>
      <c r="BC133" s="1452">
        <f t="shared" si="94"/>
        <v>0</v>
      </c>
      <c r="BD133" s="1452">
        <f t="shared" si="95"/>
        <v>0</v>
      </c>
      <c r="BE133" s="1452">
        <f t="shared" si="96"/>
        <v>0</v>
      </c>
      <c r="BF133" s="1452">
        <f t="shared" si="97"/>
        <v>0</v>
      </c>
      <c r="BG133" s="1452">
        <f t="shared" si="98"/>
        <v>0</v>
      </c>
      <c r="BH133" s="1452">
        <f t="shared" si="99"/>
        <v>0</v>
      </c>
      <c r="BI133" s="1452">
        <f t="shared" si="116"/>
        <v>0</v>
      </c>
      <c r="BJ133" s="1452" t="str">
        <f t="shared" si="100"/>
        <v/>
      </c>
      <c r="BK133" s="1452" t="str">
        <f t="shared" si="101"/>
        <v/>
      </c>
      <c r="BL133" s="1452" t="str">
        <f t="shared" si="102"/>
        <v/>
      </c>
      <c r="BM133" s="1452" t="str">
        <f t="shared" si="103"/>
        <v/>
      </c>
      <c r="BN133" s="1452" t="str">
        <f t="shared" ca="1" si="104"/>
        <v/>
      </c>
      <c r="BO133" s="1452" t="str">
        <f t="shared" si="117"/>
        <v/>
      </c>
      <c r="BP133" s="1452" t="str">
        <f t="shared" si="105"/>
        <v/>
      </c>
      <c r="BQ133" s="1452" t="str">
        <f t="shared" si="106"/>
        <v/>
      </c>
      <c r="BR133" s="1452" t="str">
        <f t="shared" si="107"/>
        <v/>
      </c>
      <c r="BS133" s="1452" t="str">
        <f t="shared" si="108"/>
        <v/>
      </c>
      <c r="BT133" s="1452" t="str">
        <f t="shared" si="109"/>
        <v/>
      </c>
      <c r="BU133" s="1452" t="str">
        <f t="shared" si="110"/>
        <v/>
      </c>
      <c r="BV133" s="1452" t="str">
        <f t="shared" si="111"/>
        <v/>
      </c>
      <c r="BW133" s="1558">
        <f t="shared" ca="1" si="118"/>
        <v>0</v>
      </c>
    </row>
    <row r="134" spans="1:75" s="9" customFormat="1" ht="12.5">
      <c r="A134" s="1483" t="str">
        <f t="shared" si="112"/>
        <v>Public Health Wales Trust</v>
      </c>
      <c r="B134" s="1583"/>
      <c r="C134" s="1583"/>
      <c r="D134" s="1583"/>
      <c r="E134" s="1581"/>
      <c r="F134" s="1436"/>
      <c r="G134" s="1547">
        <f t="shared" si="113"/>
        <v>0</v>
      </c>
      <c r="H134" s="1484"/>
      <c r="I134" s="1547">
        <f t="shared" si="114"/>
        <v>0</v>
      </c>
      <c r="J134" s="1485"/>
      <c r="K134" s="1485"/>
      <c r="L134" s="1436"/>
      <c r="M134" s="1439"/>
      <c r="N134" s="1439"/>
      <c r="O134" s="1485"/>
      <c r="P134" s="1486"/>
      <c r="Q134" s="1486"/>
      <c r="R134" s="1487"/>
      <c r="S134" s="1444"/>
      <c r="T134" s="1444"/>
      <c r="U134" s="1444"/>
      <c r="V134" s="1488"/>
      <c r="W134" s="1488"/>
      <c r="X134" s="1488"/>
      <c r="Y134" s="1488"/>
      <c r="Z134" s="1488"/>
      <c r="AA134" s="1488"/>
      <c r="AB134" s="1488"/>
      <c r="AC134" s="1488"/>
      <c r="AD134" s="1488"/>
      <c r="AE134" s="1488"/>
      <c r="AF134" s="1488"/>
      <c r="AG134" s="1488"/>
      <c r="AH134" s="1451">
        <f t="shared" si="86"/>
        <v>0</v>
      </c>
      <c r="AI134" s="1488"/>
      <c r="AJ134" s="1488"/>
      <c r="AK134" s="1488"/>
      <c r="AL134" s="1488"/>
      <c r="AM134" s="1488"/>
      <c r="AN134" s="1488"/>
      <c r="AO134" s="1488"/>
      <c r="AP134" s="1488"/>
      <c r="AQ134" s="1488"/>
      <c r="AR134" s="1488"/>
      <c r="AS134" s="1488"/>
      <c r="AT134" s="1542"/>
      <c r="AU134" s="1599">
        <f t="shared" si="87"/>
        <v>0</v>
      </c>
      <c r="AV134" s="1544">
        <f t="shared" si="115"/>
        <v>0</v>
      </c>
      <c r="AW134" s="1452">
        <f t="shared" si="88"/>
        <v>0</v>
      </c>
      <c r="AX134" s="1452">
        <f t="shared" si="89"/>
        <v>0</v>
      </c>
      <c r="AY134" s="1452">
        <f t="shared" si="90"/>
        <v>0</v>
      </c>
      <c r="AZ134" s="1452">
        <f t="shared" si="91"/>
        <v>0</v>
      </c>
      <c r="BA134" s="1452">
        <f t="shared" si="92"/>
        <v>0</v>
      </c>
      <c r="BB134" s="1452">
        <f t="shared" si="93"/>
        <v>0</v>
      </c>
      <c r="BC134" s="1452">
        <f t="shared" si="94"/>
        <v>0</v>
      </c>
      <c r="BD134" s="1452">
        <f t="shared" si="95"/>
        <v>0</v>
      </c>
      <c r="BE134" s="1452">
        <f t="shared" si="96"/>
        <v>0</v>
      </c>
      <c r="BF134" s="1452">
        <f t="shared" si="97"/>
        <v>0</v>
      </c>
      <c r="BG134" s="1452">
        <f t="shared" si="98"/>
        <v>0</v>
      </c>
      <c r="BH134" s="1452">
        <f t="shared" si="99"/>
        <v>0</v>
      </c>
      <c r="BI134" s="1452">
        <f t="shared" si="116"/>
        <v>0</v>
      </c>
      <c r="BJ134" s="1452" t="str">
        <f t="shared" si="100"/>
        <v/>
      </c>
      <c r="BK134" s="1452" t="str">
        <f t="shared" si="101"/>
        <v/>
      </c>
      <c r="BL134" s="1452" t="str">
        <f t="shared" si="102"/>
        <v/>
      </c>
      <c r="BM134" s="1452" t="str">
        <f t="shared" si="103"/>
        <v/>
      </c>
      <c r="BN134" s="1452" t="str">
        <f t="shared" ca="1" si="104"/>
        <v/>
      </c>
      <c r="BO134" s="1452" t="str">
        <f t="shared" si="117"/>
        <v/>
      </c>
      <c r="BP134" s="1452" t="str">
        <f t="shared" si="105"/>
        <v/>
      </c>
      <c r="BQ134" s="1452" t="str">
        <f t="shared" si="106"/>
        <v/>
      </c>
      <c r="BR134" s="1452" t="str">
        <f t="shared" si="107"/>
        <v/>
      </c>
      <c r="BS134" s="1452" t="str">
        <f t="shared" si="108"/>
        <v/>
      </c>
      <c r="BT134" s="1452" t="str">
        <f t="shared" si="109"/>
        <v/>
      </c>
      <c r="BU134" s="1452" t="str">
        <f t="shared" si="110"/>
        <v/>
      </c>
      <c r="BV134" s="1452" t="str">
        <f t="shared" si="111"/>
        <v/>
      </c>
      <c r="BW134" s="1558">
        <f t="shared" ca="1" si="118"/>
        <v>0</v>
      </c>
    </row>
    <row r="135" spans="1:75" s="9" customFormat="1" ht="12.5">
      <c r="A135" s="1483" t="str">
        <f t="shared" si="112"/>
        <v>Public Health Wales Trust</v>
      </c>
      <c r="B135" s="1583"/>
      <c r="C135" s="1583"/>
      <c r="D135" s="1583"/>
      <c r="E135" s="1581"/>
      <c r="F135" s="1436"/>
      <c r="G135" s="1547">
        <f t="shared" si="113"/>
        <v>0</v>
      </c>
      <c r="H135" s="1484"/>
      <c r="I135" s="1547">
        <f t="shared" si="114"/>
        <v>0</v>
      </c>
      <c r="J135" s="1485"/>
      <c r="K135" s="1485"/>
      <c r="L135" s="1436"/>
      <c r="M135" s="1439"/>
      <c r="N135" s="1439"/>
      <c r="O135" s="1485"/>
      <c r="P135" s="1486"/>
      <c r="Q135" s="1486"/>
      <c r="R135" s="1487"/>
      <c r="S135" s="1444"/>
      <c r="T135" s="1444"/>
      <c r="U135" s="1444"/>
      <c r="V135" s="1488"/>
      <c r="W135" s="1488"/>
      <c r="X135" s="1488"/>
      <c r="Y135" s="1488"/>
      <c r="Z135" s="1488"/>
      <c r="AA135" s="1488"/>
      <c r="AB135" s="1488"/>
      <c r="AC135" s="1488"/>
      <c r="AD135" s="1488"/>
      <c r="AE135" s="1488"/>
      <c r="AF135" s="1488"/>
      <c r="AG135" s="1488"/>
      <c r="AH135" s="1451">
        <f t="shared" si="86"/>
        <v>0</v>
      </c>
      <c r="AI135" s="1488"/>
      <c r="AJ135" s="1488"/>
      <c r="AK135" s="1488"/>
      <c r="AL135" s="1488"/>
      <c r="AM135" s="1488"/>
      <c r="AN135" s="1488"/>
      <c r="AO135" s="1488"/>
      <c r="AP135" s="1488"/>
      <c r="AQ135" s="1488"/>
      <c r="AR135" s="1488"/>
      <c r="AS135" s="1488"/>
      <c r="AT135" s="1542"/>
      <c r="AU135" s="1599">
        <f t="shared" si="87"/>
        <v>0</v>
      </c>
      <c r="AV135" s="1544">
        <f t="shared" si="115"/>
        <v>0</v>
      </c>
      <c r="AW135" s="1452">
        <f t="shared" si="88"/>
        <v>0</v>
      </c>
      <c r="AX135" s="1452">
        <f t="shared" si="89"/>
        <v>0</v>
      </c>
      <c r="AY135" s="1452">
        <f t="shared" si="90"/>
        <v>0</v>
      </c>
      <c r="AZ135" s="1452">
        <f t="shared" si="91"/>
        <v>0</v>
      </c>
      <c r="BA135" s="1452">
        <f t="shared" si="92"/>
        <v>0</v>
      </c>
      <c r="BB135" s="1452">
        <f t="shared" si="93"/>
        <v>0</v>
      </c>
      <c r="BC135" s="1452">
        <f t="shared" si="94"/>
        <v>0</v>
      </c>
      <c r="BD135" s="1452">
        <f t="shared" si="95"/>
        <v>0</v>
      </c>
      <c r="BE135" s="1452">
        <f t="shared" si="96"/>
        <v>0</v>
      </c>
      <c r="BF135" s="1452">
        <f t="shared" si="97"/>
        <v>0</v>
      </c>
      <c r="BG135" s="1452">
        <f t="shared" si="98"/>
        <v>0</v>
      </c>
      <c r="BH135" s="1452">
        <f t="shared" si="99"/>
        <v>0</v>
      </c>
      <c r="BI135" s="1452">
        <f t="shared" si="116"/>
        <v>0</v>
      </c>
      <c r="BJ135" s="1452" t="str">
        <f t="shared" si="100"/>
        <v/>
      </c>
      <c r="BK135" s="1452" t="str">
        <f t="shared" si="101"/>
        <v/>
      </c>
      <c r="BL135" s="1452" t="str">
        <f t="shared" si="102"/>
        <v/>
      </c>
      <c r="BM135" s="1452" t="str">
        <f t="shared" si="103"/>
        <v/>
      </c>
      <c r="BN135" s="1452" t="str">
        <f t="shared" ca="1" si="104"/>
        <v/>
      </c>
      <c r="BO135" s="1452" t="str">
        <f t="shared" si="117"/>
        <v/>
      </c>
      <c r="BP135" s="1452" t="str">
        <f t="shared" si="105"/>
        <v/>
      </c>
      <c r="BQ135" s="1452" t="str">
        <f t="shared" si="106"/>
        <v/>
      </c>
      <c r="BR135" s="1452" t="str">
        <f t="shared" si="107"/>
        <v/>
      </c>
      <c r="BS135" s="1452" t="str">
        <f t="shared" si="108"/>
        <v/>
      </c>
      <c r="BT135" s="1452" t="str">
        <f t="shared" si="109"/>
        <v/>
      </c>
      <c r="BU135" s="1452" t="str">
        <f t="shared" si="110"/>
        <v/>
      </c>
      <c r="BV135" s="1452" t="str">
        <f t="shared" si="111"/>
        <v/>
      </c>
      <c r="BW135" s="1558">
        <f t="shared" ca="1" si="118"/>
        <v>0</v>
      </c>
    </row>
    <row r="136" spans="1:75" s="9" customFormat="1" ht="12.5">
      <c r="A136" s="1483" t="str">
        <f t="shared" si="112"/>
        <v>Public Health Wales Trust</v>
      </c>
      <c r="B136" s="1583"/>
      <c r="C136" s="1583"/>
      <c r="D136" s="1583"/>
      <c r="E136" s="1581"/>
      <c r="F136" s="1436"/>
      <c r="G136" s="1547">
        <f t="shared" si="113"/>
        <v>0</v>
      </c>
      <c r="H136" s="1484"/>
      <c r="I136" s="1547">
        <f t="shared" si="114"/>
        <v>0</v>
      </c>
      <c r="J136" s="1485"/>
      <c r="K136" s="1485"/>
      <c r="L136" s="1436"/>
      <c r="M136" s="1439"/>
      <c r="N136" s="1439"/>
      <c r="O136" s="1485"/>
      <c r="P136" s="1486"/>
      <c r="Q136" s="1486"/>
      <c r="R136" s="1487"/>
      <c r="S136" s="1444"/>
      <c r="T136" s="1444"/>
      <c r="U136" s="1444"/>
      <c r="V136" s="1488"/>
      <c r="W136" s="1488"/>
      <c r="X136" s="1488"/>
      <c r="Y136" s="1488"/>
      <c r="Z136" s="1488"/>
      <c r="AA136" s="1488"/>
      <c r="AB136" s="1488"/>
      <c r="AC136" s="1488"/>
      <c r="AD136" s="1488"/>
      <c r="AE136" s="1488"/>
      <c r="AF136" s="1488"/>
      <c r="AG136" s="1488"/>
      <c r="AH136" s="1451">
        <f t="shared" si="86"/>
        <v>0</v>
      </c>
      <c r="AI136" s="1488"/>
      <c r="AJ136" s="1488"/>
      <c r="AK136" s="1488"/>
      <c r="AL136" s="1488"/>
      <c r="AM136" s="1488"/>
      <c r="AN136" s="1488"/>
      <c r="AO136" s="1488"/>
      <c r="AP136" s="1488"/>
      <c r="AQ136" s="1488"/>
      <c r="AR136" s="1488"/>
      <c r="AS136" s="1488"/>
      <c r="AT136" s="1542"/>
      <c r="AU136" s="1599">
        <f t="shared" si="87"/>
        <v>0</v>
      </c>
      <c r="AV136" s="1544">
        <f t="shared" si="115"/>
        <v>0</v>
      </c>
      <c r="AW136" s="1452">
        <f t="shared" si="88"/>
        <v>0</v>
      </c>
      <c r="AX136" s="1452">
        <f t="shared" si="89"/>
        <v>0</v>
      </c>
      <c r="AY136" s="1452">
        <f t="shared" si="90"/>
        <v>0</v>
      </c>
      <c r="AZ136" s="1452">
        <f t="shared" si="91"/>
        <v>0</v>
      </c>
      <c r="BA136" s="1452">
        <f t="shared" si="92"/>
        <v>0</v>
      </c>
      <c r="BB136" s="1452">
        <f t="shared" si="93"/>
        <v>0</v>
      </c>
      <c r="BC136" s="1452">
        <f t="shared" si="94"/>
        <v>0</v>
      </c>
      <c r="BD136" s="1452">
        <f t="shared" si="95"/>
        <v>0</v>
      </c>
      <c r="BE136" s="1452">
        <f t="shared" si="96"/>
        <v>0</v>
      </c>
      <c r="BF136" s="1452">
        <f t="shared" si="97"/>
        <v>0</v>
      </c>
      <c r="BG136" s="1452">
        <f t="shared" si="98"/>
        <v>0</v>
      </c>
      <c r="BH136" s="1452">
        <f t="shared" si="99"/>
        <v>0</v>
      </c>
      <c r="BI136" s="1452">
        <f t="shared" si="116"/>
        <v>0</v>
      </c>
      <c r="BJ136" s="1452" t="str">
        <f t="shared" si="100"/>
        <v/>
      </c>
      <c r="BK136" s="1452" t="str">
        <f t="shared" si="101"/>
        <v/>
      </c>
      <c r="BL136" s="1452" t="str">
        <f t="shared" si="102"/>
        <v/>
      </c>
      <c r="BM136" s="1452" t="str">
        <f t="shared" si="103"/>
        <v/>
      </c>
      <c r="BN136" s="1452" t="str">
        <f t="shared" ca="1" si="104"/>
        <v/>
      </c>
      <c r="BO136" s="1452" t="str">
        <f t="shared" si="117"/>
        <v/>
      </c>
      <c r="BP136" s="1452" t="str">
        <f t="shared" si="105"/>
        <v/>
      </c>
      <c r="BQ136" s="1452" t="str">
        <f t="shared" si="106"/>
        <v/>
      </c>
      <c r="BR136" s="1452" t="str">
        <f t="shared" si="107"/>
        <v/>
      </c>
      <c r="BS136" s="1452" t="str">
        <f t="shared" si="108"/>
        <v/>
      </c>
      <c r="BT136" s="1452" t="str">
        <f t="shared" si="109"/>
        <v/>
      </c>
      <c r="BU136" s="1452" t="str">
        <f t="shared" si="110"/>
        <v/>
      </c>
      <c r="BV136" s="1452" t="str">
        <f t="shared" si="111"/>
        <v/>
      </c>
      <c r="BW136" s="1558">
        <f t="shared" ca="1" si="118"/>
        <v>0</v>
      </c>
    </row>
    <row r="137" spans="1:75" s="9" customFormat="1" ht="12.5">
      <c r="A137" s="1483" t="str">
        <f t="shared" si="112"/>
        <v>Public Health Wales Trust</v>
      </c>
      <c r="B137" s="1583"/>
      <c r="C137" s="1583"/>
      <c r="D137" s="1583"/>
      <c r="E137" s="1581"/>
      <c r="F137" s="1436"/>
      <c r="G137" s="1547">
        <f t="shared" si="113"/>
        <v>0</v>
      </c>
      <c r="H137" s="1484"/>
      <c r="I137" s="1547">
        <f t="shared" si="114"/>
        <v>0</v>
      </c>
      <c r="J137" s="1485"/>
      <c r="K137" s="1485"/>
      <c r="L137" s="1436"/>
      <c r="M137" s="1439"/>
      <c r="N137" s="1439"/>
      <c r="O137" s="1485"/>
      <c r="P137" s="1486"/>
      <c r="Q137" s="1486"/>
      <c r="R137" s="1487"/>
      <c r="S137" s="1444"/>
      <c r="T137" s="1444"/>
      <c r="U137" s="1444"/>
      <c r="V137" s="1488"/>
      <c r="W137" s="1488"/>
      <c r="X137" s="1488"/>
      <c r="Y137" s="1488"/>
      <c r="Z137" s="1488"/>
      <c r="AA137" s="1488"/>
      <c r="AB137" s="1488"/>
      <c r="AC137" s="1488"/>
      <c r="AD137" s="1488"/>
      <c r="AE137" s="1488"/>
      <c r="AF137" s="1488"/>
      <c r="AG137" s="1488"/>
      <c r="AH137" s="1451">
        <f t="shared" si="86"/>
        <v>0</v>
      </c>
      <c r="AI137" s="1488"/>
      <c r="AJ137" s="1488"/>
      <c r="AK137" s="1488"/>
      <c r="AL137" s="1488"/>
      <c r="AM137" s="1488"/>
      <c r="AN137" s="1488"/>
      <c r="AO137" s="1488"/>
      <c r="AP137" s="1488"/>
      <c r="AQ137" s="1488"/>
      <c r="AR137" s="1488"/>
      <c r="AS137" s="1488"/>
      <c r="AT137" s="1542"/>
      <c r="AU137" s="1599">
        <f t="shared" si="87"/>
        <v>0</v>
      </c>
      <c r="AV137" s="1544">
        <f t="shared" si="115"/>
        <v>0</v>
      </c>
      <c r="AW137" s="1452">
        <f t="shared" si="88"/>
        <v>0</v>
      </c>
      <c r="AX137" s="1452">
        <f t="shared" si="89"/>
        <v>0</v>
      </c>
      <c r="AY137" s="1452">
        <f t="shared" si="90"/>
        <v>0</v>
      </c>
      <c r="AZ137" s="1452">
        <f t="shared" si="91"/>
        <v>0</v>
      </c>
      <c r="BA137" s="1452">
        <f t="shared" si="92"/>
        <v>0</v>
      </c>
      <c r="BB137" s="1452">
        <f t="shared" si="93"/>
        <v>0</v>
      </c>
      <c r="BC137" s="1452">
        <f t="shared" si="94"/>
        <v>0</v>
      </c>
      <c r="BD137" s="1452">
        <f t="shared" si="95"/>
        <v>0</v>
      </c>
      <c r="BE137" s="1452">
        <f t="shared" si="96"/>
        <v>0</v>
      </c>
      <c r="BF137" s="1452">
        <f t="shared" si="97"/>
        <v>0</v>
      </c>
      <c r="BG137" s="1452">
        <f t="shared" si="98"/>
        <v>0</v>
      </c>
      <c r="BH137" s="1452">
        <f t="shared" si="99"/>
        <v>0</v>
      </c>
      <c r="BI137" s="1452">
        <f t="shared" si="116"/>
        <v>0</v>
      </c>
      <c r="BJ137" s="1452" t="str">
        <f t="shared" si="100"/>
        <v/>
      </c>
      <c r="BK137" s="1452" t="str">
        <f t="shared" si="101"/>
        <v/>
      </c>
      <c r="BL137" s="1452" t="str">
        <f t="shared" si="102"/>
        <v/>
      </c>
      <c r="BM137" s="1452" t="str">
        <f t="shared" si="103"/>
        <v/>
      </c>
      <c r="BN137" s="1452" t="str">
        <f t="shared" ca="1" si="104"/>
        <v/>
      </c>
      <c r="BO137" s="1452" t="str">
        <f t="shared" si="117"/>
        <v/>
      </c>
      <c r="BP137" s="1452" t="str">
        <f t="shared" si="105"/>
        <v/>
      </c>
      <c r="BQ137" s="1452" t="str">
        <f t="shared" si="106"/>
        <v/>
      </c>
      <c r="BR137" s="1452" t="str">
        <f t="shared" si="107"/>
        <v/>
      </c>
      <c r="BS137" s="1452" t="str">
        <f t="shared" si="108"/>
        <v/>
      </c>
      <c r="BT137" s="1452" t="str">
        <f t="shared" si="109"/>
        <v/>
      </c>
      <c r="BU137" s="1452" t="str">
        <f t="shared" si="110"/>
        <v/>
      </c>
      <c r="BV137" s="1452" t="str">
        <f t="shared" si="111"/>
        <v/>
      </c>
      <c r="BW137" s="1558">
        <f t="shared" ca="1" si="118"/>
        <v>0</v>
      </c>
    </row>
    <row r="138" spans="1:75" s="9" customFormat="1" ht="12.5">
      <c r="A138" s="1483" t="str">
        <f t="shared" si="112"/>
        <v>Public Health Wales Trust</v>
      </c>
      <c r="B138" s="1583"/>
      <c r="C138" s="1583"/>
      <c r="D138" s="1583"/>
      <c r="E138" s="1581"/>
      <c r="F138" s="1436"/>
      <c r="G138" s="1547">
        <f t="shared" si="113"/>
        <v>0</v>
      </c>
      <c r="H138" s="1484"/>
      <c r="I138" s="1547">
        <f t="shared" si="114"/>
        <v>0</v>
      </c>
      <c r="J138" s="1485"/>
      <c r="K138" s="1485"/>
      <c r="L138" s="1436"/>
      <c r="M138" s="1439"/>
      <c r="N138" s="1439"/>
      <c r="O138" s="1485"/>
      <c r="P138" s="1486"/>
      <c r="Q138" s="1486"/>
      <c r="R138" s="1487"/>
      <c r="S138" s="1444"/>
      <c r="T138" s="1444"/>
      <c r="U138" s="1444"/>
      <c r="V138" s="1488"/>
      <c r="W138" s="1488"/>
      <c r="X138" s="1488"/>
      <c r="Y138" s="1488"/>
      <c r="Z138" s="1488"/>
      <c r="AA138" s="1488"/>
      <c r="AB138" s="1488"/>
      <c r="AC138" s="1488"/>
      <c r="AD138" s="1488"/>
      <c r="AE138" s="1488"/>
      <c r="AF138" s="1488"/>
      <c r="AG138" s="1488"/>
      <c r="AH138" s="1451">
        <f t="shared" si="86"/>
        <v>0</v>
      </c>
      <c r="AI138" s="1488"/>
      <c r="AJ138" s="1488"/>
      <c r="AK138" s="1488"/>
      <c r="AL138" s="1488"/>
      <c r="AM138" s="1488"/>
      <c r="AN138" s="1488"/>
      <c r="AO138" s="1488"/>
      <c r="AP138" s="1488"/>
      <c r="AQ138" s="1488"/>
      <c r="AR138" s="1488"/>
      <c r="AS138" s="1488"/>
      <c r="AT138" s="1542"/>
      <c r="AU138" s="1599">
        <f t="shared" si="87"/>
        <v>0</v>
      </c>
      <c r="AV138" s="1544">
        <f t="shared" si="115"/>
        <v>0</v>
      </c>
      <c r="AW138" s="1452">
        <f t="shared" si="88"/>
        <v>0</v>
      </c>
      <c r="AX138" s="1452">
        <f t="shared" si="89"/>
        <v>0</v>
      </c>
      <c r="AY138" s="1452">
        <f t="shared" si="90"/>
        <v>0</v>
      </c>
      <c r="AZ138" s="1452">
        <f t="shared" si="91"/>
        <v>0</v>
      </c>
      <c r="BA138" s="1452">
        <f t="shared" si="92"/>
        <v>0</v>
      </c>
      <c r="BB138" s="1452">
        <f t="shared" si="93"/>
        <v>0</v>
      </c>
      <c r="BC138" s="1452">
        <f t="shared" si="94"/>
        <v>0</v>
      </c>
      <c r="BD138" s="1452">
        <f t="shared" si="95"/>
        <v>0</v>
      </c>
      <c r="BE138" s="1452">
        <f t="shared" si="96"/>
        <v>0</v>
      </c>
      <c r="BF138" s="1452">
        <f t="shared" si="97"/>
        <v>0</v>
      </c>
      <c r="BG138" s="1452">
        <f t="shared" si="98"/>
        <v>0</v>
      </c>
      <c r="BH138" s="1452">
        <f t="shared" si="99"/>
        <v>0</v>
      </c>
      <c r="BI138" s="1452">
        <f t="shared" si="116"/>
        <v>0</v>
      </c>
      <c r="BJ138" s="1452" t="str">
        <f t="shared" si="100"/>
        <v/>
      </c>
      <c r="BK138" s="1452" t="str">
        <f t="shared" si="101"/>
        <v/>
      </c>
      <c r="BL138" s="1452" t="str">
        <f t="shared" si="102"/>
        <v/>
      </c>
      <c r="BM138" s="1452" t="str">
        <f t="shared" si="103"/>
        <v/>
      </c>
      <c r="BN138" s="1452" t="str">
        <f t="shared" ca="1" si="104"/>
        <v/>
      </c>
      <c r="BO138" s="1452" t="str">
        <f t="shared" si="117"/>
        <v/>
      </c>
      <c r="BP138" s="1452" t="str">
        <f t="shared" si="105"/>
        <v/>
      </c>
      <c r="BQ138" s="1452" t="str">
        <f t="shared" si="106"/>
        <v/>
      </c>
      <c r="BR138" s="1452" t="str">
        <f t="shared" si="107"/>
        <v/>
      </c>
      <c r="BS138" s="1452" t="str">
        <f t="shared" si="108"/>
        <v/>
      </c>
      <c r="BT138" s="1452" t="str">
        <f t="shared" si="109"/>
        <v/>
      </c>
      <c r="BU138" s="1452" t="str">
        <f t="shared" si="110"/>
        <v/>
      </c>
      <c r="BV138" s="1452" t="str">
        <f t="shared" si="111"/>
        <v/>
      </c>
      <c r="BW138" s="1558">
        <f t="shared" ca="1" si="118"/>
        <v>0</v>
      </c>
    </row>
    <row r="139" spans="1:75" s="9" customFormat="1" ht="12.5">
      <c r="A139" s="1483" t="str">
        <f t="shared" si="112"/>
        <v>Public Health Wales Trust</v>
      </c>
      <c r="B139" s="1583"/>
      <c r="C139" s="1583"/>
      <c r="D139" s="1583"/>
      <c r="E139" s="1581"/>
      <c r="F139" s="1436"/>
      <c r="G139" s="1547">
        <f t="shared" si="113"/>
        <v>0</v>
      </c>
      <c r="H139" s="1484"/>
      <c r="I139" s="1547">
        <f t="shared" si="114"/>
        <v>0</v>
      </c>
      <c r="J139" s="1485"/>
      <c r="K139" s="1485"/>
      <c r="L139" s="1436"/>
      <c r="M139" s="1439"/>
      <c r="N139" s="1439"/>
      <c r="O139" s="1485"/>
      <c r="P139" s="1486"/>
      <c r="Q139" s="1486"/>
      <c r="R139" s="1487"/>
      <c r="S139" s="1444"/>
      <c r="T139" s="1444"/>
      <c r="U139" s="1444"/>
      <c r="V139" s="1488"/>
      <c r="W139" s="1488"/>
      <c r="X139" s="1488"/>
      <c r="Y139" s="1488"/>
      <c r="Z139" s="1488"/>
      <c r="AA139" s="1488"/>
      <c r="AB139" s="1488"/>
      <c r="AC139" s="1488"/>
      <c r="AD139" s="1488"/>
      <c r="AE139" s="1488"/>
      <c r="AF139" s="1488"/>
      <c r="AG139" s="1488"/>
      <c r="AH139" s="1451">
        <f t="shared" si="86"/>
        <v>0</v>
      </c>
      <c r="AI139" s="1488"/>
      <c r="AJ139" s="1488"/>
      <c r="AK139" s="1488"/>
      <c r="AL139" s="1488"/>
      <c r="AM139" s="1488"/>
      <c r="AN139" s="1488"/>
      <c r="AO139" s="1488"/>
      <c r="AP139" s="1488"/>
      <c r="AQ139" s="1488"/>
      <c r="AR139" s="1488"/>
      <c r="AS139" s="1488"/>
      <c r="AT139" s="1542"/>
      <c r="AU139" s="1599">
        <f t="shared" si="87"/>
        <v>0</v>
      </c>
      <c r="AV139" s="1544">
        <f t="shared" si="115"/>
        <v>0</v>
      </c>
      <c r="AW139" s="1452">
        <f t="shared" si="88"/>
        <v>0</v>
      </c>
      <c r="AX139" s="1452">
        <f t="shared" si="89"/>
        <v>0</v>
      </c>
      <c r="AY139" s="1452">
        <f t="shared" si="90"/>
        <v>0</v>
      </c>
      <c r="AZ139" s="1452">
        <f t="shared" si="91"/>
        <v>0</v>
      </c>
      <c r="BA139" s="1452">
        <f t="shared" si="92"/>
        <v>0</v>
      </c>
      <c r="BB139" s="1452">
        <f t="shared" si="93"/>
        <v>0</v>
      </c>
      <c r="BC139" s="1452">
        <f t="shared" si="94"/>
        <v>0</v>
      </c>
      <c r="BD139" s="1452">
        <f t="shared" si="95"/>
        <v>0</v>
      </c>
      <c r="BE139" s="1452">
        <f t="shared" si="96"/>
        <v>0</v>
      </c>
      <c r="BF139" s="1452">
        <f t="shared" si="97"/>
        <v>0</v>
      </c>
      <c r="BG139" s="1452">
        <f t="shared" si="98"/>
        <v>0</v>
      </c>
      <c r="BH139" s="1452">
        <f t="shared" si="99"/>
        <v>0</v>
      </c>
      <c r="BI139" s="1452">
        <f t="shared" si="116"/>
        <v>0</v>
      </c>
      <c r="BJ139" s="1452" t="str">
        <f t="shared" si="100"/>
        <v/>
      </c>
      <c r="BK139" s="1452" t="str">
        <f t="shared" si="101"/>
        <v/>
      </c>
      <c r="BL139" s="1452" t="str">
        <f t="shared" si="102"/>
        <v/>
      </c>
      <c r="BM139" s="1452" t="str">
        <f t="shared" si="103"/>
        <v/>
      </c>
      <c r="BN139" s="1452" t="str">
        <f t="shared" ca="1" si="104"/>
        <v/>
      </c>
      <c r="BO139" s="1452" t="str">
        <f t="shared" si="117"/>
        <v/>
      </c>
      <c r="BP139" s="1452" t="str">
        <f t="shared" si="105"/>
        <v/>
      </c>
      <c r="BQ139" s="1452" t="str">
        <f t="shared" si="106"/>
        <v/>
      </c>
      <c r="BR139" s="1452" t="str">
        <f t="shared" si="107"/>
        <v/>
      </c>
      <c r="BS139" s="1452" t="str">
        <f t="shared" si="108"/>
        <v/>
      </c>
      <c r="BT139" s="1452" t="str">
        <f t="shared" si="109"/>
        <v/>
      </c>
      <c r="BU139" s="1452" t="str">
        <f t="shared" si="110"/>
        <v/>
      </c>
      <c r="BV139" s="1452" t="str">
        <f t="shared" si="111"/>
        <v/>
      </c>
      <c r="BW139" s="1558">
        <f t="shared" ca="1" si="118"/>
        <v>0</v>
      </c>
    </row>
    <row r="140" spans="1:75" s="9" customFormat="1" ht="12.5">
      <c r="A140" s="1483" t="str">
        <f t="shared" si="112"/>
        <v>Public Health Wales Trust</v>
      </c>
      <c r="B140" s="1583"/>
      <c r="C140" s="1583"/>
      <c r="D140" s="1583"/>
      <c r="E140" s="1581"/>
      <c r="F140" s="1436"/>
      <c r="G140" s="1547">
        <f t="shared" si="113"/>
        <v>0</v>
      </c>
      <c r="H140" s="1484"/>
      <c r="I140" s="1547">
        <f t="shared" si="114"/>
        <v>0</v>
      </c>
      <c r="J140" s="1485"/>
      <c r="K140" s="1485"/>
      <c r="L140" s="1436"/>
      <c r="M140" s="1439"/>
      <c r="N140" s="1439"/>
      <c r="O140" s="1485"/>
      <c r="P140" s="1486"/>
      <c r="Q140" s="1486"/>
      <c r="R140" s="1487"/>
      <c r="S140" s="1444"/>
      <c r="T140" s="1444"/>
      <c r="U140" s="1444"/>
      <c r="V140" s="1488"/>
      <c r="W140" s="1488"/>
      <c r="X140" s="1488"/>
      <c r="Y140" s="1488"/>
      <c r="Z140" s="1488"/>
      <c r="AA140" s="1488"/>
      <c r="AB140" s="1488"/>
      <c r="AC140" s="1488"/>
      <c r="AD140" s="1488"/>
      <c r="AE140" s="1488"/>
      <c r="AF140" s="1488"/>
      <c r="AG140" s="1488"/>
      <c r="AH140" s="1451">
        <f t="shared" si="86"/>
        <v>0</v>
      </c>
      <c r="AI140" s="1488"/>
      <c r="AJ140" s="1488"/>
      <c r="AK140" s="1488"/>
      <c r="AL140" s="1488"/>
      <c r="AM140" s="1488"/>
      <c r="AN140" s="1488"/>
      <c r="AO140" s="1488"/>
      <c r="AP140" s="1488"/>
      <c r="AQ140" s="1488"/>
      <c r="AR140" s="1488"/>
      <c r="AS140" s="1488"/>
      <c r="AT140" s="1542"/>
      <c r="AU140" s="1599">
        <f t="shared" si="87"/>
        <v>0</v>
      </c>
      <c r="AV140" s="1544">
        <f t="shared" si="115"/>
        <v>0</v>
      </c>
      <c r="AW140" s="1452">
        <f t="shared" si="88"/>
        <v>0</v>
      </c>
      <c r="AX140" s="1452">
        <f t="shared" si="89"/>
        <v>0</v>
      </c>
      <c r="AY140" s="1452">
        <f t="shared" si="90"/>
        <v>0</v>
      </c>
      <c r="AZ140" s="1452">
        <f t="shared" si="91"/>
        <v>0</v>
      </c>
      <c r="BA140" s="1452">
        <f t="shared" si="92"/>
        <v>0</v>
      </c>
      <c r="BB140" s="1452">
        <f t="shared" si="93"/>
        <v>0</v>
      </c>
      <c r="BC140" s="1452">
        <f t="shared" si="94"/>
        <v>0</v>
      </c>
      <c r="BD140" s="1452">
        <f t="shared" si="95"/>
        <v>0</v>
      </c>
      <c r="BE140" s="1452">
        <f t="shared" si="96"/>
        <v>0</v>
      </c>
      <c r="BF140" s="1452">
        <f t="shared" si="97"/>
        <v>0</v>
      </c>
      <c r="BG140" s="1452">
        <f t="shared" si="98"/>
        <v>0</v>
      </c>
      <c r="BH140" s="1452">
        <f t="shared" si="99"/>
        <v>0</v>
      </c>
      <c r="BI140" s="1452">
        <f t="shared" si="116"/>
        <v>0</v>
      </c>
      <c r="BJ140" s="1452" t="str">
        <f t="shared" si="100"/>
        <v/>
      </c>
      <c r="BK140" s="1452" t="str">
        <f t="shared" si="101"/>
        <v/>
      </c>
      <c r="BL140" s="1452" t="str">
        <f t="shared" si="102"/>
        <v/>
      </c>
      <c r="BM140" s="1452" t="str">
        <f t="shared" si="103"/>
        <v/>
      </c>
      <c r="BN140" s="1452" t="str">
        <f t="shared" ca="1" si="104"/>
        <v/>
      </c>
      <c r="BO140" s="1452" t="str">
        <f t="shared" si="117"/>
        <v/>
      </c>
      <c r="BP140" s="1452" t="str">
        <f t="shared" si="105"/>
        <v/>
      </c>
      <c r="BQ140" s="1452" t="str">
        <f t="shared" si="106"/>
        <v/>
      </c>
      <c r="BR140" s="1452" t="str">
        <f t="shared" si="107"/>
        <v/>
      </c>
      <c r="BS140" s="1452" t="str">
        <f t="shared" si="108"/>
        <v/>
      </c>
      <c r="BT140" s="1452" t="str">
        <f t="shared" si="109"/>
        <v/>
      </c>
      <c r="BU140" s="1452" t="str">
        <f t="shared" si="110"/>
        <v/>
      </c>
      <c r="BV140" s="1452" t="str">
        <f t="shared" si="111"/>
        <v/>
      </c>
      <c r="BW140" s="1558">
        <f t="shared" ca="1" si="118"/>
        <v>0</v>
      </c>
    </row>
    <row r="141" spans="1:75" s="9" customFormat="1" ht="12.5">
      <c r="A141" s="1483" t="str">
        <f t="shared" si="112"/>
        <v>Public Health Wales Trust</v>
      </c>
      <c r="B141" s="1583"/>
      <c r="C141" s="1583"/>
      <c r="D141" s="1583"/>
      <c r="E141" s="1581"/>
      <c r="F141" s="1436"/>
      <c r="G141" s="1547">
        <f t="shared" si="113"/>
        <v>0</v>
      </c>
      <c r="H141" s="1484"/>
      <c r="I141" s="1547">
        <f t="shared" si="114"/>
        <v>0</v>
      </c>
      <c r="J141" s="1485"/>
      <c r="K141" s="1485"/>
      <c r="L141" s="1436"/>
      <c r="M141" s="1439"/>
      <c r="N141" s="1439"/>
      <c r="O141" s="1485"/>
      <c r="P141" s="1486"/>
      <c r="Q141" s="1486"/>
      <c r="R141" s="1487"/>
      <c r="S141" s="1444"/>
      <c r="T141" s="1444"/>
      <c r="U141" s="1444"/>
      <c r="V141" s="1488"/>
      <c r="W141" s="1488"/>
      <c r="X141" s="1488"/>
      <c r="Y141" s="1488"/>
      <c r="Z141" s="1488"/>
      <c r="AA141" s="1488"/>
      <c r="AB141" s="1488"/>
      <c r="AC141" s="1488"/>
      <c r="AD141" s="1488"/>
      <c r="AE141" s="1488"/>
      <c r="AF141" s="1488"/>
      <c r="AG141" s="1488"/>
      <c r="AH141" s="1451">
        <f t="shared" si="86"/>
        <v>0</v>
      </c>
      <c r="AI141" s="1488"/>
      <c r="AJ141" s="1488"/>
      <c r="AK141" s="1488"/>
      <c r="AL141" s="1488"/>
      <c r="AM141" s="1488"/>
      <c r="AN141" s="1488"/>
      <c r="AO141" s="1488"/>
      <c r="AP141" s="1488"/>
      <c r="AQ141" s="1488"/>
      <c r="AR141" s="1488"/>
      <c r="AS141" s="1488"/>
      <c r="AT141" s="1542"/>
      <c r="AU141" s="1599">
        <f t="shared" si="87"/>
        <v>0</v>
      </c>
      <c r="AV141" s="1544">
        <f t="shared" si="115"/>
        <v>0</v>
      </c>
      <c r="AW141" s="1452">
        <f t="shared" si="88"/>
        <v>0</v>
      </c>
      <c r="AX141" s="1452">
        <f t="shared" si="89"/>
        <v>0</v>
      </c>
      <c r="AY141" s="1452">
        <f t="shared" si="90"/>
        <v>0</v>
      </c>
      <c r="AZ141" s="1452">
        <f t="shared" si="91"/>
        <v>0</v>
      </c>
      <c r="BA141" s="1452">
        <f t="shared" si="92"/>
        <v>0</v>
      </c>
      <c r="BB141" s="1452">
        <f t="shared" si="93"/>
        <v>0</v>
      </c>
      <c r="BC141" s="1452">
        <f t="shared" si="94"/>
        <v>0</v>
      </c>
      <c r="BD141" s="1452">
        <f t="shared" si="95"/>
        <v>0</v>
      </c>
      <c r="BE141" s="1452">
        <f t="shared" si="96"/>
        <v>0</v>
      </c>
      <c r="BF141" s="1452">
        <f t="shared" si="97"/>
        <v>0</v>
      </c>
      <c r="BG141" s="1452">
        <f t="shared" si="98"/>
        <v>0</v>
      </c>
      <c r="BH141" s="1452">
        <f t="shared" si="99"/>
        <v>0</v>
      </c>
      <c r="BI141" s="1452">
        <f t="shared" si="116"/>
        <v>0</v>
      </c>
      <c r="BJ141" s="1452" t="str">
        <f t="shared" si="100"/>
        <v/>
      </c>
      <c r="BK141" s="1452" t="str">
        <f t="shared" si="101"/>
        <v/>
      </c>
      <c r="BL141" s="1452" t="str">
        <f t="shared" si="102"/>
        <v/>
      </c>
      <c r="BM141" s="1452" t="str">
        <f t="shared" si="103"/>
        <v/>
      </c>
      <c r="BN141" s="1452" t="str">
        <f t="shared" ca="1" si="104"/>
        <v/>
      </c>
      <c r="BO141" s="1452" t="str">
        <f t="shared" si="117"/>
        <v/>
      </c>
      <c r="BP141" s="1452" t="str">
        <f t="shared" si="105"/>
        <v/>
      </c>
      <c r="BQ141" s="1452" t="str">
        <f t="shared" si="106"/>
        <v/>
      </c>
      <c r="BR141" s="1452" t="str">
        <f t="shared" si="107"/>
        <v/>
      </c>
      <c r="BS141" s="1452" t="str">
        <f t="shared" si="108"/>
        <v/>
      </c>
      <c r="BT141" s="1452" t="str">
        <f t="shared" si="109"/>
        <v/>
      </c>
      <c r="BU141" s="1452" t="str">
        <f t="shared" si="110"/>
        <v/>
      </c>
      <c r="BV141" s="1452" t="str">
        <f t="shared" si="111"/>
        <v/>
      </c>
      <c r="BW141" s="1558">
        <f t="shared" ca="1" si="118"/>
        <v>0</v>
      </c>
    </row>
    <row r="142" spans="1:75" s="9" customFormat="1" ht="12.5">
      <c r="A142" s="1483" t="str">
        <f t="shared" si="112"/>
        <v>Public Health Wales Trust</v>
      </c>
      <c r="B142" s="1583"/>
      <c r="C142" s="1583"/>
      <c r="D142" s="1583"/>
      <c r="E142" s="1581"/>
      <c r="F142" s="1436"/>
      <c r="G142" s="1547">
        <f t="shared" si="113"/>
        <v>0</v>
      </c>
      <c r="H142" s="1484"/>
      <c r="I142" s="1547">
        <f t="shared" si="114"/>
        <v>0</v>
      </c>
      <c r="J142" s="1485"/>
      <c r="K142" s="1485"/>
      <c r="L142" s="1436"/>
      <c r="M142" s="1439"/>
      <c r="N142" s="1439"/>
      <c r="O142" s="1485"/>
      <c r="P142" s="1486"/>
      <c r="Q142" s="1486"/>
      <c r="R142" s="1487"/>
      <c r="S142" s="1444"/>
      <c r="T142" s="1444"/>
      <c r="U142" s="1444"/>
      <c r="V142" s="1488"/>
      <c r="W142" s="1488"/>
      <c r="X142" s="1488"/>
      <c r="Y142" s="1488"/>
      <c r="Z142" s="1488"/>
      <c r="AA142" s="1488"/>
      <c r="AB142" s="1488"/>
      <c r="AC142" s="1488"/>
      <c r="AD142" s="1488"/>
      <c r="AE142" s="1488"/>
      <c r="AF142" s="1488"/>
      <c r="AG142" s="1488"/>
      <c r="AH142" s="1451">
        <f t="shared" si="86"/>
        <v>0</v>
      </c>
      <c r="AI142" s="1488"/>
      <c r="AJ142" s="1488"/>
      <c r="AK142" s="1488"/>
      <c r="AL142" s="1488"/>
      <c r="AM142" s="1488"/>
      <c r="AN142" s="1488"/>
      <c r="AO142" s="1488"/>
      <c r="AP142" s="1488"/>
      <c r="AQ142" s="1488"/>
      <c r="AR142" s="1488"/>
      <c r="AS142" s="1488"/>
      <c r="AT142" s="1542"/>
      <c r="AU142" s="1599">
        <f t="shared" si="87"/>
        <v>0</v>
      </c>
      <c r="AV142" s="1544">
        <f t="shared" si="115"/>
        <v>0</v>
      </c>
      <c r="AW142" s="1452">
        <f t="shared" si="88"/>
        <v>0</v>
      </c>
      <c r="AX142" s="1452">
        <f t="shared" si="89"/>
        <v>0</v>
      </c>
      <c r="AY142" s="1452">
        <f t="shared" si="90"/>
        <v>0</v>
      </c>
      <c r="AZ142" s="1452">
        <f t="shared" si="91"/>
        <v>0</v>
      </c>
      <c r="BA142" s="1452">
        <f t="shared" si="92"/>
        <v>0</v>
      </c>
      <c r="BB142" s="1452">
        <f t="shared" si="93"/>
        <v>0</v>
      </c>
      <c r="BC142" s="1452">
        <f t="shared" si="94"/>
        <v>0</v>
      </c>
      <c r="BD142" s="1452">
        <f t="shared" si="95"/>
        <v>0</v>
      </c>
      <c r="BE142" s="1452">
        <f t="shared" si="96"/>
        <v>0</v>
      </c>
      <c r="BF142" s="1452">
        <f t="shared" si="97"/>
        <v>0</v>
      </c>
      <c r="BG142" s="1452">
        <f t="shared" si="98"/>
        <v>0</v>
      </c>
      <c r="BH142" s="1452">
        <f t="shared" si="99"/>
        <v>0</v>
      </c>
      <c r="BI142" s="1452">
        <f t="shared" si="116"/>
        <v>0</v>
      </c>
      <c r="BJ142" s="1452" t="str">
        <f t="shared" si="100"/>
        <v/>
      </c>
      <c r="BK142" s="1452" t="str">
        <f t="shared" si="101"/>
        <v/>
      </c>
      <c r="BL142" s="1452" t="str">
        <f t="shared" si="102"/>
        <v/>
      </c>
      <c r="BM142" s="1452" t="str">
        <f t="shared" si="103"/>
        <v/>
      </c>
      <c r="BN142" s="1452" t="str">
        <f t="shared" ca="1" si="104"/>
        <v/>
      </c>
      <c r="BO142" s="1452" t="str">
        <f t="shared" si="117"/>
        <v/>
      </c>
      <c r="BP142" s="1452" t="str">
        <f t="shared" si="105"/>
        <v/>
      </c>
      <c r="BQ142" s="1452" t="str">
        <f t="shared" si="106"/>
        <v/>
      </c>
      <c r="BR142" s="1452" t="str">
        <f t="shared" si="107"/>
        <v/>
      </c>
      <c r="BS142" s="1452" t="str">
        <f t="shared" si="108"/>
        <v/>
      </c>
      <c r="BT142" s="1452" t="str">
        <f t="shared" si="109"/>
        <v/>
      </c>
      <c r="BU142" s="1452" t="str">
        <f t="shared" si="110"/>
        <v/>
      </c>
      <c r="BV142" s="1452" t="str">
        <f t="shared" si="111"/>
        <v/>
      </c>
      <c r="BW142" s="1558">
        <f t="shared" ca="1" si="118"/>
        <v>0</v>
      </c>
    </row>
    <row r="143" spans="1:75" s="9" customFormat="1" ht="12.5">
      <c r="A143" s="1483" t="str">
        <f t="shared" si="112"/>
        <v>Public Health Wales Trust</v>
      </c>
      <c r="B143" s="1583"/>
      <c r="C143" s="1583"/>
      <c r="D143" s="1583"/>
      <c r="E143" s="1581"/>
      <c r="F143" s="1436"/>
      <c r="G143" s="1547">
        <f t="shared" si="113"/>
        <v>0</v>
      </c>
      <c r="H143" s="1484"/>
      <c r="I143" s="1547">
        <f t="shared" si="114"/>
        <v>0</v>
      </c>
      <c r="J143" s="1485"/>
      <c r="K143" s="1485"/>
      <c r="L143" s="1436"/>
      <c r="M143" s="1439"/>
      <c r="N143" s="1439"/>
      <c r="O143" s="1485"/>
      <c r="P143" s="1486"/>
      <c r="Q143" s="1486"/>
      <c r="R143" s="1487"/>
      <c r="S143" s="1444"/>
      <c r="T143" s="1444"/>
      <c r="U143" s="1444"/>
      <c r="V143" s="1488"/>
      <c r="W143" s="1488"/>
      <c r="X143" s="1488"/>
      <c r="Y143" s="1488"/>
      <c r="Z143" s="1488"/>
      <c r="AA143" s="1488"/>
      <c r="AB143" s="1488"/>
      <c r="AC143" s="1488"/>
      <c r="AD143" s="1488"/>
      <c r="AE143" s="1488"/>
      <c r="AF143" s="1488"/>
      <c r="AG143" s="1488"/>
      <c r="AH143" s="1451">
        <f t="shared" si="86"/>
        <v>0</v>
      </c>
      <c r="AI143" s="1488"/>
      <c r="AJ143" s="1488"/>
      <c r="AK143" s="1488"/>
      <c r="AL143" s="1488"/>
      <c r="AM143" s="1488"/>
      <c r="AN143" s="1488"/>
      <c r="AO143" s="1488"/>
      <c r="AP143" s="1488"/>
      <c r="AQ143" s="1488"/>
      <c r="AR143" s="1488"/>
      <c r="AS143" s="1488"/>
      <c r="AT143" s="1542"/>
      <c r="AU143" s="1599">
        <f t="shared" si="87"/>
        <v>0</v>
      </c>
      <c r="AV143" s="1544">
        <f t="shared" si="115"/>
        <v>0</v>
      </c>
      <c r="AW143" s="1452">
        <f t="shared" si="88"/>
        <v>0</v>
      </c>
      <c r="AX143" s="1452">
        <f t="shared" si="89"/>
        <v>0</v>
      </c>
      <c r="AY143" s="1452">
        <f t="shared" si="90"/>
        <v>0</v>
      </c>
      <c r="AZ143" s="1452">
        <f t="shared" si="91"/>
        <v>0</v>
      </c>
      <c r="BA143" s="1452">
        <f t="shared" si="92"/>
        <v>0</v>
      </c>
      <c r="BB143" s="1452">
        <f t="shared" si="93"/>
        <v>0</v>
      </c>
      <c r="BC143" s="1452">
        <f t="shared" si="94"/>
        <v>0</v>
      </c>
      <c r="BD143" s="1452">
        <f t="shared" si="95"/>
        <v>0</v>
      </c>
      <c r="BE143" s="1452">
        <f t="shared" si="96"/>
        <v>0</v>
      </c>
      <c r="BF143" s="1452">
        <f t="shared" si="97"/>
        <v>0</v>
      </c>
      <c r="BG143" s="1452">
        <f t="shared" si="98"/>
        <v>0</v>
      </c>
      <c r="BH143" s="1452">
        <f t="shared" si="99"/>
        <v>0</v>
      </c>
      <c r="BI143" s="1452">
        <f t="shared" si="116"/>
        <v>0</v>
      </c>
      <c r="BJ143" s="1452" t="str">
        <f t="shared" si="100"/>
        <v/>
      </c>
      <c r="BK143" s="1452" t="str">
        <f t="shared" si="101"/>
        <v/>
      </c>
      <c r="BL143" s="1452" t="str">
        <f t="shared" si="102"/>
        <v/>
      </c>
      <c r="BM143" s="1452" t="str">
        <f t="shared" si="103"/>
        <v/>
      </c>
      <c r="BN143" s="1452" t="str">
        <f t="shared" ca="1" si="104"/>
        <v/>
      </c>
      <c r="BO143" s="1452" t="str">
        <f t="shared" si="117"/>
        <v/>
      </c>
      <c r="BP143" s="1452" t="str">
        <f t="shared" si="105"/>
        <v/>
      </c>
      <c r="BQ143" s="1452" t="str">
        <f t="shared" si="106"/>
        <v/>
      </c>
      <c r="BR143" s="1452" t="str">
        <f t="shared" si="107"/>
        <v/>
      </c>
      <c r="BS143" s="1452" t="str">
        <f t="shared" si="108"/>
        <v/>
      </c>
      <c r="BT143" s="1452" t="str">
        <f t="shared" si="109"/>
        <v/>
      </c>
      <c r="BU143" s="1452" t="str">
        <f t="shared" si="110"/>
        <v/>
      </c>
      <c r="BV143" s="1452" t="str">
        <f t="shared" si="111"/>
        <v/>
      </c>
      <c r="BW143" s="1558">
        <f t="shared" ca="1" si="118"/>
        <v>0</v>
      </c>
    </row>
    <row r="144" spans="1:75" s="9" customFormat="1" ht="12.5">
      <c r="A144" s="1483" t="str">
        <f t="shared" si="112"/>
        <v>Public Health Wales Trust</v>
      </c>
      <c r="B144" s="1583"/>
      <c r="C144" s="1583"/>
      <c r="D144" s="1583"/>
      <c r="E144" s="1581"/>
      <c r="F144" s="1436"/>
      <c r="G144" s="1547">
        <f t="shared" si="113"/>
        <v>0</v>
      </c>
      <c r="H144" s="1484"/>
      <c r="I144" s="1547">
        <f t="shared" si="114"/>
        <v>0</v>
      </c>
      <c r="J144" s="1485"/>
      <c r="K144" s="1485"/>
      <c r="L144" s="1436"/>
      <c r="M144" s="1439"/>
      <c r="N144" s="1439"/>
      <c r="O144" s="1485"/>
      <c r="P144" s="1486"/>
      <c r="Q144" s="1486"/>
      <c r="R144" s="1487"/>
      <c r="S144" s="1444"/>
      <c r="T144" s="1444"/>
      <c r="U144" s="1444"/>
      <c r="V144" s="1488"/>
      <c r="W144" s="1488"/>
      <c r="X144" s="1488"/>
      <c r="Y144" s="1488"/>
      <c r="Z144" s="1488"/>
      <c r="AA144" s="1488"/>
      <c r="AB144" s="1488"/>
      <c r="AC144" s="1488"/>
      <c r="AD144" s="1488"/>
      <c r="AE144" s="1488"/>
      <c r="AF144" s="1488"/>
      <c r="AG144" s="1488"/>
      <c r="AH144" s="1451">
        <f t="shared" si="86"/>
        <v>0</v>
      </c>
      <c r="AI144" s="1488"/>
      <c r="AJ144" s="1488"/>
      <c r="AK144" s="1488"/>
      <c r="AL144" s="1488"/>
      <c r="AM144" s="1488"/>
      <c r="AN144" s="1488"/>
      <c r="AO144" s="1488"/>
      <c r="AP144" s="1488"/>
      <c r="AQ144" s="1488"/>
      <c r="AR144" s="1488"/>
      <c r="AS144" s="1488"/>
      <c r="AT144" s="1542"/>
      <c r="AU144" s="1599">
        <f t="shared" si="87"/>
        <v>0</v>
      </c>
      <c r="AV144" s="1544">
        <f t="shared" si="115"/>
        <v>0</v>
      </c>
      <c r="AW144" s="1452">
        <f t="shared" si="88"/>
        <v>0</v>
      </c>
      <c r="AX144" s="1452">
        <f t="shared" si="89"/>
        <v>0</v>
      </c>
      <c r="AY144" s="1452">
        <f t="shared" si="90"/>
        <v>0</v>
      </c>
      <c r="AZ144" s="1452">
        <f t="shared" si="91"/>
        <v>0</v>
      </c>
      <c r="BA144" s="1452">
        <f t="shared" si="92"/>
        <v>0</v>
      </c>
      <c r="BB144" s="1452">
        <f t="shared" si="93"/>
        <v>0</v>
      </c>
      <c r="BC144" s="1452">
        <f t="shared" si="94"/>
        <v>0</v>
      </c>
      <c r="BD144" s="1452">
        <f t="shared" si="95"/>
        <v>0</v>
      </c>
      <c r="BE144" s="1452">
        <f t="shared" si="96"/>
        <v>0</v>
      </c>
      <c r="BF144" s="1452">
        <f t="shared" si="97"/>
        <v>0</v>
      </c>
      <c r="BG144" s="1452">
        <f t="shared" si="98"/>
        <v>0</v>
      </c>
      <c r="BH144" s="1452">
        <f t="shared" si="99"/>
        <v>0</v>
      </c>
      <c r="BI144" s="1452">
        <f t="shared" si="116"/>
        <v>0</v>
      </c>
      <c r="BJ144" s="1452" t="str">
        <f t="shared" si="100"/>
        <v/>
      </c>
      <c r="BK144" s="1452" t="str">
        <f t="shared" si="101"/>
        <v/>
      </c>
      <c r="BL144" s="1452" t="str">
        <f t="shared" si="102"/>
        <v/>
      </c>
      <c r="BM144" s="1452" t="str">
        <f t="shared" si="103"/>
        <v/>
      </c>
      <c r="BN144" s="1452" t="str">
        <f t="shared" ca="1" si="104"/>
        <v/>
      </c>
      <c r="BO144" s="1452" t="str">
        <f t="shared" si="117"/>
        <v/>
      </c>
      <c r="BP144" s="1452" t="str">
        <f t="shared" si="105"/>
        <v/>
      </c>
      <c r="BQ144" s="1452" t="str">
        <f t="shared" si="106"/>
        <v/>
      </c>
      <c r="BR144" s="1452" t="str">
        <f t="shared" si="107"/>
        <v/>
      </c>
      <c r="BS144" s="1452" t="str">
        <f t="shared" si="108"/>
        <v/>
      </c>
      <c r="BT144" s="1452" t="str">
        <f t="shared" si="109"/>
        <v/>
      </c>
      <c r="BU144" s="1452" t="str">
        <f t="shared" si="110"/>
        <v/>
      </c>
      <c r="BV144" s="1452" t="str">
        <f t="shared" si="111"/>
        <v/>
      </c>
      <c r="BW144" s="1558">
        <f t="shared" ca="1" si="118"/>
        <v>0</v>
      </c>
    </row>
    <row r="145" spans="1:75" s="9" customFormat="1" ht="12.5">
      <c r="A145" s="1483" t="str">
        <f t="shared" si="112"/>
        <v>Public Health Wales Trust</v>
      </c>
      <c r="B145" s="1583"/>
      <c r="C145" s="1583"/>
      <c r="D145" s="1583"/>
      <c r="E145" s="1581"/>
      <c r="F145" s="1436"/>
      <c r="G145" s="1547">
        <f t="shared" si="113"/>
        <v>0</v>
      </c>
      <c r="H145" s="1484"/>
      <c r="I145" s="1547">
        <f t="shared" si="114"/>
        <v>0</v>
      </c>
      <c r="J145" s="1485"/>
      <c r="K145" s="1485"/>
      <c r="L145" s="1436"/>
      <c r="M145" s="1439"/>
      <c r="N145" s="1439"/>
      <c r="O145" s="1485"/>
      <c r="P145" s="1486"/>
      <c r="Q145" s="1486"/>
      <c r="R145" s="1487"/>
      <c r="S145" s="1444"/>
      <c r="T145" s="1444"/>
      <c r="U145" s="1444"/>
      <c r="V145" s="1488"/>
      <c r="W145" s="1488"/>
      <c r="X145" s="1488"/>
      <c r="Y145" s="1488"/>
      <c r="Z145" s="1488"/>
      <c r="AA145" s="1488"/>
      <c r="AB145" s="1488"/>
      <c r="AC145" s="1488"/>
      <c r="AD145" s="1488"/>
      <c r="AE145" s="1488"/>
      <c r="AF145" s="1488"/>
      <c r="AG145" s="1488"/>
      <c r="AH145" s="1451">
        <f t="shared" si="86"/>
        <v>0</v>
      </c>
      <c r="AI145" s="1488"/>
      <c r="AJ145" s="1488"/>
      <c r="AK145" s="1488"/>
      <c r="AL145" s="1488"/>
      <c r="AM145" s="1488"/>
      <c r="AN145" s="1488"/>
      <c r="AO145" s="1488"/>
      <c r="AP145" s="1488"/>
      <c r="AQ145" s="1488"/>
      <c r="AR145" s="1488"/>
      <c r="AS145" s="1488"/>
      <c r="AT145" s="1542"/>
      <c r="AU145" s="1599">
        <f t="shared" si="87"/>
        <v>0</v>
      </c>
      <c r="AV145" s="1544">
        <f t="shared" si="115"/>
        <v>0</v>
      </c>
      <c r="AW145" s="1452">
        <f t="shared" si="88"/>
        <v>0</v>
      </c>
      <c r="AX145" s="1452">
        <f t="shared" si="89"/>
        <v>0</v>
      </c>
      <c r="AY145" s="1452">
        <f t="shared" si="90"/>
        <v>0</v>
      </c>
      <c r="AZ145" s="1452">
        <f t="shared" si="91"/>
        <v>0</v>
      </c>
      <c r="BA145" s="1452">
        <f t="shared" si="92"/>
        <v>0</v>
      </c>
      <c r="BB145" s="1452">
        <f t="shared" si="93"/>
        <v>0</v>
      </c>
      <c r="BC145" s="1452">
        <f t="shared" si="94"/>
        <v>0</v>
      </c>
      <c r="BD145" s="1452">
        <f t="shared" si="95"/>
        <v>0</v>
      </c>
      <c r="BE145" s="1452">
        <f t="shared" si="96"/>
        <v>0</v>
      </c>
      <c r="BF145" s="1452">
        <f t="shared" si="97"/>
        <v>0</v>
      </c>
      <c r="BG145" s="1452">
        <f t="shared" si="98"/>
        <v>0</v>
      </c>
      <c r="BH145" s="1452">
        <f t="shared" si="99"/>
        <v>0</v>
      </c>
      <c r="BI145" s="1452">
        <f t="shared" si="116"/>
        <v>0</v>
      </c>
      <c r="BJ145" s="1452" t="str">
        <f t="shared" si="100"/>
        <v/>
      </c>
      <c r="BK145" s="1452" t="str">
        <f t="shared" si="101"/>
        <v/>
      </c>
      <c r="BL145" s="1452" t="str">
        <f t="shared" si="102"/>
        <v/>
      </c>
      <c r="BM145" s="1452" t="str">
        <f t="shared" si="103"/>
        <v/>
      </c>
      <c r="BN145" s="1452" t="str">
        <f t="shared" ca="1" si="104"/>
        <v/>
      </c>
      <c r="BO145" s="1452" t="str">
        <f t="shared" si="117"/>
        <v/>
      </c>
      <c r="BP145" s="1452" t="str">
        <f t="shared" si="105"/>
        <v/>
      </c>
      <c r="BQ145" s="1452" t="str">
        <f t="shared" si="106"/>
        <v/>
      </c>
      <c r="BR145" s="1452" t="str">
        <f t="shared" si="107"/>
        <v/>
      </c>
      <c r="BS145" s="1452" t="str">
        <f t="shared" si="108"/>
        <v/>
      </c>
      <c r="BT145" s="1452" t="str">
        <f t="shared" si="109"/>
        <v/>
      </c>
      <c r="BU145" s="1452" t="str">
        <f t="shared" si="110"/>
        <v/>
      </c>
      <c r="BV145" s="1452" t="str">
        <f t="shared" si="111"/>
        <v/>
      </c>
      <c r="BW145" s="1558">
        <f t="shared" ca="1" si="118"/>
        <v>0</v>
      </c>
    </row>
    <row r="146" spans="1:75" s="9" customFormat="1" ht="12.5">
      <c r="A146" s="1483" t="str">
        <f t="shared" si="112"/>
        <v>Public Health Wales Trust</v>
      </c>
      <c r="B146" s="1583"/>
      <c r="C146" s="1583"/>
      <c r="D146" s="1583"/>
      <c r="E146" s="1581"/>
      <c r="F146" s="1436"/>
      <c r="G146" s="1547">
        <f t="shared" si="113"/>
        <v>0</v>
      </c>
      <c r="H146" s="1484"/>
      <c r="I146" s="1547">
        <f t="shared" si="114"/>
        <v>0</v>
      </c>
      <c r="J146" s="1485"/>
      <c r="K146" s="1485"/>
      <c r="L146" s="1436"/>
      <c r="M146" s="1439"/>
      <c r="N146" s="1439"/>
      <c r="O146" s="1485"/>
      <c r="P146" s="1486"/>
      <c r="Q146" s="1486"/>
      <c r="R146" s="1487"/>
      <c r="S146" s="1444"/>
      <c r="T146" s="1444"/>
      <c r="U146" s="1444"/>
      <c r="V146" s="1488"/>
      <c r="W146" s="1488"/>
      <c r="X146" s="1488"/>
      <c r="Y146" s="1488"/>
      <c r="Z146" s="1488"/>
      <c r="AA146" s="1488"/>
      <c r="AB146" s="1488"/>
      <c r="AC146" s="1488"/>
      <c r="AD146" s="1488"/>
      <c r="AE146" s="1488"/>
      <c r="AF146" s="1488"/>
      <c r="AG146" s="1488"/>
      <c r="AH146" s="1451">
        <f t="shared" si="86"/>
        <v>0</v>
      </c>
      <c r="AI146" s="1488"/>
      <c r="AJ146" s="1488"/>
      <c r="AK146" s="1488"/>
      <c r="AL146" s="1488"/>
      <c r="AM146" s="1488"/>
      <c r="AN146" s="1488"/>
      <c r="AO146" s="1488"/>
      <c r="AP146" s="1488"/>
      <c r="AQ146" s="1488"/>
      <c r="AR146" s="1488"/>
      <c r="AS146" s="1488"/>
      <c r="AT146" s="1542"/>
      <c r="AU146" s="1599">
        <f t="shared" si="87"/>
        <v>0</v>
      </c>
      <c r="AV146" s="1544">
        <f t="shared" si="115"/>
        <v>0</v>
      </c>
      <c r="AW146" s="1452">
        <f t="shared" si="88"/>
        <v>0</v>
      </c>
      <c r="AX146" s="1452">
        <f t="shared" si="89"/>
        <v>0</v>
      </c>
      <c r="AY146" s="1452">
        <f t="shared" si="90"/>
        <v>0</v>
      </c>
      <c r="AZ146" s="1452">
        <f t="shared" si="91"/>
        <v>0</v>
      </c>
      <c r="BA146" s="1452">
        <f t="shared" si="92"/>
        <v>0</v>
      </c>
      <c r="BB146" s="1452">
        <f t="shared" si="93"/>
        <v>0</v>
      </c>
      <c r="BC146" s="1452">
        <f t="shared" si="94"/>
        <v>0</v>
      </c>
      <c r="BD146" s="1452">
        <f t="shared" si="95"/>
        <v>0</v>
      </c>
      <c r="BE146" s="1452">
        <f t="shared" si="96"/>
        <v>0</v>
      </c>
      <c r="BF146" s="1452">
        <f t="shared" si="97"/>
        <v>0</v>
      </c>
      <c r="BG146" s="1452">
        <f t="shared" si="98"/>
        <v>0</v>
      </c>
      <c r="BH146" s="1452">
        <f t="shared" si="99"/>
        <v>0</v>
      </c>
      <c r="BI146" s="1452">
        <f t="shared" si="116"/>
        <v>0</v>
      </c>
      <c r="BJ146" s="1452" t="str">
        <f t="shared" si="100"/>
        <v/>
      </c>
      <c r="BK146" s="1452" t="str">
        <f t="shared" si="101"/>
        <v/>
      </c>
      <c r="BL146" s="1452" t="str">
        <f t="shared" si="102"/>
        <v/>
      </c>
      <c r="BM146" s="1452" t="str">
        <f t="shared" si="103"/>
        <v/>
      </c>
      <c r="BN146" s="1452" t="str">
        <f t="shared" ca="1" si="104"/>
        <v/>
      </c>
      <c r="BO146" s="1452" t="str">
        <f t="shared" si="117"/>
        <v/>
      </c>
      <c r="BP146" s="1452" t="str">
        <f t="shared" si="105"/>
        <v/>
      </c>
      <c r="BQ146" s="1452" t="str">
        <f t="shared" si="106"/>
        <v/>
      </c>
      <c r="BR146" s="1452" t="str">
        <f t="shared" si="107"/>
        <v/>
      </c>
      <c r="BS146" s="1452" t="str">
        <f t="shared" si="108"/>
        <v/>
      </c>
      <c r="BT146" s="1452" t="str">
        <f t="shared" si="109"/>
        <v/>
      </c>
      <c r="BU146" s="1452" t="str">
        <f t="shared" si="110"/>
        <v/>
      </c>
      <c r="BV146" s="1452" t="str">
        <f t="shared" si="111"/>
        <v/>
      </c>
      <c r="BW146" s="1558">
        <f t="shared" ca="1" si="118"/>
        <v>0</v>
      </c>
    </row>
    <row r="147" spans="1:75" s="9" customFormat="1" ht="12.5">
      <c r="A147" s="1483" t="str">
        <f t="shared" si="112"/>
        <v>Public Health Wales Trust</v>
      </c>
      <c r="B147" s="1583"/>
      <c r="C147" s="1583"/>
      <c r="D147" s="1583"/>
      <c r="E147" s="1581"/>
      <c r="F147" s="1436"/>
      <c r="G147" s="1547">
        <f t="shared" si="113"/>
        <v>0</v>
      </c>
      <c r="H147" s="1484"/>
      <c r="I147" s="1547">
        <f t="shared" si="114"/>
        <v>0</v>
      </c>
      <c r="J147" s="1485"/>
      <c r="K147" s="1485"/>
      <c r="L147" s="1436"/>
      <c r="M147" s="1439"/>
      <c r="N147" s="1439"/>
      <c r="O147" s="1485"/>
      <c r="P147" s="1486"/>
      <c r="Q147" s="1486"/>
      <c r="R147" s="1487"/>
      <c r="S147" s="1444"/>
      <c r="T147" s="1444"/>
      <c r="U147" s="1444"/>
      <c r="V147" s="1488"/>
      <c r="W147" s="1488"/>
      <c r="X147" s="1488"/>
      <c r="Y147" s="1488"/>
      <c r="Z147" s="1488"/>
      <c r="AA147" s="1488"/>
      <c r="AB147" s="1488"/>
      <c r="AC147" s="1488"/>
      <c r="AD147" s="1488"/>
      <c r="AE147" s="1488"/>
      <c r="AF147" s="1488"/>
      <c r="AG147" s="1488"/>
      <c r="AH147" s="1451">
        <f t="shared" si="86"/>
        <v>0</v>
      </c>
      <c r="AI147" s="1488"/>
      <c r="AJ147" s="1488"/>
      <c r="AK147" s="1488"/>
      <c r="AL147" s="1488"/>
      <c r="AM147" s="1488"/>
      <c r="AN147" s="1488"/>
      <c r="AO147" s="1488"/>
      <c r="AP147" s="1488"/>
      <c r="AQ147" s="1488"/>
      <c r="AR147" s="1488"/>
      <c r="AS147" s="1488"/>
      <c r="AT147" s="1542"/>
      <c r="AU147" s="1599">
        <f t="shared" si="87"/>
        <v>0</v>
      </c>
      <c r="AV147" s="1544">
        <f t="shared" si="115"/>
        <v>0</v>
      </c>
      <c r="AW147" s="1452">
        <f t="shared" si="88"/>
        <v>0</v>
      </c>
      <c r="AX147" s="1452">
        <f t="shared" si="89"/>
        <v>0</v>
      </c>
      <c r="AY147" s="1452">
        <f t="shared" si="90"/>
        <v>0</v>
      </c>
      <c r="AZ147" s="1452">
        <f t="shared" si="91"/>
        <v>0</v>
      </c>
      <c r="BA147" s="1452">
        <f t="shared" si="92"/>
        <v>0</v>
      </c>
      <c r="BB147" s="1452">
        <f t="shared" si="93"/>
        <v>0</v>
      </c>
      <c r="BC147" s="1452">
        <f t="shared" si="94"/>
        <v>0</v>
      </c>
      <c r="BD147" s="1452">
        <f t="shared" si="95"/>
        <v>0</v>
      </c>
      <c r="BE147" s="1452">
        <f t="shared" si="96"/>
        <v>0</v>
      </c>
      <c r="BF147" s="1452">
        <f t="shared" si="97"/>
        <v>0</v>
      </c>
      <c r="BG147" s="1452">
        <f t="shared" si="98"/>
        <v>0</v>
      </c>
      <c r="BH147" s="1452">
        <f t="shared" si="99"/>
        <v>0</v>
      </c>
      <c r="BI147" s="1452">
        <f t="shared" si="116"/>
        <v>0</v>
      </c>
      <c r="BJ147" s="1452" t="str">
        <f t="shared" si="100"/>
        <v/>
      </c>
      <c r="BK147" s="1452" t="str">
        <f t="shared" si="101"/>
        <v/>
      </c>
      <c r="BL147" s="1452" t="str">
        <f t="shared" si="102"/>
        <v/>
      </c>
      <c r="BM147" s="1452" t="str">
        <f t="shared" si="103"/>
        <v/>
      </c>
      <c r="BN147" s="1452" t="str">
        <f t="shared" ca="1" si="104"/>
        <v/>
      </c>
      <c r="BO147" s="1452" t="str">
        <f t="shared" si="117"/>
        <v/>
      </c>
      <c r="BP147" s="1452" t="str">
        <f t="shared" si="105"/>
        <v/>
      </c>
      <c r="BQ147" s="1452" t="str">
        <f t="shared" si="106"/>
        <v/>
      </c>
      <c r="BR147" s="1452" t="str">
        <f t="shared" si="107"/>
        <v/>
      </c>
      <c r="BS147" s="1452" t="str">
        <f t="shared" si="108"/>
        <v/>
      </c>
      <c r="BT147" s="1452" t="str">
        <f t="shared" si="109"/>
        <v/>
      </c>
      <c r="BU147" s="1452" t="str">
        <f t="shared" si="110"/>
        <v/>
      </c>
      <c r="BV147" s="1452" t="str">
        <f t="shared" si="111"/>
        <v/>
      </c>
      <c r="BW147" s="1558">
        <f t="shared" ca="1" si="118"/>
        <v>0</v>
      </c>
    </row>
    <row r="148" spans="1:75" s="9" customFormat="1" ht="12.5">
      <c r="A148" s="1483" t="str">
        <f t="shared" si="112"/>
        <v>Public Health Wales Trust</v>
      </c>
      <c r="B148" s="1583"/>
      <c r="C148" s="1583"/>
      <c r="D148" s="1583"/>
      <c r="E148" s="1581"/>
      <c r="F148" s="1436"/>
      <c r="G148" s="1547">
        <f t="shared" si="113"/>
        <v>0</v>
      </c>
      <c r="H148" s="1484"/>
      <c r="I148" s="1547">
        <f t="shared" si="114"/>
        <v>0</v>
      </c>
      <c r="J148" s="1485"/>
      <c r="K148" s="1485"/>
      <c r="L148" s="1436"/>
      <c r="M148" s="1439"/>
      <c r="N148" s="1439"/>
      <c r="O148" s="1485"/>
      <c r="P148" s="1486"/>
      <c r="Q148" s="1486"/>
      <c r="R148" s="1487"/>
      <c r="S148" s="1444"/>
      <c r="T148" s="1444"/>
      <c r="U148" s="1444"/>
      <c r="V148" s="1488"/>
      <c r="W148" s="1488"/>
      <c r="X148" s="1488"/>
      <c r="Y148" s="1488"/>
      <c r="Z148" s="1488"/>
      <c r="AA148" s="1488"/>
      <c r="AB148" s="1488"/>
      <c r="AC148" s="1488"/>
      <c r="AD148" s="1488"/>
      <c r="AE148" s="1488"/>
      <c r="AF148" s="1488"/>
      <c r="AG148" s="1488"/>
      <c r="AH148" s="1451">
        <f t="shared" si="86"/>
        <v>0</v>
      </c>
      <c r="AI148" s="1488"/>
      <c r="AJ148" s="1488"/>
      <c r="AK148" s="1488"/>
      <c r="AL148" s="1488"/>
      <c r="AM148" s="1488"/>
      <c r="AN148" s="1488"/>
      <c r="AO148" s="1488"/>
      <c r="AP148" s="1488"/>
      <c r="AQ148" s="1488"/>
      <c r="AR148" s="1488"/>
      <c r="AS148" s="1488"/>
      <c r="AT148" s="1542"/>
      <c r="AU148" s="1599">
        <f t="shared" si="87"/>
        <v>0</v>
      </c>
      <c r="AV148" s="1544">
        <f t="shared" si="115"/>
        <v>0</v>
      </c>
      <c r="AW148" s="1452">
        <f t="shared" si="88"/>
        <v>0</v>
      </c>
      <c r="AX148" s="1452">
        <f t="shared" si="89"/>
        <v>0</v>
      </c>
      <c r="AY148" s="1452">
        <f t="shared" si="90"/>
        <v>0</v>
      </c>
      <c r="AZ148" s="1452">
        <f t="shared" si="91"/>
        <v>0</v>
      </c>
      <c r="BA148" s="1452">
        <f t="shared" si="92"/>
        <v>0</v>
      </c>
      <c r="BB148" s="1452">
        <f t="shared" si="93"/>
        <v>0</v>
      </c>
      <c r="BC148" s="1452">
        <f t="shared" si="94"/>
        <v>0</v>
      </c>
      <c r="BD148" s="1452">
        <f t="shared" si="95"/>
        <v>0</v>
      </c>
      <c r="BE148" s="1452">
        <f t="shared" si="96"/>
        <v>0</v>
      </c>
      <c r="BF148" s="1452">
        <f t="shared" si="97"/>
        <v>0</v>
      </c>
      <c r="BG148" s="1452">
        <f t="shared" si="98"/>
        <v>0</v>
      </c>
      <c r="BH148" s="1452">
        <f t="shared" si="99"/>
        <v>0</v>
      </c>
      <c r="BI148" s="1452">
        <f t="shared" si="116"/>
        <v>0</v>
      </c>
      <c r="BJ148" s="1452" t="str">
        <f t="shared" si="100"/>
        <v/>
      </c>
      <c r="BK148" s="1452" t="str">
        <f t="shared" si="101"/>
        <v/>
      </c>
      <c r="BL148" s="1452" t="str">
        <f t="shared" si="102"/>
        <v/>
      </c>
      <c r="BM148" s="1452" t="str">
        <f t="shared" si="103"/>
        <v/>
      </c>
      <c r="BN148" s="1452" t="str">
        <f t="shared" ca="1" si="104"/>
        <v/>
      </c>
      <c r="BO148" s="1452" t="str">
        <f t="shared" si="117"/>
        <v/>
      </c>
      <c r="BP148" s="1452" t="str">
        <f t="shared" si="105"/>
        <v/>
      </c>
      <c r="BQ148" s="1452" t="str">
        <f t="shared" si="106"/>
        <v/>
      </c>
      <c r="BR148" s="1452" t="str">
        <f t="shared" si="107"/>
        <v/>
      </c>
      <c r="BS148" s="1452" t="str">
        <f t="shared" si="108"/>
        <v/>
      </c>
      <c r="BT148" s="1452" t="str">
        <f t="shared" si="109"/>
        <v/>
      </c>
      <c r="BU148" s="1452" t="str">
        <f t="shared" si="110"/>
        <v/>
      </c>
      <c r="BV148" s="1452" t="str">
        <f t="shared" si="111"/>
        <v/>
      </c>
      <c r="BW148" s="1558">
        <f t="shared" ca="1" si="118"/>
        <v>0</v>
      </c>
    </row>
    <row r="149" spans="1:75" s="9" customFormat="1" ht="12.5">
      <c r="A149" s="1483" t="str">
        <f t="shared" si="112"/>
        <v>Public Health Wales Trust</v>
      </c>
      <c r="B149" s="1583"/>
      <c r="C149" s="1583"/>
      <c r="D149" s="1583"/>
      <c r="E149" s="1581"/>
      <c r="F149" s="1436"/>
      <c r="G149" s="1547">
        <f t="shared" si="113"/>
        <v>0</v>
      </c>
      <c r="H149" s="1484"/>
      <c r="I149" s="1547">
        <f t="shared" si="114"/>
        <v>0</v>
      </c>
      <c r="J149" s="1485"/>
      <c r="K149" s="1485"/>
      <c r="L149" s="1436"/>
      <c r="M149" s="1439"/>
      <c r="N149" s="1439"/>
      <c r="O149" s="1485"/>
      <c r="P149" s="1486"/>
      <c r="Q149" s="1486"/>
      <c r="R149" s="1487"/>
      <c r="S149" s="1444"/>
      <c r="T149" s="1444"/>
      <c r="U149" s="1444"/>
      <c r="V149" s="1488"/>
      <c r="W149" s="1488"/>
      <c r="X149" s="1488"/>
      <c r="Y149" s="1488"/>
      <c r="Z149" s="1488"/>
      <c r="AA149" s="1488"/>
      <c r="AB149" s="1488"/>
      <c r="AC149" s="1488"/>
      <c r="AD149" s="1488"/>
      <c r="AE149" s="1488"/>
      <c r="AF149" s="1488"/>
      <c r="AG149" s="1488"/>
      <c r="AH149" s="1451">
        <f t="shared" si="86"/>
        <v>0</v>
      </c>
      <c r="AI149" s="1488"/>
      <c r="AJ149" s="1488"/>
      <c r="AK149" s="1488"/>
      <c r="AL149" s="1488"/>
      <c r="AM149" s="1488"/>
      <c r="AN149" s="1488"/>
      <c r="AO149" s="1488"/>
      <c r="AP149" s="1488"/>
      <c r="AQ149" s="1488"/>
      <c r="AR149" s="1488"/>
      <c r="AS149" s="1488"/>
      <c r="AT149" s="1542"/>
      <c r="AU149" s="1599">
        <f t="shared" si="87"/>
        <v>0</v>
      </c>
      <c r="AV149" s="1544">
        <f t="shared" si="115"/>
        <v>0</v>
      </c>
      <c r="AW149" s="1452">
        <f t="shared" si="88"/>
        <v>0</v>
      </c>
      <c r="AX149" s="1452">
        <f t="shared" si="89"/>
        <v>0</v>
      </c>
      <c r="AY149" s="1452">
        <f t="shared" si="90"/>
        <v>0</v>
      </c>
      <c r="AZ149" s="1452">
        <f t="shared" si="91"/>
        <v>0</v>
      </c>
      <c r="BA149" s="1452">
        <f t="shared" si="92"/>
        <v>0</v>
      </c>
      <c r="BB149" s="1452">
        <f t="shared" si="93"/>
        <v>0</v>
      </c>
      <c r="BC149" s="1452">
        <f t="shared" si="94"/>
        <v>0</v>
      </c>
      <c r="BD149" s="1452">
        <f t="shared" si="95"/>
        <v>0</v>
      </c>
      <c r="BE149" s="1452">
        <f t="shared" si="96"/>
        <v>0</v>
      </c>
      <c r="BF149" s="1452">
        <f t="shared" si="97"/>
        <v>0</v>
      </c>
      <c r="BG149" s="1452">
        <f t="shared" si="98"/>
        <v>0</v>
      </c>
      <c r="BH149" s="1452">
        <f t="shared" si="99"/>
        <v>0</v>
      </c>
      <c r="BI149" s="1452">
        <f t="shared" si="116"/>
        <v>0</v>
      </c>
      <c r="BJ149" s="1452" t="str">
        <f t="shared" si="100"/>
        <v/>
      </c>
      <c r="BK149" s="1452" t="str">
        <f t="shared" si="101"/>
        <v/>
      </c>
      <c r="BL149" s="1452" t="str">
        <f t="shared" si="102"/>
        <v/>
      </c>
      <c r="BM149" s="1452" t="str">
        <f t="shared" si="103"/>
        <v/>
      </c>
      <c r="BN149" s="1452" t="str">
        <f t="shared" ca="1" si="104"/>
        <v/>
      </c>
      <c r="BO149" s="1452" t="str">
        <f t="shared" si="117"/>
        <v/>
      </c>
      <c r="BP149" s="1452" t="str">
        <f t="shared" si="105"/>
        <v/>
      </c>
      <c r="BQ149" s="1452" t="str">
        <f t="shared" si="106"/>
        <v/>
      </c>
      <c r="BR149" s="1452" t="str">
        <f t="shared" si="107"/>
        <v/>
      </c>
      <c r="BS149" s="1452" t="str">
        <f t="shared" si="108"/>
        <v/>
      </c>
      <c r="BT149" s="1452" t="str">
        <f t="shared" si="109"/>
        <v/>
      </c>
      <c r="BU149" s="1452" t="str">
        <f t="shared" si="110"/>
        <v/>
      </c>
      <c r="BV149" s="1452" t="str">
        <f t="shared" si="111"/>
        <v/>
      </c>
      <c r="BW149" s="1558">
        <f t="shared" ca="1" si="118"/>
        <v>0</v>
      </c>
    </row>
    <row r="150" spans="1:75" s="9" customFormat="1" ht="12.5">
      <c r="A150" s="1483" t="str">
        <f t="shared" si="112"/>
        <v>Public Health Wales Trust</v>
      </c>
      <c r="B150" s="1583"/>
      <c r="C150" s="1583"/>
      <c r="D150" s="1583"/>
      <c r="E150" s="1581"/>
      <c r="F150" s="1436"/>
      <c r="G150" s="1547">
        <f t="shared" si="113"/>
        <v>0</v>
      </c>
      <c r="H150" s="1484"/>
      <c r="I150" s="1547">
        <f t="shared" si="114"/>
        <v>0</v>
      </c>
      <c r="J150" s="1485"/>
      <c r="K150" s="1485"/>
      <c r="L150" s="1436"/>
      <c r="M150" s="1439"/>
      <c r="N150" s="1439"/>
      <c r="O150" s="1485"/>
      <c r="P150" s="1486"/>
      <c r="Q150" s="1486"/>
      <c r="R150" s="1487"/>
      <c r="S150" s="1444"/>
      <c r="T150" s="1444"/>
      <c r="U150" s="1444"/>
      <c r="V150" s="1488"/>
      <c r="W150" s="1488"/>
      <c r="X150" s="1488"/>
      <c r="Y150" s="1488"/>
      <c r="Z150" s="1488"/>
      <c r="AA150" s="1488"/>
      <c r="AB150" s="1488"/>
      <c r="AC150" s="1488"/>
      <c r="AD150" s="1488"/>
      <c r="AE150" s="1488"/>
      <c r="AF150" s="1488"/>
      <c r="AG150" s="1488"/>
      <c r="AH150" s="1451">
        <f t="shared" si="86"/>
        <v>0</v>
      </c>
      <c r="AI150" s="1488"/>
      <c r="AJ150" s="1488"/>
      <c r="AK150" s="1488"/>
      <c r="AL150" s="1488"/>
      <c r="AM150" s="1488"/>
      <c r="AN150" s="1488"/>
      <c r="AO150" s="1488"/>
      <c r="AP150" s="1488"/>
      <c r="AQ150" s="1488"/>
      <c r="AR150" s="1488"/>
      <c r="AS150" s="1488"/>
      <c r="AT150" s="1542"/>
      <c r="AU150" s="1599">
        <f t="shared" si="87"/>
        <v>0</v>
      </c>
      <c r="AV150" s="1544">
        <f t="shared" si="115"/>
        <v>0</v>
      </c>
      <c r="AW150" s="1452">
        <f t="shared" si="88"/>
        <v>0</v>
      </c>
      <c r="AX150" s="1452">
        <f t="shared" si="89"/>
        <v>0</v>
      </c>
      <c r="AY150" s="1452">
        <f t="shared" si="90"/>
        <v>0</v>
      </c>
      <c r="AZ150" s="1452">
        <f t="shared" si="91"/>
        <v>0</v>
      </c>
      <c r="BA150" s="1452">
        <f t="shared" si="92"/>
        <v>0</v>
      </c>
      <c r="BB150" s="1452">
        <f t="shared" si="93"/>
        <v>0</v>
      </c>
      <c r="BC150" s="1452">
        <f t="shared" si="94"/>
        <v>0</v>
      </c>
      <c r="BD150" s="1452">
        <f t="shared" si="95"/>
        <v>0</v>
      </c>
      <c r="BE150" s="1452">
        <f t="shared" si="96"/>
        <v>0</v>
      </c>
      <c r="BF150" s="1452">
        <f t="shared" si="97"/>
        <v>0</v>
      </c>
      <c r="BG150" s="1452">
        <f t="shared" si="98"/>
        <v>0</v>
      </c>
      <c r="BH150" s="1452">
        <f t="shared" si="99"/>
        <v>0</v>
      </c>
      <c r="BI150" s="1452">
        <f t="shared" si="116"/>
        <v>0</v>
      </c>
      <c r="BJ150" s="1452" t="str">
        <f t="shared" si="100"/>
        <v/>
      </c>
      <c r="BK150" s="1452" t="str">
        <f t="shared" si="101"/>
        <v/>
      </c>
      <c r="BL150" s="1452" t="str">
        <f t="shared" si="102"/>
        <v/>
      </c>
      <c r="BM150" s="1452" t="str">
        <f t="shared" si="103"/>
        <v/>
      </c>
      <c r="BN150" s="1452" t="str">
        <f t="shared" ca="1" si="104"/>
        <v/>
      </c>
      <c r="BO150" s="1452" t="str">
        <f t="shared" si="117"/>
        <v/>
      </c>
      <c r="BP150" s="1452" t="str">
        <f t="shared" si="105"/>
        <v/>
      </c>
      <c r="BQ150" s="1452" t="str">
        <f t="shared" si="106"/>
        <v/>
      </c>
      <c r="BR150" s="1452" t="str">
        <f t="shared" si="107"/>
        <v/>
      </c>
      <c r="BS150" s="1452" t="str">
        <f t="shared" si="108"/>
        <v/>
      </c>
      <c r="BT150" s="1452" t="str">
        <f t="shared" si="109"/>
        <v/>
      </c>
      <c r="BU150" s="1452" t="str">
        <f t="shared" si="110"/>
        <v/>
      </c>
      <c r="BV150" s="1452" t="str">
        <f t="shared" si="111"/>
        <v/>
      </c>
      <c r="BW150" s="1558">
        <f t="shared" ca="1" si="118"/>
        <v>0</v>
      </c>
    </row>
    <row r="151" spans="1:75" s="9" customFormat="1" ht="12.5">
      <c r="A151" s="1483" t="str">
        <f t="shared" si="112"/>
        <v>Public Health Wales Trust</v>
      </c>
      <c r="B151" s="1583"/>
      <c r="C151" s="1583"/>
      <c r="D151" s="1583"/>
      <c r="E151" s="1581"/>
      <c r="F151" s="1436"/>
      <c r="G151" s="1547">
        <f t="shared" si="113"/>
        <v>0</v>
      </c>
      <c r="H151" s="1484"/>
      <c r="I151" s="1547">
        <f t="shared" si="114"/>
        <v>0</v>
      </c>
      <c r="J151" s="1485"/>
      <c r="K151" s="1485"/>
      <c r="L151" s="1436"/>
      <c r="M151" s="1439"/>
      <c r="N151" s="1439"/>
      <c r="O151" s="1485"/>
      <c r="P151" s="1486"/>
      <c r="Q151" s="1486"/>
      <c r="R151" s="1487"/>
      <c r="S151" s="1444"/>
      <c r="T151" s="1444"/>
      <c r="U151" s="1444"/>
      <c r="V151" s="1488"/>
      <c r="W151" s="1488"/>
      <c r="X151" s="1488"/>
      <c r="Y151" s="1488"/>
      <c r="Z151" s="1488"/>
      <c r="AA151" s="1488"/>
      <c r="AB151" s="1488"/>
      <c r="AC151" s="1488"/>
      <c r="AD151" s="1488"/>
      <c r="AE151" s="1488"/>
      <c r="AF151" s="1488"/>
      <c r="AG151" s="1488"/>
      <c r="AH151" s="1451">
        <f t="shared" si="86"/>
        <v>0</v>
      </c>
      <c r="AI151" s="1488"/>
      <c r="AJ151" s="1488"/>
      <c r="AK151" s="1488"/>
      <c r="AL151" s="1488"/>
      <c r="AM151" s="1488"/>
      <c r="AN151" s="1488"/>
      <c r="AO151" s="1488"/>
      <c r="AP151" s="1488"/>
      <c r="AQ151" s="1488"/>
      <c r="AR151" s="1488"/>
      <c r="AS151" s="1488"/>
      <c r="AT151" s="1542"/>
      <c r="AU151" s="1599">
        <f t="shared" si="87"/>
        <v>0</v>
      </c>
      <c r="AV151" s="1544">
        <f t="shared" si="115"/>
        <v>0</v>
      </c>
      <c r="AW151" s="1452">
        <f t="shared" si="88"/>
        <v>0</v>
      </c>
      <c r="AX151" s="1452">
        <f t="shared" si="89"/>
        <v>0</v>
      </c>
      <c r="AY151" s="1452">
        <f t="shared" si="90"/>
        <v>0</v>
      </c>
      <c r="AZ151" s="1452">
        <f t="shared" si="91"/>
        <v>0</v>
      </c>
      <c r="BA151" s="1452">
        <f t="shared" si="92"/>
        <v>0</v>
      </c>
      <c r="BB151" s="1452">
        <f t="shared" si="93"/>
        <v>0</v>
      </c>
      <c r="BC151" s="1452">
        <f t="shared" si="94"/>
        <v>0</v>
      </c>
      <c r="BD151" s="1452">
        <f t="shared" si="95"/>
        <v>0</v>
      </c>
      <c r="BE151" s="1452">
        <f t="shared" si="96"/>
        <v>0</v>
      </c>
      <c r="BF151" s="1452">
        <f t="shared" si="97"/>
        <v>0</v>
      </c>
      <c r="BG151" s="1452">
        <f t="shared" si="98"/>
        <v>0</v>
      </c>
      <c r="BH151" s="1452">
        <f t="shared" si="99"/>
        <v>0</v>
      </c>
      <c r="BI151" s="1452">
        <f t="shared" si="116"/>
        <v>0</v>
      </c>
      <c r="BJ151" s="1452" t="str">
        <f t="shared" si="100"/>
        <v/>
      </c>
      <c r="BK151" s="1452" t="str">
        <f t="shared" si="101"/>
        <v/>
      </c>
      <c r="BL151" s="1452" t="str">
        <f t="shared" si="102"/>
        <v/>
      </c>
      <c r="BM151" s="1452" t="str">
        <f t="shared" si="103"/>
        <v/>
      </c>
      <c r="BN151" s="1452" t="str">
        <f t="shared" ca="1" si="104"/>
        <v/>
      </c>
      <c r="BO151" s="1452" t="str">
        <f t="shared" si="117"/>
        <v/>
      </c>
      <c r="BP151" s="1452" t="str">
        <f t="shared" si="105"/>
        <v/>
      </c>
      <c r="BQ151" s="1452" t="str">
        <f t="shared" si="106"/>
        <v/>
      </c>
      <c r="BR151" s="1452" t="str">
        <f t="shared" si="107"/>
        <v/>
      </c>
      <c r="BS151" s="1452" t="str">
        <f t="shared" si="108"/>
        <v/>
      </c>
      <c r="BT151" s="1452" t="str">
        <f t="shared" si="109"/>
        <v/>
      </c>
      <c r="BU151" s="1452" t="str">
        <f t="shared" si="110"/>
        <v/>
      </c>
      <c r="BV151" s="1452" t="str">
        <f t="shared" si="111"/>
        <v/>
      </c>
      <c r="BW151" s="1558">
        <f t="shared" ca="1" si="118"/>
        <v>0</v>
      </c>
    </row>
    <row r="152" spans="1:75" s="9" customFormat="1" ht="12.5">
      <c r="A152" s="1483" t="str">
        <f t="shared" si="112"/>
        <v>Public Health Wales Trust</v>
      </c>
      <c r="B152" s="1583"/>
      <c r="C152" s="1583"/>
      <c r="D152" s="1583"/>
      <c r="E152" s="1581"/>
      <c r="F152" s="1436"/>
      <c r="G152" s="1547">
        <f t="shared" si="113"/>
        <v>0</v>
      </c>
      <c r="H152" s="1484"/>
      <c r="I152" s="1547">
        <f t="shared" si="114"/>
        <v>0</v>
      </c>
      <c r="J152" s="1485"/>
      <c r="K152" s="1485"/>
      <c r="L152" s="1436"/>
      <c r="M152" s="1439"/>
      <c r="N152" s="1439"/>
      <c r="O152" s="1485"/>
      <c r="P152" s="1486"/>
      <c r="Q152" s="1486"/>
      <c r="R152" s="1487"/>
      <c r="S152" s="1444"/>
      <c r="T152" s="1444"/>
      <c r="U152" s="1444"/>
      <c r="V152" s="1488"/>
      <c r="W152" s="1488"/>
      <c r="X152" s="1488"/>
      <c r="Y152" s="1488"/>
      <c r="Z152" s="1488"/>
      <c r="AA152" s="1488"/>
      <c r="AB152" s="1488"/>
      <c r="AC152" s="1488"/>
      <c r="AD152" s="1488"/>
      <c r="AE152" s="1488"/>
      <c r="AF152" s="1488"/>
      <c r="AG152" s="1488"/>
      <c r="AH152" s="1451">
        <f t="shared" si="86"/>
        <v>0</v>
      </c>
      <c r="AI152" s="1488"/>
      <c r="AJ152" s="1488"/>
      <c r="AK152" s="1488"/>
      <c r="AL152" s="1488"/>
      <c r="AM152" s="1488"/>
      <c r="AN152" s="1488"/>
      <c r="AO152" s="1488"/>
      <c r="AP152" s="1488"/>
      <c r="AQ152" s="1488"/>
      <c r="AR152" s="1488"/>
      <c r="AS152" s="1488"/>
      <c r="AT152" s="1542"/>
      <c r="AU152" s="1599">
        <f t="shared" si="87"/>
        <v>0</v>
      </c>
      <c r="AV152" s="1544">
        <f t="shared" si="115"/>
        <v>0</v>
      </c>
      <c r="AW152" s="1452">
        <f t="shared" si="88"/>
        <v>0</v>
      </c>
      <c r="AX152" s="1452">
        <f t="shared" si="89"/>
        <v>0</v>
      </c>
      <c r="AY152" s="1452">
        <f t="shared" si="90"/>
        <v>0</v>
      </c>
      <c r="AZ152" s="1452">
        <f t="shared" si="91"/>
        <v>0</v>
      </c>
      <c r="BA152" s="1452">
        <f t="shared" si="92"/>
        <v>0</v>
      </c>
      <c r="BB152" s="1452">
        <f t="shared" si="93"/>
        <v>0</v>
      </c>
      <c r="BC152" s="1452">
        <f t="shared" si="94"/>
        <v>0</v>
      </c>
      <c r="BD152" s="1452">
        <f t="shared" si="95"/>
        <v>0</v>
      </c>
      <c r="BE152" s="1452">
        <f t="shared" si="96"/>
        <v>0</v>
      </c>
      <c r="BF152" s="1452">
        <f t="shared" si="97"/>
        <v>0</v>
      </c>
      <c r="BG152" s="1452">
        <f t="shared" si="98"/>
        <v>0</v>
      </c>
      <c r="BH152" s="1452">
        <f t="shared" si="99"/>
        <v>0</v>
      </c>
      <c r="BI152" s="1452">
        <f t="shared" si="116"/>
        <v>0</v>
      </c>
      <c r="BJ152" s="1452" t="str">
        <f t="shared" si="100"/>
        <v/>
      </c>
      <c r="BK152" s="1452" t="str">
        <f t="shared" si="101"/>
        <v/>
      </c>
      <c r="BL152" s="1452" t="str">
        <f t="shared" si="102"/>
        <v/>
      </c>
      <c r="BM152" s="1452" t="str">
        <f t="shared" si="103"/>
        <v/>
      </c>
      <c r="BN152" s="1452" t="str">
        <f t="shared" ca="1" si="104"/>
        <v/>
      </c>
      <c r="BO152" s="1452" t="str">
        <f t="shared" si="117"/>
        <v/>
      </c>
      <c r="BP152" s="1452" t="str">
        <f t="shared" si="105"/>
        <v/>
      </c>
      <c r="BQ152" s="1452" t="str">
        <f t="shared" si="106"/>
        <v/>
      </c>
      <c r="BR152" s="1452" t="str">
        <f t="shared" si="107"/>
        <v/>
      </c>
      <c r="BS152" s="1452" t="str">
        <f t="shared" si="108"/>
        <v/>
      </c>
      <c r="BT152" s="1452" t="str">
        <f t="shared" si="109"/>
        <v/>
      </c>
      <c r="BU152" s="1452" t="str">
        <f t="shared" si="110"/>
        <v/>
      </c>
      <c r="BV152" s="1452" t="str">
        <f t="shared" si="111"/>
        <v/>
      </c>
      <c r="BW152" s="1558">
        <f t="shared" ca="1" si="118"/>
        <v>0</v>
      </c>
    </row>
    <row r="153" spans="1:75" s="9" customFormat="1" ht="12.5">
      <c r="A153" s="1483" t="str">
        <f t="shared" si="112"/>
        <v>Public Health Wales Trust</v>
      </c>
      <c r="B153" s="1583"/>
      <c r="C153" s="1583"/>
      <c r="D153" s="1583"/>
      <c r="E153" s="1581"/>
      <c r="F153" s="1436"/>
      <c r="G153" s="1547">
        <f t="shared" si="113"/>
        <v>0</v>
      </c>
      <c r="H153" s="1484"/>
      <c r="I153" s="1547">
        <f t="shared" si="114"/>
        <v>0</v>
      </c>
      <c r="J153" s="1485"/>
      <c r="K153" s="1485"/>
      <c r="L153" s="1436"/>
      <c r="M153" s="1439"/>
      <c r="N153" s="1439"/>
      <c r="O153" s="1485"/>
      <c r="P153" s="1486"/>
      <c r="Q153" s="1486"/>
      <c r="R153" s="1487"/>
      <c r="S153" s="1444"/>
      <c r="T153" s="1444"/>
      <c r="U153" s="1444"/>
      <c r="V153" s="1488"/>
      <c r="W153" s="1488"/>
      <c r="X153" s="1488"/>
      <c r="Y153" s="1488"/>
      <c r="Z153" s="1488"/>
      <c r="AA153" s="1488"/>
      <c r="AB153" s="1488"/>
      <c r="AC153" s="1488"/>
      <c r="AD153" s="1488"/>
      <c r="AE153" s="1488"/>
      <c r="AF153" s="1488"/>
      <c r="AG153" s="1488"/>
      <c r="AH153" s="1451">
        <f t="shared" si="86"/>
        <v>0</v>
      </c>
      <c r="AI153" s="1488"/>
      <c r="AJ153" s="1488"/>
      <c r="AK153" s="1488"/>
      <c r="AL153" s="1488"/>
      <c r="AM153" s="1488"/>
      <c r="AN153" s="1488"/>
      <c r="AO153" s="1488"/>
      <c r="AP153" s="1488"/>
      <c r="AQ153" s="1488"/>
      <c r="AR153" s="1488"/>
      <c r="AS153" s="1488"/>
      <c r="AT153" s="1542"/>
      <c r="AU153" s="1599">
        <f t="shared" si="87"/>
        <v>0</v>
      </c>
      <c r="AV153" s="1544">
        <f t="shared" si="115"/>
        <v>0</v>
      </c>
      <c r="AW153" s="1452">
        <f t="shared" si="88"/>
        <v>0</v>
      </c>
      <c r="AX153" s="1452">
        <f t="shared" si="89"/>
        <v>0</v>
      </c>
      <c r="AY153" s="1452">
        <f t="shared" si="90"/>
        <v>0</v>
      </c>
      <c r="AZ153" s="1452">
        <f t="shared" si="91"/>
        <v>0</v>
      </c>
      <c r="BA153" s="1452">
        <f t="shared" si="92"/>
        <v>0</v>
      </c>
      <c r="BB153" s="1452">
        <f t="shared" si="93"/>
        <v>0</v>
      </c>
      <c r="BC153" s="1452">
        <f t="shared" si="94"/>
        <v>0</v>
      </c>
      <c r="BD153" s="1452">
        <f t="shared" si="95"/>
        <v>0</v>
      </c>
      <c r="BE153" s="1452">
        <f t="shared" si="96"/>
        <v>0</v>
      </c>
      <c r="BF153" s="1452">
        <f t="shared" si="97"/>
        <v>0</v>
      </c>
      <c r="BG153" s="1452">
        <f t="shared" si="98"/>
        <v>0</v>
      </c>
      <c r="BH153" s="1452">
        <f t="shared" si="99"/>
        <v>0</v>
      </c>
      <c r="BI153" s="1452">
        <f t="shared" si="116"/>
        <v>0</v>
      </c>
      <c r="BJ153" s="1452" t="str">
        <f t="shared" si="100"/>
        <v/>
      </c>
      <c r="BK153" s="1452" t="str">
        <f t="shared" si="101"/>
        <v/>
      </c>
      <c r="BL153" s="1452" t="str">
        <f t="shared" si="102"/>
        <v/>
      </c>
      <c r="BM153" s="1452" t="str">
        <f t="shared" si="103"/>
        <v/>
      </c>
      <c r="BN153" s="1452" t="str">
        <f t="shared" ca="1" si="104"/>
        <v/>
      </c>
      <c r="BO153" s="1452" t="str">
        <f t="shared" si="117"/>
        <v/>
      </c>
      <c r="BP153" s="1452" t="str">
        <f t="shared" si="105"/>
        <v/>
      </c>
      <c r="BQ153" s="1452" t="str">
        <f t="shared" si="106"/>
        <v/>
      </c>
      <c r="BR153" s="1452" t="str">
        <f t="shared" si="107"/>
        <v/>
      </c>
      <c r="BS153" s="1452" t="str">
        <f t="shared" si="108"/>
        <v/>
      </c>
      <c r="BT153" s="1452" t="str">
        <f t="shared" si="109"/>
        <v/>
      </c>
      <c r="BU153" s="1452" t="str">
        <f t="shared" si="110"/>
        <v/>
      </c>
      <c r="BV153" s="1452" t="str">
        <f t="shared" si="111"/>
        <v/>
      </c>
      <c r="BW153" s="1558">
        <f t="shared" ca="1" si="118"/>
        <v>0</v>
      </c>
    </row>
    <row r="154" spans="1:75" s="9" customFormat="1" ht="12.5">
      <c r="A154" s="1483" t="str">
        <f t="shared" si="112"/>
        <v>Public Health Wales Trust</v>
      </c>
      <c r="B154" s="1583"/>
      <c r="C154" s="1583"/>
      <c r="D154" s="1583"/>
      <c r="E154" s="1581"/>
      <c r="F154" s="1436"/>
      <c r="G154" s="1547">
        <f t="shared" si="113"/>
        <v>0</v>
      </c>
      <c r="H154" s="1484"/>
      <c r="I154" s="1547">
        <f t="shared" si="114"/>
        <v>0</v>
      </c>
      <c r="J154" s="1485"/>
      <c r="K154" s="1485"/>
      <c r="L154" s="1436"/>
      <c r="M154" s="1439"/>
      <c r="N154" s="1439"/>
      <c r="O154" s="1485"/>
      <c r="P154" s="1486"/>
      <c r="Q154" s="1486"/>
      <c r="R154" s="1487"/>
      <c r="S154" s="1444"/>
      <c r="T154" s="1444"/>
      <c r="U154" s="1444"/>
      <c r="V154" s="1488"/>
      <c r="W154" s="1488"/>
      <c r="X154" s="1488"/>
      <c r="Y154" s="1488"/>
      <c r="Z154" s="1488"/>
      <c r="AA154" s="1488"/>
      <c r="AB154" s="1488"/>
      <c r="AC154" s="1488"/>
      <c r="AD154" s="1488"/>
      <c r="AE154" s="1488"/>
      <c r="AF154" s="1488"/>
      <c r="AG154" s="1488"/>
      <c r="AH154" s="1451">
        <f t="shared" si="86"/>
        <v>0</v>
      </c>
      <c r="AI154" s="1488"/>
      <c r="AJ154" s="1488"/>
      <c r="AK154" s="1488"/>
      <c r="AL154" s="1488"/>
      <c r="AM154" s="1488"/>
      <c r="AN154" s="1488"/>
      <c r="AO154" s="1488"/>
      <c r="AP154" s="1488"/>
      <c r="AQ154" s="1488"/>
      <c r="AR154" s="1488"/>
      <c r="AS154" s="1488"/>
      <c r="AT154" s="1542"/>
      <c r="AU154" s="1599">
        <f t="shared" si="87"/>
        <v>0</v>
      </c>
      <c r="AV154" s="1544">
        <f t="shared" si="115"/>
        <v>0</v>
      </c>
      <c r="AW154" s="1452">
        <f t="shared" si="88"/>
        <v>0</v>
      </c>
      <c r="AX154" s="1452">
        <f t="shared" si="89"/>
        <v>0</v>
      </c>
      <c r="AY154" s="1452">
        <f t="shared" si="90"/>
        <v>0</v>
      </c>
      <c r="AZ154" s="1452">
        <f t="shared" si="91"/>
        <v>0</v>
      </c>
      <c r="BA154" s="1452">
        <f t="shared" si="92"/>
        <v>0</v>
      </c>
      <c r="BB154" s="1452">
        <f t="shared" si="93"/>
        <v>0</v>
      </c>
      <c r="BC154" s="1452">
        <f t="shared" si="94"/>
        <v>0</v>
      </c>
      <c r="BD154" s="1452">
        <f t="shared" si="95"/>
        <v>0</v>
      </c>
      <c r="BE154" s="1452">
        <f t="shared" si="96"/>
        <v>0</v>
      </c>
      <c r="BF154" s="1452">
        <f t="shared" si="97"/>
        <v>0</v>
      </c>
      <c r="BG154" s="1452">
        <f t="shared" si="98"/>
        <v>0</v>
      </c>
      <c r="BH154" s="1452">
        <f t="shared" si="99"/>
        <v>0</v>
      </c>
      <c r="BI154" s="1452">
        <f t="shared" si="116"/>
        <v>0</v>
      </c>
      <c r="BJ154" s="1452" t="str">
        <f t="shared" si="100"/>
        <v/>
      </c>
      <c r="BK154" s="1452" t="str">
        <f t="shared" si="101"/>
        <v/>
      </c>
      <c r="BL154" s="1452" t="str">
        <f t="shared" si="102"/>
        <v/>
      </c>
      <c r="BM154" s="1452" t="str">
        <f t="shared" si="103"/>
        <v/>
      </c>
      <c r="BN154" s="1452" t="str">
        <f t="shared" ca="1" si="104"/>
        <v/>
      </c>
      <c r="BO154" s="1452" t="str">
        <f t="shared" si="117"/>
        <v/>
      </c>
      <c r="BP154" s="1452" t="str">
        <f t="shared" si="105"/>
        <v/>
      </c>
      <c r="BQ154" s="1452" t="str">
        <f t="shared" si="106"/>
        <v/>
      </c>
      <c r="BR154" s="1452" t="str">
        <f t="shared" si="107"/>
        <v/>
      </c>
      <c r="BS154" s="1452" t="str">
        <f t="shared" si="108"/>
        <v/>
      </c>
      <c r="BT154" s="1452" t="str">
        <f t="shared" si="109"/>
        <v/>
      </c>
      <c r="BU154" s="1452" t="str">
        <f t="shared" si="110"/>
        <v/>
      </c>
      <c r="BV154" s="1452" t="str">
        <f t="shared" si="111"/>
        <v/>
      </c>
      <c r="BW154" s="1558">
        <f t="shared" ca="1" si="118"/>
        <v>0</v>
      </c>
    </row>
    <row r="155" spans="1:75" s="9" customFormat="1" ht="12.5">
      <c r="A155" s="1483" t="str">
        <f t="shared" si="112"/>
        <v>Public Health Wales Trust</v>
      </c>
      <c r="B155" s="1583"/>
      <c r="C155" s="1583"/>
      <c r="D155" s="1583"/>
      <c r="E155" s="1581"/>
      <c r="F155" s="1436"/>
      <c r="G155" s="1547">
        <f t="shared" si="113"/>
        <v>0</v>
      </c>
      <c r="H155" s="1484"/>
      <c r="I155" s="1547">
        <f t="shared" si="114"/>
        <v>0</v>
      </c>
      <c r="J155" s="1485"/>
      <c r="K155" s="1485"/>
      <c r="L155" s="1436"/>
      <c r="M155" s="1439"/>
      <c r="N155" s="1439"/>
      <c r="O155" s="1485"/>
      <c r="P155" s="1486"/>
      <c r="Q155" s="1486"/>
      <c r="R155" s="1487"/>
      <c r="S155" s="1444"/>
      <c r="T155" s="1444"/>
      <c r="U155" s="1444"/>
      <c r="V155" s="1488"/>
      <c r="W155" s="1488"/>
      <c r="X155" s="1488"/>
      <c r="Y155" s="1488"/>
      <c r="Z155" s="1488"/>
      <c r="AA155" s="1488"/>
      <c r="AB155" s="1488"/>
      <c r="AC155" s="1488"/>
      <c r="AD155" s="1488"/>
      <c r="AE155" s="1488"/>
      <c r="AF155" s="1488"/>
      <c r="AG155" s="1488"/>
      <c r="AH155" s="1451">
        <f t="shared" si="86"/>
        <v>0</v>
      </c>
      <c r="AI155" s="1488"/>
      <c r="AJ155" s="1488"/>
      <c r="AK155" s="1488"/>
      <c r="AL155" s="1488"/>
      <c r="AM155" s="1488"/>
      <c r="AN155" s="1488"/>
      <c r="AO155" s="1488"/>
      <c r="AP155" s="1488"/>
      <c r="AQ155" s="1488"/>
      <c r="AR155" s="1488"/>
      <c r="AS155" s="1488"/>
      <c r="AT155" s="1542"/>
      <c r="AU155" s="1599">
        <f t="shared" si="87"/>
        <v>0</v>
      </c>
      <c r="AV155" s="1544">
        <f t="shared" si="115"/>
        <v>0</v>
      </c>
      <c r="AW155" s="1452">
        <f t="shared" si="88"/>
        <v>0</v>
      </c>
      <c r="AX155" s="1452">
        <f t="shared" si="89"/>
        <v>0</v>
      </c>
      <c r="AY155" s="1452">
        <f t="shared" si="90"/>
        <v>0</v>
      </c>
      <c r="AZ155" s="1452">
        <f t="shared" si="91"/>
        <v>0</v>
      </c>
      <c r="BA155" s="1452">
        <f t="shared" si="92"/>
        <v>0</v>
      </c>
      <c r="BB155" s="1452">
        <f t="shared" si="93"/>
        <v>0</v>
      </c>
      <c r="BC155" s="1452">
        <f t="shared" si="94"/>
        <v>0</v>
      </c>
      <c r="BD155" s="1452">
        <f t="shared" si="95"/>
        <v>0</v>
      </c>
      <c r="BE155" s="1452">
        <f t="shared" si="96"/>
        <v>0</v>
      </c>
      <c r="BF155" s="1452">
        <f t="shared" si="97"/>
        <v>0</v>
      </c>
      <c r="BG155" s="1452">
        <f t="shared" si="98"/>
        <v>0</v>
      </c>
      <c r="BH155" s="1452">
        <f t="shared" si="99"/>
        <v>0</v>
      </c>
      <c r="BI155" s="1452">
        <f t="shared" si="116"/>
        <v>0</v>
      </c>
      <c r="BJ155" s="1452" t="str">
        <f t="shared" si="100"/>
        <v/>
      </c>
      <c r="BK155" s="1452" t="str">
        <f t="shared" si="101"/>
        <v/>
      </c>
      <c r="BL155" s="1452" t="str">
        <f t="shared" si="102"/>
        <v/>
      </c>
      <c r="BM155" s="1452" t="str">
        <f t="shared" si="103"/>
        <v/>
      </c>
      <c r="BN155" s="1452" t="str">
        <f t="shared" ca="1" si="104"/>
        <v/>
      </c>
      <c r="BO155" s="1452" t="str">
        <f t="shared" si="117"/>
        <v/>
      </c>
      <c r="BP155" s="1452" t="str">
        <f t="shared" si="105"/>
        <v/>
      </c>
      <c r="BQ155" s="1452" t="str">
        <f t="shared" si="106"/>
        <v/>
      </c>
      <c r="BR155" s="1452" t="str">
        <f t="shared" si="107"/>
        <v/>
      </c>
      <c r="BS155" s="1452" t="str">
        <f t="shared" si="108"/>
        <v/>
      </c>
      <c r="BT155" s="1452" t="str">
        <f t="shared" si="109"/>
        <v/>
      </c>
      <c r="BU155" s="1452" t="str">
        <f t="shared" si="110"/>
        <v/>
      </c>
      <c r="BV155" s="1452" t="str">
        <f t="shared" si="111"/>
        <v/>
      </c>
      <c r="BW155" s="1558">
        <f t="shared" ca="1" si="118"/>
        <v>0</v>
      </c>
    </row>
    <row r="156" spans="1:75" s="9" customFormat="1" ht="12.5">
      <c r="A156" s="1483" t="str">
        <f t="shared" si="112"/>
        <v>Public Health Wales Trust</v>
      </c>
      <c r="B156" s="1583"/>
      <c r="C156" s="1583"/>
      <c r="D156" s="1583"/>
      <c r="E156" s="1581"/>
      <c r="F156" s="1436"/>
      <c r="G156" s="1547">
        <f t="shared" si="113"/>
        <v>0</v>
      </c>
      <c r="H156" s="1484"/>
      <c r="I156" s="1547">
        <f t="shared" si="114"/>
        <v>0</v>
      </c>
      <c r="J156" s="1485"/>
      <c r="K156" s="1485"/>
      <c r="L156" s="1436"/>
      <c r="M156" s="1439"/>
      <c r="N156" s="1439"/>
      <c r="O156" s="1485"/>
      <c r="P156" s="1486"/>
      <c r="Q156" s="1486"/>
      <c r="R156" s="1487"/>
      <c r="S156" s="1444"/>
      <c r="T156" s="1444"/>
      <c r="U156" s="1444"/>
      <c r="V156" s="1488"/>
      <c r="W156" s="1488"/>
      <c r="X156" s="1488"/>
      <c r="Y156" s="1488"/>
      <c r="Z156" s="1488"/>
      <c r="AA156" s="1488"/>
      <c r="AB156" s="1488"/>
      <c r="AC156" s="1488"/>
      <c r="AD156" s="1488"/>
      <c r="AE156" s="1488"/>
      <c r="AF156" s="1488"/>
      <c r="AG156" s="1488"/>
      <c r="AH156" s="1451">
        <f t="shared" si="86"/>
        <v>0</v>
      </c>
      <c r="AI156" s="1488"/>
      <c r="AJ156" s="1488"/>
      <c r="AK156" s="1488"/>
      <c r="AL156" s="1488"/>
      <c r="AM156" s="1488"/>
      <c r="AN156" s="1488"/>
      <c r="AO156" s="1488"/>
      <c r="AP156" s="1488"/>
      <c r="AQ156" s="1488"/>
      <c r="AR156" s="1488"/>
      <c r="AS156" s="1488"/>
      <c r="AT156" s="1542"/>
      <c r="AU156" s="1599">
        <f t="shared" si="87"/>
        <v>0</v>
      </c>
      <c r="AV156" s="1544">
        <f t="shared" si="115"/>
        <v>0</v>
      </c>
      <c r="AW156" s="1452">
        <f t="shared" si="88"/>
        <v>0</v>
      </c>
      <c r="AX156" s="1452">
        <f t="shared" si="89"/>
        <v>0</v>
      </c>
      <c r="AY156" s="1452">
        <f t="shared" si="90"/>
        <v>0</v>
      </c>
      <c r="AZ156" s="1452">
        <f t="shared" si="91"/>
        <v>0</v>
      </c>
      <c r="BA156" s="1452">
        <f t="shared" si="92"/>
        <v>0</v>
      </c>
      <c r="BB156" s="1452">
        <f t="shared" si="93"/>
        <v>0</v>
      </c>
      <c r="BC156" s="1452">
        <f t="shared" si="94"/>
        <v>0</v>
      </c>
      <c r="BD156" s="1452">
        <f t="shared" si="95"/>
        <v>0</v>
      </c>
      <c r="BE156" s="1452">
        <f t="shared" si="96"/>
        <v>0</v>
      </c>
      <c r="BF156" s="1452">
        <f t="shared" si="97"/>
        <v>0</v>
      </c>
      <c r="BG156" s="1452">
        <f t="shared" si="98"/>
        <v>0</v>
      </c>
      <c r="BH156" s="1452">
        <f t="shared" si="99"/>
        <v>0</v>
      </c>
      <c r="BI156" s="1452">
        <f t="shared" si="116"/>
        <v>0</v>
      </c>
      <c r="BJ156" s="1452" t="str">
        <f t="shared" si="100"/>
        <v/>
      </c>
      <c r="BK156" s="1452" t="str">
        <f t="shared" si="101"/>
        <v/>
      </c>
      <c r="BL156" s="1452" t="str">
        <f t="shared" si="102"/>
        <v/>
      </c>
      <c r="BM156" s="1452" t="str">
        <f t="shared" si="103"/>
        <v/>
      </c>
      <c r="BN156" s="1452" t="str">
        <f t="shared" ca="1" si="104"/>
        <v/>
      </c>
      <c r="BO156" s="1452" t="str">
        <f t="shared" si="117"/>
        <v/>
      </c>
      <c r="BP156" s="1452" t="str">
        <f t="shared" si="105"/>
        <v/>
      </c>
      <c r="BQ156" s="1452" t="str">
        <f t="shared" si="106"/>
        <v/>
      </c>
      <c r="BR156" s="1452" t="str">
        <f t="shared" si="107"/>
        <v/>
      </c>
      <c r="BS156" s="1452" t="str">
        <f t="shared" si="108"/>
        <v/>
      </c>
      <c r="BT156" s="1452" t="str">
        <f t="shared" si="109"/>
        <v/>
      </c>
      <c r="BU156" s="1452" t="str">
        <f t="shared" si="110"/>
        <v/>
      </c>
      <c r="BV156" s="1452" t="str">
        <f t="shared" si="111"/>
        <v/>
      </c>
      <c r="BW156" s="1558">
        <f t="shared" ca="1" si="118"/>
        <v>0</v>
      </c>
    </row>
    <row r="157" spans="1:75" s="9" customFormat="1" ht="12.5">
      <c r="A157" s="1483" t="str">
        <f t="shared" si="112"/>
        <v>Public Health Wales Trust</v>
      </c>
      <c r="B157" s="1583"/>
      <c r="C157" s="1583"/>
      <c r="D157" s="1583"/>
      <c r="E157" s="1581"/>
      <c r="F157" s="1436"/>
      <c r="G157" s="1547">
        <f t="shared" si="113"/>
        <v>0</v>
      </c>
      <c r="H157" s="1484"/>
      <c r="I157" s="1547">
        <f t="shared" si="114"/>
        <v>0</v>
      </c>
      <c r="J157" s="1485"/>
      <c r="K157" s="1485"/>
      <c r="L157" s="1436"/>
      <c r="M157" s="1439"/>
      <c r="N157" s="1439"/>
      <c r="O157" s="1485"/>
      <c r="P157" s="1486"/>
      <c r="Q157" s="1486"/>
      <c r="R157" s="1487"/>
      <c r="S157" s="1444"/>
      <c r="T157" s="1444"/>
      <c r="U157" s="1444"/>
      <c r="V157" s="1488"/>
      <c r="W157" s="1488"/>
      <c r="X157" s="1488"/>
      <c r="Y157" s="1488"/>
      <c r="Z157" s="1488"/>
      <c r="AA157" s="1488"/>
      <c r="AB157" s="1488"/>
      <c r="AC157" s="1488"/>
      <c r="AD157" s="1488"/>
      <c r="AE157" s="1488"/>
      <c r="AF157" s="1488"/>
      <c r="AG157" s="1488"/>
      <c r="AH157" s="1451">
        <f t="shared" si="86"/>
        <v>0</v>
      </c>
      <c r="AI157" s="1488"/>
      <c r="AJ157" s="1488"/>
      <c r="AK157" s="1488"/>
      <c r="AL157" s="1488"/>
      <c r="AM157" s="1488"/>
      <c r="AN157" s="1488"/>
      <c r="AO157" s="1488"/>
      <c r="AP157" s="1488"/>
      <c r="AQ157" s="1488"/>
      <c r="AR157" s="1488"/>
      <c r="AS157" s="1488"/>
      <c r="AT157" s="1542"/>
      <c r="AU157" s="1599">
        <f t="shared" si="87"/>
        <v>0</v>
      </c>
      <c r="AV157" s="1544">
        <f t="shared" si="115"/>
        <v>0</v>
      </c>
      <c r="AW157" s="1452">
        <f t="shared" si="88"/>
        <v>0</v>
      </c>
      <c r="AX157" s="1452">
        <f t="shared" si="89"/>
        <v>0</v>
      </c>
      <c r="AY157" s="1452">
        <f t="shared" si="90"/>
        <v>0</v>
      </c>
      <c r="AZ157" s="1452">
        <f t="shared" si="91"/>
        <v>0</v>
      </c>
      <c r="BA157" s="1452">
        <f t="shared" si="92"/>
        <v>0</v>
      </c>
      <c r="BB157" s="1452">
        <f t="shared" si="93"/>
        <v>0</v>
      </c>
      <c r="BC157" s="1452">
        <f t="shared" si="94"/>
        <v>0</v>
      </c>
      <c r="BD157" s="1452">
        <f t="shared" si="95"/>
        <v>0</v>
      </c>
      <c r="BE157" s="1452">
        <f t="shared" si="96"/>
        <v>0</v>
      </c>
      <c r="BF157" s="1452">
        <f t="shared" si="97"/>
        <v>0</v>
      </c>
      <c r="BG157" s="1452">
        <f t="shared" si="98"/>
        <v>0</v>
      </c>
      <c r="BH157" s="1452">
        <f t="shared" si="99"/>
        <v>0</v>
      </c>
      <c r="BI157" s="1452">
        <f t="shared" si="116"/>
        <v>0</v>
      </c>
      <c r="BJ157" s="1452" t="str">
        <f t="shared" si="100"/>
        <v/>
      </c>
      <c r="BK157" s="1452" t="str">
        <f t="shared" si="101"/>
        <v/>
      </c>
      <c r="BL157" s="1452" t="str">
        <f t="shared" si="102"/>
        <v/>
      </c>
      <c r="BM157" s="1452" t="str">
        <f t="shared" si="103"/>
        <v/>
      </c>
      <c r="BN157" s="1452" t="str">
        <f t="shared" ca="1" si="104"/>
        <v/>
      </c>
      <c r="BO157" s="1452" t="str">
        <f t="shared" si="117"/>
        <v/>
      </c>
      <c r="BP157" s="1452" t="str">
        <f t="shared" si="105"/>
        <v/>
      </c>
      <c r="BQ157" s="1452" t="str">
        <f t="shared" si="106"/>
        <v/>
      </c>
      <c r="BR157" s="1452" t="str">
        <f t="shared" si="107"/>
        <v/>
      </c>
      <c r="BS157" s="1452" t="str">
        <f t="shared" si="108"/>
        <v/>
      </c>
      <c r="BT157" s="1452" t="str">
        <f t="shared" si="109"/>
        <v/>
      </c>
      <c r="BU157" s="1452" t="str">
        <f t="shared" si="110"/>
        <v/>
      </c>
      <c r="BV157" s="1452" t="str">
        <f t="shared" si="111"/>
        <v/>
      </c>
      <c r="BW157" s="1558">
        <f t="shared" ca="1" si="118"/>
        <v>0</v>
      </c>
    </row>
    <row r="158" spans="1:75" s="9" customFormat="1" ht="12.5">
      <c r="A158" s="1483" t="str">
        <f t="shared" si="112"/>
        <v>Public Health Wales Trust</v>
      </c>
      <c r="B158" s="1583"/>
      <c r="C158" s="1583"/>
      <c r="D158" s="1583"/>
      <c r="E158" s="1581"/>
      <c r="F158" s="1436"/>
      <c r="G158" s="1547">
        <f t="shared" si="113"/>
        <v>0</v>
      </c>
      <c r="H158" s="1484"/>
      <c r="I158" s="1547">
        <f t="shared" si="114"/>
        <v>0</v>
      </c>
      <c r="J158" s="1485"/>
      <c r="K158" s="1485"/>
      <c r="L158" s="1436"/>
      <c r="M158" s="1439"/>
      <c r="N158" s="1439"/>
      <c r="O158" s="1485"/>
      <c r="P158" s="1486"/>
      <c r="Q158" s="1486"/>
      <c r="R158" s="1487"/>
      <c r="S158" s="1444"/>
      <c r="T158" s="1444"/>
      <c r="U158" s="1444"/>
      <c r="V158" s="1488"/>
      <c r="W158" s="1488"/>
      <c r="X158" s="1488"/>
      <c r="Y158" s="1488"/>
      <c r="Z158" s="1488"/>
      <c r="AA158" s="1488"/>
      <c r="AB158" s="1488"/>
      <c r="AC158" s="1488"/>
      <c r="AD158" s="1488"/>
      <c r="AE158" s="1488"/>
      <c r="AF158" s="1488"/>
      <c r="AG158" s="1488"/>
      <c r="AH158" s="1451">
        <f t="shared" si="86"/>
        <v>0</v>
      </c>
      <c r="AI158" s="1488"/>
      <c r="AJ158" s="1488"/>
      <c r="AK158" s="1488"/>
      <c r="AL158" s="1488"/>
      <c r="AM158" s="1488"/>
      <c r="AN158" s="1488"/>
      <c r="AO158" s="1488"/>
      <c r="AP158" s="1488"/>
      <c r="AQ158" s="1488"/>
      <c r="AR158" s="1488"/>
      <c r="AS158" s="1488"/>
      <c r="AT158" s="1542"/>
      <c r="AU158" s="1599">
        <f t="shared" si="87"/>
        <v>0</v>
      </c>
      <c r="AV158" s="1544">
        <f t="shared" si="115"/>
        <v>0</v>
      </c>
      <c r="AW158" s="1452">
        <f t="shared" si="88"/>
        <v>0</v>
      </c>
      <c r="AX158" s="1452">
        <f t="shared" si="89"/>
        <v>0</v>
      </c>
      <c r="AY158" s="1452">
        <f t="shared" si="90"/>
        <v>0</v>
      </c>
      <c r="AZ158" s="1452">
        <f t="shared" si="91"/>
        <v>0</v>
      </c>
      <c r="BA158" s="1452">
        <f t="shared" si="92"/>
        <v>0</v>
      </c>
      <c r="BB158" s="1452">
        <f t="shared" si="93"/>
        <v>0</v>
      </c>
      <c r="BC158" s="1452">
        <f t="shared" si="94"/>
        <v>0</v>
      </c>
      <c r="BD158" s="1452">
        <f t="shared" si="95"/>
        <v>0</v>
      </c>
      <c r="BE158" s="1452">
        <f t="shared" si="96"/>
        <v>0</v>
      </c>
      <c r="BF158" s="1452">
        <f t="shared" si="97"/>
        <v>0</v>
      </c>
      <c r="BG158" s="1452">
        <f t="shared" si="98"/>
        <v>0</v>
      </c>
      <c r="BH158" s="1452">
        <f t="shared" si="99"/>
        <v>0</v>
      </c>
      <c r="BI158" s="1452">
        <f t="shared" si="116"/>
        <v>0</v>
      </c>
      <c r="BJ158" s="1452" t="str">
        <f t="shared" si="100"/>
        <v/>
      </c>
      <c r="BK158" s="1452" t="str">
        <f t="shared" si="101"/>
        <v/>
      </c>
      <c r="BL158" s="1452" t="str">
        <f t="shared" si="102"/>
        <v/>
      </c>
      <c r="BM158" s="1452" t="str">
        <f t="shared" si="103"/>
        <v/>
      </c>
      <c r="BN158" s="1452" t="str">
        <f t="shared" ca="1" si="104"/>
        <v/>
      </c>
      <c r="BO158" s="1452" t="str">
        <f t="shared" si="117"/>
        <v/>
      </c>
      <c r="BP158" s="1452" t="str">
        <f t="shared" si="105"/>
        <v/>
      </c>
      <c r="BQ158" s="1452" t="str">
        <f t="shared" si="106"/>
        <v/>
      </c>
      <c r="BR158" s="1452" t="str">
        <f t="shared" si="107"/>
        <v/>
      </c>
      <c r="BS158" s="1452" t="str">
        <f t="shared" si="108"/>
        <v/>
      </c>
      <c r="BT158" s="1452" t="str">
        <f t="shared" si="109"/>
        <v/>
      </c>
      <c r="BU158" s="1452" t="str">
        <f t="shared" si="110"/>
        <v/>
      </c>
      <c r="BV158" s="1452" t="str">
        <f t="shared" si="111"/>
        <v/>
      </c>
      <c r="BW158" s="1558">
        <f t="shared" ca="1" si="118"/>
        <v>0</v>
      </c>
    </row>
    <row r="159" spans="1:75" s="9" customFormat="1" ht="12.5">
      <c r="A159" s="1483" t="str">
        <f t="shared" si="112"/>
        <v>Public Health Wales Trust</v>
      </c>
      <c r="B159" s="1583"/>
      <c r="C159" s="1583"/>
      <c r="D159" s="1583"/>
      <c r="E159" s="1581"/>
      <c r="F159" s="1436"/>
      <c r="G159" s="1547">
        <f t="shared" si="113"/>
        <v>0</v>
      </c>
      <c r="H159" s="1484"/>
      <c r="I159" s="1547">
        <f t="shared" si="114"/>
        <v>0</v>
      </c>
      <c r="J159" s="1485"/>
      <c r="K159" s="1485"/>
      <c r="L159" s="1436"/>
      <c r="M159" s="1439"/>
      <c r="N159" s="1439"/>
      <c r="O159" s="1485"/>
      <c r="P159" s="1486"/>
      <c r="Q159" s="1486"/>
      <c r="R159" s="1487"/>
      <c r="S159" s="1444"/>
      <c r="T159" s="1444"/>
      <c r="U159" s="1444"/>
      <c r="V159" s="1488"/>
      <c r="W159" s="1488"/>
      <c r="X159" s="1488"/>
      <c r="Y159" s="1488"/>
      <c r="Z159" s="1488"/>
      <c r="AA159" s="1488"/>
      <c r="AB159" s="1488"/>
      <c r="AC159" s="1488"/>
      <c r="AD159" s="1488"/>
      <c r="AE159" s="1488"/>
      <c r="AF159" s="1488"/>
      <c r="AG159" s="1488"/>
      <c r="AH159" s="1451">
        <f t="shared" si="86"/>
        <v>0</v>
      </c>
      <c r="AI159" s="1488"/>
      <c r="AJ159" s="1488"/>
      <c r="AK159" s="1488"/>
      <c r="AL159" s="1488"/>
      <c r="AM159" s="1488"/>
      <c r="AN159" s="1488"/>
      <c r="AO159" s="1488"/>
      <c r="AP159" s="1488"/>
      <c r="AQ159" s="1488"/>
      <c r="AR159" s="1488"/>
      <c r="AS159" s="1488"/>
      <c r="AT159" s="1542"/>
      <c r="AU159" s="1599">
        <f t="shared" si="87"/>
        <v>0</v>
      </c>
      <c r="AV159" s="1544">
        <f t="shared" si="115"/>
        <v>0</v>
      </c>
      <c r="AW159" s="1452">
        <f t="shared" si="88"/>
        <v>0</v>
      </c>
      <c r="AX159" s="1452">
        <f t="shared" si="89"/>
        <v>0</v>
      </c>
      <c r="AY159" s="1452">
        <f t="shared" si="90"/>
        <v>0</v>
      </c>
      <c r="AZ159" s="1452">
        <f t="shared" si="91"/>
        <v>0</v>
      </c>
      <c r="BA159" s="1452">
        <f t="shared" si="92"/>
        <v>0</v>
      </c>
      <c r="BB159" s="1452">
        <f t="shared" si="93"/>
        <v>0</v>
      </c>
      <c r="BC159" s="1452">
        <f t="shared" si="94"/>
        <v>0</v>
      </c>
      <c r="BD159" s="1452">
        <f t="shared" si="95"/>
        <v>0</v>
      </c>
      <c r="BE159" s="1452">
        <f t="shared" si="96"/>
        <v>0</v>
      </c>
      <c r="BF159" s="1452">
        <f t="shared" si="97"/>
        <v>0</v>
      </c>
      <c r="BG159" s="1452">
        <f t="shared" si="98"/>
        <v>0</v>
      </c>
      <c r="BH159" s="1452">
        <f t="shared" si="99"/>
        <v>0</v>
      </c>
      <c r="BI159" s="1452">
        <f t="shared" si="116"/>
        <v>0</v>
      </c>
      <c r="BJ159" s="1452" t="str">
        <f t="shared" si="100"/>
        <v/>
      </c>
      <c r="BK159" s="1452" t="str">
        <f t="shared" si="101"/>
        <v/>
      </c>
      <c r="BL159" s="1452" t="str">
        <f t="shared" si="102"/>
        <v/>
      </c>
      <c r="BM159" s="1452" t="str">
        <f t="shared" si="103"/>
        <v/>
      </c>
      <c r="BN159" s="1452" t="str">
        <f t="shared" ca="1" si="104"/>
        <v/>
      </c>
      <c r="BO159" s="1452" t="str">
        <f t="shared" si="117"/>
        <v/>
      </c>
      <c r="BP159" s="1452" t="str">
        <f t="shared" si="105"/>
        <v/>
      </c>
      <c r="BQ159" s="1452" t="str">
        <f t="shared" si="106"/>
        <v/>
      </c>
      <c r="BR159" s="1452" t="str">
        <f t="shared" si="107"/>
        <v/>
      </c>
      <c r="BS159" s="1452" t="str">
        <f t="shared" si="108"/>
        <v/>
      </c>
      <c r="BT159" s="1452" t="str">
        <f t="shared" si="109"/>
        <v/>
      </c>
      <c r="BU159" s="1452" t="str">
        <f t="shared" si="110"/>
        <v/>
      </c>
      <c r="BV159" s="1452" t="str">
        <f t="shared" si="111"/>
        <v/>
      </c>
      <c r="BW159" s="1558">
        <f t="shared" ca="1" si="118"/>
        <v>0</v>
      </c>
    </row>
    <row r="160" spans="1:75" s="9" customFormat="1" ht="12.5">
      <c r="A160" s="1483" t="str">
        <f t="shared" si="112"/>
        <v>Public Health Wales Trust</v>
      </c>
      <c r="B160" s="1583"/>
      <c r="C160" s="1583"/>
      <c r="D160" s="1583"/>
      <c r="E160" s="1581"/>
      <c r="F160" s="1436"/>
      <c r="G160" s="1547">
        <f t="shared" si="113"/>
        <v>0</v>
      </c>
      <c r="H160" s="1484"/>
      <c r="I160" s="1547">
        <f t="shared" si="114"/>
        <v>0</v>
      </c>
      <c r="J160" s="1485"/>
      <c r="K160" s="1485"/>
      <c r="L160" s="1436"/>
      <c r="M160" s="1439"/>
      <c r="N160" s="1439"/>
      <c r="O160" s="1485"/>
      <c r="P160" s="1486"/>
      <c r="Q160" s="1486"/>
      <c r="R160" s="1487"/>
      <c r="S160" s="1444"/>
      <c r="T160" s="1444"/>
      <c r="U160" s="1444"/>
      <c r="V160" s="1488"/>
      <c r="W160" s="1488"/>
      <c r="X160" s="1488"/>
      <c r="Y160" s="1488"/>
      <c r="Z160" s="1488"/>
      <c r="AA160" s="1488"/>
      <c r="AB160" s="1488"/>
      <c r="AC160" s="1488"/>
      <c r="AD160" s="1488"/>
      <c r="AE160" s="1488"/>
      <c r="AF160" s="1488"/>
      <c r="AG160" s="1488"/>
      <c r="AH160" s="1451">
        <f t="shared" si="86"/>
        <v>0</v>
      </c>
      <c r="AI160" s="1488"/>
      <c r="AJ160" s="1488"/>
      <c r="AK160" s="1488"/>
      <c r="AL160" s="1488"/>
      <c r="AM160" s="1488"/>
      <c r="AN160" s="1488"/>
      <c r="AO160" s="1488"/>
      <c r="AP160" s="1488"/>
      <c r="AQ160" s="1488"/>
      <c r="AR160" s="1488"/>
      <c r="AS160" s="1488"/>
      <c r="AT160" s="1542"/>
      <c r="AU160" s="1599">
        <f t="shared" si="87"/>
        <v>0</v>
      </c>
      <c r="AV160" s="1544">
        <f t="shared" si="115"/>
        <v>0</v>
      </c>
      <c r="AW160" s="1452">
        <f t="shared" si="88"/>
        <v>0</v>
      </c>
      <c r="AX160" s="1452">
        <f t="shared" si="89"/>
        <v>0</v>
      </c>
      <c r="AY160" s="1452">
        <f t="shared" si="90"/>
        <v>0</v>
      </c>
      <c r="AZ160" s="1452">
        <f t="shared" si="91"/>
        <v>0</v>
      </c>
      <c r="BA160" s="1452">
        <f t="shared" si="92"/>
        <v>0</v>
      </c>
      <c r="BB160" s="1452">
        <f t="shared" si="93"/>
        <v>0</v>
      </c>
      <c r="BC160" s="1452">
        <f t="shared" si="94"/>
        <v>0</v>
      </c>
      <c r="BD160" s="1452">
        <f t="shared" si="95"/>
        <v>0</v>
      </c>
      <c r="BE160" s="1452">
        <f t="shared" si="96"/>
        <v>0</v>
      </c>
      <c r="BF160" s="1452">
        <f t="shared" si="97"/>
        <v>0</v>
      </c>
      <c r="BG160" s="1452">
        <f t="shared" si="98"/>
        <v>0</v>
      </c>
      <c r="BH160" s="1452">
        <f t="shared" si="99"/>
        <v>0</v>
      </c>
      <c r="BI160" s="1452">
        <f t="shared" si="116"/>
        <v>0</v>
      </c>
      <c r="BJ160" s="1452" t="str">
        <f t="shared" si="100"/>
        <v/>
      </c>
      <c r="BK160" s="1452" t="str">
        <f t="shared" si="101"/>
        <v/>
      </c>
      <c r="BL160" s="1452" t="str">
        <f t="shared" si="102"/>
        <v/>
      </c>
      <c r="BM160" s="1452" t="str">
        <f t="shared" si="103"/>
        <v/>
      </c>
      <c r="BN160" s="1452" t="str">
        <f t="shared" ca="1" si="104"/>
        <v/>
      </c>
      <c r="BO160" s="1452" t="str">
        <f t="shared" si="117"/>
        <v/>
      </c>
      <c r="BP160" s="1452" t="str">
        <f t="shared" si="105"/>
        <v/>
      </c>
      <c r="BQ160" s="1452" t="str">
        <f t="shared" si="106"/>
        <v/>
      </c>
      <c r="BR160" s="1452" t="str">
        <f t="shared" si="107"/>
        <v/>
      </c>
      <c r="BS160" s="1452" t="str">
        <f t="shared" si="108"/>
        <v/>
      </c>
      <c r="BT160" s="1452" t="str">
        <f t="shared" si="109"/>
        <v/>
      </c>
      <c r="BU160" s="1452" t="str">
        <f t="shared" si="110"/>
        <v/>
      </c>
      <c r="BV160" s="1452" t="str">
        <f t="shared" si="111"/>
        <v/>
      </c>
      <c r="BW160" s="1558">
        <f t="shared" ca="1" si="118"/>
        <v>0</v>
      </c>
    </row>
    <row r="161" spans="1:75" s="9" customFormat="1" ht="12.5">
      <c r="A161" s="1483" t="str">
        <f t="shared" si="112"/>
        <v>Public Health Wales Trust</v>
      </c>
      <c r="B161" s="1583"/>
      <c r="C161" s="1583"/>
      <c r="D161" s="1583"/>
      <c r="E161" s="1581"/>
      <c r="F161" s="1436"/>
      <c r="G161" s="1547">
        <f t="shared" si="113"/>
        <v>0</v>
      </c>
      <c r="H161" s="1484"/>
      <c r="I161" s="1547">
        <f t="shared" si="114"/>
        <v>0</v>
      </c>
      <c r="J161" s="1485"/>
      <c r="K161" s="1485"/>
      <c r="L161" s="1436"/>
      <c r="M161" s="1439"/>
      <c r="N161" s="1439"/>
      <c r="O161" s="1485"/>
      <c r="P161" s="1486"/>
      <c r="Q161" s="1486"/>
      <c r="R161" s="1487"/>
      <c r="S161" s="1444"/>
      <c r="T161" s="1444"/>
      <c r="U161" s="1444"/>
      <c r="V161" s="1488"/>
      <c r="W161" s="1488"/>
      <c r="X161" s="1488"/>
      <c r="Y161" s="1488"/>
      <c r="Z161" s="1488"/>
      <c r="AA161" s="1488"/>
      <c r="AB161" s="1488"/>
      <c r="AC161" s="1488"/>
      <c r="AD161" s="1488"/>
      <c r="AE161" s="1488"/>
      <c r="AF161" s="1488"/>
      <c r="AG161" s="1488"/>
      <c r="AH161" s="1451">
        <f t="shared" si="86"/>
        <v>0</v>
      </c>
      <c r="AI161" s="1488"/>
      <c r="AJ161" s="1488"/>
      <c r="AK161" s="1488"/>
      <c r="AL161" s="1488"/>
      <c r="AM161" s="1488"/>
      <c r="AN161" s="1488"/>
      <c r="AO161" s="1488"/>
      <c r="AP161" s="1488"/>
      <c r="AQ161" s="1488"/>
      <c r="AR161" s="1488"/>
      <c r="AS161" s="1488"/>
      <c r="AT161" s="1542"/>
      <c r="AU161" s="1599">
        <f t="shared" si="87"/>
        <v>0</v>
      </c>
      <c r="AV161" s="1544">
        <f t="shared" si="115"/>
        <v>0</v>
      </c>
      <c r="AW161" s="1452">
        <f t="shared" si="88"/>
        <v>0</v>
      </c>
      <c r="AX161" s="1452">
        <f t="shared" si="89"/>
        <v>0</v>
      </c>
      <c r="AY161" s="1452">
        <f t="shared" si="90"/>
        <v>0</v>
      </c>
      <c r="AZ161" s="1452">
        <f t="shared" si="91"/>
        <v>0</v>
      </c>
      <c r="BA161" s="1452">
        <f t="shared" si="92"/>
        <v>0</v>
      </c>
      <c r="BB161" s="1452">
        <f t="shared" si="93"/>
        <v>0</v>
      </c>
      <c r="BC161" s="1452">
        <f t="shared" si="94"/>
        <v>0</v>
      </c>
      <c r="BD161" s="1452">
        <f t="shared" si="95"/>
        <v>0</v>
      </c>
      <c r="BE161" s="1452">
        <f t="shared" si="96"/>
        <v>0</v>
      </c>
      <c r="BF161" s="1452">
        <f t="shared" si="97"/>
        <v>0</v>
      </c>
      <c r="BG161" s="1452">
        <f t="shared" si="98"/>
        <v>0</v>
      </c>
      <c r="BH161" s="1452">
        <f t="shared" si="99"/>
        <v>0</v>
      </c>
      <c r="BI161" s="1452">
        <f t="shared" si="116"/>
        <v>0</v>
      </c>
      <c r="BJ161" s="1452" t="str">
        <f t="shared" si="100"/>
        <v/>
      </c>
      <c r="BK161" s="1452" t="str">
        <f t="shared" si="101"/>
        <v/>
      </c>
      <c r="BL161" s="1452" t="str">
        <f t="shared" si="102"/>
        <v/>
      </c>
      <c r="BM161" s="1452" t="str">
        <f t="shared" si="103"/>
        <v/>
      </c>
      <c r="BN161" s="1452" t="str">
        <f t="shared" ca="1" si="104"/>
        <v/>
      </c>
      <c r="BO161" s="1452" t="str">
        <f t="shared" si="117"/>
        <v/>
      </c>
      <c r="BP161" s="1452" t="str">
        <f t="shared" si="105"/>
        <v/>
      </c>
      <c r="BQ161" s="1452" t="str">
        <f t="shared" si="106"/>
        <v/>
      </c>
      <c r="BR161" s="1452" t="str">
        <f t="shared" si="107"/>
        <v/>
      </c>
      <c r="BS161" s="1452" t="str">
        <f t="shared" si="108"/>
        <v/>
      </c>
      <c r="BT161" s="1452" t="str">
        <f t="shared" si="109"/>
        <v/>
      </c>
      <c r="BU161" s="1452" t="str">
        <f t="shared" si="110"/>
        <v/>
      </c>
      <c r="BV161" s="1452" t="str">
        <f t="shared" si="111"/>
        <v/>
      </c>
      <c r="BW161" s="1558">
        <f t="shared" ca="1" si="118"/>
        <v>0</v>
      </c>
    </row>
    <row r="162" spans="1:75" s="9" customFormat="1" ht="12.5">
      <c r="A162" s="1483" t="str">
        <f t="shared" si="112"/>
        <v>Public Health Wales Trust</v>
      </c>
      <c r="B162" s="1583"/>
      <c r="C162" s="1583"/>
      <c r="D162" s="1583"/>
      <c r="E162" s="1581"/>
      <c r="F162" s="1436"/>
      <c r="G162" s="1547">
        <f t="shared" si="113"/>
        <v>0</v>
      </c>
      <c r="H162" s="1484"/>
      <c r="I162" s="1547">
        <f t="shared" si="114"/>
        <v>0</v>
      </c>
      <c r="J162" s="1485"/>
      <c r="K162" s="1485"/>
      <c r="L162" s="1436"/>
      <c r="M162" s="1439"/>
      <c r="N162" s="1439"/>
      <c r="O162" s="1485"/>
      <c r="P162" s="1486"/>
      <c r="Q162" s="1486"/>
      <c r="R162" s="1487"/>
      <c r="S162" s="1444"/>
      <c r="T162" s="1444"/>
      <c r="U162" s="1444"/>
      <c r="V162" s="1488"/>
      <c r="W162" s="1488"/>
      <c r="X162" s="1488"/>
      <c r="Y162" s="1488"/>
      <c r="Z162" s="1488"/>
      <c r="AA162" s="1488"/>
      <c r="AB162" s="1488"/>
      <c r="AC162" s="1488"/>
      <c r="AD162" s="1488"/>
      <c r="AE162" s="1488"/>
      <c r="AF162" s="1488"/>
      <c r="AG162" s="1488"/>
      <c r="AH162" s="1451">
        <f t="shared" si="86"/>
        <v>0</v>
      </c>
      <c r="AI162" s="1488"/>
      <c r="AJ162" s="1488"/>
      <c r="AK162" s="1488"/>
      <c r="AL162" s="1488"/>
      <c r="AM162" s="1488"/>
      <c r="AN162" s="1488"/>
      <c r="AO162" s="1488"/>
      <c r="AP162" s="1488"/>
      <c r="AQ162" s="1488"/>
      <c r="AR162" s="1488"/>
      <c r="AS162" s="1488"/>
      <c r="AT162" s="1542"/>
      <c r="AU162" s="1599">
        <f t="shared" si="87"/>
        <v>0</v>
      </c>
      <c r="AV162" s="1544">
        <f t="shared" si="115"/>
        <v>0</v>
      </c>
      <c r="AW162" s="1452">
        <f t="shared" si="88"/>
        <v>0</v>
      </c>
      <c r="AX162" s="1452">
        <f t="shared" si="89"/>
        <v>0</v>
      </c>
      <c r="AY162" s="1452">
        <f t="shared" si="90"/>
        <v>0</v>
      </c>
      <c r="AZ162" s="1452">
        <f t="shared" si="91"/>
        <v>0</v>
      </c>
      <c r="BA162" s="1452">
        <f t="shared" si="92"/>
        <v>0</v>
      </c>
      <c r="BB162" s="1452">
        <f t="shared" si="93"/>
        <v>0</v>
      </c>
      <c r="BC162" s="1452">
        <f t="shared" si="94"/>
        <v>0</v>
      </c>
      <c r="BD162" s="1452">
        <f t="shared" si="95"/>
        <v>0</v>
      </c>
      <c r="BE162" s="1452">
        <f t="shared" si="96"/>
        <v>0</v>
      </c>
      <c r="BF162" s="1452">
        <f t="shared" si="97"/>
        <v>0</v>
      </c>
      <c r="BG162" s="1452">
        <f t="shared" si="98"/>
        <v>0</v>
      </c>
      <c r="BH162" s="1452">
        <f t="shared" si="99"/>
        <v>0</v>
      </c>
      <c r="BI162" s="1452">
        <f t="shared" si="116"/>
        <v>0</v>
      </c>
      <c r="BJ162" s="1452" t="str">
        <f t="shared" si="100"/>
        <v/>
      </c>
      <c r="BK162" s="1452" t="str">
        <f t="shared" si="101"/>
        <v/>
      </c>
      <c r="BL162" s="1452" t="str">
        <f t="shared" si="102"/>
        <v/>
      </c>
      <c r="BM162" s="1452" t="str">
        <f t="shared" si="103"/>
        <v/>
      </c>
      <c r="BN162" s="1452" t="str">
        <f t="shared" ca="1" si="104"/>
        <v/>
      </c>
      <c r="BO162" s="1452" t="str">
        <f t="shared" si="117"/>
        <v/>
      </c>
      <c r="BP162" s="1452" t="str">
        <f t="shared" si="105"/>
        <v/>
      </c>
      <c r="BQ162" s="1452" t="str">
        <f t="shared" si="106"/>
        <v/>
      </c>
      <c r="BR162" s="1452" t="str">
        <f t="shared" si="107"/>
        <v/>
      </c>
      <c r="BS162" s="1452" t="str">
        <f t="shared" si="108"/>
        <v/>
      </c>
      <c r="BT162" s="1452" t="str">
        <f t="shared" si="109"/>
        <v/>
      </c>
      <c r="BU162" s="1452" t="str">
        <f t="shared" si="110"/>
        <v/>
      </c>
      <c r="BV162" s="1452" t="str">
        <f t="shared" si="111"/>
        <v/>
      </c>
      <c r="BW162" s="1558">
        <f t="shared" ca="1" si="118"/>
        <v>0</v>
      </c>
    </row>
    <row r="163" spans="1:75" s="9" customFormat="1" ht="12.5">
      <c r="A163" s="1483" t="str">
        <f t="shared" si="112"/>
        <v>Public Health Wales Trust</v>
      </c>
      <c r="B163" s="1583"/>
      <c r="C163" s="1583"/>
      <c r="D163" s="1583"/>
      <c r="E163" s="1581"/>
      <c r="F163" s="1436"/>
      <c r="G163" s="1547">
        <f t="shared" si="113"/>
        <v>0</v>
      </c>
      <c r="H163" s="1484"/>
      <c r="I163" s="1547">
        <f t="shared" si="114"/>
        <v>0</v>
      </c>
      <c r="J163" s="1485"/>
      <c r="K163" s="1485"/>
      <c r="L163" s="1436"/>
      <c r="M163" s="1439"/>
      <c r="N163" s="1439"/>
      <c r="O163" s="1485"/>
      <c r="P163" s="1486"/>
      <c r="Q163" s="1486"/>
      <c r="R163" s="1487"/>
      <c r="S163" s="1444"/>
      <c r="T163" s="1444"/>
      <c r="U163" s="1444"/>
      <c r="V163" s="1488"/>
      <c r="W163" s="1488"/>
      <c r="X163" s="1488"/>
      <c r="Y163" s="1488"/>
      <c r="Z163" s="1488"/>
      <c r="AA163" s="1488"/>
      <c r="AB163" s="1488"/>
      <c r="AC163" s="1488"/>
      <c r="AD163" s="1488"/>
      <c r="AE163" s="1488"/>
      <c r="AF163" s="1488"/>
      <c r="AG163" s="1488"/>
      <c r="AH163" s="1451">
        <f t="shared" si="86"/>
        <v>0</v>
      </c>
      <c r="AI163" s="1488"/>
      <c r="AJ163" s="1488"/>
      <c r="AK163" s="1488"/>
      <c r="AL163" s="1488"/>
      <c r="AM163" s="1488"/>
      <c r="AN163" s="1488"/>
      <c r="AO163" s="1488"/>
      <c r="AP163" s="1488"/>
      <c r="AQ163" s="1488"/>
      <c r="AR163" s="1488"/>
      <c r="AS163" s="1488"/>
      <c r="AT163" s="1542"/>
      <c r="AU163" s="1599">
        <f t="shared" si="87"/>
        <v>0</v>
      </c>
      <c r="AV163" s="1544">
        <f t="shared" si="115"/>
        <v>0</v>
      </c>
      <c r="AW163" s="1452">
        <f t="shared" si="88"/>
        <v>0</v>
      </c>
      <c r="AX163" s="1452">
        <f t="shared" si="89"/>
        <v>0</v>
      </c>
      <c r="AY163" s="1452">
        <f t="shared" si="90"/>
        <v>0</v>
      </c>
      <c r="AZ163" s="1452">
        <f t="shared" si="91"/>
        <v>0</v>
      </c>
      <c r="BA163" s="1452">
        <f t="shared" si="92"/>
        <v>0</v>
      </c>
      <c r="BB163" s="1452">
        <f t="shared" si="93"/>
        <v>0</v>
      </c>
      <c r="BC163" s="1452">
        <f t="shared" si="94"/>
        <v>0</v>
      </c>
      <c r="BD163" s="1452">
        <f t="shared" si="95"/>
        <v>0</v>
      </c>
      <c r="BE163" s="1452">
        <f t="shared" si="96"/>
        <v>0</v>
      </c>
      <c r="BF163" s="1452">
        <f t="shared" si="97"/>
        <v>0</v>
      </c>
      <c r="BG163" s="1452">
        <f t="shared" si="98"/>
        <v>0</v>
      </c>
      <c r="BH163" s="1452">
        <f t="shared" si="99"/>
        <v>0</v>
      </c>
      <c r="BI163" s="1452">
        <f t="shared" si="116"/>
        <v>0</v>
      </c>
      <c r="BJ163" s="1452" t="str">
        <f t="shared" si="100"/>
        <v/>
      </c>
      <c r="BK163" s="1452" t="str">
        <f t="shared" si="101"/>
        <v/>
      </c>
      <c r="BL163" s="1452" t="str">
        <f t="shared" si="102"/>
        <v/>
      </c>
      <c r="BM163" s="1452" t="str">
        <f t="shared" si="103"/>
        <v/>
      </c>
      <c r="BN163" s="1452" t="str">
        <f t="shared" ca="1" si="104"/>
        <v/>
      </c>
      <c r="BO163" s="1452" t="str">
        <f t="shared" si="117"/>
        <v/>
      </c>
      <c r="BP163" s="1452" t="str">
        <f t="shared" si="105"/>
        <v/>
      </c>
      <c r="BQ163" s="1452" t="str">
        <f t="shared" si="106"/>
        <v/>
      </c>
      <c r="BR163" s="1452" t="str">
        <f t="shared" si="107"/>
        <v/>
      </c>
      <c r="BS163" s="1452" t="str">
        <f t="shared" si="108"/>
        <v/>
      </c>
      <c r="BT163" s="1452" t="str">
        <f t="shared" si="109"/>
        <v/>
      </c>
      <c r="BU163" s="1452" t="str">
        <f t="shared" si="110"/>
        <v/>
      </c>
      <c r="BV163" s="1452" t="str">
        <f t="shared" si="111"/>
        <v/>
      </c>
      <c r="BW163" s="1558">
        <f t="shared" ca="1" si="118"/>
        <v>0</v>
      </c>
    </row>
    <row r="164" spans="1:75" s="9" customFormat="1" ht="12.5">
      <c r="A164" s="1483" t="str">
        <f t="shared" si="112"/>
        <v>Public Health Wales Trust</v>
      </c>
      <c r="B164" s="1583"/>
      <c r="C164" s="1583"/>
      <c r="D164" s="1583"/>
      <c r="E164" s="1581"/>
      <c r="F164" s="1436"/>
      <c r="G164" s="1547">
        <f t="shared" si="113"/>
        <v>0</v>
      </c>
      <c r="H164" s="1484"/>
      <c r="I164" s="1547">
        <f t="shared" si="114"/>
        <v>0</v>
      </c>
      <c r="J164" s="1485"/>
      <c r="K164" s="1485"/>
      <c r="L164" s="1436"/>
      <c r="M164" s="1439"/>
      <c r="N164" s="1439"/>
      <c r="O164" s="1485"/>
      <c r="P164" s="1486"/>
      <c r="Q164" s="1486"/>
      <c r="R164" s="1487"/>
      <c r="S164" s="1444"/>
      <c r="T164" s="1444"/>
      <c r="U164" s="1444"/>
      <c r="V164" s="1488"/>
      <c r="W164" s="1488"/>
      <c r="X164" s="1488"/>
      <c r="Y164" s="1488"/>
      <c r="Z164" s="1488"/>
      <c r="AA164" s="1488"/>
      <c r="AB164" s="1488"/>
      <c r="AC164" s="1488"/>
      <c r="AD164" s="1488"/>
      <c r="AE164" s="1488"/>
      <c r="AF164" s="1488"/>
      <c r="AG164" s="1488"/>
      <c r="AH164" s="1451">
        <f t="shared" si="86"/>
        <v>0</v>
      </c>
      <c r="AI164" s="1488"/>
      <c r="AJ164" s="1488"/>
      <c r="AK164" s="1488"/>
      <c r="AL164" s="1488"/>
      <c r="AM164" s="1488"/>
      <c r="AN164" s="1488"/>
      <c r="AO164" s="1488"/>
      <c r="AP164" s="1488"/>
      <c r="AQ164" s="1488"/>
      <c r="AR164" s="1488"/>
      <c r="AS164" s="1488"/>
      <c r="AT164" s="1542"/>
      <c r="AU164" s="1599">
        <f t="shared" si="87"/>
        <v>0</v>
      </c>
      <c r="AV164" s="1544">
        <f t="shared" si="115"/>
        <v>0</v>
      </c>
      <c r="AW164" s="1452">
        <f t="shared" si="88"/>
        <v>0</v>
      </c>
      <c r="AX164" s="1452">
        <f t="shared" si="89"/>
        <v>0</v>
      </c>
      <c r="AY164" s="1452">
        <f t="shared" si="90"/>
        <v>0</v>
      </c>
      <c r="AZ164" s="1452">
        <f t="shared" si="91"/>
        <v>0</v>
      </c>
      <c r="BA164" s="1452">
        <f t="shared" si="92"/>
        <v>0</v>
      </c>
      <c r="BB164" s="1452">
        <f t="shared" si="93"/>
        <v>0</v>
      </c>
      <c r="BC164" s="1452">
        <f t="shared" si="94"/>
        <v>0</v>
      </c>
      <c r="BD164" s="1452">
        <f t="shared" si="95"/>
        <v>0</v>
      </c>
      <c r="BE164" s="1452">
        <f t="shared" si="96"/>
        <v>0</v>
      </c>
      <c r="BF164" s="1452">
        <f t="shared" si="97"/>
        <v>0</v>
      </c>
      <c r="BG164" s="1452">
        <f t="shared" si="98"/>
        <v>0</v>
      </c>
      <c r="BH164" s="1452">
        <f t="shared" si="99"/>
        <v>0</v>
      </c>
      <c r="BI164" s="1452">
        <f t="shared" si="116"/>
        <v>0</v>
      </c>
      <c r="BJ164" s="1452" t="str">
        <f t="shared" si="100"/>
        <v/>
      </c>
      <c r="BK164" s="1452" t="str">
        <f t="shared" si="101"/>
        <v/>
      </c>
      <c r="BL164" s="1452" t="str">
        <f t="shared" si="102"/>
        <v/>
      </c>
      <c r="BM164" s="1452" t="str">
        <f t="shared" si="103"/>
        <v/>
      </c>
      <c r="BN164" s="1452" t="str">
        <f t="shared" ca="1" si="104"/>
        <v/>
      </c>
      <c r="BO164" s="1452" t="str">
        <f t="shared" si="117"/>
        <v/>
      </c>
      <c r="BP164" s="1452" t="str">
        <f t="shared" si="105"/>
        <v/>
      </c>
      <c r="BQ164" s="1452" t="str">
        <f t="shared" si="106"/>
        <v/>
      </c>
      <c r="BR164" s="1452" t="str">
        <f t="shared" si="107"/>
        <v/>
      </c>
      <c r="BS164" s="1452" t="str">
        <f t="shared" si="108"/>
        <v/>
      </c>
      <c r="BT164" s="1452" t="str">
        <f t="shared" si="109"/>
        <v/>
      </c>
      <c r="BU164" s="1452" t="str">
        <f t="shared" si="110"/>
        <v/>
      </c>
      <c r="BV164" s="1452" t="str">
        <f t="shared" si="111"/>
        <v/>
      </c>
      <c r="BW164" s="1558">
        <f t="shared" ca="1" si="118"/>
        <v>0</v>
      </c>
    </row>
    <row r="165" spans="1:75" s="9" customFormat="1" ht="12.5">
      <c r="A165" s="1483" t="str">
        <f t="shared" si="112"/>
        <v>Public Health Wales Trust</v>
      </c>
      <c r="B165" s="1583"/>
      <c r="C165" s="1583"/>
      <c r="D165" s="1583"/>
      <c r="E165" s="1581"/>
      <c r="F165" s="1436"/>
      <c r="G165" s="1547">
        <f t="shared" si="113"/>
        <v>0</v>
      </c>
      <c r="H165" s="1484"/>
      <c r="I165" s="1547">
        <f t="shared" si="114"/>
        <v>0</v>
      </c>
      <c r="J165" s="1485"/>
      <c r="K165" s="1485"/>
      <c r="L165" s="1436"/>
      <c r="M165" s="1439"/>
      <c r="N165" s="1439"/>
      <c r="O165" s="1485"/>
      <c r="P165" s="1486"/>
      <c r="Q165" s="1486"/>
      <c r="R165" s="1487"/>
      <c r="S165" s="1444"/>
      <c r="T165" s="1444"/>
      <c r="U165" s="1444"/>
      <c r="V165" s="1488"/>
      <c r="W165" s="1488"/>
      <c r="X165" s="1488"/>
      <c r="Y165" s="1488"/>
      <c r="Z165" s="1488"/>
      <c r="AA165" s="1488"/>
      <c r="AB165" s="1488"/>
      <c r="AC165" s="1488"/>
      <c r="AD165" s="1488"/>
      <c r="AE165" s="1488"/>
      <c r="AF165" s="1488"/>
      <c r="AG165" s="1488"/>
      <c r="AH165" s="1451">
        <f t="shared" si="86"/>
        <v>0</v>
      </c>
      <c r="AI165" s="1488"/>
      <c r="AJ165" s="1488"/>
      <c r="AK165" s="1488"/>
      <c r="AL165" s="1488"/>
      <c r="AM165" s="1488"/>
      <c r="AN165" s="1488"/>
      <c r="AO165" s="1488"/>
      <c r="AP165" s="1488"/>
      <c r="AQ165" s="1488"/>
      <c r="AR165" s="1488"/>
      <c r="AS165" s="1488"/>
      <c r="AT165" s="1542"/>
      <c r="AU165" s="1599">
        <f t="shared" si="87"/>
        <v>0</v>
      </c>
      <c r="AV165" s="1544">
        <f t="shared" si="115"/>
        <v>0</v>
      </c>
      <c r="AW165" s="1452">
        <f t="shared" si="88"/>
        <v>0</v>
      </c>
      <c r="AX165" s="1452">
        <f t="shared" si="89"/>
        <v>0</v>
      </c>
      <c r="AY165" s="1452">
        <f t="shared" si="90"/>
        <v>0</v>
      </c>
      <c r="AZ165" s="1452">
        <f t="shared" si="91"/>
        <v>0</v>
      </c>
      <c r="BA165" s="1452">
        <f t="shared" si="92"/>
        <v>0</v>
      </c>
      <c r="BB165" s="1452">
        <f t="shared" si="93"/>
        <v>0</v>
      </c>
      <c r="BC165" s="1452">
        <f t="shared" si="94"/>
        <v>0</v>
      </c>
      <c r="BD165" s="1452">
        <f t="shared" si="95"/>
        <v>0</v>
      </c>
      <c r="BE165" s="1452">
        <f t="shared" si="96"/>
        <v>0</v>
      </c>
      <c r="BF165" s="1452">
        <f t="shared" si="97"/>
        <v>0</v>
      </c>
      <c r="BG165" s="1452">
        <f t="shared" si="98"/>
        <v>0</v>
      </c>
      <c r="BH165" s="1452">
        <f t="shared" si="99"/>
        <v>0</v>
      </c>
      <c r="BI165" s="1452">
        <f t="shared" si="116"/>
        <v>0</v>
      </c>
      <c r="BJ165" s="1452" t="str">
        <f t="shared" si="100"/>
        <v/>
      </c>
      <c r="BK165" s="1452" t="str">
        <f t="shared" si="101"/>
        <v/>
      </c>
      <c r="BL165" s="1452" t="str">
        <f t="shared" si="102"/>
        <v/>
      </c>
      <c r="BM165" s="1452" t="str">
        <f t="shared" si="103"/>
        <v/>
      </c>
      <c r="BN165" s="1452" t="str">
        <f t="shared" ca="1" si="104"/>
        <v/>
      </c>
      <c r="BO165" s="1452" t="str">
        <f t="shared" si="117"/>
        <v/>
      </c>
      <c r="BP165" s="1452" t="str">
        <f t="shared" si="105"/>
        <v/>
      </c>
      <c r="BQ165" s="1452" t="str">
        <f t="shared" si="106"/>
        <v/>
      </c>
      <c r="BR165" s="1452" t="str">
        <f t="shared" si="107"/>
        <v/>
      </c>
      <c r="BS165" s="1452" t="str">
        <f t="shared" si="108"/>
        <v/>
      </c>
      <c r="BT165" s="1452" t="str">
        <f t="shared" si="109"/>
        <v/>
      </c>
      <c r="BU165" s="1452" t="str">
        <f t="shared" si="110"/>
        <v/>
      </c>
      <c r="BV165" s="1452" t="str">
        <f t="shared" si="111"/>
        <v/>
      </c>
      <c r="BW165" s="1558">
        <f t="shared" ca="1" si="118"/>
        <v>0</v>
      </c>
    </row>
    <row r="166" spans="1:75" s="9" customFormat="1" ht="12.5">
      <c r="A166" s="1483" t="str">
        <f t="shared" si="112"/>
        <v>Public Health Wales Trust</v>
      </c>
      <c r="B166" s="1583"/>
      <c r="C166" s="1583"/>
      <c r="D166" s="1583"/>
      <c r="E166" s="1581"/>
      <c r="F166" s="1436"/>
      <c r="G166" s="1547">
        <f t="shared" si="113"/>
        <v>0</v>
      </c>
      <c r="H166" s="1484"/>
      <c r="I166" s="1547">
        <f t="shared" si="114"/>
        <v>0</v>
      </c>
      <c r="J166" s="1485"/>
      <c r="K166" s="1485"/>
      <c r="L166" s="1436"/>
      <c r="M166" s="1439"/>
      <c r="N166" s="1439"/>
      <c r="O166" s="1485"/>
      <c r="P166" s="1486"/>
      <c r="Q166" s="1486"/>
      <c r="R166" s="1487"/>
      <c r="S166" s="1444"/>
      <c r="T166" s="1444"/>
      <c r="U166" s="1444"/>
      <c r="V166" s="1488"/>
      <c r="W166" s="1488"/>
      <c r="X166" s="1488"/>
      <c r="Y166" s="1488"/>
      <c r="Z166" s="1488"/>
      <c r="AA166" s="1488"/>
      <c r="AB166" s="1488"/>
      <c r="AC166" s="1488"/>
      <c r="AD166" s="1488"/>
      <c r="AE166" s="1488"/>
      <c r="AF166" s="1488"/>
      <c r="AG166" s="1488"/>
      <c r="AH166" s="1451">
        <f t="shared" si="86"/>
        <v>0</v>
      </c>
      <c r="AI166" s="1488"/>
      <c r="AJ166" s="1488"/>
      <c r="AK166" s="1488"/>
      <c r="AL166" s="1488"/>
      <c r="AM166" s="1488"/>
      <c r="AN166" s="1488"/>
      <c r="AO166" s="1488"/>
      <c r="AP166" s="1488"/>
      <c r="AQ166" s="1488"/>
      <c r="AR166" s="1488"/>
      <c r="AS166" s="1488"/>
      <c r="AT166" s="1542"/>
      <c r="AU166" s="1599">
        <f t="shared" si="87"/>
        <v>0</v>
      </c>
      <c r="AV166" s="1544">
        <f t="shared" si="115"/>
        <v>0</v>
      </c>
      <c r="AW166" s="1452">
        <f t="shared" si="88"/>
        <v>0</v>
      </c>
      <c r="AX166" s="1452">
        <f t="shared" si="89"/>
        <v>0</v>
      </c>
      <c r="AY166" s="1452">
        <f t="shared" si="90"/>
        <v>0</v>
      </c>
      <c r="AZ166" s="1452">
        <f t="shared" si="91"/>
        <v>0</v>
      </c>
      <c r="BA166" s="1452">
        <f t="shared" si="92"/>
        <v>0</v>
      </c>
      <c r="BB166" s="1452">
        <f t="shared" si="93"/>
        <v>0</v>
      </c>
      <c r="BC166" s="1452">
        <f t="shared" si="94"/>
        <v>0</v>
      </c>
      <c r="BD166" s="1452">
        <f t="shared" si="95"/>
        <v>0</v>
      </c>
      <c r="BE166" s="1452">
        <f t="shared" si="96"/>
        <v>0</v>
      </c>
      <c r="BF166" s="1452">
        <f t="shared" si="97"/>
        <v>0</v>
      </c>
      <c r="BG166" s="1452">
        <f t="shared" si="98"/>
        <v>0</v>
      </c>
      <c r="BH166" s="1452">
        <f t="shared" si="99"/>
        <v>0</v>
      </c>
      <c r="BI166" s="1452">
        <f t="shared" si="116"/>
        <v>0</v>
      </c>
      <c r="BJ166" s="1452" t="str">
        <f t="shared" si="100"/>
        <v/>
      </c>
      <c r="BK166" s="1452" t="str">
        <f t="shared" si="101"/>
        <v/>
      </c>
      <c r="BL166" s="1452" t="str">
        <f t="shared" si="102"/>
        <v/>
      </c>
      <c r="BM166" s="1452" t="str">
        <f t="shared" si="103"/>
        <v/>
      </c>
      <c r="BN166" s="1452" t="str">
        <f t="shared" ca="1" si="104"/>
        <v/>
      </c>
      <c r="BO166" s="1452" t="str">
        <f t="shared" si="117"/>
        <v/>
      </c>
      <c r="BP166" s="1452" t="str">
        <f t="shared" si="105"/>
        <v/>
      </c>
      <c r="BQ166" s="1452" t="str">
        <f t="shared" si="106"/>
        <v/>
      </c>
      <c r="BR166" s="1452" t="str">
        <f t="shared" si="107"/>
        <v/>
      </c>
      <c r="BS166" s="1452" t="str">
        <f t="shared" si="108"/>
        <v/>
      </c>
      <c r="BT166" s="1452" t="str">
        <f t="shared" si="109"/>
        <v/>
      </c>
      <c r="BU166" s="1452" t="str">
        <f t="shared" si="110"/>
        <v/>
      </c>
      <c r="BV166" s="1452" t="str">
        <f t="shared" si="111"/>
        <v/>
      </c>
      <c r="BW166" s="1558">
        <f t="shared" ca="1" si="118"/>
        <v>0</v>
      </c>
    </row>
    <row r="167" spans="1:75" s="9" customFormat="1" ht="12.5">
      <c r="A167" s="1483" t="str">
        <f t="shared" si="112"/>
        <v>Public Health Wales Trust</v>
      </c>
      <c r="B167" s="1583"/>
      <c r="C167" s="1583"/>
      <c r="D167" s="1583"/>
      <c r="E167" s="1581"/>
      <c r="F167" s="1436"/>
      <c r="G167" s="1547">
        <f t="shared" si="113"/>
        <v>0</v>
      </c>
      <c r="H167" s="1484"/>
      <c r="I167" s="1547">
        <f t="shared" si="114"/>
        <v>0</v>
      </c>
      <c r="J167" s="1485"/>
      <c r="K167" s="1485"/>
      <c r="L167" s="1436"/>
      <c r="M167" s="1439"/>
      <c r="N167" s="1439"/>
      <c r="O167" s="1485"/>
      <c r="P167" s="1486"/>
      <c r="Q167" s="1486"/>
      <c r="R167" s="1487"/>
      <c r="S167" s="1444"/>
      <c r="T167" s="1444"/>
      <c r="U167" s="1444"/>
      <c r="V167" s="1488"/>
      <c r="W167" s="1488"/>
      <c r="X167" s="1488"/>
      <c r="Y167" s="1488"/>
      <c r="Z167" s="1488"/>
      <c r="AA167" s="1488"/>
      <c r="AB167" s="1488"/>
      <c r="AC167" s="1488"/>
      <c r="AD167" s="1488"/>
      <c r="AE167" s="1488"/>
      <c r="AF167" s="1488"/>
      <c r="AG167" s="1488"/>
      <c r="AH167" s="1451">
        <f t="shared" si="86"/>
        <v>0</v>
      </c>
      <c r="AI167" s="1488"/>
      <c r="AJ167" s="1488"/>
      <c r="AK167" s="1488"/>
      <c r="AL167" s="1488"/>
      <c r="AM167" s="1488"/>
      <c r="AN167" s="1488"/>
      <c r="AO167" s="1488"/>
      <c r="AP167" s="1488"/>
      <c r="AQ167" s="1488"/>
      <c r="AR167" s="1488"/>
      <c r="AS167" s="1488"/>
      <c r="AT167" s="1542"/>
      <c r="AU167" s="1599">
        <f t="shared" si="87"/>
        <v>0</v>
      </c>
      <c r="AV167" s="1544">
        <f t="shared" si="115"/>
        <v>0</v>
      </c>
      <c r="AW167" s="1452">
        <f t="shared" si="88"/>
        <v>0</v>
      </c>
      <c r="AX167" s="1452">
        <f t="shared" si="89"/>
        <v>0</v>
      </c>
      <c r="AY167" s="1452">
        <f t="shared" si="90"/>
        <v>0</v>
      </c>
      <c r="AZ167" s="1452">
        <f t="shared" si="91"/>
        <v>0</v>
      </c>
      <c r="BA167" s="1452">
        <f t="shared" si="92"/>
        <v>0</v>
      </c>
      <c r="BB167" s="1452">
        <f t="shared" si="93"/>
        <v>0</v>
      </c>
      <c r="BC167" s="1452">
        <f t="shared" si="94"/>
        <v>0</v>
      </c>
      <c r="BD167" s="1452">
        <f t="shared" si="95"/>
        <v>0</v>
      </c>
      <c r="BE167" s="1452">
        <f t="shared" si="96"/>
        <v>0</v>
      </c>
      <c r="BF167" s="1452">
        <f t="shared" si="97"/>
        <v>0</v>
      </c>
      <c r="BG167" s="1452">
        <f t="shared" si="98"/>
        <v>0</v>
      </c>
      <c r="BH167" s="1452">
        <f t="shared" si="99"/>
        <v>0</v>
      </c>
      <c r="BI167" s="1452">
        <f t="shared" si="116"/>
        <v>0</v>
      </c>
      <c r="BJ167" s="1452" t="str">
        <f t="shared" si="100"/>
        <v/>
      </c>
      <c r="BK167" s="1452" t="str">
        <f t="shared" si="101"/>
        <v/>
      </c>
      <c r="BL167" s="1452" t="str">
        <f t="shared" si="102"/>
        <v/>
      </c>
      <c r="BM167" s="1452" t="str">
        <f t="shared" si="103"/>
        <v/>
      </c>
      <c r="BN167" s="1452" t="str">
        <f t="shared" ca="1" si="104"/>
        <v/>
      </c>
      <c r="BO167" s="1452" t="str">
        <f t="shared" si="117"/>
        <v/>
      </c>
      <c r="BP167" s="1452" t="str">
        <f t="shared" si="105"/>
        <v/>
      </c>
      <c r="BQ167" s="1452" t="str">
        <f t="shared" si="106"/>
        <v/>
      </c>
      <c r="BR167" s="1452" t="str">
        <f t="shared" si="107"/>
        <v/>
      </c>
      <c r="BS167" s="1452" t="str">
        <f t="shared" si="108"/>
        <v/>
      </c>
      <c r="BT167" s="1452" t="str">
        <f t="shared" si="109"/>
        <v/>
      </c>
      <c r="BU167" s="1452" t="str">
        <f t="shared" si="110"/>
        <v/>
      </c>
      <c r="BV167" s="1452" t="str">
        <f t="shared" si="111"/>
        <v/>
      </c>
      <c r="BW167" s="1558">
        <f t="shared" ca="1" si="118"/>
        <v>0</v>
      </c>
    </row>
    <row r="168" spans="1:75" s="9" customFormat="1" ht="12.5">
      <c r="A168" s="1483" t="str">
        <f t="shared" si="112"/>
        <v>Public Health Wales Trust</v>
      </c>
      <c r="B168" s="1583"/>
      <c r="C168" s="1583"/>
      <c r="D168" s="1583"/>
      <c r="E168" s="1581"/>
      <c r="F168" s="1436"/>
      <c r="G168" s="1547">
        <f t="shared" si="113"/>
        <v>0</v>
      </c>
      <c r="H168" s="1484"/>
      <c r="I168" s="1547">
        <f t="shared" si="114"/>
        <v>0</v>
      </c>
      <c r="J168" s="1485"/>
      <c r="K168" s="1485"/>
      <c r="L168" s="1436"/>
      <c r="M168" s="1439"/>
      <c r="N168" s="1439"/>
      <c r="O168" s="1485"/>
      <c r="P168" s="1486"/>
      <c r="Q168" s="1486"/>
      <c r="R168" s="1487"/>
      <c r="S168" s="1444"/>
      <c r="T168" s="1444"/>
      <c r="U168" s="1444"/>
      <c r="V168" s="1488"/>
      <c r="W168" s="1488"/>
      <c r="X168" s="1488"/>
      <c r="Y168" s="1488"/>
      <c r="Z168" s="1488"/>
      <c r="AA168" s="1488"/>
      <c r="AB168" s="1488"/>
      <c r="AC168" s="1488"/>
      <c r="AD168" s="1488"/>
      <c r="AE168" s="1488"/>
      <c r="AF168" s="1488"/>
      <c r="AG168" s="1488"/>
      <c r="AH168" s="1451">
        <f t="shared" si="86"/>
        <v>0</v>
      </c>
      <c r="AI168" s="1488"/>
      <c r="AJ168" s="1488"/>
      <c r="AK168" s="1488"/>
      <c r="AL168" s="1488"/>
      <c r="AM168" s="1488"/>
      <c r="AN168" s="1488"/>
      <c r="AO168" s="1488"/>
      <c r="AP168" s="1488"/>
      <c r="AQ168" s="1488"/>
      <c r="AR168" s="1488"/>
      <c r="AS168" s="1488"/>
      <c r="AT168" s="1542"/>
      <c r="AU168" s="1599">
        <f t="shared" si="87"/>
        <v>0</v>
      </c>
      <c r="AV168" s="1544">
        <f t="shared" si="115"/>
        <v>0</v>
      </c>
      <c r="AW168" s="1452">
        <f t="shared" si="88"/>
        <v>0</v>
      </c>
      <c r="AX168" s="1452">
        <f t="shared" si="89"/>
        <v>0</v>
      </c>
      <c r="AY168" s="1452">
        <f t="shared" si="90"/>
        <v>0</v>
      </c>
      <c r="AZ168" s="1452">
        <f t="shared" si="91"/>
        <v>0</v>
      </c>
      <c r="BA168" s="1452">
        <f t="shared" si="92"/>
        <v>0</v>
      </c>
      <c r="BB168" s="1452">
        <f t="shared" si="93"/>
        <v>0</v>
      </c>
      <c r="BC168" s="1452">
        <f t="shared" si="94"/>
        <v>0</v>
      </c>
      <c r="BD168" s="1452">
        <f t="shared" si="95"/>
        <v>0</v>
      </c>
      <c r="BE168" s="1452">
        <f t="shared" si="96"/>
        <v>0</v>
      </c>
      <c r="BF168" s="1452">
        <f t="shared" si="97"/>
        <v>0</v>
      </c>
      <c r="BG168" s="1452">
        <f t="shared" si="98"/>
        <v>0</v>
      </c>
      <c r="BH168" s="1452">
        <f t="shared" si="99"/>
        <v>0</v>
      </c>
      <c r="BI168" s="1452">
        <f t="shared" si="116"/>
        <v>0</v>
      </c>
      <c r="BJ168" s="1452" t="str">
        <f t="shared" si="100"/>
        <v/>
      </c>
      <c r="BK168" s="1452" t="str">
        <f t="shared" si="101"/>
        <v/>
      </c>
      <c r="BL168" s="1452" t="str">
        <f t="shared" si="102"/>
        <v/>
      </c>
      <c r="BM168" s="1452" t="str">
        <f t="shared" si="103"/>
        <v/>
      </c>
      <c r="BN168" s="1452" t="str">
        <f t="shared" ca="1" si="104"/>
        <v/>
      </c>
      <c r="BO168" s="1452" t="str">
        <f t="shared" si="117"/>
        <v/>
      </c>
      <c r="BP168" s="1452" t="str">
        <f t="shared" si="105"/>
        <v/>
      </c>
      <c r="BQ168" s="1452" t="str">
        <f t="shared" si="106"/>
        <v/>
      </c>
      <c r="BR168" s="1452" t="str">
        <f t="shared" si="107"/>
        <v/>
      </c>
      <c r="BS168" s="1452" t="str">
        <f t="shared" si="108"/>
        <v/>
      </c>
      <c r="BT168" s="1452" t="str">
        <f t="shared" si="109"/>
        <v/>
      </c>
      <c r="BU168" s="1452" t="str">
        <f t="shared" si="110"/>
        <v/>
      </c>
      <c r="BV168" s="1452" t="str">
        <f t="shared" si="111"/>
        <v/>
      </c>
      <c r="BW168" s="1558">
        <f t="shared" ca="1" si="118"/>
        <v>0</v>
      </c>
    </row>
    <row r="169" spans="1:75" s="9" customFormat="1" ht="12.5">
      <c r="A169" s="1483" t="str">
        <f t="shared" si="112"/>
        <v>Public Health Wales Trust</v>
      </c>
      <c r="B169" s="1583"/>
      <c r="C169" s="1583"/>
      <c r="D169" s="1583"/>
      <c r="E169" s="1581"/>
      <c r="F169" s="1436"/>
      <c r="G169" s="1547">
        <f t="shared" si="113"/>
        <v>0</v>
      </c>
      <c r="H169" s="1484"/>
      <c r="I169" s="1547">
        <f t="shared" si="114"/>
        <v>0</v>
      </c>
      <c r="J169" s="1485"/>
      <c r="K169" s="1485"/>
      <c r="L169" s="1436"/>
      <c r="M169" s="1439"/>
      <c r="N169" s="1439"/>
      <c r="O169" s="1485"/>
      <c r="P169" s="1486"/>
      <c r="Q169" s="1486"/>
      <c r="R169" s="1487"/>
      <c r="S169" s="1444"/>
      <c r="T169" s="1444"/>
      <c r="U169" s="1444"/>
      <c r="V169" s="1488"/>
      <c r="W169" s="1488"/>
      <c r="X169" s="1488"/>
      <c r="Y169" s="1488"/>
      <c r="Z169" s="1488"/>
      <c r="AA169" s="1488"/>
      <c r="AB169" s="1488"/>
      <c r="AC169" s="1488"/>
      <c r="AD169" s="1488"/>
      <c r="AE169" s="1488"/>
      <c r="AF169" s="1488"/>
      <c r="AG169" s="1488"/>
      <c r="AH169" s="1451">
        <f t="shared" si="86"/>
        <v>0</v>
      </c>
      <c r="AI169" s="1488"/>
      <c r="AJ169" s="1488"/>
      <c r="AK169" s="1488"/>
      <c r="AL169" s="1488"/>
      <c r="AM169" s="1488"/>
      <c r="AN169" s="1488"/>
      <c r="AO169" s="1488"/>
      <c r="AP169" s="1488"/>
      <c r="AQ169" s="1488"/>
      <c r="AR169" s="1488"/>
      <c r="AS169" s="1488"/>
      <c r="AT169" s="1542"/>
      <c r="AU169" s="1599">
        <f t="shared" si="87"/>
        <v>0</v>
      </c>
      <c r="AV169" s="1544">
        <f t="shared" si="115"/>
        <v>0</v>
      </c>
      <c r="AW169" s="1452">
        <f t="shared" si="88"/>
        <v>0</v>
      </c>
      <c r="AX169" s="1452">
        <f t="shared" si="89"/>
        <v>0</v>
      </c>
      <c r="AY169" s="1452">
        <f t="shared" si="90"/>
        <v>0</v>
      </c>
      <c r="AZ169" s="1452">
        <f t="shared" si="91"/>
        <v>0</v>
      </c>
      <c r="BA169" s="1452">
        <f t="shared" si="92"/>
        <v>0</v>
      </c>
      <c r="BB169" s="1452">
        <f t="shared" si="93"/>
        <v>0</v>
      </c>
      <c r="BC169" s="1452">
        <f t="shared" si="94"/>
        <v>0</v>
      </c>
      <c r="BD169" s="1452">
        <f t="shared" si="95"/>
        <v>0</v>
      </c>
      <c r="BE169" s="1452">
        <f t="shared" si="96"/>
        <v>0</v>
      </c>
      <c r="BF169" s="1452">
        <f t="shared" si="97"/>
        <v>0</v>
      </c>
      <c r="BG169" s="1452">
        <f t="shared" si="98"/>
        <v>0</v>
      </c>
      <c r="BH169" s="1452">
        <f t="shared" si="99"/>
        <v>0</v>
      </c>
      <c r="BI169" s="1452">
        <f t="shared" si="116"/>
        <v>0</v>
      </c>
      <c r="BJ169" s="1452" t="str">
        <f t="shared" si="100"/>
        <v/>
      </c>
      <c r="BK169" s="1452" t="str">
        <f t="shared" si="101"/>
        <v/>
      </c>
      <c r="BL169" s="1452" t="str">
        <f t="shared" si="102"/>
        <v/>
      </c>
      <c r="BM169" s="1452" t="str">
        <f t="shared" si="103"/>
        <v/>
      </c>
      <c r="BN169" s="1452" t="str">
        <f t="shared" ca="1" si="104"/>
        <v/>
      </c>
      <c r="BO169" s="1452" t="str">
        <f t="shared" si="117"/>
        <v/>
      </c>
      <c r="BP169" s="1452" t="str">
        <f t="shared" si="105"/>
        <v/>
      </c>
      <c r="BQ169" s="1452" t="str">
        <f t="shared" si="106"/>
        <v/>
      </c>
      <c r="BR169" s="1452" t="str">
        <f t="shared" si="107"/>
        <v/>
      </c>
      <c r="BS169" s="1452" t="str">
        <f t="shared" si="108"/>
        <v/>
      </c>
      <c r="BT169" s="1452" t="str">
        <f t="shared" si="109"/>
        <v/>
      </c>
      <c r="BU169" s="1452" t="str">
        <f t="shared" si="110"/>
        <v/>
      </c>
      <c r="BV169" s="1452" t="str">
        <f t="shared" si="111"/>
        <v/>
      </c>
      <c r="BW169" s="1558">
        <f t="shared" ca="1" si="118"/>
        <v>0</v>
      </c>
    </row>
    <row r="170" spans="1:75" s="9" customFormat="1" ht="12.5">
      <c r="A170" s="1483" t="str">
        <f t="shared" si="112"/>
        <v>Public Health Wales Trust</v>
      </c>
      <c r="B170" s="1583"/>
      <c r="C170" s="1583"/>
      <c r="D170" s="1583"/>
      <c r="E170" s="1581"/>
      <c r="F170" s="1436"/>
      <c r="G170" s="1547">
        <f t="shared" si="113"/>
        <v>0</v>
      </c>
      <c r="H170" s="1484"/>
      <c r="I170" s="1547">
        <f t="shared" si="114"/>
        <v>0</v>
      </c>
      <c r="J170" s="1485"/>
      <c r="K170" s="1485"/>
      <c r="L170" s="1436"/>
      <c r="M170" s="1439"/>
      <c r="N170" s="1439"/>
      <c r="O170" s="1485"/>
      <c r="P170" s="1486"/>
      <c r="Q170" s="1486"/>
      <c r="R170" s="1487"/>
      <c r="S170" s="1444"/>
      <c r="T170" s="1444"/>
      <c r="U170" s="1444"/>
      <c r="V170" s="1488"/>
      <c r="W170" s="1488"/>
      <c r="X170" s="1488"/>
      <c r="Y170" s="1488"/>
      <c r="Z170" s="1488"/>
      <c r="AA170" s="1488"/>
      <c r="AB170" s="1488"/>
      <c r="AC170" s="1488"/>
      <c r="AD170" s="1488"/>
      <c r="AE170" s="1488"/>
      <c r="AF170" s="1488"/>
      <c r="AG170" s="1488"/>
      <c r="AH170" s="1451">
        <f t="shared" si="86"/>
        <v>0</v>
      </c>
      <c r="AI170" s="1488"/>
      <c r="AJ170" s="1488"/>
      <c r="AK170" s="1488"/>
      <c r="AL170" s="1488"/>
      <c r="AM170" s="1488"/>
      <c r="AN170" s="1488"/>
      <c r="AO170" s="1488"/>
      <c r="AP170" s="1488"/>
      <c r="AQ170" s="1488"/>
      <c r="AR170" s="1488"/>
      <c r="AS170" s="1488"/>
      <c r="AT170" s="1542"/>
      <c r="AU170" s="1599">
        <f t="shared" si="87"/>
        <v>0</v>
      </c>
      <c r="AV170" s="1544">
        <f t="shared" si="115"/>
        <v>0</v>
      </c>
      <c r="AW170" s="1452">
        <f t="shared" si="88"/>
        <v>0</v>
      </c>
      <c r="AX170" s="1452">
        <f t="shared" si="89"/>
        <v>0</v>
      </c>
      <c r="AY170" s="1452">
        <f t="shared" si="90"/>
        <v>0</v>
      </c>
      <c r="AZ170" s="1452">
        <f t="shared" si="91"/>
        <v>0</v>
      </c>
      <c r="BA170" s="1452">
        <f t="shared" si="92"/>
        <v>0</v>
      </c>
      <c r="BB170" s="1452">
        <f t="shared" si="93"/>
        <v>0</v>
      </c>
      <c r="BC170" s="1452">
        <f t="shared" si="94"/>
        <v>0</v>
      </c>
      <c r="BD170" s="1452">
        <f t="shared" si="95"/>
        <v>0</v>
      </c>
      <c r="BE170" s="1452">
        <f t="shared" si="96"/>
        <v>0</v>
      </c>
      <c r="BF170" s="1452">
        <f t="shared" si="97"/>
        <v>0</v>
      </c>
      <c r="BG170" s="1452">
        <f t="shared" si="98"/>
        <v>0</v>
      </c>
      <c r="BH170" s="1452">
        <f t="shared" si="99"/>
        <v>0</v>
      </c>
      <c r="BI170" s="1452">
        <f t="shared" si="116"/>
        <v>0</v>
      </c>
      <c r="BJ170" s="1452" t="str">
        <f t="shared" si="100"/>
        <v/>
      </c>
      <c r="BK170" s="1452" t="str">
        <f t="shared" si="101"/>
        <v/>
      </c>
      <c r="BL170" s="1452" t="str">
        <f t="shared" si="102"/>
        <v/>
      </c>
      <c r="BM170" s="1452" t="str">
        <f t="shared" si="103"/>
        <v/>
      </c>
      <c r="BN170" s="1452" t="str">
        <f t="shared" ca="1" si="104"/>
        <v/>
      </c>
      <c r="BO170" s="1452" t="str">
        <f t="shared" si="117"/>
        <v/>
      </c>
      <c r="BP170" s="1452" t="str">
        <f t="shared" si="105"/>
        <v/>
      </c>
      <c r="BQ170" s="1452" t="str">
        <f t="shared" si="106"/>
        <v/>
      </c>
      <c r="BR170" s="1452" t="str">
        <f t="shared" si="107"/>
        <v/>
      </c>
      <c r="BS170" s="1452" t="str">
        <f t="shared" si="108"/>
        <v/>
      </c>
      <c r="BT170" s="1452" t="str">
        <f t="shared" si="109"/>
        <v/>
      </c>
      <c r="BU170" s="1452" t="str">
        <f t="shared" si="110"/>
        <v/>
      </c>
      <c r="BV170" s="1452" t="str">
        <f t="shared" si="111"/>
        <v/>
      </c>
      <c r="BW170" s="1558">
        <f t="shared" ca="1" si="118"/>
        <v>0</v>
      </c>
    </row>
    <row r="171" spans="1:75" s="9" customFormat="1" ht="12.5">
      <c r="A171" s="1483" t="str">
        <f t="shared" si="112"/>
        <v>Public Health Wales Trust</v>
      </c>
      <c r="B171" s="1583"/>
      <c r="C171" s="1583"/>
      <c r="D171" s="1583"/>
      <c r="E171" s="1581"/>
      <c r="F171" s="1436"/>
      <c r="G171" s="1547">
        <f t="shared" si="113"/>
        <v>0</v>
      </c>
      <c r="H171" s="1484"/>
      <c r="I171" s="1547">
        <f t="shared" si="114"/>
        <v>0</v>
      </c>
      <c r="J171" s="1485"/>
      <c r="K171" s="1485"/>
      <c r="L171" s="1436"/>
      <c r="M171" s="1439"/>
      <c r="N171" s="1439"/>
      <c r="O171" s="1485"/>
      <c r="P171" s="1486"/>
      <c r="Q171" s="1486"/>
      <c r="R171" s="1487"/>
      <c r="S171" s="1444"/>
      <c r="T171" s="1444"/>
      <c r="U171" s="1444"/>
      <c r="V171" s="1488"/>
      <c r="W171" s="1488"/>
      <c r="X171" s="1488"/>
      <c r="Y171" s="1488"/>
      <c r="Z171" s="1488"/>
      <c r="AA171" s="1488"/>
      <c r="AB171" s="1488"/>
      <c r="AC171" s="1488"/>
      <c r="AD171" s="1488"/>
      <c r="AE171" s="1488"/>
      <c r="AF171" s="1488"/>
      <c r="AG171" s="1488"/>
      <c r="AH171" s="1451">
        <f t="shared" ref="AH171:AH234" si="119">SUM(V171:AG171)</f>
        <v>0</v>
      </c>
      <c r="AI171" s="1488"/>
      <c r="AJ171" s="1488"/>
      <c r="AK171" s="1488"/>
      <c r="AL171" s="1488"/>
      <c r="AM171" s="1488"/>
      <c r="AN171" s="1488"/>
      <c r="AO171" s="1488"/>
      <c r="AP171" s="1488"/>
      <c r="AQ171" s="1488"/>
      <c r="AR171" s="1488"/>
      <c r="AS171" s="1488"/>
      <c r="AT171" s="1542"/>
      <c r="AU171" s="1599">
        <f t="shared" ref="AU171:AU234" si="120">SUMPRODUCT($AC$40:$AN$40,AI171:AT171)</f>
        <v>0</v>
      </c>
      <c r="AV171" s="1544">
        <f t="shared" si="115"/>
        <v>0</v>
      </c>
      <c r="AW171" s="1452">
        <f t="shared" ref="AW171:AW234" si="121">AI171-V171</f>
        <v>0</v>
      </c>
      <c r="AX171" s="1452">
        <f t="shared" ref="AX171:AX234" si="122">AJ171-W171</f>
        <v>0</v>
      </c>
      <c r="AY171" s="1452">
        <f t="shared" ref="AY171:AY234" si="123">AK171-X171</f>
        <v>0</v>
      </c>
      <c r="AZ171" s="1452">
        <f t="shared" ref="AZ171:AZ234" si="124">AL171-Y171</f>
        <v>0</v>
      </c>
      <c r="BA171" s="1452">
        <f t="shared" ref="BA171:BA234" si="125">AM171-Z171</f>
        <v>0</v>
      </c>
      <c r="BB171" s="1452">
        <f t="shared" ref="BB171:BB234" si="126">AN171-AA171</f>
        <v>0</v>
      </c>
      <c r="BC171" s="1452">
        <f t="shared" ref="BC171:BC234" si="127">AO171-AB171</f>
        <v>0</v>
      </c>
      <c r="BD171" s="1452">
        <f t="shared" ref="BD171:BD234" si="128">AP171-AC171</f>
        <v>0</v>
      </c>
      <c r="BE171" s="1452">
        <f t="shared" ref="BE171:BE234" si="129">AQ171-AD171</f>
        <v>0</v>
      </c>
      <c r="BF171" s="1452">
        <f t="shared" ref="BF171:BF234" si="130">AR171-AE171</f>
        <v>0</v>
      </c>
      <c r="BG171" s="1452">
        <f t="shared" ref="BG171:BG234" si="131">AS171-AF171</f>
        <v>0</v>
      </c>
      <c r="BH171" s="1452">
        <f t="shared" ref="BH171:BH234" si="132">AT171-AG171</f>
        <v>0</v>
      </c>
      <c r="BI171" s="1452">
        <f t="shared" si="116"/>
        <v>0</v>
      </c>
      <c r="BJ171" s="1452" t="str">
        <f t="shared" ref="BJ171:BJ234" si="133">IF(OR(G171&gt;0,I171&gt;0),IF(AND(B171&lt;&gt;"",C171&lt;&gt;"",D171&lt;&gt;"",E171&lt;&gt;"",F171&lt;&gt;"",L171&lt;&gt;"",M171&lt;&gt;"",N171&lt;&gt;"",O171&lt;&gt;"",P171&lt;&gt;"",Q171&lt;&gt;"",R171&lt;&gt;""),"","ERROR"),"")</f>
        <v/>
      </c>
      <c r="BK171" s="1452" t="str">
        <f t="shared" ref="BK171:BK234" si="134">IF(COUNTIF($D$43:$D$1496,D171)&gt;1,"ERROR","")</f>
        <v/>
      </c>
      <c r="BL171" s="1452" t="str">
        <f t="shared" ref="BL171:BL234" si="135">IF(AND(OR(R171=$CQ$1,R171=$CQ$3),S171=""),"ERROR","")</f>
        <v/>
      </c>
      <c r="BM171" s="1452" t="str">
        <f t="shared" ref="BM171:BM234" si="136">IF(AND(OR(R171=$CQ$2),S171&lt;&gt;""),"ERROR","")</f>
        <v/>
      </c>
      <c r="BN171" s="1452" t="str">
        <f t="shared" ref="BN171:BN234" ca="1" si="137">IF(AND(O171=$CA$2,N171&lt;TODAY()),"ERROR","")</f>
        <v/>
      </c>
      <c r="BO171" s="1452" t="str">
        <f t="shared" si="117"/>
        <v/>
      </c>
      <c r="BP171" s="1452" t="str">
        <f t="shared" ref="BP171:BP234" si="138">IF(AND(F171=$BZ$1,G171&gt;H171),"ERROR","")</f>
        <v/>
      </c>
      <c r="BQ171" s="1452" t="str">
        <f t="shared" ref="BQ171:BQ234" si="139">IF(AND(F171=$BZ$1,I171&gt;J171),"ERROR","")</f>
        <v/>
      </c>
      <c r="BR171" s="1452" t="str">
        <f t="shared" ref="BR171:BR234" si="140">IF(AND(F171=$BZ$2,SUM(H171,J171)&gt;0),"ERROR","")</f>
        <v/>
      </c>
      <c r="BS171" s="1452" t="str">
        <f t="shared" ref="BS171:BS234" si="141">IF(AND(I171=0,J171&gt;0),"ERROR","")</f>
        <v/>
      </c>
      <c r="BT171" s="1452" t="str">
        <f t="shared" ref="BT171:BT234" si="142">IF(AND(O171=$CA$1,K171&lt;&gt;0),"ERROR","")</f>
        <v/>
      </c>
      <c r="BU171" s="1452" t="str">
        <f t="shared" ref="BU171:BU234" si="143">IF(AND(O171=$CA$2,I171-AU171-K171&lt;0),"ERROR","")</f>
        <v/>
      </c>
      <c r="BV171" s="1452" t="str">
        <f t="shared" ref="BV171:BV234" si="144">IF(S171="","",VLOOKUP(S171,$CS$1:$CT$14,2,0))</f>
        <v/>
      </c>
      <c r="BW171" s="1558">
        <f t="shared" ca="1" si="118"/>
        <v>0</v>
      </c>
    </row>
    <row r="172" spans="1:75" s="9" customFormat="1" ht="12.5">
      <c r="A172" s="1483" t="str">
        <f t="shared" ref="A172:A235" si="145">$A$1</f>
        <v>Public Health Wales Trust</v>
      </c>
      <c r="B172" s="1583"/>
      <c r="C172" s="1583"/>
      <c r="D172" s="1583"/>
      <c r="E172" s="1581"/>
      <c r="F172" s="1436"/>
      <c r="G172" s="1547">
        <f t="shared" ref="G172:G235" si="146">AH172</f>
        <v>0</v>
      </c>
      <c r="H172" s="1484"/>
      <c r="I172" s="1547">
        <f t="shared" ref="I172:I235" si="147">AV172</f>
        <v>0</v>
      </c>
      <c r="J172" s="1485"/>
      <c r="K172" s="1485"/>
      <c r="L172" s="1436"/>
      <c r="M172" s="1439"/>
      <c r="N172" s="1439"/>
      <c r="O172" s="1485"/>
      <c r="P172" s="1486"/>
      <c r="Q172" s="1486"/>
      <c r="R172" s="1487"/>
      <c r="S172" s="1444"/>
      <c r="T172" s="1444"/>
      <c r="U172" s="1444"/>
      <c r="V172" s="1488"/>
      <c r="W172" s="1488"/>
      <c r="X172" s="1488"/>
      <c r="Y172" s="1488"/>
      <c r="Z172" s="1488"/>
      <c r="AA172" s="1488"/>
      <c r="AB172" s="1488"/>
      <c r="AC172" s="1488"/>
      <c r="AD172" s="1488"/>
      <c r="AE172" s="1488"/>
      <c r="AF172" s="1488"/>
      <c r="AG172" s="1488"/>
      <c r="AH172" s="1451">
        <f t="shared" si="119"/>
        <v>0</v>
      </c>
      <c r="AI172" s="1488"/>
      <c r="AJ172" s="1488"/>
      <c r="AK172" s="1488"/>
      <c r="AL172" s="1488"/>
      <c r="AM172" s="1488"/>
      <c r="AN172" s="1488"/>
      <c r="AO172" s="1488"/>
      <c r="AP172" s="1488"/>
      <c r="AQ172" s="1488"/>
      <c r="AR172" s="1488"/>
      <c r="AS172" s="1488"/>
      <c r="AT172" s="1542"/>
      <c r="AU172" s="1599">
        <f t="shared" si="120"/>
        <v>0</v>
      </c>
      <c r="AV172" s="1544">
        <f t="shared" ref="AV172:AV235" si="148">SUM(AI172:AT172)</f>
        <v>0</v>
      </c>
      <c r="AW172" s="1452">
        <f t="shared" si="121"/>
        <v>0</v>
      </c>
      <c r="AX172" s="1452">
        <f t="shared" si="122"/>
        <v>0</v>
      </c>
      <c r="AY172" s="1452">
        <f t="shared" si="123"/>
        <v>0</v>
      </c>
      <c r="AZ172" s="1452">
        <f t="shared" si="124"/>
        <v>0</v>
      </c>
      <c r="BA172" s="1452">
        <f t="shared" si="125"/>
        <v>0</v>
      </c>
      <c r="BB172" s="1452">
        <f t="shared" si="126"/>
        <v>0</v>
      </c>
      <c r="BC172" s="1452">
        <f t="shared" si="127"/>
        <v>0</v>
      </c>
      <c r="BD172" s="1452">
        <f t="shared" si="128"/>
        <v>0</v>
      </c>
      <c r="BE172" s="1452">
        <f t="shared" si="129"/>
        <v>0</v>
      </c>
      <c r="BF172" s="1452">
        <f t="shared" si="130"/>
        <v>0</v>
      </c>
      <c r="BG172" s="1452">
        <f t="shared" si="131"/>
        <v>0</v>
      </c>
      <c r="BH172" s="1452">
        <f t="shared" si="132"/>
        <v>0</v>
      </c>
      <c r="BI172" s="1452">
        <f t="shared" ref="BI172:BI235" si="149">SUM(AW172:BH172)</f>
        <v>0</v>
      </c>
      <c r="BJ172" s="1452" t="str">
        <f t="shared" si="133"/>
        <v/>
      </c>
      <c r="BK172" s="1452" t="str">
        <f t="shared" si="134"/>
        <v/>
      </c>
      <c r="BL172" s="1452" t="str">
        <f t="shared" si="135"/>
        <v/>
      </c>
      <c r="BM172" s="1452" t="str">
        <f t="shared" si="136"/>
        <v/>
      </c>
      <c r="BN172" s="1452" t="str">
        <f t="shared" ca="1" si="137"/>
        <v/>
      </c>
      <c r="BO172" s="1452" t="str">
        <f t="shared" ref="BO172:BO235" si="150">IF(AND(AV172&gt;0,AH172=0),"ERROR","")</f>
        <v/>
      </c>
      <c r="BP172" s="1452" t="str">
        <f t="shared" si="138"/>
        <v/>
      </c>
      <c r="BQ172" s="1452" t="str">
        <f t="shared" si="139"/>
        <v/>
      </c>
      <c r="BR172" s="1452" t="str">
        <f t="shared" si="140"/>
        <v/>
      </c>
      <c r="BS172" s="1452" t="str">
        <f t="shared" si="141"/>
        <v/>
      </c>
      <c r="BT172" s="1452" t="str">
        <f t="shared" si="142"/>
        <v/>
      </c>
      <c r="BU172" s="1452" t="str">
        <f t="shared" si="143"/>
        <v/>
      </c>
      <c r="BV172" s="1452" t="str">
        <f t="shared" si="144"/>
        <v/>
      </c>
      <c r="BW172" s="1558">
        <f t="shared" ref="BW172:BW235" ca="1" si="151">COUNTIF(BJ172:BU172,"ERROR")</f>
        <v>0</v>
      </c>
    </row>
    <row r="173" spans="1:75" s="9" customFormat="1" ht="12.5">
      <c r="A173" s="1483" t="str">
        <f t="shared" si="145"/>
        <v>Public Health Wales Trust</v>
      </c>
      <c r="B173" s="1583"/>
      <c r="C173" s="1583"/>
      <c r="D173" s="1583"/>
      <c r="E173" s="1581"/>
      <c r="F173" s="1436"/>
      <c r="G173" s="1547">
        <f t="shared" si="146"/>
        <v>0</v>
      </c>
      <c r="H173" s="1484"/>
      <c r="I173" s="1547">
        <f t="shared" si="147"/>
        <v>0</v>
      </c>
      <c r="J173" s="1485"/>
      <c r="K173" s="1485"/>
      <c r="L173" s="1436"/>
      <c r="M173" s="1439"/>
      <c r="N173" s="1439"/>
      <c r="O173" s="1485"/>
      <c r="P173" s="1486"/>
      <c r="Q173" s="1486"/>
      <c r="R173" s="1487"/>
      <c r="S173" s="1444"/>
      <c r="T173" s="1444"/>
      <c r="U173" s="1444"/>
      <c r="V173" s="1488"/>
      <c r="W173" s="1488"/>
      <c r="X173" s="1488"/>
      <c r="Y173" s="1488"/>
      <c r="Z173" s="1488"/>
      <c r="AA173" s="1488"/>
      <c r="AB173" s="1488"/>
      <c r="AC173" s="1488"/>
      <c r="AD173" s="1488"/>
      <c r="AE173" s="1488"/>
      <c r="AF173" s="1488"/>
      <c r="AG173" s="1488"/>
      <c r="AH173" s="1451">
        <f t="shared" si="119"/>
        <v>0</v>
      </c>
      <c r="AI173" s="1488"/>
      <c r="AJ173" s="1488"/>
      <c r="AK173" s="1488"/>
      <c r="AL173" s="1488"/>
      <c r="AM173" s="1488"/>
      <c r="AN173" s="1488"/>
      <c r="AO173" s="1488"/>
      <c r="AP173" s="1488"/>
      <c r="AQ173" s="1488"/>
      <c r="AR173" s="1488"/>
      <c r="AS173" s="1488"/>
      <c r="AT173" s="1542"/>
      <c r="AU173" s="1599">
        <f t="shared" si="120"/>
        <v>0</v>
      </c>
      <c r="AV173" s="1544">
        <f t="shared" si="148"/>
        <v>0</v>
      </c>
      <c r="AW173" s="1452">
        <f t="shared" si="121"/>
        <v>0</v>
      </c>
      <c r="AX173" s="1452">
        <f t="shared" si="122"/>
        <v>0</v>
      </c>
      <c r="AY173" s="1452">
        <f t="shared" si="123"/>
        <v>0</v>
      </c>
      <c r="AZ173" s="1452">
        <f t="shared" si="124"/>
        <v>0</v>
      </c>
      <c r="BA173" s="1452">
        <f t="shared" si="125"/>
        <v>0</v>
      </c>
      <c r="BB173" s="1452">
        <f t="shared" si="126"/>
        <v>0</v>
      </c>
      <c r="BC173" s="1452">
        <f t="shared" si="127"/>
        <v>0</v>
      </c>
      <c r="BD173" s="1452">
        <f t="shared" si="128"/>
        <v>0</v>
      </c>
      <c r="BE173" s="1452">
        <f t="shared" si="129"/>
        <v>0</v>
      </c>
      <c r="BF173" s="1452">
        <f t="shared" si="130"/>
        <v>0</v>
      </c>
      <c r="BG173" s="1452">
        <f t="shared" si="131"/>
        <v>0</v>
      </c>
      <c r="BH173" s="1452">
        <f t="shared" si="132"/>
        <v>0</v>
      </c>
      <c r="BI173" s="1452">
        <f t="shared" si="149"/>
        <v>0</v>
      </c>
      <c r="BJ173" s="1452" t="str">
        <f t="shared" si="133"/>
        <v/>
      </c>
      <c r="BK173" s="1452" t="str">
        <f t="shared" si="134"/>
        <v/>
      </c>
      <c r="BL173" s="1452" t="str">
        <f t="shared" si="135"/>
        <v/>
      </c>
      <c r="BM173" s="1452" t="str">
        <f t="shared" si="136"/>
        <v/>
      </c>
      <c r="BN173" s="1452" t="str">
        <f t="shared" ca="1" si="137"/>
        <v/>
      </c>
      <c r="BO173" s="1452" t="str">
        <f t="shared" si="150"/>
        <v/>
      </c>
      <c r="BP173" s="1452" t="str">
        <f t="shared" si="138"/>
        <v/>
      </c>
      <c r="BQ173" s="1452" t="str">
        <f t="shared" si="139"/>
        <v/>
      </c>
      <c r="BR173" s="1452" t="str">
        <f t="shared" si="140"/>
        <v/>
      </c>
      <c r="BS173" s="1452" t="str">
        <f t="shared" si="141"/>
        <v/>
      </c>
      <c r="BT173" s="1452" t="str">
        <f t="shared" si="142"/>
        <v/>
      </c>
      <c r="BU173" s="1452" t="str">
        <f t="shared" si="143"/>
        <v/>
      </c>
      <c r="BV173" s="1452" t="str">
        <f t="shared" si="144"/>
        <v/>
      </c>
      <c r="BW173" s="1558">
        <f t="shared" ca="1" si="151"/>
        <v>0</v>
      </c>
    </row>
    <row r="174" spans="1:75" s="9" customFormat="1" ht="12.5">
      <c r="A174" s="1483" t="str">
        <f t="shared" si="145"/>
        <v>Public Health Wales Trust</v>
      </c>
      <c r="B174" s="1583"/>
      <c r="C174" s="1583"/>
      <c r="D174" s="1583"/>
      <c r="E174" s="1581"/>
      <c r="F174" s="1436"/>
      <c r="G174" s="1547">
        <f t="shared" si="146"/>
        <v>0</v>
      </c>
      <c r="H174" s="1484"/>
      <c r="I174" s="1547">
        <f t="shared" si="147"/>
        <v>0</v>
      </c>
      <c r="J174" s="1485"/>
      <c r="K174" s="1485"/>
      <c r="L174" s="1436"/>
      <c r="M174" s="1439"/>
      <c r="N174" s="1439"/>
      <c r="O174" s="1485"/>
      <c r="P174" s="1486"/>
      <c r="Q174" s="1486"/>
      <c r="R174" s="1487"/>
      <c r="S174" s="1444"/>
      <c r="T174" s="1444"/>
      <c r="U174" s="1444"/>
      <c r="V174" s="1488"/>
      <c r="W174" s="1488"/>
      <c r="X174" s="1488"/>
      <c r="Y174" s="1488"/>
      <c r="Z174" s="1488"/>
      <c r="AA174" s="1488"/>
      <c r="AB174" s="1488"/>
      <c r="AC174" s="1488"/>
      <c r="AD174" s="1488"/>
      <c r="AE174" s="1488"/>
      <c r="AF174" s="1488"/>
      <c r="AG174" s="1488"/>
      <c r="AH174" s="1451">
        <f t="shared" si="119"/>
        <v>0</v>
      </c>
      <c r="AI174" s="1488"/>
      <c r="AJ174" s="1488"/>
      <c r="AK174" s="1488"/>
      <c r="AL174" s="1488"/>
      <c r="AM174" s="1488"/>
      <c r="AN174" s="1488"/>
      <c r="AO174" s="1488"/>
      <c r="AP174" s="1488"/>
      <c r="AQ174" s="1488"/>
      <c r="AR174" s="1488"/>
      <c r="AS174" s="1488"/>
      <c r="AT174" s="1542"/>
      <c r="AU174" s="1599">
        <f t="shared" si="120"/>
        <v>0</v>
      </c>
      <c r="AV174" s="1544">
        <f t="shared" si="148"/>
        <v>0</v>
      </c>
      <c r="AW174" s="1452">
        <f t="shared" si="121"/>
        <v>0</v>
      </c>
      <c r="AX174" s="1452">
        <f t="shared" si="122"/>
        <v>0</v>
      </c>
      <c r="AY174" s="1452">
        <f t="shared" si="123"/>
        <v>0</v>
      </c>
      <c r="AZ174" s="1452">
        <f t="shared" si="124"/>
        <v>0</v>
      </c>
      <c r="BA174" s="1452">
        <f t="shared" si="125"/>
        <v>0</v>
      </c>
      <c r="BB174" s="1452">
        <f t="shared" si="126"/>
        <v>0</v>
      </c>
      <c r="BC174" s="1452">
        <f t="shared" si="127"/>
        <v>0</v>
      </c>
      <c r="BD174" s="1452">
        <f t="shared" si="128"/>
        <v>0</v>
      </c>
      <c r="BE174" s="1452">
        <f t="shared" si="129"/>
        <v>0</v>
      </c>
      <c r="BF174" s="1452">
        <f t="shared" si="130"/>
        <v>0</v>
      </c>
      <c r="BG174" s="1452">
        <f t="shared" si="131"/>
        <v>0</v>
      </c>
      <c r="BH174" s="1452">
        <f t="shared" si="132"/>
        <v>0</v>
      </c>
      <c r="BI174" s="1452">
        <f t="shared" si="149"/>
        <v>0</v>
      </c>
      <c r="BJ174" s="1452" t="str">
        <f t="shared" si="133"/>
        <v/>
      </c>
      <c r="BK174" s="1452" t="str">
        <f t="shared" si="134"/>
        <v/>
      </c>
      <c r="BL174" s="1452" t="str">
        <f t="shared" si="135"/>
        <v/>
      </c>
      <c r="BM174" s="1452" t="str">
        <f t="shared" si="136"/>
        <v/>
      </c>
      <c r="BN174" s="1452" t="str">
        <f t="shared" ca="1" si="137"/>
        <v/>
      </c>
      <c r="BO174" s="1452" t="str">
        <f t="shared" si="150"/>
        <v/>
      </c>
      <c r="BP174" s="1452" t="str">
        <f t="shared" si="138"/>
        <v/>
      </c>
      <c r="BQ174" s="1452" t="str">
        <f t="shared" si="139"/>
        <v/>
      </c>
      <c r="BR174" s="1452" t="str">
        <f t="shared" si="140"/>
        <v/>
      </c>
      <c r="BS174" s="1452" t="str">
        <f t="shared" si="141"/>
        <v/>
      </c>
      <c r="BT174" s="1452" t="str">
        <f t="shared" si="142"/>
        <v/>
      </c>
      <c r="BU174" s="1452" t="str">
        <f t="shared" si="143"/>
        <v/>
      </c>
      <c r="BV174" s="1452" t="str">
        <f t="shared" si="144"/>
        <v/>
      </c>
      <c r="BW174" s="1558">
        <f t="shared" ca="1" si="151"/>
        <v>0</v>
      </c>
    </row>
    <row r="175" spans="1:75" s="9" customFormat="1" ht="12.5">
      <c r="A175" s="1483" t="str">
        <f t="shared" si="145"/>
        <v>Public Health Wales Trust</v>
      </c>
      <c r="B175" s="1583"/>
      <c r="C175" s="1583"/>
      <c r="D175" s="1583"/>
      <c r="E175" s="1581"/>
      <c r="F175" s="1436"/>
      <c r="G175" s="1547">
        <f t="shared" si="146"/>
        <v>0</v>
      </c>
      <c r="H175" s="1484"/>
      <c r="I175" s="1547">
        <f t="shared" si="147"/>
        <v>0</v>
      </c>
      <c r="J175" s="1485"/>
      <c r="K175" s="1485"/>
      <c r="L175" s="1436"/>
      <c r="M175" s="1439"/>
      <c r="N175" s="1439"/>
      <c r="O175" s="1485"/>
      <c r="P175" s="1486"/>
      <c r="Q175" s="1486"/>
      <c r="R175" s="1487"/>
      <c r="S175" s="1444"/>
      <c r="T175" s="1444"/>
      <c r="U175" s="1444"/>
      <c r="V175" s="1488"/>
      <c r="W175" s="1488"/>
      <c r="X175" s="1488"/>
      <c r="Y175" s="1488"/>
      <c r="Z175" s="1488"/>
      <c r="AA175" s="1488"/>
      <c r="AB175" s="1488"/>
      <c r="AC175" s="1488"/>
      <c r="AD175" s="1488"/>
      <c r="AE175" s="1488"/>
      <c r="AF175" s="1488"/>
      <c r="AG175" s="1488"/>
      <c r="AH175" s="1451">
        <f t="shared" si="119"/>
        <v>0</v>
      </c>
      <c r="AI175" s="1488"/>
      <c r="AJ175" s="1488"/>
      <c r="AK175" s="1488"/>
      <c r="AL175" s="1488"/>
      <c r="AM175" s="1488"/>
      <c r="AN175" s="1488"/>
      <c r="AO175" s="1488"/>
      <c r="AP175" s="1488"/>
      <c r="AQ175" s="1488"/>
      <c r="AR175" s="1488"/>
      <c r="AS175" s="1488"/>
      <c r="AT175" s="1542"/>
      <c r="AU175" s="1599">
        <f t="shared" si="120"/>
        <v>0</v>
      </c>
      <c r="AV175" s="1544">
        <f t="shared" si="148"/>
        <v>0</v>
      </c>
      <c r="AW175" s="1452">
        <f t="shared" si="121"/>
        <v>0</v>
      </c>
      <c r="AX175" s="1452">
        <f t="shared" si="122"/>
        <v>0</v>
      </c>
      <c r="AY175" s="1452">
        <f t="shared" si="123"/>
        <v>0</v>
      </c>
      <c r="AZ175" s="1452">
        <f t="shared" si="124"/>
        <v>0</v>
      </c>
      <c r="BA175" s="1452">
        <f t="shared" si="125"/>
        <v>0</v>
      </c>
      <c r="BB175" s="1452">
        <f t="shared" si="126"/>
        <v>0</v>
      </c>
      <c r="BC175" s="1452">
        <f t="shared" si="127"/>
        <v>0</v>
      </c>
      <c r="BD175" s="1452">
        <f t="shared" si="128"/>
        <v>0</v>
      </c>
      <c r="BE175" s="1452">
        <f t="shared" si="129"/>
        <v>0</v>
      </c>
      <c r="BF175" s="1452">
        <f t="shared" si="130"/>
        <v>0</v>
      </c>
      <c r="BG175" s="1452">
        <f t="shared" si="131"/>
        <v>0</v>
      </c>
      <c r="BH175" s="1452">
        <f t="shared" si="132"/>
        <v>0</v>
      </c>
      <c r="BI175" s="1452">
        <f t="shared" si="149"/>
        <v>0</v>
      </c>
      <c r="BJ175" s="1452" t="str">
        <f t="shared" si="133"/>
        <v/>
      </c>
      <c r="BK175" s="1452" t="str">
        <f t="shared" si="134"/>
        <v/>
      </c>
      <c r="BL175" s="1452" t="str">
        <f t="shared" si="135"/>
        <v/>
      </c>
      <c r="BM175" s="1452" t="str">
        <f t="shared" si="136"/>
        <v/>
      </c>
      <c r="BN175" s="1452" t="str">
        <f t="shared" ca="1" si="137"/>
        <v/>
      </c>
      <c r="BO175" s="1452" t="str">
        <f t="shared" si="150"/>
        <v/>
      </c>
      <c r="BP175" s="1452" t="str">
        <f t="shared" si="138"/>
        <v/>
      </c>
      <c r="BQ175" s="1452" t="str">
        <f t="shared" si="139"/>
        <v/>
      </c>
      <c r="BR175" s="1452" t="str">
        <f t="shared" si="140"/>
        <v/>
      </c>
      <c r="BS175" s="1452" t="str">
        <f t="shared" si="141"/>
        <v/>
      </c>
      <c r="BT175" s="1452" t="str">
        <f t="shared" si="142"/>
        <v/>
      </c>
      <c r="BU175" s="1452" t="str">
        <f t="shared" si="143"/>
        <v/>
      </c>
      <c r="BV175" s="1452" t="str">
        <f t="shared" si="144"/>
        <v/>
      </c>
      <c r="BW175" s="1558">
        <f t="shared" ca="1" si="151"/>
        <v>0</v>
      </c>
    </row>
    <row r="176" spans="1:75" s="9" customFormat="1" ht="12.5">
      <c r="A176" s="1483" t="str">
        <f t="shared" si="145"/>
        <v>Public Health Wales Trust</v>
      </c>
      <c r="B176" s="1583"/>
      <c r="C176" s="1583"/>
      <c r="D176" s="1583"/>
      <c r="E176" s="1581"/>
      <c r="F176" s="1436"/>
      <c r="G176" s="1547">
        <f t="shared" si="146"/>
        <v>0</v>
      </c>
      <c r="H176" s="1484"/>
      <c r="I176" s="1547">
        <f t="shared" si="147"/>
        <v>0</v>
      </c>
      <c r="J176" s="1485"/>
      <c r="K176" s="1485"/>
      <c r="L176" s="1436"/>
      <c r="M176" s="1439"/>
      <c r="N176" s="1439"/>
      <c r="O176" s="1485"/>
      <c r="P176" s="1486"/>
      <c r="Q176" s="1486"/>
      <c r="R176" s="1487"/>
      <c r="S176" s="1444"/>
      <c r="T176" s="1444"/>
      <c r="U176" s="1444"/>
      <c r="V176" s="1488"/>
      <c r="W176" s="1488"/>
      <c r="X176" s="1488"/>
      <c r="Y176" s="1488"/>
      <c r="Z176" s="1488"/>
      <c r="AA176" s="1488"/>
      <c r="AB176" s="1488"/>
      <c r="AC176" s="1488"/>
      <c r="AD176" s="1488"/>
      <c r="AE176" s="1488"/>
      <c r="AF176" s="1488"/>
      <c r="AG176" s="1488"/>
      <c r="AH176" s="1451">
        <f t="shared" si="119"/>
        <v>0</v>
      </c>
      <c r="AI176" s="1488"/>
      <c r="AJ176" s="1488"/>
      <c r="AK176" s="1488"/>
      <c r="AL176" s="1488"/>
      <c r="AM176" s="1488"/>
      <c r="AN176" s="1488"/>
      <c r="AO176" s="1488"/>
      <c r="AP176" s="1488"/>
      <c r="AQ176" s="1488"/>
      <c r="AR176" s="1488"/>
      <c r="AS176" s="1488"/>
      <c r="AT176" s="1542"/>
      <c r="AU176" s="1599">
        <f t="shared" si="120"/>
        <v>0</v>
      </c>
      <c r="AV176" s="1544">
        <f t="shared" si="148"/>
        <v>0</v>
      </c>
      <c r="AW176" s="1452">
        <f t="shared" si="121"/>
        <v>0</v>
      </c>
      <c r="AX176" s="1452">
        <f t="shared" si="122"/>
        <v>0</v>
      </c>
      <c r="AY176" s="1452">
        <f t="shared" si="123"/>
        <v>0</v>
      </c>
      <c r="AZ176" s="1452">
        <f t="shared" si="124"/>
        <v>0</v>
      </c>
      <c r="BA176" s="1452">
        <f t="shared" si="125"/>
        <v>0</v>
      </c>
      <c r="BB176" s="1452">
        <f t="shared" si="126"/>
        <v>0</v>
      </c>
      <c r="BC176" s="1452">
        <f t="shared" si="127"/>
        <v>0</v>
      </c>
      <c r="BD176" s="1452">
        <f t="shared" si="128"/>
        <v>0</v>
      </c>
      <c r="BE176" s="1452">
        <f t="shared" si="129"/>
        <v>0</v>
      </c>
      <c r="BF176" s="1452">
        <f t="shared" si="130"/>
        <v>0</v>
      </c>
      <c r="BG176" s="1452">
        <f t="shared" si="131"/>
        <v>0</v>
      </c>
      <c r="BH176" s="1452">
        <f t="shared" si="132"/>
        <v>0</v>
      </c>
      <c r="BI176" s="1452">
        <f t="shared" si="149"/>
        <v>0</v>
      </c>
      <c r="BJ176" s="1452" t="str">
        <f t="shared" si="133"/>
        <v/>
      </c>
      <c r="BK176" s="1452" t="str">
        <f t="shared" si="134"/>
        <v/>
      </c>
      <c r="BL176" s="1452" t="str">
        <f t="shared" si="135"/>
        <v/>
      </c>
      <c r="BM176" s="1452" t="str">
        <f t="shared" si="136"/>
        <v/>
      </c>
      <c r="BN176" s="1452" t="str">
        <f t="shared" ca="1" si="137"/>
        <v/>
      </c>
      <c r="BO176" s="1452" t="str">
        <f t="shared" si="150"/>
        <v/>
      </c>
      <c r="BP176" s="1452" t="str">
        <f t="shared" si="138"/>
        <v/>
      </c>
      <c r="BQ176" s="1452" t="str">
        <f t="shared" si="139"/>
        <v/>
      </c>
      <c r="BR176" s="1452" t="str">
        <f t="shared" si="140"/>
        <v/>
      </c>
      <c r="BS176" s="1452" t="str">
        <f t="shared" si="141"/>
        <v/>
      </c>
      <c r="BT176" s="1452" t="str">
        <f t="shared" si="142"/>
        <v/>
      </c>
      <c r="BU176" s="1452" t="str">
        <f t="shared" si="143"/>
        <v/>
      </c>
      <c r="BV176" s="1452" t="str">
        <f t="shared" si="144"/>
        <v/>
      </c>
      <c r="BW176" s="1558">
        <f t="shared" ca="1" si="151"/>
        <v>0</v>
      </c>
    </row>
    <row r="177" spans="1:75" s="9" customFormat="1" ht="12.5">
      <c r="A177" s="1483" t="str">
        <f t="shared" si="145"/>
        <v>Public Health Wales Trust</v>
      </c>
      <c r="B177" s="1583"/>
      <c r="C177" s="1583"/>
      <c r="D177" s="1583"/>
      <c r="E177" s="1581"/>
      <c r="F177" s="1436"/>
      <c r="G177" s="1547">
        <f t="shared" si="146"/>
        <v>0</v>
      </c>
      <c r="H177" s="1484"/>
      <c r="I177" s="1547">
        <f t="shared" si="147"/>
        <v>0</v>
      </c>
      <c r="J177" s="1485"/>
      <c r="K177" s="1485"/>
      <c r="L177" s="1436"/>
      <c r="M177" s="1439"/>
      <c r="N177" s="1439"/>
      <c r="O177" s="1485"/>
      <c r="P177" s="1486"/>
      <c r="Q177" s="1486"/>
      <c r="R177" s="1487"/>
      <c r="S177" s="1444"/>
      <c r="T177" s="1444"/>
      <c r="U177" s="1444"/>
      <c r="V177" s="1488"/>
      <c r="W177" s="1488"/>
      <c r="X177" s="1488"/>
      <c r="Y177" s="1488"/>
      <c r="Z177" s="1488"/>
      <c r="AA177" s="1488"/>
      <c r="AB177" s="1488"/>
      <c r="AC177" s="1488"/>
      <c r="AD177" s="1488"/>
      <c r="AE177" s="1488"/>
      <c r="AF177" s="1488"/>
      <c r="AG177" s="1488"/>
      <c r="AH177" s="1451">
        <f t="shared" si="119"/>
        <v>0</v>
      </c>
      <c r="AI177" s="1488"/>
      <c r="AJ177" s="1488"/>
      <c r="AK177" s="1488"/>
      <c r="AL177" s="1488"/>
      <c r="AM177" s="1488"/>
      <c r="AN177" s="1488"/>
      <c r="AO177" s="1488"/>
      <c r="AP177" s="1488"/>
      <c r="AQ177" s="1488"/>
      <c r="AR177" s="1488"/>
      <c r="AS177" s="1488"/>
      <c r="AT177" s="1542"/>
      <c r="AU177" s="1599">
        <f t="shared" si="120"/>
        <v>0</v>
      </c>
      <c r="AV177" s="1544">
        <f t="shared" si="148"/>
        <v>0</v>
      </c>
      <c r="AW177" s="1452">
        <f t="shared" si="121"/>
        <v>0</v>
      </c>
      <c r="AX177" s="1452">
        <f t="shared" si="122"/>
        <v>0</v>
      </c>
      <c r="AY177" s="1452">
        <f t="shared" si="123"/>
        <v>0</v>
      </c>
      <c r="AZ177" s="1452">
        <f t="shared" si="124"/>
        <v>0</v>
      </c>
      <c r="BA177" s="1452">
        <f t="shared" si="125"/>
        <v>0</v>
      </c>
      <c r="BB177" s="1452">
        <f t="shared" si="126"/>
        <v>0</v>
      </c>
      <c r="BC177" s="1452">
        <f t="shared" si="127"/>
        <v>0</v>
      </c>
      <c r="BD177" s="1452">
        <f t="shared" si="128"/>
        <v>0</v>
      </c>
      <c r="BE177" s="1452">
        <f t="shared" si="129"/>
        <v>0</v>
      </c>
      <c r="BF177" s="1452">
        <f t="shared" si="130"/>
        <v>0</v>
      </c>
      <c r="BG177" s="1452">
        <f t="shared" si="131"/>
        <v>0</v>
      </c>
      <c r="BH177" s="1452">
        <f t="shared" si="132"/>
        <v>0</v>
      </c>
      <c r="BI177" s="1452">
        <f t="shared" si="149"/>
        <v>0</v>
      </c>
      <c r="BJ177" s="1452" t="str">
        <f t="shared" si="133"/>
        <v/>
      </c>
      <c r="BK177" s="1452" t="str">
        <f t="shared" si="134"/>
        <v/>
      </c>
      <c r="BL177" s="1452" t="str">
        <f t="shared" si="135"/>
        <v/>
      </c>
      <c r="BM177" s="1452" t="str">
        <f t="shared" si="136"/>
        <v/>
      </c>
      <c r="BN177" s="1452" t="str">
        <f t="shared" ca="1" si="137"/>
        <v/>
      </c>
      <c r="BO177" s="1452" t="str">
        <f t="shared" si="150"/>
        <v/>
      </c>
      <c r="BP177" s="1452" t="str">
        <f t="shared" si="138"/>
        <v/>
      </c>
      <c r="BQ177" s="1452" t="str">
        <f t="shared" si="139"/>
        <v/>
      </c>
      <c r="BR177" s="1452" t="str">
        <f t="shared" si="140"/>
        <v/>
      </c>
      <c r="BS177" s="1452" t="str">
        <f t="shared" si="141"/>
        <v/>
      </c>
      <c r="BT177" s="1452" t="str">
        <f t="shared" si="142"/>
        <v/>
      </c>
      <c r="BU177" s="1452" t="str">
        <f t="shared" si="143"/>
        <v/>
      </c>
      <c r="BV177" s="1452" t="str">
        <f t="shared" si="144"/>
        <v/>
      </c>
      <c r="BW177" s="1558">
        <f t="shared" ca="1" si="151"/>
        <v>0</v>
      </c>
    </row>
    <row r="178" spans="1:75" s="9" customFormat="1" ht="12.5">
      <c r="A178" s="1483" t="str">
        <f t="shared" si="145"/>
        <v>Public Health Wales Trust</v>
      </c>
      <c r="B178" s="1583"/>
      <c r="C178" s="1583"/>
      <c r="D178" s="1583"/>
      <c r="E178" s="1581"/>
      <c r="F178" s="1436"/>
      <c r="G178" s="1547">
        <f t="shared" si="146"/>
        <v>0</v>
      </c>
      <c r="H178" s="1484"/>
      <c r="I178" s="1547">
        <f t="shared" si="147"/>
        <v>0</v>
      </c>
      <c r="J178" s="1485"/>
      <c r="K178" s="1485"/>
      <c r="L178" s="1436"/>
      <c r="M178" s="1439"/>
      <c r="N178" s="1439"/>
      <c r="O178" s="1485"/>
      <c r="P178" s="1486"/>
      <c r="Q178" s="1486"/>
      <c r="R178" s="1487"/>
      <c r="S178" s="1444"/>
      <c r="T178" s="1444"/>
      <c r="U178" s="1444"/>
      <c r="V178" s="1488"/>
      <c r="W178" s="1488"/>
      <c r="X178" s="1488"/>
      <c r="Y178" s="1488"/>
      <c r="Z178" s="1488"/>
      <c r="AA178" s="1488"/>
      <c r="AB178" s="1488"/>
      <c r="AC178" s="1488"/>
      <c r="AD178" s="1488"/>
      <c r="AE178" s="1488"/>
      <c r="AF178" s="1488"/>
      <c r="AG178" s="1488"/>
      <c r="AH178" s="1451">
        <f t="shared" si="119"/>
        <v>0</v>
      </c>
      <c r="AI178" s="1488"/>
      <c r="AJ178" s="1488"/>
      <c r="AK178" s="1488"/>
      <c r="AL178" s="1488"/>
      <c r="AM178" s="1488"/>
      <c r="AN178" s="1488"/>
      <c r="AO178" s="1488"/>
      <c r="AP178" s="1488"/>
      <c r="AQ178" s="1488"/>
      <c r="AR178" s="1488"/>
      <c r="AS178" s="1488"/>
      <c r="AT178" s="1542"/>
      <c r="AU178" s="1599">
        <f t="shared" si="120"/>
        <v>0</v>
      </c>
      <c r="AV178" s="1544">
        <f t="shared" si="148"/>
        <v>0</v>
      </c>
      <c r="AW178" s="1452">
        <f t="shared" si="121"/>
        <v>0</v>
      </c>
      <c r="AX178" s="1452">
        <f t="shared" si="122"/>
        <v>0</v>
      </c>
      <c r="AY178" s="1452">
        <f t="shared" si="123"/>
        <v>0</v>
      </c>
      <c r="AZ178" s="1452">
        <f t="shared" si="124"/>
        <v>0</v>
      </c>
      <c r="BA178" s="1452">
        <f t="shared" si="125"/>
        <v>0</v>
      </c>
      <c r="BB178" s="1452">
        <f t="shared" si="126"/>
        <v>0</v>
      </c>
      <c r="BC178" s="1452">
        <f t="shared" si="127"/>
        <v>0</v>
      </c>
      <c r="BD178" s="1452">
        <f t="shared" si="128"/>
        <v>0</v>
      </c>
      <c r="BE178" s="1452">
        <f t="shared" si="129"/>
        <v>0</v>
      </c>
      <c r="BF178" s="1452">
        <f t="shared" si="130"/>
        <v>0</v>
      </c>
      <c r="BG178" s="1452">
        <f t="shared" si="131"/>
        <v>0</v>
      </c>
      <c r="BH178" s="1452">
        <f t="shared" si="132"/>
        <v>0</v>
      </c>
      <c r="BI178" s="1452">
        <f t="shared" si="149"/>
        <v>0</v>
      </c>
      <c r="BJ178" s="1452" t="str">
        <f t="shared" si="133"/>
        <v/>
      </c>
      <c r="BK178" s="1452" t="str">
        <f t="shared" si="134"/>
        <v/>
      </c>
      <c r="BL178" s="1452" t="str">
        <f t="shared" si="135"/>
        <v/>
      </c>
      <c r="BM178" s="1452" t="str">
        <f t="shared" si="136"/>
        <v/>
      </c>
      <c r="BN178" s="1452" t="str">
        <f t="shared" ca="1" si="137"/>
        <v/>
      </c>
      <c r="BO178" s="1452" t="str">
        <f t="shared" si="150"/>
        <v/>
      </c>
      <c r="BP178" s="1452" t="str">
        <f t="shared" si="138"/>
        <v/>
      </c>
      <c r="BQ178" s="1452" t="str">
        <f t="shared" si="139"/>
        <v/>
      </c>
      <c r="BR178" s="1452" t="str">
        <f t="shared" si="140"/>
        <v/>
      </c>
      <c r="BS178" s="1452" t="str">
        <f t="shared" si="141"/>
        <v/>
      </c>
      <c r="BT178" s="1452" t="str">
        <f t="shared" si="142"/>
        <v/>
      </c>
      <c r="BU178" s="1452" t="str">
        <f t="shared" si="143"/>
        <v/>
      </c>
      <c r="BV178" s="1452" t="str">
        <f t="shared" si="144"/>
        <v/>
      </c>
      <c r="BW178" s="1558">
        <f t="shared" ca="1" si="151"/>
        <v>0</v>
      </c>
    </row>
    <row r="179" spans="1:75" s="9" customFormat="1" ht="12.5">
      <c r="A179" s="1483" t="str">
        <f t="shared" si="145"/>
        <v>Public Health Wales Trust</v>
      </c>
      <c r="B179" s="1583"/>
      <c r="C179" s="1583"/>
      <c r="D179" s="1583"/>
      <c r="E179" s="1581"/>
      <c r="F179" s="1436"/>
      <c r="G179" s="1547">
        <f t="shared" si="146"/>
        <v>0</v>
      </c>
      <c r="H179" s="1484"/>
      <c r="I179" s="1547">
        <f t="shared" si="147"/>
        <v>0</v>
      </c>
      <c r="J179" s="1485"/>
      <c r="K179" s="1485"/>
      <c r="L179" s="1436"/>
      <c r="M179" s="1439"/>
      <c r="N179" s="1439"/>
      <c r="O179" s="1485"/>
      <c r="P179" s="1486"/>
      <c r="Q179" s="1486"/>
      <c r="R179" s="1487"/>
      <c r="S179" s="1444"/>
      <c r="T179" s="1444"/>
      <c r="U179" s="1444"/>
      <c r="V179" s="1488"/>
      <c r="W179" s="1488"/>
      <c r="X179" s="1488"/>
      <c r="Y179" s="1488"/>
      <c r="Z179" s="1488"/>
      <c r="AA179" s="1488"/>
      <c r="AB179" s="1488"/>
      <c r="AC179" s="1488"/>
      <c r="AD179" s="1488"/>
      <c r="AE179" s="1488"/>
      <c r="AF179" s="1488"/>
      <c r="AG179" s="1488"/>
      <c r="AH179" s="1451">
        <f t="shared" si="119"/>
        <v>0</v>
      </c>
      <c r="AI179" s="1488"/>
      <c r="AJ179" s="1488"/>
      <c r="AK179" s="1488"/>
      <c r="AL179" s="1488"/>
      <c r="AM179" s="1488"/>
      <c r="AN179" s="1488"/>
      <c r="AO179" s="1488"/>
      <c r="AP179" s="1488"/>
      <c r="AQ179" s="1488"/>
      <c r="AR179" s="1488"/>
      <c r="AS179" s="1488"/>
      <c r="AT179" s="1542"/>
      <c r="AU179" s="1599">
        <f t="shared" si="120"/>
        <v>0</v>
      </c>
      <c r="AV179" s="1544">
        <f t="shared" si="148"/>
        <v>0</v>
      </c>
      <c r="AW179" s="1452">
        <f t="shared" si="121"/>
        <v>0</v>
      </c>
      <c r="AX179" s="1452">
        <f t="shared" si="122"/>
        <v>0</v>
      </c>
      <c r="AY179" s="1452">
        <f t="shared" si="123"/>
        <v>0</v>
      </c>
      <c r="AZ179" s="1452">
        <f t="shared" si="124"/>
        <v>0</v>
      </c>
      <c r="BA179" s="1452">
        <f t="shared" si="125"/>
        <v>0</v>
      </c>
      <c r="BB179" s="1452">
        <f t="shared" si="126"/>
        <v>0</v>
      </c>
      <c r="BC179" s="1452">
        <f t="shared" si="127"/>
        <v>0</v>
      </c>
      <c r="BD179" s="1452">
        <f t="shared" si="128"/>
        <v>0</v>
      </c>
      <c r="BE179" s="1452">
        <f t="shared" si="129"/>
        <v>0</v>
      </c>
      <c r="BF179" s="1452">
        <f t="shared" si="130"/>
        <v>0</v>
      </c>
      <c r="BG179" s="1452">
        <f t="shared" si="131"/>
        <v>0</v>
      </c>
      <c r="BH179" s="1452">
        <f t="shared" si="132"/>
        <v>0</v>
      </c>
      <c r="BI179" s="1452">
        <f t="shared" si="149"/>
        <v>0</v>
      </c>
      <c r="BJ179" s="1452" t="str">
        <f t="shared" si="133"/>
        <v/>
      </c>
      <c r="BK179" s="1452" t="str">
        <f t="shared" si="134"/>
        <v/>
      </c>
      <c r="BL179" s="1452" t="str">
        <f t="shared" si="135"/>
        <v/>
      </c>
      <c r="BM179" s="1452" t="str">
        <f t="shared" si="136"/>
        <v/>
      </c>
      <c r="BN179" s="1452" t="str">
        <f t="shared" ca="1" si="137"/>
        <v/>
      </c>
      <c r="BO179" s="1452" t="str">
        <f t="shared" si="150"/>
        <v/>
      </c>
      <c r="BP179" s="1452" t="str">
        <f t="shared" si="138"/>
        <v/>
      </c>
      <c r="BQ179" s="1452" t="str">
        <f t="shared" si="139"/>
        <v/>
      </c>
      <c r="BR179" s="1452" t="str">
        <f t="shared" si="140"/>
        <v/>
      </c>
      <c r="BS179" s="1452" t="str">
        <f t="shared" si="141"/>
        <v/>
      </c>
      <c r="BT179" s="1452" t="str">
        <f t="shared" si="142"/>
        <v/>
      </c>
      <c r="BU179" s="1452" t="str">
        <f t="shared" si="143"/>
        <v/>
      </c>
      <c r="BV179" s="1452" t="str">
        <f t="shared" si="144"/>
        <v/>
      </c>
      <c r="BW179" s="1558">
        <f t="shared" ca="1" si="151"/>
        <v>0</v>
      </c>
    </row>
    <row r="180" spans="1:75" s="9" customFormat="1" ht="12.5">
      <c r="A180" s="1483" t="str">
        <f t="shared" si="145"/>
        <v>Public Health Wales Trust</v>
      </c>
      <c r="B180" s="1583"/>
      <c r="C180" s="1583"/>
      <c r="D180" s="1583"/>
      <c r="E180" s="1581"/>
      <c r="F180" s="1436"/>
      <c r="G180" s="1547">
        <f t="shared" si="146"/>
        <v>0</v>
      </c>
      <c r="H180" s="1484"/>
      <c r="I180" s="1547">
        <f t="shared" si="147"/>
        <v>0</v>
      </c>
      <c r="J180" s="1485"/>
      <c r="K180" s="1485"/>
      <c r="L180" s="1436"/>
      <c r="M180" s="1439"/>
      <c r="N180" s="1439"/>
      <c r="O180" s="1485"/>
      <c r="P180" s="1486"/>
      <c r="Q180" s="1486"/>
      <c r="R180" s="1487"/>
      <c r="S180" s="1444"/>
      <c r="T180" s="1444"/>
      <c r="U180" s="1444"/>
      <c r="V180" s="1488"/>
      <c r="W180" s="1488"/>
      <c r="X180" s="1488"/>
      <c r="Y180" s="1488"/>
      <c r="Z180" s="1488"/>
      <c r="AA180" s="1488"/>
      <c r="AB180" s="1488"/>
      <c r="AC180" s="1488"/>
      <c r="AD180" s="1488"/>
      <c r="AE180" s="1488"/>
      <c r="AF180" s="1488"/>
      <c r="AG180" s="1488"/>
      <c r="AH180" s="1451">
        <f t="shared" si="119"/>
        <v>0</v>
      </c>
      <c r="AI180" s="1488"/>
      <c r="AJ180" s="1488"/>
      <c r="AK180" s="1488"/>
      <c r="AL180" s="1488"/>
      <c r="AM180" s="1488"/>
      <c r="AN180" s="1488"/>
      <c r="AO180" s="1488"/>
      <c r="AP180" s="1488"/>
      <c r="AQ180" s="1488"/>
      <c r="AR180" s="1488"/>
      <c r="AS180" s="1488"/>
      <c r="AT180" s="1542"/>
      <c r="AU180" s="1599">
        <f t="shared" si="120"/>
        <v>0</v>
      </c>
      <c r="AV180" s="1544">
        <f t="shared" si="148"/>
        <v>0</v>
      </c>
      <c r="AW180" s="1452">
        <f t="shared" si="121"/>
        <v>0</v>
      </c>
      <c r="AX180" s="1452">
        <f t="shared" si="122"/>
        <v>0</v>
      </c>
      <c r="AY180" s="1452">
        <f t="shared" si="123"/>
        <v>0</v>
      </c>
      <c r="AZ180" s="1452">
        <f t="shared" si="124"/>
        <v>0</v>
      </c>
      <c r="BA180" s="1452">
        <f t="shared" si="125"/>
        <v>0</v>
      </c>
      <c r="BB180" s="1452">
        <f t="shared" si="126"/>
        <v>0</v>
      </c>
      <c r="BC180" s="1452">
        <f t="shared" si="127"/>
        <v>0</v>
      </c>
      <c r="BD180" s="1452">
        <f t="shared" si="128"/>
        <v>0</v>
      </c>
      <c r="BE180" s="1452">
        <f t="shared" si="129"/>
        <v>0</v>
      </c>
      <c r="BF180" s="1452">
        <f t="shared" si="130"/>
        <v>0</v>
      </c>
      <c r="BG180" s="1452">
        <f t="shared" si="131"/>
        <v>0</v>
      </c>
      <c r="BH180" s="1452">
        <f t="shared" si="132"/>
        <v>0</v>
      </c>
      <c r="BI180" s="1452">
        <f t="shared" si="149"/>
        <v>0</v>
      </c>
      <c r="BJ180" s="1452" t="str">
        <f t="shared" si="133"/>
        <v/>
      </c>
      <c r="BK180" s="1452" t="str">
        <f t="shared" si="134"/>
        <v/>
      </c>
      <c r="BL180" s="1452" t="str">
        <f t="shared" si="135"/>
        <v/>
      </c>
      <c r="BM180" s="1452" t="str">
        <f t="shared" si="136"/>
        <v/>
      </c>
      <c r="BN180" s="1452" t="str">
        <f t="shared" ca="1" si="137"/>
        <v/>
      </c>
      <c r="BO180" s="1452" t="str">
        <f t="shared" si="150"/>
        <v/>
      </c>
      <c r="BP180" s="1452" t="str">
        <f t="shared" si="138"/>
        <v/>
      </c>
      <c r="BQ180" s="1452" t="str">
        <f t="shared" si="139"/>
        <v/>
      </c>
      <c r="BR180" s="1452" t="str">
        <f t="shared" si="140"/>
        <v/>
      </c>
      <c r="BS180" s="1452" t="str">
        <f t="shared" si="141"/>
        <v/>
      </c>
      <c r="BT180" s="1452" t="str">
        <f t="shared" si="142"/>
        <v/>
      </c>
      <c r="BU180" s="1452" t="str">
        <f t="shared" si="143"/>
        <v/>
      </c>
      <c r="BV180" s="1452" t="str">
        <f t="shared" si="144"/>
        <v/>
      </c>
      <c r="BW180" s="1558">
        <f t="shared" ca="1" si="151"/>
        <v>0</v>
      </c>
    </row>
    <row r="181" spans="1:75" s="9" customFormat="1" ht="12.5">
      <c r="A181" s="1483" t="str">
        <f t="shared" si="145"/>
        <v>Public Health Wales Trust</v>
      </c>
      <c r="B181" s="1583"/>
      <c r="C181" s="1583"/>
      <c r="D181" s="1583"/>
      <c r="E181" s="1581"/>
      <c r="F181" s="1436"/>
      <c r="G181" s="1547">
        <f t="shared" si="146"/>
        <v>0</v>
      </c>
      <c r="H181" s="1484"/>
      <c r="I181" s="1547">
        <f t="shared" si="147"/>
        <v>0</v>
      </c>
      <c r="J181" s="1485"/>
      <c r="K181" s="1485"/>
      <c r="L181" s="1436"/>
      <c r="M181" s="1439"/>
      <c r="N181" s="1439"/>
      <c r="O181" s="1485"/>
      <c r="P181" s="1486"/>
      <c r="Q181" s="1486"/>
      <c r="R181" s="1487"/>
      <c r="S181" s="1444"/>
      <c r="T181" s="1444"/>
      <c r="U181" s="1444"/>
      <c r="V181" s="1488"/>
      <c r="W181" s="1488"/>
      <c r="X181" s="1488"/>
      <c r="Y181" s="1488"/>
      <c r="Z181" s="1488"/>
      <c r="AA181" s="1488"/>
      <c r="AB181" s="1488"/>
      <c r="AC181" s="1488"/>
      <c r="AD181" s="1488"/>
      <c r="AE181" s="1488"/>
      <c r="AF181" s="1488"/>
      <c r="AG181" s="1488"/>
      <c r="AH181" s="1451">
        <f t="shared" si="119"/>
        <v>0</v>
      </c>
      <c r="AI181" s="1488"/>
      <c r="AJ181" s="1488"/>
      <c r="AK181" s="1488"/>
      <c r="AL181" s="1488"/>
      <c r="AM181" s="1488"/>
      <c r="AN181" s="1488"/>
      <c r="AO181" s="1488"/>
      <c r="AP181" s="1488"/>
      <c r="AQ181" s="1488"/>
      <c r="AR181" s="1488"/>
      <c r="AS181" s="1488"/>
      <c r="AT181" s="1542"/>
      <c r="AU181" s="1599">
        <f t="shared" si="120"/>
        <v>0</v>
      </c>
      <c r="AV181" s="1544">
        <f t="shared" si="148"/>
        <v>0</v>
      </c>
      <c r="AW181" s="1452">
        <f t="shared" si="121"/>
        <v>0</v>
      </c>
      <c r="AX181" s="1452">
        <f t="shared" si="122"/>
        <v>0</v>
      </c>
      <c r="AY181" s="1452">
        <f t="shared" si="123"/>
        <v>0</v>
      </c>
      <c r="AZ181" s="1452">
        <f t="shared" si="124"/>
        <v>0</v>
      </c>
      <c r="BA181" s="1452">
        <f t="shared" si="125"/>
        <v>0</v>
      </c>
      <c r="BB181" s="1452">
        <f t="shared" si="126"/>
        <v>0</v>
      </c>
      <c r="BC181" s="1452">
        <f t="shared" si="127"/>
        <v>0</v>
      </c>
      <c r="BD181" s="1452">
        <f t="shared" si="128"/>
        <v>0</v>
      </c>
      <c r="BE181" s="1452">
        <f t="shared" si="129"/>
        <v>0</v>
      </c>
      <c r="BF181" s="1452">
        <f t="shared" si="130"/>
        <v>0</v>
      </c>
      <c r="BG181" s="1452">
        <f t="shared" si="131"/>
        <v>0</v>
      </c>
      <c r="BH181" s="1452">
        <f t="shared" si="132"/>
        <v>0</v>
      </c>
      <c r="BI181" s="1452">
        <f t="shared" si="149"/>
        <v>0</v>
      </c>
      <c r="BJ181" s="1452" t="str">
        <f t="shared" si="133"/>
        <v/>
      </c>
      <c r="BK181" s="1452" t="str">
        <f t="shared" si="134"/>
        <v/>
      </c>
      <c r="BL181" s="1452" t="str">
        <f t="shared" si="135"/>
        <v/>
      </c>
      <c r="BM181" s="1452" t="str">
        <f t="shared" si="136"/>
        <v/>
      </c>
      <c r="BN181" s="1452" t="str">
        <f t="shared" ca="1" si="137"/>
        <v/>
      </c>
      <c r="BO181" s="1452" t="str">
        <f t="shared" si="150"/>
        <v/>
      </c>
      <c r="BP181" s="1452" t="str">
        <f t="shared" si="138"/>
        <v/>
      </c>
      <c r="BQ181" s="1452" t="str">
        <f t="shared" si="139"/>
        <v/>
      </c>
      <c r="BR181" s="1452" t="str">
        <f t="shared" si="140"/>
        <v/>
      </c>
      <c r="BS181" s="1452" t="str">
        <f t="shared" si="141"/>
        <v/>
      </c>
      <c r="BT181" s="1452" t="str">
        <f t="shared" si="142"/>
        <v/>
      </c>
      <c r="BU181" s="1452" t="str">
        <f t="shared" si="143"/>
        <v/>
      </c>
      <c r="BV181" s="1452" t="str">
        <f t="shared" si="144"/>
        <v/>
      </c>
      <c r="BW181" s="1558">
        <f t="shared" ca="1" si="151"/>
        <v>0</v>
      </c>
    </row>
    <row r="182" spans="1:75" s="9" customFormat="1" ht="12.5">
      <c r="A182" s="1483" t="str">
        <f t="shared" si="145"/>
        <v>Public Health Wales Trust</v>
      </c>
      <c r="B182" s="1583"/>
      <c r="C182" s="1583"/>
      <c r="D182" s="1583"/>
      <c r="E182" s="1581"/>
      <c r="F182" s="1436"/>
      <c r="G182" s="1547">
        <f t="shared" si="146"/>
        <v>0</v>
      </c>
      <c r="H182" s="1484"/>
      <c r="I182" s="1547">
        <f t="shared" si="147"/>
        <v>0</v>
      </c>
      <c r="J182" s="1485"/>
      <c r="K182" s="1485"/>
      <c r="L182" s="1436"/>
      <c r="M182" s="1439"/>
      <c r="N182" s="1439"/>
      <c r="O182" s="1485"/>
      <c r="P182" s="1486"/>
      <c r="Q182" s="1486"/>
      <c r="R182" s="1487"/>
      <c r="S182" s="1444"/>
      <c r="T182" s="1444"/>
      <c r="U182" s="1444"/>
      <c r="V182" s="1488"/>
      <c r="W182" s="1488"/>
      <c r="X182" s="1488"/>
      <c r="Y182" s="1488"/>
      <c r="Z182" s="1488"/>
      <c r="AA182" s="1488"/>
      <c r="AB182" s="1488"/>
      <c r="AC182" s="1488"/>
      <c r="AD182" s="1488"/>
      <c r="AE182" s="1488"/>
      <c r="AF182" s="1488"/>
      <c r="AG182" s="1488"/>
      <c r="AH182" s="1451">
        <f t="shared" si="119"/>
        <v>0</v>
      </c>
      <c r="AI182" s="1488"/>
      <c r="AJ182" s="1488"/>
      <c r="AK182" s="1488"/>
      <c r="AL182" s="1488"/>
      <c r="AM182" s="1488"/>
      <c r="AN182" s="1488"/>
      <c r="AO182" s="1488"/>
      <c r="AP182" s="1488"/>
      <c r="AQ182" s="1488"/>
      <c r="AR182" s="1488"/>
      <c r="AS182" s="1488"/>
      <c r="AT182" s="1542"/>
      <c r="AU182" s="1599">
        <f t="shared" si="120"/>
        <v>0</v>
      </c>
      <c r="AV182" s="1544">
        <f t="shared" si="148"/>
        <v>0</v>
      </c>
      <c r="AW182" s="1452">
        <f t="shared" si="121"/>
        <v>0</v>
      </c>
      <c r="AX182" s="1452">
        <f t="shared" si="122"/>
        <v>0</v>
      </c>
      <c r="AY182" s="1452">
        <f t="shared" si="123"/>
        <v>0</v>
      </c>
      <c r="AZ182" s="1452">
        <f t="shared" si="124"/>
        <v>0</v>
      </c>
      <c r="BA182" s="1452">
        <f t="shared" si="125"/>
        <v>0</v>
      </c>
      <c r="BB182" s="1452">
        <f t="shared" si="126"/>
        <v>0</v>
      </c>
      <c r="BC182" s="1452">
        <f t="shared" si="127"/>
        <v>0</v>
      </c>
      <c r="BD182" s="1452">
        <f t="shared" si="128"/>
        <v>0</v>
      </c>
      <c r="BE182" s="1452">
        <f t="shared" si="129"/>
        <v>0</v>
      </c>
      <c r="BF182" s="1452">
        <f t="shared" si="130"/>
        <v>0</v>
      </c>
      <c r="BG182" s="1452">
        <f t="shared" si="131"/>
        <v>0</v>
      </c>
      <c r="BH182" s="1452">
        <f t="shared" si="132"/>
        <v>0</v>
      </c>
      <c r="BI182" s="1452">
        <f t="shared" si="149"/>
        <v>0</v>
      </c>
      <c r="BJ182" s="1452" t="str">
        <f t="shared" si="133"/>
        <v/>
      </c>
      <c r="BK182" s="1452" t="str">
        <f t="shared" si="134"/>
        <v/>
      </c>
      <c r="BL182" s="1452" t="str">
        <f t="shared" si="135"/>
        <v/>
      </c>
      <c r="BM182" s="1452" t="str">
        <f t="shared" si="136"/>
        <v/>
      </c>
      <c r="BN182" s="1452" t="str">
        <f t="shared" ca="1" si="137"/>
        <v/>
      </c>
      <c r="BO182" s="1452" t="str">
        <f t="shared" si="150"/>
        <v/>
      </c>
      <c r="BP182" s="1452" t="str">
        <f t="shared" si="138"/>
        <v/>
      </c>
      <c r="BQ182" s="1452" t="str">
        <f t="shared" si="139"/>
        <v/>
      </c>
      <c r="BR182" s="1452" t="str">
        <f t="shared" si="140"/>
        <v/>
      </c>
      <c r="BS182" s="1452" t="str">
        <f t="shared" si="141"/>
        <v/>
      </c>
      <c r="BT182" s="1452" t="str">
        <f t="shared" si="142"/>
        <v/>
      </c>
      <c r="BU182" s="1452" t="str">
        <f t="shared" si="143"/>
        <v/>
      </c>
      <c r="BV182" s="1452" t="str">
        <f t="shared" si="144"/>
        <v/>
      </c>
      <c r="BW182" s="1558">
        <f t="shared" ca="1" si="151"/>
        <v>0</v>
      </c>
    </row>
    <row r="183" spans="1:75" s="9" customFormat="1" ht="12.5">
      <c r="A183" s="1483" t="str">
        <f t="shared" si="145"/>
        <v>Public Health Wales Trust</v>
      </c>
      <c r="B183" s="1583"/>
      <c r="C183" s="1583"/>
      <c r="D183" s="1583"/>
      <c r="E183" s="1581"/>
      <c r="F183" s="1436"/>
      <c r="G183" s="1547">
        <f t="shared" si="146"/>
        <v>0</v>
      </c>
      <c r="H183" s="1484"/>
      <c r="I183" s="1547">
        <f t="shared" si="147"/>
        <v>0</v>
      </c>
      <c r="J183" s="1485"/>
      <c r="K183" s="1485"/>
      <c r="L183" s="1436"/>
      <c r="M183" s="1439"/>
      <c r="N183" s="1439"/>
      <c r="O183" s="1485"/>
      <c r="P183" s="1486"/>
      <c r="Q183" s="1486"/>
      <c r="R183" s="1487"/>
      <c r="S183" s="1444"/>
      <c r="T183" s="1444"/>
      <c r="U183" s="1444"/>
      <c r="V183" s="1488"/>
      <c r="W183" s="1488"/>
      <c r="X183" s="1488"/>
      <c r="Y183" s="1488"/>
      <c r="Z183" s="1488"/>
      <c r="AA183" s="1488"/>
      <c r="AB183" s="1488"/>
      <c r="AC183" s="1488"/>
      <c r="AD183" s="1488"/>
      <c r="AE183" s="1488"/>
      <c r="AF183" s="1488"/>
      <c r="AG183" s="1488"/>
      <c r="AH183" s="1451">
        <f t="shared" si="119"/>
        <v>0</v>
      </c>
      <c r="AI183" s="1488"/>
      <c r="AJ183" s="1488"/>
      <c r="AK183" s="1488"/>
      <c r="AL183" s="1488"/>
      <c r="AM183" s="1488"/>
      <c r="AN183" s="1488"/>
      <c r="AO183" s="1488"/>
      <c r="AP183" s="1488"/>
      <c r="AQ183" s="1488"/>
      <c r="AR183" s="1488"/>
      <c r="AS183" s="1488"/>
      <c r="AT183" s="1542"/>
      <c r="AU183" s="1599">
        <f t="shared" si="120"/>
        <v>0</v>
      </c>
      <c r="AV183" s="1544">
        <f t="shared" si="148"/>
        <v>0</v>
      </c>
      <c r="AW183" s="1452">
        <f t="shared" si="121"/>
        <v>0</v>
      </c>
      <c r="AX183" s="1452">
        <f t="shared" si="122"/>
        <v>0</v>
      </c>
      <c r="AY183" s="1452">
        <f t="shared" si="123"/>
        <v>0</v>
      </c>
      <c r="AZ183" s="1452">
        <f t="shared" si="124"/>
        <v>0</v>
      </c>
      <c r="BA183" s="1452">
        <f t="shared" si="125"/>
        <v>0</v>
      </c>
      <c r="BB183" s="1452">
        <f t="shared" si="126"/>
        <v>0</v>
      </c>
      <c r="BC183" s="1452">
        <f t="shared" si="127"/>
        <v>0</v>
      </c>
      <c r="BD183" s="1452">
        <f t="shared" si="128"/>
        <v>0</v>
      </c>
      <c r="BE183" s="1452">
        <f t="shared" si="129"/>
        <v>0</v>
      </c>
      <c r="BF183" s="1452">
        <f t="shared" si="130"/>
        <v>0</v>
      </c>
      <c r="BG183" s="1452">
        <f t="shared" si="131"/>
        <v>0</v>
      </c>
      <c r="BH183" s="1452">
        <f t="shared" si="132"/>
        <v>0</v>
      </c>
      <c r="BI183" s="1452">
        <f t="shared" si="149"/>
        <v>0</v>
      </c>
      <c r="BJ183" s="1452" t="str">
        <f t="shared" si="133"/>
        <v/>
      </c>
      <c r="BK183" s="1452" t="str">
        <f t="shared" si="134"/>
        <v/>
      </c>
      <c r="BL183" s="1452" t="str">
        <f t="shared" si="135"/>
        <v/>
      </c>
      <c r="BM183" s="1452" t="str">
        <f t="shared" si="136"/>
        <v/>
      </c>
      <c r="BN183" s="1452" t="str">
        <f t="shared" ca="1" si="137"/>
        <v/>
      </c>
      <c r="BO183" s="1452" t="str">
        <f t="shared" si="150"/>
        <v/>
      </c>
      <c r="BP183" s="1452" t="str">
        <f t="shared" si="138"/>
        <v/>
      </c>
      <c r="BQ183" s="1452" t="str">
        <f t="shared" si="139"/>
        <v/>
      </c>
      <c r="BR183" s="1452" t="str">
        <f t="shared" si="140"/>
        <v/>
      </c>
      <c r="BS183" s="1452" t="str">
        <f t="shared" si="141"/>
        <v/>
      </c>
      <c r="BT183" s="1452" t="str">
        <f t="shared" si="142"/>
        <v/>
      </c>
      <c r="BU183" s="1452" t="str">
        <f t="shared" si="143"/>
        <v/>
      </c>
      <c r="BV183" s="1452" t="str">
        <f t="shared" si="144"/>
        <v/>
      </c>
      <c r="BW183" s="1558">
        <f t="shared" ca="1" si="151"/>
        <v>0</v>
      </c>
    </row>
    <row r="184" spans="1:75" s="9" customFormat="1" ht="12.5">
      <c r="A184" s="1483" t="str">
        <f t="shared" si="145"/>
        <v>Public Health Wales Trust</v>
      </c>
      <c r="B184" s="1583"/>
      <c r="C184" s="1583"/>
      <c r="D184" s="1583"/>
      <c r="E184" s="1581"/>
      <c r="F184" s="1436"/>
      <c r="G184" s="1547">
        <f t="shared" si="146"/>
        <v>0</v>
      </c>
      <c r="H184" s="1484"/>
      <c r="I184" s="1547">
        <f t="shared" si="147"/>
        <v>0</v>
      </c>
      <c r="J184" s="1485"/>
      <c r="K184" s="1485"/>
      <c r="L184" s="1436"/>
      <c r="M184" s="1439"/>
      <c r="N184" s="1439"/>
      <c r="O184" s="1485"/>
      <c r="P184" s="1486"/>
      <c r="Q184" s="1486"/>
      <c r="R184" s="1487"/>
      <c r="S184" s="1444"/>
      <c r="T184" s="1444"/>
      <c r="U184" s="1444"/>
      <c r="V184" s="1488"/>
      <c r="W184" s="1488"/>
      <c r="X184" s="1488"/>
      <c r="Y184" s="1488"/>
      <c r="Z184" s="1488"/>
      <c r="AA184" s="1488"/>
      <c r="AB184" s="1488"/>
      <c r="AC184" s="1488"/>
      <c r="AD184" s="1488"/>
      <c r="AE184" s="1488"/>
      <c r="AF184" s="1488"/>
      <c r="AG184" s="1488"/>
      <c r="AH184" s="1451">
        <f t="shared" si="119"/>
        <v>0</v>
      </c>
      <c r="AI184" s="1488"/>
      <c r="AJ184" s="1488"/>
      <c r="AK184" s="1488"/>
      <c r="AL184" s="1488"/>
      <c r="AM184" s="1488"/>
      <c r="AN184" s="1488"/>
      <c r="AO184" s="1488"/>
      <c r="AP184" s="1488"/>
      <c r="AQ184" s="1488"/>
      <c r="AR184" s="1488"/>
      <c r="AS184" s="1488"/>
      <c r="AT184" s="1542"/>
      <c r="AU184" s="1599">
        <f t="shared" si="120"/>
        <v>0</v>
      </c>
      <c r="AV184" s="1544">
        <f t="shared" si="148"/>
        <v>0</v>
      </c>
      <c r="AW184" s="1452">
        <f t="shared" si="121"/>
        <v>0</v>
      </c>
      <c r="AX184" s="1452">
        <f t="shared" si="122"/>
        <v>0</v>
      </c>
      <c r="AY184" s="1452">
        <f t="shared" si="123"/>
        <v>0</v>
      </c>
      <c r="AZ184" s="1452">
        <f t="shared" si="124"/>
        <v>0</v>
      </c>
      <c r="BA184" s="1452">
        <f t="shared" si="125"/>
        <v>0</v>
      </c>
      <c r="BB184" s="1452">
        <f t="shared" si="126"/>
        <v>0</v>
      </c>
      <c r="BC184" s="1452">
        <f t="shared" si="127"/>
        <v>0</v>
      </c>
      <c r="BD184" s="1452">
        <f t="shared" si="128"/>
        <v>0</v>
      </c>
      <c r="BE184" s="1452">
        <f t="shared" si="129"/>
        <v>0</v>
      </c>
      <c r="BF184" s="1452">
        <f t="shared" si="130"/>
        <v>0</v>
      </c>
      <c r="BG184" s="1452">
        <f t="shared" si="131"/>
        <v>0</v>
      </c>
      <c r="BH184" s="1452">
        <f t="shared" si="132"/>
        <v>0</v>
      </c>
      <c r="BI184" s="1452">
        <f t="shared" si="149"/>
        <v>0</v>
      </c>
      <c r="BJ184" s="1452" t="str">
        <f t="shared" si="133"/>
        <v/>
      </c>
      <c r="BK184" s="1452" t="str">
        <f t="shared" si="134"/>
        <v/>
      </c>
      <c r="BL184" s="1452" t="str">
        <f t="shared" si="135"/>
        <v/>
      </c>
      <c r="BM184" s="1452" t="str">
        <f t="shared" si="136"/>
        <v/>
      </c>
      <c r="BN184" s="1452" t="str">
        <f t="shared" ca="1" si="137"/>
        <v/>
      </c>
      <c r="BO184" s="1452" t="str">
        <f t="shared" si="150"/>
        <v/>
      </c>
      <c r="BP184" s="1452" t="str">
        <f t="shared" si="138"/>
        <v/>
      </c>
      <c r="BQ184" s="1452" t="str">
        <f t="shared" si="139"/>
        <v/>
      </c>
      <c r="BR184" s="1452" t="str">
        <f t="shared" si="140"/>
        <v/>
      </c>
      <c r="BS184" s="1452" t="str">
        <f t="shared" si="141"/>
        <v/>
      </c>
      <c r="BT184" s="1452" t="str">
        <f t="shared" si="142"/>
        <v/>
      </c>
      <c r="BU184" s="1452" t="str">
        <f t="shared" si="143"/>
        <v/>
      </c>
      <c r="BV184" s="1452" t="str">
        <f t="shared" si="144"/>
        <v/>
      </c>
      <c r="BW184" s="1558">
        <f t="shared" ca="1" si="151"/>
        <v>0</v>
      </c>
    </row>
    <row r="185" spans="1:75" s="9" customFormat="1" ht="12.5">
      <c r="A185" s="1483" t="str">
        <f t="shared" si="145"/>
        <v>Public Health Wales Trust</v>
      </c>
      <c r="B185" s="1583"/>
      <c r="C185" s="1583"/>
      <c r="D185" s="1583"/>
      <c r="E185" s="1581"/>
      <c r="F185" s="1436"/>
      <c r="G185" s="1547">
        <f t="shared" si="146"/>
        <v>0</v>
      </c>
      <c r="H185" s="1484"/>
      <c r="I185" s="1547">
        <f t="shared" si="147"/>
        <v>0</v>
      </c>
      <c r="J185" s="1485"/>
      <c r="K185" s="1485"/>
      <c r="L185" s="1436"/>
      <c r="M185" s="1439"/>
      <c r="N185" s="1439"/>
      <c r="O185" s="1485"/>
      <c r="P185" s="1486"/>
      <c r="Q185" s="1486"/>
      <c r="R185" s="1487"/>
      <c r="S185" s="1444"/>
      <c r="T185" s="1444"/>
      <c r="U185" s="1444"/>
      <c r="V185" s="1488"/>
      <c r="W185" s="1488"/>
      <c r="X185" s="1488"/>
      <c r="Y185" s="1488"/>
      <c r="Z185" s="1488"/>
      <c r="AA185" s="1488"/>
      <c r="AB185" s="1488"/>
      <c r="AC185" s="1488"/>
      <c r="AD185" s="1488"/>
      <c r="AE185" s="1488"/>
      <c r="AF185" s="1488"/>
      <c r="AG185" s="1488"/>
      <c r="AH185" s="1451">
        <f t="shared" si="119"/>
        <v>0</v>
      </c>
      <c r="AI185" s="1488"/>
      <c r="AJ185" s="1488"/>
      <c r="AK185" s="1488"/>
      <c r="AL185" s="1488"/>
      <c r="AM185" s="1488"/>
      <c r="AN185" s="1488"/>
      <c r="AO185" s="1488"/>
      <c r="AP185" s="1488"/>
      <c r="AQ185" s="1488"/>
      <c r="AR185" s="1488"/>
      <c r="AS185" s="1488"/>
      <c r="AT185" s="1542"/>
      <c r="AU185" s="1599">
        <f t="shared" si="120"/>
        <v>0</v>
      </c>
      <c r="AV185" s="1544">
        <f t="shared" si="148"/>
        <v>0</v>
      </c>
      <c r="AW185" s="1452">
        <f t="shared" si="121"/>
        <v>0</v>
      </c>
      <c r="AX185" s="1452">
        <f t="shared" si="122"/>
        <v>0</v>
      </c>
      <c r="AY185" s="1452">
        <f t="shared" si="123"/>
        <v>0</v>
      </c>
      <c r="AZ185" s="1452">
        <f t="shared" si="124"/>
        <v>0</v>
      </c>
      <c r="BA185" s="1452">
        <f t="shared" si="125"/>
        <v>0</v>
      </c>
      <c r="BB185" s="1452">
        <f t="shared" si="126"/>
        <v>0</v>
      </c>
      <c r="BC185" s="1452">
        <f t="shared" si="127"/>
        <v>0</v>
      </c>
      <c r="BD185" s="1452">
        <f t="shared" si="128"/>
        <v>0</v>
      </c>
      <c r="BE185" s="1452">
        <f t="shared" si="129"/>
        <v>0</v>
      </c>
      <c r="BF185" s="1452">
        <f t="shared" si="130"/>
        <v>0</v>
      </c>
      <c r="BG185" s="1452">
        <f t="shared" si="131"/>
        <v>0</v>
      </c>
      <c r="BH185" s="1452">
        <f t="shared" si="132"/>
        <v>0</v>
      </c>
      <c r="BI185" s="1452">
        <f t="shared" si="149"/>
        <v>0</v>
      </c>
      <c r="BJ185" s="1452" t="str">
        <f t="shared" si="133"/>
        <v/>
      </c>
      <c r="BK185" s="1452" t="str">
        <f t="shared" si="134"/>
        <v/>
      </c>
      <c r="BL185" s="1452" t="str">
        <f t="shared" si="135"/>
        <v/>
      </c>
      <c r="BM185" s="1452" t="str">
        <f t="shared" si="136"/>
        <v/>
      </c>
      <c r="BN185" s="1452" t="str">
        <f t="shared" ca="1" si="137"/>
        <v/>
      </c>
      <c r="BO185" s="1452" t="str">
        <f t="shared" si="150"/>
        <v/>
      </c>
      <c r="BP185" s="1452" t="str">
        <f t="shared" si="138"/>
        <v/>
      </c>
      <c r="BQ185" s="1452" t="str">
        <f t="shared" si="139"/>
        <v/>
      </c>
      <c r="BR185" s="1452" t="str">
        <f t="shared" si="140"/>
        <v/>
      </c>
      <c r="BS185" s="1452" t="str">
        <f t="shared" si="141"/>
        <v/>
      </c>
      <c r="BT185" s="1452" t="str">
        <f t="shared" si="142"/>
        <v/>
      </c>
      <c r="BU185" s="1452" t="str">
        <f t="shared" si="143"/>
        <v/>
      </c>
      <c r="BV185" s="1452" t="str">
        <f t="shared" si="144"/>
        <v/>
      </c>
      <c r="BW185" s="1558">
        <f t="shared" ca="1" si="151"/>
        <v>0</v>
      </c>
    </row>
    <row r="186" spans="1:75" s="9" customFormat="1" ht="12.5">
      <c r="A186" s="1483" t="str">
        <f t="shared" si="145"/>
        <v>Public Health Wales Trust</v>
      </c>
      <c r="B186" s="1583"/>
      <c r="C186" s="1583"/>
      <c r="D186" s="1583"/>
      <c r="E186" s="1581"/>
      <c r="F186" s="1436"/>
      <c r="G186" s="1547">
        <f t="shared" si="146"/>
        <v>0</v>
      </c>
      <c r="H186" s="1484"/>
      <c r="I186" s="1547">
        <f t="shared" si="147"/>
        <v>0</v>
      </c>
      <c r="J186" s="1485"/>
      <c r="K186" s="1485"/>
      <c r="L186" s="1436"/>
      <c r="M186" s="1439"/>
      <c r="N186" s="1439"/>
      <c r="O186" s="1485"/>
      <c r="P186" s="1486"/>
      <c r="Q186" s="1486"/>
      <c r="R186" s="1487"/>
      <c r="S186" s="1444"/>
      <c r="T186" s="1444"/>
      <c r="U186" s="1444"/>
      <c r="V186" s="1488"/>
      <c r="W186" s="1488"/>
      <c r="X186" s="1488"/>
      <c r="Y186" s="1488"/>
      <c r="Z186" s="1488"/>
      <c r="AA186" s="1488"/>
      <c r="AB186" s="1488"/>
      <c r="AC186" s="1488"/>
      <c r="AD186" s="1488"/>
      <c r="AE186" s="1488"/>
      <c r="AF186" s="1488"/>
      <c r="AG186" s="1488"/>
      <c r="AH186" s="1451">
        <f t="shared" si="119"/>
        <v>0</v>
      </c>
      <c r="AI186" s="1488"/>
      <c r="AJ186" s="1488"/>
      <c r="AK186" s="1488"/>
      <c r="AL186" s="1488"/>
      <c r="AM186" s="1488"/>
      <c r="AN186" s="1488"/>
      <c r="AO186" s="1488"/>
      <c r="AP186" s="1488"/>
      <c r="AQ186" s="1488"/>
      <c r="AR186" s="1488"/>
      <c r="AS186" s="1488"/>
      <c r="AT186" s="1542"/>
      <c r="AU186" s="1599">
        <f t="shared" si="120"/>
        <v>0</v>
      </c>
      <c r="AV186" s="1544">
        <f t="shared" si="148"/>
        <v>0</v>
      </c>
      <c r="AW186" s="1452">
        <f t="shared" si="121"/>
        <v>0</v>
      </c>
      <c r="AX186" s="1452">
        <f t="shared" si="122"/>
        <v>0</v>
      </c>
      <c r="AY186" s="1452">
        <f t="shared" si="123"/>
        <v>0</v>
      </c>
      <c r="AZ186" s="1452">
        <f t="shared" si="124"/>
        <v>0</v>
      </c>
      <c r="BA186" s="1452">
        <f t="shared" si="125"/>
        <v>0</v>
      </c>
      <c r="BB186" s="1452">
        <f t="shared" si="126"/>
        <v>0</v>
      </c>
      <c r="BC186" s="1452">
        <f t="shared" si="127"/>
        <v>0</v>
      </c>
      <c r="BD186" s="1452">
        <f t="shared" si="128"/>
        <v>0</v>
      </c>
      <c r="BE186" s="1452">
        <f t="shared" si="129"/>
        <v>0</v>
      </c>
      <c r="BF186" s="1452">
        <f t="shared" si="130"/>
        <v>0</v>
      </c>
      <c r="BG186" s="1452">
        <f t="shared" si="131"/>
        <v>0</v>
      </c>
      <c r="BH186" s="1452">
        <f t="shared" si="132"/>
        <v>0</v>
      </c>
      <c r="BI186" s="1452">
        <f t="shared" si="149"/>
        <v>0</v>
      </c>
      <c r="BJ186" s="1452" t="str">
        <f t="shared" si="133"/>
        <v/>
      </c>
      <c r="BK186" s="1452" t="str">
        <f t="shared" si="134"/>
        <v/>
      </c>
      <c r="BL186" s="1452" t="str">
        <f t="shared" si="135"/>
        <v/>
      </c>
      <c r="BM186" s="1452" t="str">
        <f t="shared" si="136"/>
        <v/>
      </c>
      <c r="BN186" s="1452" t="str">
        <f t="shared" ca="1" si="137"/>
        <v/>
      </c>
      <c r="BO186" s="1452" t="str">
        <f t="shared" si="150"/>
        <v/>
      </c>
      <c r="BP186" s="1452" t="str">
        <f t="shared" si="138"/>
        <v/>
      </c>
      <c r="BQ186" s="1452" t="str">
        <f t="shared" si="139"/>
        <v/>
      </c>
      <c r="BR186" s="1452" t="str">
        <f t="shared" si="140"/>
        <v/>
      </c>
      <c r="BS186" s="1452" t="str">
        <f t="shared" si="141"/>
        <v/>
      </c>
      <c r="BT186" s="1452" t="str">
        <f t="shared" si="142"/>
        <v/>
      </c>
      <c r="BU186" s="1452" t="str">
        <f t="shared" si="143"/>
        <v/>
      </c>
      <c r="BV186" s="1452" t="str">
        <f t="shared" si="144"/>
        <v/>
      </c>
      <c r="BW186" s="1558">
        <f t="shared" ca="1" si="151"/>
        <v>0</v>
      </c>
    </row>
    <row r="187" spans="1:75" s="9" customFormat="1" ht="12.5">
      <c r="A187" s="1483" t="str">
        <f t="shared" si="145"/>
        <v>Public Health Wales Trust</v>
      </c>
      <c r="B187" s="1583"/>
      <c r="C187" s="1583"/>
      <c r="D187" s="1583"/>
      <c r="E187" s="1581"/>
      <c r="F187" s="1436"/>
      <c r="G187" s="1547">
        <f t="shared" si="146"/>
        <v>0</v>
      </c>
      <c r="H187" s="1484"/>
      <c r="I187" s="1547">
        <f t="shared" si="147"/>
        <v>0</v>
      </c>
      <c r="J187" s="1485"/>
      <c r="K187" s="1485"/>
      <c r="L187" s="1436"/>
      <c r="M187" s="1439"/>
      <c r="N187" s="1439"/>
      <c r="O187" s="1485"/>
      <c r="P187" s="1486"/>
      <c r="Q187" s="1486"/>
      <c r="R187" s="1487"/>
      <c r="S187" s="1444"/>
      <c r="T187" s="1444"/>
      <c r="U187" s="1444"/>
      <c r="V187" s="1488"/>
      <c r="W187" s="1488"/>
      <c r="X187" s="1488"/>
      <c r="Y187" s="1488"/>
      <c r="Z187" s="1488"/>
      <c r="AA187" s="1488"/>
      <c r="AB187" s="1488"/>
      <c r="AC187" s="1488"/>
      <c r="AD187" s="1488"/>
      <c r="AE187" s="1488"/>
      <c r="AF187" s="1488"/>
      <c r="AG187" s="1488"/>
      <c r="AH187" s="1451">
        <f t="shared" si="119"/>
        <v>0</v>
      </c>
      <c r="AI187" s="1488"/>
      <c r="AJ187" s="1488"/>
      <c r="AK187" s="1488"/>
      <c r="AL187" s="1488"/>
      <c r="AM187" s="1488"/>
      <c r="AN187" s="1488"/>
      <c r="AO187" s="1488"/>
      <c r="AP187" s="1488"/>
      <c r="AQ187" s="1488"/>
      <c r="AR187" s="1488"/>
      <c r="AS187" s="1488"/>
      <c r="AT187" s="1542"/>
      <c r="AU187" s="1599">
        <f t="shared" si="120"/>
        <v>0</v>
      </c>
      <c r="AV187" s="1544">
        <f t="shared" si="148"/>
        <v>0</v>
      </c>
      <c r="AW187" s="1452">
        <f t="shared" si="121"/>
        <v>0</v>
      </c>
      <c r="AX187" s="1452">
        <f t="shared" si="122"/>
        <v>0</v>
      </c>
      <c r="AY187" s="1452">
        <f t="shared" si="123"/>
        <v>0</v>
      </c>
      <c r="AZ187" s="1452">
        <f t="shared" si="124"/>
        <v>0</v>
      </c>
      <c r="BA187" s="1452">
        <f t="shared" si="125"/>
        <v>0</v>
      </c>
      <c r="BB187" s="1452">
        <f t="shared" si="126"/>
        <v>0</v>
      </c>
      <c r="BC187" s="1452">
        <f t="shared" si="127"/>
        <v>0</v>
      </c>
      <c r="BD187" s="1452">
        <f t="shared" si="128"/>
        <v>0</v>
      </c>
      <c r="BE187" s="1452">
        <f t="shared" si="129"/>
        <v>0</v>
      </c>
      <c r="BF187" s="1452">
        <f t="shared" si="130"/>
        <v>0</v>
      </c>
      <c r="BG187" s="1452">
        <f t="shared" si="131"/>
        <v>0</v>
      </c>
      <c r="BH187" s="1452">
        <f t="shared" si="132"/>
        <v>0</v>
      </c>
      <c r="BI187" s="1452">
        <f t="shared" si="149"/>
        <v>0</v>
      </c>
      <c r="BJ187" s="1452" t="str">
        <f t="shared" si="133"/>
        <v/>
      </c>
      <c r="BK187" s="1452" t="str">
        <f t="shared" si="134"/>
        <v/>
      </c>
      <c r="BL187" s="1452" t="str">
        <f t="shared" si="135"/>
        <v/>
      </c>
      <c r="BM187" s="1452" t="str">
        <f t="shared" si="136"/>
        <v/>
      </c>
      <c r="BN187" s="1452" t="str">
        <f t="shared" ca="1" si="137"/>
        <v/>
      </c>
      <c r="BO187" s="1452" t="str">
        <f t="shared" si="150"/>
        <v/>
      </c>
      <c r="BP187" s="1452" t="str">
        <f t="shared" si="138"/>
        <v/>
      </c>
      <c r="BQ187" s="1452" t="str">
        <f t="shared" si="139"/>
        <v/>
      </c>
      <c r="BR187" s="1452" t="str">
        <f t="shared" si="140"/>
        <v/>
      </c>
      <c r="BS187" s="1452" t="str">
        <f t="shared" si="141"/>
        <v/>
      </c>
      <c r="BT187" s="1452" t="str">
        <f t="shared" si="142"/>
        <v/>
      </c>
      <c r="BU187" s="1452" t="str">
        <f t="shared" si="143"/>
        <v/>
      </c>
      <c r="BV187" s="1452" t="str">
        <f t="shared" si="144"/>
        <v/>
      </c>
      <c r="BW187" s="1558">
        <f t="shared" ca="1" si="151"/>
        <v>0</v>
      </c>
    </row>
    <row r="188" spans="1:75" s="9" customFormat="1" ht="12.5">
      <c r="A188" s="1483" t="str">
        <f t="shared" si="145"/>
        <v>Public Health Wales Trust</v>
      </c>
      <c r="B188" s="1583"/>
      <c r="C188" s="1583"/>
      <c r="D188" s="1583"/>
      <c r="E188" s="1581"/>
      <c r="F188" s="1436"/>
      <c r="G188" s="1547">
        <f t="shared" si="146"/>
        <v>0</v>
      </c>
      <c r="H188" s="1484"/>
      <c r="I188" s="1547">
        <f t="shared" si="147"/>
        <v>0</v>
      </c>
      <c r="J188" s="1485"/>
      <c r="K188" s="1485"/>
      <c r="L188" s="1436"/>
      <c r="M188" s="1439"/>
      <c r="N188" s="1439"/>
      <c r="O188" s="1485"/>
      <c r="P188" s="1486"/>
      <c r="Q188" s="1486"/>
      <c r="R188" s="1487"/>
      <c r="S188" s="1444"/>
      <c r="T188" s="1444"/>
      <c r="U188" s="1444"/>
      <c r="V188" s="1488"/>
      <c r="W188" s="1488"/>
      <c r="X188" s="1488"/>
      <c r="Y188" s="1488"/>
      <c r="Z188" s="1488"/>
      <c r="AA188" s="1488"/>
      <c r="AB188" s="1488"/>
      <c r="AC188" s="1488"/>
      <c r="AD188" s="1488"/>
      <c r="AE188" s="1488"/>
      <c r="AF188" s="1488"/>
      <c r="AG188" s="1488"/>
      <c r="AH188" s="1451">
        <f t="shared" si="119"/>
        <v>0</v>
      </c>
      <c r="AI188" s="1488"/>
      <c r="AJ188" s="1488"/>
      <c r="AK188" s="1488"/>
      <c r="AL188" s="1488"/>
      <c r="AM188" s="1488"/>
      <c r="AN188" s="1488"/>
      <c r="AO188" s="1488"/>
      <c r="AP188" s="1488"/>
      <c r="AQ188" s="1488"/>
      <c r="AR188" s="1488"/>
      <c r="AS188" s="1488"/>
      <c r="AT188" s="1542"/>
      <c r="AU188" s="1599">
        <f t="shared" si="120"/>
        <v>0</v>
      </c>
      <c r="AV188" s="1544">
        <f t="shared" si="148"/>
        <v>0</v>
      </c>
      <c r="AW188" s="1452">
        <f t="shared" si="121"/>
        <v>0</v>
      </c>
      <c r="AX188" s="1452">
        <f t="shared" si="122"/>
        <v>0</v>
      </c>
      <c r="AY188" s="1452">
        <f t="shared" si="123"/>
        <v>0</v>
      </c>
      <c r="AZ188" s="1452">
        <f t="shared" si="124"/>
        <v>0</v>
      </c>
      <c r="BA188" s="1452">
        <f t="shared" si="125"/>
        <v>0</v>
      </c>
      <c r="BB188" s="1452">
        <f t="shared" si="126"/>
        <v>0</v>
      </c>
      <c r="BC188" s="1452">
        <f t="shared" si="127"/>
        <v>0</v>
      </c>
      <c r="BD188" s="1452">
        <f t="shared" si="128"/>
        <v>0</v>
      </c>
      <c r="BE188" s="1452">
        <f t="shared" si="129"/>
        <v>0</v>
      </c>
      <c r="BF188" s="1452">
        <f t="shared" si="130"/>
        <v>0</v>
      </c>
      <c r="BG188" s="1452">
        <f t="shared" si="131"/>
        <v>0</v>
      </c>
      <c r="BH188" s="1452">
        <f t="shared" si="132"/>
        <v>0</v>
      </c>
      <c r="BI188" s="1452">
        <f t="shared" si="149"/>
        <v>0</v>
      </c>
      <c r="BJ188" s="1452" t="str">
        <f t="shared" si="133"/>
        <v/>
      </c>
      <c r="BK188" s="1452" t="str">
        <f t="shared" si="134"/>
        <v/>
      </c>
      <c r="BL188" s="1452" t="str">
        <f t="shared" si="135"/>
        <v/>
      </c>
      <c r="BM188" s="1452" t="str">
        <f t="shared" si="136"/>
        <v/>
      </c>
      <c r="BN188" s="1452" t="str">
        <f t="shared" ca="1" si="137"/>
        <v/>
      </c>
      <c r="BO188" s="1452" t="str">
        <f t="shared" si="150"/>
        <v/>
      </c>
      <c r="BP188" s="1452" t="str">
        <f t="shared" si="138"/>
        <v/>
      </c>
      <c r="BQ188" s="1452" t="str">
        <f t="shared" si="139"/>
        <v/>
      </c>
      <c r="BR188" s="1452" t="str">
        <f t="shared" si="140"/>
        <v/>
      </c>
      <c r="BS188" s="1452" t="str">
        <f t="shared" si="141"/>
        <v/>
      </c>
      <c r="BT188" s="1452" t="str">
        <f t="shared" si="142"/>
        <v/>
      </c>
      <c r="BU188" s="1452" t="str">
        <f t="shared" si="143"/>
        <v/>
      </c>
      <c r="BV188" s="1452" t="str">
        <f t="shared" si="144"/>
        <v/>
      </c>
      <c r="BW188" s="1558">
        <f t="shared" ca="1" si="151"/>
        <v>0</v>
      </c>
    </row>
    <row r="189" spans="1:75" s="9" customFormat="1" ht="12.5">
      <c r="A189" s="1483" t="str">
        <f t="shared" si="145"/>
        <v>Public Health Wales Trust</v>
      </c>
      <c r="B189" s="1583"/>
      <c r="C189" s="1583"/>
      <c r="D189" s="1583"/>
      <c r="E189" s="1581"/>
      <c r="F189" s="1436"/>
      <c r="G189" s="1547">
        <f t="shared" si="146"/>
        <v>0</v>
      </c>
      <c r="H189" s="1484"/>
      <c r="I189" s="1547">
        <f t="shared" si="147"/>
        <v>0</v>
      </c>
      <c r="J189" s="1485"/>
      <c r="K189" s="1485"/>
      <c r="L189" s="1436"/>
      <c r="M189" s="1439"/>
      <c r="N189" s="1439"/>
      <c r="O189" s="1485"/>
      <c r="P189" s="1486"/>
      <c r="Q189" s="1486"/>
      <c r="R189" s="1487"/>
      <c r="S189" s="1444"/>
      <c r="T189" s="1444"/>
      <c r="U189" s="1444"/>
      <c r="V189" s="1488"/>
      <c r="W189" s="1488"/>
      <c r="X189" s="1488"/>
      <c r="Y189" s="1488"/>
      <c r="Z189" s="1488"/>
      <c r="AA189" s="1488"/>
      <c r="AB189" s="1488"/>
      <c r="AC189" s="1488"/>
      <c r="AD189" s="1488"/>
      <c r="AE189" s="1488"/>
      <c r="AF189" s="1488"/>
      <c r="AG189" s="1488"/>
      <c r="AH189" s="1451">
        <f t="shared" si="119"/>
        <v>0</v>
      </c>
      <c r="AI189" s="1488"/>
      <c r="AJ189" s="1488"/>
      <c r="AK189" s="1488"/>
      <c r="AL189" s="1488"/>
      <c r="AM189" s="1488"/>
      <c r="AN189" s="1488"/>
      <c r="AO189" s="1488"/>
      <c r="AP189" s="1488"/>
      <c r="AQ189" s="1488"/>
      <c r="AR189" s="1488"/>
      <c r="AS189" s="1488"/>
      <c r="AT189" s="1542"/>
      <c r="AU189" s="1599">
        <f t="shared" si="120"/>
        <v>0</v>
      </c>
      <c r="AV189" s="1544">
        <f t="shared" si="148"/>
        <v>0</v>
      </c>
      <c r="AW189" s="1452">
        <f t="shared" si="121"/>
        <v>0</v>
      </c>
      <c r="AX189" s="1452">
        <f t="shared" si="122"/>
        <v>0</v>
      </c>
      <c r="AY189" s="1452">
        <f t="shared" si="123"/>
        <v>0</v>
      </c>
      <c r="AZ189" s="1452">
        <f t="shared" si="124"/>
        <v>0</v>
      </c>
      <c r="BA189" s="1452">
        <f t="shared" si="125"/>
        <v>0</v>
      </c>
      <c r="BB189" s="1452">
        <f t="shared" si="126"/>
        <v>0</v>
      </c>
      <c r="BC189" s="1452">
        <f t="shared" si="127"/>
        <v>0</v>
      </c>
      <c r="BD189" s="1452">
        <f t="shared" si="128"/>
        <v>0</v>
      </c>
      <c r="BE189" s="1452">
        <f t="shared" si="129"/>
        <v>0</v>
      </c>
      <c r="BF189" s="1452">
        <f t="shared" si="130"/>
        <v>0</v>
      </c>
      <c r="BG189" s="1452">
        <f t="shared" si="131"/>
        <v>0</v>
      </c>
      <c r="BH189" s="1452">
        <f t="shared" si="132"/>
        <v>0</v>
      </c>
      <c r="BI189" s="1452">
        <f t="shared" si="149"/>
        <v>0</v>
      </c>
      <c r="BJ189" s="1452" t="str">
        <f t="shared" si="133"/>
        <v/>
      </c>
      <c r="BK189" s="1452" t="str">
        <f t="shared" si="134"/>
        <v/>
      </c>
      <c r="BL189" s="1452" t="str">
        <f t="shared" si="135"/>
        <v/>
      </c>
      <c r="BM189" s="1452" t="str">
        <f t="shared" si="136"/>
        <v/>
      </c>
      <c r="BN189" s="1452" t="str">
        <f t="shared" ca="1" si="137"/>
        <v/>
      </c>
      <c r="BO189" s="1452" t="str">
        <f t="shared" si="150"/>
        <v/>
      </c>
      <c r="BP189" s="1452" t="str">
        <f t="shared" si="138"/>
        <v/>
      </c>
      <c r="BQ189" s="1452" t="str">
        <f t="shared" si="139"/>
        <v/>
      </c>
      <c r="BR189" s="1452" t="str">
        <f t="shared" si="140"/>
        <v/>
      </c>
      <c r="BS189" s="1452" t="str">
        <f t="shared" si="141"/>
        <v/>
      </c>
      <c r="BT189" s="1452" t="str">
        <f t="shared" si="142"/>
        <v/>
      </c>
      <c r="BU189" s="1452" t="str">
        <f t="shared" si="143"/>
        <v/>
      </c>
      <c r="BV189" s="1452" t="str">
        <f t="shared" si="144"/>
        <v/>
      </c>
      <c r="BW189" s="1558">
        <f t="shared" ca="1" si="151"/>
        <v>0</v>
      </c>
    </row>
    <row r="190" spans="1:75" s="9" customFormat="1" ht="12.5">
      <c r="A190" s="1483" t="str">
        <f t="shared" si="145"/>
        <v>Public Health Wales Trust</v>
      </c>
      <c r="B190" s="1583"/>
      <c r="C190" s="1583"/>
      <c r="D190" s="1583"/>
      <c r="E190" s="1581"/>
      <c r="F190" s="1436"/>
      <c r="G190" s="1547">
        <f t="shared" si="146"/>
        <v>0</v>
      </c>
      <c r="H190" s="1484"/>
      <c r="I190" s="1547">
        <f t="shared" si="147"/>
        <v>0</v>
      </c>
      <c r="J190" s="1485"/>
      <c r="K190" s="1485"/>
      <c r="L190" s="1436"/>
      <c r="M190" s="1439"/>
      <c r="N190" s="1439"/>
      <c r="O190" s="1485"/>
      <c r="P190" s="1486"/>
      <c r="Q190" s="1486"/>
      <c r="R190" s="1487"/>
      <c r="S190" s="1444"/>
      <c r="T190" s="1444"/>
      <c r="U190" s="1444"/>
      <c r="V190" s="1488"/>
      <c r="W190" s="1488"/>
      <c r="X190" s="1488"/>
      <c r="Y190" s="1488"/>
      <c r="Z190" s="1488"/>
      <c r="AA190" s="1488"/>
      <c r="AB190" s="1488"/>
      <c r="AC190" s="1488"/>
      <c r="AD190" s="1488"/>
      <c r="AE190" s="1488"/>
      <c r="AF190" s="1488"/>
      <c r="AG190" s="1488"/>
      <c r="AH190" s="1451">
        <f t="shared" si="119"/>
        <v>0</v>
      </c>
      <c r="AI190" s="1488"/>
      <c r="AJ190" s="1488"/>
      <c r="AK190" s="1488"/>
      <c r="AL190" s="1488"/>
      <c r="AM190" s="1488"/>
      <c r="AN190" s="1488"/>
      <c r="AO190" s="1488"/>
      <c r="AP190" s="1488"/>
      <c r="AQ190" s="1488"/>
      <c r="AR190" s="1488"/>
      <c r="AS190" s="1488"/>
      <c r="AT190" s="1542"/>
      <c r="AU190" s="1599">
        <f t="shared" si="120"/>
        <v>0</v>
      </c>
      <c r="AV190" s="1544">
        <f t="shared" si="148"/>
        <v>0</v>
      </c>
      <c r="AW190" s="1452">
        <f t="shared" si="121"/>
        <v>0</v>
      </c>
      <c r="AX190" s="1452">
        <f t="shared" si="122"/>
        <v>0</v>
      </c>
      <c r="AY190" s="1452">
        <f t="shared" si="123"/>
        <v>0</v>
      </c>
      <c r="AZ190" s="1452">
        <f t="shared" si="124"/>
        <v>0</v>
      </c>
      <c r="BA190" s="1452">
        <f t="shared" si="125"/>
        <v>0</v>
      </c>
      <c r="BB190" s="1452">
        <f t="shared" si="126"/>
        <v>0</v>
      </c>
      <c r="BC190" s="1452">
        <f t="shared" si="127"/>
        <v>0</v>
      </c>
      <c r="BD190" s="1452">
        <f t="shared" si="128"/>
        <v>0</v>
      </c>
      <c r="BE190" s="1452">
        <f t="shared" si="129"/>
        <v>0</v>
      </c>
      <c r="BF190" s="1452">
        <f t="shared" si="130"/>
        <v>0</v>
      </c>
      <c r="BG190" s="1452">
        <f t="shared" si="131"/>
        <v>0</v>
      </c>
      <c r="BH190" s="1452">
        <f t="shared" si="132"/>
        <v>0</v>
      </c>
      <c r="BI190" s="1452">
        <f t="shared" si="149"/>
        <v>0</v>
      </c>
      <c r="BJ190" s="1452" t="str">
        <f t="shared" si="133"/>
        <v/>
      </c>
      <c r="BK190" s="1452" t="str">
        <f t="shared" si="134"/>
        <v/>
      </c>
      <c r="BL190" s="1452" t="str">
        <f t="shared" si="135"/>
        <v/>
      </c>
      <c r="BM190" s="1452" t="str">
        <f t="shared" si="136"/>
        <v/>
      </c>
      <c r="BN190" s="1452" t="str">
        <f t="shared" ca="1" si="137"/>
        <v/>
      </c>
      <c r="BO190" s="1452" t="str">
        <f t="shared" si="150"/>
        <v/>
      </c>
      <c r="BP190" s="1452" t="str">
        <f t="shared" si="138"/>
        <v/>
      </c>
      <c r="BQ190" s="1452" t="str">
        <f t="shared" si="139"/>
        <v/>
      </c>
      <c r="BR190" s="1452" t="str">
        <f t="shared" si="140"/>
        <v/>
      </c>
      <c r="BS190" s="1452" t="str">
        <f t="shared" si="141"/>
        <v/>
      </c>
      <c r="BT190" s="1452" t="str">
        <f t="shared" si="142"/>
        <v/>
      </c>
      <c r="BU190" s="1452" t="str">
        <f t="shared" si="143"/>
        <v/>
      </c>
      <c r="BV190" s="1452" t="str">
        <f t="shared" si="144"/>
        <v/>
      </c>
      <c r="BW190" s="1558">
        <f t="shared" ca="1" si="151"/>
        <v>0</v>
      </c>
    </row>
    <row r="191" spans="1:75" s="9" customFormat="1" ht="12.5">
      <c r="A191" s="1483" t="str">
        <f t="shared" si="145"/>
        <v>Public Health Wales Trust</v>
      </c>
      <c r="B191" s="1583"/>
      <c r="C191" s="1583"/>
      <c r="D191" s="1583"/>
      <c r="E191" s="1581"/>
      <c r="F191" s="1436"/>
      <c r="G191" s="1547">
        <f t="shared" si="146"/>
        <v>0</v>
      </c>
      <c r="H191" s="1484"/>
      <c r="I191" s="1547">
        <f t="shared" si="147"/>
        <v>0</v>
      </c>
      <c r="J191" s="1485"/>
      <c r="K191" s="1485"/>
      <c r="L191" s="1436"/>
      <c r="M191" s="1439"/>
      <c r="N191" s="1439"/>
      <c r="O191" s="1485"/>
      <c r="P191" s="1486"/>
      <c r="Q191" s="1486"/>
      <c r="R191" s="1487"/>
      <c r="S191" s="1444"/>
      <c r="T191" s="1444"/>
      <c r="U191" s="1444"/>
      <c r="V191" s="1488"/>
      <c r="W191" s="1488"/>
      <c r="X191" s="1488"/>
      <c r="Y191" s="1488"/>
      <c r="Z191" s="1488"/>
      <c r="AA191" s="1488"/>
      <c r="AB191" s="1488"/>
      <c r="AC191" s="1488"/>
      <c r="AD191" s="1488"/>
      <c r="AE191" s="1488"/>
      <c r="AF191" s="1488"/>
      <c r="AG191" s="1488"/>
      <c r="AH191" s="1451">
        <f t="shared" si="119"/>
        <v>0</v>
      </c>
      <c r="AI191" s="1488"/>
      <c r="AJ191" s="1488"/>
      <c r="AK191" s="1488"/>
      <c r="AL191" s="1488"/>
      <c r="AM191" s="1488"/>
      <c r="AN191" s="1488"/>
      <c r="AO191" s="1488"/>
      <c r="AP191" s="1488"/>
      <c r="AQ191" s="1488"/>
      <c r="AR191" s="1488"/>
      <c r="AS191" s="1488"/>
      <c r="AT191" s="1542"/>
      <c r="AU191" s="1599">
        <f t="shared" si="120"/>
        <v>0</v>
      </c>
      <c r="AV191" s="1544">
        <f t="shared" si="148"/>
        <v>0</v>
      </c>
      <c r="AW191" s="1452">
        <f t="shared" si="121"/>
        <v>0</v>
      </c>
      <c r="AX191" s="1452">
        <f t="shared" si="122"/>
        <v>0</v>
      </c>
      <c r="AY191" s="1452">
        <f t="shared" si="123"/>
        <v>0</v>
      </c>
      <c r="AZ191" s="1452">
        <f t="shared" si="124"/>
        <v>0</v>
      </c>
      <c r="BA191" s="1452">
        <f t="shared" si="125"/>
        <v>0</v>
      </c>
      <c r="BB191" s="1452">
        <f t="shared" si="126"/>
        <v>0</v>
      </c>
      <c r="BC191" s="1452">
        <f t="shared" si="127"/>
        <v>0</v>
      </c>
      <c r="BD191" s="1452">
        <f t="shared" si="128"/>
        <v>0</v>
      </c>
      <c r="BE191" s="1452">
        <f t="shared" si="129"/>
        <v>0</v>
      </c>
      <c r="BF191" s="1452">
        <f t="shared" si="130"/>
        <v>0</v>
      </c>
      <c r="BG191" s="1452">
        <f t="shared" si="131"/>
        <v>0</v>
      </c>
      <c r="BH191" s="1452">
        <f t="shared" si="132"/>
        <v>0</v>
      </c>
      <c r="BI191" s="1452">
        <f t="shared" si="149"/>
        <v>0</v>
      </c>
      <c r="BJ191" s="1452" t="str">
        <f t="shared" si="133"/>
        <v/>
      </c>
      <c r="BK191" s="1452" t="str">
        <f t="shared" si="134"/>
        <v/>
      </c>
      <c r="BL191" s="1452" t="str">
        <f t="shared" si="135"/>
        <v/>
      </c>
      <c r="BM191" s="1452" t="str">
        <f t="shared" si="136"/>
        <v/>
      </c>
      <c r="BN191" s="1452" t="str">
        <f t="shared" ca="1" si="137"/>
        <v/>
      </c>
      <c r="BO191" s="1452" t="str">
        <f t="shared" si="150"/>
        <v/>
      </c>
      <c r="BP191" s="1452" t="str">
        <f t="shared" si="138"/>
        <v/>
      </c>
      <c r="BQ191" s="1452" t="str">
        <f t="shared" si="139"/>
        <v/>
      </c>
      <c r="BR191" s="1452" t="str">
        <f t="shared" si="140"/>
        <v/>
      </c>
      <c r="BS191" s="1452" t="str">
        <f t="shared" si="141"/>
        <v/>
      </c>
      <c r="BT191" s="1452" t="str">
        <f t="shared" si="142"/>
        <v/>
      </c>
      <c r="BU191" s="1452" t="str">
        <f t="shared" si="143"/>
        <v/>
      </c>
      <c r="BV191" s="1452" t="str">
        <f t="shared" si="144"/>
        <v/>
      </c>
      <c r="BW191" s="1558">
        <f t="shared" ca="1" si="151"/>
        <v>0</v>
      </c>
    </row>
    <row r="192" spans="1:75" s="9" customFormat="1" ht="12.5">
      <c r="A192" s="1483" t="str">
        <f t="shared" si="145"/>
        <v>Public Health Wales Trust</v>
      </c>
      <c r="B192" s="1583"/>
      <c r="C192" s="1583"/>
      <c r="D192" s="1583"/>
      <c r="E192" s="1581"/>
      <c r="F192" s="1436"/>
      <c r="G192" s="1547">
        <f t="shared" si="146"/>
        <v>0</v>
      </c>
      <c r="H192" s="1484"/>
      <c r="I192" s="1547">
        <f t="shared" si="147"/>
        <v>0</v>
      </c>
      <c r="J192" s="1485"/>
      <c r="K192" s="1485"/>
      <c r="L192" s="1436"/>
      <c r="M192" s="1439"/>
      <c r="N192" s="1439"/>
      <c r="O192" s="1485"/>
      <c r="P192" s="1486"/>
      <c r="Q192" s="1486"/>
      <c r="R192" s="1487"/>
      <c r="S192" s="1444"/>
      <c r="T192" s="1444"/>
      <c r="U192" s="1444"/>
      <c r="V192" s="1488"/>
      <c r="W192" s="1488"/>
      <c r="X192" s="1488"/>
      <c r="Y192" s="1488"/>
      <c r="Z192" s="1488"/>
      <c r="AA192" s="1488"/>
      <c r="AB192" s="1488"/>
      <c r="AC192" s="1488"/>
      <c r="AD192" s="1488"/>
      <c r="AE192" s="1488"/>
      <c r="AF192" s="1488"/>
      <c r="AG192" s="1488"/>
      <c r="AH192" s="1451">
        <f t="shared" si="119"/>
        <v>0</v>
      </c>
      <c r="AI192" s="1488"/>
      <c r="AJ192" s="1488"/>
      <c r="AK192" s="1488"/>
      <c r="AL192" s="1488"/>
      <c r="AM192" s="1488"/>
      <c r="AN192" s="1488"/>
      <c r="AO192" s="1488"/>
      <c r="AP192" s="1488"/>
      <c r="AQ192" s="1488"/>
      <c r="AR192" s="1488"/>
      <c r="AS192" s="1488"/>
      <c r="AT192" s="1542"/>
      <c r="AU192" s="1599">
        <f t="shared" si="120"/>
        <v>0</v>
      </c>
      <c r="AV192" s="1544">
        <f t="shared" si="148"/>
        <v>0</v>
      </c>
      <c r="AW192" s="1452">
        <f t="shared" si="121"/>
        <v>0</v>
      </c>
      <c r="AX192" s="1452">
        <f t="shared" si="122"/>
        <v>0</v>
      </c>
      <c r="AY192" s="1452">
        <f t="shared" si="123"/>
        <v>0</v>
      </c>
      <c r="AZ192" s="1452">
        <f t="shared" si="124"/>
        <v>0</v>
      </c>
      <c r="BA192" s="1452">
        <f t="shared" si="125"/>
        <v>0</v>
      </c>
      <c r="BB192" s="1452">
        <f t="shared" si="126"/>
        <v>0</v>
      </c>
      <c r="BC192" s="1452">
        <f t="shared" si="127"/>
        <v>0</v>
      </c>
      <c r="BD192" s="1452">
        <f t="shared" si="128"/>
        <v>0</v>
      </c>
      <c r="BE192" s="1452">
        <f t="shared" si="129"/>
        <v>0</v>
      </c>
      <c r="BF192" s="1452">
        <f t="shared" si="130"/>
        <v>0</v>
      </c>
      <c r="BG192" s="1452">
        <f t="shared" si="131"/>
        <v>0</v>
      </c>
      <c r="BH192" s="1452">
        <f t="shared" si="132"/>
        <v>0</v>
      </c>
      <c r="BI192" s="1452">
        <f t="shared" si="149"/>
        <v>0</v>
      </c>
      <c r="BJ192" s="1452" t="str">
        <f t="shared" si="133"/>
        <v/>
      </c>
      <c r="BK192" s="1452" t="str">
        <f t="shared" si="134"/>
        <v/>
      </c>
      <c r="BL192" s="1452" t="str">
        <f t="shared" si="135"/>
        <v/>
      </c>
      <c r="BM192" s="1452" t="str">
        <f t="shared" si="136"/>
        <v/>
      </c>
      <c r="BN192" s="1452" t="str">
        <f t="shared" ca="1" si="137"/>
        <v/>
      </c>
      <c r="BO192" s="1452" t="str">
        <f t="shared" si="150"/>
        <v/>
      </c>
      <c r="BP192" s="1452" t="str">
        <f t="shared" si="138"/>
        <v/>
      </c>
      <c r="BQ192" s="1452" t="str">
        <f t="shared" si="139"/>
        <v/>
      </c>
      <c r="BR192" s="1452" t="str">
        <f t="shared" si="140"/>
        <v/>
      </c>
      <c r="BS192" s="1452" t="str">
        <f t="shared" si="141"/>
        <v/>
      </c>
      <c r="BT192" s="1452" t="str">
        <f t="shared" si="142"/>
        <v/>
      </c>
      <c r="BU192" s="1452" t="str">
        <f t="shared" si="143"/>
        <v/>
      </c>
      <c r="BV192" s="1452" t="str">
        <f t="shared" si="144"/>
        <v/>
      </c>
      <c r="BW192" s="1558">
        <f t="shared" ca="1" si="151"/>
        <v>0</v>
      </c>
    </row>
    <row r="193" spans="1:75" s="9" customFormat="1" ht="12.5">
      <c r="A193" s="1483" t="str">
        <f t="shared" si="145"/>
        <v>Public Health Wales Trust</v>
      </c>
      <c r="B193" s="1583"/>
      <c r="C193" s="1583"/>
      <c r="D193" s="1583"/>
      <c r="E193" s="1581"/>
      <c r="F193" s="1436"/>
      <c r="G193" s="1547">
        <f t="shared" si="146"/>
        <v>0</v>
      </c>
      <c r="H193" s="1484"/>
      <c r="I193" s="1547">
        <f t="shared" si="147"/>
        <v>0</v>
      </c>
      <c r="J193" s="1485"/>
      <c r="K193" s="1485"/>
      <c r="L193" s="1436"/>
      <c r="M193" s="1439"/>
      <c r="N193" s="1439"/>
      <c r="O193" s="1485"/>
      <c r="P193" s="1486"/>
      <c r="Q193" s="1486"/>
      <c r="R193" s="1487"/>
      <c r="S193" s="1444"/>
      <c r="T193" s="1444"/>
      <c r="U193" s="1444"/>
      <c r="V193" s="1488"/>
      <c r="W193" s="1488"/>
      <c r="X193" s="1488"/>
      <c r="Y193" s="1488"/>
      <c r="Z193" s="1488"/>
      <c r="AA193" s="1488"/>
      <c r="AB193" s="1488"/>
      <c r="AC193" s="1488"/>
      <c r="AD193" s="1488"/>
      <c r="AE193" s="1488"/>
      <c r="AF193" s="1488"/>
      <c r="AG193" s="1488"/>
      <c r="AH193" s="1451">
        <f t="shared" si="119"/>
        <v>0</v>
      </c>
      <c r="AI193" s="1488"/>
      <c r="AJ193" s="1488"/>
      <c r="AK193" s="1488"/>
      <c r="AL193" s="1488"/>
      <c r="AM193" s="1488"/>
      <c r="AN193" s="1488"/>
      <c r="AO193" s="1488"/>
      <c r="AP193" s="1488"/>
      <c r="AQ193" s="1488"/>
      <c r="AR193" s="1488"/>
      <c r="AS193" s="1488"/>
      <c r="AT193" s="1542"/>
      <c r="AU193" s="1599">
        <f t="shared" si="120"/>
        <v>0</v>
      </c>
      <c r="AV193" s="1544">
        <f t="shared" si="148"/>
        <v>0</v>
      </c>
      <c r="AW193" s="1452">
        <f t="shared" si="121"/>
        <v>0</v>
      </c>
      <c r="AX193" s="1452">
        <f t="shared" si="122"/>
        <v>0</v>
      </c>
      <c r="AY193" s="1452">
        <f t="shared" si="123"/>
        <v>0</v>
      </c>
      <c r="AZ193" s="1452">
        <f t="shared" si="124"/>
        <v>0</v>
      </c>
      <c r="BA193" s="1452">
        <f t="shared" si="125"/>
        <v>0</v>
      </c>
      <c r="BB193" s="1452">
        <f t="shared" si="126"/>
        <v>0</v>
      </c>
      <c r="BC193" s="1452">
        <f t="shared" si="127"/>
        <v>0</v>
      </c>
      <c r="BD193" s="1452">
        <f t="shared" si="128"/>
        <v>0</v>
      </c>
      <c r="BE193" s="1452">
        <f t="shared" si="129"/>
        <v>0</v>
      </c>
      <c r="BF193" s="1452">
        <f t="shared" si="130"/>
        <v>0</v>
      </c>
      <c r="BG193" s="1452">
        <f t="shared" si="131"/>
        <v>0</v>
      </c>
      <c r="BH193" s="1452">
        <f t="shared" si="132"/>
        <v>0</v>
      </c>
      <c r="BI193" s="1452">
        <f t="shared" si="149"/>
        <v>0</v>
      </c>
      <c r="BJ193" s="1452" t="str">
        <f t="shared" si="133"/>
        <v/>
      </c>
      <c r="BK193" s="1452" t="str">
        <f t="shared" si="134"/>
        <v/>
      </c>
      <c r="BL193" s="1452" t="str">
        <f t="shared" si="135"/>
        <v/>
      </c>
      <c r="BM193" s="1452" t="str">
        <f t="shared" si="136"/>
        <v/>
      </c>
      <c r="BN193" s="1452" t="str">
        <f t="shared" ca="1" si="137"/>
        <v/>
      </c>
      <c r="BO193" s="1452" t="str">
        <f t="shared" si="150"/>
        <v/>
      </c>
      <c r="BP193" s="1452" t="str">
        <f t="shared" si="138"/>
        <v/>
      </c>
      <c r="BQ193" s="1452" t="str">
        <f t="shared" si="139"/>
        <v/>
      </c>
      <c r="BR193" s="1452" t="str">
        <f t="shared" si="140"/>
        <v/>
      </c>
      <c r="BS193" s="1452" t="str">
        <f t="shared" si="141"/>
        <v/>
      </c>
      <c r="BT193" s="1452" t="str">
        <f t="shared" si="142"/>
        <v/>
      </c>
      <c r="BU193" s="1452" t="str">
        <f t="shared" si="143"/>
        <v/>
      </c>
      <c r="BV193" s="1452" t="str">
        <f t="shared" si="144"/>
        <v/>
      </c>
      <c r="BW193" s="1558">
        <f t="shared" ca="1" si="151"/>
        <v>0</v>
      </c>
    </row>
    <row r="194" spans="1:75" s="9" customFormat="1" ht="12.5">
      <c r="A194" s="1483" t="str">
        <f t="shared" si="145"/>
        <v>Public Health Wales Trust</v>
      </c>
      <c r="B194" s="1583"/>
      <c r="C194" s="1583"/>
      <c r="D194" s="1583"/>
      <c r="E194" s="1581"/>
      <c r="F194" s="1436"/>
      <c r="G194" s="1547">
        <f t="shared" si="146"/>
        <v>0</v>
      </c>
      <c r="H194" s="1484"/>
      <c r="I194" s="1547">
        <f t="shared" si="147"/>
        <v>0</v>
      </c>
      <c r="J194" s="1485"/>
      <c r="K194" s="1485"/>
      <c r="L194" s="1436"/>
      <c r="M194" s="1439"/>
      <c r="N194" s="1439"/>
      <c r="O194" s="1485"/>
      <c r="P194" s="1486"/>
      <c r="Q194" s="1486"/>
      <c r="R194" s="1487"/>
      <c r="S194" s="1444"/>
      <c r="T194" s="1444"/>
      <c r="U194" s="1444"/>
      <c r="V194" s="1488"/>
      <c r="W194" s="1488"/>
      <c r="X194" s="1488"/>
      <c r="Y194" s="1488"/>
      <c r="Z194" s="1488"/>
      <c r="AA194" s="1488"/>
      <c r="AB194" s="1488"/>
      <c r="AC194" s="1488"/>
      <c r="AD194" s="1488"/>
      <c r="AE194" s="1488"/>
      <c r="AF194" s="1488"/>
      <c r="AG194" s="1488"/>
      <c r="AH194" s="1451">
        <f t="shared" si="119"/>
        <v>0</v>
      </c>
      <c r="AI194" s="1488"/>
      <c r="AJ194" s="1488"/>
      <c r="AK194" s="1488"/>
      <c r="AL194" s="1488"/>
      <c r="AM194" s="1488"/>
      <c r="AN194" s="1488"/>
      <c r="AO194" s="1488"/>
      <c r="AP194" s="1488"/>
      <c r="AQ194" s="1488"/>
      <c r="AR194" s="1488"/>
      <c r="AS194" s="1488"/>
      <c r="AT194" s="1542"/>
      <c r="AU194" s="1599">
        <f t="shared" si="120"/>
        <v>0</v>
      </c>
      <c r="AV194" s="1544">
        <f t="shared" si="148"/>
        <v>0</v>
      </c>
      <c r="AW194" s="1452">
        <f t="shared" si="121"/>
        <v>0</v>
      </c>
      <c r="AX194" s="1452">
        <f t="shared" si="122"/>
        <v>0</v>
      </c>
      <c r="AY194" s="1452">
        <f t="shared" si="123"/>
        <v>0</v>
      </c>
      <c r="AZ194" s="1452">
        <f t="shared" si="124"/>
        <v>0</v>
      </c>
      <c r="BA194" s="1452">
        <f t="shared" si="125"/>
        <v>0</v>
      </c>
      <c r="BB194" s="1452">
        <f t="shared" si="126"/>
        <v>0</v>
      </c>
      <c r="BC194" s="1452">
        <f t="shared" si="127"/>
        <v>0</v>
      </c>
      <c r="BD194" s="1452">
        <f t="shared" si="128"/>
        <v>0</v>
      </c>
      <c r="BE194" s="1452">
        <f t="shared" si="129"/>
        <v>0</v>
      </c>
      <c r="BF194" s="1452">
        <f t="shared" si="130"/>
        <v>0</v>
      </c>
      <c r="BG194" s="1452">
        <f t="shared" si="131"/>
        <v>0</v>
      </c>
      <c r="BH194" s="1452">
        <f t="shared" si="132"/>
        <v>0</v>
      </c>
      <c r="BI194" s="1452">
        <f t="shared" si="149"/>
        <v>0</v>
      </c>
      <c r="BJ194" s="1452" t="str">
        <f t="shared" si="133"/>
        <v/>
      </c>
      <c r="BK194" s="1452" t="str">
        <f t="shared" si="134"/>
        <v/>
      </c>
      <c r="BL194" s="1452" t="str">
        <f t="shared" si="135"/>
        <v/>
      </c>
      <c r="BM194" s="1452" t="str">
        <f t="shared" si="136"/>
        <v/>
      </c>
      <c r="BN194" s="1452" t="str">
        <f t="shared" ca="1" si="137"/>
        <v/>
      </c>
      <c r="BO194" s="1452" t="str">
        <f t="shared" si="150"/>
        <v/>
      </c>
      <c r="BP194" s="1452" t="str">
        <f t="shared" si="138"/>
        <v/>
      </c>
      <c r="BQ194" s="1452" t="str">
        <f t="shared" si="139"/>
        <v/>
      </c>
      <c r="BR194" s="1452" t="str">
        <f t="shared" si="140"/>
        <v/>
      </c>
      <c r="BS194" s="1452" t="str">
        <f t="shared" si="141"/>
        <v/>
      </c>
      <c r="BT194" s="1452" t="str">
        <f t="shared" si="142"/>
        <v/>
      </c>
      <c r="BU194" s="1452" t="str">
        <f t="shared" si="143"/>
        <v/>
      </c>
      <c r="BV194" s="1452" t="str">
        <f t="shared" si="144"/>
        <v/>
      </c>
      <c r="BW194" s="1558">
        <f t="shared" ca="1" si="151"/>
        <v>0</v>
      </c>
    </row>
    <row r="195" spans="1:75" s="9" customFormat="1" ht="12.5">
      <c r="A195" s="1483" t="str">
        <f t="shared" si="145"/>
        <v>Public Health Wales Trust</v>
      </c>
      <c r="B195" s="1583"/>
      <c r="C195" s="1583"/>
      <c r="D195" s="1583"/>
      <c r="E195" s="1581"/>
      <c r="F195" s="1436"/>
      <c r="G195" s="1547">
        <f t="shared" si="146"/>
        <v>0</v>
      </c>
      <c r="H195" s="1484"/>
      <c r="I195" s="1547">
        <f t="shared" si="147"/>
        <v>0</v>
      </c>
      <c r="J195" s="1485"/>
      <c r="K195" s="1485"/>
      <c r="L195" s="1436"/>
      <c r="M195" s="1439"/>
      <c r="N195" s="1439"/>
      <c r="O195" s="1485"/>
      <c r="P195" s="1486"/>
      <c r="Q195" s="1486"/>
      <c r="R195" s="1487"/>
      <c r="S195" s="1444"/>
      <c r="T195" s="1444"/>
      <c r="U195" s="1444"/>
      <c r="V195" s="1488"/>
      <c r="W195" s="1488"/>
      <c r="X195" s="1488"/>
      <c r="Y195" s="1488"/>
      <c r="Z195" s="1488"/>
      <c r="AA195" s="1488"/>
      <c r="AB195" s="1488"/>
      <c r="AC195" s="1488"/>
      <c r="AD195" s="1488"/>
      <c r="AE195" s="1488"/>
      <c r="AF195" s="1488"/>
      <c r="AG195" s="1488"/>
      <c r="AH195" s="1451">
        <f t="shared" si="119"/>
        <v>0</v>
      </c>
      <c r="AI195" s="1488"/>
      <c r="AJ195" s="1488"/>
      <c r="AK195" s="1488"/>
      <c r="AL195" s="1488"/>
      <c r="AM195" s="1488"/>
      <c r="AN195" s="1488"/>
      <c r="AO195" s="1488"/>
      <c r="AP195" s="1488"/>
      <c r="AQ195" s="1488"/>
      <c r="AR195" s="1488"/>
      <c r="AS195" s="1488"/>
      <c r="AT195" s="1542"/>
      <c r="AU195" s="1599">
        <f t="shared" si="120"/>
        <v>0</v>
      </c>
      <c r="AV195" s="1544">
        <f t="shared" si="148"/>
        <v>0</v>
      </c>
      <c r="AW195" s="1452">
        <f t="shared" si="121"/>
        <v>0</v>
      </c>
      <c r="AX195" s="1452">
        <f t="shared" si="122"/>
        <v>0</v>
      </c>
      <c r="AY195" s="1452">
        <f t="shared" si="123"/>
        <v>0</v>
      </c>
      <c r="AZ195" s="1452">
        <f t="shared" si="124"/>
        <v>0</v>
      </c>
      <c r="BA195" s="1452">
        <f t="shared" si="125"/>
        <v>0</v>
      </c>
      <c r="BB195" s="1452">
        <f t="shared" si="126"/>
        <v>0</v>
      </c>
      <c r="BC195" s="1452">
        <f t="shared" si="127"/>
        <v>0</v>
      </c>
      <c r="BD195" s="1452">
        <f t="shared" si="128"/>
        <v>0</v>
      </c>
      <c r="BE195" s="1452">
        <f t="shared" si="129"/>
        <v>0</v>
      </c>
      <c r="BF195" s="1452">
        <f t="shared" si="130"/>
        <v>0</v>
      </c>
      <c r="BG195" s="1452">
        <f t="shared" si="131"/>
        <v>0</v>
      </c>
      <c r="BH195" s="1452">
        <f t="shared" si="132"/>
        <v>0</v>
      </c>
      <c r="BI195" s="1452">
        <f t="shared" si="149"/>
        <v>0</v>
      </c>
      <c r="BJ195" s="1452" t="str">
        <f t="shared" si="133"/>
        <v/>
      </c>
      <c r="BK195" s="1452" t="str">
        <f t="shared" si="134"/>
        <v/>
      </c>
      <c r="BL195" s="1452" t="str">
        <f t="shared" si="135"/>
        <v/>
      </c>
      <c r="BM195" s="1452" t="str">
        <f t="shared" si="136"/>
        <v/>
      </c>
      <c r="BN195" s="1452" t="str">
        <f t="shared" ca="1" si="137"/>
        <v/>
      </c>
      <c r="BO195" s="1452" t="str">
        <f t="shared" si="150"/>
        <v/>
      </c>
      <c r="BP195" s="1452" t="str">
        <f t="shared" si="138"/>
        <v/>
      </c>
      <c r="BQ195" s="1452" t="str">
        <f t="shared" si="139"/>
        <v/>
      </c>
      <c r="BR195" s="1452" t="str">
        <f t="shared" si="140"/>
        <v/>
      </c>
      <c r="BS195" s="1452" t="str">
        <f t="shared" si="141"/>
        <v/>
      </c>
      <c r="BT195" s="1452" t="str">
        <f t="shared" si="142"/>
        <v/>
      </c>
      <c r="BU195" s="1452" t="str">
        <f t="shared" si="143"/>
        <v/>
      </c>
      <c r="BV195" s="1452" t="str">
        <f t="shared" si="144"/>
        <v/>
      </c>
      <c r="BW195" s="1558">
        <f t="shared" ca="1" si="151"/>
        <v>0</v>
      </c>
    </row>
    <row r="196" spans="1:75" s="9" customFormat="1" ht="12.5">
      <c r="A196" s="1483" t="str">
        <f t="shared" si="145"/>
        <v>Public Health Wales Trust</v>
      </c>
      <c r="B196" s="1583"/>
      <c r="C196" s="1583"/>
      <c r="D196" s="1583"/>
      <c r="E196" s="1581"/>
      <c r="F196" s="1436"/>
      <c r="G196" s="1547">
        <f t="shared" si="146"/>
        <v>0</v>
      </c>
      <c r="H196" s="1484"/>
      <c r="I196" s="1547">
        <f t="shared" si="147"/>
        <v>0</v>
      </c>
      <c r="J196" s="1485"/>
      <c r="K196" s="1485"/>
      <c r="L196" s="1436"/>
      <c r="M196" s="1439"/>
      <c r="N196" s="1439"/>
      <c r="O196" s="1485"/>
      <c r="P196" s="1486"/>
      <c r="Q196" s="1486"/>
      <c r="R196" s="1487"/>
      <c r="S196" s="1444"/>
      <c r="T196" s="1444"/>
      <c r="U196" s="1444"/>
      <c r="V196" s="1488"/>
      <c r="W196" s="1488"/>
      <c r="X196" s="1488"/>
      <c r="Y196" s="1488"/>
      <c r="Z196" s="1488"/>
      <c r="AA196" s="1488"/>
      <c r="AB196" s="1488"/>
      <c r="AC196" s="1488"/>
      <c r="AD196" s="1488"/>
      <c r="AE196" s="1488"/>
      <c r="AF196" s="1488"/>
      <c r="AG196" s="1488"/>
      <c r="AH196" s="1451">
        <f t="shared" si="119"/>
        <v>0</v>
      </c>
      <c r="AI196" s="1488"/>
      <c r="AJ196" s="1488"/>
      <c r="AK196" s="1488"/>
      <c r="AL196" s="1488"/>
      <c r="AM196" s="1488"/>
      <c r="AN196" s="1488"/>
      <c r="AO196" s="1488"/>
      <c r="AP196" s="1488"/>
      <c r="AQ196" s="1488"/>
      <c r="AR196" s="1488"/>
      <c r="AS196" s="1488"/>
      <c r="AT196" s="1542"/>
      <c r="AU196" s="1599">
        <f t="shared" si="120"/>
        <v>0</v>
      </c>
      <c r="AV196" s="1544">
        <f t="shared" si="148"/>
        <v>0</v>
      </c>
      <c r="AW196" s="1452">
        <f t="shared" si="121"/>
        <v>0</v>
      </c>
      <c r="AX196" s="1452">
        <f t="shared" si="122"/>
        <v>0</v>
      </c>
      <c r="AY196" s="1452">
        <f t="shared" si="123"/>
        <v>0</v>
      </c>
      <c r="AZ196" s="1452">
        <f t="shared" si="124"/>
        <v>0</v>
      </c>
      <c r="BA196" s="1452">
        <f t="shared" si="125"/>
        <v>0</v>
      </c>
      <c r="BB196" s="1452">
        <f t="shared" si="126"/>
        <v>0</v>
      </c>
      <c r="BC196" s="1452">
        <f t="shared" si="127"/>
        <v>0</v>
      </c>
      <c r="BD196" s="1452">
        <f t="shared" si="128"/>
        <v>0</v>
      </c>
      <c r="BE196" s="1452">
        <f t="shared" si="129"/>
        <v>0</v>
      </c>
      <c r="BF196" s="1452">
        <f t="shared" si="130"/>
        <v>0</v>
      </c>
      <c r="BG196" s="1452">
        <f t="shared" si="131"/>
        <v>0</v>
      </c>
      <c r="BH196" s="1452">
        <f t="shared" si="132"/>
        <v>0</v>
      </c>
      <c r="BI196" s="1452">
        <f t="shared" si="149"/>
        <v>0</v>
      </c>
      <c r="BJ196" s="1452" t="str">
        <f t="shared" si="133"/>
        <v/>
      </c>
      <c r="BK196" s="1452" t="str">
        <f t="shared" si="134"/>
        <v/>
      </c>
      <c r="BL196" s="1452" t="str">
        <f t="shared" si="135"/>
        <v/>
      </c>
      <c r="BM196" s="1452" t="str">
        <f t="shared" si="136"/>
        <v/>
      </c>
      <c r="BN196" s="1452" t="str">
        <f t="shared" ca="1" si="137"/>
        <v/>
      </c>
      <c r="BO196" s="1452" t="str">
        <f t="shared" si="150"/>
        <v/>
      </c>
      <c r="BP196" s="1452" t="str">
        <f t="shared" si="138"/>
        <v/>
      </c>
      <c r="BQ196" s="1452" t="str">
        <f t="shared" si="139"/>
        <v/>
      </c>
      <c r="BR196" s="1452" t="str">
        <f t="shared" si="140"/>
        <v/>
      </c>
      <c r="BS196" s="1452" t="str">
        <f t="shared" si="141"/>
        <v/>
      </c>
      <c r="BT196" s="1452" t="str">
        <f t="shared" si="142"/>
        <v/>
      </c>
      <c r="BU196" s="1452" t="str">
        <f t="shared" si="143"/>
        <v/>
      </c>
      <c r="BV196" s="1452" t="str">
        <f t="shared" si="144"/>
        <v/>
      </c>
      <c r="BW196" s="1558">
        <f t="shared" ca="1" si="151"/>
        <v>0</v>
      </c>
    </row>
    <row r="197" spans="1:75" s="9" customFormat="1" ht="12.5">
      <c r="A197" s="1483" t="str">
        <f t="shared" si="145"/>
        <v>Public Health Wales Trust</v>
      </c>
      <c r="B197" s="1583"/>
      <c r="C197" s="1583"/>
      <c r="D197" s="1583"/>
      <c r="E197" s="1581"/>
      <c r="F197" s="1436"/>
      <c r="G197" s="1547">
        <f t="shared" si="146"/>
        <v>0</v>
      </c>
      <c r="H197" s="1484"/>
      <c r="I197" s="1547">
        <f t="shared" si="147"/>
        <v>0</v>
      </c>
      <c r="J197" s="1485"/>
      <c r="K197" s="1485"/>
      <c r="L197" s="1436"/>
      <c r="M197" s="1439"/>
      <c r="N197" s="1439"/>
      <c r="O197" s="1485"/>
      <c r="P197" s="1486"/>
      <c r="Q197" s="1486"/>
      <c r="R197" s="1487"/>
      <c r="S197" s="1444"/>
      <c r="T197" s="1444"/>
      <c r="U197" s="1444"/>
      <c r="V197" s="1488"/>
      <c r="W197" s="1488"/>
      <c r="X197" s="1488"/>
      <c r="Y197" s="1488"/>
      <c r="Z197" s="1488"/>
      <c r="AA197" s="1488"/>
      <c r="AB197" s="1488"/>
      <c r="AC197" s="1488"/>
      <c r="AD197" s="1488"/>
      <c r="AE197" s="1488"/>
      <c r="AF197" s="1488"/>
      <c r="AG197" s="1488"/>
      <c r="AH197" s="1451">
        <f t="shared" si="119"/>
        <v>0</v>
      </c>
      <c r="AI197" s="1488"/>
      <c r="AJ197" s="1488"/>
      <c r="AK197" s="1488"/>
      <c r="AL197" s="1488"/>
      <c r="AM197" s="1488"/>
      <c r="AN197" s="1488"/>
      <c r="AO197" s="1488"/>
      <c r="AP197" s="1488"/>
      <c r="AQ197" s="1488"/>
      <c r="AR197" s="1488"/>
      <c r="AS197" s="1488"/>
      <c r="AT197" s="1542"/>
      <c r="AU197" s="1599">
        <f t="shared" si="120"/>
        <v>0</v>
      </c>
      <c r="AV197" s="1544">
        <f t="shared" si="148"/>
        <v>0</v>
      </c>
      <c r="AW197" s="1452">
        <f t="shared" si="121"/>
        <v>0</v>
      </c>
      <c r="AX197" s="1452">
        <f t="shared" si="122"/>
        <v>0</v>
      </c>
      <c r="AY197" s="1452">
        <f t="shared" si="123"/>
        <v>0</v>
      </c>
      <c r="AZ197" s="1452">
        <f t="shared" si="124"/>
        <v>0</v>
      </c>
      <c r="BA197" s="1452">
        <f t="shared" si="125"/>
        <v>0</v>
      </c>
      <c r="BB197" s="1452">
        <f t="shared" si="126"/>
        <v>0</v>
      </c>
      <c r="BC197" s="1452">
        <f t="shared" si="127"/>
        <v>0</v>
      </c>
      <c r="BD197" s="1452">
        <f t="shared" si="128"/>
        <v>0</v>
      </c>
      <c r="BE197" s="1452">
        <f t="shared" si="129"/>
        <v>0</v>
      </c>
      <c r="BF197" s="1452">
        <f t="shared" si="130"/>
        <v>0</v>
      </c>
      <c r="BG197" s="1452">
        <f t="shared" si="131"/>
        <v>0</v>
      </c>
      <c r="BH197" s="1452">
        <f t="shared" si="132"/>
        <v>0</v>
      </c>
      <c r="BI197" s="1452">
        <f t="shared" si="149"/>
        <v>0</v>
      </c>
      <c r="BJ197" s="1452" t="str">
        <f t="shared" si="133"/>
        <v/>
      </c>
      <c r="BK197" s="1452" t="str">
        <f t="shared" si="134"/>
        <v/>
      </c>
      <c r="BL197" s="1452" t="str">
        <f t="shared" si="135"/>
        <v/>
      </c>
      <c r="BM197" s="1452" t="str">
        <f t="shared" si="136"/>
        <v/>
      </c>
      <c r="BN197" s="1452" t="str">
        <f t="shared" ca="1" si="137"/>
        <v/>
      </c>
      <c r="BO197" s="1452" t="str">
        <f t="shared" si="150"/>
        <v/>
      </c>
      <c r="BP197" s="1452" t="str">
        <f t="shared" si="138"/>
        <v/>
      </c>
      <c r="BQ197" s="1452" t="str">
        <f t="shared" si="139"/>
        <v/>
      </c>
      <c r="BR197" s="1452" t="str">
        <f t="shared" si="140"/>
        <v/>
      </c>
      <c r="BS197" s="1452" t="str">
        <f t="shared" si="141"/>
        <v/>
      </c>
      <c r="BT197" s="1452" t="str">
        <f t="shared" si="142"/>
        <v/>
      </c>
      <c r="BU197" s="1452" t="str">
        <f t="shared" si="143"/>
        <v/>
      </c>
      <c r="BV197" s="1452" t="str">
        <f t="shared" si="144"/>
        <v/>
      </c>
      <c r="BW197" s="1558">
        <f t="shared" ca="1" si="151"/>
        <v>0</v>
      </c>
    </row>
    <row r="198" spans="1:75" s="9" customFormat="1" ht="12.5">
      <c r="A198" s="1483" t="str">
        <f t="shared" si="145"/>
        <v>Public Health Wales Trust</v>
      </c>
      <c r="B198" s="1583"/>
      <c r="C198" s="1583"/>
      <c r="D198" s="1583"/>
      <c r="E198" s="1581"/>
      <c r="F198" s="1436"/>
      <c r="G198" s="1547">
        <f t="shared" si="146"/>
        <v>0</v>
      </c>
      <c r="H198" s="1484"/>
      <c r="I198" s="1547">
        <f t="shared" si="147"/>
        <v>0</v>
      </c>
      <c r="J198" s="1485"/>
      <c r="K198" s="1485"/>
      <c r="L198" s="1436"/>
      <c r="M198" s="1439"/>
      <c r="N198" s="1439"/>
      <c r="O198" s="1485"/>
      <c r="P198" s="1486"/>
      <c r="Q198" s="1486"/>
      <c r="R198" s="1487"/>
      <c r="S198" s="1444"/>
      <c r="T198" s="1444"/>
      <c r="U198" s="1444"/>
      <c r="V198" s="1488"/>
      <c r="W198" s="1488"/>
      <c r="X198" s="1488"/>
      <c r="Y198" s="1488"/>
      <c r="Z198" s="1488"/>
      <c r="AA198" s="1488"/>
      <c r="AB198" s="1488"/>
      <c r="AC198" s="1488"/>
      <c r="AD198" s="1488"/>
      <c r="AE198" s="1488"/>
      <c r="AF198" s="1488"/>
      <c r="AG198" s="1488"/>
      <c r="AH198" s="1451">
        <f t="shared" si="119"/>
        <v>0</v>
      </c>
      <c r="AI198" s="1488"/>
      <c r="AJ198" s="1488"/>
      <c r="AK198" s="1488"/>
      <c r="AL198" s="1488"/>
      <c r="AM198" s="1488"/>
      <c r="AN198" s="1488"/>
      <c r="AO198" s="1488"/>
      <c r="AP198" s="1488"/>
      <c r="AQ198" s="1488"/>
      <c r="AR198" s="1488"/>
      <c r="AS198" s="1488"/>
      <c r="AT198" s="1542"/>
      <c r="AU198" s="1599">
        <f t="shared" si="120"/>
        <v>0</v>
      </c>
      <c r="AV198" s="1544">
        <f t="shared" si="148"/>
        <v>0</v>
      </c>
      <c r="AW198" s="1452">
        <f t="shared" si="121"/>
        <v>0</v>
      </c>
      <c r="AX198" s="1452">
        <f t="shared" si="122"/>
        <v>0</v>
      </c>
      <c r="AY198" s="1452">
        <f t="shared" si="123"/>
        <v>0</v>
      </c>
      <c r="AZ198" s="1452">
        <f t="shared" si="124"/>
        <v>0</v>
      </c>
      <c r="BA198" s="1452">
        <f t="shared" si="125"/>
        <v>0</v>
      </c>
      <c r="BB198" s="1452">
        <f t="shared" si="126"/>
        <v>0</v>
      </c>
      <c r="BC198" s="1452">
        <f t="shared" si="127"/>
        <v>0</v>
      </c>
      <c r="BD198" s="1452">
        <f t="shared" si="128"/>
        <v>0</v>
      </c>
      <c r="BE198" s="1452">
        <f t="shared" si="129"/>
        <v>0</v>
      </c>
      <c r="BF198" s="1452">
        <f t="shared" si="130"/>
        <v>0</v>
      </c>
      <c r="BG198" s="1452">
        <f t="shared" si="131"/>
        <v>0</v>
      </c>
      <c r="BH198" s="1452">
        <f t="shared" si="132"/>
        <v>0</v>
      </c>
      <c r="BI198" s="1452">
        <f t="shared" si="149"/>
        <v>0</v>
      </c>
      <c r="BJ198" s="1452" t="str">
        <f t="shared" si="133"/>
        <v/>
      </c>
      <c r="BK198" s="1452" t="str">
        <f t="shared" si="134"/>
        <v/>
      </c>
      <c r="BL198" s="1452" t="str">
        <f t="shared" si="135"/>
        <v/>
      </c>
      <c r="BM198" s="1452" t="str">
        <f t="shared" si="136"/>
        <v/>
      </c>
      <c r="BN198" s="1452" t="str">
        <f t="shared" ca="1" si="137"/>
        <v/>
      </c>
      <c r="BO198" s="1452" t="str">
        <f t="shared" si="150"/>
        <v/>
      </c>
      <c r="BP198" s="1452" t="str">
        <f t="shared" si="138"/>
        <v/>
      </c>
      <c r="BQ198" s="1452" t="str">
        <f t="shared" si="139"/>
        <v/>
      </c>
      <c r="BR198" s="1452" t="str">
        <f t="shared" si="140"/>
        <v/>
      </c>
      <c r="BS198" s="1452" t="str">
        <f t="shared" si="141"/>
        <v/>
      </c>
      <c r="BT198" s="1452" t="str">
        <f t="shared" si="142"/>
        <v/>
      </c>
      <c r="BU198" s="1452" t="str">
        <f t="shared" si="143"/>
        <v/>
      </c>
      <c r="BV198" s="1452" t="str">
        <f t="shared" si="144"/>
        <v/>
      </c>
      <c r="BW198" s="1558">
        <f t="shared" ca="1" si="151"/>
        <v>0</v>
      </c>
    </row>
    <row r="199" spans="1:75" s="9" customFormat="1" ht="12.5">
      <c r="A199" s="1483" t="str">
        <f t="shared" si="145"/>
        <v>Public Health Wales Trust</v>
      </c>
      <c r="B199" s="1583"/>
      <c r="C199" s="1583"/>
      <c r="D199" s="1583"/>
      <c r="E199" s="1581"/>
      <c r="F199" s="1436"/>
      <c r="G199" s="1547">
        <f t="shared" si="146"/>
        <v>0</v>
      </c>
      <c r="H199" s="1484"/>
      <c r="I199" s="1547">
        <f t="shared" si="147"/>
        <v>0</v>
      </c>
      <c r="J199" s="1485"/>
      <c r="K199" s="1485"/>
      <c r="L199" s="1436"/>
      <c r="M199" s="1439"/>
      <c r="N199" s="1439"/>
      <c r="O199" s="1485"/>
      <c r="P199" s="1486"/>
      <c r="Q199" s="1486"/>
      <c r="R199" s="1487"/>
      <c r="S199" s="1444"/>
      <c r="T199" s="1444"/>
      <c r="U199" s="1444"/>
      <c r="V199" s="1488"/>
      <c r="W199" s="1488"/>
      <c r="X199" s="1488"/>
      <c r="Y199" s="1488"/>
      <c r="Z199" s="1488"/>
      <c r="AA199" s="1488"/>
      <c r="AB199" s="1488"/>
      <c r="AC199" s="1488"/>
      <c r="AD199" s="1488"/>
      <c r="AE199" s="1488"/>
      <c r="AF199" s="1488"/>
      <c r="AG199" s="1488"/>
      <c r="AH199" s="1451">
        <f t="shared" si="119"/>
        <v>0</v>
      </c>
      <c r="AI199" s="1488"/>
      <c r="AJ199" s="1488"/>
      <c r="AK199" s="1488"/>
      <c r="AL199" s="1488"/>
      <c r="AM199" s="1488"/>
      <c r="AN199" s="1488"/>
      <c r="AO199" s="1488"/>
      <c r="AP199" s="1488"/>
      <c r="AQ199" s="1488"/>
      <c r="AR199" s="1488"/>
      <c r="AS199" s="1488"/>
      <c r="AT199" s="1542"/>
      <c r="AU199" s="1599">
        <f t="shared" si="120"/>
        <v>0</v>
      </c>
      <c r="AV199" s="1544">
        <f t="shared" si="148"/>
        <v>0</v>
      </c>
      <c r="AW199" s="1452">
        <f t="shared" si="121"/>
        <v>0</v>
      </c>
      <c r="AX199" s="1452">
        <f t="shared" si="122"/>
        <v>0</v>
      </c>
      <c r="AY199" s="1452">
        <f t="shared" si="123"/>
        <v>0</v>
      </c>
      <c r="AZ199" s="1452">
        <f t="shared" si="124"/>
        <v>0</v>
      </c>
      <c r="BA199" s="1452">
        <f t="shared" si="125"/>
        <v>0</v>
      </c>
      <c r="BB199" s="1452">
        <f t="shared" si="126"/>
        <v>0</v>
      </c>
      <c r="BC199" s="1452">
        <f t="shared" si="127"/>
        <v>0</v>
      </c>
      <c r="BD199" s="1452">
        <f t="shared" si="128"/>
        <v>0</v>
      </c>
      <c r="BE199" s="1452">
        <f t="shared" si="129"/>
        <v>0</v>
      </c>
      <c r="BF199" s="1452">
        <f t="shared" si="130"/>
        <v>0</v>
      </c>
      <c r="BG199" s="1452">
        <f t="shared" si="131"/>
        <v>0</v>
      </c>
      <c r="BH199" s="1452">
        <f t="shared" si="132"/>
        <v>0</v>
      </c>
      <c r="BI199" s="1452">
        <f t="shared" si="149"/>
        <v>0</v>
      </c>
      <c r="BJ199" s="1452" t="str">
        <f t="shared" si="133"/>
        <v/>
      </c>
      <c r="BK199" s="1452" t="str">
        <f t="shared" si="134"/>
        <v/>
      </c>
      <c r="BL199" s="1452" t="str">
        <f t="shared" si="135"/>
        <v/>
      </c>
      <c r="BM199" s="1452" t="str">
        <f t="shared" si="136"/>
        <v/>
      </c>
      <c r="BN199" s="1452" t="str">
        <f t="shared" ca="1" si="137"/>
        <v/>
      </c>
      <c r="BO199" s="1452" t="str">
        <f t="shared" si="150"/>
        <v/>
      </c>
      <c r="BP199" s="1452" t="str">
        <f t="shared" si="138"/>
        <v/>
      </c>
      <c r="BQ199" s="1452" t="str">
        <f t="shared" si="139"/>
        <v/>
      </c>
      <c r="BR199" s="1452" t="str">
        <f t="shared" si="140"/>
        <v/>
      </c>
      <c r="BS199" s="1452" t="str">
        <f t="shared" si="141"/>
        <v/>
      </c>
      <c r="BT199" s="1452" t="str">
        <f t="shared" si="142"/>
        <v/>
      </c>
      <c r="BU199" s="1452" t="str">
        <f t="shared" si="143"/>
        <v/>
      </c>
      <c r="BV199" s="1452" t="str">
        <f t="shared" si="144"/>
        <v/>
      </c>
      <c r="BW199" s="1558">
        <f t="shared" ca="1" si="151"/>
        <v>0</v>
      </c>
    </row>
    <row r="200" spans="1:75" s="9" customFormat="1" ht="12.5">
      <c r="A200" s="1483" t="str">
        <f t="shared" si="145"/>
        <v>Public Health Wales Trust</v>
      </c>
      <c r="B200" s="1583"/>
      <c r="C200" s="1583"/>
      <c r="D200" s="1583"/>
      <c r="E200" s="1581"/>
      <c r="F200" s="1436"/>
      <c r="G200" s="1547">
        <f t="shared" si="146"/>
        <v>0</v>
      </c>
      <c r="H200" s="1484"/>
      <c r="I200" s="1547">
        <f t="shared" si="147"/>
        <v>0</v>
      </c>
      <c r="J200" s="1485"/>
      <c r="K200" s="1485"/>
      <c r="L200" s="1436"/>
      <c r="M200" s="1439"/>
      <c r="N200" s="1439"/>
      <c r="O200" s="1485"/>
      <c r="P200" s="1486"/>
      <c r="Q200" s="1486"/>
      <c r="R200" s="1487"/>
      <c r="S200" s="1444"/>
      <c r="T200" s="1444"/>
      <c r="U200" s="1444"/>
      <c r="V200" s="1488"/>
      <c r="W200" s="1488"/>
      <c r="X200" s="1488"/>
      <c r="Y200" s="1488"/>
      <c r="Z200" s="1488"/>
      <c r="AA200" s="1488"/>
      <c r="AB200" s="1488"/>
      <c r="AC200" s="1488"/>
      <c r="AD200" s="1488"/>
      <c r="AE200" s="1488"/>
      <c r="AF200" s="1488"/>
      <c r="AG200" s="1488"/>
      <c r="AH200" s="1451">
        <f t="shared" si="119"/>
        <v>0</v>
      </c>
      <c r="AI200" s="1488"/>
      <c r="AJ200" s="1488"/>
      <c r="AK200" s="1488"/>
      <c r="AL200" s="1488"/>
      <c r="AM200" s="1488"/>
      <c r="AN200" s="1488"/>
      <c r="AO200" s="1488"/>
      <c r="AP200" s="1488"/>
      <c r="AQ200" s="1488"/>
      <c r="AR200" s="1488"/>
      <c r="AS200" s="1488"/>
      <c r="AT200" s="1542"/>
      <c r="AU200" s="1599">
        <f t="shared" si="120"/>
        <v>0</v>
      </c>
      <c r="AV200" s="1544">
        <f t="shared" si="148"/>
        <v>0</v>
      </c>
      <c r="AW200" s="1452">
        <f t="shared" si="121"/>
        <v>0</v>
      </c>
      <c r="AX200" s="1452">
        <f t="shared" si="122"/>
        <v>0</v>
      </c>
      <c r="AY200" s="1452">
        <f t="shared" si="123"/>
        <v>0</v>
      </c>
      <c r="AZ200" s="1452">
        <f t="shared" si="124"/>
        <v>0</v>
      </c>
      <c r="BA200" s="1452">
        <f t="shared" si="125"/>
        <v>0</v>
      </c>
      <c r="BB200" s="1452">
        <f t="shared" si="126"/>
        <v>0</v>
      </c>
      <c r="BC200" s="1452">
        <f t="shared" si="127"/>
        <v>0</v>
      </c>
      <c r="BD200" s="1452">
        <f t="shared" si="128"/>
        <v>0</v>
      </c>
      <c r="BE200" s="1452">
        <f t="shared" si="129"/>
        <v>0</v>
      </c>
      <c r="BF200" s="1452">
        <f t="shared" si="130"/>
        <v>0</v>
      </c>
      <c r="BG200" s="1452">
        <f t="shared" si="131"/>
        <v>0</v>
      </c>
      <c r="BH200" s="1452">
        <f t="shared" si="132"/>
        <v>0</v>
      </c>
      <c r="BI200" s="1452">
        <f t="shared" si="149"/>
        <v>0</v>
      </c>
      <c r="BJ200" s="1452" t="str">
        <f t="shared" si="133"/>
        <v/>
      </c>
      <c r="BK200" s="1452" t="str">
        <f t="shared" si="134"/>
        <v/>
      </c>
      <c r="BL200" s="1452" t="str">
        <f t="shared" si="135"/>
        <v/>
      </c>
      <c r="BM200" s="1452" t="str">
        <f t="shared" si="136"/>
        <v/>
      </c>
      <c r="BN200" s="1452" t="str">
        <f t="shared" ca="1" si="137"/>
        <v/>
      </c>
      <c r="BO200" s="1452" t="str">
        <f t="shared" si="150"/>
        <v/>
      </c>
      <c r="BP200" s="1452" t="str">
        <f t="shared" si="138"/>
        <v/>
      </c>
      <c r="BQ200" s="1452" t="str">
        <f t="shared" si="139"/>
        <v/>
      </c>
      <c r="BR200" s="1452" t="str">
        <f t="shared" si="140"/>
        <v/>
      </c>
      <c r="BS200" s="1452" t="str">
        <f t="shared" si="141"/>
        <v/>
      </c>
      <c r="BT200" s="1452" t="str">
        <f t="shared" si="142"/>
        <v/>
      </c>
      <c r="BU200" s="1452" t="str">
        <f t="shared" si="143"/>
        <v/>
      </c>
      <c r="BV200" s="1452" t="str">
        <f t="shared" si="144"/>
        <v/>
      </c>
      <c r="BW200" s="1558">
        <f t="shared" ca="1" si="151"/>
        <v>0</v>
      </c>
    </row>
    <row r="201" spans="1:75" s="9" customFormat="1" ht="12.5">
      <c r="A201" s="1483" t="str">
        <f t="shared" si="145"/>
        <v>Public Health Wales Trust</v>
      </c>
      <c r="B201" s="1583"/>
      <c r="C201" s="1583"/>
      <c r="D201" s="1583"/>
      <c r="E201" s="1581"/>
      <c r="F201" s="1436"/>
      <c r="G201" s="1547">
        <f t="shared" si="146"/>
        <v>0</v>
      </c>
      <c r="H201" s="1484"/>
      <c r="I201" s="1547">
        <f t="shared" si="147"/>
        <v>0</v>
      </c>
      <c r="J201" s="1485"/>
      <c r="K201" s="1485"/>
      <c r="L201" s="1436"/>
      <c r="M201" s="1439"/>
      <c r="N201" s="1439"/>
      <c r="O201" s="1485"/>
      <c r="P201" s="1486"/>
      <c r="Q201" s="1486"/>
      <c r="R201" s="1487"/>
      <c r="S201" s="1444"/>
      <c r="T201" s="1444"/>
      <c r="U201" s="1444"/>
      <c r="V201" s="1488"/>
      <c r="W201" s="1488"/>
      <c r="X201" s="1488"/>
      <c r="Y201" s="1488"/>
      <c r="Z201" s="1488"/>
      <c r="AA201" s="1488"/>
      <c r="AB201" s="1488"/>
      <c r="AC201" s="1488"/>
      <c r="AD201" s="1488"/>
      <c r="AE201" s="1488"/>
      <c r="AF201" s="1488"/>
      <c r="AG201" s="1488"/>
      <c r="AH201" s="1451">
        <f t="shared" si="119"/>
        <v>0</v>
      </c>
      <c r="AI201" s="1488"/>
      <c r="AJ201" s="1488"/>
      <c r="AK201" s="1488"/>
      <c r="AL201" s="1488"/>
      <c r="AM201" s="1488"/>
      <c r="AN201" s="1488"/>
      <c r="AO201" s="1488"/>
      <c r="AP201" s="1488"/>
      <c r="AQ201" s="1488"/>
      <c r="AR201" s="1488"/>
      <c r="AS201" s="1488"/>
      <c r="AT201" s="1542"/>
      <c r="AU201" s="1599">
        <f t="shared" si="120"/>
        <v>0</v>
      </c>
      <c r="AV201" s="1544">
        <f t="shared" si="148"/>
        <v>0</v>
      </c>
      <c r="AW201" s="1452">
        <f t="shared" si="121"/>
        <v>0</v>
      </c>
      <c r="AX201" s="1452">
        <f t="shared" si="122"/>
        <v>0</v>
      </c>
      <c r="AY201" s="1452">
        <f t="shared" si="123"/>
        <v>0</v>
      </c>
      <c r="AZ201" s="1452">
        <f t="shared" si="124"/>
        <v>0</v>
      </c>
      <c r="BA201" s="1452">
        <f t="shared" si="125"/>
        <v>0</v>
      </c>
      <c r="BB201" s="1452">
        <f t="shared" si="126"/>
        <v>0</v>
      </c>
      <c r="BC201" s="1452">
        <f t="shared" si="127"/>
        <v>0</v>
      </c>
      <c r="BD201" s="1452">
        <f t="shared" si="128"/>
        <v>0</v>
      </c>
      <c r="BE201" s="1452">
        <f t="shared" si="129"/>
        <v>0</v>
      </c>
      <c r="BF201" s="1452">
        <f t="shared" si="130"/>
        <v>0</v>
      </c>
      <c r="BG201" s="1452">
        <f t="shared" si="131"/>
        <v>0</v>
      </c>
      <c r="BH201" s="1452">
        <f t="shared" si="132"/>
        <v>0</v>
      </c>
      <c r="BI201" s="1452">
        <f t="shared" si="149"/>
        <v>0</v>
      </c>
      <c r="BJ201" s="1452" t="str">
        <f t="shared" si="133"/>
        <v/>
      </c>
      <c r="BK201" s="1452" t="str">
        <f t="shared" si="134"/>
        <v/>
      </c>
      <c r="BL201" s="1452" t="str">
        <f t="shared" si="135"/>
        <v/>
      </c>
      <c r="BM201" s="1452" t="str">
        <f t="shared" si="136"/>
        <v/>
      </c>
      <c r="BN201" s="1452" t="str">
        <f t="shared" ca="1" si="137"/>
        <v/>
      </c>
      <c r="BO201" s="1452" t="str">
        <f t="shared" si="150"/>
        <v/>
      </c>
      <c r="BP201" s="1452" t="str">
        <f t="shared" si="138"/>
        <v/>
      </c>
      <c r="BQ201" s="1452" t="str">
        <f t="shared" si="139"/>
        <v/>
      </c>
      <c r="BR201" s="1452" t="str">
        <f t="shared" si="140"/>
        <v/>
      </c>
      <c r="BS201" s="1452" t="str">
        <f t="shared" si="141"/>
        <v/>
      </c>
      <c r="BT201" s="1452" t="str">
        <f t="shared" si="142"/>
        <v/>
      </c>
      <c r="BU201" s="1452" t="str">
        <f t="shared" si="143"/>
        <v/>
      </c>
      <c r="BV201" s="1452" t="str">
        <f t="shared" si="144"/>
        <v/>
      </c>
      <c r="BW201" s="1558">
        <f t="shared" ca="1" si="151"/>
        <v>0</v>
      </c>
    </row>
    <row r="202" spans="1:75" s="9" customFormat="1" ht="12.5">
      <c r="A202" s="1483" t="str">
        <f t="shared" si="145"/>
        <v>Public Health Wales Trust</v>
      </c>
      <c r="B202" s="1583"/>
      <c r="C202" s="1583"/>
      <c r="D202" s="1583"/>
      <c r="E202" s="1581"/>
      <c r="F202" s="1436"/>
      <c r="G202" s="1547">
        <f t="shared" si="146"/>
        <v>0</v>
      </c>
      <c r="H202" s="1484"/>
      <c r="I202" s="1547">
        <f t="shared" si="147"/>
        <v>0</v>
      </c>
      <c r="J202" s="1485"/>
      <c r="K202" s="1485"/>
      <c r="L202" s="1436"/>
      <c r="M202" s="1439"/>
      <c r="N202" s="1439"/>
      <c r="O202" s="1485"/>
      <c r="P202" s="1486"/>
      <c r="Q202" s="1486"/>
      <c r="R202" s="1487"/>
      <c r="S202" s="1444"/>
      <c r="T202" s="1444"/>
      <c r="U202" s="1444"/>
      <c r="V202" s="1488"/>
      <c r="W202" s="1488"/>
      <c r="X202" s="1488"/>
      <c r="Y202" s="1488"/>
      <c r="Z202" s="1488"/>
      <c r="AA202" s="1488"/>
      <c r="AB202" s="1488"/>
      <c r="AC202" s="1488"/>
      <c r="AD202" s="1488"/>
      <c r="AE202" s="1488"/>
      <c r="AF202" s="1488"/>
      <c r="AG202" s="1488"/>
      <c r="AH202" s="1451">
        <f t="shared" si="119"/>
        <v>0</v>
      </c>
      <c r="AI202" s="1488"/>
      <c r="AJ202" s="1488"/>
      <c r="AK202" s="1488"/>
      <c r="AL202" s="1488"/>
      <c r="AM202" s="1488"/>
      <c r="AN202" s="1488"/>
      <c r="AO202" s="1488"/>
      <c r="AP202" s="1488"/>
      <c r="AQ202" s="1488"/>
      <c r="AR202" s="1488"/>
      <c r="AS202" s="1488"/>
      <c r="AT202" s="1542"/>
      <c r="AU202" s="1599">
        <f t="shared" si="120"/>
        <v>0</v>
      </c>
      <c r="AV202" s="1544">
        <f t="shared" si="148"/>
        <v>0</v>
      </c>
      <c r="AW202" s="1452">
        <f t="shared" si="121"/>
        <v>0</v>
      </c>
      <c r="AX202" s="1452">
        <f t="shared" si="122"/>
        <v>0</v>
      </c>
      <c r="AY202" s="1452">
        <f t="shared" si="123"/>
        <v>0</v>
      </c>
      <c r="AZ202" s="1452">
        <f t="shared" si="124"/>
        <v>0</v>
      </c>
      <c r="BA202" s="1452">
        <f t="shared" si="125"/>
        <v>0</v>
      </c>
      <c r="BB202" s="1452">
        <f t="shared" si="126"/>
        <v>0</v>
      </c>
      <c r="BC202" s="1452">
        <f t="shared" si="127"/>
        <v>0</v>
      </c>
      <c r="BD202" s="1452">
        <f t="shared" si="128"/>
        <v>0</v>
      </c>
      <c r="BE202" s="1452">
        <f t="shared" si="129"/>
        <v>0</v>
      </c>
      <c r="BF202" s="1452">
        <f t="shared" si="130"/>
        <v>0</v>
      </c>
      <c r="BG202" s="1452">
        <f t="shared" si="131"/>
        <v>0</v>
      </c>
      <c r="BH202" s="1452">
        <f t="shared" si="132"/>
        <v>0</v>
      </c>
      <c r="BI202" s="1452">
        <f t="shared" si="149"/>
        <v>0</v>
      </c>
      <c r="BJ202" s="1452" t="str">
        <f t="shared" si="133"/>
        <v/>
      </c>
      <c r="BK202" s="1452" t="str">
        <f t="shared" si="134"/>
        <v/>
      </c>
      <c r="BL202" s="1452" t="str">
        <f t="shared" si="135"/>
        <v/>
      </c>
      <c r="BM202" s="1452" t="str">
        <f t="shared" si="136"/>
        <v/>
      </c>
      <c r="BN202" s="1452" t="str">
        <f t="shared" ca="1" si="137"/>
        <v/>
      </c>
      <c r="BO202" s="1452" t="str">
        <f t="shared" si="150"/>
        <v/>
      </c>
      <c r="BP202" s="1452" t="str">
        <f t="shared" si="138"/>
        <v/>
      </c>
      <c r="BQ202" s="1452" t="str">
        <f t="shared" si="139"/>
        <v/>
      </c>
      <c r="BR202" s="1452" t="str">
        <f t="shared" si="140"/>
        <v/>
      </c>
      <c r="BS202" s="1452" t="str">
        <f t="shared" si="141"/>
        <v/>
      </c>
      <c r="BT202" s="1452" t="str">
        <f t="shared" si="142"/>
        <v/>
      </c>
      <c r="BU202" s="1452" t="str">
        <f t="shared" si="143"/>
        <v/>
      </c>
      <c r="BV202" s="1452" t="str">
        <f t="shared" si="144"/>
        <v/>
      </c>
      <c r="BW202" s="1558">
        <f t="shared" ca="1" si="151"/>
        <v>0</v>
      </c>
    </row>
    <row r="203" spans="1:75" s="9" customFormat="1" ht="12.5">
      <c r="A203" s="1483" t="str">
        <f t="shared" si="145"/>
        <v>Public Health Wales Trust</v>
      </c>
      <c r="B203" s="1583"/>
      <c r="C203" s="1583"/>
      <c r="D203" s="1583"/>
      <c r="E203" s="1581"/>
      <c r="F203" s="1436"/>
      <c r="G203" s="1547">
        <f t="shared" si="146"/>
        <v>0</v>
      </c>
      <c r="H203" s="1484"/>
      <c r="I203" s="1547">
        <f t="shared" si="147"/>
        <v>0</v>
      </c>
      <c r="J203" s="1485"/>
      <c r="K203" s="1485"/>
      <c r="L203" s="1436"/>
      <c r="M203" s="1439"/>
      <c r="N203" s="1439"/>
      <c r="O203" s="1485"/>
      <c r="P203" s="1486"/>
      <c r="Q203" s="1486"/>
      <c r="R203" s="1487"/>
      <c r="S203" s="1444"/>
      <c r="T203" s="1444"/>
      <c r="U203" s="1444"/>
      <c r="V203" s="1488"/>
      <c r="W203" s="1488"/>
      <c r="X203" s="1488"/>
      <c r="Y203" s="1488"/>
      <c r="Z203" s="1488"/>
      <c r="AA203" s="1488"/>
      <c r="AB203" s="1488"/>
      <c r="AC203" s="1488"/>
      <c r="AD203" s="1488"/>
      <c r="AE203" s="1488"/>
      <c r="AF203" s="1488"/>
      <c r="AG203" s="1488"/>
      <c r="AH203" s="1451">
        <f t="shared" si="119"/>
        <v>0</v>
      </c>
      <c r="AI203" s="1488"/>
      <c r="AJ203" s="1488"/>
      <c r="AK203" s="1488"/>
      <c r="AL203" s="1488"/>
      <c r="AM203" s="1488"/>
      <c r="AN203" s="1488"/>
      <c r="AO203" s="1488"/>
      <c r="AP203" s="1488"/>
      <c r="AQ203" s="1488"/>
      <c r="AR203" s="1488"/>
      <c r="AS203" s="1488"/>
      <c r="AT203" s="1542"/>
      <c r="AU203" s="1599">
        <f t="shared" si="120"/>
        <v>0</v>
      </c>
      <c r="AV203" s="1544">
        <f t="shared" si="148"/>
        <v>0</v>
      </c>
      <c r="AW203" s="1452">
        <f t="shared" si="121"/>
        <v>0</v>
      </c>
      <c r="AX203" s="1452">
        <f t="shared" si="122"/>
        <v>0</v>
      </c>
      <c r="AY203" s="1452">
        <f t="shared" si="123"/>
        <v>0</v>
      </c>
      <c r="AZ203" s="1452">
        <f t="shared" si="124"/>
        <v>0</v>
      </c>
      <c r="BA203" s="1452">
        <f t="shared" si="125"/>
        <v>0</v>
      </c>
      <c r="BB203" s="1452">
        <f t="shared" si="126"/>
        <v>0</v>
      </c>
      <c r="BC203" s="1452">
        <f t="shared" si="127"/>
        <v>0</v>
      </c>
      <c r="BD203" s="1452">
        <f t="shared" si="128"/>
        <v>0</v>
      </c>
      <c r="BE203" s="1452">
        <f t="shared" si="129"/>
        <v>0</v>
      </c>
      <c r="BF203" s="1452">
        <f t="shared" si="130"/>
        <v>0</v>
      </c>
      <c r="BG203" s="1452">
        <f t="shared" si="131"/>
        <v>0</v>
      </c>
      <c r="BH203" s="1452">
        <f t="shared" si="132"/>
        <v>0</v>
      </c>
      <c r="BI203" s="1452">
        <f t="shared" si="149"/>
        <v>0</v>
      </c>
      <c r="BJ203" s="1452" t="str">
        <f t="shared" si="133"/>
        <v/>
      </c>
      <c r="BK203" s="1452" t="str">
        <f t="shared" si="134"/>
        <v/>
      </c>
      <c r="BL203" s="1452" t="str">
        <f t="shared" si="135"/>
        <v/>
      </c>
      <c r="BM203" s="1452" t="str">
        <f t="shared" si="136"/>
        <v/>
      </c>
      <c r="BN203" s="1452" t="str">
        <f t="shared" ca="1" si="137"/>
        <v/>
      </c>
      <c r="BO203" s="1452" t="str">
        <f t="shared" si="150"/>
        <v/>
      </c>
      <c r="BP203" s="1452" t="str">
        <f t="shared" si="138"/>
        <v/>
      </c>
      <c r="BQ203" s="1452" t="str">
        <f t="shared" si="139"/>
        <v/>
      </c>
      <c r="BR203" s="1452" t="str">
        <f t="shared" si="140"/>
        <v/>
      </c>
      <c r="BS203" s="1452" t="str">
        <f t="shared" si="141"/>
        <v/>
      </c>
      <c r="BT203" s="1452" t="str">
        <f t="shared" si="142"/>
        <v/>
      </c>
      <c r="BU203" s="1452" t="str">
        <f t="shared" si="143"/>
        <v/>
      </c>
      <c r="BV203" s="1452" t="str">
        <f t="shared" si="144"/>
        <v/>
      </c>
      <c r="BW203" s="1558">
        <f t="shared" ca="1" si="151"/>
        <v>0</v>
      </c>
    </row>
    <row r="204" spans="1:75" s="9" customFormat="1" ht="12.5">
      <c r="A204" s="1483" t="str">
        <f t="shared" si="145"/>
        <v>Public Health Wales Trust</v>
      </c>
      <c r="B204" s="1583"/>
      <c r="C204" s="1583"/>
      <c r="D204" s="1583"/>
      <c r="E204" s="1581"/>
      <c r="F204" s="1436"/>
      <c r="G204" s="1547">
        <f t="shared" si="146"/>
        <v>0</v>
      </c>
      <c r="H204" s="1484"/>
      <c r="I204" s="1547">
        <f t="shared" si="147"/>
        <v>0</v>
      </c>
      <c r="J204" s="1485"/>
      <c r="K204" s="1485"/>
      <c r="L204" s="1436"/>
      <c r="M204" s="1439"/>
      <c r="N204" s="1439"/>
      <c r="O204" s="1485"/>
      <c r="P204" s="1486"/>
      <c r="Q204" s="1486"/>
      <c r="R204" s="1487"/>
      <c r="S204" s="1444"/>
      <c r="T204" s="1444"/>
      <c r="U204" s="1444"/>
      <c r="V204" s="1488"/>
      <c r="W204" s="1488"/>
      <c r="X204" s="1488"/>
      <c r="Y204" s="1488"/>
      <c r="Z204" s="1488"/>
      <c r="AA204" s="1488"/>
      <c r="AB204" s="1488"/>
      <c r="AC204" s="1488"/>
      <c r="AD204" s="1488"/>
      <c r="AE204" s="1488"/>
      <c r="AF204" s="1488"/>
      <c r="AG204" s="1488"/>
      <c r="AH204" s="1451">
        <f t="shared" si="119"/>
        <v>0</v>
      </c>
      <c r="AI204" s="1488"/>
      <c r="AJ204" s="1488"/>
      <c r="AK204" s="1488"/>
      <c r="AL204" s="1488"/>
      <c r="AM204" s="1488"/>
      <c r="AN204" s="1488"/>
      <c r="AO204" s="1488"/>
      <c r="AP204" s="1488"/>
      <c r="AQ204" s="1488"/>
      <c r="AR204" s="1488"/>
      <c r="AS204" s="1488"/>
      <c r="AT204" s="1542"/>
      <c r="AU204" s="1599">
        <f t="shared" si="120"/>
        <v>0</v>
      </c>
      <c r="AV204" s="1544">
        <f t="shared" si="148"/>
        <v>0</v>
      </c>
      <c r="AW204" s="1452">
        <f t="shared" si="121"/>
        <v>0</v>
      </c>
      <c r="AX204" s="1452">
        <f t="shared" si="122"/>
        <v>0</v>
      </c>
      <c r="AY204" s="1452">
        <f t="shared" si="123"/>
        <v>0</v>
      </c>
      <c r="AZ204" s="1452">
        <f t="shared" si="124"/>
        <v>0</v>
      </c>
      <c r="BA204" s="1452">
        <f t="shared" si="125"/>
        <v>0</v>
      </c>
      <c r="BB204" s="1452">
        <f t="shared" si="126"/>
        <v>0</v>
      </c>
      <c r="BC204" s="1452">
        <f t="shared" si="127"/>
        <v>0</v>
      </c>
      <c r="BD204" s="1452">
        <f t="shared" si="128"/>
        <v>0</v>
      </c>
      <c r="BE204" s="1452">
        <f t="shared" si="129"/>
        <v>0</v>
      </c>
      <c r="BF204" s="1452">
        <f t="shared" si="130"/>
        <v>0</v>
      </c>
      <c r="BG204" s="1452">
        <f t="shared" si="131"/>
        <v>0</v>
      </c>
      <c r="BH204" s="1452">
        <f t="shared" si="132"/>
        <v>0</v>
      </c>
      <c r="BI204" s="1452">
        <f t="shared" si="149"/>
        <v>0</v>
      </c>
      <c r="BJ204" s="1452" t="str">
        <f t="shared" si="133"/>
        <v/>
      </c>
      <c r="BK204" s="1452" t="str">
        <f t="shared" si="134"/>
        <v/>
      </c>
      <c r="BL204" s="1452" t="str">
        <f t="shared" si="135"/>
        <v/>
      </c>
      <c r="BM204" s="1452" t="str">
        <f t="shared" si="136"/>
        <v/>
      </c>
      <c r="BN204" s="1452" t="str">
        <f t="shared" ca="1" si="137"/>
        <v/>
      </c>
      <c r="BO204" s="1452" t="str">
        <f t="shared" si="150"/>
        <v/>
      </c>
      <c r="BP204" s="1452" t="str">
        <f t="shared" si="138"/>
        <v/>
      </c>
      <c r="BQ204" s="1452" t="str">
        <f t="shared" si="139"/>
        <v/>
      </c>
      <c r="BR204" s="1452" t="str">
        <f t="shared" si="140"/>
        <v/>
      </c>
      <c r="BS204" s="1452" t="str">
        <f t="shared" si="141"/>
        <v/>
      </c>
      <c r="BT204" s="1452" t="str">
        <f t="shared" si="142"/>
        <v/>
      </c>
      <c r="BU204" s="1452" t="str">
        <f t="shared" si="143"/>
        <v/>
      </c>
      <c r="BV204" s="1452" t="str">
        <f t="shared" si="144"/>
        <v/>
      </c>
      <c r="BW204" s="1558">
        <f t="shared" ca="1" si="151"/>
        <v>0</v>
      </c>
    </row>
    <row r="205" spans="1:75" s="9" customFormat="1" ht="12.5">
      <c r="A205" s="1483" t="str">
        <f t="shared" si="145"/>
        <v>Public Health Wales Trust</v>
      </c>
      <c r="B205" s="1583"/>
      <c r="C205" s="1583"/>
      <c r="D205" s="1583"/>
      <c r="E205" s="1581"/>
      <c r="F205" s="1436"/>
      <c r="G205" s="1547">
        <f t="shared" si="146"/>
        <v>0</v>
      </c>
      <c r="H205" s="1484"/>
      <c r="I205" s="1547">
        <f t="shared" si="147"/>
        <v>0</v>
      </c>
      <c r="J205" s="1485"/>
      <c r="K205" s="1485"/>
      <c r="L205" s="1436"/>
      <c r="M205" s="1439"/>
      <c r="N205" s="1439"/>
      <c r="O205" s="1485"/>
      <c r="P205" s="1486"/>
      <c r="Q205" s="1486"/>
      <c r="R205" s="1487"/>
      <c r="S205" s="1444"/>
      <c r="T205" s="1444"/>
      <c r="U205" s="1444"/>
      <c r="V205" s="1488"/>
      <c r="W205" s="1488"/>
      <c r="X205" s="1488"/>
      <c r="Y205" s="1488"/>
      <c r="Z205" s="1488"/>
      <c r="AA205" s="1488"/>
      <c r="AB205" s="1488"/>
      <c r="AC205" s="1488"/>
      <c r="AD205" s="1488"/>
      <c r="AE205" s="1488"/>
      <c r="AF205" s="1488"/>
      <c r="AG205" s="1488"/>
      <c r="AH205" s="1451">
        <f t="shared" si="119"/>
        <v>0</v>
      </c>
      <c r="AI205" s="1488"/>
      <c r="AJ205" s="1488"/>
      <c r="AK205" s="1488"/>
      <c r="AL205" s="1488"/>
      <c r="AM205" s="1488"/>
      <c r="AN205" s="1488"/>
      <c r="AO205" s="1488"/>
      <c r="AP205" s="1488"/>
      <c r="AQ205" s="1488"/>
      <c r="AR205" s="1488"/>
      <c r="AS205" s="1488"/>
      <c r="AT205" s="1542"/>
      <c r="AU205" s="1599">
        <f t="shared" si="120"/>
        <v>0</v>
      </c>
      <c r="AV205" s="1544">
        <f t="shared" si="148"/>
        <v>0</v>
      </c>
      <c r="AW205" s="1452">
        <f t="shared" si="121"/>
        <v>0</v>
      </c>
      <c r="AX205" s="1452">
        <f t="shared" si="122"/>
        <v>0</v>
      </c>
      <c r="AY205" s="1452">
        <f t="shared" si="123"/>
        <v>0</v>
      </c>
      <c r="AZ205" s="1452">
        <f t="shared" si="124"/>
        <v>0</v>
      </c>
      <c r="BA205" s="1452">
        <f t="shared" si="125"/>
        <v>0</v>
      </c>
      <c r="BB205" s="1452">
        <f t="shared" si="126"/>
        <v>0</v>
      </c>
      <c r="BC205" s="1452">
        <f t="shared" si="127"/>
        <v>0</v>
      </c>
      <c r="BD205" s="1452">
        <f t="shared" si="128"/>
        <v>0</v>
      </c>
      <c r="BE205" s="1452">
        <f t="shared" si="129"/>
        <v>0</v>
      </c>
      <c r="BF205" s="1452">
        <f t="shared" si="130"/>
        <v>0</v>
      </c>
      <c r="BG205" s="1452">
        <f t="shared" si="131"/>
        <v>0</v>
      </c>
      <c r="BH205" s="1452">
        <f t="shared" si="132"/>
        <v>0</v>
      </c>
      <c r="BI205" s="1452">
        <f t="shared" si="149"/>
        <v>0</v>
      </c>
      <c r="BJ205" s="1452" t="str">
        <f t="shared" si="133"/>
        <v/>
      </c>
      <c r="BK205" s="1452" t="str">
        <f t="shared" si="134"/>
        <v/>
      </c>
      <c r="BL205" s="1452" t="str">
        <f t="shared" si="135"/>
        <v/>
      </c>
      <c r="BM205" s="1452" t="str">
        <f t="shared" si="136"/>
        <v/>
      </c>
      <c r="BN205" s="1452" t="str">
        <f t="shared" ca="1" si="137"/>
        <v/>
      </c>
      <c r="BO205" s="1452" t="str">
        <f t="shared" si="150"/>
        <v/>
      </c>
      <c r="BP205" s="1452" t="str">
        <f t="shared" si="138"/>
        <v/>
      </c>
      <c r="BQ205" s="1452" t="str">
        <f t="shared" si="139"/>
        <v/>
      </c>
      <c r="BR205" s="1452" t="str">
        <f t="shared" si="140"/>
        <v/>
      </c>
      <c r="BS205" s="1452" t="str">
        <f t="shared" si="141"/>
        <v/>
      </c>
      <c r="BT205" s="1452" t="str">
        <f t="shared" si="142"/>
        <v/>
      </c>
      <c r="BU205" s="1452" t="str">
        <f t="shared" si="143"/>
        <v/>
      </c>
      <c r="BV205" s="1452" t="str">
        <f t="shared" si="144"/>
        <v/>
      </c>
      <c r="BW205" s="1558">
        <f t="shared" ca="1" si="151"/>
        <v>0</v>
      </c>
    </row>
    <row r="206" spans="1:75" s="9" customFormat="1" ht="12.5">
      <c r="A206" s="1483" t="str">
        <f t="shared" si="145"/>
        <v>Public Health Wales Trust</v>
      </c>
      <c r="B206" s="1583"/>
      <c r="C206" s="1583"/>
      <c r="D206" s="1583"/>
      <c r="E206" s="1581"/>
      <c r="F206" s="1436"/>
      <c r="G206" s="1547">
        <f t="shared" si="146"/>
        <v>0</v>
      </c>
      <c r="H206" s="1484"/>
      <c r="I206" s="1547">
        <f t="shared" si="147"/>
        <v>0</v>
      </c>
      <c r="J206" s="1485"/>
      <c r="K206" s="1485"/>
      <c r="L206" s="1436"/>
      <c r="M206" s="1439"/>
      <c r="N206" s="1439"/>
      <c r="O206" s="1485"/>
      <c r="P206" s="1486"/>
      <c r="Q206" s="1486"/>
      <c r="R206" s="1487"/>
      <c r="S206" s="1444"/>
      <c r="T206" s="1444"/>
      <c r="U206" s="1444"/>
      <c r="V206" s="1488"/>
      <c r="W206" s="1488"/>
      <c r="X206" s="1488"/>
      <c r="Y206" s="1488"/>
      <c r="Z206" s="1488"/>
      <c r="AA206" s="1488"/>
      <c r="AB206" s="1488"/>
      <c r="AC206" s="1488"/>
      <c r="AD206" s="1488"/>
      <c r="AE206" s="1488"/>
      <c r="AF206" s="1488"/>
      <c r="AG206" s="1488"/>
      <c r="AH206" s="1451">
        <f t="shared" si="119"/>
        <v>0</v>
      </c>
      <c r="AI206" s="1488"/>
      <c r="AJ206" s="1488"/>
      <c r="AK206" s="1488"/>
      <c r="AL206" s="1488"/>
      <c r="AM206" s="1488"/>
      <c r="AN206" s="1488"/>
      <c r="AO206" s="1488"/>
      <c r="AP206" s="1488"/>
      <c r="AQ206" s="1488"/>
      <c r="AR206" s="1488"/>
      <c r="AS206" s="1488"/>
      <c r="AT206" s="1542"/>
      <c r="AU206" s="1599">
        <f t="shared" si="120"/>
        <v>0</v>
      </c>
      <c r="AV206" s="1544">
        <f t="shared" si="148"/>
        <v>0</v>
      </c>
      <c r="AW206" s="1452">
        <f t="shared" si="121"/>
        <v>0</v>
      </c>
      <c r="AX206" s="1452">
        <f t="shared" si="122"/>
        <v>0</v>
      </c>
      <c r="AY206" s="1452">
        <f t="shared" si="123"/>
        <v>0</v>
      </c>
      <c r="AZ206" s="1452">
        <f t="shared" si="124"/>
        <v>0</v>
      </c>
      <c r="BA206" s="1452">
        <f t="shared" si="125"/>
        <v>0</v>
      </c>
      <c r="BB206" s="1452">
        <f t="shared" si="126"/>
        <v>0</v>
      </c>
      <c r="BC206" s="1452">
        <f t="shared" si="127"/>
        <v>0</v>
      </c>
      <c r="BD206" s="1452">
        <f t="shared" si="128"/>
        <v>0</v>
      </c>
      <c r="BE206" s="1452">
        <f t="shared" si="129"/>
        <v>0</v>
      </c>
      <c r="BF206" s="1452">
        <f t="shared" si="130"/>
        <v>0</v>
      </c>
      <c r="BG206" s="1452">
        <f t="shared" si="131"/>
        <v>0</v>
      </c>
      <c r="BH206" s="1452">
        <f t="shared" si="132"/>
        <v>0</v>
      </c>
      <c r="BI206" s="1452">
        <f t="shared" si="149"/>
        <v>0</v>
      </c>
      <c r="BJ206" s="1452" t="str">
        <f t="shared" si="133"/>
        <v/>
      </c>
      <c r="BK206" s="1452" t="str">
        <f t="shared" si="134"/>
        <v/>
      </c>
      <c r="BL206" s="1452" t="str">
        <f t="shared" si="135"/>
        <v/>
      </c>
      <c r="BM206" s="1452" t="str">
        <f t="shared" si="136"/>
        <v/>
      </c>
      <c r="BN206" s="1452" t="str">
        <f t="shared" ca="1" si="137"/>
        <v/>
      </c>
      <c r="BO206" s="1452" t="str">
        <f t="shared" si="150"/>
        <v/>
      </c>
      <c r="BP206" s="1452" t="str">
        <f t="shared" si="138"/>
        <v/>
      </c>
      <c r="BQ206" s="1452" t="str">
        <f t="shared" si="139"/>
        <v/>
      </c>
      <c r="BR206" s="1452" t="str">
        <f t="shared" si="140"/>
        <v/>
      </c>
      <c r="BS206" s="1452" t="str">
        <f t="shared" si="141"/>
        <v/>
      </c>
      <c r="BT206" s="1452" t="str">
        <f t="shared" si="142"/>
        <v/>
      </c>
      <c r="BU206" s="1452" t="str">
        <f t="shared" si="143"/>
        <v/>
      </c>
      <c r="BV206" s="1452" t="str">
        <f t="shared" si="144"/>
        <v/>
      </c>
      <c r="BW206" s="1558">
        <f t="shared" ca="1" si="151"/>
        <v>0</v>
      </c>
    </row>
    <row r="207" spans="1:75" s="9" customFormat="1" ht="12.5">
      <c r="A207" s="1483" t="str">
        <f t="shared" si="145"/>
        <v>Public Health Wales Trust</v>
      </c>
      <c r="B207" s="1583"/>
      <c r="C207" s="1583"/>
      <c r="D207" s="1583"/>
      <c r="E207" s="1581"/>
      <c r="F207" s="1436"/>
      <c r="G207" s="1547">
        <f t="shared" si="146"/>
        <v>0</v>
      </c>
      <c r="H207" s="1484"/>
      <c r="I207" s="1547">
        <f t="shared" si="147"/>
        <v>0</v>
      </c>
      <c r="J207" s="1485"/>
      <c r="K207" s="1485"/>
      <c r="L207" s="1436"/>
      <c r="M207" s="1439"/>
      <c r="N207" s="1439"/>
      <c r="O207" s="1485"/>
      <c r="P207" s="1486"/>
      <c r="Q207" s="1486"/>
      <c r="R207" s="1487"/>
      <c r="S207" s="1444"/>
      <c r="T207" s="1444"/>
      <c r="U207" s="1444"/>
      <c r="V207" s="1488"/>
      <c r="W207" s="1488"/>
      <c r="X207" s="1488"/>
      <c r="Y207" s="1488"/>
      <c r="Z207" s="1488"/>
      <c r="AA207" s="1488"/>
      <c r="AB207" s="1488"/>
      <c r="AC207" s="1488"/>
      <c r="AD207" s="1488"/>
      <c r="AE207" s="1488"/>
      <c r="AF207" s="1488"/>
      <c r="AG207" s="1488"/>
      <c r="AH207" s="1451">
        <f t="shared" si="119"/>
        <v>0</v>
      </c>
      <c r="AI207" s="1488"/>
      <c r="AJ207" s="1488"/>
      <c r="AK207" s="1488"/>
      <c r="AL207" s="1488"/>
      <c r="AM207" s="1488"/>
      <c r="AN207" s="1488"/>
      <c r="AO207" s="1488"/>
      <c r="AP207" s="1488"/>
      <c r="AQ207" s="1488"/>
      <c r="AR207" s="1488"/>
      <c r="AS207" s="1488"/>
      <c r="AT207" s="1542"/>
      <c r="AU207" s="1599">
        <f t="shared" si="120"/>
        <v>0</v>
      </c>
      <c r="AV207" s="1544">
        <f t="shared" si="148"/>
        <v>0</v>
      </c>
      <c r="AW207" s="1452">
        <f t="shared" si="121"/>
        <v>0</v>
      </c>
      <c r="AX207" s="1452">
        <f t="shared" si="122"/>
        <v>0</v>
      </c>
      <c r="AY207" s="1452">
        <f t="shared" si="123"/>
        <v>0</v>
      </c>
      <c r="AZ207" s="1452">
        <f t="shared" si="124"/>
        <v>0</v>
      </c>
      <c r="BA207" s="1452">
        <f t="shared" si="125"/>
        <v>0</v>
      </c>
      <c r="BB207" s="1452">
        <f t="shared" si="126"/>
        <v>0</v>
      </c>
      <c r="BC207" s="1452">
        <f t="shared" si="127"/>
        <v>0</v>
      </c>
      <c r="BD207" s="1452">
        <f t="shared" si="128"/>
        <v>0</v>
      </c>
      <c r="BE207" s="1452">
        <f t="shared" si="129"/>
        <v>0</v>
      </c>
      <c r="BF207" s="1452">
        <f t="shared" si="130"/>
        <v>0</v>
      </c>
      <c r="BG207" s="1452">
        <f t="shared" si="131"/>
        <v>0</v>
      </c>
      <c r="BH207" s="1452">
        <f t="shared" si="132"/>
        <v>0</v>
      </c>
      <c r="BI207" s="1452">
        <f t="shared" si="149"/>
        <v>0</v>
      </c>
      <c r="BJ207" s="1452" t="str">
        <f t="shared" si="133"/>
        <v/>
      </c>
      <c r="BK207" s="1452" t="str">
        <f t="shared" si="134"/>
        <v/>
      </c>
      <c r="BL207" s="1452" t="str">
        <f t="shared" si="135"/>
        <v/>
      </c>
      <c r="BM207" s="1452" t="str">
        <f t="shared" si="136"/>
        <v/>
      </c>
      <c r="BN207" s="1452" t="str">
        <f t="shared" ca="1" si="137"/>
        <v/>
      </c>
      <c r="BO207" s="1452" t="str">
        <f t="shared" si="150"/>
        <v/>
      </c>
      <c r="BP207" s="1452" t="str">
        <f t="shared" si="138"/>
        <v/>
      </c>
      <c r="BQ207" s="1452" t="str">
        <f t="shared" si="139"/>
        <v/>
      </c>
      <c r="BR207" s="1452" t="str">
        <f t="shared" si="140"/>
        <v/>
      </c>
      <c r="BS207" s="1452" t="str">
        <f t="shared" si="141"/>
        <v/>
      </c>
      <c r="BT207" s="1452" t="str">
        <f t="shared" si="142"/>
        <v/>
      </c>
      <c r="BU207" s="1452" t="str">
        <f t="shared" si="143"/>
        <v/>
      </c>
      <c r="BV207" s="1452" t="str">
        <f t="shared" si="144"/>
        <v/>
      </c>
      <c r="BW207" s="1558">
        <f t="shared" ca="1" si="151"/>
        <v>0</v>
      </c>
    </row>
    <row r="208" spans="1:75" s="9" customFormat="1" ht="12.5">
      <c r="A208" s="1483" t="str">
        <f t="shared" si="145"/>
        <v>Public Health Wales Trust</v>
      </c>
      <c r="B208" s="1583"/>
      <c r="C208" s="1583"/>
      <c r="D208" s="1583"/>
      <c r="E208" s="1581"/>
      <c r="F208" s="1436"/>
      <c r="G208" s="1547">
        <f t="shared" si="146"/>
        <v>0</v>
      </c>
      <c r="H208" s="1484"/>
      <c r="I208" s="1547">
        <f t="shared" si="147"/>
        <v>0</v>
      </c>
      <c r="J208" s="1485"/>
      <c r="K208" s="1485"/>
      <c r="L208" s="1436"/>
      <c r="M208" s="1439"/>
      <c r="N208" s="1439"/>
      <c r="O208" s="1485"/>
      <c r="P208" s="1486"/>
      <c r="Q208" s="1486"/>
      <c r="R208" s="1487"/>
      <c r="S208" s="1444"/>
      <c r="T208" s="1444"/>
      <c r="U208" s="1444"/>
      <c r="V208" s="1488"/>
      <c r="W208" s="1488"/>
      <c r="X208" s="1488"/>
      <c r="Y208" s="1488"/>
      <c r="Z208" s="1488"/>
      <c r="AA208" s="1488"/>
      <c r="AB208" s="1488"/>
      <c r="AC208" s="1488"/>
      <c r="AD208" s="1488"/>
      <c r="AE208" s="1488"/>
      <c r="AF208" s="1488"/>
      <c r="AG208" s="1488"/>
      <c r="AH208" s="1451">
        <f t="shared" si="119"/>
        <v>0</v>
      </c>
      <c r="AI208" s="1488"/>
      <c r="AJ208" s="1488"/>
      <c r="AK208" s="1488"/>
      <c r="AL208" s="1488"/>
      <c r="AM208" s="1488"/>
      <c r="AN208" s="1488"/>
      <c r="AO208" s="1488"/>
      <c r="AP208" s="1488"/>
      <c r="AQ208" s="1488"/>
      <c r="AR208" s="1488"/>
      <c r="AS208" s="1488"/>
      <c r="AT208" s="1542"/>
      <c r="AU208" s="1599">
        <f t="shared" si="120"/>
        <v>0</v>
      </c>
      <c r="AV208" s="1544">
        <f t="shared" si="148"/>
        <v>0</v>
      </c>
      <c r="AW208" s="1452">
        <f t="shared" si="121"/>
        <v>0</v>
      </c>
      <c r="AX208" s="1452">
        <f t="shared" si="122"/>
        <v>0</v>
      </c>
      <c r="AY208" s="1452">
        <f t="shared" si="123"/>
        <v>0</v>
      </c>
      <c r="AZ208" s="1452">
        <f t="shared" si="124"/>
        <v>0</v>
      </c>
      <c r="BA208" s="1452">
        <f t="shared" si="125"/>
        <v>0</v>
      </c>
      <c r="BB208" s="1452">
        <f t="shared" si="126"/>
        <v>0</v>
      </c>
      <c r="BC208" s="1452">
        <f t="shared" si="127"/>
        <v>0</v>
      </c>
      <c r="BD208" s="1452">
        <f t="shared" si="128"/>
        <v>0</v>
      </c>
      <c r="BE208" s="1452">
        <f t="shared" si="129"/>
        <v>0</v>
      </c>
      <c r="BF208" s="1452">
        <f t="shared" si="130"/>
        <v>0</v>
      </c>
      <c r="BG208" s="1452">
        <f t="shared" si="131"/>
        <v>0</v>
      </c>
      <c r="BH208" s="1452">
        <f t="shared" si="132"/>
        <v>0</v>
      </c>
      <c r="BI208" s="1452">
        <f t="shared" si="149"/>
        <v>0</v>
      </c>
      <c r="BJ208" s="1452" t="str">
        <f t="shared" si="133"/>
        <v/>
      </c>
      <c r="BK208" s="1452" t="str">
        <f t="shared" si="134"/>
        <v/>
      </c>
      <c r="BL208" s="1452" t="str">
        <f t="shared" si="135"/>
        <v/>
      </c>
      <c r="BM208" s="1452" t="str">
        <f t="shared" si="136"/>
        <v/>
      </c>
      <c r="BN208" s="1452" t="str">
        <f t="shared" ca="1" si="137"/>
        <v/>
      </c>
      <c r="BO208" s="1452" t="str">
        <f t="shared" si="150"/>
        <v/>
      </c>
      <c r="BP208" s="1452" t="str">
        <f t="shared" si="138"/>
        <v/>
      </c>
      <c r="BQ208" s="1452" t="str">
        <f t="shared" si="139"/>
        <v/>
      </c>
      <c r="BR208" s="1452" t="str">
        <f t="shared" si="140"/>
        <v/>
      </c>
      <c r="BS208" s="1452" t="str">
        <f t="shared" si="141"/>
        <v/>
      </c>
      <c r="BT208" s="1452" t="str">
        <f t="shared" si="142"/>
        <v/>
      </c>
      <c r="BU208" s="1452" t="str">
        <f t="shared" si="143"/>
        <v/>
      </c>
      <c r="BV208" s="1452" t="str">
        <f t="shared" si="144"/>
        <v/>
      </c>
      <c r="BW208" s="1558">
        <f t="shared" ca="1" si="151"/>
        <v>0</v>
      </c>
    </row>
    <row r="209" spans="1:75" s="9" customFormat="1" ht="12.5">
      <c r="A209" s="1483" t="str">
        <f t="shared" si="145"/>
        <v>Public Health Wales Trust</v>
      </c>
      <c r="B209" s="1583"/>
      <c r="C209" s="1583"/>
      <c r="D209" s="1583"/>
      <c r="E209" s="1581"/>
      <c r="F209" s="1436"/>
      <c r="G209" s="1547">
        <f t="shared" si="146"/>
        <v>0</v>
      </c>
      <c r="H209" s="1484"/>
      <c r="I209" s="1547">
        <f t="shared" si="147"/>
        <v>0</v>
      </c>
      <c r="J209" s="1485"/>
      <c r="K209" s="1485"/>
      <c r="L209" s="1436"/>
      <c r="M209" s="1439"/>
      <c r="N209" s="1439"/>
      <c r="O209" s="1485"/>
      <c r="P209" s="1486"/>
      <c r="Q209" s="1486"/>
      <c r="R209" s="1487"/>
      <c r="S209" s="1444"/>
      <c r="T209" s="1444"/>
      <c r="U209" s="1444"/>
      <c r="V209" s="1488"/>
      <c r="W209" s="1488"/>
      <c r="X209" s="1488"/>
      <c r="Y209" s="1488"/>
      <c r="Z209" s="1488"/>
      <c r="AA209" s="1488"/>
      <c r="AB209" s="1488"/>
      <c r="AC209" s="1488"/>
      <c r="AD209" s="1488"/>
      <c r="AE209" s="1488"/>
      <c r="AF209" s="1488"/>
      <c r="AG209" s="1488"/>
      <c r="AH209" s="1451">
        <f t="shared" si="119"/>
        <v>0</v>
      </c>
      <c r="AI209" s="1488"/>
      <c r="AJ209" s="1488"/>
      <c r="AK209" s="1488"/>
      <c r="AL209" s="1488"/>
      <c r="AM209" s="1488"/>
      <c r="AN209" s="1488"/>
      <c r="AO209" s="1488"/>
      <c r="AP209" s="1488"/>
      <c r="AQ209" s="1488"/>
      <c r="AR209" s="1488"/>
      <c r="AS209" s="1488"/>
      <c r="AT209" s="1542"/>
      <c r="AU209" s="1599">
        <f t="shared" si="120"/>
        <v>0</v>
      </c>
      <c r="AV209" s="1544">
        <f t="shared" si="148"/>
        <v>0</v>
      </c>
      <c r="AW209" s="1452">
        <f t="shared" si="121"/>
        <v>0</v>
      </c>
      <c r="AX209" s="1452">
        <f t="shared" si="122"/>
        <v>0</v>
      </c>
      <c r="AY209" s="1452">
        <f t="shared" si="123"/>
        <v>0</v>
      </c>
      <c r="AZ209" s="1452">
        <f t="shared" si="124"/>
        <v>0</v>
      </c>
      <c r="BA209" s="1452">
        <f t="shared" si="125"/>
        <v>0</v>
      </c>
      <c r="BB209" s="1452">
        <f t="shared" si="126"/>
        <v>0</v>
      </c>
      <c r="BC209" s="1452">
        <f t="shared" si="127"/>
        <v>0</v>
      </c>
      <c r="BD209" s="1452">
        <f t="shared" si="128"/>
        <v>0</v>
      </c>
      <c r="BE209" s="1452">
        <f t="shared" si="129"/>
        <v>0</v>
      </c>
      <c r="BF209" s="1452">
        <f t="shared" si="130"/>
        <v>0</v>
      </c>
      <c r="BG209" s="1452">
        <f t="shared" si="131"/>
        <v>0</v>
      </c>
      <c r="BH209" s="1452">
        <f t="shared" si="132"/>
        <v>0</v>
      </c>
      <c r="BI209" s="1452">
        <f t="shared" si="149"/>
        <v>0</v>
      </c>
      <c r="BJ209" s="1452" t="str">
        <f t="shared" si="133"/>
        <v/>
      </c>
      <c r="BK209" s="1452" t="str">
        <f t="shared" si="134"/>
        <v/>
      </c>
      <c r="BL209" s="1452" t="str">
        <f t="shared" si="135"/>
        <v/>
      </c>
      <c r="BM209" s="1452" t="str">
        <f t="shared" si="136"/>
        <v/>
      </c>
      <c r="BN209" s="1452" t="str">
        <f t="shared" ca="1" si="137"/>
        <v/>
      </c>
      <c r="BO209" s="1452" t="str">
        <f t="shared" si="150"/>
        <v/>
      </c>
      <c r="BP209" s="1452" t="str">
        <f t="shared" si="138"/>
        <v/>
      </c>
      <c r="BQ209" s="1452" t="str">
        <f t="shared" si="139"/>
        <v/>
      </c>
      <c r="BR209" s="1452" t="str">
        <f t="shared" si="140"/>
        <v/>
      </c>
      <c r="BS209" s="1452" t="str">
        <f t="shared" si="141"/>
        <v/>
      </c>
      <c r="BT209" s="1452" t="str">
        <f t="shared" si="142"/>
        <v/>
      </c>
      <c r="BU209" s="1452" t="str">
        <f t="shared" si="143"/>
        <v/>
      </c>
      <c r="BV209" s="1452" t="str">
        <f t="shared" si="144"/>
        <v/>
      </c>
      <c r="BW209" s="1558">
        <f t="shared" ca="1" si="151"/>
        <v>0</v>
      </c>
    </row>
    <row r="210" spans="1:75" s="9" customFormat="1" ht="12.5">
      <c r="A210" s="1483" t="str">
        <f t="shared" si="145"/>
        <v>Public Health Wales Trust</v>
      </c>
      <c r="B210" s="1583"/>
      <c r="C210" s="1583"/>
      <c r="D210" s="1583"/>
      <c r="E210" s="1581"/>
      <c r="F210" s="1436"/>
      <c r="G210" s="1547">
        <f t="shared" si="146"/>
        <v>0</v>
      </c>
      <c r="H210" s="1484"/>
      <c r="I210" s="1547">
        <f t="shared" si="147"/>
        <v>0</v>
      </c>
      <c r="J210" s="1485"/>
      <c r="K210" s="1485"/>
      <c r="L210" s="1436"/>
      <c r="M210" s="1439"/>
      <c r="N210" s="1439"/>
      <c r="O210" s="1485"/>
      <c r="P210" s="1486"/>
      <c r="Q210" s="1486"/>
      <c r="R210" s="1487"/>
      <c r="S210" s="1444"/>
      <c r="T210" s="1444"/>
      <c r="U210" s="1444"/>
      <c r="V210" s="1488"/>
      <c r="W210" s="1488"/>
      <c r="X210" s="1488"/>
      <c r="Y210" s="1488"/>
      <c r="Z210" s="1488"/>
      <c r="AA210" s="1488"/>
      <c r="AB210" s="1488"/>
      <c r="AC210" s="1488"/>
      <c r="AD210" s="1488"/>
      <c r="AE210" s="1488"/>
      <c r="AF210" s="1488"/>
      <c r="AG210" s="1488"/>
      <c r="AH210" s="1451">
        <f t="shared" si="119"/>
        <v>0</v>
      </c>
      <c r="AI210" s="1488"/>
      <c r="AJ210" s="1488"/>
      <c r="AK210" s="1488"/>
      <c r="AL210" s="1488"/>
      <c r="AM210" s="1488"/>
      <c r="AN210" s="1488"/>
      <c r="AO210" s="1488"/>
      <c r="AP210" s="1488"/>
      <c r="AQ210" s="1488"/>
      <c r="AR210" s="1488"/>
      <c r="AS210" s="1488"/>
      <c r="AT210" s="1542"/>
      <c r="AU210" s="1599">
        <f t="shared" si="120"/>
        <v>0</v>
      </c>
      <c r="AV210" s="1544">
        <f t="shared" si="148"/>
        <v>0</v>
      </c>
      <c r="AW210" s="1452">
        <f t="shared" si="121"/>
        <v>0</v>
      </c>
      <c r="AX210" s="1452">
        <f t="shared" si="122"/>
        <v>0</v>
      </c>
      <c r="AY210" s="1452">
        <f t="shared" si="123"/>
        <v>0</v>
      </c>
      <c r="AZ210" s="1452">
        <f t="shared" si="124"/>
        <v>0</v>
      </c>
      <c r="BA210" s="1452">
        <f t="shared" si="125"/>
        <v>0</v>
      </c>
      <c r="BB210" s="1452">
        <f t="shared" si="126"/>
        <v>0</v>
      </c>
      <c r="BC210" s="1452">
        <f t="shared" si="127"/>
        <v>0</v>
      </c>
      <c r="BD210" s="1452">
        <f t="shared" si="128"/>
        <v>0</v>
      </c>
      <c r="BE210" s="1452">
        <f t="shared" si="129"/>
        <v>0</v>
      </c>
      <c r="BF210" s="1452">
        <f t="shared" si="130"/>
        <v>0</v>
      </c>
      <c r="BG210" s="1452">
        <f t="shared" si="131"/>
        <v>0</v>
      </c>
      <c r="BH210" s="1452">
        <f t="shared" si="132"/>
        <v>0</v>
      </c>
      <c r="BI210" s="1452">
        <f t="shared" si="149"/>
        <v>0</v>
      </c>
      <c r="BJ210" s="1452" t="str">
        <f t="shared" si="133"/>
        <v/>
      </c>
      <c r="BK210" s="1452" t="str">
        <f t="shared" si="134"/>
        <v/>
      </c>
      <c r="BL210" s="1452" t="str">
        <f t="shared" si="135"/>
        <v/>
      </c>
      <c r="BM210" s="1452" t="str">
        <f t="shared" si="136"/>
        <v/>
      </c>
      <c r="BN210" s="1452" t="str">
        <f t="shared" ca="1" si="137"/>
        <v/>
      </c>
      <c r="BO210" s="1452" t="str">
        <f t="shared" si="150"/>
        <v/>
      </c>
      <c r="BP210" s="1452" t="str">
        <f t="shared" si="138"/>
        <v/>
      </c>
      <c r="BQ210" s="1452" t="str">
        <f t="shared" si="139"/>
        <v/>
      </c>
      <c r="BR210" s="1452" t="str">
        <f t="shared" si="140"/>
        <v/>
      </c>
      <c r="BS210" s="1452" t="str">
        <f t="shared" si="141"/>
        <v/>
      </c>
      <c r="BT210" s="1452" t="str">
        <f t="shared" si="142"/>
        <v/>
      </c>
      <c r="BU210" s="1452" t="str">
        <f t="shared" si="143"/>
        <v/>
      </c>
      <c r="BV210" s="1452" t="str">
        <f t="shared" si="144"/>
        <v/>
      </c>
      <c r="BW210" s="1558">
        <f t="shared" ca="1" si="151"/>
        <v>0</v>
      </c>
    </row>
    <row r="211" spans="1:75" s="9" customFormat="1" ht="12.5">
      <c r="A211" s="1483" t="str">
        <f t="shared" si="145"/>
        <v>Public Health Wales Trust</v>
      </c>
      <c r="B211" s="1583"/>
      <c r="C211" s="1583"/>
      <c r="D211" s="1583"/>
      <c r="E211" s="1581"/>
      <c r="F211" s="1436"/>
      <c r="G211" s="1547">
        <f t="shared" si="146"/>
        <v>0</v>
      </c>
      <c r="H211" s="1484"/>
      <c r="I211" s="1547">
        <f t="shared" si="147"/>
        <v>0</v>
      </c>
      <c r="J211" s="1485"/>
      <c r="K211" s="1485"/>
      <c r="L211" s="1436"/>
      <c r="M211" s="1439"/>
      <c r="N211" s="1439"/>
      <c r="O211" s="1485"/>
      <c r="P211" s="1486"/>
      <c r="Q211" s="1486"/>
      <c r="R211" s="1487"/>
      <c r="S211" s="1444"/>
      <c r="T211" s="1444"/>
      <c r="U211" s="1444"/>
      <c r="V211" s="1488"/>
      <c r="W211" s="1488"/>
      <c r="X211" s="1488"/>
      <c r="Y211" s="1488"/>
      <c r="Z211" s="1488"/>
      <c r="AA211" s="1488"/>
      <c r="AB211" s="1488"/>
      <c r="AC211" s="1488"/>
      <c r="AD211" s="1488"/>
      <c r="AE211" s="1488"/>
      <c r="AF211" s="1488"/>
      <c r="AG211" s="1488"/>
      <c r="AH211" s="1451">
        <f t="shared" si="119"/>
        <v>0</v>
      </c>
      <c r="AI211" s="1488"/>
      <c r="AJ211" s="1488"/>
      <c r="AK211" s="1488"/>
      <c r="AL211" s="1488"/>
      <c r="AM211" s="1488"/>
      <c r="AN211" s="1488"/>
      <c r="AO211" s="1488"/>
      <c r="AP211" s="1488"/>
      <c r="AQ211" s="1488"/>
      <c r="AR211" s="1488"/>
      <c r="AS211" s="1488"/>
      <c r="AT211" s="1542"/>
      <c r="AU211" s="1599">
        <f t="shared" si="120"/>
        <v>0</v>
      </c>
      <c r="AV211" s="1544">
        <f t="shared" si="148"/>
        <v>0</v>
      </c>
      <c r="AW211" s="1452">
        <f t="shared" si="121"/>
        <v>0</v>
      </c>
      <c r="AX211" s="1452">
        <f t="shared" si="122"/>
        <v>0</v>
      </c>
      <c r="AY211" s="1452">
        <f t="shared" si="123"/>
        <v>0</v>
      </c>
      <c r="AZ211" s="1452">
        <f t="shared" si="124"/>
        <v>0</v>
      </c>
      <c r="BA211" s="1452">
        <f t="shared" si="125"/>
        <v>0</v>
      </c>
      <c r="BB211" s="1452">
        <f t="shared" si="126"/>
        <v>0</v>
      </c>
      <c r="BC211" s="1452">
        <f t="shared" si="127"/>
        <v>0</v>
      </c>
      <c r="BD211" s="1452">
        <f t="shared" si="128"/>
        <v>0</v>
      </c>
      <c r="BE211" s="1452">
        <f t="shared" si="129"/>
        <v>0</v>
      </c>
      <c r="BF211" s="1452">
        <f t="shared" si="130"/>
        <v>0</v>
      </c>
      <c r="BG211" s="1452">
        <f t="shared" si="131"/>
        <v>0</v>
      </c>
      <c r="BH211" s="1452">
        <f t="shared" si="132"/>
        <v>0</v>
      </c>
      <c r="BI211" s="1452">
        <f t="shared" si="149"/>
        <v>0</v>
      </c>
      <c r="BJ211" s="1452" t="str">
        <f t="shared" si="133"/>
        <v/>
      </c>
      <c r="BK211" s="1452" t="str">
        <f t="shared" si="134"/>
        <v/>
      </c>
      <c r="BL211" s="1452" t="str">
        <f t="shared" si="135"/>
        <v/>
      </c>
      <c r="BM211" s="1452" t="str">
        <f t="shared" si="136"/>
        <v/>
      </c>
      <c r="BN211" s="1452" t="str">
        <f t="shared" ca="1" si="137"/>
        <v/>
      </c>
      <c r="BO211" s="1452" t="str">
        <f t="shared" si="150"/>
        <v/>
      </c>
      <c r="BP211" s="1452" t="str">
        <f t="shared" si="138"/>
        <v/>
      </c>
      <c r="BQ211" s="1452" t="str">
        <f t="shared" si="139"/>
        <v/>
      </c>
      <c r="BR211" s="1452" t="str">
        <f t="shared" si="140"/>
        <v/>
      </c>
      <c r="BS211" s="1452" t="str">
        <f t="shared" si="141"/>
        <v/>
      </c>
      <c r="BT211" s="1452" t="str">
        <f t="shared" si="142"/>
        <v/>
      </c>
      <c r="BU211" s="1452" t="str">
        <f t="shared" si="143"/>
        <v/>
      </c>
      <c r="BV211" s="1452" t="str">
        <f t="shared" si="144"/>
        <v/>
      </c>
      <c r="BW211" s="1558">
        <f t="shared" ca="1" si="151"/>
        <v>0</v>
      </c>
    </row>
    <row r="212" spans="1:75" s="9" customFormat="1" ht="12.5">
      <c r="A212" s="1483" t="str">
        <f t="shared" si="145"/>
        <v>Public Health Wales Trust</v>
      </c>
      <c r="B212" s="1583"/>
      <c r="C212" s="1583"/>
      <c r="D212" s="1583"/>
      <c r="E212" s="1581"/>
      <c r="F212" s="1436"/>
      <c r="G212" s="1547">
        <f t="shared" si="146"/>
        <v>0</v>
      </c>
      <c r="H212" s="1484"/>
      <c r="I212" s="1547">
        <f t="shared" si="147"/>
        <v>0</v>
      </c>
      <c r="J212" s="1485"/>
      <c r="K212" s="1485"/>
      <c r="L212" s="1436"/>
      <c r="M212" s="1439"/>
      <c r="N212" s="1439"/>
      <c r="O212" s="1485"/>
      <c r="P212" s="1486"/>
      <c r="Q212" s="1486"/>
      <c r="R212" s="1487"/>
      <c r="S212" s="1444"/>
      <c r="T212" s="1444"/>
      <c r="U212" s="1444"/>
      <c r="V212" s="1488"/>
      <c r="W212" s="1488"/>
      <c r="X212" s="1488"/>
      <c r="Y212" s="1488"/>
      <c r="Z212" s="1488"/>
      <c r="AA212" s="1488"/>
      <c r="AB212" s="1488"/>
      <c r="AC212" s="1488"/>
      <c r="AD212" s="1488"/>
      <c r="AE212" s="1488"/>
      <c r="AF212" s="1488"/>
      <c r="AG212" s="1488"/>
      <c r="AH212" s="1451">
        <f t="shared" si="119"/>
        <v>0</v>
      </c>
      <c r="AI212" s="1488"/>
      <c r="AJ212" s="1488"/>
      <c r="AK212" s="1488"/>
      <c r="AL212" s="1488"/>
      <c r="AM212" s="1488"/>
      <c r="AN212" s="1488"/>
      <c r="AO212" s="1488"/>
      <c r="AP212" s="1488"/>
      <c r="AQ212" s="1488"/>
      <c r="AR212" s="1488"/>
      <c r="AS212" s="1488"/>
      <c r="AT212" s="1542"/>
      <c r="AU212" s="1599">
        <f t="shared" si="120"/>
        <v>0</v>
      </c>
      <c r="AV212" s="1544">
        <f t="shared" si="148"/>
        <v>0</v>
      </c>
      <c r="AW212" s="1452">
        <f t="shared" si="121"/>
        <v>0</v>
      </c>
      <c r="AX212" s="1452">
        <f t="shared" si="122"/>
        <v>0</v>
      </c>
      <c r="AY212" s="1452">
        <f t="shared" si="123"/>
        <v>0</v>
      </c>
      <c r="AZ212" s="1452">
        <f t="shared" si="124"/>
        <v>0</v>
      </c>
      <c r="BA212" s="1452">
        <f t="shared" si="125"/>
        <v>0</v>
      </c>
      <c r="BB212" s="1452">
        <f t="shared" si="126"/>
        <v>0</v>
      </c>
      <c r="BC212" s="1452">
        <f t="shared" si="127"/>
        <v>0</v>
      </c>
      <c r="BD212" s="1452">
        <f t="shared" si="128"/>
        <v>0</v>
      </c>
      <c r="BE212" s="1452">
        <f t="shared" si="129"/>
        <v>0</v>
      </c>
      <c r="BF212" s="1452">
        <f t="shared" si="130"/>
        <v>0</v>
      </c>
      <c r="BG212" s="1452">
        <f t="shared" si="131"/>
        <v>0</v>
      </c>
      <c r="BH212" s="1452">
        <f t="shared" si="132"/>
        <v>0</v>
      </c>
      <c r="BI212" s="1452">
        <f t="shared" si="149"/>
        <v>0</v>
      </c>
      <c r="BJ212" s="1452" t="str">
        <f t="shared" si="133"/>
        <v/>
      </c>
      <c r="BK212" s="1452" t="str">
        <f t="shared" si="134"/>
        <v/>
      </c>
      <c r="BL212" s="1452" t="str">
        <f t="shared" si="135"/>
        <v/>
      </c>
      <c r="BM212" s="1452" t="str">
        <f t="shared" si="136"/>
        <v/>
      </c>
      <c r="BN212" s="1452" t="str">
        <f t="shared" ca="1" si="137"/>
        <v/>
      </c>
      <c r="BO212" s="1452" t="str">
        <f t="shared" si="150"/>
        <v/>
      </c>
      <c r="BP212" s="1452" t="str">
        <f t="shared" si="138"/>
        <v/>
      </c>
      <c r="BQ212" s="1452" t="str">
        <f t="shared" si="139"/>
        <v/>
      </c>
      <c r="BR212" s="1452" t="str">
        <f t="shared" si="140"/>
        <v/>
      </c>
      <c r="BS212" s="1452" t="str">
        <f t="shared" si="141"/>
        <v/>
      </c>
      <c r="BT212" s="1452" t="str">
        <f t="shared" si="142"/>
        <v/>
      </c>
      <c r="BU212" s="1452" t="str">
        <f t="shared" si="143"/>
        <v/>
      </c>
      <c r="BV212" s="1452" t="str">
        <f t="shared" si="144"/>
        <v/>
      </c>
      <c r="BW212" s="1558">
        <f t="shared" ca="1" si="151"/>
        <v>0</v>
      </c>
    </row>
    <row r="213" spans="1:75" s="9" customFormat="1" ht="12.5">
      <c r="A213" s="1483" t="str">
        <f t="shared" si="145"/>
        <v>Public Health Wales Trust</v>
      </c>
      <c r="B213" s="1583"/>
      <c r="C213" s="1583"/>
      <c r="D213" s="1583"/>
      <c r="E213" s="1581"/>
      <c r="F213" s="1436"/>
      <c r="G213" s="1547">
        <f t="shared" si="146"/>
        <v>0</v>
      </c>
      <c r="H213" s="1484"/>
      <c r="I213" s="1547">
        <f t="shared" si="147"/>
        <v>0</v>
      </c>
      <c r="J213" s="1485"/>
      <c r="K213" s="1485"/>
      <c r="L213" s="1436"/>
      <c r="M213" s="1439"/>
      <c r="N213" s="1439"/>
      <c r="O213" s="1485"/>
      <c r="P213" s="1486"/>
      <c r="Q213" s="1486"/>
      <c r="R213" s="1487"/>
      <c r="S213" s="1444"/>
      <c r="T213" s="1444"/>
      <c r="U213" s="1444"/>
      <c r="V213" s="1488"/>
      <c r="W213" s="1488"/>
      <c r="X213" s="1488"/>
      <c r="Y213" s="1488"/>
      <c r="Z213" s="1488"/>
      <c r="AA213" s="1488"/>
      <c r="AB213" s="1488"/>
      <c r="AC213" s="1488"/>
      <c r="AD213" s="1488"/>
      <c r="AE213" s="1488"/>
      <c r="AF213" s="1488"/>
      <c r="AG213" s="1488"/>
      <c r="AH213" s="1451">
        <f t="shared" si="119"/>
        <v>0</v>
      </c>
      <c r="AI213" s="1488"/>
      <c r="AJ213" s="1488"/>
      <c r="AK213" s="1488"/>
      <c r="AL213" s="1488"/>
      <c r="AM213" s="1488"/>
      <c r="AN213" s="1488"/>
      <c r="AO213" s="1488"/>
      <c r="AP213" s="1488"/>
      <c r="AQ213" s="1488"/>
      <c r="AR213" s="1488"/>
      <c r="AS213" s="1488"/>
      <c r="AT213" s="1542"/>
      <c r="AU213" s="1599">
        <f t="shared" si="120"/>
        <v>0</v>
      </c>
      <c r="AV213" s="1544">
        <f t="shared" si="148"/>
        <v>0</v>
      </c>
      <c r="AW213" s="1452">
        <f t="shared" si="121"/>
        <v>0</v>
      </c>
      <c r="AX213" s="1452">
        <f t="shared" si="122"/>
        <v>0</v>
      </c>
      <c r="AY213" s="1452">
        <f t="shared" si="123"/>
        <v>0</v>
      </c>
      <c r="AZ213" s="1452">
        <f t="shared" si="124"/>
        <v>0</v>
      </c>
      <c r="BA213" s="1452">
        <f t="shared" si="125"/>
        <v>0</v>
      </c>
      <c r="BB213" s="1452">
        <f t="shared" si="126"/>
        <v>0</v>
      </c>
      <c r="BC213" s="1452">
        <f t="shared" si="127"/>
        <v>0</v>
      </c>
      <c r="BD213" s="1452">
        <f t="shared" si="128"/>
        <v>0</v>
      </c>
      <c r="BE213" s="1452">
        <f t="shared" si="129"/>
        <v>0</v>
      </c>
      <c r="BF213" s="1452">
        <f t="shared" si="130"/>
        <v>0</v>
      </c>
      <c r="BG213" s="1452">
        <f t="shared" si="131"/>
        <v>0</v>
      </c>
      <c r="BH213" s="1452">
        <f t="shared" si="132"/>
        <v>0</v>
      </c>
      <c r="BI213" s="1452">
        <f t="shared" si="149"/>
        <v>0</v>
      </c>
      <c r="BJ213" s="1452" t="str">
        <f t="shared" si="133"/>
        <v/>
      </c>
      <c r="BK213" s="1452" t="str">
        <f t="shared" si="134"/>
        <v/>
      </c>
      <c r="BL213" s="1452" t="str">
        <f t="shared" si="135"/>
        <v/>
      </c>
      <c r="BM213" s="1452" t="str">
        <f t="shared" si="136"/>
        <v/>
      </c>
      <c r="BN213" s="1452" t="str">
        <f t="shared" ca="1" si="137"/>
        <v/>
      </c>
      <c r="BO213" s="1452" t="str">
        <f t="shared" si="150"/>
        <v/>
      </c>
      <c r="BP213" s="1452" t="str">
        <f t="shared" si="138"/>
        <v/>
      </c>
      <c r="BQ213" s="1452" t="str">
        <f t="shared" si="139"/>
        <v/>
      </c>
      <c r="BR213" s="1452" t="str">
        <f t="shared" si="140"/>
        <v/>
      </c>
      <c r="BS213" s="1452" t="str">
        <f t="shared" si="141"/>
        <v/>
      </c>
      <c r="BT213" s="1452" t="str">
        <f t="shared" si="142"/>
        <v/>
      </c>
      <c r="BU213" s="1452" t="str">
        <f t="shared" si="143"/>
        <v/>
      </c>
      <c r="BV213" s="1452" t="str">
        <f t="shared" si="144"/>
        <v/>
      </c>
      <c r="BW213" s="1558">
        <f t="shared" ca="1" si="151"/>
        <v>0</v>
      </c>
    </row>
    <row r="214" spans="1:75" s="9" customFormat="1" ht="12.5">
      <c r="A214" s="1483" t="str">
        <f t="shared" si="145"/>
        <v>Public Health Wales Trust</v>
      </c>
      <c r="B214" s="1583"/>
      <c r="C214" s="1583"/>
      <c r="D214" s="1583"/>
      <c r="E214" s="1581"/>
      <c r="F214" s="1436"/>
      <c r="G214" s="1547">
        <f t="shared" si="146"/>
        <v>0</v>
      </c>
      <c r="H214" s="1484"/>
      <c r="I214" s="1547">
        <f t="shared" si="147"/>
        <v>0</v>
      </c>
      <c r="J214" s="1485"/>
      <c r="K214" s="1485"/>
      <c r="L214" s="1436"/>
      <c r="M214" s="1439"/>
      <c r="N214" s="1439"/>
      <c r="O214" s="1485"/>
      <c r="P214" s="1486"/>
      <c r="Q214" s="1486"/>
      <c r="R214" s="1487"/>
      <c r="S214" s="1444"/>
      <c r="T214" s="1444"/>
      <c r="U214" s="1444"/>
      <c r="V214" s="1488"/>
      <c r="W214" s="1488"/>
      <c r="X214" s="1488"/>
      <c r="Y214" s="1488"/>
      <c r="Z214" s="1488"/>
      <c r="AA214" s="1488"/>
      <c r="AB214" s="1488"/>
      <c r="AC214" s="1488"/>
      <c r="AD214" s="1488"/>
      <c r="AE214" s="1488"/>
      <c r="AF214" s="1488"/>
      <c r="AG214" s="1488"/>
      <c r="AH214" s="1451">
        <f t="shared" si="119"/>
        <v>0</v>
      </c>
      <c r="AI214" s="1488"/>
      <c r="AJ214" s="1488"/>
      <c r="AK214" s="1488"/>
      <c r="AL214" s="1488"/>
      <c r="AM214" s="1488"/>
      <c r="AN214" s="1488"/>
      <c r="AO214" s="1488"/>
      <c r="AP214" s="1488"/>
      <c r="AQ214" s="1488"/>
      <c r="AR214" s="1488"/>
      <c r="AS214" s="1488"/>
      <c r="AT214" s="1542"/>
      <c r="AU214" s="1599">
        <f t="shared" si="120"/>
        <v>0</v>
      </c>
      <c r="AV214" s="1544">
        <f t="shared" si="148"/>
        <v>0</v>
      </c>
      <c r="AW214" s="1452">
        <f t="shared" si="121"/>
        <v>0</v>
      </c>
      <c r="AX214" s="1452">
        <f t="shared" si="122"/>
        <v>0</v>
      </c>
      <c r="AY214" s="1452">
        <f t="shared" si="123"/>
        <v>0</v>
      </c>
      <c r="AZ214" s="1452">
        <f t="shared" si="124"/>
        <v>0</v>
      </c>
      <c r="BA214" s="1452">
        <f t="shared" si="125"/>
        <v>0</v>
      </c>
      <c r="BB214" s="1452">
        <f t="shared" si="126"/>
        <v>0</v>
      </c>
      <c r="BC214" s="1452">
        <f t="shared" si="127"/>
        <v>0</v>
      </c>
      <c r="BD214" s="1452">
        <f t="shared" si="128"/>
        <v>0</v>
      </c>
      <c r="BE214" s="1452">
        <f t="shared" si="129"/>
        <v>0</v>
      </c>
      <c r="BF214" s="1452">
        <f t="shared" si="130"/>
        <v>0</v>
      </c>
      <c r="BG214" s="1452">
        <f t="shared" si="131"/>
        <v>0</v>
      </c>
      <c r="BH214" s="1452">
        <f t="shared" si="132"/>
        <v>0</v>
      </c>
      <c r="BI214" s="1452">
        <f t="shared" si="149"/>
        <v>0</v>
      </c>
      <c r="BJ214" s="1452" t="str">
        <f t="shared" si="133"/>
        <v/>
      </c>
      <c r="BK214" s="1452" t="str">
        <f t="shared" si="134"/>
        <v/>
      </c>
      <c r="BL214" s="1452" t="str">
        <f t="shared" si="135"/>
        <v/>
      </c>
      <c r="BM214" s="1452" t="str">
        <f t="shared" si="136"/>
        <v/>
      </c>
      <c r="BN214" s="1452" t="str">
        <f t="shared" ca="1" si="137"/>
        <v/>
      </c>
      <c r="BO214" s="1452" t="str">
        <f t="shared" si="150"/>
        <v/>
      </c>
      <c r="BP214" s="1452" t="str">
        <f t="shared" si="138"/>
        <v/>
      </c>
      <c r="BQ214" s="1452" t="str">
        <f t="shared" si="139"/>
        <v/>
      </c>
      <c r="BR214" s="1452" t="str">
        <f t="shared" si="140"/>
        <v/>
      </c>
      <c r="BS214" s="1452" t="str">
        <f t="shared" si="141"/>
        <v/>
      </c>
      <c r="BT214" s="1452" t="str">
        <f t="shared" si="142"/>
        <v/>
      </c>
      <c r="BU214" s="1452" t="str">
        <f t="shared" si="143"/>
        <v/>
      </c>
      <c r="BV214" s="1452" t="str">
        <f t="shared" si="144"/>
        <v/>
      </c>
      <c r="BW214" s="1558">
        <f t="shared" ca="1" si="151"/>
        <v>0</v>
      </c>
    </row>
    <row r="215" spans="1:75" s="9" customFormat="1" ht="12.5">
      <c r="A215" s="1483" t="str">
        <f t="shared" si="145"/>
        <v>Public Health Wales Trust</v>
      </c>
      <c r="B215" s="1583"/>
      <c r="C215" s="1583"/>
      <c r="D215" s="1583"/>
      <c r="E215" s="1581"/>
      <c r="F215" s="1436"/>
      <c r="G215" s="1547">
        <f t="shared" si="146"/>
        <v>0</v>
      </c>
      <c r="H215" s="1484"/>
      <c r="I215" s="1547">
        <f t="shared" si="147"/>
        <v>0</v>
      </c>
      <c r="J215" s="1485"/>
      <c r="K215" s="1485"/>
      <c r="L215" s="1436"/>
      <c r="M215" s="1439"/>
      <c r="N215" s="1439"/>
      <c r="O215" s="1485"/>
      <c r="P215" s="1486"/>
      <c r="Q215" s="1486"/>
      <c r="R215" s="1487"/>
      <c r="S215" s="1444"/>
      <c r="T215" s="1444"/>
      <c r="U215" s="1444"/>
      <c r="V215" s="1488"/>
      <c r="W215" s="1488"/>
      <c r="X215" s="1488"/>
      <c r="Y215" s="1488"/>
      <c r="Z215" s="1488"/>
      <c r="AA215" s="1488"/>
      <c r="AB215" s="1488"/>
      <c r="AC215" s="1488"/>
      <c r="AD215" s="1488"/>
      <c r="AE215" s="1488"/>
      <c r="AF215" s="1488"/>
      <c r="AG215" s="1488"/>
      <c r="AH215" s="1451">
        <f t="shared" si="119"/>
        <v>0</v>
      </c>
      <c r="AI215" s="1488"/>
      <c r="AJ215" s="1488"/>
      <c r="AK215" s="1488"/>
      <c r="AL215" s="1488"/>
      <c r="AM215" s="1488"/>
      <c r="AN215" s="1488"/>
      <c r="AO215" s="1488"/>
      <c r="AP215" s="1488"/>
      <c r="AQ215" s="1488"/>
      <c r="AR215" s="1488"/>
      <c r="AS215" s="1488"/>
      <c r="AT215" s="1542"/>
      <c r="AU215" s="1599">
        <f t="shared" si="120"/>
        <v>0</v>
      </c>
      <c r="AV215" s="1544">
        <f t="shared" si="148"/>
        <v>0</v>
      </c>
      <c r="AW215" s="1452">
        <f t="shared" si="121"/>
        <v>0</v>
      </c>
      <c r="AX215" s="1452">
        <f t="shared" si="122"/>
        <v>0</v>
      </c>
      <c r="AY215" s="1452">
        <f t="shared" si="123"/>
        <v>0</v>
      </c>
      <c r="AZ215" s="1452">
        <f t="shared" si="124"/>
        <v>0</v>
      </c>
      <c r="BA215" s="1452">
        <f t="shared" si="125"/>
        <v>0</v>
      </c>
      <c r="BB215" s="1452">
        <f t="shared" si="126"/>
        <v>0</v>
      </c>
      <c r="BC215" s="1452">
        <f t="shared" si="127"/>
        <v>0</v>
      </c>
      <c r="BD215" s="1452">
        <f t="shared" si="128"/>
        <v>0</v>
      </c>
      <c r="BE215" s="1452">
        <f t="shared" si="129"/>
        <v>0</v>
      </c>
      <c r="BF215" s="1452">
        <f t="shared" si="130"/>
        <v>0</v>
      </c>
      <c r="BG215" s="1452">
        <f t="shared" si="131"/>
        <v>0</v>
      </c>
      <c r="BH215" s="1452">
        <f t="shared" si="132"/>
        <v>0</v>
      </c>
      <c r="BI215" s="1452">
        <f t="shared" si="149"/>
        <v>0</v>
      </c>
      <c r="BJ215" s="1452" t="str">
        <f t="shared" si="133"/>
        <v/>
      </c>
      <c r="BK215" s="1452" t="str">
        <f t="shared" si="134"/>
        <v/>
      </c>
      <c r="BL215" s="1452" t="str">
        <f t="shared" si="135"/>
        <v/>
      </c>
      <c r="BM215" s="1452" t="str">
        <f t="shared" si="136"/>
        <v/>
      </c>
      <c r="BN215" s="1452" t="str">
        <f t="shared" ca="1" si="137"/>
        <v/>
      </c>
      <c r="BO215" s="1452" t="str">
        <f t="shared" si="150"/>
        <v/>
      </c>
      <c r="BP215" s="1452" t="str">
        <f t="shared" si="138"/>
        <v/>
      </c>
      <c r="BQ215" s="1452" t="str">
        <f t="shared" si="139"/>
        <v/>
      </c>
      <c r="BR215" s="1452" t="str">
        <f t="shared" si="140"/>
        <v/>
      </c>
      <c r="BS215" s="1452" t="str">
        <f t="shared" si="141"/>
        <v/>
      </c>
      <c r="BT215" s="1452" t="str">
        <f t="shared" si="142"/>
        <v/>
      </c>
      <c r="BU215" s="1452" t="str">
        <f t="shared" si="143"/>
        <v/>
      </c>
      <c r="BV215" s="1452" t="str">
        <f t="shared" si="144"/>
        <v/>
      </c>
      <c r="BW215" s="1558">
        <f t="shared" ca="1" si="151"/>
        <v>0</v>
      </c>
    </row>
    <row r="216" spans="1:75" s="9" customFormat="1" ht="12.5">
      <c r="A216" s="1483" t="str">
        <f t="shared" si="145"/>
        <v>Public Health Wales Trust</v>
      </c>
      <c r="B216" s="1583"/>
      <c r="C216" s="1583"/>
      <c r="D216" s="1583"/>
      <c r="E216" s="1581"/>
      <c r="F216" s="1436"/>
      <c r="G216" s="1547">
        <f t="shared" si="146"/>
        <v>0</v>
      </c>
      <c r="H216" s="1484"/>
      <c r="I216" s="1547">
        <f t="shared" si="147"/>
        <v>0</v>
      </c>
      <c r="J216" s="1485"/>
      <c r="K216" s="1485"/>
      <c r="L216" s="1436"/>
      <c r="M216" s="1439"/>
      <c r="N216" s="1439"/>
      <c r="O216" s="1485"/>
      <c r="P216" s="1486"/>
      <c r="Q216" s="1486"/>
      <c r="R216" s="1487"/>
      <c r="S216" s="1444"/>
      <c r="T216" s="1444"/>
      <c r="U216" s="1444"/>
      <c r="V216" s="1488"/>
      <c r="W216" s="1488"/>
      <c r="X216" s="1488"/>
      <c r="Y216" s="1488"/>
      <c r="Z216" s="1488"/>
      <c r="AA216" s="1488"/>
      <c r="AB216" s="1488"/>
      <c r="AC216" s="1488"/>
      <c r="AD216" s="1488"/>
      <c r="AE216" s="1488"/>
      <c r="AF216" s="1488"/>
      <c r="AG216" s="1488"/>
      <c r="AH216" s="1451">
        <f t="shared" si="119"/>
        <v>0</v>
      </c>
      <c r="AI216" s="1488"/>
      <c r="AJ216" s="1488"/>
      <c r="AK216" s="1488"/>
      <c r="AL216" s="1488"/>
      <c r="AM216" s="1488"/>
      <c r="AN216" s="1488"/>
      <c r="AO216" s="1488"/>
      <c r="AP216" s="1488"/>
      <c r="AQ216" s="1488"/>
      <c r="AR216" s="1488"/>
      <c r="AS216" s="1488"/>
      <c r="AT216" s="1542"/>
      <c r="AU216" s="1599">
        <f t="shared" si="120"/>
        <v>0</v>
      </c>
      <c r="AV216" s="1544">
        <f t="shared" si="148"/>
        <v>0</v>
      </c>
      <c r="AW216" s="1452">
        <f t="shared" si="121"/>
        <v>0</v>
      </c>
      <c r="AX216" s="1452">
        <f t="shared" si="122"/>
        <v>0</v>
      </c>
      <c r="AY216" s="1452">
        <f t="shared" si="123"/>
        <v>0</v>
      </c>
      <c r="AZ216" s="1452">
        <f t="shared" si="124"/>
        <v>0</v>
      </c>
      <c r="BA216" s="1452">
        <f t="shared" si="125"/>
        <v>0</v>
      </c>
      <c r="BB216" s="1452">
        <f t="shared" si="126"/>
        <v>0</v>
      </c>
      <c r="BC216" s="1452">
        <f t="shared" si="127"/>
        <v>0</v>
      </c>
      <c r="BD216" s="1452">
        <f t="shared" si="128"/>
        <v>0</v>
      </c>
      <c r="BE216" s="1452">
        <f t="shared" si="129"/>
        <v>0</v>
      </c>
      <c r="BF216" s="1452">
        <f t="shared" si="130"/>
        <v>0</v>
      </c>
      <c r="BG216" s="1452">
        <f t="shared" si="131"/>
        <v>0</v>
      </c>
      <c r="BH216" s="1452">
        <f t="shared" si="132"/>
        <v>0</v>
      </c>
      <c r="BI216" s="1452">
        <f t="shared" si="149"/>
        <v>0</v>
      </c>
      <c r="BJ216" s="1452" t="str">
        <f t="shared" si="133"/>
        <v/>
      </c>
      <c r="BK216" s="1452" t="str">
        <f t="shared" si="134"/>
        <v/>
      </c>
      <c r="BL216" s="1452" t="str">
        <f t="shared" si="135"/>
        <v/>
      </c>
      <c r="BM216" s="1452" t="str">
        <f t="shared" si="136"/>
        <v/>
      </c>
      <c r="BN216" s="1452" t="str">
        <f t="shared" ca="1" si="137"/>
        <v/>
      </c>
      <c r="BO216" s="1452" t="str">
        <f t="shared" si="150"/>
        <v/>
      </c>
      <c r="BP216" s="1452" t="str">
        <f t="shared" si="138"/>
        <v/>
      </c>
      <c r="BQ216" s="1452" t="str">
        <f t="shared" si="139"/>
        <v/>
      </c>
      <c r="BR216" s="1452" t="str">
        <f t="shared" si="140"/>
        <v/>
      </c>
      <c r="BS216" s="1452" t="str">
        <f t="shared" si="141"/>
        <v/>
      </c>
      <c r="BT216" s="1452" t="str">
        <f t="shared" si="142"/>
        <v/>
      </c>
      <c r="BU216" s="1452" t="str">
        <f t="shared" si="143"/>
        <v/>
      </c>
      <c r="BV216" s="1452" t="str">
        <f t="shared" si="144"/>
        <v/>
      </c>
      <c r="BW216" s="1558">
        <f t="shared" ca="1" si="151"/>
        <v>0</v>
      </c>
    </row>
    <row r="217" spans="1:75" s="9" customFormat="1" ht="12.5">
      <c r="A217" s="1483" t="str">
        <f t="shared" si="145"/>
        <v>Public Health Wales Trust</v>
      </c>
      <c r="B217" s="1583"/>
      <c r="C217" s="1583"/>
      <c r="D217" s="1583"/>
      <c r="E217" s="1581"/>
      <c r="F217" s="1436"/>
      <c r="G217" s="1547">
        <f t="shared" si="146"/>
        <v>0</v>
      </c>
      <c r="H217" s="1484"/>
      <c r="I217" s="1547">
        <f t="shared" si="147"/>
        <v>0</v>
      </c>
      <c r="J217" s="1485"/>
      <c r="K217" s="1485"/>
      <c r="L217" s="1436"/>
      <c r="M217" s="1439"/>
      <c r="N217" s="1439"/>
      <c r="O217" s="1485"/>
      <c r="P217" s="1486"/>
      <c r="Q217" s="1486"/>
      <c r="R217" s="1487"/>
      <c r="S217" s="1444"/>
      <c r="T217" s="1444"/>
      <c r="U217" s="1444"/>
      <c r="V217" s="1488"/>
      <c r="W217" s="1488"/>
      <c r="X217" s="1488"/>
      <c r="Y217" s="1488"/>
      <c r="Z217" s="1488"/>
      <c r="AA217" s="1488"/>
      <c r="AB217" s="1488"/>
      <c r="AC217" s="1488"/>
      <c r="AD217" s="1488"/>
      <c r="AE217" s="1488"/>
      <c r="AF217" s="1488"/>
      <c r="AG217" s="1488"/>
      <c r="AH217" s="1451">
        <f t="shared" si="119"/>
        <v>0</v>
      </c>
      <c r="AI217" s="1488"/>
      <c r="AJ217" s="1488"/>
      <c r="AK217" s="1488"/>
      <c r="AL217" s="1488"/>
      <c r="AM217" s="1488"/>
      <c r="AN217" s="1488"/>
      <c r="AO217" s="1488"/>
      <c r="AP217" s="1488"/>
      <c r="AQ217" s="1488"/>
      <c r="AR217" s="1488"/>
      <c r="AS217" s="1488"/>
      <c r="AT217" s="1542"/>
      <c r="AU217" s="1599">
        <f t="shared" si="120"/>
        <v>0</v>
      </c>
      <c r="AV217" s="1544">
        <f t="shared" si="148"/>
        <v>0</v>
      </c>
      <c r="AW217" s="1452">
        <f t="shared" si="121"/>
        <v>0</v>
      </c>
      <c r="AX217" s="1452">
        <f t="shared" si="122"/>
        <v>0</v>
      </c>
      <c r="AY217" s="1452">
        <f t="shared" si="123"/>
        <v>0</v>
      </c>
      <c r="AZ217" s="1452">
        <f t="shared" si="124"/>
        <v>0</v>
      </c>
      <c r="BA217" s="1452">
        <f t="shared" si="125"/>
        <v>0</v>
      </c>
      <c r="BB217" s="1452">
        <f t="shared" si="126"/>
        <v>0</v>
      </c>
      <c r="BC217" s="1452">
        <f t="shared" si="127"/>
        <v>0</v>
      </c>
      <c r="BD217" s="1452">
        <f t="shared" si="128"/>
        <v>0</v>
      </c>
      <c r="BE217" s="1452">
        <f t="shared" si="129"/>
        <v>0</v>
      </c>
      <c r="BF217" s="1452">
        <f t="shared" si="130"/>
        <v>0</v>
      </c>
      <c r="BG217" s="1452">
        <f t="shared" si="131"/>
        <v>0</v>
      </c>
      <c r="BH217" s="1452">
        <f t="shared" si="132"/>
        <v>0</v>
      </c>
      <c r="BI217" s="1452">
        <f t="shared" si="149"/>
        <v>0</v>
      </c>
      <c r="BJ217" s="1452" t="str">
        <f t="shared" si="133"/>
        <v/>
      </c>
      <c r="BK217" s="1452" t="str">
        <f t="shared" si="134"/>
        <v/>
      </c>
      <c r="BL217" s="1452" t="str">
        <f t="shared" si="135"/>
        <v/>
      </c>
      <c r="BM217" s="1452" t="str">
        <f t="shared" si="136"/>
        <v/>
      </c>
      <c r="BN217" s="1452" t="str">
        <f t="shared" ca="1" si="137"/>
        <v/>
      </c>
      <c r="BO217" s="1452" t="str">
        <f t="shared" si="150"/>
        <v/>
      </c>
      <c r="BP217" s="1452" t="str">
        <f t="shared" si="138"/>
        <v/>
      </c>
      <c r="BQ217" s="1452" t="str">
        <f t="shared" si="139"/>
        <v/>
      </c>
      <c r="BR217" s="1452" t="str">
        <f t="shared" si="140"/>
        <v/>
      </c>
      <c r="BS217" s="1452" t="str">
        <f t="shared" si="141"/>
        <v/>
      </c>
      <c r="BT217" s="1452" t="str">
        <f t="shared" si="142"/>
        <v/>
      </c>
      <c r="BU217" s="1452" t="str">
        <f t="shared" si="143"/>
        <v/>
      </c>
      <c r="BV217" s="1452" t="str">
        <f t="shared" si="144"/>
        <v/>
      </c>
      <c r="BW217" s="1558">
        <f t="shared" ca="1" si="151"/>
        <v>0</v>
      </c>
    </row>
    <row r="218" spans="1:75" s="9" customFormat="1" ht="12.5">
      <c r="A218" s="1483" t="str">
        <f t="shared" si="145"/>
        <v>Public Health Wales Trust</v>
      </c>
      <c r="B218" s="1583"/>
      <c r="C218" s="1583"/>
      <c r="D218" s="1583"/>
      <c r="E218" s="1581"/>
      <c r="F218" s="1436"/>
      <c r="G218" s="1547">
        <f t="shared" si="146"/>
        <v>0</v>
      </c>
      <c r="H218" s="1484"/>
      <c r="I218" s="1547">
        <f t="shared" si="147"/>
        <v>0</v>
      </c>
      <c r="J218" s="1485"/>
      <c r="K218" s="1485"/>
      <c r="L218" s="1436"/>
      <c r="M218" s="1439"/>
      <c r="N218" s="1439"/>
      <c r="O218" s="1485"/>
      <c r="P218" s="1486"/>
      <c r="Q218" s="1486"/>
      <c r="R218" s="1487"/>
      <c r="S218" s="1444"/>
      <c r="T218" s="1444"/>
      <c r="U218" s="1444"/>
      <c r="V218" s="1488"/>
      <c r="W218" s="1488"/>
      <c r="X218" s="1488"/>
      <c r="Y218" s="1488"/>
      <c r="Z218" s="1488"/>
      <c r="AA218" s="1488"/>
      <c r="AB218" s="1488"/>
      <c r="AC218" s="1488"/>
      <c r="AD218" s="1488"/>
      <c r="AE218" s="1488"/>
      <c r="AF218" s="1488"/>
      <c r="AG218" s="1488"/>
      <c r="AH218" s="1451">
        <f t="shared" si="119"/>
        <v>0</v>
      </c>
      <c r="AI218" s="1488"/>
      <c r="AJ218" s="1488"/>
      <c r="AK218" s="1488"/>
      <c r="AL218" s="1488"/>
      <c r="AM218" s="1488"/>
      <c r="AN218" s="1488"/>
      <c r="AO218" s="1488"/>
      <c r="AP218" s="1488"/>
      <c r="AQ218" s="1488"/>
      <c r="AR218" s="1488"/>
      <c r="AS218" s="1488"/>
      <c r="AT218" s="1542"/>
      <c r="AU218" s="1599">
        <f t="shared" si="120"/>
        <v>0</v>
      </c>
      <c r="AV218" s="1544">
        <f t="shared" si="148"/>
        <v>0</v>
      </c>
      <c r="AW218" s="1452">
        <f t="shared" si="121"/>
        <v>0</v>
      </c>
      <c r="AX218" s="1452">
        <f t="shared" si="122"/>
        <v>0</v>
      </c>
      <c r="AY218" s="1452">
        <f t="shared" si="123"/>
        <v>0</v>
      </c>
      <c r="AZ218" s="1452">
        <f t="shared" si="124"/>
        <v>0</v>
      </c>
      <c r="BA218" s="1452">
        <f t="shared" si="125"/>
        <v>0</v>
      </c>
      <c r="BB218" s="1452">
        <f t="shared" si="126"/>
        <v>0</v>
      </c>
      <c r="BC218" s="1452">
        <f t="shared" si="127"/>
        <v>0</v>
      </c>
      <c r="BD218" s="1452">
        <f t="shared" si="128"/>
        <v>0</v>
      </c>
      <c r="BE218" s="1452">
        <f t="shared" si="129"/>
        <v>0</v>
      </c>
      <c r="BF218" s="1452">
        <f t="shared" si="130"/>
        <v>0</v>
      </c>
      <c r="BG218" s="1452">
        <f t="shared" si="131"/>
        <v>0</v>
      </c>
      <c r="BH218" s="1452">
        <f t="shared" si="132"/>
        <v>0</v>
      </c>
      <c r="BI218" s="1452">
        <f t="shared" si="149"/>
        <v>0</v>
      </c>
      <c r="BJ218" s="1452" t="str">
        <f t="shared" si="133"/>
        <v/>
      </c>
      <c r="BK218" s="1452" t="str">
        <f t="shared" si="134"/>
        <v/>
      </c>
      <c r="BL218" s="1452" t="str">
        <f t="shared" si="135"/>
        <v/>
      </c>
      <c r="BM218" s="1452" t="str">
        <f t="shared" si="136"/>
        <v/>
      </c>
      <c r="BN218" s="1452" t="str">
        <f t="shared" ca="1" si="137"/>
        <v/>
      </c>
      <c r="BO218" s="1452" t="str">
        <f t="shared" si="150"/>
        <v/>
      </c>
      <c r="BP218" s="1452" t="str">
        <f t="shared" si="138"/>
        <v/>
      </c>
      <c r="BQ218" s="1452" t="str">
        <f t="shared" si="139"/>
        <v/>
      </c>
      <c r="BR218" s="1452" t="str">
        <f t="shared" si="140"/>
        <v/>
      </c>
      <c r="BS218" s="1452" t="str">
        <f t="shared" si="141"/>
        <v/>
      </c>
      <c r="BT218" s="1452" t="str">
        <f t="shared" si="142"/>
        <v/>
      </c>
      <c r="BU218" s="1452" t="str">
        <f t="shared" si="143"/>
        <v/>
      </c>
      <c r="BV218" s="1452" t="str">
        <f t="shared" si="144"/>
        <v/>
      </c>
      <c r="BW218" s="1558">
        <f t="shared" ca="1" si="151"/>
        <v>0</v>
      </c>
    </row>
    <row r="219" spans="1:75" s="9" customFormat="1" ht="12.5">
      <c r="A219" s="1483" t="str">
        <f t="shared" si="145"/>
        <v>Public Health Wales Trust</v>
      </c>
      <c r="B219" s="1583"/>
      <c r="C219" s="1583"/>
      <c r="D219" s="1583"/>
      <c r="E219" s="1581"/>
      <c r="F219" s="1436"/>
      <c r="G219" s="1547">
        <f t="shared" si="146"/>
        <v>0</v>
      </c>
      <c r="H219" s="1484"/>
      <c r="I219" s="1547">
        <f t="shared" si="147"/>
        <v>0</v>
      </c>
      <c r="J219" s="1485"/>
      <c r="K219" s="1485"/>
      <c r="L219" s="1436"/>
      <c r="M219" s="1439"/>
      <c r="N219" s="1439"/>
      <c r="O219" s="1485"/>
      <c r="P219" s="1486"/>
      <c r="Q219" s="1486"/>
      <c r="R219" s="1487"/>
      <c r="S219" s="1444"/>
      <c r="T219" s="1444"/>
      <c r="U219" s="1444"/>
      <c r="V219" s="1488"/>
      <c r="W219" s="1488"/>
      <c r="X219" s="1488"/>
      <c r="Y219" s="1488"/>
      <c r="Z219" s="1488"/>
      <c r="AA219" s="1488"/>
      <c r="AB219" s="1488"/>
      <c r="AC219" s="1488"/>
      <c r="AD219" s="1488"/>
      <c r="AE219" s="1488"/>
      <c r="AF219" s="1488"/>
      <c r="AG219" s="1488"/>
      <c r="AH219" s="1451">
        <f t="shared" si="119"/>
        <v>0</v>
      </c>
      <c r="AI219" s="1488"/>
      <c r="AJ219" s="1488"/>
      <c r="AK219" s="1488"/>
      <c r="AL219" s="1488"/>
      <c r="AM219" s="1488"/>
      <c r="AN219" s="1488"/>
      <c r="AO219" s="1488"/>
      <c r="AP219" s="1488"/>
      <c r="AQ219" s="1488"/>
      <c r="AR219" s="1488"/>
      <c r="AS219" s="1488"/>
      <c r="AT219" s="1542"/>
      <c r="AU219" s="1599">
        <f t="shared" si="120"/>
        <v>0</v>
      </c>
      <c r="AV219" s="1544">
        <f t="shared" si="148"/>
        <v>0</v>
      </c>
      <c r="AW219" s="1452">
        <f t="shared" si="121"/>
        <v>0</v>
      </c>
      <c r="AX219" s="1452">
        <f t="shared" si="122"/>
        <v>0</v>
      </c>
      <c r="AY219" s="1452">
        <f t="shared" si="123"/>
        <v>0</v>
      </c>
      <c r="AZ219" s="1452">
        <f t="shared" si="124"/>
        <v>0</v>
      </c>
      <c r="BA219" s="1452">
        <f t="shared" si="125"/>
        <v>0</v>
      </c>
      <c r="BB219" s="1452">
        <f t="shared" si="126"/>
        <v>0</v>
      </c>
      <c r="BC219" s="1452">
        <f t="shared" si="127"/>
        <v>0</v>
      </c>
      <c r="BD219" s="1452">
        <f t="shared" si="128"/>
        <v>0</v>
      </c>
      <c r="BE219" s="1452">
        <f t="shared" si="129"/>
        <v>0</v>
      </c>
      <c r="BF219" s="1452">
        <f t="shared" si="130"/>
        <v>0</v>
      </c>
      <c r="BG219" s="1452">
        <f t="shared" si="131"/>
        <v>0</v>
      </c>
      <c r="BH219" s="1452">
        <f t="shared" si="132"/>
        <v>0</v>
      </c>
      <c r="BI219" s="1452">
        <f t="shared" si="149"/>
        <v>0</v>
      </c>
      <c r="BJ219" s="1452" t="str">
        <f t="shared" si="133"/>
        <v/>
      </c>
      <c r="BK219" s="1452" t="str">
        <f t="shared" si="134"/>
        <v/>
      </c>
      <c r="BL219" s="1452" t="str">
        <f t="shared" si="135"/>
        <v/>
      </c>
      <c r="BM219" s="1452" t="str">
        <f t="shared" si="136"/>
        <v/>
      </c>
      <c r="BN219" s="1452" t="str">
        <f t="shared" ca="1" si="137"/>
        <v/>
      </c>
      <c r="BO219" s="1452" t="str">
        <f t="shared" si="150"/>
        <v/>
      </c>
      <c r="BP219" s="1452" t="str">
        <f t="shared" si="138"/>
        <v/>
      </c>
      <c r="BQ219" s="1452" t="str">
        <f t="shared" si="139"/>
        <v/>
      </c>
      <c r="BR219" s="1452" t="str">
        <f t="shared" si="140"/>
        <v/>
      </c>
      <c r="BS219" s="1452" t="str">
        <f t="shared" si="141"/>
        <v/>
      </c>
      <c r="BT219" s="1452" t="str">
        <f t="shared" si="142"/>
        <v/>
      </c>
      <c r="BU219" s="1452" t="str">
        <f t="shared" si="143"/>
        <v/>
      </c>
      <c r="BV219" s="1452" t="str">
        <f t="shared" si="144"/>
        <v/>
      </c>
      <c r="BW219" s="1558">
        <f t="shared" ca="1" si="151"/>
        <v>0</v>
      </c>
    </row>
    <row r="220" spans="1:75" s="9" customFormat="1" ht="12.5">
      <c r="A220" s="1483" t="str">
        <f t="shared" si="145"/>
        <v>Public Health Wales Trust</v>
      </c>
      <c r="B220" s="1583"/>
      <c r="C220" s="1583"/>
      <c r="D220" s="1583"/>
      <c r="E220" s="1444"/>
      <c r="F220" s="1436"/>
      <c r="G220" s="1547">
        <f t="shared" si="146"/>
        <v>0</v>
      </c>
      <c r="H220" s="1484"/>
      <c r="I220" s="1547">
        <f t="shared" si="147"/>
        <v>0</v>
      </c>
      <c r="J220" s="1485"/>
      <c r="K220" s="1485"/>
      <c r="L220" s="1436"/>
      <c r="M220" s="1439"/>
      <c r="N220" s="1439"/>
      <c r="O220" s="1485"/>
      <c r="P220" s="1486"/>
      <c r="Q220" s="1486"/>
      <c r="R220" s="1487"/>
      <c r="S220" s="1444"/>
      <c r="T220" s="1444"/>
      <c r="U220" s="1444"/>
      <c r="V220" s="1488"/>
      <c r="W220" s="1488"/>
      <c r="X220" s="1488"/>
      <c r="Y220" s="1488"/>
      <c r="Z220" s="1488"/>
      <c r="AA220" s="1488"/>
      <c r="AB220" s="1488"/>
      <c r="AC220" s="1488"/>
      <c r="AD220" s="1488"/>
      <c r="AE220" s="1488"/>
      <c r="AF220" s="1488"/>
      <c r="AG220" s="1488"/>
      <c r="AH220" s="1451">
        <f t="shared" si="119"/>
        <v>0</v>
      </c>
      <c r="AI220" s="1488"/>
      <c r="AJ220" s="1488"/>
      <c r="AK220" s="1488"/>
      <c r="AL220" s="1488"/>
      <c r="AM220" s="1488"/>
      <c r="AN220" s="1488"/>
      <c r="AO220" s="1488"/>
      <c r="AP220" s="1488"/>
      <c r="AQ220" s="1488"/>
      <c r="AR220" s="1488"/>
      <c r="AS220" s="1488"/>
      <c r="AT220" s="1542"/>
      <c r="AU220" s="1599">
        <f t="shared" si="120"/>
        <v>0</v>
      </c>
      <c r="AV220" s="1544">
        <f t="shared" si="148"/>
        <v>0</v>
      </c>
      <c r="AW220" s="1452">
        <f t="shared" si="121"/>
        <v>0</v>
      </c>
      <c r="AX220" s="1452">
        <f t="shared" si="122"/>
        <v>0</v>
      </c>
      <c r="AY220" s="1452">
        <f t="shared" si="123"/>
        <v>0</v>
      </c>
      <c r="AZ220" s="1452">
        <f t="shared" si="124"/>
        <v>0</v>
      </c>
      <c r="BA220" s="1452">
        <f t="shared" si="125"/>
        <v>0</v>
      </c>
      <c r="BB220" s="1452">
        <f t="shared" si="126"/>
        <v>0</v>
      </c>
      <c r="BC220" s="1452">
        <f t="shared" si="127"/>
        <v>0</v>
      </c>
      <c r="BD220" s="1452">
        <f t="shared" si="128"/>
        <v>0</v>
      </c>
      <c r="BE220" s="1452">
        <f t="shared" si="129"/>
        <v>0</v>
      </c>
      <c r="BF220" s="1452">
        <f t="shared" si="130"/>
        <v>0</v>
      </c>
      <c r="BG220" s="1452">
        <f t="shared" si="131"/>
        <v>0</v>
      </c>
      <c r="BH220" s="1452">
        <f t="shared" si="132"/>
        <v>0</v>
      </c>
      <c r="BI220" s="1452">
        <f t="shared" si="149"/>
        <v>0</v>
      </c>
      <c r="BJ220" s="1452" t="str">
        <f t="shared" si="133"/>
        <v/>
      </c>
      <c r="BK220" s="1452" t="str">
        <f t="shared" si="134"/>
        <v/>
      </c>
      <c r="BL220" s="1452" t="str">
        <f t="shared" si="135"/>
        <v/>
      </c>
      <c r="BM220" s="1452" t="str">
        <f t="shared" si="136"/>
        <v/>
      </c>
      <c r="BN220" s="1452" t="str">
        <f t="shared" ca="1" si="137"/>
        <v/>
      </c>
      <c r="BO220" s="1452" t="str">
        <f t="shared" si="150"/>
        <v/>
      </c>
      <c r="BP220" s="1452" t="str">
        <f t="shared" si="138"/>
        <v/>
      </c>
      <c r="BQ220" s="1452" t="str">
        <f t="shared" si="139"/>
        <v/>
      </c>
      <c r="BR220" s="1452" t="str">
        <f t="shared" si="140"/>
        <v/>
      </c>
      <c r="BS220" s="1452" t="str">
        <f t="shared" si="141"/>
        <v/>
      </c>
      <c r="BT220" s="1452" t="str">
        <f t="shared" si="142"/>
        <v/>
      </c>
      <c r="BU220" s="1452" t="str">
        <f t="shared" si="143"/>
        <v/>
      </c>
      <c r="BV220" s="1452" t="str">
        <f t="shared" si="144"/>
        <v/>
      </c>
      <c r="BW220" s="1558">
        <f t="shared" ca="1" si="151"/>
        <v>0</v>
      </c>
    </row>
    <row r="221" spans="1:75" s="9" customFormat="1" ht="12.5">
      <c r="A221" s="1483" t="str">
        <f t="shared" si="145"/>
        <v>Public Health Wales Trust</v>
      </c>
      <c r="B221" s="1583"/>
      <c r="C221" s="1583"/>
      <c r="D221" s="1583"/>
      <c r="E221" s="1444"/>
      <c r="F221" s="1436"/>
      <c r="G221" s="1547">
        <f t="shared" si="146"/>
        <v>0</v>
      </c>
      <c r="H221" s="1484"/>
      <c r="I221" s="1547">
        <f t="shared" si="147"/>
        <v>0</v>
      </c>
      <c r="J221" s="1485"/>
      <c r="K221" s="1485"/>
      <c r="L221" s="1436"/>
      <c r="M221" s="1439"/>
      <c r="N221" s="1439"/>
      <c r="O221" s="1485"/>
      <c r="P221" s="1486"/>
      <c r="Q221" s="1486"/>
      <c r="R221" s="1487"/>
      <c r="S221" s="1444"/>
      <c r="T221" s="1444"/>
      <c r="U221" s="1444"/>
      <c r="V221" s="1488"/>
      <c r="W221" s="1488"/>
      <c r="X221" s="1488"/>
      <c r="Y221" s="1488"/>
      <c r="Z221" s="1488"/>
      <c r="AA221" s="1488"/>
      <c r="AB221" s="1488"/>
      <c r="AC221" s="1488"/>
      <c r="AD221" s="1488"/>
      <c r="AE221" s="1488"/>
      <c r="AF221" s="1488"/>
      <c r="AG221" s="1488"/>
      <c r="AH221" s="1451">
        <f t="shared" si="119"/>
        <v>0</v>
      </c>
      <c r="AI221" s="1488"/>
      <c r="AJ221" s="1488"/>
      <c r="AK221" s="1488"/>
      <c r="AL221" s="1488"/>
      <c r="AM221" s="1488"/>
      <c r="AN221" s="1488"/>
      <c r="AO221" s="1488"/>
      <c r="AP221" s="1488"/>
      <c r="AQ221" s="1488"/>
      <c r="AR221" s="1488"/>
      <c r="AS221" s="1488"/>
      <c r="AT221" s="1542"/>
      <c r="AU221" s="1599">
        <f t="shared" si="120"/>
        <v>0</v>
      </c>
      <c r="AV221" s="1544">
        <f t="shared" si="148"/>
        <v>0</v>
      </c>
      <c r="AW221" s="1452">
        <f t="shared" si="121"/>
        <v>0</v>
      </c>
      <c r="AX221" s="1452">
        <f t="shared" si="122"/>
        <v>0</v>
      </c>
      <c r="AY221" s="1452">
        <f t="shared" si="123"/>
        <v>0</v>
      </c>
      <c r="AZ221" s="1452">
        <f t="shared" si="124"/>
        <v>0</v>
      </c>
      <c r="BA221" s="1452">
        <f t="shared" si="125"/>
        <v>0</v>
      </c>
      <c r="BB221" s="1452">
        <f t="shared" si="126"/>
        <v>0</v>
      </c>
      <c r="BC221" s="1452">
        <f t="shared" si="127"/>
        <v>0</v>
      </c>
      <c r="BD221" s="1452">
        <f t="shared" si="128"/>
        <v>0</v>
      </c>
      <c r="BE221" s="1452">
        <f t="shared" si="129"/>
        <v>0</v>
      </c>
      <c r="BF221" s="1452">
        <f t="shared" si="130"/>
        <v>0</v>
      </c>
      <c r="BG221" s="1452">
        <f t="shared" si="131"/>
        <v>0</v>
      </c>
      <c r="BH221" s="1452">
        <f t="shared" si="132"/>
        <v>0</v>
      </c>
      <c r="BI221" s="1452">
        <f t="shared" si="149"/>
        <v>0</v>
      </c>
      <c r="BJ221" s="1452" t="str">
        <f t="shared" si="133"/>
        <v/>
      </c>
      <c r="BK221" s="1452" t="str">
        <f t="shared" si="134"/>
        <v/>
      </c>
      <c r="BL221" s="1452" t="str">
        <f t="shared" si="135"/>
        <v/>
      </c>
      <c r="BM221" s="1452" t="str">
        <f t="shared" si="136"/>
        <v/>
      </c>
      <c r="BN221" s="1452" t="str">
        <f t="shared" ca="1" si="137"/>
        <v/>
      </c>
      <c r="BO221" s="1452" t="str">
        <f t="shared" si="150"/>
        <v/>
      </c>
      <c r="BP221" s="1452" t="str">
        <f t="shared" si="138"/>
        <v/>
      </c>
      <c r="BQ221" s="1452" t="str">
        <f t="shared" si="139"/>
        <v/>
      </c>
      <c r="BR221" s="1452" t="str">
        <f t="shared" si="140"/>
        <v/>
      </c>
      <c r="BS221" s="1452" t="str">
        <f t="shared" si="141"/>
        <v/>
      </c>
      <c r="BT221" s="1452" t="str">
        <f t="shared" si="142"/>
        <v/>
      </c>
      <c r="BU221" s="1452" t="str">
        <f t="shared" si="143"/>
        <v/>
      </c>
      <c r="BV221" s="1452" t="str">
        <f t="shared" si="144"/>
        <v/>
      </c>
      <c r="BW221" s="1558">
        <f t="shared" ca="1" si="151"/>
        <v>0</v>
      </c>
    </row>
    <row r="222" spans="1:75" s="9" customFormat="1" ht="12.5">
      <c r="A222" s="1483" t="str">
        <f t="shared" si="145"/>
        <v>Public Health Wales Trust</v>
      </c>
      <c r="B222" s="1583"/>
      <c r="C222" s="1583"/>
      <c r="D222" s="1583"/>
      <c r="E222" s="1444"/>
      <c r="F222" s="1436"/>
      <c r="G222" s="1547">
        <f t="shared" si="146"/>
        <v>0</v>
      </c>
      <c r="H222" s="1484"/>
      <c r="I222" s="1547">
        <f t="shared" si="147"/>
        <v>0</v>
      </c>
      <c r="J222" s="1485"/>
      <c r="K222" s="1485"/>
      <c r="L222" s="1436"/>
      <c r="M222" s="1439"/>
      <c r="N222" s="1439"/>
      <c r="O222" s="1485"/>
      <c r="P222" s="1486"/>
      <c r="Q222" s="1486"/>
      <c r="R222" s="1487"/>
      <c r="S222" s="1444"/>
      <c r="T222" s="1444"/>
      <c r="U222" s="1444"/>
      <c r="V222" s="1488"/>
      <c r="W222" s="1488"/>
      <c r="X222" s="1488"/>
      <c r="Y222" s="1488"/>
      <c r="Z222" s="1488"/>
      <c r="AA222" s="1488"/>
      <c r="AB222" s="1488"/>
      <c r="AC222" s="1488"/>
      <c r="AD222" s="1488"/>
      <c r="AE222" s="1488"/>
      <c r="AF222" s="1488"/>
      <c r="AG222" s="1488"/>
      <c r="AH222" s="1451">
        <f t="shared" si="119"/>
        <v>0</v>
      </c>
      <c r="AI222" s="1488"/>
      <c r="AJ222" s="1488"/>
      <c r="AK222" s="1488"/>
      <c r="AL222" s="1488"/>
      <c r="AM222" s="1488"/>
      <c r="AN222" s="1488"/>
      <c r="AO222" s="1488"/>
      <c r="AP222" s="1488"/>
      <c r="AQ222" s="1488"/>
      <c r="AR222" s="1488"/>
      <c r="AS222" s="1488"/>
      <c r="AT222" s="1542"/>
      <c r="AU222" s="1599">
        <f t="shared" si="120"/>
        <v>0</v>
      </c>
      <c r="AV222" s="1544">
        <f t="shared" si="148"/>
        <v>0</v>
      </c>
      <c r="AW222" s="1452">
        <f t="shared" si="121"/>
        <v>0</v>
      </c>
      <c r="AX222" s="1452">
        <f t="shared" si="122"/>
        <v>0</v>
      </c>
      <c r="AY222" s="1452">
        <f t="shared" si="123"/>
        <v>0</v>
      </c>
      <c r="AZ222" s="1452">
        <f t="shared" si="124"/>
        <v>0</v>
      </c>
      <c r="BA222" s="1452">
        <f t="shared" si="125"/>
        <v>0</v>
      </c>
      <c r="BB222" s="1452">
        <f t="shared" si="126"/>
        <v>0</v>
      </c>
      <c r="BC222" s="1452">
        <f t="shared" si="127"/>
        <v>0</v>
      </c>
      <c r="BD222" s="1452">
        <f t="shared" si="128"/>
        <v>0</v>
      </c>
      <c r="BE222" s="1452">
        <f t="shared" si="129"/>
        <v>0</v>
      </c>
      <c r="BF222" s="1452">
        <f t="shared" si="130"/>
        <v>0</v>
      </c>
      <c r="BG222" s="1452">
        <f t="shared" si="131"/>
        <v>0</v>
      </c>
      <c r="BH222" s="1452">
        <f t="shared" si="132"/>
        <v>0</v>
      </c>
      <c r="BI222" s="1452">
        <f t="shared" si="149"/>
        <v>0</v>
      </c>
      <c r="BJ222" s="1452" t="str">
        <f t="shared" si="133"/>
        <v/>
      </c>
      <c r="BK222" s="1452" t="str">
        <f t="shared" si="134"/>
        <v/>
      </c>
      <c r="BL222" s="1452" t="str">
        <f t="shared" si="135"/>
        <v/>
      </c>
      <c r="BM222" s="1452" t="str">
        <f t="shared" si="136"/>
        <v/>
      </c>
      <c r="BN222" s="1452" t="str">
        <f t="shared" ca="1" si="137"/>
        <v/>
      </c>
      <c r="BO222" s="1452" t="str">
        <f t="shared" si="150"/>
        <v/>
      </c>
      <c r="BP222" s="1452" t="str">
        <f t="shared" si="138"/>
        <v/>
      </c>
      <c r="BQ222" s="1452" t="str">
        <f t="shared" si="139"/>
        <v/>
      </c>
      <c r="BR222" s="1452" t="str">
        <f t="shared" si="140"/>
        <v/>
      </c>
      <c r="BS222" s="1452" t="str">
        <f t="shared" si="141"/>
        <v/>
      </c>
      <c r="BT222" s="1452" t="str">
        <f t="shared" si="142"/>
        <v/>
      </c>
      <c r="BU222" s="1452" t="str">
        <f t="shared" si="143"/>
        <v/>
      </c>
      <c r="BV222" s="1452" t="str">
        <f t="shared" si="144"/>
        <v/>
      </c>
      <c r="BW222" s="1558">
        <f t="shared" ca="1" si="151"/>
        <v>0</v>
      </c>
    </row>
    <row r="223" spans="1:75" s="9" customFormat="1" ht="12.5">
      <c r="A223" s="1483" t="str">
        <f t="shared" si="145"/>
        <v>Public Health Wales Trust</v>
      </c>
      <c r="B223" s="1583"/>
      <c r="C223" s="1583"/>
      <c r="D223" s="1583"/>
      <c r="E223" s="1444"/>
      <c r="F223" s="1436"/>
      <c r="G223" s="1547">
        <f t="shared" si="146"/>
        <v>0</v>
      </c>
      <c r="H223" s="1484"/>
      <c r="I223" s="1547">
        <f t="shared" si="147"/>
        <v>0</v>
      </c>
      <c r="J223" s="1485"/>
      <c r="K223" s="1485"/>
      <c r="L223" s="1436"/>
      <c r="M223" s="1439"/>
      <c r="N223" s="1439"/>
      <c r="O223" s="1485"/>
      <c r="P223" s="1486"/>
      <c r="Q223" s="1486"/>
      <c r="R223" s="1487"/>
      <c r="S223" s="1444"/>
      <c r="T223" s="1444"/>
      <c r="U223" s="1444"/>
      <c r="V223" s="1488"/>
      <c r="W223" s="1488"/>
      <c r="X223" s="1488"/>
      <c r="Y223" s="1488"/>
      <c r="Z223" s="1488"/>
      <c r="AA223" s="1488"/>
      <c r="AB223" s="1488"/>
      <c r="AC223" s="1488"/>
      <c r="AD223" s="1488"/>
      <c r="AE223" s="1488"/>
      <c r="AF223" s="1488"/>
      <c r="AG223" s="1488"/>
      <c r="AH223" s="1451">
        <f t="shared" si="119"/>
        <v>0</v>
      </c>
      <c r="AI223" s="1488"/>
      <c r="AJ223" s="1488"/>
      <c r="AK223" s="1488"/>
      <c r="AL223" s="1488"/>
      <c r="AM223" s="1488"/>
      <c r="AN223" s="1488"/>
      <c r="AO223" s="1488"/>
      <c r="AP223" s="1488"/>
      <c r="AQ223" s="1488"/>
      <c r="AR223" s="1488"/>
      <c r="AS223" s="1488"/>
      <c r="AT223" s="1542"/>
      <c r="AU223" s="1599">
        <f t="shared" si="120"/>
        <v>0</v>
      </c>
      <c r="AV223" s="1544">
        <f t="shared" si="148"/>
        <v>0</v>
      </c>
      <c r="AW223" s="1452">
        <f t="shared" si="121"/>
        <v>0</v>
      </c>
      <c r="AX223" s="1452">
        <f t="shared" si="122"/>
        <v>0</v>
      </c>
      <c r="AY223" s="1452">
        <f t="shared" si="123"/>
        <v>0</v>
      </c>
      <c r="AZ223" s="1452">
        <f t="shared" si="124"/>
        <v>0</v>
      </c>
      <c r="BA223" s="1452">
        <f t="shared" si="125"/>
        <v>0</v>
      </c>
      <c r="BB223" s="1452">
        <f t="shared" si="126"/>
        <v>0</v>
      </c>
      <c r="BC223" s="1452">
        <f t="shared" si="127"/>
        <v>0</v>
      </c>
      <c r="BD223" s="1452">
        <f t="shared" si="128"/>
        <v>0</v>
      </c>
      <c r="BE223" s="1452">
        <f t="shared" si="129"/>
        <v>0</v>
      </c>
      <c r="BF223" s="1452">
        <f t="shared" si="130"/>
        <v>0</v>
      </c>
      <c r="BG223" s="1452">
        <f t="shared" si="131"/>
        <v>0</v>
      </c>
      <c r="BH223" s="1452">
        <f t="shared" si="132"/>
        <v>0</v>
      </c>
      <c r="BI223" s="1452">
        <f t="shared" si="149"/>
        <v>0</v>
      </c>
      <c r="BJ223" s="1452" t="str">
        <f t="shared" si="133"/>
        <v/>
      </c>
      <c r="BK223" s="1452" t="str">
        <f t="shared" si="134"/>
        <v/>
      </c>
      <c r="BL223" s="1452" t="str">
        <f t="shared" si="135"/>
        <v/>
      </c>
      <c r="BM223" s="1452" t="str">
        <f t="shared" si="136"/>
        <v/>
      </c>
      <c r="BN223" s="1452" t="str">
        <f t="shared" ca="1" si="137"/>
        <v/>
      </c>
      <c r="BO223" s="1452" t="str">
        <f t="shared" si="150"/>
        <v/>
      </c>
      <c r="BP223" s="1452" t="str">
        <f t="shared" si="138"/>
        <v/>
      </c>
      <c r="BQ223" s="1452" t="str">
        <f t="shared" si="139"/>
        <v/>
      </c>
      <c r="BR223" s="1452" t="str">
        <f t="shared" si="140"/>
        <v/>
      </c>
      <c r="BS223" s="1452" t="str">
        <f t="shared" si="141"/>
        <v/>
      </c>
      <c r="BT223" s="1452" t="str">
        <f t="shared" si="142"/>
        <v/>
      </c>
      <c r="BU223" s="1452" t="str">
        <f t="shared" si="143"/>
        <v/>
      </c>
      <c r="BV223" s="1452" t="str">
        <f t="shared" si="144"/>
        <v/>
      </c>
      <c r="BW223" s="1558">
        <f t="shared" ca="1" si="151"/>
        <v>0</v>
      </c>
    </row>
    <row r="224" spans="1:75" s="9" customFormat="1" ht="12.5">
      <c r="A224" s="1483" t="str">
        <f t="shared" si="145"/>
        <v>Public Health Wales Trust</v>
      </c>
      <c r="B224" s="1583"/>
      <c r="C224" s="1583"/>
      <c r="D224" s="1583"/>
      <c r="E224" s="1444"/>
      <c r="F224" s="1436"/>
      <c r="G224" s="1547">
        <f t="shared" si="146"/>
        <v>0</v>
      </c>
      <c r="H224" s="1484"/>
      <c r="I224" s="1547">
        <f t="shared" si="147"/>
        <v>0</v>
      </c>
      <c r="J224" s="1485"/>
      <c r="K224" s="1485"/>
      <c r="L224" s="1436"/>
      <c r="M224" s="1439"/>
      <c r="N224" s="1439"/>
      <c r="O224" s="1485"/>
      <c r="P224" s="1486"/>
      <c r="Q224" s="1486"/>
      <c r="R224" s="1487"/>
      <c r="S224" s="1444"/>
      <c r="T224" s="1444"/>
      <c r="U224" s="1444"/>
      <c r="V224" s="1488"/>
      <c r="W224" s="1488"/>
      <c r="X224" s="1488"/>
      <c r="Y224" s="1488"/>
      <c r="Z224" s="1488"/>
      <c r="AA224" s="1488"/>
      <c r="AB224" s="1488"/>
      <c r="AC224" s="1488"/>
      <c r="AD224" s="1488"/>
      <c r="AE224" s="1488"/>
      <c r="AF224" s="1488"/>
      <c r="AG224" s="1488"/>
      <c r="AH224" s="1451">
        <f t="shared" si="119"/>
        <v>0</v>
      </c>
      <c r="AI224" s="1488"/>
      <c r="AJ224" s="1488"/>
      <c r="AK224" s="1488"/>
      <c r="AL224" s="1488"/>
      <c r="AM224" s="1488"/>
      <c r="AN224" s="1488"/>
      <c r="AO224" s="1488"/>
      <c r="AP224" s="1488"/>
      <c r="AQ224" s="1488"/>
      <c r="AR224" s="1488"/>
      <c r="AS224" s="1488"/>
      <c r="AT224" s="1542"/>
      <c r="AU224" s="1599">
        <f t="shared" si="120"/>
        <v>0</v>
      </c>
      <c r="AV224" s="1544">
        <f t="shared" si="148"/>
        <v>0</v>
      </c>
      <c r="AW224" s="1452">
        <f t="shared" si="121"/>
        <v>0</v>
      </c>
      <c r="AX224" s="1452">
        <f t="shared" si="122"/>
        <v>0</v>
      </c>
      <c r="AY224" s="1452">
        <f t="shared" si="123"/>
        <v>0</v>
      </c>
      <c r="AZ224" s="1452">
        <f t="shared" si="124"/>
        <v>0</v>
      </c>
      <c r="BA224" s="1452">
        <f t="shared" si="125"/>
        <v>0</v>
      </c>
      <c r="BB224" s="1452">
        <f t="shared" si="126"/>
        <v>0</v>
      </c>
      <c r="BC224" s="1452">
        <f t="shared" si="127"/>
        <v>0</v>
      </c>
      <c r="BD224" s="1452">
        <f t="shared" si="128"/>
        <v>0</v>
      </c>
      <c r="BE224" s="1452">
        <f t="shared" si="129"/>
        <v>0</v>
      </c>
      <c r="BF224" s="1452">
        <f t="shared" si="130"/>
        <v>0</v>
      </c>
      <c r="BG224" s="1452">
        <f t="shared" si="131"/>
        <v>0</v>
      </c>
      <c r="BH224" s="1452">
        <f t="shared" si="132"/>
        <v>0</v>
      </c>
      <c r="BI224" s="1452">
        <f t="shared" si="149"/>
        <v>0</v>
      </c>
      <c r="BJ224" s="1452" t="str">
        <f t="shared" si="133"/>
        <v/>
      </c>
      <c r="BK224" s="1452" t="str">
        <f t="shared" si="134"/>
        <v/>
      </c>
      <c r="BL224" s="1452" t="str">
        <f t="shared" si="135"/>
        <v/>
      </c>
      <c r="BM224" s="1452" t="str">
        <f t="shared" si="136"/>
        <v/>
      </c>
      <c r="BN224" s="1452" t="str">
        <f t="shared" ca="1" si="137"/>
        <v/>
      </c>
      <c r="BO224" s="1452" t="str">
        <f t="shared" si="150"/>
        <v/>
      </c>
      <c r="BP224" s="1452" t="str">
        <f t="shared" si="138"/>
        <v/>
      </c>
      <c r="BQ224" s="1452" t="str">
        <f t="shared" si="139"/>
        <v/>
      </c>
      <c r="BR224" s="1452" t="str">
        <f t="shared" si="140"/>
        <v/>
      </c>
      <c r="BS224" s="1452" t="str">
        <f t="shared" si="141"/>
        <v/>
      </c>
      <c r="BT224" s="1452" t="str">
        <f t="shared" si="142"/>
        <v/>
      </c>
      <c r="BU224" s="1452" t="str">
        <f t="shared" si="143"/>
        <v/>
      </c>
      <c r="BV224" s="1452" t="str">
        <f t="shared" si="144"/>
        <v/>
      </c>
      <c r="BW224" s="1558">
        <f t="shared" ca="1" si="151"/>
        <v>0</v>
      </c>
    </row>
    <row r="225" spans="1:75" s="9" customFormat="1" ht="12.5">
      <c r="A225" s="1483" t="str">
        <f t="shared" si="145"/>
        <v>Public Health Wales Trust</v>
      </c>
      <c r="B225" s="1583"/>
      <c r="C225" s="1583"/>
      <c r="D225" s="1583"/>
      <c r="E225" s="1444"/>
      <c r="F225" s="1436"/>
      <c r="G225" s="1547">
        <f t="shared" si="146"/>
        <v>0</v>
      </c>
      <c r="H225" s="1484"/>
      <c r="I225" s="1547">
        <f t="shared" si="147"/>
        <v>0</v>
      </c>
      <c r="J225" s="1485"/>
      <c r="K225" s="1485"/>
      <c r="L225" s="1436"/>
      <c r="M225" s="1439"/>
      <c r="N225" s="1439"/>
      <c r="O225" s="1485"/>
      <c r="P225" s="1486"/>
      <c r="Q225" s="1486"/>
      <c r="R225" s="1487"/>
      <c r="S225" s="1444"/>
      <c r="T225" s="1444"/>
      <c r="U225" s="1444"/>
      <c r="V225" s="1488"/>
      <c r="W225" s="1488"/>
      <c r="X225" s="1488"/>
      <c r="Y225" s="1488"/>
      <c r="Z225" s="1488"/>
      <c r="AA225" s="1488"/>
      <c r="AB225" s="1488"/>
      <c r="AC225" s="1488"/>
      <c r="AD225" s="1488"/>
      <c r="AE225" s="1488"/>
      <c r="AF225" s="1488"/>
      <c r="AG225" s="1488"/>
      <c r="AH225" s="1451">
        <f t="shared" si="119"/>
        <v>0</v>
      </c>
      <c r="AI225" s="1488"/>
      <c r="AJ225" s="1488"/>
      <c r="AK225" s="1488"/>
      <c r="AL225" s="1488"/>
      <c r="AM225" s="1488"/>
      <c r="AN225" s="1488"/>
      <c r="AO225" s="1488"/>
      <c r="AP225" s="1488"/>
      <c r="AQ225" s="1488"/>
      <c r="AR225" s="1488"/>
      <c r="AS225" s="1488"/>
      <c r="AT225" s="1542"/>
      <c r="AU225" s="1599">
        <f t="shared" si="120"/>
        <v>0</v>
      </c>
      <c r="AV225" s="1544">
        <f t="shared" si="148"/>
        <v>0</v>
      </c>
      <c r="AW225" s="1452">
        <f t="shared" si="121"/>
        <v>0</v>
      </c>
      <c r="AX225" s="1452">
        <f t="shared" si="122"/>
        <v>0</v>
      </c>
      <c r="AY225" s="1452">
        <f t="shared" si="123"/>
        <v>0</v>
      </c>
      <c r="AZ225" s="1452">
        <f t="shared" si="124"/>
        <v>0</v>
      </c>
      <c r="BA225" s="1452">
        <f t="shared" si="125"/>
        <v>0</v>
      </c>
      <c r="BB225" s="1452">
        <f t="shared" si="126"/>
        <v>0</v>
      </c>
      <c r="BC225" s="1452">
        <f t="shared" si="127"/>
        <v>0</v>
      </c>
      <c r="BD225" s="1452">
        <f t="shared" si="128"/>
        <v>0</v>
      </c>
      <c r="BE225" s="1452">
        <f t="shared" si="129"/>
        <v>0</v>
      </c>
      <c r="BF225" s="1452">
        <f t="shared" si="130"/>
        <v>0</v>
      </c>
      <c r="BG225" s="1452">
        <f t="shared" si="131"/>
        <v>0</v>
      </c>
      <c r="BH225" s="1452">
        <f t="shared" si="132"/>
        <v>0</v>
      </c>
      <c r="BI225" s="1452">
        <f t="shared" si="149"/>
        <v>0</v>
      </c>
      <c r="BJ225" s="1452" t="str">
        <f t="shared" si="133"/>
        <v/>
      </c>
      <c r="BK225" s="1452" t="str">
        <f t="shared" si="134"/>
        <v/>
      </c>
      <c r="BL225" s="1452" t="str">
        <f t="shared" si="135"/>
        <v/>
      </c>
      <c r="BM225" s="1452" t="str">
        <f t="shared" si="136"/>
        <v/>
      </c>
      <c r="BN225" s="1452" t="str">
        <f t="shared" ca="1" si="137"/>
        <v/>
      </c>
      <c r="BO225" s="1452" t="str">
        <f t="shared" si="150"/>
        <v/>
      </c>
      <c r="BP225" s="1452" t="str">
        <f t="shared" si="138"/>
        <v/>
      </c>
      <c r="BQ225" s="1452" t="str">
        <f t="shared" si="139"/>
        <v/>
      </c>
      <c r="BR225" s="1452" t="str">
        <f t="shared" si="140"/>
        <v/>
      </c>
      <c r="BS225" s="1452" t="str">
        <f t="shared" si="141"/>
        <v/>
      </c>
      <c r="BT225" s="1452" t="str">
        <f t="shared" si="142"/>
        <v/>
      </c>
      <c r="BU225" s="1452" t="str">
        <f t="shared" si="143"/>
        <v/>
      </c>
      <c r="BV225" s="1452" t="str">
        <f t="shared" si="144"/>
        <v/>
      </c>
      <c r="BW225" s="1558">
        <f t="shared" ca="1" si="151"/>
        <v>0</v>
      </c>
    </row>
    <row r="226" spans="1:75" s="9" customFormat="1" ht="12.5">
      <c r="A226" s="1483" t="str">
        <f t="shared" si="145"/>
        <v>Public Health Wales Trust</v>
      </c>
      <c r="B226" s="1583"/>
      <c r="C226" s="1583"/>
      <c r="D226" s="1583"/>
      <c r="E226" s="1444"/>
      <c r="F226" s="1436"/>
      <c r="G226" s="1547">
        <f t="shared" si="146"/>
        <v>0</v>
      </c>
      <c r="H226" s="1484"/>
      <c r="I226" s="1547">
        <f t="shared" si="147"/>
        <v>0</v>
      </c>
      <c r="J226" s="1485"/>
      <c r="K226" s="1485"/>
      <c r="L226" s="1436"/>
      <c r="M226" s="1439"/>
      <c r="N226" s="1439"/>
      <c r="O226" s="1485"/>
      <c r="P226" s="1486"/>
      <c r="Q226" s="1486"/>
      <c r="R226" s="1487"/>
      <c r="S226" s="1444"/>
      <c r="T226" s="1444"/>
      <c r="U226" s="1444"/>
      <c r="V226" s="1488"/>
      <c r="W226" s="1488"/>
      <c r="X226" s="1488"/>
      <c r="Y226" s="1488"/>
      <c r="Z226" s="1488"/>
      <c r="AA226" s="1488"/>
      <c r="AB226" s="1488"/>
      <c r="AC226" s="1488"/>
      <c r="AD226" s="1488"/>
      <c r="AE226" s="1488"/>
      <c r="AF226" s="1488"/>
      <c r="AG226" s="1488"/>
      <c r="AH226" s="1451">
        <f t="shared" si="119"/>
        <v>0</v>
      </c>
      <c r="AI226" s="1488"/>
      <c r="AJ226" s="1488"/>
      <c r="AK226" s="1488"/>
      <c r="AL226" s="1488"/>
      <c r="AM226" s="1488"/>
      <c r="AN226" s="1488"/>
      <c r="AO226" s="1488"/>
      <c r="AP226" s="1488"/>
      <c r="AQ226" s="1488"/>
      <c r="AR226" s="1488"/>
      <c r="AS226" s="1488"/>
      <c r="AT226" s="1542"/>
      <c r="AU226" s="1599">
        <f t="shared" si="120"/>
        <v>0</v>
      </c>
      <c r="AV226" s="1544">
        <f t="shared" si="148"/>
        <v>0</v>
      </c>
      <c r="AW226" s="1452">
        <f t="shared" si="121"/>
        <v>0</v>
      </c>
      <c r="AX226" s="1452">
        <f t="shared" si="122"/>
        <v>0</v>
      </c>
      <c r="AY226" s="1452">
        <f t="shared" si="123"/>
        <v>0</v>
      </c>
      <c r="AZ226" s="1452">
        <f t="shared" si="124"/>
        <v>0</v>
      </c>
      <c r="BA226" s="1452">
        <f t="shared" si="125"/>
        <v>0</v>
      </c>
      <c r="BB226" s="1452">
        <f t="shared" si="126"/>
        <v>0</v>
      </c>
      <c r="BC226" s="1452">
        <f t="shared" si="127"/>
        <v>0</v>
      </c>
      <c r="BD226" s="1452">
        <f t="shared" si="128"/>
        <v>0</v>
      </c>
      <c r="BE226" s="1452">
        <f t="shared" si="129"/>
        <v>0</v>
      </c>
      <c r="BF226" s="1452">
        <f t="shared" si="130"/>
        <v>0</v>
      </c>
      <c r="BG226" s="1452">
        <f t="shared" si="131"/>
        <v>0</v>
      </c>
      <c r="BH226" s="1452">
        <f t="shared" si="132"/>
        <v>0</v>
      </c>
      <c r="BI226" s="1452">
        <f t="shared" si="149"/>
        <v>0</v>
      </c>
      <c r="BJ226" s="1452" t="str">
        <f t="shared" si="133"/>
        <v/>
      </c>
      <c r="BK226" s="1452" t="str">
        <f t="shared" si="134"/>
        <v/>
      </c>
      <c r="BL226" s="1452" t="str">
        <f t="shared" si="135"/>
        <v/>
      </c>
      <c r="BM226" s="1452" t="str">
        <f t="shared" si="136"/>
        <v/>
      </c>
      <c r="BN226" s="1452" t="str">
        <f t="shared" ca="1" si="137"/>
        <v/>
      </c>
      <c r="BO226" s="1452" t="str">
        <f t="shared" si="150"/>
        <v/>
      </c>
      <c r="BP226" s="1452" t="str">
        <f t="shared" si="138"/>
        <v/>
      </c>
      <c r="BQ226" s="1452" t="str">
        <f t="shared" si="139"/>
        <v/>
      </c>
      <c r="BR226" s="1452" t="str">
        <f t="shared" si="140"/>
        <v/>
      </c>
      <c r="BS226" s="1452" t="str">
        <f t="shared" si="141"/>
        <v/>
      </c>
      <c r="BT226" s="1452" t="str">
        <f t="shared" si="142"/>
        <v/>
      </c>
      <c r="BU226" s="1452" t="str">
        <f t="shared" si="143"/>
        <v/>
      </c>
      <c r="BV226" s="1452" t="str">
        <f t="shared" si="144"/>
        <v/>
      </c>
      <c r="BW226" s="1558">
        <f t="shared" ca="1" si="151"/>
        <v>0</v>
      </c>
    </row>
    <row r="227" spans="1:75" s="9" customFormat="1" ht="12.5">
      <c r="A227" s="1483" t="str">
        <f t="shared" si="145"/>
        <v>Public Health Wales Trust</v>
      </c>
      <c r="B227" s="1583"/>
      <c r="C227" s="1583"/>
      <c r="D227" s="1583"/>
      <c r="E227" s="1444"/>
      <c r="F227" s="1436"/>
      <c r="G227" s="1547">
        <f t="shared" si="146"/>
        <v>0</v>
      </c>
      <c r="H227" s="1484"/>
      <c r="I227" s="1547">
        <f t="shared" si="147"/>
        <v>0</v>
      </c>
      <c r="J227" s="1485"/>
      <c r="K227" s="1485"/>
      <c r="L227" s="1436"/>
      <c r="M227" s="1439"/>
      <c r="N227" s="1439"/>
      <c r="O227" s="1485"/>
      <c r="P227" s="1486"/>
      <c r="Q227" s="1486"/>
      <c r="R227" s="1487"/>
      <c r="S227" s="1444"/>
      <c r="T227" s="1444"/>
      <c r="U227" s="1444"/>
      <c r="V227" s="1488"/>
      <c r="W227" s="1488"/>
      <c r="X227" s="1488"/>
      <c r="Y227" s="1488"/>
      <c r="Z227" s="1488"/>
      <c r="AA227" s="1488"/>
      <c r="AB227" s="1488"/>
      <c r="AC227" s="1488"/>
      <c r="AD227" s="1488"/>
      <c r="AE227" s="1488"/>
      <c r="AF227" s="1488"/>
      <c r="AG227" s="1488"/>
      <c r="AH227" s="1451">
        <f t="shared" si="119"/>
        <v>0</v>
      </c>
      <c r="AI227" s="1488"/>
      <c r="AJ227" s="1488"/>
      <c r="AK227" s="1488"/>
      <c r="AL227" s="1488"/>
      <c r="AM227" s="1488"/>
      <c r="AN227" s="1488"/>
      <c r="AO227" s="1488"/>
      <c r="AP227" s="1488"/>
      <c r="AQ227" s="1488"/>
      <c r="AR227" s="1488"/>
      <c r="AS227" s="1488"/>
      <c r="AT227" s="1542"/>
      <c r="AU227" s="1599">
        <f t="shared" si="120"/>
        <v>0</v>
      </c>
      <c r="AV227" s="1544">
        <f t="shared" si="148"/>
        <v>0</v>
      </c>
      <c r="AW227" s="1452">
        <f t="shared" si="121"/>
        <v>0</v>
      </c>
      <c r="AX227" s="1452">
        <f t="shared" si="122"/>
        <v>0</v>
      </c>
      <c r="AY227" s="1452">
        <f t="shared" si="123"/>
        <v>0</v>
      </c>
      <c r="AZ227" s="1452">
        <f t="shared" si="124"/>
        <v>0</v>
      </c>
      <c r="BA227" s="1452">
        <f t="shared" si="125"/>
        <v>0</v>
      </c>
      <c r="BB227" s="1452">
        <f t="shared" si="126"/>
        <v>0</v>
      </c>
      <c r="BC227" s="1452">
        <f t="shared" si="127"/>
        <v>0</v>
      </c>
      <c r="BD227" s="1452">
        <f t="shared" si="128"/>
        <v>0</v>
      </c>
      <c r="BE227" s="1452">
        <f t="shared" si="129"/>
        <v>0</v>
      </c>
      <c r="BF227" s="1452">
        <f t="shared" si="130"/>
        <v>0</v>
      </c>
      <c r="BG227" s="1452">
        <f t="shared" si="131"/>
        <v>0</v>
      </c>
      <c r="BH227" s="1452">
        <f t="shared" si="132"/>
        <v>0</v>
      </c>
      <c r="BI227" s="1452">
        <f t="shared" si="149"/>
        <v>0</v>
      </c>
      <c r="BJ227" s="1452" t="str">
        <f t="shared" si="133"/>
        <v/>
      </c>
      <c r="BK227" s="1452" t="str">
        <f t="shared" si="134"/>
        <v/>
      </c>
      <c r="BL227" s="1452" t="str">
        <f t="shared" si="135"/>
        <v/>
      </c>
      <c r="BM227" s="1452" t="str">
        <f t="shared" si="136"/>
        <v/>
      </c>
      <c r="BN227" s="1452" t="str">
        <f t="shared" ca="1" si="137"/>
        <v/>
      </c>
      <c r="BO227" s="1452" t="str">
        <f t="shared" si="150"/>
        <v/>
      </c>
      <c r="BP227" s="1452" t="str">
        <f t="shared" si="138"/>
        <v/>
      </c>
      <c r="BQ227" s="1452" t="str">
        <f t="shared" si="139"/>
        <v/>
      </c>
      <c r="BR227" s="1452" t="str">
        <f t="shared" si="140"/>
        <v/>
      </c>
      <c r="BS227" s="1452" t="str">
        <f t="shared" si="141"/>
        <v/>
      </c>
      <c r="BT227" s="1452" t="str">
        <f t="shared" si="142"/>
        <v/>
      </c>
      <c r="BU227" s="1452" t="str">
        <f t="shared" si="143"/>
        <v/>
      </c>
      <c r="BV227" s="1452" t="str">
        <f t="shared" si="144"/>
        <v/>
      </c>
      <c r="BW227" s="1558">
        <f t="shared" ca="1" si="151"/>
        <v>0</v>
      </c>
    </row>
    <row r="228" spans="1:75" s="9" customFormat="1" ht="12.5">
      <c r="A228" s="1483" t="str">
        <f t="shared" si="145"/>
        <v>Public Health Wales Trust</v>
      </c>
      <c r="B228" s="1583"/>
      <c r="C228" s="1583"/>
      <c r="D228" s="1583"/>
      <c r="E228" s="1444"/>
      <c r="F228" s="1436"/>
      <c r="G228" s="1547">
        <f t="shared" si="146"/>
        <v>0</v>
      </c>
      <c r="H228" s="1484"/>
      <c r="I228" s="1547">
        <f t="shared" si="147"/>
        <v>0</v>
      </c>
      <c r="J228" s="1485"/>
      <c r="K228" s="1485"/>
      <c r="L228" s="1436"/>
      <c r="M228" s="1439"/>
      <c r="N228" s="1439"/>
      <c r="O228" s="1485"/>
      <c r="P228" s="1486"/>
      <c r="Q228" s="1486"/>
      <c r="R228" s="1487"/>
      <c r="S228" s="1444"/>
      <c r="T228" s="1444"/>
      <c r="U228" s="1444"/>
      <c r="V228" s="1488"/>
      <c r="W228" s="1488"/>
      <c r="X228" s="1488"/>
      <c r="Y228" s="1488"/>
      <c r="Z228" s="1488"/>
      <c r="AA228" s="1488"/>
      <c r="AB228" s="1488"/>
      <c r="AC228" s="1488"/>
      <c r="AD228" s="1488"/>
      <c r="AE228" s="1488"/>
      <c r="AF228" s="1488"/>
      <c r="AG228" s="1488"/>
      <c r="AH228" s="1451">
        <f t="shared" si="119"/>
        <v>0</v>
      </c>
      <c r="AI228" s="1488"/>
      <c r="AJ228" s="1488"/>
      <c r="AK228" s="1488"/>
      <c r="AL228" s="1488"/>
      <c r="AM228" s="1488"/>
      <c r="AN228" s="1488"/>
      <c r="AO228" s="1488"/>
      <c r="AP228" s="1488"/>
      <c r="AQ228" s="1488"/>
      <c r="AR228" s="1488"/>
      <c r="AS228" s="1488"/>
      <c r="AT228" s="1542"/>
      <c r="AU228" s="1599">
        <f t="shared" si="120"/>
        <v>0</v>
      </c>
      <c r="AV228" s="1544">
        <f t="shared" si="148"/>
        <v>0</v>
      </c>
      <c r="AW228" s="1452">
        <f t="shared" si="121"/>
        <v>0</v>
      </c>
      <c r="AX228" s="1452">
        <f t="shared" si="122"/>
        <v>0</v>
      </c>
      <c r="AY228" s="1452">
        <f t="shared" si="123"/>
        <v>0</v>
      </c>
      <c r="AZ228" s="1452">
        <f t="shared" si="124"/>
        <v>0</v>
      </c>
      <c r="BA228" s="1452">
        <f t="shared" si="125"/>
        <v>0</v>
      </c>
      <c r="BB228" s="1452">
        <f t="shared" si="126"/>
        <v>0</v>
      </c>
      <c r="BC228" s="1452">
        <f t="shared" si="127"/>
        <v>0</v>
      </c>
      <c r="BD228" s="1452">
        <f t="shared" si="128"/>
        <v>0</v>
      </c>
      <c r="BE228" s="1452">
        <f t="shared" si="129"/>
        <v>0</v>
      </c>
      <c r="BF228" s="1452">
        <f t="shared" si="130"/>
        <v>0</v>
      </c>
      <c r="BG228" s="1452">
        <f t="shared" si="131"/>
        <v>0</v>
      </c>
      <c r="BH228" s="1452">
        <f t="shared" si="132"/>
        <v>0</v>
      </c>
      <c r="BI228" s="1452">
        <f t="shared" si="149"/>
        <v>0</v>
      </c>
      <c r="BJ228" s="1452" t="str">
        <f t="shared" si="133"/>
        <v/>
      </c>
      <c r="BK228" s="1452" t="str">
        <f t="shared" si="134"/>
        <v/>
      </c>
      <c r="BL228" s="1452" t="str">
        <f t="shared" si="135"/>
        <v/>
      </c>
      <c r="BM228" s="1452" t="str">
        <f t="shared" si="136"/>
        <v/>
      </c>
      <c r="BN228" s="1452" t="str">
        <f t="shared" ca="1" si="137"/>
        <v/>
      </c>
      <c r="BO228" s="1452" t="str">
        <f t="shared" si="150"/>
        <v/>
      </c>
      <c r="BP228" s="1452" t="str">
        <f t="shared" si="138"/>
        <v/>
      </c>
      <c r="BQ228" s="1452" t="str">
        <f t="shared" si="139"/>
        <v/>
      </c>
      <c r="BR228" s="1452" t="str">
        <f t="shared" si="140"/>
        <v/>
      </c>
      <c r="BS228" s="1452" t="str">
        <f t="shared" si="141"/>
        <v/>
      </c>
      <c r="BT228" s="1452" t="str">
        <f t="shared" si="142"/>
        <v/>
      </c>
      <c r="BU228" s="1452" t="str">
        <f t="shared" si="143"/>
        <v/>
      </c>
      <c r="BV228" s="1452" t="str">
        <f t="shared" si="144"/>
        <v/>
      </c>
      <c r="BW228" s="1558">
        <f t="shared" ca="1" si="151"/>
        <v>0</v>
      </c>
    </row>
    <row r="229" spans="1:75" s="9" customFormat="1" ht="12.5">
      <c r="A229" s="1483" t="str">
        <f t="shared" si="145"/>
        <v>Public Health Wales Trust</v>
      </c>
      <c r="B229" s="1583"/>
      <c r="C229" s="1583"/>
      <c r="D229" s="1583"/>
      <c r="E229" s="1444"/>
      <c r="F229" s="1436"/>
      <c r="G229" s="1547">
        <f t="shared" si="146"/>
        <v>0</v>
      </c>
      <c r="H229" s="1484"/>
      <c r="I229" s="1547">
        <f t="shared" si="147"/>
        <v>0</v>
      </c>
      <c r="J229" s="1485"/>
      <c r="K229" s="1485"/>
      <c r="L229" s="1436"/>
      <c r="M229" s="1439"/>
      <c r="N229" s="1439"/>
      <c r="O229" s="1485"/>
      <c r="P229" s="1486"/>
      <c r="Q229" s="1486"/>
      <c r="R229" s="1487"/>
      <c r="S229" s="1444"/>
      <c r="T229" s="1444"/>
      <c r="U229" s="1444"/>
      <c r="V229" s="1488"/>
      <c r="W229" s="1488"/>
      <c r="X229" s="1488"/>
      <c r="Y229" s="1488"/>
      <c r="Z229" s="1488"/>
      <c r="AA229" s="1488"/>
      <c r="AB229" s="1488"/>
      <c r="AC229" s="1488"/>
      <c r="AD229" s="1488"/>
      <c r="AE229" s="1488"/>
      <c r="AF229" s="1488"/>
      <c r="AG229" s="1488"/>
      <c r="AH229" s="1451">
        <f t="shared" si="119"/>
        <v>0</v>
      </c>
      <c r="AI229" s="1488"/>
      <c r="AJ229" s="1488"/>
      <c r="AK229" s="1488"/>
      <c r="AL229" s="1488"/>
      <c r="AM229" s="1488"/>
      <c r="AN229" s="1488"/>
      <c r="AO229" s="1488"/>
      <c r="AP229" s="1488"/>
      <c r="AQ229" s="1488"/>
      <c r="AR229" s="1488"/>
      <c r="AS229" s="1488"/>
      <c r="AT229" s="1542"/>
      <c r="AU229" s="1599">
        <f t="shared" si="120"/>
        <v>0</v>
      </c>
      <c r="AV229" s="1544">
        <f t="shared" si="148"/>
        <v>0</v>
      </c>
      <c r="AW229" s="1452">
        <f t="shared" si="121"/>
        <v>0</v>
      </c>
      <c r="AX229" s="1452">
        <f t="shared" si="122"/>
        <v>0</v>
      </c>
      <c r="AY229" s="1452">
        <f t="shared" si="123"/>
        <v>0</v>
      </c>
      <c r="AZ229" s="1452">
        <f t="shared" si="124"/>
        <v>0</v>
      </c>
      <c r="BA229" s="1452">
        <f t="shared" si="125"/>
        <v>0</v>
      </c>
      <c r="BB229" s="1452">
        <f t="shared" si="126"/>
        <v>0</v>
      </c>
      <c r="BC229" s="1452">
        <f t="shared" si="127"/>
        <v>0</v>
      </c>
      <c r="BD229" s="1452">
        <f t="shared" si="128"/>
        <v>0</v>
      </c>
      <c r="BE229" s="1452">
        <f t="shared" si="129"/>
        <v>0</v>
      </c>
      <c r="BF229" s="1452">
        <f t="shared" si="130"/>
        <v>0</v>
      </c>
      <c r="BG229" s="1452">
        <f t="shared" si="131"/>
        <v>0</v>
      </c>
      <c r="BH229" s="1452">
        <f t="shared" si="132"/>
        <v>0</v>
      </c>
      <c r="BI229" s="1452">
        <f t="shared" si="149"/>
        <v>0</v>
      </c>
      <c r="BJ229" s="1452" t="str">
        <f t="shared" si="133"/>
        <v/>
      </c>
      <c r="BK229" s="1452" t="str">
        <f t="shared" si="134"/>
        <v/>
      </c>
      <c r="BL229" s="1452" t="str">
        <f t="shared" si="135"/>
        <v/>
      </c>
      <c r="BM229" s="1452" t="str">
        <f t="shared" si="136"/>
        <v/>
      </c>
      <c r="BN229" s="1452" t="str">
        <f t="shared" ca="1" si="137"/>
        <v/>
      </c>
      <c r="BO229" s="1452" t="str">
        <f t="shared" si="150"/>
        <v/>
      </c>
      <c r="BP229" s="1452" t="str">
        <f t="shared" si="138"/>
        <v/>
      </c>
      <c r="BQ229" s="1452" t="str">
        <f t="shared" si="139"/>
        <v/>
      </c>
      <c r="BR229" s="1452" t="str">
        <f t="shared" si="140"/>
        <v/>
      </c>
      <c r="BS229" s="1452" t="str">
        <f t="shared" si="141"/>
        <v/>
      </c>
      <c r="BT229" s="1452" t="str">
        <f t="shared" si="142"/>
        <v/>
      </c>
      <c r="BU229" s="1452" t="str">
        <f t="shared" si="143"/>
        <v/>
      </c>
      <c r="BV229" s="1452" t="str">
        <f t="shared" si="144"/>
        <v/>
      </c>
      <c r="BW229" s="1558">
        <f t="shared" ca="1" si="151"/>
        <v>0</v>
      </c>
    </row>
    <row r="230" spans="1:75" s="9" customFormat="1" ht="12.5">
      <c r="A230" s="1483" t="str">
        <f t="shared" si="145"/>
        <v>Public Health Wales Trust</v>
      </c>
      <c r="B230" s="1583"/>
      <c r="C230" s="1583"/>
      <c r="D230" s="1583"/>
      <c r="E230" s="1444"/>
      <c r="F230" s="1436"/>
      <c r="G230" s="1547">
        <f t="shared" si="146"/>
        <v>0</v>
      </c>
      <c r="H230" s="1484"/>
      <c r="I230" s="1547">
        <f t="shared" si="147"/>
        <v>0</v>
      </c>
      <c r="J230" s="1485"/>
      <c r="K230" s="1485"/>
      <c r="L230" s="1436"/>
      <c r="M230" s="1439"/>
      <c r="N230" s="1439"/>
      <c r="O230" s="1485"/>
      <c r="P230" s="1486"/>
      <c r="Q230" s="1486"/>
      <c r="R230" s="1487"/>
      <c r="S230" s="1444"/>
      <c r="T230" s="1444"/>
      <c r="U230" s="1444"/>
      <c r="V230" s="1488"/>
      <c r="W230" s="1488"/>
      <c r="X230" s="1488"/>
      <c r="Y230" s="1488"/>
      <c r="Z230" s="1488"/>
      <c r="AA230" s="1488"/>
      <c r="AB230" s="1488"/>
      <c r="AC230" s="1488"/>
      <c r="AD230" s="1488"/>
      <c r="AE230" s="1488"/>
      <c r="AF230" s="1488"/>
      <c r="AG230" s="1488"/>
      <c r="AH230" s="1451">
        <f t="shared" si="119"/>
        <v>0</v>
      </c>
      <c r="AI230" s="1488"/>
      <c r="AJ230" s="1488"/>
      <c r="AK230" s="1488"/>
      <c r="AL230" s="1488"/>
      <c r="AM230" s="1488"/>
      <c r="AN230" s="1488"/>
      <c r="AO230" s="1488"/>
      <c r="AP230" s="1488"/>
      <c r="AQ230" s="1488"/>
      <c r="AR230" s="1488"/>
      <c r="AS230" s="1488"/>
      <c r="AT230" s="1542"/>
      <c r="AU230" s="1599">
        <f t="shared" si="120"/>
        <v>0</v>
      </c>
      <c r="AV230" s="1544">
        <f t="shared" si="148"/>
        <v>0</v>
      </c>
      <c r="AW230" s="1452">
        <f t="shared" si="121"/>
        <v>0</v>
      </c>
      <c r="AX230" s="1452">
        <f t="shared" si="122"/>
        <v>0</v>
      </c>
      <c r="AY230" s="1452">
        <f t="shared" si="123"/>
        <v>0</v>
      </c>
      <c r="AZ230" s="1452">
        <f t="shared" si="124"/>
        <v>0</v>
      </c>
      <c r="BA230" s="1452">
        <f t="shared" si="125"/>
        <v>0</v>
      </c>
      <c r="BB230" s="1452">
        <f t="shared" si="126"/>
        <v>0</v>
      </c>
      <c r="BC230" s="1452">
        <f t="shared" si="127"/>
        <v>0</v>
      </c>
      <c r="BD230" s="1452">
        <f t="shared" si="128"/>
        <v>0</v>
      </c>
      <c r="BE230" s="1452">
        <f t="shared" si="129"/>
        <v>0</v>
      </c>
      <c r="BF230" s="1452">
        <f t="shared" si="130"/>
        <v>0</v>
      </c>
      <c r="BG230" s="1452">
        <f t="shared" si="131"/>
        <v>0</v>
      </c>
      <c r="BH230" s="1452">
        <f t="shared" si="132"/>
        <v>0</v>
      </c>
      <c r="BI230" s="1452">
        <f t="shared" si="149"/>
        <v>0</v>
      </c>
      <c r="BJ230" s="1452" t="str">
        <f t="shared" si="133"/>
        <v/>
      </c>
      <c r="BK230" s="1452" t="str">
        <f t="shared" si="134"/>
        <v/>
      </c>
      <c r="BL230" s="1452" t="str">
        <f t="shared" si="135"/>
        <v/>
      </c>
      <c r="BM230" s="1452" t="str">
        <f t="shared" si="136"/>
        <v/>
      </c>
      <c r="BN230" s="1452" t="str">
        <f t="shared" ca="1" si="137"/>
        <v/>
      </c>
      <c r="BO230" s="1452" t="str">
        <f t="shared" si="150"/>
        <v/>
      </c>
      <c r="BP230" s="1452" t="str">
        <f t="shared" si="138"/>
        <v/>
      </c>
      <c r="BQ230" s="1452" t="str">
        <f t="shared" si="139"/>
        <v/>
      </c>
      <c r="BR230" s="1452" t="str">
        <f t="shared" si="140"/>
        <v/>
      </c>
      <c r="BS230" s="1452" t="str">
        <f t="shared" si="141"/>
        <v/>
      </c>
      <c r="BT230" s="1452" t="str">
        <f t="shared" si="142"/>
        <v/>
      </c>
      <c r="BU230" s="1452" t="str">
        <f t="shared" si="143"/>
        <v/>
      </c>
      <c r="BV230" s="1452" t="str">
        <f t="shared" si="144"/>
        <v/>
      </c>
      <c r="BW230" s="1558">
        <f t="shared" ca="1" si="151"/>
        <v>0</v>
      </c>
    </row>
    <row r="231" spans="1:75" s="9" customFormat="1" ht="12.5">
      <c r="A231" s="1483" t="str">
        <f t="shared" si="145"/>
        <v>Public Health Wales Trust</v>
      </c>
      <c r="B231" s="1583"/>
      <c r="C231" s="1583"/>
      <c r="D231" s="1583"/>
      <c r="E231" s="1444"/>
      <c r="F231" s="1436"/>
      <c r="G231" s="1547">
        <f t="shared" si="146"/>
        <v>0</v>
      </c>
      <c r="H231" s="1484"/>
      <c r="I231" s="1547">
        <f t="shared" si="147"/>
        <v>0</v>
      </c>
      <c r="J231" s="1485"/>
      <c r="K231" s="1485"/>
      <c r="L231" s="1436"/>
      <c r="M231" s="1439"/>
      <c r="N231" s="1439"/>
      <c r="O231" s="1485"/>
      <c r="P231" s="1486"/>
      <c r="Q231" s="1486"/>
      <c r="R231" s="1487"/>
      <c r="S231" s="1444"/>
      <c r="T231" s="1444"/>
      <c r="U231" s="1444"/>
      <c r="V231" s="1488"/>
      <c r="W231" s="1488"/>
      <c r="X231" s="1488"/>
      <c r="Y231" s="1488"/>
      <c r="Z231" s="1488"/>
      <c r="AA231" s="1488"/>
      <c r="AB231" s="1488"/>
      <c r="AC231" s="1488"/>
      <c r="AD231" s="1488"/>
      <c r="AE231" s="1488"/>
      <c r="AF231" s="1488"/>
      <c r="AG231" s="1488"/>
      <c r="AH231" s="1451">
        <f t="shared" si="119"/>
        <v>0</v>
      </c>
      <c r="AI231" s="1488"/>
      <c r="AJ231" s="1488"/>
      <c r="AK231" s="1488"/>
      <c r="AL231" s="1488"/>
      <c r="AM231" s="1488"/>
      <c r="AN231" s="1488"/>
      <c r="AO231" s="1488"/>
      <c r="AP231" s="1488"/>
      <c r="AQ231" s="1488"/>
      <c r="AR231" s="1488"/>
      <c r="AS231" s="1488"/>
      <c r="AT231" s="1542"/>
      <c r="AU231" s="1599">
        <f t="shared" si="120"/>
        <v>0</v>
      </c>
      <c r="AV231" s="1544">
        <f t="shared" si="148"/>
        <v>0</v>
      </c>
      <c r="AW231" s="1452">
        <f t="shared" si="121"/>
        <v>0</v>
      </c>
      <c r="AX231" s="1452">
        <f t="shared" si="122"/>
        <v>0</v>
      </c>
      <c r="AY231" s="1452">
        <f t="shared" si="123"/>
        <v>0</v>
      </c>
      <c r="AZ231" s="1452">
        <f t="shared" si="124"/>
        <v>0</v>
      </c>
      <c r="BA231" s="1452">
        <f t="shared" si="125"/>
        <v>0</v>
      </c>
      <c r="BB231" s="1452">
        <f t="shared" si="126"/>
        <v>0</v>
      </c>
      <c r="BC231" s="1452">
        <f t="shared" si="127"/>
        <v>0</v>
      </c>
      <c r="BD231" s="1452">
        <f t="shared" si="128"/>
        <v>0</v>
      </c>
      <c r="BE231" s="1452">
        <f t="shared" si="129"/>
        <v>0</v>
      </c>
      <c r="BF231" s="1452">
        <f t="shared" si="130"/>
        <v>0</v>
      </c>
      <c r="BG231" s="1452">
        <f t="shared" si="131"/>
        <v>0</v>
      </c>
      <c r="BH231" s="1452">
        <f t="shared" si="132"/>
        <v>0</v>
      </c>
      <c r="BI231" s="1452">
        <f t="shared" si="149"/>
        <v>0</v>
      </c>
      <c r="BJ231" s="1452" t="str">
        <f t="shared" si="133"/>
        <v/>
      </c>
      <c r="BK231" s="1452" t="str">
        <f t="shared" si="134"/>
        <v/>
      </c>
      <c r="BL231" s="1452" t="str">
        <f t="shared" si="135"/>
        <v/>
      </c>
      <c r="BM231" s="1452" t="str">
        <f t="shared" si="136"/>
        <v/>
      </c>
      <c r="BN231" s="1452" t="str">
        <f t="shared" ca="1" si="137"/>
        <v/>
      </c>
      <c r="BO231" s="1452" t="str">
        <f t="shared" si="150"/>
        <v/>
      </c>
      <c r="BP231" s="1452" t="str">
        <f t="shared" si="138"/>
        <v/>
      </c>
      <c r="BQ231" s="1452" t="str">
        <f t="shared" si="139"/>
        <v/>
      </c>
      <c r="BR231" s="1452" t="str">
        <f t="shared" si="140"/>
        <v/>
      </c>
      <c r="BS231" s="1452" t="str">
        <f t="shared" si="141"/>
        <v/>
      </c>
      <c r="BT231" s="1452" t="str">
        <f t="shared" si="142"/>
        <v/>
      </c>
      <c r="BU231" s="1452" t="str">
        <f t="shared" si="143"/>
        <v/>
      </c>
      <c r="BV231" s="1452" t="str">
        <f t="shared" si="144"/>
        <v/>
      </c>
      <c r="BW231" s="1558">
        <f t="shared" ca="1" si="151"/>
        <v>0</v>
      </c>
    </row>
    <row r="232" spans="1:75" s="9" customFormat="1" ht="12.5">
      <c r="A232" s="1483" t="str">
        <f t="shared" si="145"/>
        <v>Public Health Wales Trust</v>
      </c>
      <c r="B232" s="1583"/>
      <c r="C232" s="1583"/>
      <c r="D232" s="1583"/>
      <c r="E232" s="1444"/>
      <c r="F232" s="1436"/>
      <c r="G232" s="1547">
        <f t="shared" si="146"/>
        <v>0</v>
      </c>
      <c r="H232" s="1484"/>
      <c r="I232" s="1547">
        <f t="shared" si="147"/>
        <v>0</v>
      </c>
      <c r="J232" s="1485"/>
      <c r="K232" s="1485"/>
      <c r="L232" s="1436"/>
      <c r="M232" s="1439"/>
      <c r="N232" s="1439"/>
      <c r="O232" s="1485"/>
      <c r="P232" s="1486"/>
      <c r="Q232" s="1486"/>
      <c r="R232" s="1487"/>
      <c r="S232" s="1444"/>
      <c r="T232" s="1444"/>
      <c r="U232" s="1444"/>
      <c r="V232" s="1488"/>
      <c r="W232" s="1488"/>
      <c r="X232" s="1488"/>
      <c r="Y232" s="1488"/>
      <c r="Z232" s="1488"/>
      <c r="AA232" s="1488"/>
      <c r="AB232" s="1488"/>
      <c r="AC232" s="1488"/>
      <c r="AD232" s="1488"/>
      <c r="AE232" s="1488"/>
      <c r="AF232" s="1488"/>
      <c r="AG232" s="1488"/>
      <c r="AH232" s="1451">
        <f t="shared" si="119"/>
        <v>0</v>
      </c>
      <c r="AI232" s="1488"/>
      <c r="AJ232" s="1488"/>
      <c r="AK232" s="1488"/>
      <c r="AL232" s="1488"/>
      <c r="AM232" s="1488"/>
      <c r="AN232" s="1488"/>
      <c r="AO232" s="1488"/>
      <c r="AP232" s="1488"/>
      <c r="AQ232" s="1488"/>
      <c r="AR232" s="1488"/>
      <c r="AS232" s="1488"/>
      <c r="AT232" s="1542"/>
      <c r="AU232" s="1599">
        <f t="shared" si="120"/>
        <v>0</v>
      </c>
      <c r="AV232" s="1544">
        <f t="shared" si="148"/>
        <v>0</v>
      </c>
      <c r="AW232" s="1452">
        <f t="shared" si="121"/>
        <v>0</v>
      </c>
      <c r="AX232" s="1452">
        <f t="shared" si="122"/>
        <v>0</v>
      </c>
      <c r="AY232" s="1452">
        <f t="shared" si="123"/>
        <v>0</v>
      </c>
      <c r="AZ232" s="1452">
        <f t="shared" si="124"/>
        <v>0</v>
      </c>
      <c r="BA232" s="1452">
        <f t="shared" si="125"/>
        <v>0</v>
      </c>
      <c r="BB232" s="1452">
        <f t="shared" si="126"/>
        <v>0</v>
      </c>
      <c r="BC232" s="1452">
        <f t="shared" si="127"/>
        <v>0</v>
      </c>
      <c r="BD232" s="1452">
        <f t="shared" si="128"/>
        <v>0</v>
      </c>
      <c r="BE232" s="1452">
        <f t="shared" si="129"/>
        <v>0</v>
      </c>
      <c r="BF232" s="1452">
        <f t="shared" si="130"/>
        <v>0</v>
      </c>
      <c r="BG232" s="1452">
        <f t="shared" si="131"/>
        <v>0</v>
      </c>
      <c r="BH232" s="1452">
        <f t="shared" si="132"/>
        <v>0</v>
      </c>
      <c r="BI232" s="1452">
        <f t="shared" si="149"/>
        <v>0</v>
      </c>
      <c r="BJ232" s="1452" t="str">
        <f t="shared" si="133"/>
        <v/>
      </c>
      <c r="BK232" s="1452" t="str">
        <f t="shared" si="134"/>
        <v/>
      </c>
      <c r="BL232" s="1452" t="str">
        <f t="shared" si="135"/>
        <v/>
      </c>
      <c r="BM232" s="1452" t="str">
        <f t="shared" si="136"/>
        <v/>
      </c>
      <c r="BN232" s="1452" t="str">
        <f t="shared" ca="1" si="137"/>
        <v/>
      </c>
      <c r="BO232" s="1452" t="str">
        <f t="shared" si="150"/>
        <v/>
      </c>
      <c r="BP232" s="1452" t="str">
        <f t="shared" si="138"/>
        <v/>
      </c>
      <c r="BQ232" s="1452" t="str">
        <f t="shared" si="139"/>
        <v/>
      </c>
      <c r="BR232" s="1452" t="str">
        <f t="shared" si="140"/>
        <v/>
      </c>
      <c r="BS232" s="1452" t="str">
        <f t="shared" si="141"/>
        <v/>
      </c>
      <c r="BT232" s="1452" t="str">
        <f t="shared" si="142"/>
        <v/>
      </c>
      <c r="BU232" s="1452" t="str">
        <f t="shared" si="143"/>
        <v/>
      </c>
      <c r="BV232" s="1452" t="str">
        <f t="shared" si="144"/>
        <v/>
      </c>
      <c r="BW232" s="1558">
        <f t="shared" ca="1" si="151"/>
        <v>0</v>
      </c>
    </row>
    <row r="233" spans="1:75" s="9" customFormat="1" ht="12.5">
      <c r="A233" s="1483" t="str">
        <f t="shared" si="145"/>
        <v>Public Health Wales Trust</v>
      </c>
      <c r="B233" s="1583"/>
      <c r="C233" s="1583"/>
      <c r="D233" s="1583"/>
      <c r="E233" s="1444"/>
      <c r="F233" s="1436"/>
      <c r="G233" s="1547">
        <f t="shared" si="146"/>
        <v>0</v>
      </c>
      <c r="H233" s="1484"/>
      <c r="I233" s="1547">
        <f t="shared" si="147"/>
        <v>0</v>
      </c>
      <c r="J233" s="1485"/>
      <c r="K233" s="1485"/>
      <c r="L233" s="1436"/>
      <c r="M233" s="1439"/>
      <c r="N233" s="1439"/>
      <c r="O233" s="1485"/>
      <c r="P233" s="1486"/>
      <c r="Q233" s="1486"/>
      <c r="R233" s="1487"/>
      <c r="S233" s="1444"/>
      <c r="T233" s="1444"/>
      <c r="U233" s="1444"/>
      <c r="V233" s="1488"/>
      <c r="W233" s="1488"/>
      <c r="X233" s="1488"/>
      <c r="Y233" s="1488"/>
      <c r="Z233" s="1488"/>
      <c r="AA233" s="1488"/>
      <c r="AB233" s="1488"/>
      <c r="AC233" s="1488"/>
      <c r="AD233" s="1488"/>
      <c r="AE233" s="1488"/>
      <c r="AF233" s="1488"/>
      <c r="AG233" s="1488"/>
      <c r="AH233" s="1451">
        <f t="shared" si="119"/>
        <v>0</v>
      </c>
      <c r="AI233" s="1488"/>
      <c r="AJ233" s="1488"/>
      <c r="AK233" s="1488"/>
      <c r="AL233" s="1488"/>
      <c r="AM233" s="1488"/>
      <c r="AN233" s="1488"/>
      <c r="AO233" s="1488"/>
      <c r="AP233" s="1488"/>
      <c r="AQ233" s="1488"/>
      <c r="AR233" s="1488"/>
      <c r="AS233" s="1488"/>
      <c r="AT233" s="1542"/>
      <c r="AU233" s="1599">
        <f t="shared" si="120"/>
        <v>0</v>
      </c>
      <c r="AV233" s="1544">
        <f t="shared" si="148"/>
        <v>0</v>
      </c>
      <c r="AW233" s="1452">
        <f t="shared" si="121"/>
        <v>0</v>
      </c>
      <c r="AX233" s="1452">
        <f t="shared" si="122"/>
        <v>0</v>
      </c>
      <c r="AY233" s="1452">
        <f t="shared" si="123"/>
        <v>0</v>
      </c>
      <c r="AZ233" s="1452">
        <f t="shared" si="124"/>
        <v>0</v>
      </c>
      <c r="BA233" s="1452">
        <f t="shared" si="125"/>
        <v>0</v>
      </c>
      <c r="BB233" s="1452">
        <f t="shared" si="126"/>
        <v>0</v>
      </c>
      <c r="BC233" s="1452">
        <f t="shared" si="127"/>
        <v>0</v>
      </c>
      <c r="BD233" s="1452">
        <f t="shared" si="128"/>
        <v>0</v>
      </c>
      <c r="BE233" s="1452">
        <f t="shared" si="129"/>
        <v>0</v>
      </c>
      <c r="BF233" s="1452">
        <f t="shared" si="130"/>
        <v>0</v>
      </c>
      <c r="BG233" s="1452">
        <f t="shared" si="131"/>
        <v>0</v>
      </c>
      <c r="BH233" s="1452">
        <f t="shared" si="132"/>
        <v>0</v>
      </c>
      <c r="BI233" s="1452">
        <f t="shared" si="149"/>
        <v>0</v>
      </c>
      <c r="BJ233" s="1452" t="str">
        <f t="shared" si="133"/>
        <v/>
      </c>
      <c r="BK233" s="1452" t="str">
        <f t="shared" si="134"/>
        <v/>
      </c>
      <c r="BL233" s="1452" t="str">
        <f t="shared" si="135"/>
        <v/>
      </c>
      <c r="BM233" s="1452" t="str">
        <f t="shared" si="136"/>
        <v/>
      </c>
      <c r="BN233" s="1452" t="str">
        <f t="shared" ca="1" si="137"/>
        <v/>
      </c>
      <c r="BO233" s="1452" t="str">
        <f t="shared" si="150"/>
        <v/>
      </c>
      <c r="BP233" s="1452" t="str">
        <f t="shared" si="138"/>
        <v/>
      </c>
      <c r="BQ233" s="1452" t="str">
        <f t="shared" si="139"/>
        <v/>
      </c>
      <c r="BR233" s="1452" t="str">
        <f t="shared" si="140"/>
        <v/>
      </c>
      <c r="BS233" s="1452" t="str">
        <f t="shared" si="141"/>
        <v/>
      </c>
      <c r="BT233" s="1452" t="str">
        <f t="shared" si="142"/>
        <v/>
      </c>
      <c r="BU233" s="1452" t="str">
        <f t="shared" si="143"/>
        <v/>
      </c>
      <c r="BV233" s="1452" t="str">
        <f t="shared" si="144"/>
        <v/>
      </c>
      <c r="BW233" s="1558">
        <f t="shared" ca="1" si="151"/>
        <v>0</v>
      </c>
    </row>
    <row r="234" spans="1:75" s="9" customFormat="1" ht="12.5">
      <c r="A234" s="1483" t="str">
        <f t="shared" si="145"/>
        <v>Public Health Wales Trust</v>
      </c>
      <c r="B234" s="1583"/>
      <c r="C234" s="1583"/>
      <c r="D234" s="1583"/>
      <c r="E234" s="1444"/>
      <c r="F234" s="1436"/>
      <c r="G234" s="1547">
        <f t="shared" si="146"/>
        <v>0</v>
      </c>
      <c r="H234" s="1484"/>
      <c r="I234" s="1547">
        <f t="shared" si="147"/>
        <v>0</v>
      </c>
      <c r="J234" s="1485"/>
      <c r="K234" s="1485"/>
      <c r="L234" s="1436"/>
      <c r="M234" s="1439"/>
      <c r="N234" s="1439"/>
      <c r="O234" s="1485"/>
      <c r="P234" s="1486"/>
      <c r="Q234" s="1486"/>
      <c r="R234" s="1487"/>
      <c r="S234" s="1444"/>
      <c r="T234" s="1444"/>
      <c r="U234" s="1444"/>
      <c r="V234" s="1488"/>
      <c r="W234" s="1488"/>
      <c r="X234" s="1488"/>
      <c r="Y234" s="1488"/>
      <c r="Z234" s="1488"/>
      <c r="AA234" s="1488"/>
      <c r="AB234" s="1488"/>
      <c r="AC234" s="1488"/>
      <c r="AD234" s="1488"/>
      <c r="AE234" s="1488"/>
      <c r="AF234" s="1488"/>
      <c r="AG234" s="1488"/>
      <c r="AH234" s="1451">
        <f t="shared" si="119"/>
        <v>0</v>
      </c>
      <c r="AI234" s="1488"/>
      <c r="AJ234" s="1488"/>
      <c r="AK234" s="1488"/>
      <c r="AL234" s="1488"/>
      <c r="AM234" s="1488"/>
      <c r="AN234" s="1488"/>
      <c r="AO234" s="1488"/>
      <c r="AP234" s="1488"/>
      <c r="AQ234" s="1488"/>
      <c r="AR234" s="1488"/>
      <c r="AS234" s="1488"/>
      <c r="AT234" s="1542"/>
      <c r="AU234" s="1599">
        <f t="shared" si="120"/>
        <v>0</v>
      </c>
      <c r="AV234" s="1544">
        <f t="shared" si="148"/>
        <v>0</v>
      </c>
      <c r="AW234" s="1452">
        <f t="shared" si="121"/>
        <v>0</v>
      </c>
      <c r="AX234" s="1452">
        <f t="shared" si="122"/>
        <v>0</v>
      </c>
      <c r="AY234" s="1452">
        <f t="shared" si="123"/>
        <v>0</v>
      </c>
      <c r="AZ234" s="1452">
        <f t="shared" si="124"/>
        <v>0</v>
      </c>
      <c r="BA234" s="1452">
        <f t="shared" si="125"/>
        <v>0</v>
      </c>
      <c r="BB234" s="1452">
        <f t="shared" si="126"/>
        <v>0</v>
      </c>
      <c r="BC234" s="1452">
        <f t="shared" si="127"/>
        <v>0</v>
      </c>
      <c r="BD234" s="1452">
        <f t="shared" si="128"/>
        <v>0</v>
      </c>
      <c r="BE234" s="1452">
        <f t="shared" si="129"/>
        <v>0</v>
      </c>
      <c r="BF234" s="1452">
        <f t="shared" si="130"/>
        <v>0</v>
      </c>
      <c r="BG234" s="1452">
        <f t="shared" si="131"/>
        <v>0</v>
      </c>
      <c r="BH234" s="1452">
        <f t="shared" si="132"/>
        <v>0</v>
      </c>
      <c r="BI234" s="1452">
        <f t="shared" si="149"/>
        <v>0</v>
      </c>
      <c r="BJ234" s="1452" t="str">
        <f t="shared" si="133"/>
        <v/>
      </c>
      <c r="BK234" s="1452" t="str">
        <f t="shared" si="134"/>
        <v/>
      </c>
      <c r="BL234" s="1452" t="str">
        <f t="shared" si="135"/>
        <v/>
      </c>
      <c r="BM234" s="1452" t="str">
        <f t="shared" si="136"/>
        <v/>
      </c>
      <c r="BN234" s="1452" t="str">
        <f t="shared" ca="1" si="137"/>
        <v/>
      </c>
      <c r="BO234" s="1452" t="str">
        <f t="shared" si="150"/>
        <v/>
      </c>
      <c r="BP234" s="1452" t="str">
        <f t="shared" si="138"/>
        <v/>
      </c>
      <c r="BQ234" s="1452" t="str">
        <f t="shared" si="139"/>
        <v/>
      </c>
      <c r="BR234" s="1452" t="str">
        <f t="shared" si="140"/>
        <v/>
      </c>
      <c r="BS234" s="1452" t="str">
        <f t="shared" si="141"/>
        <v/>
      </c>
      <c r="BT234" s="1452" t="str">
        <f t="shared" si="142"/>
        <v/>
      </c>
      <c r="BU234" s="1452" t="str">
        <f t="shared" si="143"/>
        <v/>
      </c>
      <c r="BV234" s="1452" t="str">
        <f t="shared" si="144"/>
        <v/>
      </c>
      <c r="BW234" s="1558">
        <f t="shared" ca="1" si="151"/>
        <v>0</v>
      </c>
    </row>
    <row r="235" spans="1:75" s="9" customFormat="1" ht="12.5">
      <c r="A235" s="1483" t="str">
        <f t="shared" si="145"/>
        <v>Public Health Wales Trust</v>
      </c>
      <c r="B235" s="1583"/>
      <c r="C235" s="1583"/>
      <c r="D235" s="1583"/>
      <c r="E235" s="1444"/>
      <c r="F235" s="1436"/>
      <c r="G235" s="1547">
        <f t="shared" si="146"/>
        <v>0</v>
      </c>
      <c r="H235" s="1484"/>
      <c r="I235" s="1547">
        <f t="shared" si="147"/>
        <v>0</v>
      </c>
      <c r="J235" s="1485"/>
      <c r="K235" s="1485"/>
      <c r="L235" s="1436"/>
      <c r="M235" s="1439"/>
      <c r="N235" s="1439"/>
      <c r="O235" s="1485"/>
      <c r="P235" s="1486"/>
      <c r="Q235" s="1486"/>
      <c r="R235" s="1487"/>
      <c r="S235" s="1444"/>
      <c r="T235" s="1444"/>
      <c r="U235" s="1444"/>
      <c r="V235" s="1488"/>
      <c r="W235" s="1488"/>
      <c r="X235" s="1488"/>
      <c r="Y235" s="1488"/>
      <c r="Z235" s="1488"/>
      <c r="AA235" s="1488"/>
      <c r="AB235" s="1488"/>
      <c r="AC235" s="1488"/>
      <c r="AD235" s="1488"/>
      <c r="AE235" s="1488"/>
      <c r="AF235" s="1488"/>
      <c r="AG235" s="1488"/>
      <c r="AH235" s="1451">
        <f t="shared" ref="AH235:AH298" si="152">SUM(V235:AG235)</f>
        <v>0</v>
      </c>
      <c r="AI235" s="1488"/>
      <c r="AJ235" s="1488"/>
      <c r="AK235" s="1488"/>
      <c r="AL235" s="1488"/>
      <c r="AM235" s="1488"/>
      <c r="AN235" s="1488"/>
      <c r="AO235" s="1488"/>
      <c r="AP235" s="1488"/>
      <c r="AQ235" s="1488"/>
      <c r="AR235" s="1488"/>
      <c r="AS235" s="1488"/>
      <c r="AT235" s="1542"/>
      <c r="AU235" s="1599">
        <f t="shared" ref="AU235:AU298" si="153">SUMPRODUCT($AC$40:$AN$40,AI235:AT235)</f>
        <v>0</v>
      </c>
      <c r="AV235" s="1544">
        <f t="shared" si="148"/>
        <v>0</v>
      </c>
      <c r="AW235" s="1452">
        <f t="shared" ref="AW235:AW298" si="154">AI235-V235</f>
        <v>0</v>
      </c>
      <c r="AX235" s="1452">
        <f t="shared" ref="AX235:AX298" si="155">AJ235-W235</f>
        <v>0</v>
      </c>
      <c r="AY235" s="1452">
        <f t="shared" ref="AY235:AY298" si="156">AK235-X235</f>
        <v>0</v>
      </c>
      <c r="AZ235" s="1452">
        <f t="shared" ref="AZ235:AZ298" si="157">AL235-Y235</f>
        <v>0</v>
      </c>
      <c r="BA235" s="1452">
        <f t="shared" ref="BA235:BA298" si="158">AM235-Z235</f>
        <v>0</v>
      </c>
      <c r="BB235" s="1452">
        <f t="shared" ref="BB235:BB298" si="159">AN235-AA235</f>
        <v>0</v>
      </c>
      <c r="BC235" s="1452">
        <f t="shared" ref="BC235:BC298" si="160">AO235-AB235</f>
        <v>0</v>
      </c>
      <c r="BD235" s="1452">
        <f t="shared" ref="BD235:BD298" si="161">AP235-AC235</f>
        <v>0</v>
      </c>
      <c r="BE235" s="1452">
        <f t="shared" ref="BE235:BE298" si="162">AQ235-AD235</f>
        <v>0</v>
      </c>
      <c r="BF235" s="1452">
        <f t="shared" ref="BF235:BF298" si="163">AR235-AE235</f>
        <v>0</v>
      </c>
      <c r="BG235" s="1452">
        <f t="shared" ref="BG235:BG298" si="164">AS235-AF235</f>
        <v>0</v>
      </c>
      <c r="BH235" s="1452">
        <f t="shared" ref="BH235:BH298" si="165">AT235-AG235</f>
        <v>0</v>
      </c>
      <c r="BI235" s="1452">
        <f t="shared" si="149"/>
        <v>0</v>
      </c>
      <c r="BJ235" s="1452" t="str">
        <f t="shared" ref="BJ235:BJ298" si="166">IF(OR(G235&gt;0,I235&gt;0),IF(AND(B235&lt;&gt;"",C235&lt;&gt;"",D235&lt;&gt;"",E235&lt;&gt;"",F235&lt;&gt;"",L235&lt;&gt;"",M235&lt;&gt;"",N235&lt;&gt;"",O235&lt;&gt;"",P235&lt;&gt;"",Q235&lt;&gt;"",R235&lt;&gt;""),"","ERROR"),"")</f>
        <v/>
      </c>
      <c r="BK235" s="1452" t="str">
        <f t="shared" ref="BK235:BK298" si="167">IF(COUNTIF($D$43:$D$1496,D235)&gt;1,"ERROR","")</f>
        <v/>
      </c>
      <c r="BL235" s="1452" t="str">
        <f t="shared" ref="BL235:BL298" si="168">IF(AND(OR(R235=$CQ$1,R235=$CQ$3),S235=""),"ERROR","")</f>
        <v/>
      </c>
      <c r="BM235" s="1452" t="str">
        <f t="shared" ref="BM235:BM298" si="169">IF(AND(OR(R235=$CQ$2),S235&lt;&gt;""),"ERROR","")</f>
        <v/>
      </c>
      <c r="BN235" s="1452" t="str">
        <f t="shared" ref="BN235:BN298" ca="1" si="170">IF(AND(O235=$CA$2,N235&lt;TODAY()),"ERROR","")</f>
        <v/>
      </c>
      <c r="BO235" s="1452" t="str">
        <f t="shared" si="150"/>
        <v/>
      </c>
      <c r="BP235" s="1452" t="str">
        <f t="shared" ref="BP235:BP298" si="171">IF(AND(F235=$BZ$1,G235&gt;H235),"ERROR","")</f>
        <v/>
      </c>
      <c r="BQ235" s="1452" t="str">
        <f t="shared" ref="BQ235:BQ298" si="172">IF(AND(F235=$BZ$1,I235&gt;J235),"ERROR","")</f>
        <v/>
      </c>
      <c r="BR235" s="1452" t="str">
        <f t="shared" ref="BR235:BR298" si="173">IF(AND(F235=$BZ$2,SUM(H235,J235)&gt;0),"ERROR","")</f>
        <v/>
      </c>
      <c r="BS235" s="1452" t="str">
        <f t="shared" ref="BS235:BS298" si="174">IF(AND(I235=0,J235&gt;0),"ERROR","")</f>
        <v/>
      </c>
      <c r="BT235" s="1452" t="str">
        <f t="shared" ref="BT235:BT298" si="175">IF(AND(O235=$CA$1,K235&lt;&gt;0),"ERROR","")</f>
        <v/>
      </c>
      <c r="BU235" s="1452" t="str">
        <f t="shared" ref="BU235:BU298" si="176">IF(AND(O235=$CA$2,I235-AU235-K235&lt;0),"ERROR","")</f>
        <v/>
      </c>
      <c r="BV235" s="1452" t="str">
        <f t="shared" ref="BV235:BV298" si="177">IF(S235="","",VLOOKUP(S235,$CS$1:$CT$14,2,0))</f>
        <v/>
      </c>
      <c r="BW235" s="1558">
        <f t="shared" ca="1" si="151"/>
        <v>0</v>
      </c>
    </row>
    <row r="236" spans="1:75" s="9" customFormat="1" ht="12.5">
      <c r="A236" s="1483" t="str">
        <f t="shared" ref="A236:A299" si="178">$A$1</f>
        <v>Public Health Wales Trust</v>
      </c>
      <c r="B236" s="1583"/>
      <c r="C236" s="1583"/>
      <c r="D236" s="1583"/>
      <c r="E236" s="1581"/>
      <c r="F236" s="1436"/>
      <c r="G236" s="1547">
        <f t="shared" ref="G236:G299" si="179">AH236</f>
        <v>0</v>
      </c>
      <c r="H236" s="1484"/>
      <c r="I236" s="1547">
        <f t="shared" ref="I236:I299" si="180">AV236</f>
        <v>0</v>
      </c>
      <c r="J236" s="1485"/>
      <c r="K236" s="1485"/>
      <c r="L236" s="1436"/>
      <c r="M236" s="1439"/>
      <c r="N236" s="1439"/>
      <c r="O236" s="1485"/>
      <c r="P236" s="1486"/>
      <c r="Q236" s="1486"/>
      <c r="R236" s="1487"/>
      <c r="S236" s="1444"/>
      <c r="T236" s="1444"/>
      <c r="U236" s="1444"/>
      <c r="V236" s="1488"/>
      <c r="W236" s="1488"/>
      <c r="X236" s="1488"/>
      <c r="Y236" s="1488"/>
      <c r="Z236" s="1488"/>
      <c r="AA236" s="1488"/>
      <c r="AB236" s="1488"/>
      <c r="AC236" s="1488"/>
      <c r="AD236" s="1488"/>
      <c r="AE236" s="1488"/>
      <c r="AF236" s="1488"/>
      <c r="AG236" s="1488"/>
      <c r="AH236" s="1451">
        <f t="shared" si="152"/>
        <v>0</v>
      </c>
      <c r="AI236" s="1488"/>
      <c r="AJ236" s="1488"/>
      <c r="AK236" s="1488"/>
      <c r="AL236" s="1488"/>
      <c r="AM236" s="1488"/>
      <c r="AN236" s="1488"/>
      <c r="AO236" s="1488"/>
      <c r="AP236" s="1488"/>
      <c r="AQ236" s="1488"/>
      <c r="AR236" s="1488"/>
      <c r="AS236" s="1488"/>
      <c r="AT236" s="1542"/>
      <c r="AU236" s="1599">
        <f t="shared" si="153"/>
        <v>0</v>
      </c>
      <c r="AV236" s="1544">
        <f t="shared" ref="AV236:AV299" si="181">SUM(AI236:AT236)</f>
        <v>0</v>
      </c>
      <c r="AW236" s="1452">
        <f t="shared" si="154"/>
        <v>0</v>
      </c>
      <c r="AX236" s="1452">
        <f t="shared" si="155"/>
        <v>0</v>
      </c>
      <c r="AY236" s="1452">
        <f t="shared" si="156"/>
        <v>0</v>
      </c>
      <c r="AZ236" s="1452">
        <f t="shared" si="157"/>
        <v>0</v>
      </c>
      <c r="BA236" s="1452">
        <f t="shared" si="158"/>
        <v>0</v>
      </c>
      <c r="BB236" s="1452">
        <f t="shared" si="159"/>
        <v>0</v>
      </c>
      <c r="BC236" s="1452">
        <f t="shared" si="160"/>
        <v>0</v>
      </c>
      <c r="BD236" s="1452">
        <f t="shared" si="161"/>
        <v>0</v>
      </c>
      <c r="BE236" s="1452">
        <f t="shared" si="162"/>
        <v>0</v>
      </c>
      <c r="BF236" s="1452">
        <f t="shared" si="163"/>
        <v>0</v>
      </c>
      <c r="BG236" s="1452">
        <f t="shared" si="164"/>
        <v>0</v>
      </c>
      <c r="BH236" s="1452">
        <f t="shared" si="165"/>
        <v>0</v>
      </c>
      <c r="BI236" s="1452">
        <f t="shared" ref="BI236:BI299" si="182">SUM(AW236:BH236)</f>
        <v>0</v>
      </c>
      <c r="BJ236" s="1452" t="str">
        <f t="shared" si="166"/>
        <v/>
      </c>
      <c r="BK236" s="1452" t="str">
        <f t="shared" si="167"/>
        <v/>
      </c>
      <c r="BL236" s="1452" t="str">
        <f t="shared" si="168"/>
        <v/>
      </c>
      <c r="BM236" s="1452" t="str">
        <f t="shared" si="169"/>
        <v/>
      </c>
      <c r="BN236" s="1452" t="str">
        <f t="shared" ca="1" si="170"/>
        <v/>
      </c>
      <c r="BO236" s="1452" t="str">
        <f t="shared" ref="BO236:BO299" si="183">IF(AND(AV236&gt;0,AH236=0),"ERROR","")</f>
        <v/>
      </c>
      <c r="BP236" s="1452" t="str">
        <f t="shared" si="171"/>
        <v/>
      </c>
      <c r="BQ236" s="1452" t="str">
        <f t="shared" si="172"/>
        <v/>
      </c>
      <c r="BR236" s="1452" t="str">
        <f t="shared" si="173"/>
        <v/>
      </c>
      <c r="BS236" s="1452" t="str">
        <f t="shared" si="174"/>
        <v/>
      </c>
      <c r="BT236" s="1452" t="str">
        <f t="shared" si="175"/>
        <v/>
      </c>
      <c r="BU236" s="1452" t="str">
        <f t="shared" si="176"/>
        <v/>
      </c>
      <c r="BV236" s="1452" t="str">
        <f t="shared" si="177"/>
        <v/>
      </c>
      <c r="BW236" s="1558">
        <f t="shared" ref="BW236:BW299" ca="1" si="184">COUNTIF(BJ236:BU236,"ERROR")</f>
        <v>0</v>
      </c>
    </row>
    <row r="237" spans="1:75" s="9" customFormat="1" ht="12.5">
      <c r="A237" s="1483" t="str">
        <f t="shared" si="178"/>
        <v>Public Health Wales Trust</v>
      </c>
      <c r="B237" s="1583"/>
      <c r="C237" s="1583"/>
      <c r="D237" s="1583"/>
      <c r="E237" s="1581"/>
      <c r="F237" s="1436"/>
      <c r="G237" s="1547">
        <f t="shared" si="179"/>
        <v>0</v>
      </c>
      <c r="H237" s="1484"/>
      <c r="I237" s="1547">
        <f t="shared" si="180"/>
        <v>0</v>
      </c>
      <c r="J237" s="1485"/>
      <c r="K237" s="1485"/>
      <c r="L237" s="1436"/>
      <c r="M237" s="1439"/>
      <c r="N237" s="1439"/>
      <c r="O237" s="1485"/>
      <c r="P237" s="1486"/>
      <c r="Q237" s="1486"/>
      <c r="R237" s="1487"/>
      <c r="S237" s="1444"/>
      <c r="T237" s="1444"/>
      <c r="U237" s="1444"/>
      <c r="V237" s="1488"/>
      <c r="W237" s="1488"/>
      <c r="X237" s="1488"/>
      <c r="Y237" s="1488"/>
      <c r="Z237" s="1488"/>
      <c r="AA237" s="1488"/>
      <c r="AB237" s="1488"/>
      <c r="AC237" s="1488"/>
      <c r="AD237" s="1488"/>
      <c r="AE237" s="1488"/>
      <c r="AF237" s="1488"/>
      <c r="AG237" s="1488"/>
      <c r="AH237" s="1451">
        <f t="shared" si="152"/>
        <v>0</v>
      </c>
      <c r="AI237" s="1488"/>
      <c r="AJ237" s="1488"/>
      <c r="AK237" s="1488"/>
      <c r="AL237" s="1488"/>
      <c r="AM237" s="1488"/>
      <c r="AN237" s="1488"/>
      <c r="AO237" s="1488"/>
      <c r="AP237" s="1488"/>
      <c r="AQ237" s="1488"/>
      <c r="AR237" s="1488"/>
      <c r="AS237" s="1488"/>
      <c r="AT237" s="1542"/>
      <c r="AU237" s="1599">
        <f t="shared" si="153"/>
        <v>0</v>
      </c>
      <c r="AV237" s="1544">
        <f t="shared" si="181"/>
        <v>0</v>
      </c>
      <c r="AW237" s="1452">
        <f t="shared" si="154"/>
        <v>0</v>
      </c>
      <c r="AX237" s="1452">
        <f t="shared" si="155"/>
        <v>0</v>
      </c>
      <c r="AY237" s="1452">
        <f t="shared" si="156"/>
        <v>0</v>
      </c>
      <c r="AZ237" s="1452">
        <f t="shared" si="157"/>
        <v>0</v>
      </c>
      <c r="BA237" s="1452">
        <f t="shared" si="158"/>
        <v>0</v>
      </c>
      <c r="BB237" s="1452">
        <f t="shared" si="159"/>
        <v>0</v>
      </c>
      <c r="BC237" s="1452">
        <f t="shared" si="160"/>
        <v>0</v>
      </c>
      <c r="BD237" s="1452">
        <f t="shared" si="161"/>
        <v>0</v>
      </c>
      <c r="BE237" s="1452">
        <f t="shared" si="162"/>
        <v>0</v>
      </c>
      <c r="BF237" s="1452">
        <f t="shared" si="163"/>
        <v>0</v>
      </c>
      <c r="BG237" s="1452">
        <f t="shared" si="164"/>
        <v>0</v>
      </c>
      <c r="BH237" s="1452">
        <f t="shared" si="165"/>
        <v>0</v>
      </c>
      <c r="BI237" s="1452">
        <f t="shared" si="182"/>
        <v>0</v>
      </c>
      <c r="BJ237" s="1452" t="str">
        <f t="shared" si="166"/>
        <v/>
      </c>
      <c r="BK237" s="1452" t="str">
        <f t="shared" si="167"/>
        <v/>
      </c>
      <c r="BL237" s="1452" t="str">
        <f t="shared" si="168"/>
        <v/>
      </c>
      <c r="BM237" s="1452" t="str">
        <f t="shared" si="169"/>
        <v/>
      </c>
      <c r="BN237" s="1452" t="str">
        <f t="shared" ca="1" si="170"/>
        <v/>
      </c>
      <c r="BO237" s="1452" t="str">
        <f t="shared" si="183"/>
        <v/>
      </c>
      <c r="BP237" s="1452" t="str">
        <f t="shared" si="171"/>
        <v/>
      </c>
      <c r="BQ237" s="1452" t="str">
        <f t="shared" si="172"/>
        <v/>
      </c>
      <c r="BR237" s="1452" t="str">
        <f t="shared" si="173"/>
        <v/>
      </c>
      <c r="BS237" s="1452" t="str">
        <f t="shared" si="174"/>
        <v/>
      </c>
      <c r="BT237" s="1452" t="str">
        <f t="shared" si="175"/>
        <v/>
      </c>
      <c r="BU237" s="1452" t="str">
        <f t="shared" si="176"/>
        <v/>
      </c>
      <c r="BV237" s="1452" t="str">
        <f t="shared" si="177"/>
        <v/>
      </c>
      <c r="BW237" s="1558">
        <f t="shared" ca="1" si="184"/>
        <v>0</v>
      </c>
    </row>
    <row r="238" spans="1:75" s="9" customFormat="1" ht="12.5">
      <c r="A238" s="1483" t="str">
        <f t="shared" si="178"/>
        <v>Public Health Wales Trust</v>
      </c>
      <c r="B238" s="1583"/>
      <c r="C238" s="1583"/>
      <c r="D238" s="1583"/>
      <c r="E238" s="1581"/>
      <c r="F238" s="1436"/>
      <c r="G238" s="1547">
        <f t="shared" si="179"/>
        <v>0</v>
      </c>
      <c r="H238" s="1484"/>
      <c r="I238" s="1547">
        <f t="shared" si="180"/>
        <v>0</v>
      </c>
      <c r="J238" s="1485"/>
      <c r="K238" s="1485"/>
      <c r="L238" s="1436"/>
      <c r="M238" s="1439"/>
      <c r="N238" s="1439"/>
      <c r="O238" s="1485"/>
      <c r="P238" s="1486"/>
      <c r="Q238" s="1486"/>
      <c r="R238" s="1487"/>
      <c r="S238" s="1444"/>
      <c r="T238" s="1444"/>
      <c r="U238" s="1444"/>
      <c r="V238" s="1488"/>
      <c r="W238" s="1488"/>
      <c r="X238" s="1488"/>
      <c r="Y238" s="1488"/>
      <c r="Z238" s="1488"/>
      <c r="AA238" s="1488"/>
      <c r="AB238" s="1488"/>
      <c r="AC238" s="1488"/>
      <c r="AD238" s="1488"/>
      <c r="AE238" s="1488"/>
      <c r="AF238" s="1488"/>
      <c r="AG238" s="1488"/>
      <c r="AH238" s="1451">
        <f t="shared" si="152"/>
        <v>0</v>
      </c>
      <c r="AI238" s="1488"/>
      <c r="AJ238" s="1488"/>
      <c r="AK238" s="1488"/>
      <c r="AL238" s="1488"/>
      <c r="AM238" s="1488"/>
      <c r="AN238" s="1488"/>
      <c r="AO238" s="1488"/>
      <c r="AP238" s="1488"/>
      <c r="AQ238" s="1488"/>
      <c r="AR238" s="1488"/>
      <c r="AS238" s="1488"/>
      <c r="AT238" s="1542"/>
      <c r="AU238" s="1599">
        <f t="shared" si="153"/>
        <v>0</v>
      </c>
      <c r="AV238" s="1544">
        <f t="shared" si="181"/>
        <v>0</v>
      </c>
      <c r="AW238" s="1452">
        <f t="shared" si="154"/>
        <v>0</v>
      </c>
      <c r="AX238" s="1452">
        <f t="shared" si="155"/>
        <v>0</v>
      </c>
      <c r="AY238" s="1452">
        <f t="shared" si="156"/>
        <v>0</v>
      </c>
      <c r="AZ238" s="1452">
        <f t="shared" si="157"/>
        <v>0</v>
      </c>
      <c r="BA238" s="1452">
        <f t="shared" si="158"/>
        <v>0</v>
      </c>
      <c r="BB238" s="1452">
        <f t="shared" si="159"/>
        <v>0</v>
      </c>
      <c r="BC238" s="1452">
        <f t="shared" si="160"/>
        <v>0</v>
      </c>
      <c r="BD238" s="1452">
        <f t="shared" si="161"/>
        <v>0</v>
      </c>
      <c r="BE238" s="1452">
        <f t="shared" si="162"/>
        <v>0</v>
      </c>
      <c r="BF238" s="1452">
        <f t="shared" si="163"/>
        <v>0</v>
      </c>
      <c r="BG238" s="1452">
        <f t="shared" si="164"/>
        <v>0</v>
      </c>
      <c r="BH238" s="1452">
        <f t="shared" si="165"/>
        <v>0</v>
      </c>
      <c r="BI238" s="1452">
        <f t="shared" si="182"/>
        <v>0</v>
      </c>
      <c r="BJ238" s="1452" t="str">
        <f t="shared" si="166"/>
        <v/>
      </c>
      <c r="BK238" s="1452" t="str">
        <f t="shared" si="167"/>
        <v/>
      </c>
      <c r="BL238" s="1452" t="str">
        <f t="shared" si="168"/>
        <v/>
      </c>
      <c r="BM238" s="1452" t="str">
        <f t="shared" si="169"/>
        <v/>
      </c>
      <c r="BN238" s="1452" t="str">
        <f t="shared" ca="1" si="170"/>
        <v/>
      </c>
      <c r="BO238" s="1452" t="str">
        <f t="shared" si="183"/>
        <v/>
      </c>
      <c r="BP238" s="1452" t="str">
        <f t="shared" si="171"/>
        <v/>
      </c>
      <c r="BQ238" s="1452" t="str">
        <f t="shared" si="172"/>
        <v/>
      </c>
      <c r="BR238" s="1452" t="str">
        <f t="shared" si="173"/>
        <v/>
      </c>
      <c r="BS238" s="1452" t="str">
        <f t="shared" si="174"/>
        <v/>
      </c>
      <c r="BT238" s="1452" t="str">
        <f t="shared" si="175"/>
        <v/>
      </c>
      <c r="BU238" s="1452" t="str">
        <f t="shared" si="176"/>
        <v/>
      </c>
      <c r="BV238" s="1452" t="str">
        <f t="shared" si="177"/>
        <v/>
      </c>
      <c r="BW238" s="1558">
        <f t="shared" ca="1" si="184"/>
        <v>0</v>
      </c>
    </row>
    <row r="239" spans="1:75" s="9" customFormat="1" ht="12.5">
      <c r="A239" s="1483" t="str">
        <f t="shared" si="178"/>
        <v>Public Health Wales Trust</v>
      </c>
      <c r="B239" s="1583"/>
      <c r="C239" s="1583"/>
      <c r="D239" s="1583"/>
      <c r="E239" s="1581"/>
      <c r="F239" s="1436"/>
      <c r="G239" s="1547">
        <f t="shared" si="179"/>
        <v>0</v>
      </c>
      <c r="H239" s="1484"/>
      <c r="I239" s="1547">
        <f t="shared" si="180"/>
        <v>0</v>
      </c>
      <c r="J239" s="1485"/>
      <c r="K239" s="1485"/>
      <c r="L239" s="1436"/>
      <c r="M239" s="1439"/>
      <c r="N239" s="1439"/>
      <c r="O239" s="1485"/>
      <c r="P239" s="1486"/>
      <c r="Q239" s="1486"/>
      <c r="R239" s="1487"/>
      <c r="S239" s="1444"/>
      <c r="T239" s="1444"/>
      <c r="U239" s="1444"/>
      <c r="V239" s="1488"/>
      <c r="W239" s="1488"/>
      <c r="X239" s="1488"/>
      <c r="Y239" s="1488"/>
      <c r="Z239" s="1488"/>
      <c r="AA239" s="1488"/>
      <c r="AB239" s="1488"/>
      <c r="AC239" s="1488"/>
      <c r="AD239" s="1488"/>
      <c r="AE239" s="1488"/>
      <c r="AF239" s="1488"/>
      <c r="AG239" s="1488"/>
      <c r="AH239" s="1451">
        <f t="shared" si="152"/>
        <v>0</v>
      </c>
      <c r="AI239" s="1488"/>
      <c r="AJ239" s="1488"/>
      <c r="AK239" s="1488"/>
      <c r="AL239" s="1488"/>
      <c r="AM239" s="1488"/>
      <c r="AN239" s="1488"/>
      <c r="AO239" s="1488"/>
      <c r="AP239" s="1488"/>
      <c r="AQ239" s="1488"/>
      <c r="AR239" s="1488"/>
      <c r="AS239" s="1488"/>
      <c r="AT239" s="1542"/>
      <c r="AU239" s="1599">
        <f t="shared" si="153"/>
        <v>0</v>
      </c>
      <c r="AV239" s="1544">
        <f t="shared" si="181"/>
        <v>0</v>
      </c>
      <c r="AW239" s="1452">
        <f t="shared" si="154"/>
        <v>0</v>
      </c>
      <c r="AX239" s="1452">
        <f t="shared" si="155"/>
        <v>0</v>
      </c>
      <c r="AY239" s="1452">
        <f t="shared" si="156"/>
        <v>0</v>
      </c>
      <c r="AZ239" s="1452">
        <f t="shared" si="157"/>
        <v>0</v>
      </c>
      <c r="BA239" s="1452">
        <f t="shared" si="158"/>
        <v>0</v>
      </c>
      <c r="BB239" s="1452">
        <f t="shared" si="159"/>
        <v>0</v>
      </c>
      <c r="BC239" s="1452">
        <f t="shared" si="160"/>
        <v>0</v>
      </c>
      <c r="BD239" s="1452">
        <f t="shared" si="161"/>
        <v>0</v>
      </c>
      <c r="BE239" s="1452">
        <f t="shared" si="162"/>
        <v>0</v>
      </c>
      <c r="BF239" s="1452">
        <f t="shared" si="163"/>
        <v>0</v>
      </c>
      <c r="BG239" s="1452">
        <f t="shared" si="164"/>
        <v>0</v>
      </c>
      <c r="BH239" s="1452">
        <f t="shared" si="165"/>
        <v>0</v>
      </c>
      <c r="BI239" s="1452">
        <f t="shared" si="182"/>
        <v>0</v>
      </c>
      <c r="BJ239" s="1452" t="str">
        <f t="shared" si="166"/>
        <v/>
      </c>
      <c r="BK239" s="1452" t="str">
        <f t="shared" si="167"/>
        <v/>
      </c>
      <c r="BL239" s="1452" t="str">
        <f t="shared" si="168"/>
        <v/>
      </c>
      <c r="BM239" s="1452" t="str">
        <f t="shared" si="169"/>
        <v/>
      </c>
      <c r="BN239" s="1452" t="str">
        <f t="shared" ca="1" si="170"/>
        <v/>
      </c>
      <c r="BO239" s="1452" t="str">
        <f t="shared" si="183"/>
        <v/>
      </c>
      <c r="BP239" s="1452" t="str">
        <f t="shared" si="171"/>
        <v/>
      </c>
      <c r="BQ239" s="1452" t="str">
        <f t="shared" si="172"/>
        <v/>
      </c>
      <c r="BR239" s="1452" t="str">
        <f t="shared" si="173"/>
        <v/>
      </c>
      <c r="BS239" s="1452" t="str">
        <f t="shared" si="174"/>
        <v/>
      </c>
      <c r="BT239" s="1452" t="str">
        <f t="shared" si="175"/>
        <v/>
      </c>
      <c r="BU239" s="1452" t="str">
        <f t="shared" si="176"/>
        <v/>
      </c>
      <c r="BV239" s="1452" t="str">
        <f t="shared" si="177"/>
        <v/>
      </c>
      <c r="BW239" s="1558">
        <f t="shared" ca="1" si="184"/>
        <v>0</v>
      </c>
    </row>
    <row r="240" spans="1:75" s="9" customFormat="1" ht="12.5">
      <c r="A240" s="1483" t="str">
        <f t="shared" si="178"/>
        <v>Public Health Wales Trust</v>
      </c>
      <c r="B240" s="1583"/>
      <c r="C240" s="1583"/>
      <c r="D240" s="1583"/>
      <c r="E240" s="1581"/>
      <c r="F240" s="1436"/>
      <c r="G240" s="1547">
        <f t="shared" si="179"/>
        <v>0</v>
      </c>
      <c r="H240" s="1484"/>
      <c r="I240" s="1547">
        <f t="shared" si="180"/>
        <v>0</v>
      </c>
      <c r="J240" s="1489"/>
      <c r="K240" s="1489"/>
      <c r="L240" s="1436"/>
      <c r="M240" s="1489"/>
      <c r="N240" s="1489"/>
      <c r="O240" s="1485"/>
      <c r="P240" s="1486"/>
      <c r="Q240" s="1486"/>
      <c r="R240" s="1487"/>
      <c r="S240" s="1444"/>
      <c r="T240" s="1444"/>
      <c r="U240" s="1444"/>
      <c r="V240" s="1488"/>
      <c r="W240" s="1488"/>
      <c r="X240" s="1488"/>
      <c r="Y240" s="1488"/>
      <c r="Z240" s="1488"/>
      <c r="AA240" s="1488"/>
      <c r="AB240" s="1488"/>
      <c r="AC240" s="1488"/>
      <c r="AD240" s="1488"/>
      <c r="AE240" s="1488"/>
      <c r="AF240" s="1488"/>
      <c r="AG240" s="1488"/>
      <c r="AH240" s="1451">
        <f t="shared" si="152"/>
        <v>0</v>
      </c>
      <c r="AI240" s="1488"/>
      <c r="AJ240" s="1488"/>
      <c r="AK240" s="1488"/>
      <c r="AL240" s="1488"/>
      <c r="AM240" s="1488"/>
      <c r="AN240" s="1488"/>
      <c r="AO240" s="1488"/>
      <c r="AP240" s="1488"/>
      <c r="AQ240" s="1488"/>
      <c r="AR240" s="1488"/>
      <c r="AS240" s="1488"/>
      <c r="AT240" s="1542"/>
      <c r="AU240" s="1599">
        <f t="shared" si="153"/>
        <v>0</v>
      </c>
      <c r="AV240" s="1544">
        <f t="shared" si="181"/>
        <v>0</v>
      </c>
      <c r="AW240" s="1452">
        <f t="shared" si="154"/>
        <v>0</v>
      </c>
      <c r="AX240" s="1452">
        <f t="shared" si="155"/>
        <v>0</v>
      </c>
      <c r="AY240" s="1452">
        <f t="shared" si="156"/>
        <v>0</v>
      </c>
      <c r="AZ240" s="1452">
        <f t="shared" si="157"/>
        <v>0</v>
      </c>
      <c r="BA240" s="1452">
        <f t="shared" si="158"/>
        <v>0</v>
      </c>
      <c r="BB240" s="1452">
        <f t="shared" si="159"/>
        <v>0</v>
      </c>
      <c r="BC240" s="1452">
        <f t="shared" si="160"/>
        <v>0</v>
      </c>
      <c r="BD240" s="1452">
        <f t="shared" si="161"/>
        <v>0</v>
      </c>
      <c r="BE240" s="1452">
        <f t="shared" si="162"/>
        <v>0</v>
      </c>
      <c r="BF240" s="1452">
        <f t="shared" si="163"/>
        <v>0</v>
      </c>
      <c r="BG240" s="1452">
        <f t="shared" si="164"/>
        <v>0</v>
      </c>
      <c r="BH240" s="1452">
        <f t="shared" si="165"/>
        <v>0</v>
      </c>
      <c r="BI240" s="1452">
        <f t="shared" si="182"/>
        <v>0</v>
      </c>
      <c r="BJ240" s="1452" t="str">
        <f t="shared" si="166"/>
        <v/>
      </c>
      <c r="BK240" s="1452" t="str">
        <f t="shared" si="167"/>
        <v/>
      </c>
      <c r="BL240" s="1452" t="str">
        <f t="shared" si="168"/>
        <v/>
      </c>
      <c r="BM240" s="1452" t="str">
        <f t="shared" si="169"/>
        <v/>
      </c>
      <c r="BN240" s="1452" t="str">
        <f t="shared" ca="1" si="170"/>
        <v/>
      </c>
      <c r="BO240" s="1452" t="str">
        <f t="shared" si="183"/>
        <v/>
      </c>
      <c r="BP240" s="1452" t="str">
        <f t="shared" si="171"/>
        <v/>
      </c>
      <c r="BQ240" s="1452" t="str">
        <f t="shared" si="172"/>
        <v/>
      </c>
      <c r="BR240" s="1452" t="str">
        <f t="shared" si="173"/>
        <v/>
      </c>
      <c r="BS240" s="1452" t="str">
        <f t="shared" si="174"/>
        <v/>
      </c>
      <c r="BT240" s="1452" t="str">
        <f t="shared" si="175"/>
        <v/>
      </c>
      <c r="BU240" s="1452" t="str">
        <f t="shared" si="176"/>
        <v/>
      </c>
      <c r="BV240" s="1452" t="str">
        <f t="shared" si="177"/>
        <v/>
      </c>
      <c r="BW240" s="1558">
        <f t="shared" ca="1" si="184"/>
        <v>0</v>
      </c>
    </row>
    <row r="241" spans="1:75" s="9" customFormat="1" ht="12.5">
      <c r="A241" s="1483" t="str">
        <f t="shared" si="178"/>
        <v>Public Health Wales Trust</v>
      </c>
      <c r="B241" s="1583"/>
      <c r="C241" s="1583"/>
      <c r="D241" s="1583"/>
      <c r="E241" s="1581"/>
      <c r="F241" s="1436"/>
      <c r="G241" s="1547">
        <f t="shared" si="179"/>
        <v>0</v>
      </c>
      <c r="H241" s="1484"/>
      <c r="I241" s="1547">
        <f t="shared" si="180"/>
        <v>0</v>
      </c>
      <c r="J241" s="1485"/>
      <c r="K241" s="1485"/>
      <c r="L241" s="1436"/>
      <c r="M241" s="1439"/>
      <c r="N241" s="1439"/>
      <c r="O241" s="1485"/>
      <c r="P241" s="1486"/>
      <c r="Q241" s="1486"/>
      <c r="R241" s="1487"/>
      <c r="S241" s="1444"/>
      <c r="T241" s="1444"/>
      <c r="U241" s="1444"/>
      <c r="V241" s="1488"/>
      <c r="W241" s="1488"/>
      <c r="X241" s="1488"/>
      <c r="Y241" s="1488"/>
      <c r="Z241" s="1488"/>
      <c r="AA241" s="1488"/>
      <c r="AB241" s="1488"/>
      <c r="AC241" s="1488"/>
      <c r="AD241" s="1488"/>
      <c r="AE241" s="1488"/>
      <c r="AF241" s="1488"/>
      <c r="AG241" s="1488"/>
      <c r="AH241" s="1451">
        <f t="shared" si="152"/>
        <v>0</v>
      </c>
      <c r="AI241" s="1488"/>
      <c r="AJ241" s="1488"/>
      <c r="AK241" s="1488"/>
      <c r="AL241" s="1488"/>
      <c r="AM241" s="1488"/>
      <c r="AN241" s="1488"/>
      <c r="AO241" s="1488"/>
      <c r="AP241" s="1488"/>
      <c r="AQ241" s="1488"/>
      <c r="AR241" s="1488"/>
      <c r="AS241" s="1488"/>
      <c r="AT241" s="1542"/>
      <c r="AU241" s="1599">
        <f t="shared" si="153"/>
        <v>0</v>
      </c>
      <c r="AV241" s="1544">
        <f t="shared" si="181"/>
        <v>0</v>
      </c>
      <c r="AW241" s="1452">
        <f t="shared" si="154"/>
        <v>0</v>
      </c>
      <c r="AX241" s="1452">
        <f t="shared" si="155"/>
        <v>0</v>
      </c>
      <c r="AY241" s="1452">
        <f t="shared" si="156"/>
        <v>0</v>
      </c>
      <c r="AZ241" s="1452">
        <f t="shared" si="157"/>
        <v>0</v>
      </c>
      <c r="BA241" s="1452">
        <f t="shared" si="158"/>
        <v>0</v>
      </c>
      <c r="BB241" s="1452">
        <f t="shared" si="159"/>
        <v>0</v>
      </c>
      <c r="BC241" s="1452">
        <f t="shared" si="160"/>
        <v>0</v>
      </c>
      <c r="BD241" s="1452">
        <f t="shared" si="161"/>
        <v>0</v>
      </c>
      <c r="BE241" s="1452">
        <f t="shared" si="162"/>
        <v>0</v>
      </c>
      <c r="BF241" s="1452">
        <f t="shared" si="163"/>
        <v>0</v>
      </c>
      <c r="BG241" s="1452">
        <f t="shared" si="164"/>
        <v>0</v>
      </c>
      <c r="BH241" s="1452">
        <f t="shared" si="165"/>
        <v>0</v>
      </c>
      <c r="BI241" s="1452">
        <f t="shared" si="182"/>
        <v>0</v>
      </c>
      <c r="BJ241" s="1452" t="str">
        <f t="shared" si="166"/>
        <v/>
      </c>
      <c r="BK241" s="1452" t="str">
        <f t="shared" si="167"/>
        <v/>
      </c>
      <c r="BL241" s="1452" t="str">
        <f t="shared" si="168"/>
        <v/>
      </c>
      <c r="BM241" s="1452" t="str">
        <f t="shared" si="169"/>
        <v/>
      </c>
      <c r="BN241" s="1452" t="str">
        <f t="shared" ca="1" si="170"/>
        <v/>
      </c>
      <c r="BO241" s="1452" t="str">
        <f t="shared" si="183"/>
        <v/>
      </c>
      <c r="BP241" s="1452" t="str">
        <f t="shared" si="171"/>
        <v/>
      </c>
      <c r="BQ241" s="1452" t="str">
        <f t="shared" si="172"/>
        <v/>
      </c>
      <c r="BR241" s="1452" t="str">
        <f t="shared" si="173"/>
        <v/>
      </c>
      <c r="BS241" s="1452" t="str">
        <f t="shared" si="174"/>
        <v/>
      </c>
      <c r="BT241" s="1452" t="str">
        <f t="shared" si="175"/>
        <v/>
      </c>
      <c r="BU241" s="1452" t="str">
        <f t="shared" si="176"/>
        <v/>
      </c>
      <c r="BV241" s="1452" t="str">
        <f t="shared" si="177"/>
        <v/>
      </c>
      <c r="BW241" s="1558">
        <f t="shared" ca="1" si="184"/>
        <v>0</v>
      </c>
    </row>
    <row r="242" spans="1:75" s="9" customFormat="1" ht="12.5">
      <c r="A242" s="1483" t="str">
        <f t="shared" si="178"/>
        <v>Public Health Wales Trust</v>
      </c>
      <c r="B242" s="1583"/>
      <c r="C242" s="1583"/>
      <c r="D242" s="1583"/>
      <c r="E242" s="1581"/>
      <c r="F242" s="1436"/>
      <c r="G242" s="1547">
        <f t="shared" si="179"/>
        <v>0</v>
      </c>
      <c r="H242" s="1484"/>
      <c r="I242" s="1547">
        <f t="shared" si="180"/>
        <v>0</v>
      </c>
      <c r="J242" s="1485"/>
      <c r="K242" s="1485"/>
      <c r="L242" s="1436"/>
      <c r="M242" s="1439"/>
      <c r="N242" s="1439"/>
      <c r="O242" s="1485"/>
      <c r="P242" s="1486"/>
      <c r="Q242" s="1486"/>
      <c r="R242" s="1487"/>
      <c r="S242" s="1444"/>
      <c r="T242" s="1444"/>
      <c r="U242" s="1444"/>
      <c r="V242" s="1488"/>
      <c r="W242" s="1488"/>
      <c r="X242" s="1488"/>
      <c r="Y242" s="1488"/>
      <c r="Z242" s="1488"/>
      <c r="AA242" s="1488"/>
      <c r="AB242" s="1488"/>
      <c r="AC242" s="1488"/>
      <c r="AD242" s="1488"/>
      <c r="AE242" s="1488"/>
      <c r="AF242" s="1488"/>
      <c r="AG242" s="1488"/>
      <c r="AH242" s="1451">
        <f t="shared" si="152"/>
        <v>0</v>
      </c>
      <c r="AI242" s="1488"/>
      <c r="AJ242" s="1488"/>
      <c r="AK242" s="1488"/>
      <c r="AL242" s="1488"/>
      <c r="AM242" s="1488"/>
      <c r="AN242" s="1488"/>
      <c r="AO242" s="1488"/>
      <c r="AP242" s="1488"/>
      <c r="AQ242" s="1488"/>
      <c r="AR242" s="1488"/>
      <c r="AS242" s="1488"/>
      <c r="AT242" s="1542"/>
      <c r="AU242" s="1599">
        <f t="shared" si="153"/>
        <v>0</v>
      </c>
      <c r="AV242" s="1544">
        <f t="shared" si="181"/>
        <v>0</v>
      </c>
      <c r="AW242" s="1452">
        <f t="shared" si="154"/>
        <v>0</v>
      </c>
      <c r="AX242" s="1452">
        <f t="shared" si="155"/>
        <v>0</v>
      </c>
      <c r="AY242" s="1452">
        <f t="shared" si="156"/>
        <v>0</v>
      </c>
      <c r="AZ242" s="1452">
        <f t="shared" si="157"/>
        <v>0</v>
      </c>
      <c r="BA242" s="1452">
        <f t="shared" si="158"/>
        <v>0</v>
      </c>
      <c r="BB242" s="1452">
        <f t="shared" si="159"/>
        <v>0</v>
      </c>
      <c r="BC242" s="1452">
        <f t="shared" si="160"/>
        <v>0</v>
      </c>
      <c r="BD242" s="1452">
        <f t="shared" si="161"/>
        <v>0</v>
      </c>
      <c r="BE242" s="1452">
        <f t="shared" si="162"/>
        <v>0</v>
      </c>
      <c r="BF242" s="1452">
        <f t="shared" si="163"/>
        <v>0</v>
      </c>
      <c r="BG242" s="1452">
        <f t="shared" si="164"/>
        <v>0</v>
      </c>
      <c r="BH242" s="1452">
        <f t="shared" si="165"/>
        <v>0</v>
      </c>
      <c r="BI242" s="1452">
        <f t="shared" si="182"/>
        <v>0</v>
      </c>
      <c r="BJ242" s="1452" t="str">
        <f t="shared" si="166"/>
        <v/>
      </c>
      <c r="BK242" s="1452" t="str">
        <f t="shared" si="167"/>
        <v/>
      </c>
      <c r="BL242" s="1452" t="str">
        <f t="shared" si="168"/>
        <v/>
      </c>
      <c r="BM242" s="1452" t="str">
        <f t="shared" si="169"/>
        <v/>
      </c>
      <c r="BN242" s="1452" t="str">
        <f t="shared" ca="1" si="170"/>
        <v/>
      </c>
      <c r="BO242" s="1452" t="str">
        <f t="shared" si="183"/>
        <v/>
      </c>
      <c r="BP242" s="1452" t="str">
        <f t="shared" si="171"/>
        <v/>
      </c>
      <c r="BQ242" s="1452" t="str">
        <f t="shared" si="172"/>
        <v/>
      </c>
      <c r="BR242" s="1452" t="str">
        <f t="shared" si="173"/>
        <v/>
      </c>
      <c r="BS242" s="1452" t="str">
        <f t="shared" si="174"/>
        <v/>
      </c>
      <c r="BT242" s="1452" t="str">
        <f t="shared" si="175"/>
        <v/>
      </c>
      <c r="BU242" s="1452" t="str">
        <f t="shared" si="176"/>
        <v/>
      </c>
      <c r="BV242" s="1452" t="str">
        <f t="shared" si="177"/>
        <v/>
      </c>
      <c r="BW242" s="1558">
        <f t="shared" ca="1" si="184"/>
        <v>0</v>
      </c>
    </row>
    <row r="243" spans="1:75" s="9" customFormat="1" ht="12.5">
      <c r="A243" s="1483" t="str">
        <f t="shared" si="178"/>
        <v>Public Health Wales Trust</v>
      </c>
      <c r="B243" s="1583"/>
      <c r="C243" s="1583"/>
      <c r="D243" s="1583"/>
      <c r="E243" s="1581"/>
      <c r="F243" s="1436"/>
      <c r="G243" s="1547">
        <f t="shared" si="179"/>
        <v>0</v>
      </c>
      <c r="H243" s="1484"/>
      <c r="I243" s="1547">
        <f t="shared" si="180"/>
        <v>0</v>
      </c>
      <c r="J243" s="1485"/>
      <c r="K243" s="1485"/>
      <c r="L243" s="1436"/>
      <c r="M243" s="1439"/>
      <c r="N243" s="1439"/>
      <c r="O243" s="1485"/>
      <c r="P243" s="1486"/>
      <c r="Q243" s="1486"/>
      <c r="R243" s="1487"/>
      <c r="S243" s="1444"/>
      <c r="T243" s="1444"/>
      <c r="U243" s="1444"/>
      <c r="V243" s="1488"/>
      <c r="W243" s="1488"/>
      <c r="X243" s="1488"/>
      <c r="Y243" s="1488"/>
      <c r="Z243" s="1488"/>
      <c r="AA243" s="1488"/>
      <c r="AB243" s="1488"/>
      <c r="AC243" s="1488"/>
      <c r="AD243" s="1488"/>
      <c r="AE243" s="1488"/>
      <c r="AF243" s="1488"/>
      <c r="AG243" s="1488"/>
      <c r="AH243" s="1451">
        <f t="shared" si="152"/>
        <v>0</v>
      </c>
      <c r="AI243" s="1488"/>
      <c r="AJ243" s="1488"/>
      <c r="AK243" s="1488"/>
      <c r="AL243" s="1488"/>
      <c r="AM243" s="1488"/>
      <c r="AN243" s="1488"/>
      <c r="AO243" s="1488"/>
      <c r="AP243" s="1488"/>
      <c r="AQ243" s="1488"/>
      <c r="AR243" s="1488"/>
      <c r="AS243" s="1488"/>
      <c r="AT243" s="1542"/>
      <c r="AU243" s="1599">
        <f t="shared" si="153"/>
        <v>0</v>
      </c>
      <c r="AV243" s="1544">
        <f t="shared" si="181"/>
        <v>0</v>
      </c>
      <c r="AW243" s="1452">
        <f t="shared" si="154"/>
        <v>0</v>
      </c>
      <c r="AX243" s="1452">
        <f t="shared" si="155"/>
        <v>0</v>
      </c>
      <c r="AY243" s="1452">
        <f t="shared" si="156"/>
        <v>0</v>
      </c>
      <c r="AZ243" s="1452">
        <f t="shared" si="157"/>
        <v>0</v>
      </c>
      <c r="BA243" s="1452">
        <f t="shared" si="158"/>
        <v>0</v>
      </c>
      <c r="BB243" s="1452">
        <f t="shared" si="159"/>
        <v>0</v>
      </c>
      <c r="BC243" s="1452">
        <f t="shared" si="160"/>
        <v>0</v>
      </c>
      <c r="BD243" s="1452">
        <f t="shared" si="161"/>
        <v>0</v>
      </c>
      <c r="BE243" s="1452">
        <f t="shared" si="162"/>
        <v>0</v>
      </c>
      <c r="BF243" s="1452">
        <f t="shared" si="163"/>
        <v>0</v>
      </c>
      <c r="BG243" s="1452">
        <f t="shared" si="164"/>
        <v>0</v>
      </c>
      <c r="BH243" s="1452">
        <f t="shared" si="165"/>
        <v>0</v>
      </c>
      <c r="BI243" s="1452">
        <f t="shared" si="182"/>
        <v>0</v>
      </c>
      <c r="BJ243" s="1452" t="str">
        <f t="shared" si="166"/>
        <v/>
      </c>
      <c r="BK243" s="1452" t="str">
        <f t="shared" si="167"/>
        <v/>
      </c>
      <c r="BL243" s="1452" t="str">
        <f t="shared" si="168"/>
        <v/>
      </c>
      <c r="BM243" s="1452" t="str">
        <f t="shared" si="169"/>
        <v/>
      </c>
      <c r="BN243" s="1452" t="str">
        <f t="shared" ca="1" si="170"/>
        <v/>
      </c>
      <c r="BO243" s="1452" t="str">
        <f t="shared" si="183"/>
        <v/>
      </c>
      <c r="BP243" s="1452" t="str">
        <f t="shared" si="171"/>
        <v/>
      </c>
      <c r="BQ243" s="1452" t="str">
        <f t="shared" si="172"/>
        <v/>
      </c>
      <c r="BR243" s="1452" t="str">
        <f t="shared" si="173"/>
        <v/>
      </c>
      <c r="BS243" s="1452" t="str">
        <f t="shared" si="174"/>
        <v/>
      </c>
      <c r="BT243" s="1452" t="str">
        <f t="shared" si="175"/>
        <v/>
      </c>
      <c r="BU243" s="1452" t="str">
        <f t="shared" si="176"/>
        <v/>
      </c>
      <c r="BV243" s="1452" t="str">
        <f t="shared" si="177"/>
        <v/>
      </c>
      <c r="BW243" s="1558">
        <f t="shared" ca="1" si="184"/>
        <v>0</v>
      </c>
    </row>
    <row r="244" spans="1:75" s="9" customFormat="1" ht="12.5">
      <c r="A244" s="1483" t="str">
        <f t="shared" si="178"/>
        <v>Public Health Wales Trust</v>
      </c>
      <c r="B244" s="1583"/>
      <c r="C244" s="1583"/>
      <c r="D244" s="1583"/>
      <c r="E244" s="1581"/>
      <c r="F244" s="1436"/>
      <c r="G244" s="1547">
        <f t="shared" si="179"/>
        <v>0</v>
      </c>
      <c r="H244" s="1484"/>
      <c r="I244" s="1547">
        <f t="shared" si="180"/>
        <v>0</v>
      </c>
      <c r="J244" s="1485"/>
      <c r="K244" s="1485"/>
      <c r="L244" s="1436"/>
      <c r="M244" s="1439"/>
      <c r="N244" s="1439"/>
      <c r="O244" s="1485"/>
      <c r="P244" s="1486"/>
      <c r="Q244" s="1486"/>
      <c r="R244" s="1487"/>
      <c r="S244" s="1444"/>
      <c r="T244" s="1444"/>
      <c r="U244" s="1444"/>
      <c r="V244" s="1488"/>
      <c r="W244" s="1488"/>
      <c r="X244" s="1488"/>
      <c r="Y244" s="1488"/>
      <c r="Z244" s="1488"/>
      <c r="AA244" s="1488"/>
      <c r="AB244" s="1488"/>
      <c r="AC244" s="1488"/>
      <c r="AD244" s="1488"/>
      <c r="AE244" s="1488"/>
      <c r="AF244" s="1488"/>
      <c r="AG244" s="1488"/>
      <c r="AH244" s="1451">
        <f t="shared" si="152"/>
        <v>0</v>
      </c>
      <c r="AI244" s="1488"/>
      <c r="AJ244" s="1488"/>
      <c r="AK244" s="1488"/>
      <c r="AL244" s="1488"/>
      <c r="AM244" s="1488"/>
      <c r="AN244" s="1488"/>
      <c r="AO244" s="1488"/>
      <c r="AP244" s="1488"/>
      <c r="AQ244" s="1488"/>
      <c r="AR244" s="1488"/>
      <c r="AS244" s="1488"/>
      <c r="AT244" s="1542"/>
      <c r="AU244" s="1599">
        <f t="shared" si="153"/>
        <v>0</v>
      </c>
      <c r="AV244" s="1544">
        <f t="shared" si="181"/>
        <v>0</v>
      </c>
      <c r="AW244" s="1452">
        <f t="shared" si="154"/>
        <v>0</v>
      </c>
      <c r="AX244" s="1452">
        <f t="shared" si="155"/>
        <v>0</v>
      </c>
      <c r="AY244" s="1452">
        <f t="shared" si="156"/>
        <v>0</v>
      </c>
      <c r="AZ244" s="1452">
        <f t="shared" si="157"/>
        <v>0</v>
      </c>
      <c r="BA244" s="1452">
        <f t="shared" si="158"/>
        <v>0</v>
      </c>
      <c r="BB244" s="1452">
        <f t="shared" si="159"/>
        <v>0</v>
      </c>
      <c r="BC244" s="1452">
        <f t="shared" si="160"/>
        <v>0</v>
      </c>
      <c r="BD244" s="1452">
        <f t="shared" si="161"/>
        <v>0</v>
      </c>
      <c r="BE244" s="1452">
        <f t="shared" si="162"/>
        <v>0</v>
      </c>
      <c r="BF244" s="1452">
        <f t="shared" si="163"/>
        <v>0</v>
      </c>
      <c r="BG244" s="1452">
        <f t="shared" si="164"/>
        <v>0</v>
      </c>
      <c r="BH244" s="1452">
        <f t="shared" si="165"/>
        <v>0</v>
      </c>
      <c r="BI244" s="1452">
        <f t="shared" si="182"/>
        <v>0</v>
      </c>
      <c r="BJ244" s="1452" t="str">
        <f t="shared" si="166"/>
        <v/>
      </c>
      <c r="BK244" s="1452" t="str">
        <f t="shared" si="167"/>
        <v/>
      </c>
      <c r="BL244" s="1452" t="str">
        <f t="shared" si="168"/>
        <v/>
      </c>
      <c r="BM244" s="1452" t="str">
        <f t="shared" si="169"/>
        <v/>
      </c>
      <c r="BN244" s="1452" t="str">
        <f t="shared" ca="1" si="170"/>
        <v/>
      </c>
      <c r="BO244" s="1452" t="str">
        <f t="shared" si="183"/>
        <v/>
      </c>
      <c r="BP244" s="1452" t="str">
        <f t="shared" si="171"/>
        <v/>
      </c>
      <c r="BQ244" s="1452" t="str">
        <f t="shared" si="172"/>
        <v/>
      </c>
      <c r="BR244" s="1452" t="str">
        <f t="shared" si="173"/>
        <v/>
      </c>
      <c r="BS244" s="1452" t="str">
        <f t="shared" si="174"/>
        <v/>
      </c>
      <c r="BT244" s="1452" t="str">
        <f t="shared" si="175"/>
        <v/>
      </c>
      <c r="BU244" s="1452" t="str">
        <f t="shared" si="176"/>
        <v/>
      </c>
      <c r="BV244" s="1452" t="str">
        <f t="shared" si="177"/>
        <v/>
      </c>
      <c r="BW244" s="1558">
        <f t="shared" ca="1" si="184"/>
        <v>0</v>
      </c>
    </row>
    <row r="245" spans="1:75" s="9" customFormat="1" ht="12.5">
      <c r="A245" s="1483" t="str">
        <f t="shared" si="178"/>
        <v>Public Health Wales Trust</v>
      </c>
      <c r="B245" s="1583"/>
      <c r="C245" s="1583"/>
      <c r="D245" s="1583"/>
      <c r="E245" s="1581"/>
      <c r="F245" s="1436"/>
      <c r="G245" s="1547">
        <f t="shared" si="179"/>
        <v>0</v>
      </c>
      <c r="H245" s="1484"/>
      <c r="I245" s="1547">
        <f t="shared" si="180"/>
        <v>0</v>
      </c>
      <c r="J245" s="1485"/>
      <c r="K245" s="1485"/>
      <c r="L245" s="1436"/>
      <c r="M245" s="1439"/>
      <c r="N245" s="1439"/>
      <c r="O245" s="1485"/>
      <c r="P245" s="1486"/>
      <c r="Q245" s="1486"/>
      <c r="R245" s="1487"/>
      <c r="S245" s="1444"/>
      <c r="T245" s="1444"/>
      <c r="U245" s="1444"/>
      <c r="V245" s="1488"/>
      <c r="W245" s="1488"/>
      <c r="X245" s="1488"/>
      <c r="Y245" s="1488"/>
      <c r="Z245" s="1488"/>
      <c r="AA245" s="1488"/>
      <c r="AB245" s="1488"/>
      <c r="AC245" s="1488"/>
      <c r="AD245" s="1488"/>
      <c r="AE245" s="1488"/>
      <c r="AF245" s="1488"/>
      <c r="AG245" s="1488"/>
      <c r="AH245" s="1451">
        <f t="shared" si="152"/>
        <v>0</v>
      </c>
      <c r="AI245" s="1488"/>
      <c r="AJ245" s="1488"/>
      <c r="AK245" s="1488"/>
      <c r="AL245" s="1488"/>
      <c r="AM245" s="1488"/>
      <c r="AN245" s="1488"/>
      <c r="AO245" s="1488"/>
      <c r="AP245" s="1488"/>
      <c r="AQ245" s="1488"/>
      <c r="AR245" s="1488"/>
      <c r="AS245" s="1488"/>
      <c r="AT245" s="1542"/>
      <c r="AU245" s="1599">
        <f t="shared" si="153"/>
        <v>0</v>
      </c>
      <c r="AV245" s="1544">
        <f t="shared" si="181"/>
        <v>0</v>
      </c>
      <c r="AW245" s="1452">
        <f t="shared" si="154"/>
        <v>0</v>
      </c>
      <c r="AX245" s="1452">
        <f t="shared" si="155"/>
        <v>0</v>
      </c>
      <c r="AY245" s="1452">
        <f t="shared" si="156"/>
        <v>0</v>
      </c>
      <c r="AZ245" s="1452">
        <f t="shared" si="157"/>
        <v>0</v>
      </c>
      <c r="BA245" s="1452">
        <f t="shared" si="158"/>
        <v>0</v>
      </c>
      <c r="BB245" s="1452">
        <f t="shared" si="159"/>
        <v>0</v>
      </c>
      <c r="BC245" s="1452">
        <f t="shared" si="160"/>
        <v>0</v>
      </c>
      <c r="BD245" s="1452">
        <f t="shared" si="161"/>
        <v>0</v>
      </c>
      <c r="BE245" s="1452">
        <f t="shared" si="162"/>
        <v>0</v>
      </c>
      <c r="BF245" s="1452">
        <f t="shared" si="163"/>
        <v>0</v>
      </c>
      <c r="BG245" s="1452">
        <f t="shared" si="164"/>
        <v>0</v>
      </c>
      <c r="BH245" s="1452">
        <f t="shared" si="165"/>
        <v>0</v>
      </c>
      <c r="BI245" s="1452">
        <f t="shared" si="182"/>
        <v>0</v>
      </c>
      <c r="BJ245" s="1452" t="str">
        <f t="shared" si="166"/>
        <v/>
      </c>
      <c r="BK245" s="1452" t="str">
        <f t="shared" si="167"/>
        <v/>
      </c>
      <c r="BL245" s="1452" t="str">
        <f t="shared" si="168"/>
        <v/>
      </c>
      <c r="BM245" s="1452" t="str">
        <f t="shared" si="169"/>
        <v/>
      </c>
      <c r="BN245" s="1452" t="str">
        <f t="shared" ca="1" si="170"/>
        <v/>
      </c>
      <c r="BO245" s="1452" t="str">
        <f t="shared" si="183"/>
        <v/>
      </c>
      <c r="BP245" s="1452" t="str">
        <f t="shared" si="171"/>
        <v/>
      </c>
      <c r="BQ245" s="1452" t="str">
        <f t="shared" si="172"/>
        <v/>
      </c>
      <c r="BR245" s="1452" t="str">
        <f t="shared" si="173"/>
        <v/>
      </c>
      <c r="BS245" s="1452" t="str">
        <f t="shared" si="174"/>
        <v/>
      </c>
      <c r="BT245" s="1452" t="str">
        <f t="shared" si="175"/>
        <v/>
      </c>
      <c r="BU245" s="1452" t="str">
        <f t="shared" si="176"/>
        <v/>
      </c>
      <c r="BV245" s="1452" t="str">
        <f t="shared" si="177"/>
        <v/>
      </c>
      <c r="BW245" s="1558">
        <f t="shared" ca="1" si="184"/>
        <v>0</v>
      </c>
    </row>
    <row r="246" spans="1:75" s="9" customFormat="1" ht="12.5">
      <c r="A246" s="1483" t="str">
        <f t="shared" si="178"/>
        <v>Public Health Wales Trust</v>
      </c>
      <c r="B246" s="1583"/>
      <c r="C246" s="1583"/>
      <c r="D246" s="1583"/>
      <c r="E246" s="1581"/>
      <c r="F246" s="1436"/>
      <c r="G246" s="1547">
        <f t="shared" si="179"/>
        <v>0</v>
      </c>
      <c r="H246" s="1484"/>
      <c r="I246" s="1547">
        <f t="shared" si="180"/>
        <v>0</v>
      </c>
      <c r="J246" s="1485"/>
      <c r="K246" s="1485"/>
      <c r="L246" s="1436"/>
      <c r="M246" s="1439"/>
      <c r="N246" s="1439"/>
      <c r="O246" s="1485"/>
      <c r="P246" s="1486"/>
      <c r="Q246" s="1486"/>
      <c r="R246" s="1487"/>
      <c r="S246" s="1444"/>
      <c r="T246" s="1444"/>
      <c r="U246" s="1444"/>
      <c r="V246" s="1488"/>
      <c r="W246" s="1488"/>
      <c r="X246" s="1488"/>
      <c r="Y246" s="1488"/>
      <c r="Z246" s="1488"/>
      <c r="AA246" s="1488"/>
      <c r="AB246" s="1488"/>
      <c r="AC246" s="1488"/>
      <c r="AD246" s="1488"/>
      <c r="AE246" s="1488"/>
      <c r="AF246" s="1488"/>
      <c r="AG246" s="1488"/>
      <c r="AH246" s="1451">
        <f t="shared" si="152"/>
        <v>0</v>
      </c>
      <c r="AI246" s="1488"/>
      <c r="AJ246" s="1488"/>
      <c r="AK246" s="1488"/>
      <c r="AL246" s="1488"/>
      <c r="AM246" s="1488"/>
      <c r="AN246" s="1488"/>
      <c r="AO246" s="1488"/>
      <c r="AP246" s="1488"/>
      <c r="AQ246" s="1488"/>
      <c r="AR246" s="1488"/>
      <c r="AS246" s="1488"/>
      <c r="AT246" s="1542"/>
      <c r="AU246" s="1599">
        <f t="shared" si="153"/>
        <v>0</v>
      </c>
      <c r="AV246" s="1544">
        <f t="shared" si="181"/>
        <v>0</v>
      </c>
      <c r="AW246" s="1452">
        <f t="shared" si="154"/>
        <v>0</v>
      </c>
      <c r="AX246" s="1452">
        <f t="shared" si="155"/>
        <v>0</v>
      </c>
      <c r="AY246" s="1452">
        <f t="shared" si="156"/>
        <v>0</v>
      </c>
      <c r="AZ246" s="1452">
        <f t="shared" si="157"/>
        <v>0</v>
      </c>
      <c r="BA246" s="1452">
        <f t="shared" si="158"/>
        <v>0</v>
      </c>
      <c r="BB246" s="1452">
        <f t="shared" si="159"/>
        <v>0</v>
      </c>
      <c r="BC246" s="1452">
        <f t="shared" si="160"/>
        <v>0</v>
      </c>
      <c r="BD246" s="1452">
        <f t="shared" si="161"/>
        <v>0</v>
      </c>
      <c r="BE246" s="1452">
        <f t="shared" si="162"/>
        <v>0</v>
      </c>
      <c r="BF246" s="1452">
        <f t="shared" si="163"/>
        <v>0</v>
      </c>
      <c r="BG246" s="1452">
        <f t="shared" si="164"/>
        <v>0</v>
      </c>
      <c r="BH246" s="1452">
        <f t="shared" si="165"/>
        <v>0</v>
      </c>
      <c r="BI246" s="1452">
        <f t="shared" si="182"/>
        <v>0</v>
      </c>
      <c r="BJ246" s="1452" t="str">
        <f t="shared" si="166"/>
        <v/>
      </c>
      <c r="BK246" s="1452" t="str">
        <f t="shared" si="167"/>
        <v/>
      </c>
      <c r="BL246" s="1452" t="str">
        <f t="shared" si="168"/>
        <v/>
      </c>
      <c r="BM246" s="1452" t="str">
        <f t="shared" si="169"/>
        <v/>
      </c>
      <c r="BN246" s="1452" t="str">
        <f t="shared" ca="1" si="170"/>
        <v/>
      </c>
      <c r="BO246" s="1452" t="str">
        <f t="shared" si="183"/>
        <v/>
      </c>
      <c r="BP246" s="1452" t="str">
        <f t="shared" si="171"/>
        <v/>
      </c>
      <c r="BQ246" s="1452" t="str">
        <f t="shared" si="172"/>
        <v/>
      </c>
      <c r="BR246" s="1452" t="str">
        <f t="shared" si="173"/>
        <v/>
      </c>
      <c r="BS246" s="1452" t="str">
        <f t="shared" si="174"/>
        <v/>
      </c>
      <c r="BT246" s="1452" t="str">
        <f t="shared" si="175"/>
        <v/>
      </c>
      <c r="BU246" s="1452" t="str">
        <f t="shared" si="176"/>
        <v/>
      </c>
      <c r="BV246" s="1452" t="str">
        <f t="shared" si="177"/>
        <v/>
      </c>
      <c r="BW246" s="1558">
        <f t="shared" ca="1" si="184"/>
        <v>0</v>
      </c>
    </row>
    <row r="247" spans="1:75" s="9" customFormat="1" ht="12.5">
      <c r="A247" s="1483" t="str">
        <f t="shared" si="178"/>
        <v>Public Health Wales Trust</v>
      </c>
      <c r="B247" s="1583"/>
      <c r="C247" s="1583"/>
      <c r="D247" s="1583"/>
      <c r="E247" s="1581"/>
      <c r="F247" s="1436"/>
      <c r="G247" s="1547">
        <f t="shared" si="179"/>
        <v>0</v>
      </c>
      <c r="H247" s="1484"/>
      <c r="I247" s="1547">
        <f t="shared" si="180"/>
        <v>0</v>
      </c>
      <c r="J247" s="1485"/>
      <c r="K247" s="1485"/>
      <c r="L247" s="1436"/>
      <c r="M247" s="1439"/>
      <c r="N247" s="1439"/>
      <c r="O247" s="1485"/>
      <c r="P247" s="1486"/>
      <c r="Q247" s="1486"/>
      <c r="R247" s="1487"/>
      <c r="S247" s="1444"/>
      <c r="T247" s="1444"/>
      <c r="U247" s="1444"/>
      <c r="V247" s="1488"/>
      <c r="W247" s="1488"/>
      <c r="X247" s="1488"/>
      <c r="Y247" s="1488"/>
      <c r="Z247" s="1488"/>
      <c r="AA247" s="1488"/>
      <c r="AB247" s="1488"/>
      <c r="AC247" s="1488"/>
      <c r="AD247" s="1488"/>
      <c r="AE247" s="1488"/>
      <c r="AF247" s="1488"/>
      <c r="AG247" s="1488"/>
      <c r="AH247" s="1451">
        <f t="shared" si="152"/>
        <v>0</v>
      </c>
      <c r="AI247" s="1488"/>
      <c r="AJ247" s="1488"/>
      <c r="AK247" s="1488"/>
      <c r="AL247" s="1488"/>
      <c r="AM247" s="1488"/>
      <c r="AN247" s="1488"/>
      <c r="AO247" s="1488"/>
      <c r="AP247" s="1488"/>
      <c r="AQ247" s="1488"/>
      <c r="AR247" s="1488"/>
      <c r="AS247" s="1488"/>
      <c r="AT247" s="1542"/>
      <c r="AU247" s="1599">
        <f t="shared" si="153"/>
        <v>0</v>
      </c>
      <c r="AV247" s="1544">
        <f t="shared" si="181"/>
        <v>0</v>
      </c>
      <c r="AW247" s="1452">
        <f t="shared" si="154"/>
        <v>0</v>
      </c>
      <c r="AX247" s="1452">
        <f t="shared" si="155"/>
        <v>0</v>
      </c>
      <c r="AY247" s="1452">
        <f t="shared" si="156"/>
        <v>0</v>
      </c>
      <c r="AZ247" s="1452">
        <f t="shared" si="157"/>
        <v>0</v>
      </c>
      <c r="BA247" s="1452">
        <f t="shared" si="158"/>
        <v>0</v>
      </c>
      <c r="BB247" s="1452">
        <f t="shared" si="159"/>
        <v>0</v>
      </c>
      <c r="BC247" s="1452">
        <f t="shared" si="160"/>
        <v>0</v>
      </c>
      <c r="BD247" s="1452">
        <f t="shared" si="161"/>
        <v>0</v>
      </c>
      <c r="BE247" s="1452">
        <f t="shared" si="162"/>
        <v>0</v>
      </c>
      <c r="BF247" s="1452">
        <f t="shared" si="163"/>
        <v>0</v>
      </c>
      <c r="BG247" s="1452">
        <f t="shared" si="164"/>
        <v>0</v>
      </c>
      <c r="BH247" s="1452">
        <f t="shared" si="165"/>
        <v>0</v>
      </c>
      <c r="BI247" s="1452">
        <f t="shared" si="182"/>
        <v>0</v>
      </c>
      <c r="BJ247" s="1452" t="str">
        <f t="shared" si="166"/>
        <v/>
      </c>
      <c r="BK247" s="1452" t="str">
        <f t="shared" si="167"/>
        <v/>
      </c>
      <c r="BL247" s="1452" t="str">
        <f t="shared" si="168"/>
        <v/>
      </c>
      <c r="BM247" s="1452" t="str">
        <f t="shared" si="169"/>
        <v/>
      </c>
      <c r="BN247" s="1452" t="str">
        <f t="shared" ca="1" si="170"/>
        <v/>
      </c>
      <c r="BO247" s="1452" t="str">
        <f t="shared" si="183"/>
        <v/>
      </c>
      <c r="BP247" s="1452" t="str">
        <f t="shared" si="171"/>
        <v/>
      </c>
      <c r="BQ247" s="1452" t="str">
        <f t="shared" si="172"/>
        <v/>
      </c>
      <c r="BR247" s="1452" t="str">
        <f t="shared" si="173"/>
        <v/>
      </c>
      <c r="BS247" s="1452" t="str">
        <f t="shared" si="174"/>
        <v/>
      </c>
      <c r="BT247" s="1452" t="str">
        <f t="shared" si="175"/>
        <v/>
      </c>
      <c r="BU247" s="1452" t="str">
        <f t="shared" si="176"/>
        <v/>
      </c>
      <c r="BV247" s="1452" t="str">
        <f t="shared" si="177"/>
        <v/>
      </c>
      <c r="BW247" s="1558">
        <f t="shared" ca="1" si="184"/>
        <v>0</v>
      </c>
    </row>
    <row r="248" spans="1:75" s="9" customFormat="1" ht="12.5">
      <c r="A248" s="1483" t="str">
        <f t="shared" si="178"/>
        <v>Public Health Wales Trust</v>
      </c>
      <c r="B248" s="1583"/>
      <c r="C248" s="1583"/>
      <c r="D248" s="1583"/>
      <c r="E248" s="1581"/>
      <c r="F248" s="1436"/>
      <c r="G248" s="1547">
        <f t="shared" si="179"/>
        <v>0</v>
      </c>
      <c r="H248" s="1484"/>
      <c r="I248" s="1547">
        <f t="shared" si="180"/>
        <v>0</v>
      </c>
      <c r="J248" s="1485"/>
      <c r="K248" s="1485"/>
      <c r="L248" s="1436"/>
      <c r="M248" s="1439"/>
      <c r="N248" s="1439"/>
      <c r="O248" s="1485"/>
      <c r="P248" s="1486"/>
      <c r="Q248" s="1486"/>
      <c r="R248" s="1487"/>
      <c r="S248" s="1444"/>
      <c r="T248" s="1444"/>
      <c r="U248" s="1444"/>
      <c r="V248" s="1488"/>
      <c r="W248" s="1488"/>
      <c r="X248" s="1488"/>
      <c r="Y248" s="1488"/>
      <c r="Z248" s="1488"/>
      <c r="AA248" s="1488"/>
      <c r="AB248" s="1488"/>
      <c r="AC248" s="1488"/>
      <c r="AD248" s="1488"/>
      <c r="AE248" s="1488"/>
      <c r="AF248" s="1488"/>
      <c r="AG248" s="1488"/>
      <c r="AH248" s="1451">
        <f t="shared" si="152"/>
        <v>0</v>
      </c>
      <c r="AI248" s="1488"/>
      <c r="AJ248" s="1488"/>
      <c r="AK248" s="1488"/>
      <c r="AL248" s="1488"/>
      <c r="AM248" s="1488"/>
      <c r="AN248" s="1488"/>
      <c r="AO248" s="1488"/>
      <c r="AP248" s="1488"/>
      <c r="AQ248" s="1488"/>
      <c r="AR248" s="1488"/>
      <c r="AS248" s="1488"/>
      <c r="AT248" s="1542"/>
      <c r="AU248" s="1599">
        <f t="shared" si="153"/>
        <v>0</v>
      </c>
      <c r="AV248" s="1544">
        <f t="shared" si="181"/>
        <v>0</v>
      </c>
      <c r="AW248" s="1452">
        <f t="shared" si="154"/>
        <v>0</v>
      </c>
      <c r="AX248" s="1452">
        <f t="shared" si="155"/>
        <v>0</v>
      </c>
      <c r="AY248" s="1452">
        <f t="shared" si="156"/>
        <v>0</v>
      </c>
      <c r="AZ248" s="1452">
        <f t="shared" si="157"/>
        <v>0</v>
      </c>
      <c r="BA248" s="1452">
        <f t="shared" si="158"/>
        <v>0</v>
      </c>
      <c r="BB248" s="1452">
        <f t="shared" si="159"/>
        <v>0</v>
      </c>
      <c r="BC248" s="1452">
        <f t="shared" si="160"/>
        <v>0</v>
      </c>
      <c r="BD248" s="1452">
        <f t="shared" si="161"/>
        <v>0</v>
      </c>
      <c r="BE248" s="1452">
        <f t="shared" si="162"/>
        <v>0</v>
      </c>
      <c r="BF248" s="1452">
        <f t="shared" si="163"/>
        <v>0</v>
      </c>
      <c r="BG248" s="1452">
        <f t="shared" si="164"/>
        <v>0</v>
      </c>
      <c r="BH248" s="1452">
        <f t="shared" si="165"/>
        <v>0</v>
      </c>
      <c r="BI248" s="1452">
        <f t="shared" si="182"/>
        <v>0</v>
      </c>
      <c r="BJ248" s="1452" t="str">
        <f t="shared" si="166"/>
        <v/>
      </c>
      <c r="BK248" s="1452" t="str">
        <f t="shared" si="167"/>
        <v/>
      </c>
      <c r="BL248" s="1452" t="str">
        <f t="shared" si="168"/>
        <v/>
      </c>
      <c r="BM248" s="1452" t="str">
        <f t="shared" si="169"/>
        <v/>
      </c>
      <c r="BN248" s="1452" t="str">
        <f t="shared" ca="1" si="170"/>
        <v/>
      </c>
      <c r="BO248" s="1452" t="str">
        <f t="shared" si="183"/>
        <v/>
      </c>
      <c r="BP248" s="1452" t="str">
        <f t="shared" si="171"/>
        <v/>
      </c>
      <c r="BQ248" s="1452" t="str">
        <f t="shared" si="172"/>
        <v/>
      </c>
      <c r="BR248" s="1452" t="str">
        <f t="shared" si="173"/>
        <v/>
      </c>
      <c r="BS248" s="1452" t="str">
        <f t="shared" si="174"/>
        <v/>
      </c>
      <c r="BT248" s="1452" t="str">
        <f t="shared" si="175"/>
        <v/>
      </c>
      <c r="BU248" s="1452" t="str">
        <f t="shared" si="176"/>
        <v/>
      </c>
      <c r="BV248" s="1452" t="str">
        <f t="shared" si="177"/>
        <v/>
      </c>
      <c r="BW248" s="1558">
        <f t="shared" ca="1" si="184"/>
        <v>0</v>
      </c>
    </row>
    <row r="249" spans="1:75" s="9" customFormat="1" ht="12.5">
      <c r="A249" s="1483" t="str">
        <f t="shared" si="178"/>
        <v>Public Health Wales Trust</v>
      </c>
      <c r="B249" s="1583"/>
      <c r="C249" s="1583"/>
      <c r="D249" s="1583"/>
      <c r="E249" s="1581"/>
      <c r="F249" s="1436"/>
      <c r="G249" s="1547">
        <f t="shared" si="179"/>
        <v>0</v>
      </c>
      <c r="H249" s="1484"/>
      <c r="I249" s="1547">
        <f t="shared" si="180"/>
        <v>0</v>
      </c>
      <c r="J249" s="1485"/>
      <c r="K249" s="1485"/>
      <c r="L249" s="1436"/>
      <c r="M249" s="1439"/>
      <c r="N249" s="1439"/>
      <c r="O249" s="1485"/>
      <c r="P249" s="1486"/>
      <c r="Q249" s="1486"/>
      <c r="R249" s="1487"/>
      <c r="S249" s="1444"/>
      <c r="T249" s="1444"/>
      <c r="U249" s="1444"/>
      <c r="V249" s="1488"/>
      <c r="W249" s="1488"/>
      <c r="X249" s="1488"/>
      <c r="Y249" s="1488"/>
      <c r="Z249" s="1488"/>
      <c r="AA249" s="1488"/>
      <c r="AB249" s="1488"/>
      <c r="AC249" s="1488"/>
      <c r="AD249" s="1488"/>
      <c r="AE249" s="1488"/>
      <c r="AF249" s="1488"/>
      <c r="AG249" s="1488"/>
      <c r="AH249" s="1451">
        <f t="shared" si="152"/>
        <v>0</v>
      </c>
      <c r="AI249" s="1488"/>
      <c r="AJ249" s="1488"/>
      <c r="AK249" s="1488"/>
      <c r="AL249" s="1488"/>
      <c r="AM249" s="1488"/>
      <c r="AN249" s="1488"/>
      <c r="AO249" s="1488"/>
      <c r="AP249" s="1488"/>
      <c r="AQ249" s="1488"/>
      <c r="AR249" s="1488"/>
      <c r="AS249" s="1488"/>
      <c r="AT249" s="1542"/>
      <c r="AU249" s="1599">
        <f t="shared" si="153"/>
        <v>0</v>
      </c>
      <c r="AV249" s="1544">
        <f t="shared" si="181"/>
        <v>0</v>
      </c>
      <c r="AW249" s="1452">
        <f t="shared" si="154"/>
        <v>0</v>
      </c>
      <c r="AX249" s="1452">
        <f t="shared" si="155"/>
        <v>0</v>
      </c>
      <c r="AY249" s="1452">
        <f t="shared" si="156"/>
        <v>0</v>
      </c>
      <c r="AZ249" s="1452">
        <f t="shared" si="157"/>
        <v>0</v>
      </c>
      <c r="BA249" s="1452">
        <f t="shared" si="158"/>
        <v>0</v>
      </c>
      <c r="BB249" s="1452">
        <f t="shared" si="159"/>
        <v>0</v>
      </c>
      <c r="BC249" s="1452">
        <f t="shared" si="160"/>
        <v>0</v>
      </c>
      <c r="BD249" s="1452">
        <f t="shared" si="161"/>
        <v>0</v>
      </c>
      <c r="BE249" s="1452">
        <f t="shared" si="162"/>
        <v>0</v>
      </c>
      <c r="BF249" s="1452">
        <f t="shared" si="163"/>
        <v>0</v>
      </c>
      <c r="BG249" s="1452">
        <f t="shared" si="164"/>
        <v>0</v>
      </c>
      <c r="BH249" s="1452">
        <f t="shared" si="165"/>
        <v>0</v>
      </c>
      <c r="BI249" s="1452">
        <f t="shared" si="182"/>
        <v>0</v>
      </c>
      <c r="BJ249" s="1452" t="str">
        <f t="shared" si="166"/>
        <v/>
      </c>
      <c r="BK249" s="1452" t="str">
        <f t="shared" si="167"/>
        <v/>
      </c>
      <c r="BL249" s="1452" t="str">
        <f t="shared" si="168"/>
        <v/>
      </c>
      <c r="BM249" s="1452" t="str">
        <f t="shared" si="169"/>
        <v/>
      </c>
      <c r="BN249" s="1452" t="str">
        <f t="shared" ca="1" si="170"/>
        <v/>
      </c>
      <c r="BO249" s="1452" t="str">
        <f t="shared" si="183"/>
        <v/>
      </c>
      <c r="BP249" s="1452" t="str">
        <f t="shared" si="171"/>
        <v/>
      </c>
      <c r="BQ249" s="1452" t="str">
        <f t="shared" si="172"/>
        <v/>
      </c>
      <c r="BR249" s="1452" t="str">
        <f t="shared" si="173"/>
        <v/>
      </c>
      <c r="BS249" s="1452" t="str">
        <f t="shared" si="174"/>
        <v/>
      </c>
      <c r="BT249" s="1452" t="str">
        <f t="shared" si="175"/>
        <v/>
      </c>
      <c r="BU249" s="1452" t="str">
        <f t="shared" si="176"/>
        <v/>
      </c>
      <c r="BV249" s="1452" t="str">
        <f t="shared" si="177"/>
        <v/>
      </c>
      <c r="BW249" s="1558">
        <f t="shared" ca="1" si="184"/>
        <v>0</v>
      </c>
    </row>
    <row r="250" spans="1:75" s="9" customFormat="1" ht="12.5">
      <c r="A250" s="1483" t="str">
        <f t="shared" si="178"/>
        <v>Public Health Wales Trust</v>
      </c>
      <c r="B250" s="1583"/>
      <c r="C250" s="1583"/>
      <c r="D250" s="1583"/>
      <c r="E250" s="1581"/>
      <c r="F250" s="1436"/>
      <c r="G250" s="1547">
        <f t="shared" si="179"/>
        <v>0</v>
      </c>
      <c r="H250" s="1484"/>
      <c r="I250" s="1547">
        <f t="shared" si="180"/>
        <v>0</v>
      </c>
      <c r="J250" s="1485"/>
      <c r="K250" s="1485"/>
      <c r="L250" s="1436"/>
      <c r="M250" s="1439"/>
      <c r="N250" s="1439"/>
      <c r="O250" s="1485"/>
      <c r="P250" s="1486"/>
      <c r="Q250" s="1486"/>
      <c r="R250" s="1487"/>
      <c r="S250" s="1444"/>
      <c r="T250" s="1444"/>
      <c r="U250" s="1444"/>
      <c r="V250" s="1488"/>
      <c r="W250" s="1488"/>
      <c r="X250" s="1488"/>
      <c r="Y250" s="1488"/>
      <c r="Z250" s="1488"/>
      <c r="AA250" s="1488"/>
      <c r="AB250" s="1488"/>
      <c r="AC250" s="1488"/>
      <c r="AD250" s="1488"/>
      <c r="AE250" s="1488"/>
      <c r="AF250" s="1488"/>
      <c r="AG250" s="1488"/>
      <c r="AH250" s="1451">
        <f t="shared" si="152"/>
        <v>0</v>
      </c>
      <c r="AI250" s="1488"/>
      <c r="AJ250" s="1488"/>
      <c r="AK250" s="1488"/>
      <c r="AL250" s="1488"/>
      <c r="AM250" s="1488"/>
      <c r="AN250" s="1488"/>
      <c r="AO250" s="1488"/>
      <c r="AP250" s="1488"/>
      <c r="AQ250" s="1488"/>
      <c r="AR250" s="1488"/>
      <c r="AS250" s="1488"/>
      <c r="AT250" s="1542"/>
      <c r="AU250" s="1599">
        <f t="shared" si="153"/>
        <v>0</v>
      </c>
      <c r="AV250" s="1544">
        <f t="shared" si="181"/>
        <v>0</v>
      </c>
      <c r="AW250" s="1452">
        <f t="shared" si="154"/>
        <v>0</v>
      </c>
      <c r="AX250" s="1452">
        <f t="shared" si="155"/>
        <v>0</v>
      </c>
      <c r="AY250" s="1452">
        <f t="shared" si="156"/>
        <v>0</v>
      </c>
      <c r="AZ250" s="1452">
        <f t="shared" si="157"/>
        <v>0</v>
      </c>
      <c r="BA250" s="1452">
        <f t="shared" si="158"/>
        <v>0</v>
      </c>
      <c r="BB250" s="1452">
        <f t="shared" si="159"/>
        <v>0</v>
      </c>
      <c r="BC250" s="1452">
        <f t="shared" si="160"/>
        <v>0</v>
      </c>
      <c r="BD250" s="1452">
        <f t="shared" si="161"/>
        <v>0</v>
      </c>
      <c r="BE250" s="1452">
        <f t="shared" si="162"/>
        <v>0</v>
      </c>
      <c r="BF250" s="1452">
        <f t="shared" si="163"/>
        <v>0</v>
      </c>
      <c r="BG250" s="1452">
        <f t="shared" si="164"/>
        <v>0</v>
      </c>
      <c r="BH250" s="1452">
        <f t="shared" si="165"/>
        <v>0</v>
      </c>
      <c r="BI250" s="1452">
        <f t="shared" si="182"/>
        <v>0</v>
      </c>
      <c r="BJ250" s="1452" t="str">
        <f t="shared" si="166"/>
        <v/>
      </c>
      <c r="BK250" s="1452" t="str">
        <f t="shared" si="167"/>
        <v/>
      </c>
      <c r="BL250" s="1452" t="str">
        <f t="shared" si="168"/>
        <v/>
      </c>
      <c r="BM250" s="1452" t="str">
        <f t="shared" si="169"/>
        <v/>
      </c>
      <c r="BN250" s="1452" t="str">
        <f t="shared" ca="1" si="170"/>
        <v/>
      </c>
      <c r="BO250" s="1452" t="str">
        <f t="shared" si="183"/>
        <v/>
      </c>
      <c r="BP250" s="1452" t="str">
        <f t="shared" si="171"/>
        <v/>
      </c>
      <c r="BQ250" s="1452" t="str">
        <f t="shared" si="172"/>
        <v/>
      </c>
      <c r="BR250" s="1452" t="str">
        <f t="shared" si="173"/>
        <v/>
      </c>
      <c r="BS250" s="1452" t="str">
        <f t="shared" si="174"/>
        <v/>
      </c>
      <c r="BT250" s="1452" t="str">
        <f t="shared" si="175"/>
        <v/>
      </c>
      <c r="BU250" s="1452" t="str">
        <f t="shared" si="176"/>
        <v/>
      </c>
      <c r="BV250" s="1452" t="str">
        <f t="shared" si="177"/>
        <v/>
      </c>
      <c r="BW250" s="1558">
        <f t="shared" ca="1" si="184"/>
        <v>0</v>
      </c>
    </row>
    <row r="251" spans="1:75" s="9" customFormat="1" ht="12.5">
      <c r="A251" s="1483" t="str">
        <f t="shared" si="178"/>
        <v>Public Health Wales Trust</v>
      </c>
      <c r="B251" s="1583"/>
      <c r="C251" s="1583"/>
      <c r="D251" s="1583"/>
      <c r="E251" s="1581"/>
      <c r="F251" s="1436"/>
      <c r="G251" s="1547">
        <f t="shared" si="179"/>
        <v>0</v>
      </c>
      <c r="H251" s="1484"/>
      <c r="I251" s="1547">
        <f t="shared" si="180"/>
        <v>0</v>
      </c>
      <c r="J251" s="1485"/>
      <c r="K251" s="1485"/>
      <c r="L251" s="1436"/>
      <c r="M251" s="1439"/>
      <c r="N251" s="1439"/>
      <c r="O251" s="1485"/>
      <c r="P251" s="1486"/>
      <c r="Q251" s="1486"/>
      <c r="R251" s="1487"/>
      <c r="S251" s="1444"/>
      <c r="T251" s="1444"/>
      <c r="U251" s="1444"/>
      <c r="V251" s="1488"/>
      <c r="W251" s="1488"/>
      <c r="X251" s="1488"/>
      <c r="Y251" s="1488"/>
      <c r="Z251" s="1488"/>
      <c r="AA251" s="1488"/>
      <c r="AB251" s="1488"/>
      <c r="AC251" s="1488"/>
      <c r="AD251" s="1488"/>
      <c r="AE251" s="1488"/>
      <c r="AF251" s="1488"/>
      <c r="AG251" s="1488"/>
      <c r="AH251" s="1451">
        <f t="shared" si="152"/>
        <v>0</v>
      </c>
      <c r="AI251" s="1488"/>
      <c r="AJ251" s="1488"/>
      <c r="AK251" s="1488"/>
      <c r="AL251" s="1488"/>
      <c r="AM251" s="1488"/>
      <c r="AN251" s="1488"/>
      <c r="AO251" s="1488"/>
      <c r="AP251" s="1488"/>
      <c r="AQ251" s="1488"/>
      <c r="AR251" s="1488"/>
      <c r="AS251" s="1488"/>
      <c r="AT251" s="1542"/>
      <c r="AU251" s="1599">
        <f t="shared" si="153"/>
        <v>0</v>
      </c>
      <c r="AV251" s="1544">
        <f t="shared" si="181"/>
        <v>0</v>
      </c>
      <c r="AW251" s="1452">
        <f t="shared" si="154"/>
        <v>0</v>
      </c>
      <c r="AX251" s="1452">
        <f t="shared" si="155"/>
        <v>0</v>
      </c>
      <c r="AY251" s="1452">
        <f t="shared" si="156"/>
        <v>0</v>
      </c>
      <c r="AZ251" s="1452">
        <f t="shared" si="157"/>
        <v>0</v>
      </c>
      <c r="BA251" s="1452">
        <f t="shared" si="158"/>
        <v>0</v>
      </c>
      <c r="BB251" s="1452">
        <f t="shared" si="159"/>
        <v>0</v>
      </c>
      <c r="BC251" s="1452">
        <f t="shared" si="160"/>
        <v>0</v>
      </c>
      <c r="BD251" s="1452">
        <f t="shared" si="161"/>
        <v>0</v>
      </c>
      <c r="BE251" s="1452">
        <f t="shared" si="162"/>
        <v>0</v>
      </c>
      <c r="BF251" s="1452">
        <f t="shared" si="163"/>
        <v>0</v>
      </c>
      <c r="BG251" s="1452">
        <f t="shared" si="164"/>
        <v>0</v>
      </c>
      <c r="BH251" s="1452">
        <f t="shared" si="165"/>
        <v>0</v>
      </c>
      <c r="BI251" s="1452">
        <f t="shared" si="182"/>
        <v>0</v>
      </c>
      <c r="BJ251" s="1452" t="str">
        <f t="shared" si="166"/>
        <v/>
      </c>
      <c r="BK251" s="1452" t="str">
        <f t="shared" si="167"/>
        <v/>
      </c>
      <c r="BL251" s="1452" t="str">
        <f t="shared" si="168"/>
        <v/>
      </c>
      <c r="BM251" s="1452" t="str">
        <f t="shared" si="169"/>
        <v/>
      </c>
      <c r="BN251" s="1452" t="str">
        <f t="shared" ca="1" si="170"/>
        <v/>
      </c>
      <c r="BO251" s="1452" t="str">
        <f t="shared" si="183"/>
        <v/>
      </c>
      <c r="BP251" s="1452" t="str">
        <f t="shared" si="171"/>
        <v/>
      </c>
      <c r="BQ251" s="1452" t="str">
        <f t="shared" si="172"/>
        <v/>
      </c>
      <c r="BR251" s="1452" t="str">
        <f t="shared" si="173"/>
        <v/>
      </c>
      <c r="BS251" s="1452" t="str">
        <f t="shared" si="174"/>
        <v/>
      </c>
      <c r="BT251" s="1452" t="str">
        <f t="shared" si="175"/>
        <v/>
      </c>
      <c r="BU251" s="1452" t="str">
        <f t="shared" si="176"/>
        <v/>
      </c>
      <c r="BV251" s="1452" t="str">
        <f t="shared" si="177"/>
        <v/>
      </c>
      <c r="BW251" s="1558">
        <f t="shared" ca="1" si="184"/>
        <v>0</v>
      </c>
    </row>
    <row r="252" spans="1:75" s="9" customFormat="1" ht="12.5">
      <c r="A252" s="1483" t="str">
        <f t="shared" si="178"/>
        <v>Public Health Wales Trust</v>
      </c>
      <c r="B252" s="1583"/>
      <c r="C252" s="1583"/>
      <c r="D252" s="1583"/>
      <c r="E252" s="1581"/>
      <c r="F252" s="1436"/>
      <c r="G252" s="1547">
        <f t="shared" si="179"/>
        <v>0</v>
      </c>
      <c r="H252" s="1484"/>
      <c r="I252" s="1547">
        <f t="shared" si="180"/>
        <v>0</v>
      </c>
      <c r="J252" s="1485"/>
      <c r="K252" s="1485"/>
      <c r="L252" s="1436"/>
      <c r="M252" s="1439"/>
      <c r="N252" s="1439"/>
      <c r="O252" s="1485"/>
      <c r="P252" s="1486"/>
      <c r="Q252" s="1486"/>
      <c r="R252" s="1487"/>
      <c r="S252" s="1444"/>
      <c r="T252" s="1444"/>
      <c r="U252" s="1444"/>
      <c r="V252" s="1488"/>
      <c r="W252" s="1488"/>
      <c r="X252" s="1488"/>
      <c r="Y252" s="1488"/>
      <c r="Z252" s="1488"/>
      <c r="AA252" s="1488"/>
      <c r="AB252" s="1488"/>
      <c r="AC252" s="1488"/>
      <c r="AD252" s="1488"/>
      <c r="AE252" s="1488"/>
      <c r="AF252" s="1488"/>
      <c r="AG252" s="1488"/>
      <c r="AH252" s="1451">
        <f t="shared" si="152"/>
        <v>0</v>
      </c>
      <c r="AI252" s="1488"/>
      <c r="AJ252" s="1488"/>
      <c r="AK252" s="1488"/>
      <c r="AL252" s="1488"/>
      <c r="AM252" s="1488"/>
      <c r="AN252" s="1488"/>
      <c r="AO252" s="1488"/>
      <c r="AP252" s="1488"/>
      <c r="AQ252" s="1488"/>
      <c r="AR252" s="1488"/>
      <c r="AS252" s="1488"/>
      <c r="AT252" s="1542"/>
      <c r="AU252" s="1599">
        <f t="shared" si="153"/>
        <v>0</v>
      </c>
      <c r="AV252" s="1544">
        <f t="shared" si="181"/>
        <v>0</v>
      </c>
      <c r="AW252" s="1452">
        <f t="shared" si="154"/>
        <v>0</v>
      </c>
      <c r="AX252" s="1452">
        <f t="shared" si="155"/>
        <v>0</v>
      </c>
      <c r="AY252" s="1452">
        <f t="shared" si="156"/>
        <v>0</v>
      </c>
      <c r="AZ252" s="1452">
        <f t="shared" si="157"/>
        <v>0</v>
      </c>
      <c r="BA252" s="1452">
        <f t="shared" si="158"/>
        <v>0</v>
      </c>
      <c r="BB252" s="1452">
        <f t="shared" si="159"/>
        <v>0</v>
      </c>
      <c r="BC252" s="1452">
        <f t="shared" si="160"/>
        <v>0</v>
      </c>
      <c r="BD252" s="1452">
        <f t="shared" si="161"/>
        <v>0</v>
      </c>
      <c r="BE252" s="1452">
        <f t="shared" si="162"/>
        <v>0</v>
      </c>
      <c r="BF252" s="1452">
        <f t="shared" si="163"/>
        <v>0</v>
      </c>
      <c r="BG252" s="1452">
        <f t="shared" si="164"/>
        <v>0</v>
      </c>
      <c r="BH252" s="1452">
        <f t="shared" si="165"/>
        <v>0</v>
      </c>
      <c r="BI252" s="1452">
        <f t="shared" si="182"/>
        <v>0</v>
      </c>
      <c r="BJ252" s="1452" t="str">
        <f t="shared" si="166"/>
        <v/>
      </c>
      <c r="BK252" s="1452" t="str">
        <f t="shared" si="167"/>
        <v/>
      </c>
      <c r="BL252" s="1452" t="str">
        <f t="shared" si="168"/>
        <v/>
      </c>
      <c r="BM252" s="1452" t="str">
        <f t="shared" si="169"/>
        <v/>
      </c>
      <c r="BN252" s="1452" t="str">
        <f t="shared" ca="1" si="170"/>
        <v/>
      </c>
      <c r="BO252" s="1452" t="str">
        <f t="shared" si="183"/>
        <v/>
      </c>
      <c r="BP252" s="1452" t="str">
        <f t="shared" si="171"/>
        <v/>
      </c>
      <c r="BQ252" s="1452" t="str">
        <f t="shared" si="172"/>
        <v/>
      </c>
      <c r="BR252" s="1452" t="str">
        <f t="shared" si="173"/>
        <v/>
      </c>
      <c r="BS252" s="1452" t="str">
        <f t="shared" si="174"/>
        <v/>
      </c>
      <c r="BT252" s="1452" t="str">
        <f t="shared" si="175"/>
        <v/>
      </c>
      <c r="BU252" s="1452" t="str">
        <f t="shared" si="176"/>
        <v/>
      </c>
      <c r="BV252" s="1452" t="str">
        <f t="shared" si="177"/>
        <v/>
      </c>
      <c r="BW252" s="1558">
        <f t="shared" ca="1" si="184"/>
        <v>0</v>
      </c>
    </row>
    <row r="253" spans="1:75" s="9" customFormat="1" ht="12.5">
      <c r="A253" s="1483" t="str">
        <f t="shared" si="178"/>
        <v>Public Health Wales Trust</v>
      </c>
      <c r="B253" s="1583"/>
      <c r="C253" s="1583"/>
      <c r="D253" s="1583"/>
      <c r="E253" s="1581"/>
      <c r="F253" s="1436"/>
      <c r="G253" s="1547">
        <f t="shared" si="179"/>
        <v>0</v>
      </c>
      <c r="H253" s="1484"/>
      <c r="I253" s="1547">
        <f t="shared" si="180"/>
        <v>0</v>
      </c>
      <c r="J253" s="1485"/>
      <c r="K253" s="1485"/>
      <c r="L253" s="1436"/>
      <c r="M253" s="1439"/>
      <c r="N253" s="1439"/>
      <c r="O253" s="1485"/>
      <c r="P253" s="1486"/>
      <c r="Q253" s="1486"/>
      <c r="R253" s="1487"/>
      <c r="S253" s="1444"/>
      <c r="T253" s="1444"/>
      <c r="U253" s="1444"/>
      <c r="V253" s="1488"/>
      <c r="W253" s="1488"/>
      <c r="X253" s="1488"/>
      <c r="Y253" s="1488"/>
      <c r="Z253" s="1488"/>
      <c r="AA253" s="1488"/>
      <c r="AB253" s="1488"/>
      <c r="AC253" s="1488"/>
      <c r="AD253" s="1488"/>
      <c r="AE253" s="1488"/>
      <c r="AF253" s="1488"/>
      <c r="AG253" s="1488"/>
      <c r="AH253" s="1451">
        <f t="shared" si="152"/>
        <v>0</v>
      </c>
      <c r="AI253" s="1488"/>
      <c r="AJ253" s="1488"/>
      <c r="AK253" s="1488"/>
      <c r="AL253" s="1488"/>
      <c r="AM253" s="1488"/>
      <c r="AN253" s="1488"/>
      <c r="AO253" s="1488"/>
      <c r="AP253" s="1488"/>
      <c r="AQ253" s="1488"/>
      <c r="AR253" s="1488"/>
      <c r="AS253" s="1488"/>
      <c r="AT253" s="1542"/>
      <c r="AU253" s="1599">
        <f t="shared" si="153"/>
        <v>0</v>
      </c>
      <c r="AV253" s="1544">
        <f t="shared" si="181"/>
        <v>0</v>
      </c>
      <c r="AW253" s="1452">
        <f t="shared" si="154"/>
        <v>0</v>
      </c>
      <c r="AX253" s="1452">
        <f t="shared" si="155"/>
        <v>0</v>
      </c>
      <c r="AY253" s="1452">
        <f t="shared" si="156"/>
        <v>0</v>
      </c>
      <c r="AZ253" s="1452">
        <f t="shared" si="157"/>
        <v>0</v>
      </c>
      <c r="BA253" s="1452">
        <f t="shared" si="158"/>
        <v>0</v>
      </c>
      <c r="BB253" s="1452">
        <f t="shared" si="159"/>
        <v>0</v>
      </c>
      <c r="BC253" s="1452">
        <f t="shared" si="160"/>
        <v>0</v>
      </c>
      <c r="BD253" s="1452">
        <f t="shared" si="161"/>
        <v>0</v>
      </c>
      <c r="BE253" s="1452">
        <f t="shared" si="162"/>
        <v>0</v>
      </c>
      <c r="BF253" s="1452">
        <f t="shared" si="163"/>
        <v>0</v>
      </c>
      <c r="BG253" s="1452">
        <f t="shared" si="164"/>
        <v>0</v>
      </c>
      <c r="BH253" s="1452">
        <f t="shared" si="165"/>
        <v>0</v>
      </c>
      <c r="BI253" s="1452">
        <f t="shared" si="182"/>
        <v>0</v>
      </c>
      <c r="BJ253" s="1452" t="str">
        <f t="shared" si="166"/>
        <v/>
      </c>
      <c r="BK253" s="1452" t="str">
        <f t="shared" si="167"/>
        <v/>
      </c>
      <c r="BL253" s="1452" t="str">
        <f t="shared" si="168"/>
        <v/>
      </c>
      <c r="BM253" s="1452" t="str">
        <f t="shared" si="169"/>
        <v/>
      </c>
      <c r="BN253" s="1452" t="str">
        <f t="shared" ca="1" si="170"/>
        <v/>
      </c>
      <c r="BO253" s="1452" t="str">
        <f t="shared" si="183"/>
        <v/>
      </c>
      <c r="BP253" s="1452" t="str">
        <f t="shared" si="171"/>
        <v/>
      </c>
      <c r="BQ253" s="1452" t="str">
        <f t="shared" si="172"/>
        <v/>
      </c>
      <c r="BR253" s="1452" t="str">
        <f t="shared" si="173"/>
        <v/>
      </c>
      <c r="BS253" s="1452" t="str">
        <f t="shared" si="174"/>
        <v/>
      </c>
      <c r="BT253" s="1452" t="str">
        <f t="shared" si="175"/>
        <v/>
      </c>
      <c r="BU253" s="1452" t="str">
        <f t="shared" si="176"/>
        <v/>
      </c>
      <c r="BV253" s="1452" t="str">
        <f t="shared" si="177"/>
        <v/>
      </c>
      <c r="BW253" s="1558">
        <f t="shared" ca="1" si="184"/>
        <v>0</v>
      </c>
    </row>
    <row r="254" spans="1:75" s="9" customFormat="1" ht="12.5">
      <c r="A254" s="1483" t="str">
        <f t="shared" si="178"/>
        <v>Public Health Wales Trust</v>
      </c>
      <c r="B254" s="1583"/>
      <c r="C254" s="1583"/>
      <c r="D254" s="1583"/>
      <c r="E254" s="1581"/>
      <c r="F254" s="1436"/>
      <c r="G254" s="1547">
        <f t="shared" si="179"/>
        <v>0</v>
      </c>
      <c r="H254" s="1484"/>
      <c r="I254" s="1547">
        <f t="shared" si="180"/>
        <v>0</v>
      </c>
      <c r="J254" s="1485"/>
      <c r="K254" s="1485"/>
      <c r="L254" s="1436"/>
      <c r="M254" s="1439"/>
      <c r="N254" s="1439"/>
      <c r="O254" s="1485"/>
      <c r="P254" s="1486"/>
      <c r="Q254" s="1486"/>
      <c r="R254" s="1487"/>
      <c r="S254" s="1444"/>
      <c r="T254" s="1444"/>
      <c r="U254" s="1444"/>
      <c r="V254" s="1488"/>
      <c r="W254" s="1488"/>
      <c r="X254" s="1488"/>
      <c r="Y254" s="1488"/>
      <c r="Z254" s="1488"/>
      <c r="AA254" s="1488"/>
      <c r="AB254" s="1488"/>
      <c r="AC254" s="1488"/>
      <c r="AD254" s="1488"/>
      <c r="AE254" s="1488"/>
      <c r="AF254" s="1488"/>
      <c r="AG254" s="1488"/>
      <c r="AH254" s="1451">
        <f t="shared" si="152"/>
        <v>0</v>
      </c>
      <c r="AI254" s="1488"/>
      <c r="AJ254" s="1488"/>
      <c r="AK254" s="1488"/>
      <c r="AL254" s="1488"/>
      <c r="AM254" s="1488"/>
      <c r="AN254" s="1488"/>
      <c r="AO254" s="1488"/>
      <c r="AP254" s="1488"/>
      <c r="AQ254" s="1488"/>
      <c r="AR254" s="1488"/>
      <c r="AS254" s="1488"/>
      <c r="AT254" s="1542"/>
      <c r="AU254" s="1599">
        <f t="shared" si="153"/>
        <v>0</v>
      </c>
      <c r="AV254" s="1544">
        <f t="shared" si="181"/>
        <v>0</v>
      </c>
      <c r="AW254" s="1452">
        <f t="shared" si="154"/>
        <v>0</v>
      </c>
      <c r="AX254" s="1452">
        <f t="shared" si="155"/>
        <v>0</v>
      </c>
      <c r="AY254" s="1452">
        <f t="shared" si="156"/>
        <v>0</v>
      </c>
      <c r="AZ254" s="1452">
        <f t="shared" si="157"/>
        <v>0</v>
      </c>
      <c r="BA254" s="1452">
        <f t="shared" si="158"/>
        <v>0</v>
      </c>
      <c r="BB254" s="1452">
        <f t="shared" si="159"/>
        <v>0</v>
      </c>
      <c r="BC254" s="1452">
        <f t="shared" si="160"/>
        <v>0</v>
      </c>
      <c r="BD254" s="1452">
        <f t="shared" si="161"/>
        <v>0</v>
      </c>
      <c r="BE254" s="1452">
        <f t="shared" si="162"/>
        <v>0</v>
      </c>
      <c r="BF254" s="1452">
        <f t="shared" si="163"/>
        <v>0</v>
      </c>
      <c r="BG254" s="1452">
        <f t="shared" si="164"/>
        <v>0</v>
      </c>
      <c r="BH254" s="1452">
        <f t="shared" si="165"/>
        <v>0</v>
      </c>
      <c r="BI254" s="1452">
        <f t="shared" si="182"/>
        <v>0</v>
      </c>
      <c r="BJ254" s="1452" t="str">
        <f t="shared" si="166"/>
        <v/>
      </c>
      <c r="BK254" s="1452" t="str">
        <f t="shared" si="167"/>
        <v/>
      </c>
      <c r="BL254" s="1452" t="str">
        <f t="shared" si="168"/>
        <v/>
      </c>
      <c r="BM254" s="1452" t="str">
        <f t="shared" si="169"/>
        <v/>
      </c>
      <c r="BN254" s="1452" t="str">
        <f t="shared" ca="1" si="170"/>
        <v/>
      </c>
      <c r="BO254" s="1452" t="str">
        <f t="shared" si="183"/>
        <v/>
      </c>
      <c r="BP254" s="1452" t="str">
        <f t="shared" si="171"/>
        <v/>
      </c>
      <c r="BQ254" s="1452" t="str">
        <f t="shared" si="172"/>
        <v/>
      </c>
      <c r="BR254" s="1452" t="str">
        <f t="shared" si="173"/>
        <v/>
      </c>
      <c r="BS254" s="1452" t="str">
        <f t="shared" si="174"/>
        <v/>
      </c>
      <c r="BT254" s="1452" t="str">
        <f t="shared" si="175"/>
        <v/>
      </c>
      <c r="BU254" s="1452" t="str">
        <f t="shared" si="176"/>
        <v/>
      </c>
      <c r="BV254" s="1452" t="str">
        <f t="shared" si="177"/>
        <v/>
      </c>
      <c r="BW254" s="1558">
        <f t="shared" ca="1" si="184"/>
        <v>0</v>
      </c>
    </row>
    <row r="255" spans="1:75" s="9" customFormat="1" ht="12.5">
      <c r="A255" s="1483" t="str">
        <f t="shared" si="178"/>
        <v>Public Health Wales Trust</v>
      </c>
      <c r="B255" s="1583"/>
      <c r="C255" s="1583"/>
      <c r="D255" s="1583"/>
      <c r="E255" s="1581"/>
      <c r="F255" s="1436"/>
      <c r="G255" s="1547">
        <f t="shared" si="179"/>
        <v>0</v>
      </c>
      <c r="H255" s="1484"/>
      <c r="I255" s="1547">
        <f t="shared" si="180"/>
        <v>0</v>
      </c>
      <c r="J255" s="1485"/>
      <c r="K255" s="1485"/>
      <c r="L255" s="1436"/>
      <c r="M255" s="1439"/>
      <c r="N255" s="1439"/>
      <c r="O255" s="1485"/>
      <c r="P255" s="1486"/>
      <c r="Q255" s="1486"/>
      <c r="R255" s="1487"/>
      <c r="S255" s="1444"/>
      <c r="T255" s="1444"/>
      <c r="U255" s="1444"/>
      <c r="V255" s="1488"/>
      <c r="W255" s="1488"/>
      <c r="X255" s="1488"/>
      <c r="Y255" s="1488"/>
      <c r="Z255" s="1488"/>
      <c r="AA255" s="1488"/>
      <c r="AB255" s="1488"/>
      <c r="AC255" s="1488"/>
      <c r="AD255" s="1488"/>
      <c r="AE255" s="1488"/>
      <c r="AF255" s="1488"/>
      <c r="AG255" s="1488"/>
      <c r="AH255" s="1451">
        <f t="shared" si="152"/>
        <v>0</v>
      </c>
      <c r="AI255" s="1488"/>
      <c r="AJ255" s="1488"/>
      <c r="AK255" s="1488"/>
      <c r="AL255" s="1488"/>
      <c r="AM255" s="1488"/>
      <c r="AN255" s="1488"/>
      <c r="AO255" s="1488"/>
      <c r="AP255" s="1488"/>
      <c r="AQ255" s="1488"/>
      <c r="AR255" s="1488"/>
      <c r="AS255" s="1488"/>
      <c r="AT255" s="1542"/>
      <c r="AU255" s="1599">
        <f t="shared" si="153"/>
        <v>0</v>
      </c>
      <c r="AV255" s="1544">
        <f t="shared" si="181"/>
        <v>0</v>
      </c>
      <c r="AW255" s="1452">
        <f t="shared" si="154"/>
        <v>0</v>
      </c>
      <c r="AX255" s="1452">
        <f t="shared" si="155"/>
        <v>0</v>
      </c>
      <c r="AY255" s="1452">
        <f t="shared" si="156"/>
        <v>0</v>
      </c>
      <c r="AZ255" s="1452">
        <f t="shared" si="157"/>
        <v>0</v>
      </c>
      <c r="BA255" s="1452">
        <f t="shared" si="158"/>
        <v>0</v>
      </c>
      <c r="BB255" s="1452">
        <f t="shared" si="159"/>
        <v>0</v>
      </c>
      <c r="BC255" s="1452">
        <f t="shared" si="160"/>
        <v>0</v>
      </c>
      <c r="BD255" s="1452">
        <f t="shared" si="161"/>
        <v>0</v>
      </c>
      <c r="BE255" s="1452">
        <f t="shared" si="162"/>
        <v>0</v>
      </c>
      <c r="BF255" s="1452">
        <f t="shared" si="163"/>
        <v>0</v>
      </c>
      <c r="BG255" s="1452">
        <f t="shared" si="164"/>
        <v>0</v>
      </c>
      <c r="BH255" s="1452">
        <f t="shared" si="165"/>
        <v>0</v>
      </c>
      <c r="BI255" s="1452">
        <f t="shared" si="182"/>
        <v>0</v>
      </c>
      <c r="BJ255" s="1452" t="str">
        <f t="shared" si="166"/>
        <v/>
      </c>
      <c r="BK255" s="1452" t="str">
        <f t="shared" si="167"/>
        <v/>
      </c>
      <c r="BL255" s="1452" t="str">
        <f t="shared" si="168"/>
        <v/>
      </c>
      <c r="BM255" s="1452" t="str">
        <f t="shared" si="169"/>
        <v/>
      </c>
      <c r="BN255" s="1452" t="str">
        <f t="shared" ca="1" si="170"/>
        <v/>
      </c>
      <c r="BO255" s="1452" t="str">
        <f t="shared" si="183"/>
        <v/>
      </c>
      <c r="BP255" s="1452" t="str">
        <f t="shared" si="171"/>
        <v/>
      </c>
      <c r="BQ255" s="1452" t="str">
        <f t="shared" si="172"/>
        <v/>
      </c>
      <c r="BR255" s="1452" t="str">
        <f t="shared" si="173"/>
        <v/>
      </c>
      <c r="BS255" s="1452" t="str">
        <f t="shared" si="174"/>
        <v/>
      </c>
      <c r="BT255" s="1452" t="str">
        <f t="shared" si="175"/>
        <v/>
      </c>
      <c r="BU255" s="1452" t="str">
        <f t="shared" si="176"/>
        <v/>
      </c>
      <c r="BV255" s="1452" t="str">
        <f t="shared" si="177"/>
        <v/>
      </c>
      <c r="BW255" s="1558">
        <f t="shared" ca="1" si="184"/>
        <v>0</v>
      </c>
    </row>
    <row r="256" spans="1:75" s="9" customFormat="1" ht="12.5">
      <c r="A256" s="1483" t="str">
        <f t="shared" si="178"/>
        <v>Public Health Wales Trust</v>
      </c>
      <c r="B256" s="1583"/>
      <c r="C256" s="1583"/>
      <c r="D256" s="1583"/>
      <c r="E256" s="1581"/>
      <c r="F256" s="1436"/>
      <c r="G256" s="1547">
        <f t="shared" si="179"/>
        <v>0</v>
      </c>
      <c r="H256" s="1484"/>
      <c r="I256" s="1547">
        <f t="shared" si="180"/>
        <v>0</v>
      </c>
      <c r="J256" s="1485"/>
      <c r="K256" s="1485"/>
      <c r="L256" s="1436"/>
      <c r="M256" s="1439"/>
      <c r="N256" s="1439"/>
      <c r="O256" s="1485"/>
      <c r="P256" s="1486"/>
      <c r="Q256" s="1486"/>
      <c r="R256" s="1487"/>
      <c r="S256" s="1444"/>
      <c r="T256" s="1444"/>
      <c r="U256" s="1444"/>
      <c r="V256" s="1488"/>
      <c r="W256" s="1488"/>
      <c r="X256" s="1488"/>
      <c r="Y256" s="1488"/>
      <c r="Z256" s="1488"/>
      <c r="AA256" s="1488"/>
      <c r="AB256" s="1488"/>
      <c r="AC256" s="1488"/>
      <c r="AD256" s="1488"/>
      <c r="AE256" s="1488"/>
      <c r="AF256" s="1488"/>
      <c r="AG256" s="1488"/>
      <c r="AH256" s="1451">
        <f t="shared" si="152"/>
        <v>0</v>
      </c>
      <c r="AI256" s="1488"/>
      <c r="AJ256" s="1488"/>
      <c r="AK256" s="1488"/>
      <c r="AL256" s="1488"/>
      <c r="AM256" s="1488"/>
      <c r="AN256" s="1488"/>
      <c r="AO256" s="1488"/>
      <c r="AP256" s="1488"/>
      <c r="AQ256" s="1488"/>
      <c r="AR256" s="1488"/>
      <c r="AS256" s="1488"/>
      <c r="AT256" s="1542"/>
      <c r="AU256" s="1599">
        <f t="shared" si="153"/>
        <v>0</v>
      </c>
      <c r="AV256" s="1544">
        <f t="shared" si="181"/>
        <v>0</v>
      </c>
      <c r="AW256" s="1452">
        <f t="shared" si="154"/>
        <v>0</v>
      </c>
      <c r="AX256" s="1452">
        <f t="shared" si="155"/>
        <v>0</v>
      </c>
      <c r="AY256" s="1452">
        <f t="shared" si="156"/>
        <v>0</v>
      </c>
      <c r="AZ256" s="1452">
        <f t="shared" si="157"/>
        <v>0</v>
      </c>
      <c r="BA256" s="1452">
        <f t="shared" si="158"/>
        <v>0</v>
      </c>
      <c r="BB256" s="1452">
        <f t="shared" si="159"/>
        <v>0</v>
      </c>
      <c r="BC256" s="1452">
        <f t="shared" si="160"/>
        <v>0</v>
      </c>
      <c r="BD256" s="1452">
        <f t="shared" si="161"/>
        <v>0</v>
      </c>
      <c r="BE256" s="1452">
        <f t="shared" si="162"/>
        <v>0</v>
      </c>
      <c r="BF256" s="1452">
        <f t="shared" si="163"/>
        <v>0</v>
      </c>
      <c r="BG256" s="1452">
        <f t="shared" si="164"/>
        <v>0</v>
      </c>
      <c r="BH256" s="1452">
        <f t="shared" si="165"/>
        <v>0</v>
      </c>
      <c r="BI256" s="1452">
        <f t="shared" si="182"/>
        <v>0</v>
      </c>
      <c r="BJ256" s="1452" t="str">
        <f t="shared" si="166"/>
        <v/>
      </c>
      <c r="BK256" s="1452" t="str">
        <f t="shared" si="167"/>
        <v/>
      </c>
      <c r="BL256" s="1452" t="str">
        <f t="shared" si="168"/>
        <v/>
      </c>
      <c r="BM256" s="1452" t="str">
        <f t="shared" si="169"/>
        <v/>
      </c>
      <c r="BN256" s="1452" t="str">
        <f t="shared" ca="1" si="170"/>
        <v/>
      </c>
      <c r="BO256" s="1452" t="str">
        <f t="shared" si="183"/>
        <v/>
      </c>
      <c r="BP256" s="1452" t="str">
        <f t="shared" si="171"/>
        <v/>
      </c>
      <c r="BQ256" s="1452" t="str">
        <f t="shared" si="172"/>
        <v/>
      </c>
      <c r="BR256" s="1452" t="str">
        <f t="shared" si="173"/>
        <v/>
      </c>
      <c r="BS256" s="1452" t="str">
        <f t="shared" si="174"/>
        <v/>
      </c>
      <c r="BT256" s="1452" t="str">
        <f t="shared" si="175"/>
        <v/>
      </c>
      <c r="BU256" s="1452" t="str">
        <f t="shared" si="176"/>
        <v/>
      </c>
      <c r="BV256" s="1452" t="str">
        <f t="shared" si="177"/>
        <v/>
      </c>
      <c r="BW256" s="1558">
        <f t="shared" ca="1" si="184"/>
        <v>0</v>
      </c>
    </row>
    <row r="257" spans="1:75" s="9" customFormat="1" ht="12.5">
      <c r="A257" s="1483" t="str">
        <f t="shared" si="178"/>
        <v>Public Health Wales Trust</v>
      </c>
      <c r="B257" s="1583"/>
      <c r="C257" s="1583"/>
      <c r="D257" s="1583"/>
      <c r="E257" s="1581"/>
      <c r="F257" s="1436"/>
      <c r="G257" s="1547">
        <f t="shared" si="179"/>
        <v>0</v>
      </c>
      <c r="H257" s="1484"/>
      <c r="I257" s="1547">
        <f t="shared" si="180"/>
        <v>0</v>
      </c>
      <c r="J257" s="1485"/>
      <c r="K257" s="1485"/>
      <c r="L257" s="1436"/>
      <c r="M257" s="1439"/>
      <c r="N257" s="1439"/>
      <c r="O257" s="1485"/>
      <c r="P257" s="1486"/>
      <c r="Q257" s="1486"/>
      <c r="R257" s="1487"/>
      <c r="S257" s="1444"/>
      <c r="T257" s="1444"/>
      <c r="U257" s="1444"/>
      <c r="V257" s="1488"/>
      <c r="W257" s="1488"/>
      <c r="X257" s="1488"/>
      <c r="Y257" s="1488"/>
      <c r="Z257" s="1488"/>
      <c r="AA257" s="1488"/>
      <c r="AB257" s="1488"/>
      <c r="AC257" s="1488"/>
      <c r="AD257" s="1488"/>
      <c r="AE257" s="1488"/>
      <c r="AF257" s="1488"/>
      <c r="AG257" s="1488"/>
      <c r="AH257" s="1451">
        <f t="shared" si="152"/>
        <v>0</v>
      </c>
      <c r="AI257" s="1488"/>
      <c r="AJ257" s="1488"/>
      <c r="AK257" s="1488"/>
      <c r="AL257" s="1488"/>
      <c r="AM257" s="1488"/>
      <c r="AN257" s="1488"/>
      <c r="AO257" s="1488"/>
      <c r="AP257" s="1488"/>
      <c r="AQ257" s="1488"/>
      <c r="AR257" s="1488"/>
      <c r="AS257" s="1488"/>
      <c r="AT257" s="1542"/>
      <c r="AU257" s="1599">
        <f t="shared" si="153"/>
        <v>0</v>
      </c>
      <c r="AV257" s="1544">
        <f t="shared" si="181"/>
        <v>0</v>
      </c>
      <c r="AW257" s="1452">
        <f t="shared" si="154"/>
        <v>0</v>
      </c>
      <c r="AX257" s="1452">
        <f t="shared" si="155"/>
        <v>0</v>
      </c>
      <c r="AY257" s="1452">
        <f t="shared" si="156"/>
        <v>0</v>
      </c>
      <c r="AZ257" s="1452">
        <f t="shared" si="157"/>
        <v>0</v>
      </c>
      <c r="BA257" s="1452">
        <f t="shared" si="158"/>
        <v>0</v>
      </c>
      <c r="BB257" s="1452">
        <f t="shared" si="159"/>
        <v>0</v>
      </c>
      <c r="BC257" s="1452">
        <f t="shared" si="160"/>
        <v>0</v>
      </c>
      <c r="BD257" s="1452">
        <f t="shared" si="161"/>
        <v>0</v>
      </c>
      <c r="BE257" s="1452">
        <f t="shared" si="162"/>
        <v>0</v>
      </c>
      <c r="BF257" s="1452">
        <f t="shared" si="163"/>
        <v>0</v>
      </c>
      <c r="BG257" s="1452">
        <f t="shared" si="164"/>
        <v>0</v>
      </c>
      <c r="BH257" s="1452">
        <f t="shared" si="165"/>
        <v>0</v>
      </c>
      <c r="BI257" s="1452">
        <f t="shared" si="182"/>
        <v>0</v>
      </c>
      <c r="BJ257" s="1452" t="str">
        <f t="shared" si="166"/>
        <v/>
      </c>
      <c r="BK257" s="1452" t="str">
        <f t="shared" si="167"/>
        <v/>
      </c>
      <c r="BL257" s="1452" t="str">
        <f t="shared" si="168"/>
        <v/>
      </c>
      <c r="BM257" s="1452" t="str">
        <f t="shared" si="169"/>
        <v/>
      </c>
      <c r="BN257" s="1452" t="str">
        <f t="shared" ca="1" si="170"/>
        <v/>
      </c>
      <c r="BO257" s="1452" t="str">
        <f t="shared" si="183"/>
        <v/>
      </c>
      <c r="BP257" s="1452" t="str">
        <f t="shared" si="171"/>
        <v/>
      </c>
      <c r="BQ257" s="1452" t="str">
        <f t="shared" si="172"/>
        <v/>
      </c>
      <c r="BR257" s="1452" t="str">
        <f t="shared" si="173"/>
        <v/>
      </c>
      <c r="BS257" s="1452" t="str">
        <f t="shared" si="174"/>
        <v/>
      </c>
      <c r="BT257" s="1452" t="str">
        <f t="shared" si="175"/>
        <v/>
      </c>
      <c r="BU257" s="1452" t="str">
        <f t="shared" si="176"/>
        <v/>
      </c>
      <c r="BV257" s="1452" t="str">
        <f t="shared" si="177"/>
        <v/>
      </c>
      <c r="BW257" s="1558">
        <f t="shared" ca="1" si="184"/>
        <v>0</v>
      </c>
    </row>
    <row r="258" spans="1:75" s="9" customFormat="1" ht="12.5">
      <c r="A258" s="1483" t="str">
        <f t="shared" si="178"/>
        <v>Public Health Wales Trust</v>
      </c>
      <c r="B258" s="1583"/>
      <c r="C258" s="1583"/>
      <c r="D258" s="1583"/>
      <c r="E258" s="1581"/>
      <c r="F258" s="1436"/>
      <c r="G258" s="1547">
        <f t="shared" si="179"/>
        <v>0</v>
      </c>
      <c r="H258" s="1484"/>
      <c r="I258" s="1547">
        <f t="shared" si="180"/>
        <v>0</v>
      </c>
      <c r="J258" s="1485"/>
      <c r="K258" s="1485"/>
      <c r="L258" s="1436"/>
      <c r="M258" s="1439"/>
      <c r="N258" s="1439"/>
      <c r="O258" s="1485"/>
      <c r="P258" s="1486"/>
      <c r="Q258" s="1486"/>
      <c r="R258" s="1487"/>
      <c r="S258" s="1444"/>
      <c r="T258" s="1444"/>
      <c r="U258" s="1444"/>
      <c r="V258" s="1488"/>
      <c r="W258" s="1488"/>
      <c r="X258" s="1488"/>
      <c r="Y258" s="1488"/>
      <c r="Z258" s="1488"/>
      <c r="AA258" s="1488"/>
      <c r="AB258" s="1488"/>
      <c r="AC258" s="1488"/>
      <c r="AD258" s="1488"/>
      <c r="AE258" s="1488"/>
      <c r="AF258" s="1488"/>
      <c r="AG258" s="1488"/>
      <c r="AH258" s="1451">
        <f t="shared" si="152"/>
        <v>0</v>
      </c>
      <c r="AI258" s="1488"/>
      <c r="AJ258" s="1488"/>
      <c r="AK258" s="1488"/>
      <c r="AL258" s="1488"/>
      <c r="AM258" s="1488"/>
      <c r="AN258" s="1488"/>
      <c r="AO258" s="1488"/>
      <c r="AP258" s="1488"/>
      <c r="AQ258" s="1488"/>
      <c r="AR258" s="1488"/>
      <c r="AS258" s="1488"/>
      <c r="AT258" s="1542"/>
      <c r="AU258" s="1599">
        <f t="shared" si="153"/>
        <v>0</v>
      </c>
      <c r="AV258" s="1544">
        <f t="shared" si="181"/>
        <v>0</v>
      </c>
      <c r="AW258" s="1452">
        <f t="shared" si="154"/>
        <v>0</v>
      </c>
      <c r="AX258" s="1452">
        <f t="shared" si="155"/>
        <v>0</v>
      </c>
      <c r="AY258" s="1452">
        <f t="shared" si="156"/>
        <v>0</v>
      </c>
      <c r="AZ258" s="1452">
        <f t="shared" si="157"/>
        <v>0</v>
      </c>
      <c r="BA258" s="1452">
        <f t="shared" si="158"/>
        <v>0</v>
      </c>
      <c r="BB258" s="1452">
        <f t="shared" si="159"/>
        <v>0</v>
      </c>
      <c r="BC258" s="1452">
        <f t="shared" si="160"/>
        <v>0</v>
      </c>
      <c r="BD258" s="1452">
        <f t="shared" si="161"/>
        <v>0</v>
      </c>
      <c r="BE258" s="1452">
        <f t="shared" si="162"/>
        <v>0</v>
      </c>
      <c r="BF258" s="1452">
        <f t="shared" si="163"/>
        <v>0</v>
      </c>
      <c r="BG258" s="1452">
        <f t="shared" si="164"/>
        <v>0</v>
      </c>
      <c r="BH258" s="1452">
        <f t="shared" si="165"/>
        <v>0</v>
      </c>
      <c r="BI258" s="1452">
        <f t="shared" si="182"/>
        <v>0</v>
      </c>
      <c r="BJ258" s="1452" t="str">
        <f t="shared" si="166"/>
        <v/>
      </c>
      <c r="BK258" s="1452" t="str">
        <f t="shared" si="167"/>
        <v/>
      </c>
      <c r="BL258" s="1452" t="str">
        <f t="shared" si="168"/>
        <v/>
      </c>
      <c r="BM258" s="1452" t="str">
        <f t="shared" si="169"/>
        <v/>
      </c>
      <c r="BN258" s="1452" t="str">
        <f t="shared" ca="1" si="170"/>
        <v/>
      </c>
      <c r="BO258" s="1452" t="str">
        <f t="shared" si="183"/>
        <v/>
      </c>
      <c r="BP258" s="1452" t="str">
        <f t="shared" si="171"/>
        <v/>
      </c>
      <c r="BQ258" s="1452" t="str">
        <f t="shared" si="172"/>
        <v/>
      </c>
      <c r="BR258" s="1452" t="str">
        <f t="shared" si="173"/>
        <v/>
      </c>
      <c r="BS258" s="1452" t="str">
        <f t="shared" si="174"/>
        <v/>
      </c>
      <c r="BT258" s="1452" t="str">
        <f t="shared" si="175"/>
        <v/>
      </c>
      <c r="BU258" s="1452" t="str">
        <f t="shared" si="176"/>
        <v/>
      </c>
      <c r="BV258" s="1452" t="str">
        <f t="shared" si="177"/>
        <v/>
      </c>
      <c r="BW258" s="1558">
        <f t="shared" ca="1" si="184"/>
        <v>0</v>
      </c>
    </row>
    <row r="259" spans="1:75" s="9" customFormat="1" ht="12.5">
      <c r="A259" s="1483" t="str">
        <f t="shared" si="178"/>
        <v>Public Health Wales Trust</v>
      </c>
      <c r="B259" s="1583"/>
      <c r="C259" s="1583"/>
      <c r="D259" s="1583"/>
      <c r="E259" s="1581"/>
      <c r="F259" s="1436"/>
      <c r="G259" s="1547">
        <f t="shared" si="179"/>
        <v>0</v>
      </c>
      <c r="H259" s="1484"/>
      <c r="I259" s="1547">
        <f t="shared" si="180"/>
        <v>0</v>
      </c>
      <c r="J259" s="1485"/>
      <c r="K259" s="1485"/>
      <c r="L259" s="1436"/>
      <c r="M259" s="1439"/>
      <c r="N259" s="1439"/>
      <c r="O259" s="1485"/>
      <c r="P259" s="1486"/>
      <c r="Q259" s="1486"/>
      <c r="R259" s="1487"/>
      <c r="S259" s="1444"/>
      <c r="T259" s="1444"/>
      <c r="U259" s="1444"/>
      <c r="V259" s="1488"/>
      <c r="W259" s="1488"/>
      <c r="X259" s="1488"/>
      <c r="Y259" s="1488"/>
      <c r="Z259" s="1488"/>
      <c r="AA259" s="1488"/>
      <c r="AB259" s="1488"/>
      <c r="AC259" s="1488"/>
      <c r="AD259" s="1488"/>
      <c r="AE259" s="1488"/>
      <c r="AF259" s="1488"/>
      <c r="AG259" s="1488"/>
      <c r="AH259" s="1451">
        <f t="shared" si="152"/>
        <v>0</v>
      </c>
      <c r="AI259" s="1488"/>
      <c r="AJ259" s="1488"/>
      <c r="AK259" s="1488"/>
      <c r="AL259" s="1488"/>
      <c r="AM259" s="1488"/>
      <c r="AN259" s="1488"/>
      <c r="AO259" s="1488"/>
      <c r="AP259" s="1488"/>
      <c r="AQ259" s="1488"/>
      <c r="AR259" s="1488"/>
      <c r="AS259" s="1488"/>
      <c r="AT259" s="1542"/>
      <c r="AU259" s="1599">
        <f t="shared" si="153"/>
        <v>0</v>
      </c>
      <c r="AV259" s="1544">
        <f t="shared" si="181"/>
        <v>0</v>
      </c>
      <c r="AW259" s="1452">
        <f t="shared" si="154"/>
        <v>0</v>
      </c>
      <c r="AX259" s="1452">
        <f t="shared" si="155"/>
        <v>0</v>
      </c>
      <c r="AY259" s="1452">
        <f t="shared" si="156"/>
        <v>0</v>
      </c>
      <c r="AZ259" s="1452">
        <f t="shared" si="157"/>
        <v>0</v>
      </c>
      <c r="BA259" s="1452">
        <f t="shared" si="158"/>
        <v>0</v>
      </c>
      <c r="BB259" s="1452">
        <f t="shared" si="159"/>
        <v>0</v>
      </c>
      <c r="BC259" s="1452">
        <f t="shared" si="160"/>
        <v>0</v>
      </c>
      <c r="BD259" s="1452">
        <f t="shared" si="161"/>
        <v>0</v>
      </c>
      <c r="BE259" s="1452">
        <f t="shared" si="162"/>
        <v>0</v>
      </c>
      <c r="BF259" s="1452">
        <f t="shared" si="163"/>
        <v>0</v>
      </c>
      <c r="BG259" s="1452">
        <f t="shared" si="164"/>
        <v>0</v>
      </c>
      <c r="BH259" s="1452">
        <f t="shared" si="165"/>
        <v>0</v>
      </c>
      <c r="BI259" s="1452">
        <f t="shared" si="182"/>
        <v>0</v>
      </c>
      <c r="BJ259" s="1452" t="str">
        <f t="shared" si="166"/>
        <v/>
      </c>
      <c r="BK259" s="1452" t="str">
        <f t="shared" si="167"/>
        <v/>
      </c>
      <c r="BL259" s="1452" t="str">
        <f t="shared" si="168"/>
        <v/>
      </c>
      <c r="BM259" s="1452" t="str">
        <f t="shared" si="169"/>
        <v/>
      </c>
      <c r="BN259" s="1452" t="str">
        <f t="shared" ca="1" si="170"/>
        <v/>
      </c>
      <c r="BO259" s="1452" t="str">
        <f t="shared" si="183"/>
        <v/>
      </c>
      <c r="BP259" s="1452" t="str">
        <f t="shared" si="171"/>
        <v/>
      </c>
      <c r="BQ259" s="1452" t="str">
        <f t="shared" si="172"/>
        <v/>
      </c>
      <c r="BR259" s="1452" t="str">
        <f t="shared" si="173"/>
        <v/>
      </c>
      <c r="BS259" s="1452" t="str">
        <f t="shared" si="174"/>
        <v/>
      </c>
      <c r="BT259" s="1452" t="str">
        <f t="shared" si="175"/>
        <v/>
      </c>
      <c r="BU259" s="1452" t="str">
        <f t="shared" si="176"/>
        <v/>
      </c>
      <c r="BV259" s="1452" t="str">
        <f t="shared" si="177"/>
        <v/>
      </c>
      <c r="BW259" s="1558">
        <f t="shared" ca="1" si="184"/>
        <v>0</v>
      </c>
    </row>
    <row r="260" spans="1:75" s="9" customFormat="1" ht="12.5">
      <c r="A260" s="1483" t="str">
        <f t="shared" si="178"/>
        <v>Public Health Wales Trust</v>
      </c>
      <c r="B260" s="1583"/>
      <c r="C260" s="1583"/>
      <c r="D260" s="1583"/>
      <c r="E260" s="1581"/>
      <c r="F260" s="1436"/>
      <c r="G260" s="1547">
        <f t="shared" si="179"/>
        <v>0</v>
      </c>
      <c r="H260" s="1484"/>
      <c r="I260" s="1547">
        <f t="shared" si="180"/>
        <v>0</v>
      </c>
      <c r="J260" s="1485"/>
      <c r="K260" s="1485"/>
      <c r="L260" s="1436"/>
      <c r="M260" s="1439"/>
      <c r="N260" s="1439"/>
      <c r="O260" s="1485"/>
      <c r="P260" s="1486"/>
      <c r="Q260" s="1486"/>
      <c r="R260" s="1487"/>
      <c r="S260" s="1444"/>
      <c r="T260" s="1444"/>
      <c r="U260" s="1444"/>
      <c r="V260" s="1488"/>
      <c r="W260" s="1488"/>
      <c r="X260" s="1488"/>
      <c r="Y260" s="1488"/>
      <c r="Z260" s="1488"/>
      <c r="AA260" s="1488"/>
      <c r="AB260" s="1488"/>
      <c r="AC260" s="1488"/>
      <c r="AD260" s="1488"/>
      <c r="AE260" s="1488"/>
      <c r="AF260" s="1488"/>
      <c r="AG260" s="1488"/>
      <c r="AH260" s="1451">
        <f t="shared" si="152"/>
        <v>0</v>
      </c>
      <c r="AI260" s="1488"/>
      <c r="AJ260" s="1488"/>
      <c r="AK260" s="1488"/>
      <c r="AL260" s="1488"/>
      <c r="AM260" s="1488"/>
      <c r="AN260" s="1488"/>
      <c r="AO260" s="1488"/>
      <c r="AP260" s="1488"/>
      <c r="AQ260" s="1488"/>
      <c r="AR260" s="1488"/>
      <c r="AS260" s="1488"/>
      <c r="AT260" s="1542"/>
      <c r="AU260" s="1599">
        <f t="shared" si="153"/>
        <v>0</v>
      </c>
      <c r="AV260" s="1544">
        <f t="shared" si="181"/>
        <v>0</v>
      </c>
      <c r="AW260" s="1452">
        <f t="shared" si="154"/>
        <v>0</v>
      </c>
      <c r="AX260" s="1452">
        <f t="shared" si="155"/>
        <v>0</v>
      </c>
      <c r="AY260" s="1452">
        <f t="shared" si="156"/>
        <v>0</v>
      </c>
      <c r="AZ260" s="1452">
        <f t="shared" si="157"/>
        <v>0</v>
      </c>
      <c r="BA260" s="1452">
        <f t="shared" si="158"/>
        <v>0</v>
      </c>
      <c r="BB260" s="1452">
        <f t="shared" si="159"/>
        <v>0</v>
      </c>
      <c r="BC260" s="1452">
        <f t="shared" si="160"/>
        <v>0</v>
      </c>
      <c r="BD260" s="1452">
        <f t="shared" si="161"/>
        <v>0</v>
      </c>
      <c r="BE260" s="1452">
        <f t="shared" si="162"/>
        <v>0</v>
      </c>
      <c r="BF260" s="1452">
        <f t="shared" si="163"/>
        <v>0</v>
      </c>
      <c r="BG260" s="1452">
        <f t="shared" si="164"/>
        <v>0</v>
      </c>
      <c r="BH260" s="1452">
        <f t="shared" si="165"/>
        <v>0</v>
      </c>
      <c r="BI260" s="1452">
        <f t="shared" si="182"/>
        <v>0</v>
      </c>
      <c r="BJ260" s="1452" t="str">
        <f t="shared" si="166"/>
        <v/>
      </c>
      <c r="BK260" s="1452" t="str">
        <f t="shared" si="167"/>
        <v/>
      </c>
      <c r="BL260" s="1452" t="str">
        <f t="shared" si="168"/>
        <v/>
      </c>
      <c r="BM260" s="1452" t="str">
        <f t="shared" si="169"/>
        <v/>
      </c>
      <c r="BN260" s="1452" t="str">
        <f t="shared" ca="1" si="170"/>
        <v/>
      </c>
      <c r="BO260" s="1452" t="str">
        <f t="shared" si="183"/>
        <v/>
      </c>
      <c r="BP260" s="1452" t="str">
        <f t="shared" si="171"/>
        <v/>
      </c>
      <c r="BQ260" s="1452" t="str">
        <f t="shared" si="172"/>
        <v/>
      </c>
      <c r="BR260" s="1452" t="str">
        <f t="shared" si="173"/>
        <v/>
      </c>
      <c r="BS260" s="1452" t="str">
        <f t="shared" si="174"/>
        <v/>
      </c>
      <c r="BT260" s="1452" t="str">
        <f t="shared" si="175"/>
        <v/>
      </c>
      <c r="BU260" s="1452" t="str">
        <f t="shared" si="176"/>
        <v/>
      </c>
      <c r="BV260" s="1452" t="str">
        <f t="shared" si="177"/>
        <v/>
      </c>
      <c r="BW260" s="1558">
        <f t="shared" ca="1" si="184"/>
        <v>0</v>
      </c>
    </row>
    <row r="261" spans="1:75" s="9" customFormat="1" ht="12.5">
      <c r="A261" s="1483" t="str">
        <f t="shared" si="178"/>
        <v>Public Health Wales Trust</v>
      </c>
      <c r="B261" s="1583"/>
      <c r="C261" s="1583"/>
      <c r="D261" s="1583"/>
      <c r="E261" s="1444"/>
      <c r="F261" s="1436"/>
      <c r="G261" s="1547">
        <f t="shared" si="179"/>
        <v>0</v>
      </c>
      <c r="H261" s="1484"/>
      <c r="I261" s="1547">
        <f t="shared" si="180"/>
        <v>0</v>
      </c>
      <c r="J261" s="1490"/>
      <c r="K261" s="1490"/>
      <c r="L261" s="1436"/>
      <c r="M261" s="1439"/>
      <c r="N261" s="1439"/>
      <c r="O261" s="1485"/>
      <c r="P261" s="1486"/>
      <c r="Q261" s="1486"/>
      <c r="R261" s="1487"/>
      <c r="S261" s="1444"/>
      <c r="T261" s="1444"/>
      <c r="U261" s="1444"/>
      <c r="V261" s="1488"/>
      <c r="W261" s="1488"/>
      <c r="X261" s="1488"/>
      <c r="Y261" s="1488"/>
      <c r="Z261" s="1488"/>
      <c r="AA261" s="1488"/>
      <c r="AB261" s="1488"/>
      <c r="AC261" s="1488"/>
      <c r="AD261" s="1488"/>
      <c r="AE261" s="1488"/>
      <c r="AF261" s="1488"/>
      <c r="AG261" s="1488"/>
      <c r="AH261" s="1451">
        <f t="shared" si="152"/>
        <v>0</v>
      </c>
      <c r="AI261" s="1488"/>
      <c r="AJ261" s="1488"/>
      <c r="AK261" s="1488"/>
      <c r="AL261" s="1488"/>
      <c r="AM261" s="1488"/>
      <c r="AN261" s="1488"/>
      <c r="AO261" s="1488"/>
      <c r="AP261" s="1488"/>
      <c r="AQ261" s="1488"/>
      <c r="AR261" s="1488"/>
      <c r="AS261" s="1488"/>
      <c r="AT261" s="1542"/>
      <c r="AU261" s="1599">
        <f t="shared" si="153"/>
        <v>0</v>
      </c>
      <c r="AV261" s="1544">
        <f t="shared" si="181"/>
        <v>0</v>
      </c>
      <c r="AW261" s="1452">
        <f t="shared" si="154"/>
        <v>0</v>
      </c>
      <c r="AX261" s="1452">
        <f t="shared" si="155"/>
        <v>0</v>
      </c>
      <c r="AY261" s="1452">
        <f t="shared" si="156"/>
        <v>0</v>
      </c>
      <c r="AZ261" s="1452">
        <f t="shared" si="157"/>
        <v>0</v>
      </c>
      <c r="BA261" s="1452">
        <f t="shared" si="158"/>
        <v>0</v>
      </c>
      <c r="BB261" s="1452">
        <f t="shared" si="159"/>
        <v>0</v>
      </c>
      <c r="BC261" s="1452">
        <f t="shared" si="160"/>
        <v>0</v>
      </c>
      <c r="BD261" s="1452">
        <f t="shared" si="161"/>
        <v>0</v>
      </c>
      <c r="BE261" s="1452">
        <f t="shared" si="162"/>
        <v>0</v>
      </c>
      <c r="BF261" s="1452">
        <f t="shared" si="163"/>
        <v>0</v>
      </c>
      <c r="BG261" s="1452">
        <f t="shared" si="164"/>
        <v>0</v>
      </c>
      <c r="BH261" s="1452">
        <f t="shared" si="165"/>
        <v>0</v>
      </c>
      <c r="BI261" s="1452">
        <f t="shared" si="182"/>
        <v>0</v>
      </c>
      <c r="BJ261" s="1452" t="str">
        <f t="shared" si="166"/>
        <v/>
      </c>
      <c r="BK261" s="1452" t="str">
        <f t="shared" si="167"/>
        <v/>
      </c>
      <c r="BL261" s="1452" t="str">
        <f t="shared" si="168"/>
        <v/>
      </c>
      <c r="BM261" s="1452" t="str">
        <f t="shared" si="169"/>
        <v/>
      </c>
      <c r="BN261" s="1452" t="str">
        <f t="shared" ca="1" si="170"/>
        <v/>
      </c>
      <c r="BO261" s="1452" t="str">
        <f t="shared" si="183"/>
        <v/>
      </c>
      <c r="BP261" s="1452" t="str">
        <f t="shared" si="171"/>
        <v/>
      </c>
      <c r="BQ261" s="1452" t="str">
        <f t="shared" si="172"/>
        <v/>
      </c>
      <c r="BR261" s="1452" t="str">
        <f t="shared" si="173"/>
        <v/>
      </c>
      <c r="BS261" s="1452" t="str">
        <f t="shared" si="174"/>
        <v/>
      </c>
      <c r="BT261" s="1452" t="str">
        <f t="shared" si="175"/>
        <v/>
      </c>
      <c r="BU261" s="1452" t="str">
        <f t="shared" si="176"/>
        <v/>
      </c>
      <c r="BV261" s="1452" t="str">
        <f t="shared" si="177"/>
        <v/>
      </c>
      <c r="BW261" s="1558">
        <f t="shared" ca="1" si="184"/>
        <v>0</v>
      </c>
    </row>
    <row r="262" spans="1:75" s="9" customFormat="1" ht="12.5">
      <c r="A262" s="1483" t="str">
        <f t="shared" si="178"/>
        <v>Public Health Wales Trust</v>
      </c>
      <c r="B262" s="1583"/>
      <c r="C262" s="1583"/>
      <c r="D262" s="1583"/>
      <c r="E262" s="1444"/>
      <c r="F262" s="1436"/>
      <c r="G262" s="1547">
        <f t="shared" si="179"/>
        <v>0</v>
      </c>
      <c r="H262" s="1484"/>
      <c r="I262" s="1547">
        <f t="shared" si="180"/>
        <v>0</v>
      </c>
      <c r="J262" s="1490"/>
      <c r="K262" s="1490"/>
      <c r="L262" s="1436"/>
      <c r="M262" s="1439"/>
      <c r="N262" s="1439"/>
      <c r="O262" s="1485"/>
      <c r="P262" s="1486"/>
      <c r="Q262" s="1486"/>
      <c r="R262" s="1487"/>
      <c r="S262" s="1444"/>
      <c r="T262" s="1444"/>
      <c r="U262" s="1444"/>
      <c r="V262" s="1488"/>
      <c r="W262" s="1488"/>
      <c r="X262" s="1488"/>
      <c r="Y262" s="1488"/>
      <c r="Z262" s="1488"/>
      <c r="AA262" s="1488"/>
      <c r="AB262" s="1488"/>
      <c r="AC262" s="1488"/>
      <c r="AD262" s="1488"/>
      <c r="AE262" s="1488"/>
      <c r="AF262" s="1488"/>
      <c r="AG262" s="1488"/>
      <c r="AH262" s="1451">
        <f t="shared" si="152"/>
        <v>0</v>
      </c>
      <c r="AI262" s="1488"/>
      <c r="AJ262" s="1488"/>
      <c r="AK262" s="1488"/>
      <c r="AL262" s="1488"/>
      <c r="AM262" s="1488"/>
      <c r="AN262" s="1488"/>
      <c r="AO262" s="1488"/>
      <c r="AP262" s="1488"/>
      <c r="AQ262" s="1488"/>
      <c r="AR262" s="1488"/>
      <c r="AS262" s="1488"/>
      <c r="AT262" s="1542"/>
      <c r="AU262" s="1599">
        <f t="shared" si="153"/>
        <v>0</v>
      </c>
      <c r="AV262" s="1544">
        <f t="shared" si="181"/>
        <v>0</v>
      </c>
      <c r="AW262" s="1452">
        <f t="shared" si="154"/>
        <v>0</v>
      </c>
      <c r="AX262" s="1452">
        <f t="shared" si="155"/>
        <v>0</v>
      </c>
      <c r="AY262" s="1452">
        <f t="shared" si="156"/>
        <v>0</v>
      </c>
      <c r="AZ262" s="1452">
        <f t="shared" si="157"/>
        <v>0</v>
      </c>
      <c r="BA262" s="1452">
        <f t="shared" si="158"/>
        <v>0</v>
      </c>
      <c r="BB262" s="1452">
        <f t="shared" si="159"/>
        <v>0</v>
      </c>
      <c r="BC262" s="1452">
        <f t="shared" si="160"/>
        <v>0</v>
      </c>
      <c r="BD262" s="1452">
        <f t="shared" si="161"/>
        <v>0</v>
      </c>
      <c r="BE262" s="1452">
        <f t="shared" si="162"/>
        <v>0</v>
      </c>
      <c r="BF262" s="1452">
        <f t="shared" si="163"/>
        <v>0</v>
      </c>
      <c r="BG262" s="1452">
        <f t="shared" si="164"/>
        <v>0</v>
      </c>
      <c r="BH262" s="1452">
        <f t="shared" si="165"/>
        <v>0</v>
      </c>
      <c r="BI262" s="1452">
        <f t="shared" si="182"/>
        <v>0</v>
      </c>
      <c r="BJ262" s="1452" t="str">
        <f t="shared" si="166"/>
        <v/>
      </c>
      <c r="BK262" s="1452" t="str">
        <f t="shared" si="167"/>
        <v/>
      </c>
      <c r="BL262" s="1452" t="str">
        <f t="shared" si="168"/>
        <v/>
      </c>
      <c r="BM262" s="1452" t="str">
        <f t="shared" si="169"/>
        <v/>
      </c>
      <c r="BN262" s="1452" t="str">
        <f t="shared" ca="1" si="170"/>
        <v/>
      </c>
      <c r="BO262" s="1452" t="str">
        <f t="shared" si="183"/>
        <v/>
      </c>
      <c r="BP262" s="1452" t="str">
        <f t="shared" si="171"/>
        <v/>
      </c>
      <c r="BQ262" s="1452" t="str">
        <f t="shared" si="172"/>
        <v/>
      </c>
      <c r="BR262" s="1452" t="str">
        <f t="shared" si="173"/>
        <v/>
      </c>
      <c r="BS262" s="1452" t="str">
        <f t="shared" si="174"/>
        <v/>
      </c>
      <c r="BT262" s="1452" t="str">
        <f t="shared" si="175"/>
        <v/>
      </c>
      <c r="BU262" s="1452" t="str">
        <f t="shared" si="176"/>
        <v/>
      </c>
      <c r="BV262" s="1452" t="str">
        <f t="shared" si="177"/>
        <v/>
      </c>
      <c r="BW262" s="1558">
        <f t="shared" ca="1" si="184"/>
        <v>0</v>
      </c>
    </row>
    <row r="263" spans="1:75" s="9" customFormat="1" ht="12.5">
      <c r="A263" s="1483" t="str">
        <f t="shared" si="178"/>
        <v>Public Health Wales Trust</v>
      </c>
      <c r="B263" s="1583"/>
      <c r="C263" s="1583"/>
      <c r="D263" s="1583"/>
      <c r="E263" s="1444"/>
      <c r="F263" s="1436"/>
      <c r="G263" s="1547">
        <f t="shared" si="179"/>
        <v>0</v>
      </c>
      <c r="H263" s="1484"/>
      <c r="I263" s="1547">
        <f t="shared" si="180"/>
        <v>0</v>
      </c>
      <c r="J263" s="1490"/>
      <c r="K263" s="1490"/>
      <c r="L263" s="1436"/>
      <c r="M263" s="1439"/>
      <c r="N263" s="1439"/>
      <c r="O263" s="1485"/>
      <c r="P263" s="1486"/>
      <c r="Q263" s="1486"/>
      <c r="R263" s="1487"/>
      <c r="S263" s="1444"/>
      <c r="T263" s="1444"/>
      <c r="U263" s="1444"/>
      <c r="V263" s="1488"/>
      <c r="W263" s="1488"/>
      <c r="X263" s="1488"/>
      <c r="Y263" s="1488"/>
      <c r="Z263" s="1488"/>
      <c r="AA263" s="1488"/>
      <c r="AB263" s="1488"/>
      <c r="AC263" s="1488"/>
      <c r="AD263" s="1488"/>
      <c r="AE263" s="1488"/>
      <c r="AF263" s="1488"/>
      <c r="AG263" s="1488"/>
      <c r="AH263" s="1451">
        <f t="shared" si="152"/>
        <v>0</v>
      </c>
      <c r="AI263" s="1488"/>
      <c r="AJ263" s="1488"/>
      <c r="AK263" s="1488"/>
      <c r="AL263" s="1488"/>
      <c r="AM263" s="1488"/>
      <c r="AN263" s="1488"/>
      <c r="AO263" s="1488"/>
      <c r="AP263" s="1488"/>
      <c r="AQ263" s="1488"/>
      <c r="AR263" s="1488"/>
      <c r="AS263" s="1488"/>
      <c r="AT263" s="1542"/>
      <c r="AU263" s="1599">
        <f t="shared" si="153"/>
        <v>0</v>
      </c>
      <c r="AV263" s="1544">
        <f t="shared" si="181"/>
        <v>0</v>
      </c>
      <c r="AW263" s="1452">
        <f t="shared" si="154"/>
        <v>0</v>
      </c>
      <c r="AX263" s="1452">
        <f t="shared" si="155"/>
        <v>0</v>
      </c>
      <c r="AY263" s="1452">
        <f t="shared" si="156"/>
        <v>0</v>
      </c>
      <c r="AZ263" s="1452">
        <f t="shared" si="157"/>
        <v>0</v>
      </c>
      <c r="BA263" s="1452">
        <f t="shared" si="158"/>
        <v>0</v>
      </c>
      <c r="BB263" s="1452">
        <f t="shared" si="159"/>
        <v>0</v>
      </c>
      <c r="BC263" s="1452">
        <f t="shared" si="160"/>
        <v>0</v>
      </c>
      <c r="BD263" s="1452">
        <f t="shared" si="161"/>
        <v>0</v>
      </c>
      <c r="BE263" s="1452">
        <f t="shared" si="162"/>
        <v>0</v>
      </c>
      <c r="BF263" s="1452">
        <f t="shared" si="163"/>
        <v>0</v>
      </c>
      <c r="BG263" s="1452">
        <f t="shared" si="164"/>
        <v>0</v>
      </c>
      <c r="BH263" s="1452">
        <f t="shared" si="165"/>
        <v>0</v>
      </c>
      <c r="BI263" s="1452">
        <f t="shared" si="182"/>
        <v>0</v>
      </c>
      <c r="BJ263" s="1452" t="str">
        <f t="shared" si="166"/>
        <v/>
      </c>
      <c r="BK263" s="1452" t="str">
        <f t="shared" si="167"/>
        <v/>
      </c>
      <c r="BL263" s="1452" t="str">
        <f t="shared" si="168"/>
        <v/>
      </c>
      <c r="BM263" s="1452" t="str">
        <f t="shared" si="169"/>
        <v/>
      </c>
      <c r="BN263" s="1452" t="str">
        <f t="shared" ca="1" si="170"/>
        <v/>
      </c>
      <c r="BO263" s="1452" t="str">
        <f t="shared" si="183"/>
        <v/>
      </c>
      <c r="BP263" s="1452" t="str">
        <f t="shared" si="171"/>
        <v/>
      </c>
      <c r="BQ263" s="1452" t="str">
        <f t="shared" si="172"/>
        <v/>
      </c>
      <c r="BR263" s="1452" t="str">
        <f t="shared" si="173"/>
        <v/>
      </c>
      <c r="BS263" s="1452" t="str">
        <f t="shared" si="174"/>
        <v/>
      </c>
      <c r="BT263" s="1452" t="str">
        <f t="shared" si="175"/>
        <v/>
      </c>
      <c r="BU263" s="1452" t="str">
        <f t="shared" si="176"/>
        <v/>
      </c>
      <c r="BV263" s="1452" t="str">
        <f t="shared" si="177"/>
        <v/>
      </c>
      <c r="BW263" s="1558">
        <f t="shared" ca="1" si="184"/>
        <v>0</v>
      </c>
    </row>
    <row r="264" spans="1:75" s="9" customFormat="1" ht="12.5">
      <c r="A264" s="1483" t="str">
        <f t="shared" si="178"/>
        <v>Public Health Wales Trust</v>
      </c>
      <c r="B264" s="1583"/>
      <c r="C264" s="1583"/>
      <c r="D264" s="1583"/>
      <c r="E264" s="1444"/>
      <c r="F264" s="1436"/>
      <c r="G264" s="1547">
        <f t="shared" si="179"/>
        <v>0</v>
      </c>
      <c r="H264" s="1484"/>
      <c r="I264" s="1547">
        <f t="shared" si="180"/>
        <v>0</v>
      </c>
      <c r="J264" s="1490"/>
      <c r="K264" s="1490"/>
      <c r="L264" s="1436"/>
      <c r="M264" s="1439"/>
      <c r="N264" s="1439"/>
      <c r="O264" s="1485"/>
      <c r="P264" s="1486"/>
      <c r="Q264" s="1486"/>
      <c r="R264" s="1487"/>
      <c r="S264" s="1444"/>
      <c r="T264" s="1444"/>
      <c r="U264" s="1444"/>
      <c r="V264" s="1488"/>
      <c r="W264" s="1488"/>
      <c r="X264" s="1488"/>
      <c r="Y264" s="1488"/>
      <c r="Z264" s="1488"/>
      <c r="AA264" s="1488"/>
      <c r="AB264" s="1488"/>
      <c r="AC264" s="1488"/>
      <c r="AD264" s="1488"/>
      <c r="AE264" s="1488"/>
      <c r="AF264" s="1488"/>
      <c r="AG264" s="1488"/>
      <c r="AH264" s="1451">
        <f t="shared" si="152"/>
        <v>0</v>
      </c>
      <c r="AI264" s="1488"/>
      <c r="AJ264" s="1488"/>
      <c r="AK264" s="1488"/>
      <c r="AL264" s="1488"/>
      <c r="AM264" s="1488"/>
      <c r="AN264" s="1488"/>
      <c r="AO264" s="1488"/>
      <c r="AP264" s="1488"/>
      <c r="AQ264" s="1488"/>
      <c r="AR264" s="1488"/>
      <c r="AS264" s="1488"/>
      <c r="AT264" s="1542"/>
      <c r="AU264" s="1599">
        <f t="shared" si="153"/>
        <v>0</v>
      </c>
      <c r="AV264" s="1544">
        <f t="shared" si="181"/>
        <v>0</v>
      </c>
      <c r="AW264" s="1452">
        <f t="shared" si="154"/>
        <v>0</v>
      </c>
      <c r="AX264" s="1452">
        <f t="shared" si="155"/>
        <v>0</v>
      </c>
      <c r="AY264" s="1452">
        <f t="shared" si="156"/>
        <v>0</v>
      </c>
      <c r="AZ264" s="1452">
        <f t="shared" si="157"/>
        <v>0</v>
      </c>
      <c r="BA264" s="1452">
        <f t="shared" si="158"/>
        <v>0</v>
      </c>
      <c r="BB264" s="1452">
        <f t="shared" si="159"/>
        <v>0</v>
      </c>
      <c r="BC264" s="1452">
        <f t="shared" si="160"/>
        <v>0</v>
      </c>
      <c r="BD264" s="1452">
        <f t="shared" si="161"/>
        <v>0</v>
      </c>
      <c r="BE264" s="1452">
        <f t="shared" si="162"/>
        <v>0</v>
      </c>
      <c r="BF264" s="1452">
        <f t="shared" si="163"/>
        <v>0</v>
      </c>
      <c r="BG264" s="1452">
        <f t="shared" si="164"/>
        <v>0</v>
      </c>
      <c r="BH264" s="1452">
        <f t="shared" si="165"/>
        <v>0</v>
      </c>
      <c r="BI264" s="1452">
        <f t="shared" si="182"/>
        <v>0</v>
      </c>
      <c r="BJ264" s="1452" t="str">
        <f t="shared" si="166"/>
        <v/>
      </c>
      <c r="BK264" s="1452" t="str">
        <f t="shared" si="167"/>
        <v/>
      </c>
      <c r="BL264" s="1452" t="str">
        <f t="shared" si="168"/>
        <v/>
      </c>
      <c r="BM264" s="1452" t="str">
        <f t="shared" si="169"/>
        <v/>
      </c>
      <c r="BN264" s="1452" t="str">
        <f t="shared" ca="1" si="170"/>
        <v/>
      </c>
      <c r="BO264" s="1452" t="str">
        <f t="shared" si="183"/>
        <v/>
      </c>
      <c r="BP264" s="1452" t="str">
        <f t="shared" si="171"/>
        <v/>
      </c>
      <c r="BQ264" s="1452" t="str">
        <f t="shared" si="172"/>
        <v/>
      </c>
      <c r="BR264" s="1452" t="str">
        <f t="shared" si="173"/>
        <v/>
      </c>
      <c r="BS264" s="1452" t="str">
        <f t="shared" si="174"/>
        <v/>
      </c>
      <c r="BT264" s="1452" t="str">
        <f t="shared" si="175"/>
        <v/>
      </c>
      <c r="BU264" s="1452" t="str">
        <f t="shared" si="176"/>
        <v/>
      </c>
      <c r="BV264" s="1452" t="str">
        <f t="shared" si="177"/>
        <v/>
      </c>
      <c r="BW264" s="1558">
        <f t="shared" ca="1" si="184"/>
        <v>0</v>
      </c>
    </row>
    <row r="265" spans="1:75" s="9" customFormat="1" ht="12.5">
      <c r="A265" s="1483" t="str">
        <f t="shared" si="178"/>
        <v>Public Health Wales Trust</v>
      </c>
      <c r="B265" s="1583"/>
      <c r="C265" s="1583"/>
      <c r="D265" s="1583"/>
      <c r="E265" s="1444"/>
      <c r="F265" s="1436"/>
      <c r="G265" s="1547">
        <f t="shared" si="179"/>
        <v>0</v>
      </c>
      <c r="H265" s="1484"/>
      <c r="I265" s="1547">
        <f t="shared" si="180"/>
        <v>0</v>
      </c>
      <c r="J265" s="1490"/>
      <c r="K265" s="1490"/>
      <c r="L265" s="1436"/>
      <c r="M265" s="1439"/>
      <c r="N265" s="1439"/>
      <c r="O265" s="1485"/>
      <c r="P265" s="1486"/>
      <c r="Q265" s="1486"/>
      <c r="R265" s="1487"/>
      <c r="S265" s="1444"/>
      <c r="T265" s="1444"/>
      <c r="U265" s="1444"/>
      <c r="V265" s="1488"/>
      <c r="W265" s="1488"/>
      <c r="X265" s="1488"/>
      <c r="Y265" s="1488"/>
      <c r="Z265" s="1488"/>
      <c r="AA265" s="1488"/>
      <c r="AB265" s="1488"/>
      <c r="AC265" s="1488"/>
      <c r="AD265" s="1488"/>
      <c r="AE265" s="1488"/>
      <c r="AF265" s="1488"/>
      <c r="AG265" s="1488"/>
      <c r="AH265" s="1451">
        <f t="shared" si="152"/>
        <v>0</v>
      </c>
      <c r="AI265" s="1488"/>
      <c r="AJ265" s="1488"/>
      <c r="AK265" s="1488"/>
      <c r="AL265" s="1488"/>
      <c r="AM265" s="1488"/>
      <c r="AN265" s="1488"/>
      <c r="AO265" s="1488"/>
      <c r="AP265" s="1488"/>
      <c r="AQ265" s="1488"/>
      <c r="AR265" s="1488"/>
      <c r="AS265" s="1488"/>
      <c r="AT265" s="1542"/>
      <c r="AU265" s="1599">
        <f t="shared" si="153"/>
        <v>0</v>
      </c>
      <c r="AV265" s="1544">
        <f t="shared" si="181"/>
        <v>0</v>
      </c>
      <c r="AW265" s="1452">
        <f t="shared" si="154"/>
        <v>0</v>
      </c>
      <c r="AX265" s="1452">
        <f t="shared" si="155"/>
        <v>0</v>
      </c>
      <c r="AY265" s="1452">
        <f t="shared" si="156"/>
        <v>0</v>
      </c>
      <c r="AZ265" s="1452">
        <f t="shared" si="157"/>
        <v>0</v>
      </c>
      <c r="BA265" s="1452">
        <f t="shared" si="158"/>
        <v>0</v>
      </c>
      <c r="BB265" s="1452">
        <f t="shared" si="159"/>
        <v>0</v>
      </c>
      <c r="BC265" s="1452">
        <f t="shared" si="160"/>
        <v>0</v>
      </c>
      <c r="BD265" s="1452">
        <f t="shared" si="161"/>
        <v>0</v>
      </c>
      <c r="BE265" s="1452">
        <f t="shared" si="162"/>
        <v>0</v>
      </c>
      <c r="BF265" s="1452">
        <f t="shared" si="163"/>
        <v>0</v>
      </c>
      <c r="BG265" s="1452">
        <f t="shared" si="164"/>
        <v>0</v>
      </c>
      <c r="BH265" s="1452">
        <f t="shared" si="165"/>
        <v>0</v>
      </c>
      <c r="BI265" s="1452">
        <f t="shared" si="182"/>
        <v>0</v>
      </c>
      <c r="BJ265" s="1452" t="str">
        <f t="shared" si="166"/>
        <v/>
      </c>
      <c r="BK265" s="1452" t="str">
        <f t="shared" si="167"/>
        <v/>
      </c>
      <c r="BL265" s="1452" t="str">
        <f t="shared" si="168"/>
        <v/>
      </c>
      <c r="BM265" s="1452" t="str">
        <f t="shared" si="169"/>
        <v/>
      </c>
      <c r="BN265" s="1452" t="str">
        <f t="shared" ca="1" si="170"/>
        <v/>
      </c>
      <c r="BO265" s="1452" t="str">
        <f t="shared" si="183"/>
        <v/>
      </c>
      <c r="BP265" s="1452" t="str">
        <f t="shared" si="171"/>
        <v/>
      </c>
      <c r="BQ265" s="1452" t="str">
        <f t="shared" si="172"/>
        <v/>
      </c>
      <c r="BR265" s="1452" t="str">
        <f t="shared" si="173"/>
        <v/>
      </c>
      <c r="BS265" s="1452" t="str">
        <f t="shared" si="174"/>
        <v/>
      </c>
      <c r="BT265" s="1452" t="str">
        <f t="shared" si="175"/>
        <v/>
      </c>
      <c r="BU265" s="1452" t="str">
        <f t="shared" si="176"/>
        <v/>
      </c>
      <c r="BV265" s="1452" t="str">
        <f t="shared" si="177"/>
        <v/>
      </c>
      <c r="BW265" s="1558">
        <f t="shared" ca="1" si="184"/>
        <v>0</v>
      </c>
    </row>
    <row r="266" spans="1:75" s="9" customFormat="1" ht="12.5">
      <c r="A266" s="1483" t="str">
        <f t="shared" si="178"/>
        <v>Public Health Wales Trust</v>
      </c>
      <c r="B266" s="1583"/>
      <c r="C266" s="1583"/>
      <c r="D266" s="1583"/>
      <c r="E266" s="1581"/>
      <c r="F266" s="1436"/>
      <c r="G266" s="1547">
        <f t="shared" si="179"/>
        <v>0</v>
      </c>
      <c r="H266" s="1484"/>
      <c r="I266" s="1547">
        <f t="shared" si="180"/>
        <v>0</v>
      </c>
      <c r="J266" s="1485"/>
      <c r="K266" s="1485"/>
      <c r="L266" s="1436"/>
      <c r="M266" s="1439"/>
      <c r="N266" s="1439"/>
      <c r="O266" s="1485"/>
      <c r="P266" s="1486"/>
      <c r="Q266" s="1486"/>
      <c r="R266" s="1487"/>
      <c r="S266" s="1444"/>
      <c r="T266" s="1444"/>
      <c r="U266" s="1444"/>
      <c r="V266" s="1488"/>
      <c r="W266" s="1488"/>
      <c r="X266" s="1488"/>
      <c r="Y266" s="1488"/>
      <c r="Z266" s="1488"/>
      <c r="AA266" s="1488"/>
      <c r="AB266" s="1488"/>
      <c r="AC266" s="1488"/>
      <c r="AD266" s="1488"/>
      <c r="AE266" s="1488"/>
      <c r="AF266" s="1488"/>
      <c r="AG266" s="1488"/>
      <c r="AH266" s="1451">
        <f t="shared" si="152"/>
        <v>0</v>
      </c>
      <c r="AI266" s="1488"/>
      <c r="AJ266" s="1488"/>
      <c r="AK266" s="1488"/>
      <c r="AL266" s="1488"/>
      <c r="AM266" s="1488"/>
      <c r="AN266" s="1488"/>
      <c r="AO266" s="1488"/>
      <c r="AP266" s="1488"/>
      <c r="AQ266" s="1488"/>
      <c r="AR266" s="1488"/>
      <c r="AS266" s="1488"/>
      <c r="AT266" s="1542"/>
      <c r="AU266" s="1599">
        <f t="shared" si="153"/>
        <v>0</v>
      </c>
      <c r="AV266" s="1544">
        <f t="shared" si="181"/>
        <v>0</v>
      </c>
      <c r="AW266" s="1452">
        <f t="shared" si="154"/>
        <v>0</v>
      </c>
      <c r="AX266" s="1452">
        <f t="shared" si="155"/>
        <v>0</v>
      </c>
      <c r="AY266" s="1452">
        <f t="shared" si="156"/>
        <v>0</v>
      </c>
      <c r="AZ266" s="1452">
        <f t="shared" si="157"/>
        <v>0</v>
      </c>
      <c r="BA266" s="1452">
        <f t="shared" si="158"/>
        <v>0</v>
      </c>
      <c r="BB266" s="1452">
        <f t="shared" si="159"/>
        <v>0</v>
      </c>
      <c r="BC266" s="1452">
        <f t="shared" si="160"/>
        <v>0</v>
      </c>
      <c r="BD266" s="1452">
        <f t="shared" si="161"/>
        <v>0</v>
      </c>
      <c r="BE266" s="1452">
        <f t="shared" si="162"/>
        <v>0</v>
      </c>
      <c r="BF266" s="1452">
        <f t="shared" si="163"/>
        <v>0</v>
      </c>
      <c r="BG266" s="1452">
        <f t="shared" si="164"/>
        <v>0</v>
      </c>
      <c r="BH266" s="1452">
        <f t="shared" si="165"/>
        <v>0</v>
      </c>
      <c r="BI266" s="1452">
        <f t="shared" si="182"/>
        <v>0</v>
      </c>
      <c r="BJ266" s="1452" t="str">
        <f t="shared" si="166"/>
        <v/>
      </c>
      <c r="BK266" s="1452" t="str">
        <f t="shared" si="167"/>
        <v/>
      </c>
      <c r="BL266" s="1452" t="str">
        <f t="shared" si="168"/>
        <v/>
      </c>
      <c r="BM266" s="1452" t="str">
        <f t="shared" si="169"/>
        <v/>
      </c>
      <c r="BN266" s="1452" t="str">
        <f t="shared" ca="1" si="170"/>
        <v/>
      </c>
      <c r="BO266" s="1452" t="str">
        <f t="shared" si="183"/>
        <v/>
      </c>
      <c r="BP266" s="1452" t="str">
        <f t="shared" si="171"/>
        <v/>
      </c>
      <c r="BQ266" s="1452" t="str">
        <f t="shared" si="172"/>
        <v/>
      </c>
      <c r="BR266" s="1452" t="str">
        <f t="shared" si="173"/>
        <v/>
      </c>
      <c r="BS266" s="1452" t="str">
        <f t="shared" si="174"/>
        <v/>
      </c>
      <c r="BT266" s="1452" t="str">
        <f t="shared" si="175"/>
        <v/>
      </c>
      <c r="BU266" s="1452" t="str">
        <f t="shared" si="176"/>
        <v/>
      </c>
      <c r="BV266" s="1452" t="str">
        <f t="shared" si="177"/>
        <v/>
      </c>
      <c r="BW266" s="1558">
        <f t="shared" ca="1" si="184"/>
        <v>0</v>
      </c>
    </row>
    <row r="267" spans="1:75" s="9" customFormat="1" ht="12.5">
      <c r="A267" s="1483" t="str">
        <f t="shared" si="178"/>
        <v>Public Health Wales Trust</v>
      </c>
      <c r="B267" s="1583"/>
      <c r="C267" s="1583"/>
      <c r="D267" s="1583"/>
      <c r="E267" s="1581"/>
      <c r="F267" s="1436"/>
      <c r="G267" s="1547">
        <f t="shared" si="179"/>
        <v>0</v>
      </c>
      <c r="H267" s="1484"/>
      <c r="I267" s="1547">
        <f t="shared" si="180"/>
        <v>0</v>
      </c>
      <c r="J267" s="1485"/>
      <c r="K267" s="1485"/>
      <c r="L267" s="1436"/>
      <c r="M267" s="1439"/>
      <c r="N267" s="1439"/>
      <c r="O267" s="1485"/>
      <c r="P267" s="1486"/>
      <c r="Q267" s="1486"/>
      <c r="R267" s="1487"/>
      <c r="S267" s="1444"/>
      <c r="T267" s="1444"/>
      <c r="U267" s="1444"/>
      <c r="V267" s="1488"/>
      <c r="W267" s="1488"/>
      <c r="X267" s="1488"/>
      <c r="Y267" s="1488"/>
      <c r="Z267" s="1488"/>
      <c r="AA267" s="1488"/>
      <c r="AB267" s="1488"/>
      <c r="AC267" s="1488"/>
      <c r="AD267" s="1488"/>
      <c r="AE267" s="1488"/>
      <c r="AF267" s="1488"/>
      <c r="AG267" s="1488"/>
      <c r="AH267" s="1451">
        <f t="shared" si="152"/>
        <v>0</v>
      </c>
      <c r="AI267" s="1488"/>
      <c r="AJ267" s="1488"/>
      <c r="AK267" s="1488"/>
      <c r="AL267" s="1488"/>
      <c r="AM267" s="1488"/>
      <c r="AN267" s="1488"/>
      <c r="AO267" s="1488"/>
      <c r="AP267" s="1488"/>
      <c r="AQ267" s="1488"/>
      <c r="AR267" s="1488"/>
      <c r="AS267" s="1488"/>
      <c r="AT267" s="1542"/>
      <c r="AU267" s="1599">
        <f t="shared" si="153"/>
        <v>0</v>
      </c>
      <c r="AV267" s="1544">
        <f t="shared" si="181"/>
        <v>0</v>
      </c>
      <c r="AW267" s="1452">
        <f t="shared" si="154"/>
        <v>0</v>
      </c>
      <c r="AX267" s="1452">
        <f t="shared" si="155"/>
        <v>0</v>
      </c>
      <c r="AY267" s="1452">
        <f t="shared" si="156"/>
        <v>0</v>
      </c>
      <c r="AZ267" s="1452">
        <f t="shared" si="157"/>
        <v>0</v>
      </c>
      <c r="BA267" s="1452">
        <f t="shared" si="158"/>
        <v>0</v>
      </c>
      <c r="BB267" s="1452">
        <f t="shared" si="159"/>
        <v>0</v>
      </c>
      <c r="BC267" s="1452">
        <f t="shared" si="160"/>
        <v>0</v>
      </c>
      <c r="BD267" s="1452">
        <f t="shared" si="161"/>
        <v>0</v>
      </c>
      <c r="BE267" s="1452">
        <f t="shared" si="162"/>
        <v>0</v>
      </c>
      <c r="BF267" s="1452">
        <f t="shared" si="163"/>
        <v>0</v>
      </c>
      <c r="BG267" s="1452">
        <f t="shared" si="164"/>
        <v>0</v>
      </c>
      <c r="BH267" s="1452">
        <f t="shared" si="165"/>
        <v>0</v>
      </c>
      <c r="BI267" s="1452">
        <f t="shared" si="182"/>
        <v>0</v>
      </c>
      <c r="BJ267" s="1452" t="str">
        <f t="shared" si="166"/>
        <v/>
      </c>
      <c r="BK267" s="1452" t="str">
        <f t="shared" si="167"/>
        <v/>
      </c>
      <c r="BL267" s="1452" t="str">
        <f t="shared" si="168"/>
        <v/>
      </c>
      <c r="BM267" s="1452" t="str">
        <f t="shared" si="169"/>
        <v/>
      </c>
      <c r="BN267" s="1452" t="str">
        <f t="shared" ca="1" si="170"/>
        <v/>
      </c>
      <c r="BO267" s="1452" t="str">
        <f t="shared" si="183"/>
        <v/>
      </c>
      <c r="BP267" s="1452" t="str">
        <f t="shared" si="171"/>
        <v/>
      </c>
      <c r="BQ267" s="1452" t="str">
        <f t="shared" si="172"/>
        <v/>
      </c>
      <c r="BR267" s="1452" t="str">
        <f t="shared" si="173"/>
        <v/>
      </c>
      <c r="BS267" s="1452" t="str">
        <f t="shared" si="174"/>
        <v/>
      </c>
      <c r="BT267" s="1452" t="str">
        <f t="shared" si="175"/>
        <v/>
      </c>
      <c r="BU267" s="1452" t="str">
        <f t="shared" si="176"/>
        <v/>
      </c>
      <c r="BV267" s="1452" t="str">
        <f t="shared" si="177"/>
        <v/>
      </c>
      <c r="BW267" s="1558">
        <f t="shared" ca="1" si="184"/>
        <v>0</v>
      </c>
    </row>
    <row r="268" spans="1:75" s="9" customFormat="1" ht="12.5">
      <c r="A268" s="1483" t="str">
        <f t="shared" si="178"/>
        <v>Public Health Wales Trust</v>
      </c>
      <c r="B268" s="1583"/>
      <c r="C268" s="1583"/>
      <c r="D268" s="1583"/>
      <c r="E268" s="1581"/>
      <c r="F268" s="1436"/>
      <c r="G268" s="1547">
        <f t="shared" si="179"/>
        <v>0</v>
      </c>
      <c r="H268" s="1484"/>
      <c r="I268" s="1547">
        <f t="shared" si="180"/>
        <v>0</v>
      </c>
      <c r="J268" s="1485"/>
      <c r="K268" s="1485"/>
      <c r="L268" s="1436"/>
      <c r="M268" s="1439"/>
      <c r="N268" s="1439"/>
      <c r="O268" s="1485"/>
      <c r="P268" s="1486"/>
      <c r="Q268" s="1486"/>
      <c r="R268" s="1487"/>
      <c r="S268" s="1444"/>
      <c r="T268" s="1444"/>
      <c r="U268" s="1444"/>
      <c r="V268" s="1488"/>
      <c r="W268" s="1488"/>
      <c r="X268" s="1488"/>
      <c r="Y268" s="1488"/>
      <c r="Z268" s="1488"/>
      <c r="AA268" s="1488"/>
      <c r="AB268" s="1488"/>
      <c r="AC268" s="1488"/>
      <c r="AD268" s="1488"/>
      <c r="AE268" s="1488"/>
      <c r="AF268" s="1488"/>
      <c r="AG268" s="1488"/>
      <c r="AH268" s="1451">
        <f t="shared" si="152"/>
        <v>0</v>
      </c>
      <c r="AI268" s="1488"/>
      <c r="AJ268" s="1488"/>
      <c r="AK268" s="1488"/>
      <c r="AL268" s="1488"/>
      <c r="AM268" s="1488"/>
      <c r="AN268" s="1488"/>
      <c r="AO268" s="1488"/>
      <c r="AP268" s="1488"/>
      <c r="AQ268" s="1488"/>
      <c r="AR268" s="1488"/>
      <c r="AS268" s="1488"/>
      <c r="AT268" s="1542"/>
      <c r="AU268" s="1599">
        <f t="shared" si="153"/>
        <v>0</v>
      </c>
      <c r="AV268" s="1544">
        <f t="shared" si="181"/>
        <v>0</v>
      </c>
      <c r="AW268" s="1452">
        <f t="shared" si="154"/>
        <v>0</v>
      </c>
      <c r="AX268" s="1452">
        <f t="shared" si="155"/>
        <v>0</v>
      </c>
      <c r="AY268" s="1452">
        <f t="shared" si="156"/>
        <v>0</v>
      </c>
      <c r="AZ268" s="1452">
        <f t="shared" si="157"/>
        <v>0</v>
      </c>
      <c r="BA268" s="1452">
        <f t="shared" si="158"/>
        <v>0</v>
      </c>
      <c r="BB268" s="1452">
        <f t="shared" si="159"/>
        <v>0</v>
      </c>
      <c r="BC268" s="1452">
        <f t="shared" si="160"/>
        <v>0</v>
      </c>
      <c r="BD268" s="1452">
        <f t="shared" si="161"/>
        <v>0</v>
      </c>
      <c r="BE268" s="1452">
        <f t="shared" si="162"/>
        <v>0</v>
      </c>
      <c r="BF268" s="1452">
        <f t="shared" si="163"/>
        <v>0</v>
      </c>
      <c r="BG268" s="1452">
        <f t="shared" si="164"/>
        <v>0</v>
      </c>
      <c r="BH268" s="1452">
        <f t="shared" si="165"/>
        <v>0</v>
      </c>
      <c r="BI268" s="1452">
        <f t="shared" si="182"/>
        <v>0</v>
      </c>
      <c r="BJ268" s="1452" t="str">
        <f t="shared" si="166"/>
        <v/>
      </c>
      <c r="BK268" s="1452" t="str">
        <f t="shared" si="167"/>
        <v/>
      </c>
      <c r="BL268" s="1452" t="str">
        <f t="shared" si="168"/>
        <v/>
      </c>
      <c r="BM268" s="1452" t="str">
        <f t="shared" si="169"/>
        <v/>
      </c>
      <c r="BN268" s="1452" t="str">
        <f t="shared" ca="1" si="170"/>
        <v/>
      </c>
      <c r="BO268" s="1452" t="str">
        <f t="shared" si="183"/>
        <v/>
      </c>
      <c r="BP268" s="1452" t="str">
        <f t="shared" si="171"/>
        <v/>
      </c>
      <c r="BQ268" s="1452" t="str">
        <f t="shared" si="172"/>
        <v/>
      </c>
      <c r="BR268" s="1452" t="str">
        <f t="shared" si="173"/>
        <v/>
      </c>
      <c r="BS268" s="1452" t="str">
        <f t="shared" si="174"/>
        <v/>
      </c>
      <c r="BT268" s="1452" t="str">
        <f t="shared" si="175"/>
        <v/>
      </c>
      <c r="BU268" s="1452" t="str">
        <f t="shared" si="176"/>
        <v/>
      </c>
      <c r="BV268" s="1452" t="str">
        <f t="shared" si="177"/>
        <v/>
      </c>
      <c r="BW268" s="1558">
        <f t="shared" ca="1" si="184"/>
        <v>0</v>
      </c>
    </row>
    <row r="269" spans="1:75" s="9" customFormat="1" ht="12.5">
      <c r="A269" s="1483" t="str">
        <f t="shared" si="178"/>
        <v>Public Health Wales Trust</v>
      </c>
      <c r="B269" s="1583"/>
      <c r="C269" s="1583"/>
      <c r="D269" s="1583"/>
      <c r="E269" s="1581"/>
      <c r="F269" s="1436"/>
      <c r="G269" s="1547">
        <f t="shared" si="179"/>
        <v>0</v>
      </c>
      <c r="H269" s="1484"/>
      <c r="I269" s="1547">
        <f t="shared" si="180"/>
        <v>0</v>
      </c>
      <c r="J269" s="1485"/>
      <c r="K269" s="1485"/>
      <c r="L269" s="1436"/>
      <c r="M269" s="1439"/>
      <c r="N269" s="1439"/>
      <c r="O269" s="1485"/>
      <c r="P269" s="1486"/>
      <c r="Q269" s="1486"/>
      <c r="R269" s="1487"/>
      <c r="S269" s="1444"/>
      <c r="T269" s="1444"/>
      <c r="U269" s="1444"/>
      <c r="V269" s="1488"/>
      <c r="W269" s="1488"/>
      <c r="X269" s="1488"/>
      <c r="Y269" s="1488"/>
      <c r="Z269" s="1488"/>
      <c r="AA269" s="1488"/>
      <c r="AB269" s="1488"/>
      <c r="AC269" s="1488"/>
      <c r="AD269" s="1488"/>
      <c r="AE269" s="1488"/>
      <c r="AF269" s="1488"/>
      <c r="AG269" s="1488"/>
      <c r="AH269" s="1451">
        <f t="shared" si="152"/>
        <v>0</v>
      </c>
      <c r="AI269" s="1488"/>
      <c r="AJ269" s="1488"/>
      <c r="AK269" s="1488"/>
      <c r="AL269" s="1488"/>
      <c r="AM269" s="1488"/>
      <c r="AN269" s="1488"/>
      <c r="AO269" s="1488"/>
      <c r="AP269" s="1488"/>
      <c r="AQ269" s="1488"/>
      <c r="AR269" s="1488"/>
      <c r="AS269" s="1488"/>
      <c r="AT269" s="1542"/>
      <c r="AU269" s="1599">
        <f t="shared" si="153"/>
        <v>0</v>
      </c>
      <c r="AV269" s="1544">
        <f t="shared" si="181"/>
        <v>0</v>
      </c>
      <c r="AW269" s="1452">
        <f t="shared" si="154"/>
        <v>0</v>
      </c>
      <c r="AX269" s="1452">
        <f t="shared" si="155"/>
        <v>0</v>
      </c>
      <c r="AY269" s="1452">
        <f t="shared" si="156"/>
        <v>0</v>
      </c>
      <c r="AZ269" s="1452">
        <f t="shared" si="157"/>
        <v>0</v>
      </c>
      <c r="BA269" s="1452">
        <f t="shared" si="158"/>
        <v>0</v>
      </c>
      <c r="BB269" s="1452">
        <f t="shared" si="159"/>
        <v>0</v>
      </c>
      <c r="BC269" s="1452">
        <f t="shared" si="160"/>
        <v>0</v>
      </c>
      <c r="BD269" s="1452">
        <f t="shared" si="161"/>
        <v>0</v>
      </c>
      <c r="BE269" s="1452">
        <f t="shared" si="162"/>
        <v>0</v>
      </c>
      <c r="BF269" s="1452">
        <f t="shared" si="163"/>
        <v>0</v>
      </c>
      <c r="BG269" s="1452">
        <f t="shared" si="164"/>
        <v>0</v>
      </c>
      <c r="BH269" s="1452">
        <f t="shared" si="165"/>
        <v>0</v>
      </c>
      <c r="BI269" s="1452">
        <f t="shared" si="182"/>
        <v>0</v>
      </c>
      <c r="BJ269" s="1452" t="str">
        <f t="shared" si="166"/>
        <v/>
      </c>
      <c r="BK269" s="1452" t="str">
        <f t="shared" si="167"/>
        <v/>
      </c>
      <c r="BL269" s="1452" t="str">
        <f t="shared" si="168"/>
        <v/>
      </c>
      <c r="BM269" s="1452" t="str">
        <f t="shared" si="169"/>
        <v/>
      </c>
      <c r="BN269" s="1452" t="str">
        <f t="shared" ca="1" si="170"/>
        <v/>
      </c>
      <c r="BO269" s="1452" t="str">
        <f t="shared" si="183"/>
        <v/>
      </c>
      <c r="BP269" s="1452" t="str">
        <f t="shared" si="171"/>
        <v/>
      </c>
      <c r="BQ269" s="1452" t="str">
        <f t="shared" si="172"/>
        <v/>
      </c>
      <c r="BR269" s="1452" t="str">
        <f t="shared" si="173"/>
        <v/>
      </c>
      <c r="BS269" s="1452" t="str">
        <f t="shared" si="174"/>
        <v/>
      </c>
      <c r="BT269" s="1452" t="str">
        <f t="shared" si="175"/>
        <v/>
      </c>
      <c r="BU269" s="1452" t="str">
        <f t="shared" si="176"/>
        <v/>
      </c>
      <c r="BV269" s="1452" t="str">
        <f t="shared" si="177"/>
        <v/>
      </c>
      <c r="BW269" s="1558">
        <f t="shared" ca="1" si="184"/>
        <v>0</v>
      </c>
    </row>
    <row r="270" spans="1:75" s="9" customFormat="1" ht="12.5">
      <c r="A270" s="1483" t="str">
        <f t="shared" si="178"/>
        <v>Public Health Wales Trust</v>
      </c>
      <c r="B270" s="1583"/>
      <c r="C270" s="1583"/>
      <c r="D270" s="1583"/>
      <c r="E270" s="1581"/>
      <c r="F270" s="1436"/>
      <c r="G270" s="1547">
        <f t="shared" si="179"/>
        <v>0</v>
      </c>
      <c r="H270" s="1484"/>
      <c r="I270" s="1547">
        <f t="shared" si="180"/>
        <v>0</v>
      </c>
      <c r="J270" s="1485"/>
      <c r="K270" s="1485"/>
      <c r="L270" s="1436"/>
      <c r="M270" s="1439"/>
      <c r="N270" s="1439"/>
      <c r="O270" s="1485"/>
      <c r="P270" s="1486"/>
      <c r="Q270" s="1486"/>
      <c r="R270" s="1487"/>
      <c r="S270" s="1444"/>
      <c r="T270" s="1444"/>
      <c r="U270" s="1444"/>
      <c r="V270" s="1488"/>
      <c r="W270" s="1488"/>
      <c r="X270" s="1488"/>
      <c r="Y270" s="1488"/>
      <c r="Z270" s="1488"/>
      <c r="AA270" s="1488"/>
      <c r="AB270" s="1488"/>
      <c r="AC270" s="1488"/>
      <c r="AD270" s="1488"/>
      <c r="AE270" s="1488"/>
      <c r="AF270" s="1488"/>
      <c r="AG270" s="1488"/>
      <c r="AH270" s="1451">
        <f t="shared" si="152"/>
        <v>0</v>
      </c>
      <c r="AI270" s="1488"/>
      <c r="AJ270" s="1488"/>
      <c r="AK270" s="1488"/>
      <c r="AL270" s="1488"/>
      <c r="AM270" s="1488"/>
      <c r="AN270" s="1488"/>
      <c r="AO270" s="1488"/>
      <c r="AP270" s="1488"/>
      <c r="AQ270" s="1488"/>
      <c r="AR270" s="1488"/>
      <c r="AS270" s="1488"/>
      <c r="AT270" s="1542"/>
      <c r="AU270" s="1599">
        <f t="shared" si="153"/>
        <v>0</v>
      </c>
      <c r="AV270" s="1544">
        <f t="shared" si="181"/>
        <v>0</v>
      </c>
      <c r="AW270" s="1452">
        <f t="shared" si="154"/>
        <v>0</v>
      </c>
      <c r="AX270" s="1452">
        <f t="shared" si="155"/>
        <v>0</v>
      </c>
      <c r="AY270" s="1452">
        <f t="shared" si="156"/>
        <v>0</v>
      </c>
      <c r="AZ270" s="1452">
        <f t="shared" si="157"/>
        <v>0</v>
      </c>
      <c r="BA270" s="1452">
        <f t="shared" si="158"/>
        <v>0</v>
      </c>
      <c r="BB270" s="1452">
        <f t="shared" si="159"/>
        <v>0</v>
      </c>
      <c r="BC270" s="1452">
        <f t="shared" si="160"/>
        <v>0</v>
      </c>
      <c r="BD270" s="1452">
        <f t="shared" si="161"/>
        <v>0</v>
      </c>
      <c r="BE270" s="1452">
        <f t="shared" si="162"/>
        <v>0</v>
      </c>
      <c r="BF270" s="1452">
        <f t="shared" si="163"/>
        <v>0</v>
      </c>
      <c r="BG270" s="1452">
        <f t="shared" si="164"/>
        <v>0</v>
      </c>
      <c r="BH270" s="1452">
        <f t="shared" si="165"/>
        <v>0</v>
      </c>
      <c r="BI270" s="1452">
        <f t="shared" si="182"/>
        <v>0</v>
      </c>
      <c r="BJ270" s="1452" t="str">
        <f t="shared" si="166"/>
        <v/>
      </c>
      <c r="BK270" s="1452" t="str">
        <f t="shared" si="167"/>
        <v/>
      </c>
      <c r="BL270" s="1452" t="str">
        <f t="shared" si="168"/>
        <v/>
      </c>
      <c r="BM270" s="1452" t="str">
        <f t="shared" si="169"/>
        <v/>
      </c>
      <c r="BN270" s="1452" t="str">
        <f t="shared" ca="1" si="170"/>
        <v/>
      </c>
      <c r="BO270" s="1452" t="str">
        <f t="shared" si="183"/>
        <v/>
      </c>
      <c r="BP270" s="1452" t="str">
        <f t="shared" si="171"/>
        <v/>
      </c>
      <c r="BQ270" s="1452" t="str">
        <f t="shared" si="172"/>
        <v/>
      </c>
      <c r="BR270" s="1452" t="str">
        <f t="shared" si="173"/>
        <v/>
      </c>
      <c r="BS270" s="1452" t="str">
        <f t="shared" si="174"/>
        <v/>
      </c>
      <c r="BT270" s="1452" t="str">
        <f t="shared" si="175"/>
        <v/>
      </c>
      <c r="BU270" s="1452" t="str">
        <f t="shared" si="176"/>
        <v/>
      </c>
      <c r="BV270" s="1452" t="str">
        <f t="shared" si="177"/>
        <v/>
      </c>
      <c r="BW270" s="1558">
        <f t="shared" ca="1" si="184"/>
        <v>0</v>
      </c>
    </row>
    <row r="271" spans="1:75" s="9" customFormat="1" ht="12.5">
      <c r="A271" s="1483" t="str">
        <f t="shared" si="178"/>
        <v>Public Health Wales Trust</v>
      </c>
      <c r="B271" s="1583"/>
      <c r="C271" s="1583"/>
      <c r="D271" s="1583"/>
      <c r="E271" s="1581"/>
      <c r="F271" s="1436"/>
      <c r="G271" s="1547">
        <f t="shared" si="179"/>
        <v>0</v>
      </c>
      <c r="H271" s="1484"/>
      <c r="I271" s="1547">
        <f t="shared" si="180"/>
        <v>0</v>
      </c>
      <c r="J271" s="1485"/>
      <c r="K271" s="1485"/>
      <c r="L271" s="1436"/>
      <c r="M271" s="1439"/>
      <c r="N271" s="1439"/>
      <c r="O271" s="1485"/>
      <c r="P271" s="1486"/>
      <c r="Q271" s="1486"/>
      <c r="R271" s="1487"/>
      <c r="S271" s="1444"/>
      <c r="T271" s="1444"/>
      <c r="U271" s="1444"/>
      <c r="V271" s="1488"/>
      <c r="W271" s="1488"/>
      <c r="X271" s="1488"/>
      <c r="Y271" s="1488"/>
      <c r="Z271" s="1488"/>
      <c r="AA271" s="1488"/>
      <c r="AB271" s="1488"/>
      <c r="AC271" s="1488"/>
      <c r="AD271" s="1488"/>
      <c r="AE271" s="1488"/>
      <c r="AF271" s="1488"/>
      <c r="AG271" s="1488"/>
      <c r="AH271" s="1451">
        <f t="shared" si="152"/>
        <v>0</v>
      </c>
      <c r="AI271" s="1488"/>
      <c r="AJ271" s="1488"/>
      <c r="AK271" s="1488"/>
      <c r="AL271" s="1488"/>
      <c r="AM271" s="1488"/>
      <c r="AN271" s="1488"/>
      <c r="AO271" s="1488"/>
      <c r="AP271" s="1488"/>
      <c r="AQ271" s="1488"/>
      <c r="AR271" s="1488"/>
      <c r="AS271" s="1488"/>
      <c r="AT271" s="1542"/>
      <c r="AU271" s="1599">
        <f t="shared" si="153"/>
        <v>0</v>
      </c>
      <c r="AV271" s="1544">
        <f t="shared" si="181"/>
        <v>0</v>
      </c>
      <c r="AW271" s="1452">
        <f t="shared" si="154"/>
        <v>0</v>
      </c>
      <c r="AX271" s="1452">
        <f t="shared" si="155"/>
        <v>0</v>
      </c>
      <c r="AY271" s="1452">
        <f t="shared" si="156"/>
        <v>0</v>
      </c>
      <c r="AZ271" s="1452">
        <f t="shared" si="157"/>
        <v>0</v>
      </c>
      <c r="BA271" s="1452">
        <f t="shared" si="158"/>
        <v>0</v>
      </c>
      <c r="BB271" s="1452">
        <f t="shared" si="159"/>
        <v>0</v>
      </c>
      <c r="BC271" s="1452">
        <f t="shared" si="160"/>
        <v>0</v>
      </c>
      <c r="BD271" s="1452">
        <f t="shared" si="161"/>
        <v>0</v>
      </c>
      <c r="BE271" s="1452">
        <f t="shared" si="162"/>
        <v>0</v>
      </c>
      <c r="BF271" s="1452">
        <f t="shared" si="163"/>
        <v>0</v>
      </c>
      <c r="BG271" s="1452">
        <f t="shared" si="164"/>
        <v>0</v>
      </c>
      <c r="BH271" s="1452">
        <f t="shared" si="165"/>
        <v>0</v>
      </c>
      <c r="BI271" s="1452">
        <f t="shared" si="182"/>
        <v>0</v>
      </c>
      <c r="BJ271" s="1452" t="str">
        <f t="shared" si="166"/>
        <v/>
      </c>
      <c r="BK271" s="1452" t="str">
        <f t="shared" si="167"/>
        <v/>
      </c>
      <c r="BL271" s="1452" t="str">
        <f t="shared" si="168"/>
        <v/>
      </c>
      <c r="BM271" s="1452" t="str">
        <f t="shared" si="169"/>
        <v/>
      </c>
      <c r="BN271" s="1452" t="str">
        <f t="shared" ca="1" si="170"/>
        <v/>
      </c>
      <c r="BO271" s="1452" t="str">
        <f t="shared" si="183"/>
        <v/>
      </c>
      <c r="BP271" s="1452" t="str">
        <f t="shared" si="171"/>
        <v/>
      </c>
      <c r="BQ271" s="1452" t="str">
        <f t="shared" si="172"/>
        <v/>
      </c>
      <c r="BR271" s="1452" t="str">
        <f t="shared" si="173"/>
        <v/>
      </c>
      <c r="BS271" s="1452" t="str">
        <f t="shared" si="174"/>
        <v/>
      </c>
      <c r="BT271" s="1452" t="str">
        <f t="shared" si="175"/>
        <v/>
      </c>
      <c r="BU271" s="1452" t="str">
        <f t="shared" si="176"/>
        <v/>
      </c>
      <c r="BV271" s="1452" t="str">
        <f t="shared" si="177"/>
        <v/>
      </c>
      <c r="BW271" s="1558">
        <f t="shared" ca="1" si="184"/>
        <v>0</v>
      </c>
    </row>
    <row r="272" spans="1:75" s="9" customFormat="1" ht="12.5">
      <c r="A272" s="1483" t="str">
        <f t="shared" si="178"/>
        <v>Public Health Wales Trust</v>
      </c>
      <c r="B272" s="1583"/>
      <c r="C272" s="1583"/>
      <c r="D272" s="1583"/>
      <c r="E272" s="1581"/>
      <c r="F272" s="1436"/>
      <c r="G272" s="1547">
        <f t="shared" si="179"/>
        <v>0</v>
      </c>
      <c r="H272" s="1484"/>
      <c r="I272" s="1547">
        <f t="shared" si="180"/>
        <v>0</v>
      </c>
      <c r="J272" s="1485"/>
      <c r="K272" s="1485"/>
      <c r="L272" s="1436"/>
      <c r="M272" s="1439"/>
      <c r="N272" s="1439"/>
      <c r="O272" s="1485"/>
      <c r="P272" s="1486"/>
      <c r="Q272" s="1486"/>
      <c r="R272" s="1487"/>
      <c r="S272" s="1444"/>
      <c r="T272" s="1444"/>
      <c r="U272" s="1444"/>
      <c r="V272" s="1488"/>
      <c r="W272" s="1488"/>
      <c r="X272" s="1488"/>
      <c r="Y272" s="1488"/>
      <c r="Z272" s="1488"/>
      <c r="AA272" s="1488"/>
      <c r="AB272" s="1488"/>
      <c r="AC272" s="1488"/>
      <c r="AD272" s="1488"/>
      <c r="AE272" s="1488"/>
      <c r="AF272" s="1488"/>
      <c r="AG272" s="1488"/>
      <c r="AH272" s="1451">
        <f t="shared" si="152"/>
        <v>0</v>
      </c>
      <c r="AI272" s="1488"/>
      <c r="AJ272" s="1488"/>
      <c r="AK272" s="1488"/>
      <c r="AL272" s="1488"/>
      <c r="AM272" s="1488"/>
      <c r="AN272" s="1488"/>
      <c r="AO272" s="1488"/>
      <c r="AP272" s="1488"/>
      <c r="AQ272" s="1488"/>
      <c r="AR272" s="1488"/>
      <c r="AS272" s="1488"/>
      <c r="AT272" s="1542"/>
      <c r="AU272" s="1599">
        <f t="shared" si="153"/>
        <v>0</v>
      </c>
      <c r="AV272" s="1544">
        <f t="shared" si="181"/>
        <v>0</v>
      </c>
      <c r="AW272" s="1452">
        <f t="shared" si="154"/>
        <v>0</v>
      </c>
      <c r="AX272" s="1452">
        <f t="shared" si="155"/>
        <v>0</v>
      </c>
      <c r="AY272" s="1452">
        <f t="shared" si="156"/>
        <v>0</v>
      </c>
      <c r="AZ272" s="1452">
        <f t="shared" si="157"/>
        <v>0</v>
      </c>
      <c r="BA272" s="1452">
        <f t="shared" si="158"/>
        <v>0</v>
      </c>
      <c r="BB272" s="1452">
        <f t="shared" si="159"/>
        <v>0</v>
      </c>
      <c r="BC272" s="1452">
        <f t="shared" si="160"/>
        <v>0</v>
      </c>
      <c r="BD272" s="1452">
        <f t="shared" si="161"/>
        <v>0</v>
      </c>
      <c r="BE272" s="1452">
        <f t="shared" si="162"/>
        <v>0</v>
      </c>
      <c r="BF272" s="1452">
        <f t="shared" si="163"/>
        <v>0</v>
      </c>
      <c r="BG272" s="1452">
        <f t="shared" si="164"/>
        <v>0</v>
      </c>
      <c r="BH272" s="1452">
        <f t="shared" si="165"/>
        <v>0</v>
      </c>
      <c r="BI272" s="1452">
        <f t="shared" si="182"/>
        <v>0</v>
      </c>
      <c r="BJ272" s="1452" t="str">
        <f t="shared" si="166"/>
        <v/>
      </c>
      <c r="BK272" s="1452" t="str">
        <f t="shared" si="167"/>
        <v/>
      </c>
      <c r="BL272" s="1452" t="str">
        <f t="shared" si="168"/>
        <v/>
      </c>
      <c r="BM272" s="1452" t="str">
        <f t="shared" si="169"/>
        <v/>
      </c>
      <c r="BN272" s="1452" t="str">
        <f t="shared" ca="1" si="170"/>
        <v/>
      </c>
      <c r="BO272" s="1452" t="str">
        <f t="shared" si="183"/>
        <v/>
      </c>
      <c r="BP272" s="1452" t="str">
        <f t="shared" si="171"/>
        <v/>
      </c>
      <c r="BQ272" s="1452" t="str">
        <f t="shared" si="172"/>
        <v/>
      </c>
      <c r="BR272" s="1452" t="str">
        <f t="shared" si="173"/>
        <v/>
      </c>
      <c r="BS272" s="1452" t="str">
        <f t="shared" si="174"/>
        <v/>
      </c>
      <c r="BT272" s="1452" t="str">
        <f t="shared" si="175"/>
        <v/>
      </c>
      <c r="BU272" s="1452" t="str">
        <f t="shared" si="176"/>
        <v/>
      </c>
      <c r="BV272" s="1452" t="str">
        <f t="shared" si="177"/>
        <v/>
      </c>
      <c r="BW272" s="1558">
        <f t="shared" ca="1" si="184"/>
        <v>0</v>
      </c>
    </row>
    <row r="273" spans="1:75" s="9" customFormat="1" ht="12.5">
      <c r="A273" s="1483" t="str">
        <f t="shared" si="178"/>
        <v>Public Health Wales Trust</v>
      </c>
      <c r="B273" s="1583"/>
      <c r="C273" s="1583"/>
      <c r="D273" s="1583"/>
      <c r="E273" s="1581"/>
      <c r="F273" s="1436"/>
      <c r="G273" s="1547">
        <f t="shared" si="179"/>
        <v>0</v>
      </c>
      <c r="H273" s="1484"/>
      <c r="I273" s="1547">
        <f t="shared" si="180"/>
        <v>0</v>
      </c>
      <c r="J273" s="1485"/>
      <c r="K273" s="1485"/>
      <c r="L273" s="1436"/>
      <c r="M273" s="1439"/>
      <c r="N273" s="1439"/>
      <c r="O273" s="1485"/>
      <c r="P273" s="1486"/>
      <c r="Q273" s="1486"/>
      <c r="R273" s="1487"/>
      <c r="S273" s="1444"/>
      <c r="T273" s="1444"/>
      <c r="U273" s="1444"/>
      <c r="V273" s="1488"/>
      <c r="W273" s="1488"/>
      <c r="X273" s="1488"/>
      <c r="Y273" s="1488"/>
      <c r="Z273" s="1488"/>
      <c r="AA273" s="1488"/>
      <c r="AB273" s="1488"/>
      <c r="AC273" s="1488"/>
      <c r="AD273" s="1488"/>
      <c r="AE273" s="1488"/>
      <c r="AF273" s="1488"/>
      <c r="AG273" s="1488"/>
      <c r="AH273" s="1451">
        <f t="shared" si="152"/>
        <v>0</v>
      </c>
      <c r="AI273" s="1488"/>
      <c r="AJ273" s="1488"/>
      <c r="AK273" s="1488"/>
      <c r="AL273" s="1488"/>
      <c r="AM273" s="1488"/>
      <c r="AN273" s="1488"/>
      <c r="AO273" s="1488"/>
      <c r="AP273" s="1488"/>
      <c r="AQ273" s="1488"/>
      <c r="AR273" s="1488"/>
      <c r="AS273" s="1488"/>
      <c r="AT273" s="1542"/>
      <c r="AU273" s="1599">
        <f t="shared" si="153"/>
        <v>0</v>
      </c>
      <c r="AV273" s="1544">
        <f t="shared" si="181"/>
        <v>0</v>
      </c>
      <c r="AW273" s="1452">
        <f t="shared" si="154"/>
        <v>0</v>
      </c>
      <c r="AX273" s="1452">
        <f t="shared" si="155"/>
        <v>0</v>
      </c>
      <c r="AY273" s="1452">
        <f t="shared" si="156"/>
        <v>0</v>
      </c>
      <c r="AZ273" s="1452">
        <f t="shared" si="157"/>
        <v>0</v>
      </c>
      <c r="BA273" s="1452">
        <f t="shared" si="158"/>
        <v>0</v>
      </c>
      <c r="BB273" s="1452">
        <f t="shared" si="159"/>
        <v>0</v>
      </c>
      <c r="BC273" s="1452">
        <f t="shared" si="160"/>
        <v>0</v>
      </c>
      <c r="BD273" s="1452">
        <f t="shared" si="161"/>
        <v>0</v>
      </c>
      <c r="BE273" s="1452">
        <f t="shared" si="162"/>
        <v>0</v>
      </c>
      <c r="BF273" s="1452">
        <f t="shared" si="163"/>
        <v>0</v>
      </c>
      <c r="BG273" s="1452">
        <f t="shared" si="164"/>
        <v>0</v>
      </c>
      <c r="BH273" s="1452">
        <f t="shared" si="165"/>
        <v>0</v>
      </c>
      <c r="BI273" s="1452">
        <f t="shared" si="182"/>
        <v>0</v>
      </c>
      <c r="BJ273" s="1452" t="str">
        <f t="shared" si="166"/>
        <v/>
      </c>
      <c r="BK273" s="1452" t="str">
        <f t="shared" si="167"/>
        <v/>
      </c>
      <c r="BL273" s="1452" t="str">
        <f t="shared" si="168"/>
        <v/>
      </c>
      <c r="BM273" s="1452" t="str">
        <f t="shared" si="169"/>
        <v/>
      </c>
      <c r="BN273" s="1452" t="str">
        <f t="shared" ca="1" si="170"/>
        <v/>
      </c>
      <c r="BO273" s="1452" t="str">
        <f t="shared" si="183"/>
        <v/>
      </c>
      <c r="BP273" s="1452" t="str">
        <f t="shared" si="171"/>
        <v/>
      </c>
      <c r="BQ273" s="1452" t="str">
        <f t="shared" si="172"/>
        <v/>
      </c>
      <c r="BR273" s="1452" t="str">
        <f t="shared" si="173"/>
        <v/>
      </c>
      <c r="BS273" s="1452" t="str">
        <f t="shared" si="174"/>
        <v/>
      </c>
      <c r="BT273" s="1452" t="str">
        <f t="shared" si="175"/>
        <v/>
      </c>
      <c r="BU273" s="1452" t="str">
        <f t="shared" si="176"/>
        <v/>
      </c>
      <c r="BV273" s="1452" t="str">
        <f t="shared" si="177"/>
        <v/>
      </c>
      <c r="BW273" s="1558">
        <f t="shared" ca="1" si="184"/>
        <v>0</v>
      </c>
    </row>
    <row r="274" spans="1:75" s="9" customFormat="1" ht="12.5">
      <c r="A274" s="1483" t="str">
        <f t="shared" si="178"/>
        <v>Public Health Wales Trust</v>
      </c>
      <c r="B274" s="1583"/>
      <c r="C274" s="1583"/>
      <c r="D274" s="1583"/>
      <c r="E274" s="1581"/>
      <c r="F274" s="1436"/>
      <c r="G274" s="1547">
        <f t="shared" si="179"/>
        <v>0</v>
      </c>
      <c r="H274" s="1484"/>
      <c r="I274" s="1547">
        <f t="shared" si="180"/>
        <v>0</v>
      </c>
      <c r="J274" s="1485"/>
      <c r="K274" s="1485"/>
      <c r="L274" s="1436"/>
      <c r="M274" s="1439"/>
      <c r="N274" s="1439"/>
      <c r="O274" s="1485"/>
      <c r="P274" s="1486"/>
      <c r="Q274" s="1486"/>
      <c r="R274" s="1487"/>
      <c r="S274" s="1444"/>
      <c r="T274" s="1444"/>
      <c r="U274" s="1444"/>
      <c r="V274" s="1488"/>
      <c r="W274" s="1488"/>
      <c r="X274" s="1488"/>
      <c r="Y274" s="1488"/>
      <c r="Z274" s="1488"/>
      <c r="AA274" s="1488"/>
      <c r="AB274" s="1488"/>
      <c r="AC274" s="1488"/>
      <c r="AD274" s="1488"/>
      <c r="AE274" s="1488"/>
      <c r="AF274" s="1488"/>
      <c r="AG274" s="1488"/>
      <c r="AH274" s="1451">
        <f t="shared" si="152"/>
        <v>0</v>
      </c>
      <c r="AI274" s="1488"/>
      <c r="AJ274" s="1488"/>
      <c r="AK274" s="1488"/>
      <c r="AL274" s="1488"/>
      <c r="AM274" s="1488"/>
      <c r="AN274" s="1488"/>
      <c r="AO274" s="1488"/>
      <c r="AP274" s="1488"/>
      <c r="AQ274" s="1488"/>
      <c r="AR274" s="1488"/>
      <c r="AS274" s="1488"/>
      <c r="AT274" s="1542"/>
      <c r="AU274" s="1599">
        <f t="shared" si="153"/>
        <v>0</v>
      </c>
      <c r="AV274" s="1544">
        <f t="shared" si="181"/>
        <v>0</v>
      </c>
      <c r="AW274" s="1452">
        <f t="shared" si="154"/>
        <v>0</v>
      </c>
      <c r="AX274" s="1452">
        <f t="shared" si="155"/>
        <v>0</v>
      </c>
      <c r="AY274" s="1452">
        <f t="shared" si="156"/>
        <v>0</v>
      </c>
      <c r="AZ274" s="1452">
        <f t="shared" si="157"/>
        <v>0</v>
      </c>
      <c r="BA274" s="1452">
        <f t="shared" si="158"/>
        <v>0</v>
      </c>
      <c r="BB274" s="1452">
        <f t="shared" si="159"/>
        <v>0</v>
      </c>
      <c r="BC274" s="1452">
        <f t="shared" si="160"/>
        <v>0</v>
      </c>
      <c r="BD274" s="1452">
        <f t="shared" si="161"/>
        <v>0</v>
      </c>
      <c r="BE274" s="1452">
        <f t="shared" si="162"/>
        <v>0</v>
      </c>
      <c r="BF274" s="1452">
        <f t="shared" si="163"/>
        <v>0</v>
      </c>
      <c r="BG274" s="1452">
        <f t="shared" si="164"/>
        <v>0</v>
      </c>
      <c r="BH274" s="1452">
        <f t="shared" si="165"/>
        <v>0</v>
      </c>
      <c r="BI274" s="1452">
        <f t="shared" si="182"/>
        <v>0</v>
      </c>
      <c r="BJ274" s="1452" t="str">
        <f t="shared" si="166"/>
        <v/>
      </c>
      <c r="BK274" s="1452" t="str">
        <f t="shared" si="167"/>
        <v/>
      </c>
      <c r="BL274" s="1452" t="str">
        <f t="shared" si="168"/>
        <v/>
      </c>
      <c r="BM274" s="1452" t="str">
        <f t="shared" si="169"/>
        <v/>
      </c>
      <c r="BN274" s="1452" t="str">
        <f t="shared" ca="1" si="170"/>
        <v/>
      </c>
      <c r="BO274" s="1452" t="str">
        <f t="shared" si="183"/>
        <v/>
      </c>
      <c r="BP274" s="1452" t="str">
        <f t="shared" si="171"/>
        <v/>
      </c>
      <c r="BQ274" s="1452" t="str">
        <f t="shared" si="172"/>
        <v/>
      </c>
      <c r="BR274" s="1452" t="str">
        <f t="shared" si="173"/>
        <v/>
      </c>
      <c r="BS274" s="1452" t="str">
        <f t="shared" si="174"/>
        <v/>
      </c>
      <c r="BT274" s="1452" t="str">
        <f t="shared" si="175"/>
        <v/>
      </c>
      <c r="BU274" s="1452" t="str">
        <f t="shared" si="176"/>
        <v/>
      </c>
      <c r="BV274" s="1452" t="str">
        <f t="shared" si="177"/>
        <v/>
      </c>
      <c r="BW274" s="1558">
        <f t="shared" ca="1" si="184"/>
        <v>0</v>
      </c>
    </row>
    <row r="275" spans="1:75" s="9" customFormat="1" ht="12.5">
      <c r="A275" s="1483" t="str">
        <f t="shared" si="178"/>
        <v>Public Health Wales Trust</v>
      </c>
      <c r="B275" s="1583"/>
      <c r="C275" s="1583"/>
      <c r="D275" s="1583"/>
      <c r="E275" s="1581"/>
      <c r="F275" s="1436"/>
      <c r="G275" s="1547">
        <f t="shared" si="179"/>
        <v>0</v>
      </c>
      <c r="H275" s="1484"/>
      <c r="I275" s="1547">
        <f t="shared" si="180"/>
        <v>0</v>
      </c>
      <c r="J275" s="1485"/>
      <c r="K275" s="1485"/>
      <c r="L275" s="1436"/>
      <c r="M275" s="1439"/>
      <c r="N275" s="1439"/>
      <c r="O275" s="1485"/>
      <c r="P275" s="1486"/>
      <c r="Q275" s="1486"/>
      <c r="R275" s="1487"/>
      <c r="S275" s="1444"/>
      <c r="T275" s="1444"/>
      <c r="U275" s="1444"/>
      <c r="V275" s="1488"/>
      <c r="W275" s="1488"/>
      <c r="X275" s="1488"/>
      <c r="Y275" s="1488"/>
      <c r="Z275" s="1488"/>
      <c r="AA275" s="1488"/>
      <c r="AB275" s="1488"/>
      <c r="AC275" s="1488"/>
      <c r="AD275" s="1488"/>
      <c r="AE275" s="1488"/>
      <c r="AF275" s="1488"/>
      <c r="AG275" s="1488"/>
      <c r="AH275" s="1451">
        <f t="shared" si="152"/>
        <v>0</v>
      </c>
      <c r="AI275" s="1488"/>
      <c r="AJ275" s="1488"/>
      <c r="AK275" s="1488"/>
      <c r="AL275" s="1488"/>
      <c r="AM275" s="1488"/>
      <c r="AN275" s="1488"/>
      <c r="AO275" s="1488"/>
      <c r="AP275" s="1488"/>
      <c r="AQ275" s="1488"/>
      <c r="AR275" s="1488"/>
      <c r="AS275" s="1488"/>
      <c r="AT275" s="1542"/>
      <c r="AU275" s="1599">
        <f t="shared" si="153"/>
        <v>0</v>
      </c>
      <c r="AV275" s="1544">
        <f t="shared" si="181"/>
        <v>0</v>
      </c>
      <c r="AW275" s="1452">
        <f t="shared" si="154"/>
        <v>0</v>
      </c>
      <c r="AX275" s="1452">
        <f t="shared" si="155"/>
        <v>0</v>
      </c>
      <c r="AY275" s="1452">
        <f t="shared" si="156"/>
        <v>0</v>
      </c>
      <c r="AZ275" s="1452">
        <f t="shared" si="157"/>
        <v>0</v>
      </c>
      <c r="BA275" s="1452">
        <f t="shared" si="158"/>
        <v>0</v>
      </c>
      <c r="BB275" s="1452">
        <f t="shared" si="159"/>
        <v>0</v>
      </c>
      <c r="BC275" s="1452">
        <f t="shared" si="160"/>
        <v>0</v>
      </c>
      <c r="BD275" s="1452">
        <f t="shared" si="161"/>
        <v>0</v>
      </c>
      <c r="BE275" s="1452">
        <f t="shared" si="162"/>
        <v>0</v>
      </c>
      <c r="BF275" s="1452">
        <f t="shared" si="163"/>
        <v>0</v>
      </c>
      <c r="BG275" s="1452">
        <f t="shared" si="164"/>
        <v>0</v>
      </c>
      <c r="BH275" s="1452">
        <f t="shared" si="165"/>
        <v>0</v>
      </c>
      <c r="BI275" s="1452">
        <f t="shared" si="182"/>
        <v>0</v>
      </c>
      <c r="BJ275" s="1452" t="str">
        <f t="shared" si="166"/>
        <v/>
      </c>
      <c r="BK275" s="1452" t="str">
        <f t="shared" si="167"/>
        <v/>
      </c>
      <c r="BL275" s="1452" t="str">
        <f t="shared" si="168"/>
        <v/>
      </c>
      <c r="BM275" s="1452" t="str">
        <f t="shared" si="169"/>
        <v/>
      </c>
      <c r="BN275" s="1452" t="str">
        <f t="shared" ca="1" si="170"/>
        <v/>
      </c>
      <c r="BO275" s="1452" t="str">
        <f t="shared" si="183"/>
        <v/>
      </c>
      <c r="BP275" s="1452" t="str">
        <f t="shared" si="171"/>
        <v/>
      </c>
      <c r="BQ275" s="1452" t="str">
        <f t="shared" si="172"/>
        <v/>
      </c>
      <c r="BR275" s="1452" t="str">
        <f t="shared" si="173"/>
        <v/>
      </c>
      <c r="BS275" s="1452" t="str">
        <f t="shared" si="174"/>
        <v/>
      </c>
      <c r="BT275" s="1452" t="str">
        <f t="shared" si="175"/>
        <v/>
      </c>
      <c r="BU275" s="1452" t="str">
        <f t="shared" si="176"/>
        <v/>
      </c>
      <c r="BV275" s="1452" t="str">
        <f t="shared" si="177"/>
        <v/>
      </c>
      <c r="BW275" s="1558">
        <f t="shared" ca="1" si="184"/>
        <v>0</v>
      </c>
    </row>
    <row r="276" spans="1:75" s="9" customFormat="1" ht="12.5">
      <c r="A276" s="1483" t="str">
        <f t="shared" si="178"/>
        <v>Public Health Wales Trust</v>
      </c>
      <c r="B276" s="1583"/>
      <c r="C276" s="1583"/>
      <c r="D276" s="1583"/>
      <c r="E276" s="1581"/>
      <c r="F276" s="1436"/>
      <c r="G276" s="1547">
        <f t="shared" si="179"/>
        <v>0</v>
      </c>
      <c r="H276" s="1484"/>
      <c r="I276" s="1547">
        <f t="shared" si="180"/>
        <v>0</v>
      </c>
      <c r="J276" s="1485"/>
      <c r="K276" s="1485"/>
      <c r="L276" s="1436"/>
      <c r="M276" s="1439"/>
      <c r="N276" s="1439"/>
      <c r="O276" s="1485"/>
      <c r="P276" s="1486"/>
      <c r="Q276" s="1486"/>
      <c r="R276" s="1487"/>
      <c r="S276" s="1444"/>
      <c r="T276" s="1444"/>
      <c r="U276" s="1444"/>
      <c r="V276" s="1488"/>
      <c r="W276" s="1488"/>
      <c r="X276" s="1488"/>
      <c r="Y276" s="1488"/>
      <c r="Z276" s="1488"/>
      <c r="AA276" s="1488"/>
      <c r="AB276" s="1488"/>
      <c r="AC276" s="1488"/>
      <c r="AD276" s="1488"/>
      <c r="AE276" s="1488"/>
      <c r="AF276" s="1488"/>
      <c r="AG276" s="1488"/>
      <c r="AH276" s="1451">
        <f t="shared" si="152"/>
        <v>0</v>
      </c>
      <c r="AI276" s="1488"/>
      <c r="AJ276" s="1488"/>
      <c r="AK276" s="1488"/>
      <c r="AL276" s="1488"/>
      <c r="AM276" s="1488"/>
      <c r="AN276" s="1488"/>
      <c r="AO276" s="1488"/>
      <c r="AP276" s="1488"/>
      <c r="AQ276" s="1488"/>
      <c r="AR276" s="1488"/>
      <c r="AS276" s="1488"/>
      <c r="AT276" s="1542"/>
      <c r="AU276" s="1599">
        <f t="shared" si="153"/>
        <v>0</v>
      </c>
      <c r="AV276" s="1544">
        <f t="shared" si="181"/>
        <v>0</v>
      </c>
      <c r="AW276" s="1452">
        <f t="shared" si="154"/>
        <v>0</v>
      </c>
      <c r="AX276" s="1452">
        <f t="shared" si="155"/>
        <v>0</v>
      </c>
      <c r="AY276" s="1452">
        <f t="shared" si="156"/>
        <v>0</v>
      </c>
      <c r="AZ276" s="1452">
        <f t="shared" si="157"/>
        <v>0</v>
      </c>
      <c r="BA276" s="1452">
        <f t="shared" si="158"/>
        <v>0</v>
      </c>
      <c r="BB276" s="1452">
        <f t="shared" si="159"/>
        <v>0</v>
      </c>
      <c r="BC276" s="1452">
        <f t="shared" si="160"/>
        <v>0</v>
      </c>
      <c r="BD276" s="1452">
        <f t="shared" si="161"/>
        <v>0</v>
      </c>
      <c r="BE276" s="1452">
        <f t="shared" si="162"/>
        <v>0</v>
      </c>
      <c r="BF276" s="1452">
        <f t="shared" si="163"/>
        <v>0</v>
      </c>
      <c r="BG276" s="1452">
        <f t="shared" si="164"/>
        <v>0</v>
      </c>
      <c r="BH276" s="1452">
        <f t="shared" si="165"/>
        <v>0</v>
      </c>
      <c r="BI276" s="1452">
        <f t="shared" si="182"/>
        <v>0</v>
      </c>
      <c r="BJ276" s="1452" t="str">
        <f t="shared" si="166"/>
        <v/>
      </c>
      <c r="BK276" s="1452" t="str">
        <f t="shared" si="167"/>
        <v/>
      </c>
      <c r="BL276" s="1452" t="str">
        <f t="shared" si="168"/>
        <v/>
      </c>
      <c r="BM276" s="1452" t="str">
        <f t="shared" si="169"/>
        <v/>
      </c>
      <c r="BN276" s="1452" t="str">
        <f t="shared" ca="1" si="170"/>
        <v/>
      </c>
      <c r="BO276" s="1452" t="str">
        <f t="shared" si="183"/>
        <v/>
      </c>
      <c r="BP276" s="1452" t="str">
        <f t="shared" si="171"/>
        <v/>
      </c>
      <c r="BQ276" s="1452" t="str">
        <f t="shared" si="172"/>
        <v/>
      </c>
      <c r="BR276" s="1452" t="str">
        <f t="shared" si="173"/>
        <v/>
      </c>
      <c r="BS276" s="1452" t="str">
        <f t="shared" si="174"/>
        <v/>
      </c>
      <c r="BT276" s="1452" t="str">
        <f t="shared" si="175"/>
        <v/>
      </c>
      <c r="BU276" s="1452" t="str">
        <f t="shared" si="176"/>
        <v/>
      </c>
      <c r="BV276" s="1452" t="str">
        <f t="shared" si="177"/>
        <v/>
      </c>
      <c r="BW276" s="1558">
        <f t="shared" ca="1" si="184"/>
        <v>0</v>
      </c>
    </row>
    <row r="277" spans="1:75" s="9" customFormat="1" ht="12.5">
      <c r="A277" s="1483" t="str">
        <f t="shared" si="178"/>
        <v>Public Health Wales Trust</v>
      </c>
      <c r="B277" s="1583"/>
      <c r="C277" s="1583"/>
      <c r="D277" s="1583"/>
      <c r="E277" s="1581"/>
      <c r="F277" s="1436"/>
      <c r="G277" s="1547">
        <f t="shared" si="179"/>
        <v>0</v>
      </c>
      <c r="H277" s="1484"/>
      <c r="I277" s="1547">
        <f t="shared" si="180"/>
        <v>0</v>
      </c>
      <c r="J277" s="1485"/>
      <c r="K277" s="1485"/>
      <c r="L277" s="1436"/>
      <c r="M277" s="1439"/>
      <c r="N277" s="1439"/>
      <c r="O277" s="1485"/>
      <c r="P277" s="1486"/>
      <c r="Q277" s="1486"/>
      <c r="R277" s="1487"/>
      <c r="S277" s="1444"/>
      <c r="T277" s="1444"/>
      <c r="U277" s="1444"/>
      <c r="V277" s="1488"/>
      <c r="W277" s="1488"/>
      <c r="X277" s="1488"/>
      <c r="Y277" s="1488"/>
      <c r="Z277" s="1488"/>
      <c r="AA277" s="1488"/>
      <c r="AB277" s="1488"/>
      <c r="AC277" s="1488"/>
      <c r="AD277" s="1488"/>
      <c r="AE277" s="1488"/>
      <c r="AF277" s="1488"/>
      <c r="AG277" s="1488"/>
      <c r="AH277" s="1451">
        <f t="shared" si="152"/>
        <v>0</v>
      </c>
      <c r="AI277" s="1488"/>
      <c r="AJ277" s="1488"/>
      <c r="AK277" s="1488"/>
      <c r="AL277" s="1488"/>
      <c r="AM277" s="1488"/>
      <c r="AN277" s="1488"/>
      <c r="AO277" s="1488"/>
      <c r="AP277" s="1488"/>
      <c r="AQ277" s="1488"/>
      <c r="AR277" s="1488"/>
      <c r="AS277" s="1488"/>
      <c r="AT277" s="1542"/>
      <c r="AU277" s="1599">
        <f t="shared" si="153"/>
        <v>0</v>
      </c>
      <c r="AV277" s="1544">
        <f t="shared" si="181"/>
        <v>0</v>
      </c>
      <c r="AW277" s="1452">
        <f t="shared" si="154"/>
        <v>0</v>
      </c>
      <c r="AX277" s="1452">
        <f t="shared" si="155"/>
        <v>0</v>
      </c>
      <c r="AY277" s="1452">
        <f t="shared" si="156"/>
        <v>0</v>
      </c>
      <c r="AZ277" s="1452">
        <f t="shared" si="157"/>
        <v>0</v>
      </c>
      <c r="BA277" s="1452">
        <f t="shared" si="158"/>
        <v>0</v>
      </c>
      <c r="BB277" s="1452">
        <f t="shared" si="159"/>
        <v>0</v>
      </c>
      <c r="BC277" s="1452">
        <f t="shared" si="160"/>
        <v>0</v>
      </c>
      <c r="BD277" s="1452">
        <f t="shared" si="161"/>
        <v>0</v>
      </c>
      <c r="BE277" s="1452">
        <f t="shared" si="162"/>
        <v>0</v>
      </c>
      <c r="BF277" s="1452">
        <f t="shared" si="163"/>
        <v>0</v>
      </c>
      <c r="BG277" s="1452">
        <f t="shared" si="164"/>
        <v>0</v>
      </c>
      <c r="BH277" s="1452">
        <f t="shared" si="165"/>
        <v>0</v>
      </c>
      <c r="BI277" s="1452">
        <f t="shared" si="182"/>
        <v>0</v>
      </c>
      <c r="BJ277" s="1452" t="str">
        <f t="shared" si="166"/>
        <v/>
      </c>
      <c r="BK277" s="1452" t="str">
        <f t="shared" si="167"/>
        <v/>
      </c>
      <c r="BL277" s="1452" t="str">
        <f t="shared" si="168"/>
        <v/>
      </c>
      <c r="BM277" s="1452" t="str">
        <f t="shared" si="169"/>
        <v/>
      </c>
      <c r="BN277" s="1452" t="str">
        <f t="shared" ca="1" si="170"/>
        <v/>
      </c>
      <c r="BO277" s="1452" t="str">
        <f t="shared" si="183"/>
        <v/>
      </c>
      <c r="BP277" s="1452" t="str">
        <f t="shared" si="171"/>
        <v/>
      </c>
      <c r="BQ277" s="1452" t="str">
        <f t="shared" si="172"/>
        <v/>
      </c>
      <c r="BR277" s="1452" t="str">
        <f t="shared" si="173"/>
        <v/>
      </c>
      <c r="BS277" s="1452" t="str">
        <f t="shared" si="174"/>
        <v/>
      </c>
      <c r="BT277" s="1452" t="str">
        <f t="shared" si="175"/>
        <v/>
      </c>
      <c r="BU277" s="1452" t="str">
        <f t="shared" si="176"/>
        <v/>
      </c>
      <c r="BV277" s="1452" t="str">
        <f t="shared" si="177"/>
        <v/>
      </c>
      <c r="BW277" s="1558">
        <f t="shared" ca="1" si="184"/>
        <v>0</v>
      </c>
    </row>
    <row r="278" spans="1:75" s="9" customFormat="1" ht="12.5">
      <c r="A278" s="1483" t="str">
        <f t="shared" si="178"/>
        <v>Public Health Wales Trust</v>
      </c>
      <c r="B278" s="1583"/>
      <c r="C278" s="1583"/>
      <c r="D278" s="1583"/>
      <c r="E278" s="1581"/>
      <c r="F278" s="1436"/>
      <c r="G278" s="1547">
        <f t="shared" si="179"/>
        <v>0</v>
      </c>
      <c r="H278" s="1484"/>
      <c r="I278" s="1547">
        <f t="shared" si="180"/>
        <v>0</v>
      </c>
      <c r="J278" s="1485"/>
      <c r="K278" s="1485"/>
      <c r="L278" s="1436"/>
      <c r="M278" s="1439"/>
      <c r="N278" s="1439"/>
      <c r="O278" s="1485"/>
      <c r="P278" s="1486"/>
      <c r="Q278" s="1486"/>
      <c r="R278" s="1487"/>
      <c r="S278" s="1444"/>
      <c r="T278" s="1444"/>
      <c r="U278" s="1444"/>
      <c r="V278" s="1488"/>
      <c r="W278" s="1488"/>
      <c r="X278" s="1488"/>
      <c r="Y278" s="1488"/>
      <c r="Z278" s="1488"/>
      <c r="AA278" s="1488"/>
      <c r="AB278" s="1488"/>
      <c r="AC278" s="1488"/>
      <c r="AD278" s="1488"/>
      <c r="AE278" s="1488"/>
      <c r="AF278" s="1488"/>
      <c r="AG278" s="1488"/>
      <c r="AH278" s="1451">
        <f t="shared" si="152"/>
        <v>0</v>
      </c>
      <c r="AI278" s="1488"/>
      <c r="AJ278" s="1488"/>
      <c r="AK278" s="1488"/>
      <c r="AL278" s="1488"/>
      <c r="AM278" s="1488"/>
      <c r="AN278" s="1488"/>
      <c r="AO278" s="1488"/>
      <c r="AP278" s="1488"/>
      <c r="AQ278" s="1488"/>
      <c r="AR278" s="1488"/>
      <c r="AS278" s="1488"/>
      <c r="AT278" s="1542"/>
      <c r="AU278" s="1599">
        <f t="shared" si="153"/>
        <v>0</v>
      </c>
      <c r="AV278" s="1544">
        <f t="shared" si="181"/>
        <v>0</v>
      </c>
      <c r="AW278" s="1452">
        <f t="shared" si="154"/>
        <v>0</v>
      </c>
      <c r="AX278" s="1452">
        <f t="shared" si="155"/>
        <v>0</v>
      </c>
      <c r="AY278" s="1452">
        <f t="shared" si="156"/>
        <v>0</v>
      </c>
      <c r="AZ278" s="1452">
        <f t="shared" si="157"/>
        <v>0</v>
      </c>
      <c r="BA278" s="1452">
        <f t="shared" si="158"/>
        <v>0</v>
      </c>
      <c r="BB278" s="1452">
        <f t="shared" si="159"/>
        <v>0</v>
      </c>
      <c r="BC278" s="1452">
        <f t="shared" si="160"/>
        <v>0</v>
      </c>
      <c r="BD278" s="1452">
        <f t="shared" si="161"/>
        <v>0</v>
      </c>
      <c r="BE278" s="1452">
        <f t="shared" si="162"/>
        <v>0</v>
      </c>
      <c r="BF278" s="1452">
        <f t="shared" si="163"/>
        <v>0</v>
      </c>
      <c r="BG278" s="1452">
        <f t="shared" si="164"/>
        <v>0</v>
      </c>
      <c r="BH278" s="1452">
        <f t="shared" si="165"/>
        <v>0</v>
      </c>
      <c r="BI278" s="1452">
        <f t="shared" si="182"/>
        <v>0</v>
      </c>
      <c r="BJ278" s="1452" t="str">
        <f t="shared" si="166"/>
        <v/>
      </c>
      <c r="BK278" s="1452" t="str">
        <f t="shared" si="167"/>
        <v/>
      </c>
      <c r="BL278" s="1452" t="str">
        <f t="shared" si="168"/>
        <v/>
      </c>
      <c r="BM278" s="1452" t="str">
        <f t="shared" si="169"/>
        <v/>
      </c>
      <c r="BN278" s="1452" t="str">
        <f t="shared" ca="1" si="170"/>
        <v/>
      </c>
      <c r="BO278" s="1452" t="str">
        <f t="shared" si="183"/>
        <v/>
      </c>
      <c r="BP278" s="1452" t="str">
        <f t="shared" si="171"/>
        <v/>
      </c>
      <c r="BQ278" s="1452" t="str">
        <f t="shared" si="172"/>
        <v/>
      </c>
      <c r="BR278" s="1452" t="str">
        <f t="shared" si="173"/>
        <v/>
      </c>
      <c r="BS278" s="1452" t="str">
        <f t="shared" si="174"/>
        <v/>
      </c>
      <c r="BT278" s="1452" t="str">
        <f t="shared" si="175"/>
        <v/>
      </c>
      <c r="BU278" s="1452" t="str">
        <f t="shared" si="176"/>
        <v/>
      </c>
      <c r="BV278" s="1452" t="str">
        <f t="shared" si="177"/>
        <v/>
      </c>
      <c r="BW278" s="1558">
        <f t="shared" ca="1" si="184"/>
        <v>0</v>
      </c>
    </row>
    <row r="279" spans="1:75" s="9" customFormat="1" ht="12.5">
      <c r="A279" s="1483" t="str">
        <f t="shared" si="178"/>
        <v>Public Health Wales Trust</v>
      </c>
      <c r="B279" s="1583"/>
      <c r="C279" s="1583"/>
      <c r="D279" s="1583"/>
      <c r="E279" s="1581"/>
      <c r="F279" s="1436"/>
      <c r="G279" s="1547">
        <f t="shared" si="179"/>
        <v>0</v>
      </c>
      <c r="H279" s="1484"/>
      <c r="I279" s="1547">
        <f t="shared" si="180"/>
        <v>0</v>
      </c>
      <c r="J279" s="1485"/>
      <c r="K279" s="1485"/>
      <c r="L279" s="1436"/>
      <c r="M279" s="1439"/>
      <c r="N279" s="1439"/>
      <c r="O279" s="1485"/>
      <c r="P279" s="1486"/>
      <c r="Q279" s="1486"/>
      <c r="R279" s="1487"/>
      <c r="S279" s="1444"/>
      <c r="T279" s="1444"/>
      <c r="U279" s="1444"/>
      <c r="V279" s="1488"/>
      <c r="W279" s="1488"/>
      <c r="X279" s="1488"/>
      <c r="Y279" s="1488"/>
      <c r="Z279" s="1488"/>
      <c r="AA279" s="1488"/>
      <c r="AB279" s="1488"/>
      <c r="AC279" s="1488"/>
      <c r="AD279" s="1488"/>
      <c r="AE279" s="1488"/>
      <c r="AF279" s="1488"/>
      <c r="AG279" s="1488"/>
      <c r="AH279" s="1451">
        <f t="shared" si="152"/>
        <v>0</v>
      </c>
      <c r="AI279" s="1488"/>
      <c r="AJ279" s="1488"/>
      <c r="AK279" s="1488"/>
      <c r="AL279" s="1488"/>
      <c r="AM279" s="1488"/>
      <c r="AN279" s="1488"/>
      <c r="AO279" s="1488"/>
      <c r="AP279" s="1488"/>
      <c r="AQ279" s="1488"/>
      <c r="AR279" s="1488"/>
      <c r="AS279" s="1488"/>
      <c r="AT279" s="1542"/>
      <c r="AU279" s="1599">
        <f t="shared" si="153"/>
        <v>0</v>
      </c>
      <c r="AV279" s="1544">
        <f t="shared" si="181"/>
        <v>0</v>
      </c>
      <c r="AW279" s="1452">
        <f t="shared" si="154"/>
        <v>0</v>
      </c>
      <c r="AX279" s="1452">
        <f t="shared" si="155"/>
        <v>0</v>
      </c>
      <c r="AY279" s="1452">
        <f t="shared" si="156"/>
        <v>0</v>
      </c>
      <c r="AZ279" s="1452">
        <f t="shared" si="157"/>
        <v>0</v>
      </c>
      <c r="BA279" s="1452">
        <f t="shared" si="158"/>
        <v>0</v>
      </c>
      <c r="BB279" s="1452">
        <f t="shared" si="159"/>
        <v>0</v>
      </c>
      <c r="BC279" s="1452">
        <f t="shared" si="160"/>
        <v>0</v>
      </c>
      <c r="BD279" s="1452">
        <f t="shared" si="161"/>
        <v>0</v>
      </c>
      <c r="BE279" s="1452">
        <f t="shared" si="162"/>
        <v>0</v>
      </c>
      <c r="BF279" s="1452">
        <f t="shared" si="163"/>
        <v>0</v>
      </c>
      <c r="BG279" s="1452">
        <f t="shared" si="164"/>
        <v>0</v>
      </c>
      <c r="BH279" s="1452">
        <f t="shared" si="165"/>
        <v>0</v>
      </c>
      <c r="BI279" s="1452">
        <f t="shared" si="182"/>
        <v>0</v>
      </c>
      <c r="BJ279" s="1452" t="str">
        <f t="shared" si="166"/>
        <v/>
      </c>
      <c r="BK279" s="1452" t="str">
        <f t="shared" si="167"/>
        <v/>
      </c>
      <c r="BL279" s="1452" t="str">
        <f t="shared" si="168"/>
        <v/>
      </c>
      <c r="BM279" s="1452" t="str">
        <f t="shared" si="169"/>
        <v/>
      </c>
      <c r="BN279" s="1452" t="str">
        <f t="shared" ca="1" si="170"/>
        <v/>
      </c>
      <c r="BO279" s="1452" t="str">
        <f t="shared" si="183"/>
        <v/>
      </c>
      <c r="BP279" s="1452" t="str">
        <f t="shared" si="171"/>
        <v/>
      </c>
      <c r="BQ279" s="1452" t="str">
        <f t="shared" si="172"/>
        <v/>
      </c>
      <c r="BR279" s="1452" t="str">
        <f t="shared" si="173"/>
        <v/>
      </c>
      <c r="BS279" s="1452" t="str">
        <f t="shared" si="174"/>
        <v/>
      </c>
      <c r="BT279" s="1452" t="str">
        <f t="shared" si="175"/>
        <v/>
      </c>
      <c r="BU279" s="1452" t="str">
        <f t="shared" si="176"/>
        <v/>
      </c>
      <c r="BV279" s="1452" t="str">
        <f t="shared" si="177"/>
        <v/>
      </c>
      <c r="BW279" s="1558">
        <f t="shared" ca="1" si="184"/>
        <v>0</v>
      </c>
    </row>
    <row r="280" spans="1:75" s="9" customFormat="1" ht="12.5">
      <c r="A280" s="1483" t="str">
        <f t="shared" si="178"/>
        <v>Public Health Wales Trust</v>
      </c>
      <c r="B280" s="1583"/>
      <c r="C280" s="1583"/>
      <c r="D280" s="1583"/>
      <c r="E280" s="1581"/>
      <c r="F280" s="1436"/>
      <c r="G280" s="1547">
        <f t="shared" si="179"/>
        <v>0</v>
      </c>
      <c r="H280" s="1484"/>
      <c r="I280" s="1547">
        <f t="shared" si="180"/>
        <v>0</v>
      </c>
      <c r="J280" s="1485"/>
      <c r="K280" s="1485"/>
      <c r="L280" s="1436"/>
      <c r="M280" s="1439"/>
      <c r="N280" s="1439"/>
      <c r="O280" s="1485"/>
      <c r="P280" s="1486"/>
      <c r="Q280" s="1486"/>
      <c r="R280" s="1487"/>
      <c r="S280" s="1444"/>
      <c r="T280" s="1444"/>
      <c r="U280" s="1444"/>
      <c r="V280" s="1488"/>
      <c r="W280" s="1488"/>
      <c r="X280" s="1488"/>
      <c r="Y280" s="1488"/>
      <c r="Z280" s="1488"/>
      <c r="AA280" s="1488"/>
      <c r="AB280" s="1488"/>
      <c r="AC280" s="1488"/>
      <c r="AD280" s="1488"/>
      <c r="AE280" s="1488"/>
      <c r="AF280" s="1488"/>
      <c r="AG280" s="1488"/>
      <c r="AH280" s="1451">
        <f t="shared" si="152"/>
        <v>0</v>
      </c>
      <c r="AI280" s="1488"/>
      <c r="AJ280" s="1488"/>
      <c r="AK280" s="1488"/>
      <c r="AL280" s="1488"/>
      <c r="AM280" s="1488"/>
      <c r="AN280" s="1488"/>
      <c r="AO280" s="1488"/>
      <c r="AP280" s="1488"/>
      <c r="AQ280" s="1488"/>
      <c r="AR280" s="1488"/>
      <c r="AS280" s="1488"/>
      <c r="AT280" s="1542"/>
      <c r="AU280" s="1599">
        <f t="shared" si="153"/>
        <v>0</v>
      </c>
      <c r="AV280" s="1544">
        <f t="shared" si="181"/>
        <v>0</v>
      </c>
      <c r="AW280" s="1452">
        <f t="shared" si="154"/>
        <v>0</v>
      </c>
      <c r="AX280" s="1452">
        <f t="shared" si="155"/>
        <v>0</v>
      </c>
      <c r="AY280" s="1452">
        <f t="shared" si="156"/>
        <v>0</v>
      </c>
      <c r="AZ280" s="1452">
        <f t="shared" si="157"/>
        <v>0</v>
      </c>
      <c r="BA280" s="1452">
        <f t="shared" si="158"/>
        <v>0</v>
      </c>
      <c r="BB280" s="1452">
        <f t="shared" si="159"/>
        <v>0</v>
      </c>
      <c r="BC280" s="1452">
        <f t="shared" si="160"/>
        <v>0</v>
      </c>
      <c r="BD280" s="1452">
        <f t="shared" si="161"/>
        <v>0</v>
      </c>
      <c r="BE280" s="1452">
        <f t="shared" si="162"/>
        <v>0</v>
      </c>
      <c r="BF280" s="1452">
        <f t="shared" si="163"/>
        <v>0</v>
      </c>
      <c r="BG280" s="1452">
        <f t="shared" si="164"/>
        <v>0</v>
      </c>
      <c r="BH280" s="1452">
        <f t="shared" si="165"/>
        <v>0</v>
      </c>
      <c r="BI280" s="1452">
        <f t="shared" si="182"/>
        <v>0</v>
      </c>
      <c r="BJ280" s="1452" t="str">
        <f t="shared" si="166"/>
        <v/>
      </c>
      <c r="BK280" s="1452" t="str">
        <f t="shared" si="167"/>
        <v/>
      </c>
      <c r="BL280" s="1452" t="str">
        <f t="shared" si="168"/>
        <v/>
      </c>
      <c r="BM280" s="1452" t="str">
        <f t="shared" si="169"/>
        <v/>
      </c>
      <c r="BN280" s="1452" t="str">
        <f t="shared" ca="1" si="170"/>
        <v/>
      </c>
      <c r="BO280" s="1452" t="str">
        <f t="shared" si="183"/>
        <v/>
      </c>
      <c r="BP280" s="1452" t="str">
        <f t="shared" si="171"/>
        <v/>
      </c>
      <c r="BQ280" s="1452" t="str">
        <f t="shared" si="172"/>
        <v/>
      </c>
      <c r="BR280" s="1452" t="str">
        <f t="shared" si="173"/>
        <v/>
      </c>
      <c r="BS280" s="1452" t="str">
        <f t="shared" si="174"/>
        <v/>
      </c>
      <c r="BT280" s="1452" t="str">
        <f t="shared" si="175"/>
        <v/>
      </c>
      <c r="BU280" s="1452" t="str">
        <f t="shared" si="176"/>
        <v/>
      </c>
      <c r="BV280" s="1452" t="str">
        <f t="shared" si="177"/>
        <v/>
      </c>
      <c r="BW280" s="1558">
        <f t="shared" ca="1" si="184"/>
        <v>0</v>
      </c>
    </row>
    <row r="281" spans="1:75" s="9" customFormat="1" ht="12.5">
      <c r="A281" s="1483" t="str">
        <f t="shared" si="178"/>
        <v>Public Health Wales Trust</v>
      </c>
      <c r="B281" s="1583"/>
      <c r="C281" s="1583"/>
      <c r="D281" s="1583"/>
      <c r="E281" s="1581"/>
      <c r="F281" s="1436"/>
      <c r="G281" s="1547">
        <f t="shared" si="179"/>
        <v>0</v>
      </c>
      <c r="H281" s="1484"/>
      <c r="I281" s="1547">
        <f t="shared" si="180"/>
        <v>0</v>
      </c>
      <c r="J281" s="1485"/>
      <c r="K281" s="1485"/>
      <c r="L281" s="1436"/>
      <c r="M281" s="1439"/>
      <c r="N281" s="1439"/>
      <c r="O281" s="1485"/>
      <c r="P281" s="1486"/>
      <c r="Q281" s="1486"/>
      <c r="R281" s="1487"/>
      <c r="S281" s="1444"/>
      <c r="T281" s="1444"/>
      <c r="U281" s="1444"/>
      <c r="V281" s="1488"/>
      <c r="W281" s="1488"/>
      <c r="X281" s="1488"/>
      <c r="Y281" s="1488"/>
      <c r="Z281" s="1488"/>
      <c r="AA281" s="1488"/>
      <c r="AB281" s="1488"/>
      <c r="AC281" s="1488"/>
      <c r="AD281" s="1488"/>
      <c r="AE281" s="1488"/>
      <c r="AF281" s="1488"/>
      <c r="AG281" s="1488"/>
      <c r="AH281" s="1451">
        <f t="shared" si="152"/>
        <v>0</v>
      </c>
      <c r="AI281" s="1488"/>
      <c r="AJ281" s="1488"/>
      <c r="AK281" s="1488"/>
      <c r="AL281" s="1488"/>
      <c r="AM281" s="1488"/>
      <c r="AN281" s="1488"/>
      <c r="AO281" s="1488"/>
      <c r="AP281" s="1488"/>
      <c r="AQ281" s="1488"/>
      <c r="AR281" s="1488"/>
      <c r="AS281" s="1488"/>
      <c r="AT281" s="1542"/>
      <c r="AU281" s="1599">
        <f t="shared" si="153"/>
        <v>0</v>
      </c>
      <c r="AV281" s="1544">
        <f t="shared" si="181"/>
        <v>0</v>
      </c>
      <c r="AW281" s="1452">
        <f t="shared" si="154"/>
        <v>0</v>
      </c>
      <c r="AX281" s="1452">
        <f t="shared" si="155"/>
        <v>0</v>
      </c>
      <c r="AY281" s="1452">
        <f t="shared" si="156"/>
        <v>0</v>
      </c>
      <c r="AZ281" s="1452">
        <f t="shared" si="157"/>
        <v>0</v>
      </c>
      <c r="BA281" s="1452">
        <f t="shared" si="158"/>
        <v>0</v>
      </c>
      <c r="BB281" s="1452">
        <f t="shared" si="159"/>
        <v>0</v>
      </c>
      <c r="BC281" s="1452">
        <f t="shared" si="160"/>
        <v>0</v>
      </c>
      <c r="BD281" s="1452">
        <f t="shared" si="161"/>
        <v>0</v>
      </c>
      <c r="BE281" s="1452">
        <f t="shared" si="162"/>
        <v>0</v>
      </c>
      <c r="BF281" s="1452">
        <f t="shared" si="163"/>
        <v>0</v>
      </c>
      <c r="BG281" s="1452">
        <f t="shared" si="164"/>
        <v>0</v>
      </c>
      <c r="BH281" s="1452">
        <f t="shared" si="165"/>
        <v>0</v>
      </c>
      <c r="BI281" s="1452">
        <f t="shared" si="182"/>
        <v>0</v>
      </c>
      <c r="BJ281" s="1452" t="str">
        <f t="shared" si="166"/>
        <v/>
      </c>
      <c r="BK281" s="1452" t="str">
        <f t="shared" si="167"/>
        <v/>
      </c>
      <c r="BL281" s="1452" t="str">
        <f t="shared" si="168"/>
        <v/>
      </c>
      <c r="BM281" s="1452" t="str">
        <f t="shared" si="169"/>
        <v/>
      </c>
      <c r="BN281" s="1452" t="str">
        <f t="shared" ca="1" si="170"/>
        <v/>
      </c>
      <c r="BO281" s="1452" t="str">
        <f t="shared" si="183"/>
        <v/>
      </c>
      <c r="BP281" s="1452" t="str">
        <f t="shared" si="171"/>
        <v/>
      </c>
      <c r="BQ281" s="1452" t="str">
        <f t="shared" si="172"/>
        <v/>
      </c>
      <c r="BR281" s="1452" t="str">
        <f t="shared" si="173"/>
        <v/>
      </c>
      <c r="BS281" s="1452" t="str">
        <f t="shared" si="174"/>
        <v/>
      </c>
      <c r="BT281" s="1452" t="str">
        <f t="shared" si="175"/>
        <v/>
      </c>
      <c r="BU281" s="1452" t="str">
        <f t="shared" si="176"/>
        <v/>
      </c>
      <c r="BV281" s="1452" t="str">
        <f t="shared" si="177"/>
        <v/>
      </c>
      <c r="BW281" s="1558">
        <f t="shared" ca="1" si="184"/>
        <v>0</v>
      </c>
    </row>
    <row r="282" spans="1:75" s="9" customFormat="1" ht="12.5">
      <c r="A282" s="1483" t="str">
        <f t="shared" si="178"/>
        <v>Public Health Wales Trust</v>
      </c>
      <c r="B282" s="1583"/>
      <c r="C282" s="1583"/>
      <c r="D282" s="1583"/>
      <c r="E282" s="1581"/>
      <c r="F282" s="1436"/>
      <c r="G282" s="1547">
        <f t="shared" si="179"/>
        <v>0</v>
      </c>
      <c r="H282" s="1484"/>
      <c r="I282" s="1547">
        <f t="shared" si="180"/>
        <v>0</v>
      </c>
      <c r="J282" s="1485"/>
      <c r="K282" s="1485"/>
      <c r="L282" s="1436"/>
      <c r="M282" s="1439"/>
      <c r="N282" s="1439"/>
      <c r="O282" s="1485"/>
      <c r="P282" s="1486"/>
      <c r="Q282" s="1486"/>
      <c r="R282" s="1487"/>
      <c r="S282" s="1444"/>
      <c r="T282" s="1444"/>
      <c r="U282" s="1444"/>
      <c r="V282" s="1488"/>
      <c r="W282" s="1488"/>
      <c r="X282" s="1488"/>
      <c r="Y282" s="1488"/>
      <c r="Z282" s="1488"/>
      <c r="AA282" s="1488"/>
      <c r="AB282" s="1488"/>
      <c r="AC282" s="1488"/>
      <c r="AD282" s="1488"/>
      <c r="AE282" s="1488"/>
      <c r="AF282" s="1488"/>
      <c r="AG282" s="1488"/>
      <c r="AH282" s="1451">
        <f t="shared" si="152"/>
        <v>0</v>
      </c>
      <c r="AI282" s="1488"/>
      <c r="AJ282" s="1488"/>
      <c r="AK282" s="1488"/>
      <c r="AL282" s="1488"/>
      <c r="AM282" s="1488"/>
      <c r="AN282" s="1488"/>
      <c r="AO282" s="1488"/>
      <c r="AP282" s="1488"/>
      <c r="AQ282" s="1488"/>
      <c r="AR282" s="1488"/>
      <c r="AS282" s="1488"/>
      <c r="AT282" s="1542"/>
      <c r="AU282" s="1599">
        <f t="shared" si="153"/>
        <v>0</v>
      </c>
      <c r="AV282" s="1544">
        <f t="shared" si="181"/>
        <v>0</v>
      </c>
      <c r="AW282" s="1452">
        <f t="shared" si="154"/>
        <v>0</v>
      </c>
      <c r="AX282" s="1452">
        <f t="shared" si="155"/>
        <v>0</v>
      </c>
      <c r="AY282" s="1452">
        <f t="shared" si="156"/>
        <v>0</v>
      </c>
      <c r="AZ282" s="1452">
        <f t="shared" si="157"/>
        <v>0</v>
      </c>
      <c r="BA282" s="1452">
        <f t="shared" si="158"/>
        <v>0</v>
      </c>
      <c r="BB282" s="1452">
        <f t="shared" si="159"/>
        <v>0</v>
      </c>
      <c r="BC282" s="1452">
        <f t="shared" si="160"/>
        <v>0</v>
      </c>
      <c r="BD282" s="1452">
        <f t="shared" si="161"/>
        <v>0</v>
      </c>
      <c r="BE282" s="1452">
        <f t="shared" si="162"/>
        <v>0</v>
      </c>
      <c r="BF282" s="1452">
        <f t="shared" si="163"/>
        <v>0</v>
      </c>
      <c r="BG282" s="1452">
        <f t="shared" si="164"/>
        <v>0</v>
      </c>
      <c r="BH282" s="1452">
        <f t="shared" si="165"/>
        <v>0</v>
      </c>
      <c r="BI282" s="1452">
        <f t="shared" si="182"/>
        <v>0</v>
      </c>
      <c r="BJ282" s="1452" t="str">
        <f t="shared" si="166"/>
        <v/>
      </c>
      <c r="BK282" s="1452" t="str">
        <f t="shared" si="167"/>
        <v/>
      </c>
      <c r="BL282" s="1452" t="str">
        <f t="shared" si="168"/>
        <v/>
      </c>
      <c r="BM282" s="1452" t="str">
        <f t="shared" si="169"/>
        <v/>
      </c>
      <c r="BN282" s="1452" t="str">
        <f t="shared" ca="1" si="170"/>
        <v/>
      </c>
      <c r="BO282" s="1452" t="str">
        <f t="shared" si="183"/>
        <v/>
      </c>
      <c r="BP282" s="1452" t="str">
        <f t="shared" si="171"/>
        <v/>
      </c>
      <c r="BQ282" s="1452" t="str">
        <f t="shared" si="172"/>
        <v/>
      </c>
      <c r="BR282" s="1452" t="str">
        <f t="shared" si="173"/>
        <v/>
      </c>
      <c r="BS282" s="1452" t="str">
        <f t="shared" si="174"/>
        <v/>
      </c>
      <c r="BT282" s="1452" t="str">
        <f t="shared" si="175"/>
        <v/>
      </c>
      <c r="BU282" s="1452" t="str">
        <f t="shared" si="176"/>
        <v/>
      </c>
      <c r="BV282" s="1452" t="str">
        <f t="shared" si="177"/>
        <v/>
      </c>
      <c r="BW282" s="1558">
        <f t="shared" ca="1" si="184"/>
        <v>0</v>
      </c>
    </row>
    <row r="283" spans="1:75" s="9" customFormat="1" ht="12.5">
      <c r="A283" s="1483" t="str">
        <f t="shared" si="178"/>
        <v>Public Health Wales Trust</v>
      </c>
      <c r="B283" s="1583"/>
      <c r="C283" s="1583"/>
      <c r="D283" s="1583"/>
      <c r="E283" s="1581"/>
      <c r="F283" s="1436"/>
      <c r="G283" s="1547">
        <f t="shared" si="179"/>
        <v>0</v>
      </c>
      <c r="H283" s="1484"/>
      <c r="I283" s="1547">
        <f t="shared" si="180"/>
        <v>0</v>
      </c>
      <c r="J283" s="1485"/>
      <c r="K283" s="1485"/>
      <c r="L283" s="1436"/>
      <c r="M283" s="1439"/>
      <c r="N283" s="1439"/>
      <c r="O283" s="1485"/>
      <c r="P283" s="1486"/>
      <c r="Q283" s="1486"/>
      <c r="R283" s="1487"/>
      <c r="S283" s="1444"/>
      <c r="T283" s="1444"/>
      <c r="U283" s="1444"/>
      <c r="V283" s="1488"/>
      <c r="W283" s="1488"/>
      <c r="X283" s="1488"/>
      <c r="Y283" s="1488"/>
      <c r="Z283" s="1488"/>
      <c r="AA283" s="1488"/>
      <c r="AB283" s="1488"/>
      <c r="AC283" s="1488"/>
      <c r="AD283" s="1488"/>
      <c r="AE283" s="1488"/>
      <c r="AF283" s="1488"/>
      <c r="AG283" s="1488"/>
      <c r="AH283" s="1451">
        <f t="shared" si="152"/>
        <v>0</v>
      </c>
      <c r="AI283" s="1488"/>
      <c r="AJ283" s="1488"/>
      <c r="AK283" s="1488"/>
      <c r="AL283" s="1488"/>
      <c r="AM283" s="1488"/>
      <c r="AN283" s="1488"/>
      <c r="AO283" s="1488"/>
      <c r="AP283" s="1488"/>
      <c r="AQ283" s="1488"/>
      <c r="AR283" s="1488"/>
      <c r="AS283" s="1488"/>
      <c r="AT283" s="1542"/>
      <c r="AU283" s="1599">
        <f t="shared" si="153"/>
        <v>0</v>
      </c>
      <c r="AV283" s="1544">
        <f t="shared" si="181"/>
        <v>0</v>
      </c>
      <c r="AW283" s="1452">
        <f t="shared" si="154"/>
        <v>0</v>
      </c>
      <c r="AX283" s="1452">
        <f t="shared" si="155"/>
        <v>0</v>
      </c>
      <c r="AY283" s="1452">
        <f t="shared" si="156"/>
        <v>0</v>
      </c>
      <c r="AZ283" s="1452">
        <f t="shared" si="157"/>
        <v>0</v>
      </c>
      <c r="BA283" s="1452">
        <f t="shared" si="158"/>
        <v>0</v>
      </c>
      <c r="BB283" s="1452">
        <f t="shared" si="159"/>
        <v>0</v>
      </c>
      <c r="BC283" s="1452">
        <f t="shared" si="160"/>
        <v>0</v>
      </c>
      <c r="BD283" s="1452">
        <f t="shared" si="161"/>
        <v>0</v>
      </c>
      <c r="BE283" s="1452">
        <f t="shared" si="162"/>
        <v>0</v>
      </c>
      <c r="BF283" s="1452">
        <f t="shared" si="163"/>
        <v>0</v>
      </c>
      <c r="BG283" s="1452">
        <f t="shared" si="164"/>
        <v>0</v>
      </c>
      <c r="BH283" s="1452">
        <f t="shared" si="165"/>
        <v>0</v>
      </c>
      <c r="BI283" s="1452">
        <f t="shared" si="182"/>
        <v>0</v>
      </c>
      <c r="BJ283" s="1452" t="str">
        <f t="shared" si="166"/>
        <v/>
      </c>
      <c r="BK283" s="1452" t="str">
        <f t="shared" si="167"/>
        <v/>
      </c>
      <c r="BL283" s="1452" t="str">
        <f t="shared" si="168"/>
        <v/>
      </c>
      <c r="BM283" s="1452" t="str">
        <f t="shared" si="169"/>
        <v/>
      </c>
      <c r="BN283" s="1452" t="str">
        <f t="shared" ca="1" si="170"/>
        <v/>
      </c>
      <c r="BO283" s="1452" t="str">
        <f t="shared" si="183"/>
        <v/>
      </c>
      <c r="BP283" s="1452" t="str">
        <f t="shared" si="171"/>
        <v/>
      </c>
      <c r="BQ283" s="1452" t="str">
        <f t="shared" si="172"/>
        <v/>
      </c>
      <c r="BR283" s="1452" t="str">
        <f t="shared" si="173"/>
        <v/>
      </c>
      <c r="BS283" s="1452" t="str">
        <f t="shared" si="174"/>
        <v/>
      </c>
      <c r="BT283" s="1452" t="str">
        <f t="shared" si="175"/>
        <v/>
      </c>
      <c r="BU283" s="1452" t="str">
        <f t="shared" si="176"/>
        <v/>
      </c>
      <c r="BV283" s="1452" t="str">
        <f t="shared" si="177"/>
        <v/>
      </c>
      <c r="BW283" s="1558">
        <f t="shared" ca="1" si="184"/>
        <v>0</v>
      </c>
    </row>
    <row r="284" spans="1:75" s="9" customFormat="1" ht="12.5">
      <c r="A284" s="1483" t="str">
        <f t="shared" si="178"/>
        <v>Public Health Wales Trust</v>
      </c>
      <c r="B284" s="1583"/>
      <c r="C284" s="1583"/>
      <c r="D284" s="1583"/>
      <c r="E284" s="1581"/>
      <c r="F284" s="1436"/>
      <c r="G284" s="1547">
        <f t="shared" si="179"/>
        <v>0</v>
      </c>
      <c r="H284" s="1484"/>
      <c r="I284" s="1547">
        <f t="shared" si="180"/>
        <v>0</v>
      </c>
      <c r="J284" s="1485"/>
      <c r="K284" s="1485"/>
      <c r="L284" s="1436"/>
      <c r="M284" s="1439"/>
      <c r="N284" s="1439"/>
      <c r="O284" s="1485"/>
      <c r="P284" s="1486"/>
      <c r="Q284" s="1486"/>
      <c r="R284" s="1487"/>
      <c r="S284" s="1444"/>
      <c r="T284" s="1444"/>
      <c r="U284" s="1444"/>
      <c r="V284" s="1488"/>
      <c r="W284" s="1488"/>
      <c r="X284" s="1488"/>
      <c r="Y284" s="1488"/>
      <c r="Z284" s="1488"/>
      <c r="AA284" s="1488"/>
      <c r="AB284" s="1488"/>
      <c r="AC284" s="1488"/>
      <c r="AD284" s="1488"/>
      <c r="AE284" s="1488"/>
      <c r="AF284" s="1488"/>
      <c r="AG284" s="1488"/>
      <c r="AH284" s="1451">
        <f t="shared" si="152"/>
        <v>0</v>
      </c>
      <c r="AI284" s="1488"/>
      <c r="AJ284" s="1488"/>
      <c r="AK284" s="1488"/>
      <c r="AL284" s="1488"/>
      <c r="AM284" s="1488"/>
      <c r="AN284" s="1488"/>
      <c r="AO284" s="1488"/>
      <c r="AP284" s="1488"/>
      <c r="AQ284" s="1488"/>
      <c r="AR284" s="1488"/>
      <c r="AS284" s="1488"/>
      <c r="AT284" s="1542"/>
      <c r="AU284" s="1599">
        <f t="shared" si="153"/>
        <v>0</v>
      </c>
      <c r="AV284" s="1544">
        <f t="shared" si="181"/>
        <v>0</v>
      </c>
      <c r="AW284" s="1452">
        <f t="shared" si="154"/>
        <v>0</v>
      </c>
      <c r="AX284" s="1452">
        <f t="shared" si="155"/>
        <v>0</v>
      </c>
      <c r="AY284" s="1452">
        <f t="shared" si="156"/>
        <v>0</v>
      </c>
      <c r="AZ284" s="1452">
        <f t="shared" si="157"/>
        <v>0</v>
      </c>
      <c r="BA284" s="1452">
        <f t="shared" si="158"/>
        <v>0</v>
      </c>
      <c r="BB284" s="1452">
        <f t="shared" si="159"/>
        <v>0</v>
      </c>
      <c r="BC284" s="1452">
        <f t="shared" si="160"/>
        <v>0</v>
      </c>
      <c r="BD284" s="1452">
        <f t="shared" si="161"/>
        <v>0</v>
      </c>
      <c r="BE284" s="1452">
        <f t="shared" si="162"/>
        <v>0</v>
      </c>
      <c r="BF284" s="1452">
        <f t="shared" si="163"/>
        <v>0</v>
      </c>
      <c r="BG284" s="1452">
        <f t="shared" si="164"/>
        <v>0</v>
      </c>
      <c r="BH284" s="1452">
        <f t="shared" si="165"/>
        <v>0</v>
      </c>
      <c r="BI284" s="1452">
        <f t="shared" si="182"/>
        <v>0</v>
      </c>
      <c r="BJ284" s="1452" t="str">
        <f t="shared" si="166"/>
        <v/>
      </c>
      <c r="BK284" s="1452" t="str">
        <f t="shared" si="167"/>
        <v/>
      </c>
      <c r="BL284" s="1452" t="str">
        <f t="shared" si="168"/>
        <v/>
      </c>
      <c r="BM284" s="1452" t="str">
        <f t="shared" si="169"/>
        <v/>
      </c>
      <c r="BN284" s="1452" t="str">
        <f t="shared" ca="1" si="170"/>
        <v/>
      </c>
      <c r="BO284" s="1452" t="str">
        <f t="shared" si="183"/>
        <v/>
      </c>
      <c r="BP284" s="1452" t="str">
        <f t="shared" si="171"/>
        <v/>
      </c>
      <c r="BQ284" s="1452" t="str">
        <f t="shared" si="172"/>
        <v/>
      </c>
      <c r="BR284" s="1452" t="str">
        <f t="shared" si="173"/>
        <v/>
      </c>
      <c r="BS284" s="1452" t="str">
        <f t="shared" si="174"/>
        <v/>
      </c>
      <c r="BT284" s="1452" t="str">
        <f t="shared" si="175"/>
        <v/>
      </c>
      <c r="BU284" s="1452" t="str">
        <f t="shared" si="176"/>
        <v/>
      </c>
      <c r="BV284" s="1452" t="str">
        <f t="shared" si="177"/>
        <v/>
      </c>
      <c r="BW284" s="1558">
        <f t="shared" ca="1" si="184"/>
        <v>0</v>
      </c>
    </row>
    <row r="285" spans="1:75" s="9" customFormat="1" ht="12.5">
      <c r="A285" s="1483" t="str">
        <f t="shared" si="178"/>
        <v>Public Health Wales Trust</v>
      </c>
      <c r="B285" s="1583"/>
      <c r="C285" s="1583"/>
      <c r="D285" s="1583"/>
      <c r="E285" s="1581"/>
      <c r="F285" s="1436"/>
      <c r="G285" s="1547">
        <f t="shared" si="179"/>
        <v>0</v>
      </c>
      <c r="H285" s="1484"/>
      <c r="I285" s="1547">
        <f t="shared" si="180"/>
        <v>0</v>
      </c>
      <c r="J285" s="1485"/>
      <c r="K285" s="1485"/>
      <c r="L285" s="1436"/>
      <c r="M285" s="1439"/>
      <c r="N285" s="1439"/>
      <c r="O285" s="1485"/>
      <c r="P285" s="1486"/>
      <c r="Q285" s="1486"/>
      <c r="R285" s="1487"/>
      <c r="S285" s="1444"/>
      <c r="T285" s="1444"/>
      <c r="U285" s="1444"/>
      <c r="V285" s="1488"/>
      <c r="W285" s="1488"/>
      <c r="X285" s="1488"/>
      <c r="Y285" s="1488"/>
      <c r="Z285" s="1488"/>
      <c r="AA285" s="1488"/>
      <c r="AB285" s="1488"/>
      <c r="AC285" s="1488"/>
      <c r="AD285" s="1488"/>
      <c r="AE285" s="1488"/>
      <c r="AF285" s="1488"/>
      <c r="AG285" s="1488"/>
      <c r="AH285" s="1451">
        <f t="shared" si="152"/>
        <v>0</v>
      </c>
      <c r="AI285" s="1488"/>
      <c r="AJ285" s="1488"/>
      <c r="AK285" s="1488"/>
      <c r="AL285" s="1488"/>
      <c r="AM285" s="1488"/>
      <c r="AN285" s="1488"/>
      <c r="AO285" s="1488"/>
      <c r="AP285" s="1488"/>
      <c r="AQ285" s="1488"/>
      <c r="AR285" s="1488"/>
      <c r="AS285" s="1488"/>
      <c r="AT285" s="1542"/>
      <c r="AU285" s="1599">
        <f t="shared" si="153"/>
        <v>0</v>
      </c>
      <c r="AV285" s="1544">
        <f t="shared" si="181"/>
        <v>0</v>
      </c>
      <c r="AW285" s="1452">
        <f t="shared" si="154"/>
        <v>0</v>
      </c>
      <c r="AX285" s="1452">
        <f t="shared" si="155"/>
        <v>0</v>
      </c>
      <c r="AY285" s="1452">
        <f t="shared" si="156"/>
        <v>0</v>
      </c>
      <c r="AZ285" s="1452">
        <f t="shared" si="157"/>
        <v>0</v>
      </c>
      <c r="BA285" s="1452">
        <f t="shared" si="158"/>
        <v>0</v>
      </c>
      <c r="BB285" s="1452">
        <f t="shared" si="159"/>
        <v>0</v>
      </c>
      <c r="BC285" s="1452">
        <f t="shared" si="160"/>
        <v>0</v>
      </c>
      <c r="BD285" s="1452">
        <f t="shared" si="161"/>
        <v>0</v>
      </c>
      <c r="BE285" s="1452">
        <f t="shared" si="162"/>
        <v>0</v>
      </c>
      <c r="BF285" s="1452">
        <f t="shared" si="163"/>
        <v>0</v>
      </c>
      <c r="BG285" s="1452">
        <f t="shared" si="164"/>
        <v>0</v>
      </c>
      <c r="BH285" s="1452">
        <f t="shared" si="165"/>
        <v>0</v>
      </c>
      <c r="BI285" s="1452">
        <f t="shared" si="182"/>
        <v>0</v>
      </c>
      <c r="BJ285" s="1452" t="str">
        <f t="shared" si="166"/>
        <v/>
      </c>
      <c r="BK285" s="1452" t="str">
        <f t="shared" si="167"/>
        <v/>
      </c>
      <c r="BL285" s="1452" t="str">
        <f t="shared" si="168"/>
        <v/>
      </c>
      <c r="BM285" s="1452" t="str">
        <f t="shared" si="169"/>
        <v/>
      </c>
      <c r="BN285" s="1452" t="str">
        <f t="shared" ca="1" si="170"/>
        <v/>
      </c>
      <c r="BO285" s="1452" t="str">
        <f t="shared" si="183"/>
        <v/>
      </c>
      <c r="BP285" s="1452" t="str">
        <f t="shared" si="171"/>
        <v/>
      </c>
      <c r="BQ285" s="1452" t="str">
        <f t="shared" si="172"/>
        <v/>
      </c>
      <c r="BR285" s="1452" t="str">
        <f t="shared" si="173"/>
        <v/>
      </c>
      <c r="BS285" s="1452" t="str">
        <f t="shared" si="174"/>
        <v/>
      </c>
      <c r="BT285" s="1452" t="str">
        <f t="shared" si="175"/>
        <v/>
      </c>
      <c r="BU285" s="1452" t="str">
        <f t="shared" si="176"/>
        <v/>
      </c>
      <c r="BV285" s="1452" t="str">
        <f t="shared" si="177"/>
        <v/>
      </c>
      <c r="BW285" s="1558">
        <f t="shared" ca="1" si="184"/>
        <v>0</v>
      </c>
    </row>
    <row r="286" spans="1:75" s="9" customFormat="1" ht="12.5">
      <c r="A286" s="1483" t="str">
        <f t="shared" si="178"/>
        <v>Public Health Wales Trust</v>
      </c>
      <c r="B286" s="1583"/>
      <c r="C286" s="1583"/>
      <c r="D286" s="1583"/>
      <c r="E286" s="1581"/>
      <c r="F286" s="1436"/>
      <c r="G286" s="1547">
        <f t="shared" si="179"/>
        <v>0</v>
      </c>
      <c r="H286" s="1484"/>
      <c r="I286" s="1547">
        <f t="shared" si="180"/>
        <v>0</v>
      </c>
      <c r="J286" s="1485"/>
      <c r="K286" s="1485"/>
      <c r="L286" s="1436"/>
      <c r="M286" s="1439"/>
      <c r="N286" s="1439"/>
      <c r="O286" s="1485"/>
      <c r="P286" s="1486"/>
      <c r="Q286" s="1486"/>
      <c r="R286" s="1487"/>
      <c r="S286" s="1444"/>
      <c r="T286" s="1444"/>
      <c r="U286" s="1444"/>
      <c r="V286" s="1488"/>
      <c r="W286" s="1488"/>
      <c r="X286" s="1488"/>
      <c r="Y286" s="1488"/>
      <c r="Z286" s="1488"/>
      <c r="AA286" s="1488"/>
      <c r="AB286" s="1488"/>
      <c r="AC286" s="1488"/>
      <c r="AD286" s="1488"/>
      <c r="AE286" s="1488"/>
      <c r="AF286" s="1488"/>
      <c r="AG286" s="1488"/>
      <c r="AH286" s="1451">
        <f t="shared" si="152"/>
        <v>0</v>
      </c>
      <c r="AI286" s="1488"/>
      <c r="AJ286" s="1488"/>
      <c r="AK286" s="1488"/>
      <c r="AL286" s="1488"/>
      <c r="AM286" s="1488"/>
      <c r="AN286" s="1488"/>
      <c r="AO286" s="1488"/>
      <c r="AP286" s="1488"/>
      <c r="AQ286" s="1488"/>
      <c r="AR286" s="1488"/>
      <c r="AS286" s="1488"/>
      <c r="AT286" s="1542"/>
      <c r="AU286" s="1599">
        <f t="shared" si="153"/>
        <v>0</v>
      </c>
      <c r="AV286" s="1544">
        <f t="shared" si="181"/>
        <v>0</v>
      </c>
      <c r="AW286" s="1452">
        <f t="shared" si="154"/>
        <v>0</v>
      </c>
      <c r="AX286" s="1452">
        <f t="shared" si="155"/>
        <v>0</v>
      </c>
      <c r="AY286" s="1452">
        <f t="shared" si="156"/>
        <v>0</v>
      </c>
      <c r="AZ286" s="1452">
        <f t="shared" si="157"/>
        <v>0</v>
      </c>
      <c r="BA286" s="1452">
        <f t="shared" si="158"/>
        <v>0</v>
      </c>
      <c r="BB286" s="1452">
        <f t="shared" si="159"/>
        <v>0</v>
      </c>
      <c r="BC286" s="1452">
        <f t="shared" si="160"/>
        <v>0</v>
      </c>
      <c r="BD286" s="1452">
        <f t="shared" si="161"/>
        <v>0</v>
      </c>
      <c r="BE286" s="1452">
        <f t="shared" si="162"/>
        <v>0</v>
      </c>
      <c r="BF286" s="1452">
        <f t="shared" si="163"/>
        <v>0</v>
      </c>
      <c r="BG286" s="1452">
        <f t="shared" si="164"/>
        <v>0</v>
      </c>
      <c r="BH286" s="1452">
        <f t="shared" si="165"/>
        <v>0</v>
      </c>
      <c r="BI286" s="1452">
        <f t="shared" si="182"/>
        <v>0</v>
      </c>
      <c r="BJ286" s="1452" t="str">
        <f t="shared" si="166"/>
        <v/>
      </c>
      <c r="BK286" s="1452" t="str">
        <f t="shared" si="167"/>
        <v/>
      </c>
      <c r="BL286" s="1452" t="str">
        <f t="shared" si="168"/>
        <v/>
      </c>
      <c r="BM286" s="1452" t="str">
        <f t="shared" si="169"/>
        <v/>
      </c>
      <c r="BN286" s="1452" t="str">
        <f t="shared" ca="1" si="170"/>
        <v/>
      </c>
      <c r="BO286" s="1452" t="str">
        <f t="shared" si="183"/>
        <v/>
      </c>
      <c r="BP286" s="1452" t="str">
        <f t="shared" si="171"/>
        <v/>
      </c>
      <c r="BQ286" s="1452" t="str">
        <f t="shared" si="172"/>
        <v/>
      </c>
      <c r="BR286" s="1452" t="str">
        <f t="shared" si="173"/>
        <v/>
      </c>
      <c r="BS286" s="1452" t="str">
        <f t="shared" si="174"/>
        <v/>
      </c>
      <c r="BT286" s="1452" t="str">
        <f t="shared" si="175"/>
        <v/>
      </c>
      <c r="BU286" s="1452" t="str">
        <f t="shared" si="176"/>
        <v/>
      </c>
      <c r="BV286" s="1452" t="str">
        <f t="shared" si="177"/>
        <v/>
      </c>
      <c r="BW286" s="1558">
        <f t="shared" ca="1" si="184"/>
        <v>0</v>
      </c>
    </row>
    <row r="287" spans="1:75" s="9" customFormat="1" ht="12.5">
      <c r="A287" s="1483" t="str">
        <f t="shared" si="178"/>
        <v>Public Health Wales Trust</v>
      </c>
      <c r="B287" s="1583"/>
      <c r="C287" s="1583"/>
      <c r="D287" s="1583"/>
      <c r="E287" s="1581"/>
      <c r="F287" s="1436"/>
      <c r="G287" s="1547">
        <f t="shared" si="179"/>
        <v>0</v>
      </c>
      <c r="H287" s="1484"/>
      <c r="I287" s="1547">
        <f t="shared" si="180"/>
        <v>0</v>
      </c>
      <c r="J287" s="1485"/>
      <c r="K287" s="1485"/>
      <c r="L287" s="1436"/>
      <c r="M287" s="1439"/>
      <c r="N287" s="1439"/>
      <c r="O287" s="1485"/>
      <c r="P287" s="1486"/>
      <c r="Q287" s="1486"/>
      <c r="R287" s="1487"/>
      <c r="S287" s="1444"/>
      <c r="T287" s="1444"/>
      <c r="U287" s="1444"/>
      <c r="V287" s="1488"/>
      <c r="W287" s="1488"/>
      <c r="X287" s="1488"/>
      <c r="Y287" s="1488"/>
      <c r="Z287" s="1488"/>
      <c r="AA287" s="1488"/>
      <c r="AB287" s="1488"/>
      <c r="AC287" s="1488"/>
      <c r="AD287" s="1488"/>
      <c r="AE287" s="1488"/>
      <c r="AF287" s="1488"/>
      <c r="AG287" s="1488"/>
      <c r="AH287" s="1451">
        <f t="shared" si="152"/>
        <v>0</v>
      </c>
      <c r="AI287" s="1488"/>
      <c r="AJ287" s="1488"/>
      <c r="AK287" s="1488"/>
      <c r="AL287" s="1488"/>
      <c r="AM287" s="1488"/>
      <c r="AN287" s="1488"/>
      <c r="AO287" s="1488"/>
      <c r="AP287" s="1488"/>
      <c r="AQ287" s="1488"/>
      <c r="AR287" s="1488"/>
      <c r="AS287" s="1488"/>
      <c r="AT287" s="1542"/>
      <c r="AU287" s="1599">
        <f t="shared" si="153"/>
        <v>0</v>
      </c>
      <c r="AV287" s="1544">
        <f t="shared" si="181"/>
        <v>0</v>
      </c>
      <c r="AW287" s="1452">
        <f t="shared" si="154"/>
        <v>0</v>
      </c>
      <c r="AX287" s="1452">
        <f t="shared" si="155"/>
        <v>0</v>
      </c>
      <c r="AY287" s="1452">
        <f t="shared" si="156"/>
        <v>0</v>
      </c>
      <c r="AZ287" s="1452">
        <f t="shared" si="157"/>
        <v>0</v>
      </c>
      <c r="BA287" s="1452">
        <f t="shared" si="158"/>
        <v>0</v>
      </c>
      <c r="BB287" s="1452">
        <f t="shared" si="159"/>
        <v>0</v>
      </c>
      <c r="BC287" s="1452">
        <f t="shared" si="160"/>
        <v>0</v>
      </c>
      <c r="BD287" s="1452">
        <f t="shared" si="161"/>
        <v>0</v>
      </c>
      <c r="BE287" s="1452">
        <f t="shared" si="162"/>
        <v>0</v>
      </c>
      <c r="BF287" s="1452">
        <f t="shared" si="163"/>
        <v>0</v>
      </c>
      <c r="BG287" s="1452">
        <f t="shared" si="164"/>
        <v>0</v>
      </c>
      <c r="BH287" s="1452">
        <f t="shared" si="165"/>
        <v>0</v>
      </c>
      <c r="BI287" s="1452">
        <f t="shared" si="182"/>
        <v>0</v>
      </c>
      <c r="BJ287" s="1452" t="str">
        <f t="shared" si="166"/>
        <v/>
      </c>
      <c r="BK287" s="1452" t="str">
        <f t="shared" si="167"/>
        <v/>
      </c>
      <c r="BL287" s="1452" t="str">
        <f t="shared" si="168"/>
        <v/>
      </c>
      <c r="BM287" s="1452" t="str">
        <f t="shared" si="169"/>
        <v/>
      </c>
      <c r="BN287" s="1452" t="str">
        <f t="shared" ca="1" si="170"/>
        <v/>
      </c>
      <c r="BO287" s="1452" t="str">
        <f t="shared" si="183"/>
        <v/>
      </c>
      <c r="BP287" s="1452" t="str">
        <f t="shared" si="171"/>
        <v/>
      </c>
      <c r="BQ287" s="1452" t="str">
        <f t="shared" si="172"/>
        <v/>
      </c>
      <c r="BR287" s="1452" t="str">
        <f t="shared" si="173"/>
        <v/>
      </c>
      <c r="BS287" s="1452" t="str">
        <f t="shared" si="174"/>
        <v/>
      </c>
      <c r="BT287" s="1452" t="str">
        <f t="shared" si="175"/>
        <v/>
      </c>
      <c r="BU287" s="1452" t="str">
        <f t="shared" si="176"/>
        <v/>
      </c>
      <c r="BV287" s="1452" t="str">
        <f t="shared" si="177"/>
        <v/>
      </c>
      <c r="BW287" s="1558">
        <f t="shared" ca="1" si="184"/>
        <v>0</v>
      </c>
    </row>
    <row r="288" spans="1:75" s="9" customFormat="1" ht="12.5">
      <c r="A288" s="1483" t="str">
        <f t="shared" si="178"/>
        <v>Public Health Wales Trust</v>
      </c>
      <c r="B288" s="1583"/>
      <c r="C288" s="1583"/>
      <c r="D288" s="1583"/>
      <c r="E288" s="1581"/>
      <c r="F288" s="1436"/>
      <c r="G288" s="1547">
        <f t="shared" si="179"/>
        <v>0</v>
      </c>
      <c r="H288" s="1484"/>
      <c r="I288" s="1547">
        <f t="shared" si="180"/>
        <v>0</v>
      </c>
      <c r="J288" s="1485"/>
      <c r="K288" s="1485"/>
      <c r="L288" s="1436"/>
      <c r="M288" s="1439"/>
      <c r="N288" s="1439"/>
      <c r="O288" s="1485"/>
      <c r="P288" s="1486"/>
      <c r="Q288" s="1486"/>
      <c r="R288" s="1487"/>
      <c r="S288" s="1444"/>
      <c r="T288" s="1444"/>
      <c r="U288" s="1444"/>
      <c r="V288" s="1488"/>
      <c r="W288" s="1488"/>
      <c r="X288" s="1488"/>
      <c r="Y288" s="1488"/>
      <c r="Z288" s="1488"/>
      <c r="AA288" s="1488"/>
      <c r="AB288" s="1488"/>
      <c r="AC288" s="1488"/>
      <c r="AD288" s="1488"/>
      <c r="AE288" s="1488"/>
      <c r="AF288" s="1488"/>
      <c r="AG288" s="1488"/>
      <c r="AH288" s="1451">
        <f t="shared" si="152"/>
        <v>0</v>
      </c>
      <c r="AI288" s="1488"/>
      <c r="AJ288" s="1488"/>
      <c r="AK288" s="1488"/>
      <c r="AL288" s="1488"/>
      <c r="AM288" s="1488"/>
      <c r="AN288" s="1488"/>
      <c r="AO288" s="1488"/>
      <c r="AP288" s="1488"/>
      <c r="AQ288" s="1488"/>
      <c r="AR288" s="1488"/>
      <c r="AS288" s="1488"/>
      <c r="AT288" s="1542"/>
      <c r="AU288" s="1599">
        <f t="shared" si="153"/>
        <v>0</v>
      </c>
      <c r="AV288" s="1544">
        <f t="shared" si="181"/>
        <v>0</v>
      </c>
      <c r="AW288" s="1452">
        <f t="shared" si="154"/>
        <v>0</v>
      </c>
      <c r="AX288" s="1452">
        <f t="shared" si="155"/>
        <v>0</v>
      </c>
      <c r="AY288" s="1452">
        <f t="shared" si="156"/>
        <v>0</v>
      </c>
      <c r="AZ288" s="1452">
        <f t="shared" si="157"/>
        <v>0</v>
      </c>
      <c r="BA288" s="1452">
        <f t="shared" si="158"/>
        <v>0</v>
      </c>
      <c r="BB288" s="1452">
        <f t="shared" si="159"/>
        <v>0</v>
      </c>
      <c r="BC288" s="1452">
        <f t="shared" si="160"/>
        <v>0</v>
      </c>
      <c r="BD288" s="1452">
        <f t="shared" si="161"/>
        <v>0</v>
      </c>
      <c r="BE288" s="1452">
        <f t="shared" si="162"/>
        <v>0</v>
      </c>
      <c r="BF288" s="1452">
        <f t="shared" si="163"/>
        <v>0</v>
      </c>
      <c r="BG288" s="1452">
        <f t="shared" si="164"/>
        <v>0</v>
      </c>
      <c r="BH288" s="1452">
        <f t="shared" si="165"/>
        <v>0</v>
      </c>
      <c r="BI288" s="1452">
        <f t="shared" si="182"/>
        <v>0</v>
      </c>
      <c r="BJ288" s="1452" t="str">
        <f t="shared" si="166"/>
        <v/>
      </c>
      <c r="BK288" s="1452" t="str">
        <f t="shared" si="167"/>
        <v/>
      </c>
      <c r="BL288" s="1452" t="str">
        <f t="shared" si="168"/>
        <v/>
      </c>
      <c r="BM288" s="1452" t="str">
        <f t="shared" si="169"/>
        <v/>
      </c>
      <c r="BN288" s="1452" t="str">
        <f t="shared" ca="1" si="170"/>
        <v/>
      </c>
      <c r="BO288" s="1452" t="str">
        <f t="shared" si="183"/>
        <v/>
      </c>
      <c r="BP288" s="1452" t="str">
        <f t="shared" si="171"/>
        <v/>
      </c>
      <c r="BQ288" s="1452" t="str">
        <f t="shared" si="172"/>
        <v/>
      </c>
      <c r="BR288" s="1452" t="str">
        <f t="shared" si="173"/>
        <v/>
      </c>
      <c r="BS288" s="1452" t="str">
        <f t="shared" si="174"/>
        <v/>
      </c>
      <c r="BT288" s="1452" t="str">
        <f t="shared" si="175"/>
        <v/>
      </c>
      <c r="BU288" s="1452" t="str">
        <f t="shared" si="176"/>
        <v/>
      </c>
      <c r="BV288" s="1452" t="str">
        <f t="shared" si="177"/>
        <v/>
      </c>
      <c r="BW288" s="1558">
        <f t="shared" ca="1" si="184"/>
        <v>0</v>
      </c>
    </row>
    <row r="289" spans="1:75" s="9" customFormat="1" ht="12.5">
      <c r="A289" s="1483" t="str">
        <f t="shared" si="178"/>
        <v>Public Health Wales Trust</v>
      </c>
      <c r="B289" s="1583"/>
      <c r="C289" s="1583"/>
      <c r="D289" s="1583"/>
      <c r="E289" s="1581"/>
      <c r="F289" s="1436"/>
      <c r="G289" s="1547">
        <f t="shared" si="179"/>
        <v>0</v>
      </c>
      <c r="H289" s="1484"/>
      <c r="I289" s="1547">
        <f t="shared" si="180"/>
        <v>0</v>
      </c>
      <c r="J289" s="1485"/>
      <c r="K289" s="1485"/>
      <c r="L289" s="1436"/>
      <c r="M289" s="1439"/>
      <c r="N289" s="1439"/>
      <c r="O289" s="1485"/>
      <c r="P289" s="1486"/>
      <c r="Q289" s="1486"/>
      <c r="R289" s="1487"/>
      <c r="S289" s="1444"/>
      <c r="T289" s="1444"/>
      <c r="U289" s="1444"/>
      <c r="V289" s="1488"/>
      <c r="W289" s="1488"/>
      <c r="X289" s="1488"/>
      <c r="Y289" s="1488"/>
      <c r="Z289" s="1488"/>
      <c r="AA289" s="1488"/>
      <c r="AB289" s="1488"/>
      <c r="AC289" s="1488"/>
      <c r="AD289" s="1488"/>
      <c r="AE289" s="1488"/>
      <c r="AF289" s="1488"/>
      <c r="AG289" s="1488"/>
      <c r="AH289" s="1451">
        <f t="shared" si="152"/>
        <v>0</v>
      </c>
      <c r="AI289" s="1488"/>
      <c r="AJ289" s="1488"/>
      <c r="AK289" s="1488"/>
      <c r="AL289" s="1488"/>
      <c r="AM289" s="1488"/>
      <c r="AN289" s="1488"/>
      <c r="AO289" s="1488"/>
      <c r="AP289" s="1488"/>
      <c r="AQ289" s="1488"/>
      <c r="AR289" s="1488"/>
      <c r="AS289" s="1488"/>
      <c r="AT289" s="1542"/>
      <c r="AU289" s="1599">
        <f t="shared" si="153"/>
        <v>0</v>
      </c>
      <c r="AV289" s="1544">
        <f t="shared" si="181"/>
        <v>0</v>
      </c>
      <c r="AW289" s="1452">
        <f t="shared" si="154"/>
        <v>0</v>
      </c>
      <c r="AX289" s="1452">
        <f t="shared" si="155"/>
        <v>0</v>
      </c>
      <c r="AY289" s="1452">
        <f t="shared" si="156"/>
        <v>0</v>
      </c>
      <c r="AZ289" s="1452">
        <f t="shared" si="157"/>
        <v>0</v>
      </c>
      <c r="BA289" s="1452">
        <f t="shared" si="158"/>
        <v>0</v>
      </c>
      <c r="BB289" s="1452">
        <f t="shared" si="159"/>
        <v>0</v>
      </c>
      <c r="BC289" s="1452">
        <f t="shared" si="160"/>
        <v>0</v>
      </c>
      <c r="BD289" s="1452">
        <f t="shared" si="161"/>
        <v>0</v>
      </c>
      <c r="BE289" s="1452">
        <f t="shared" si="162"/>
        <v>0</v>
      </c>
      <c r="BF289" s="1452">
        <f t="shared" si="163"/>
        <v>0</v>
      </c>
      <c r="BG289" s="1452">
        <f t="shared" si="164"/>
        <v>0</v>
      </c>
      <c r="BH289" s="1452">
        <f t="shared" si="165"/>
        <v>0</v>
      </c>
      <c r="BI289" s="1452">
        <f t="shared" si="182"/>
        <v>0</v>
      </c>
      <c r="BJ289" s="1452" t="str">
        <f t="shared" si="166"/>
        <v/>
      </c>
      <c r="BK289" s="1452" t="str">
        <f t="shared" si="167"/>
        <v/>
      </c>
      <c r="BL289" s="1452" t="str">
        <f t="shared" si="168"/>
        <v/>
      </c>
      <c r="BM289" s="1452" t="str">
        <f t="shared" si="169"/>
        <v/>
      </c>
      <c r="BN289" s="1452" t="str">
        <f t="shared" ca="1" si="170"/>
        <v/>
      </c>
      <c r="BO289" s="1452" t="str">
        <f t="shared" si="183"/>
        <v/>
      </c>
      <c r="BP289" s="1452" t="str">
        <f t="shared" si="171"/>
        <v/>
      </c>
      <c r="BQ289" s="1452" t="str">
        <f t="shared" si="172"/>
        <v/>
      </c>
      <c r="BR289" s="1452" t="str">
        <f t="shared" si="173"/>
        <v/>
      </c>
      <c r="BS289" s="1452" t="str">
        <f t="shared" si="174"/>
        <v/>
      </c>
      <c r="BT289" s="1452" t="str">
        <f t="shared" si="175"/>
        <v/>
      </c>
      <c r="BU289" s="1452" t="str">
        <f t="shared" si="176"/>
        <v/>
      </c>
      <c r="BV289" s="1452" t="str">
        <f t="shared" si="177"/>
        <v/>
      </c>
      <c r="BW289" s="1558">
        <f t="shared" ca="1" si="184"/>
        <v>0</v>
      </c>
    </row>
    <row r="290" spans="1:75" s="9" customFormat="1" ht="12.5">
      <c r="A290" s="1483" t="str">
        <f t="shared" si="178"/>
        <v>Public Health Wales Trust</v>
      </c>
      <c r="B290" s="1583"/>
      <c r="C290" s="1583"/>
      <c r="D290" s="1583"/>
      <c r="E290" s="1581"/>
      <c r="F290" s="1436"/>
      <c r="G290" s="1547">
        <f t="shared" si="179"/>
        <v>0</v>
      </c>
      <c r="H290" s="1484"/>
      <c r="I290" s="1547">
        <f t="shared" si="180"/>
        <v>0</v>
      </c>
      <c r="J290" s="1485"/>
      <c r="K290" s="1485"/>
      <c r="L290" s="1436"/>
      <c r="M290" s="1439"/>
      <c r="N290" s="1439"/>
      <c r="O290" s="1485"/>
      <c r="P290" s="1486"/>
      <c r="Q290" s="1486"/>
      <c r="R290" s="1487"/>
      <c r="S290" s="1444"/>
      <c r="T290" s="1444"/>
      <c r="U290" s="1444"/>
      <c r="V290" s="1488"/>
      <c r="W290" s="1488"/>
      <c r="X290" s="1488"/>
      <c r="Y290" s="1488"/>
      <c r="Z290" s="1488"/>
      <c r="AA290" s="1488"/>
      <c r="AB290" s="1488"/>
      <c r="AC290" s="1488"/>
      <c r="AD290" s="1488"/>
      <c r="AE290" s="1488"/>
      <c r="AF290" s="1488"/>
      <c r="AG290" s="1488"/>
      <c r="AH290" s="1451">
        <f t="shared" si="152"/>
        <v>0</v>
      </c>
      <c r="AI290" s="1488"/>
      <c r="AJ290" s="1488"/>
      <c r="AK290" s="1488"/>
      <c r="AL290" s="1488"/>
      <c r="AM290" s="1488"/>
      <c r="AN290" s="1488"/>
      <c r="AO290" s="1488"/>
      <c r="AP290" s="1488"/>
      <c r="AQ290" s="1488"/>
      <c r="AR290" s="1488"/>
      <c r="AS290" s="1488"/>
      <c r="AT290" s="1542"/>
      <c r="AU290" s="1599">
        <f t="shared" si="153"/>
        <v>0</v>
      </c>
      <c r="AV290" s="1544">
        <f t="shared" si="181"/>
        <v>0</v>
      </c>
      <c r="AW290" s="1452">
        <f t="shared" si="154"/>
        <v>0</v>
      </c>
      <c r="AX290" s="1452">
        <f t="shared" si="155"/>
        <v>0</v>
      </c>
      <c r="AY290" s="1452">
        <f t="shared" si="156"/>
        <v>0</v>
      </c>
      <c r="AZ290" s="1452">
        <f t="shared" si="157"/>
        <v>0</v>
      </c>
      <c r="BA290" s="1452">
        <f t="shared" si="158"/>
        <v>0</v>
      </c>
      <c r="BB290" s="1452">
        <f t="shared" si="159"/>
        <v>0</v>
      </c>
      <c r="BC290" s="1452">
        <f t="shared" si="160"/>
        <v>0</v>
      </c>
      <c r="BD290" s="1452">
        <f t="shared" si="161"/>
        <v>0</v>
      </c>
      <c r="BE290" s="1452">
        <f t="shared" si="162"/>
        <v>0</v>
      </c>
      <c r="BF290" s="1452">
        <f t="shared" si="163"/>
        <v>0</v>
      </c>
      <c r="BG290" s="1452">
        <f t="shared" si="164"/>
        <v>0</v>
      </c>
      <c r="BH290" s="1452">
        <f t="shared" si="165"/>
        <v>0</v>
      </c>
      <c r="BI290" s="1452">
        <f t="shared" si="182"/>
        <v>0</v>
      </c>
      <c r="BJ290" s="1452" t="str">
        <f t="shared" si="166"/>
        <v/>
      </c>
      <c r="BK290" s="1452" t="str">
        <f t="shared" si="167"/>
        <v/>
      </c>
      <c r="BL290" s="1452" t="str">
        <f t="shared" si="168"/>
        <v/>
      </c>
      <c r="BM290" s="1452" t="str">
        <f t="shared" si="169"/>
        <v/>
      </c>
      <c r="BN290" s="1452" t="str">
        <f t="shared" ca="1" si="170"/>
        <v/>
      </c>
      <c r="BO290" s="1452" t="str">
        <f t="shared" si="183"/>
        <v/>
      </c>
      <c r="BP290" s="1452" t="str">
        <f t="shared" si="171"/>
        <v/>
      </c>
      <c r="BQ290" s="1452" t="str">
        <f t="shared" si="172"/>
        <v/>
      </c>
      <c r="BR290" s="1452" t="str">
        <f t="shared" si="173"/>
        <v/>
      </c>
      <c r="BS290" s="1452" t="str">
        <f t="shared" si="174"/>
        <v/>
      </c>
      <c r="BT290" s="1452" t="str">
        <f t="shared" si="175"/>
        <v/>
      </c>
      <c r="BU290" s="1452" t="str">
        <f t="shared" si="176"/>
        <v/>
      </c>
      <c r="BV290" s="1452" t="str">
        <f t="shared" si="177"/>
        <v/>
      </c>
      <c r="BW290" s="1558">
        <f t="shared" ca="1" si="184"/>
        <v>0</v>
      </c>
    </row>
    <row r="291" spans="1:75" s="9" customFormat="1" ht="12.5">
      <c r="A291" s="1483" t="str">
        <f t="shared" si="178"/>
        <v>Public Health Wales Trust</v>
      </c>
      <c r="B291" s="1583"/>
      <c r="C291" s="1583"/>
      <c r="D291" s="1583"/>
      <c r="E291" s="1581"/>
      <c r="F291" s="1436"/>
      <c r="G291" s="1547">
        <f t="shared" si="179"/>
        <v>0</v>
      </c>
      <c r="H291" s="1484"/>
      <c r="I291" s="1547">
        <f t="shared" si="180"/>
        <v>0</v>
      </c>
      <c r="J291" s="1485"/>
      <c r="K291" s="1485"/>
      <c r="L291" s="1436"/>
      <c r="M291" s="1439"/>
      <c r="N291" s="1439"/>
      <c r="O291" s="1485"/>
      <c r="P291" s="1486"/>
      <c r="Q291" s="1486"/>
      <c r="R291" s="1487"/>
      <c r="S291" s="1444"/>
      <c r="T291" s="1444"/>
      <c r="U291" s="1444"/>
      <c r="V291" s="1488"/>
      <c r="W291" s="1488"/>
      <c r="X291" s="1488"/>
      <c r="Y291" s="1488"/>
      <c r="Z291" s="1488"/>
      <c r="AA291" s="1488"/>
      <c r="AB291" s="1488"/>
      <c r="AC291" s="1488"/>
      <c r="AD291" s="1488"/>
      <c r="AE291" s="1488"/>
      <c r="AF291" s="1488"/>
      <c r="AG291" s="1488"/>
      <c r="AH291" s="1451">
        <f t="shared" si="152"/>
        <v>0</v>
      </c>
      <c r="AI291" s="1488"/>
      <c r="AJ291" s="1488"/>
      <c r="AK291" s="1488"/>
      <c r="AL291" s="1488"/>
      <c r="AM291" s="1488"/>
      <c r="AN291" s="1488"/>
      <c r="AO291" s="1488"/>
      <c r="AP291" s="1488"/>
      <c r="AQ291" s="1488"/>
      <c r="AR291" s="1488"/>
      <c r="AS291" s="1488"/>
      <c r="AT291" s="1542"/>
      <c r="AU291" s="1599">
        <f t="shared" si="153"/>
        <v>0</v>
      </c>
      <c r="AV291" s="1544">
        <f t="shared" si="181"/>
        <v>0</v>
      </c>
      <c r="AW291" s="1452">
        <f t="shared" si="154"/>
        <v>0</v>
      </c>
      <c r="AX291" s="1452">
        <f t="shared" si="155"/>
        <v>0</v>
      </c>
      <c r="AY291" s="1452">
        <f t="shared" si="156"/>
        <v>0</v>
      </c>
      <c r="AZ291" s="1452">
        <f t="shared" si="157"/>
        <v>0</v>
      </c>
      <c r="BA291" s="1452">
        <f t="shared" si="158"/>
        <v>0</v>
      </c>
      <c r="BB291" s="1452">
        <f t="shared" si="159"/>
        <v>0</v>
      </c>
      <c r="BC291" s="1452">
        <f t="shared" si="160"/>
        <v>0</v>
      </c>
      <c r="BD291" s="1452">
        <f t="shared" si="161"/>
        <v>0</v>
      </c>
      <c r="BE291" s="1452">
        <f t="shared" si="162"/>
        <v>0</v>
      </c>
      <c r="BF291" s="1452">
        <f t="shared" si="163"/>
        <v>0</v>
      </c>
      <c r="BG291" s="1452">
        <f t="shared" si="164"/>
        <v>0</v>
      </c>
      <c r="BH291" s="1452">
        <f t="shared" si="165"/>
        <v>0</v>
      </c>
      <c r="BI291" s="1452">
        <f t="shared" si="182"/>
        <v>0</v>
      </c>
      <c r="BJ291" s="1452" t="str">
        <f t="shared" si="166"/>
        <v/>
      </c>
      <c r="BK291" s="1452" t="str">
        <f t="shared" si="167"/>
        <v/>
      </c>
      <c r="BL291" s="1452" t="str">
        <f t="shared" si="168"/>
        <v/>
      </c>
      <c r="BM291" s="1452" t="str">
        <f t="shared" si="169"/>
        <v/>
      </c>
      <c r="BN291" s="1452" t="str">
        <f t="shared" ca="1" si="170"/>
        <v/>
      </c>
      <c r="BO291" s="1452" t="str">
        <f t="shared" si="183"/>
        <v/>
      </c>
      <c r="BP291" s="1452" t="str">
        <f t="shared" si="171"/>
        <v/>
      </c>
      <c r="BQ291" s="1452" t="str">
        <f t="shared" si="172"/>
        <v/>
      </c>
      <c r="BR291" s="1452" t="str">
        <f t="shared" si="173"/>
        <v/>
      </c>
      <c r="BS291" s="1452" t="str">
        <f t="shared" si="174"/>
        <v/>
      </c>
      <c r="BT291" s="1452" t="str">
        <f t="shared" si="175"/>
        <v/>
      </c>
      <c r="BU291" s="1452" t="str">
        <f t="shared" si="176"/>
        <v/>
      </c>
      <c r="BV291" s="1452" t="str">
        <f t="shared" si="177"/>
        <v/>
      </c>
      <c r="BW291" s="1558">
        <f t="shared" ca="1" si="184"/>
        <v>0</v>
      </c>
    </row>
    <row r="292" spans="1:75" s="9" customFormat="1" ht="12.5">
      <c r="A292" s="1483" t="str">
        <f t="shared" si="178"/>
        <v>Public Health Wales Trust</v>
      </c>
      <c r="B292" s="1583"/>
      <c r="C292" s="1583"/>
      <c r="D292" s="1583"/>
      <c r="E292" s="1581"/>
      <c r="F292" s="1436"/>
      <c r="G292" s="1547">
        <f t="shared" si="179"/>
        <v>0</v>
      </c>
      <c r="H292" s="1484"/>
      <c r="I292" s="1547">
        <f t="shared" si="180"/>
        <v>0</v>
      </c>
      <c r="J292" s="1485"/>
      <c r="K292" s="1485"/>
      <c r="L292" s="1436"/>
      <c r="M292" s="1439"/>
      <c r="N292" s="1439"/>
      <c r="O292" s="1485"/>
      <c r="P292" s="1486"/>
      <c r="Q292" s="1486"/>
      <c r="R292" s="1487"/>
      <c r="S292" s="1444"/>
      <c r="T292" s="1444"/>
      <c r="U292" s="1444"/>
      <c r="V292" s="1488"/>
      <c r="W292" s="1488"/>
      <c r="X292" s="1488"/>
      <c r="Y292" s="1488"/>
      <c r="Z292" s="1488"/>
      <c r="AA292" s="1488"/>
      <c r="AB292" s="1488"/>
      <c r="AC292" s="1488"/>
      <c r="AD292" s="1488"/>
      <c r="AE292" s="1488"/>
      <c r="AF292" s="1488"/>
      <c r="AG292" s="1488"/>
      <c r="AH292" s="1451">
        <f t="shared" si="152"/>
        <v>0</v>
      </c>
      <c r="AI292" s="1488"/>
      <c r="AJ292" s="1488"/>
      <c r="AK292" s="1488"/>
      <c r="AL292" s="1488"/>
      <c r="AM292" s="1488"/>
      <c r="AN292" s="1488"/>
      <c r="AO292" s="1488"/>
      <c r="AP292" s="1488"/>
      <c r="AQ292" s="1488"/>
      <c r="AR292" s="1488"/>
      <c r="AS292" s="1488"/>
      <c r="AT292" s="1542"/>
      <c r="AU292" s="1599">
        <f t="shared" si="153"/>
        <v>0</v>
      </c>
      <c r="AV292" s="1544">
        <f t="shared" si="181"/>
        <v>0</v>
      </c>
      <c r="AW292" s="1452">
        <f t="shared" si="154"/>
        <v>0</v>
      </c>
      <c r="AX292" s="1452">
        <f t="shared" si="155"/>
        <v>0</v>
      </c>
      <c r="AY292" s="1452">
        <f t="shared" si="156"/>
        <v>0</v>
      </c>
      <c r="AZ292" s="1452">
        <f t="shared" si="157"/>
        <v>0</v>
      </c>
      <c r="BA292" s="1452">
        <f t="shared" si="158"/>
        <v>0</v>
      </c>
      <c r="BB292" s="1452">
        <f t="shared" si="159"/>
        <v>0</v>
      </c>
      <c r="BC292" s="1452">
        <f t="shared" si="160"/>
        <v>0</v>
      </c>
      <c r="BD292" s="1452">
        <f t="shared" si="161"/>
        <v>0</v>
      </c>
      <c r="BE292" s="1452">
        <f t="shared" si="162"/>
        <v>0</v>
      </c>
      <c r="BF292" s="1452">
        <f t="shared" si="163"/>
        <v>0</v>
      </c>
      <c r="BG292" s="1452">
        <f t="shared" si="164"/>
        <v>0</v>
      </c>
      <c r="BH292" s="1452">
        <f t="shared" si="165"/>
        <v>0</v>
      </c>
      <c r="BI292" s="1452">
        <f t="shared" si="182"/>
        <v>0</v>
      </c>
      <c r="BJ292" s="1452" t="str">
        <f t="shared" si="166"/>
        <v/>
      </c>
      <c r="BK292" s="1452" t="str">
        <f t="shared" si="167"/>
        <v/>
      </c>
      <c r="BL292" s="1452" t="str">
        <f t="shared" si="168"/>
        <v/>
      </c>
      <c r="BM292" s="1452" t="str">
        <f t="shared" si="169"/>
        <v/>
      </c>
      <c r="BN292" s="1452" t="str">
        <f t="shared" ca="1" si="170"/>
        <v/>
      </c>
      <c r="BO292" s="1452" t="str">
        <f t="shared" si="183"/>
        <v/>
      </c>
      <c r="BP292" s="1452" t="str">
        <f t="shared" si="171"/>
        <v/>
      </c>
      <c r="BQ292" s="1452" t="str">
        <f t="shared" si="172"/>
        <v/>
      </c>
      <c r="BR292" s="1452" t="str">
        <f t="shared" si="173"/>
        <v/>
      </c>
      <c r="BS292" s="1452" t="str">
        <f t="shared" si="174"/>
        <v/>
      </c>
      <c r="BT292" s="1452" t="str">
        <f t="shared" si="175"/>
        <v/>
      </c>
      <c r="BU292" s="1452" t="str">
        <f t="shared" si="176"/>
        <v/>
      </c>
      <c r="BV292" s="1452" t="str">
        <f t="shared" si="177"/>
        <v/>
      </c>
      <c r="BW292" s="1558">
        <f t="shared" ca="1" si="184"/>
        <v>0</v>
      </c>
    </row>
    <row r="293" spans="1:75" s="9" customFormat="1" ht="12.5">
      <c r="A293" s="1483" t="str">
        <f t="shared" si="178"/>
        <v>Public Health Wales Trust</v>
      </c>
      <c r="B293" s="1583"/>
      <c r="C293" s="1583"/>
      <c r="D293" s="1583"/>
      <c r="E293" s="1581"/>
      <c r="F293" s="1436"/>
      <c r="G293" s="1547">
        <f t="shared" si="179"/>
        <v>0</v>
      </c>
      <c r="H293" s="1484"/>
      <c r="I293" s="1547">
        <f t="shared" si="180"/>
        <v>0</v>
      </c>
      <c r="J293" s="1485"/>
      <c r="K293" s="1485"/>
      <c r="L293" s="1436"/>
      <c r="M293" s="1439"/>
      <c r="N293" s="1439"/>
      <c r="O293" s="1485"/>
      <c r="P293" s="1486"/>
      <c r="Q293" s="1486"/>
      <c r="R293" s="1487"/>
      <c r="S293" s="1444"/>
      <c r="T293" s="1444"/>
      <c r="U293" s="1444"/>
      <c r="V293" s="1488"/>
      <c r="W293" s="1488"/>
      <c r="X293" s="1488"/>
      <c r="Y293" s="1488"/>
      <c r="Z293" s="1488"/>
      <c r="AA293" s="1488"/>
      <c r="AB293" s="1488"/>
      <c r="AC293" s="1488"/>
      <c r="AD293" s="1488"/>
      <c r="AE293" s="1488"/>
      <c r="AF293" s="1488"/>
      <c r="AG293" s="1488"/>
      <c r="AH293" s="1451">
        <f t="shared" si="152"/>
        <v>0</v>
      </c>
      <c r="AI293" s="1488"/>
      <c r="AJ293" s="1488"/>
      <c r="AK293" s="1488"/>
      <c r="AL293" s="1488"/>
      <c r="AM293" s="1488"/>
      <c r="AN293" s="1488"/>
      <c r="AO293" s="1488"/>
      <c r="AP293" s="1488"/>
      <c r="AQ293" s="1488"/>
      <c r="AR293" s="1488"/>
      <c r="AS293" s="1488"/>
      <c r="AT293" s="1542"/>
      <c r="AU293" s="1599">
        <f t="shared" si="153"/>
        <v>0</v>
      </c>
      <c r="AV293" s="1544">
        <f t="shared" si="181"/>
        <v>0</v>
      </c>
      <c r="AW293" s="1452">
        <f t="shared" si="154"/>
        <v>0</v>
      </c>
      <c r="AX293" s="1452">
        <f t="shared" si="155"/>
        <v>0</v>
      </c>
      <c r="AY293" s="1452">
        <f t="shared" si="156"/>
        <v>0</v>
      </c>
      <c r="AZ293" s="1452">
        <f t="shared" si="157"/>
        <v>0</v>
      </c>
      <c r="BA293" s="1452">
        <f t="shared" si="158"/>
        <v>0</v>
      </c>
      <c r="BB293" s="1452">
        <f t="shared" si="159"/>
        <v>0</v>
      </c>
      <c r="BC293" s="1452">
        <f t="shared" si="160"/>
        <v>0</v>
      </c>
      <c r="BD293" s="1452">
        <f t="shared" si="161"/>
        <v>0</v>
      </c>
      <c r="BE293" s="1452">
        <f t="shared" si="162"/>
        <v>0</v>
      </c>
      <c r="BF293" s="1452">
        <f t="shared" si="163"/>
        <v>0</v>
      </c>
      <c r="BG293" s="1452">
        <f t="shared" si="164"/>
        <v>0</v>
      </c>
      <c r="BH293" s="1452">
        <f t="shared" si="165"/>
        <v>0</v>
      </c>
      <c r="BI293" s="1452">
        <f t="shared" si="182"/>
        <v>0</v>
      </c>
      <c r="BJ293" s="1452" t="str">
        <f t="shared" si="166"/>
        <v/>
      </c>
      <c r="BK293" s="1452" t="str">
        <f t="shared" si="167"/>
        <v/>
      </c>
      <c r="BL293" s="1452" t="str">
        <f t="shared" si="168"/>
        <v/>
      </c>
      <c r="BM293" s="1452" t="str">
        <f t="shared" si="169"/>
        <v/>
      </c>
      <c r="BN293" s="1452" t="str">
        <f t="shared" ca="1" si="170"/>
        <v/>
      </c>
      <c r="BO293" s="1452" t="str">
        <f t="shared" si="183"/>
        <v/>
      </c>
      <c r="BP293" s="1452" t="str">
        <f t="shared" si="171"/>
        <v/>
      </c>
      <c r="BQ293" s="1452" t="str">
        <f t="shared" si="172"/>
        <v/>
      </c>
      <c r="BR293" s="1452" t="str">
        <f t="shared" si="173"/>
        <v/>
      </c>
      <c r="BS293" s="1452" t="str">
        <f t="shared" si="174"/>
        <v/>
      </c>
      <c r="BT293" s="1452" t="str">
        <f t="shared" si="175"/>
        <v/>
      </c>
      <c r="BU293" s="1452" t="str">
        <f t="shared" si="176"/>
        <v/>
      </c>
      <c r="BV293" s="1452" t="str">
        <f t="shared" si="177"/>
        <v/>
      </c>
      <c r="BW293" s="1558">
        <f t="shared" ca="1" si="184"/>
        <v>0</v>
      </c>
    </row>
    <row r="294" spans="1:75" s="9" customFormat="1" ht="12.5">
      <c r="A294" s="1483" t="str">
        <f t="shared" si="178"/>
        <v>Public Health Wales Trust</v>
      </c>
      <c r="B294" s="1583"/>
      <c r="C294" s="1583"/>
      <c r="D294" s="1583"/>
      <c r="E294" s="1581"/>
      <c r="F294" s="1436"/>
      <c r="G294" s="1547">
        <f t="shared" si="179"/>
        <v>0</v>
      </c>
      <c r="H294" s="1484"/>
      <c r="I294" s="1547">
        <f t="shared" si="180"/>
        <v>0</v>
      </c>
      <c r="J294" s="1485"/>
      <c r="K294" s="1485"/>
      <c r="L294" s="1436"/>
      <c r="M294" s="1439"/>
      <c r="N294" s="1439"/>
      <c r="O294" s="1485"/>
      <c r="P294" s="1486"/>
      <c r="Q294" s="1486"/>
      <c r="R294" s="1487"/>
      <c r="S294" s="1444"/>
      <c r="T294" s="1444"/>
      <c r="U294" s="1444"/>
      <c r="V294" s="1488"/>
      <c r="W294" s="1488"/>
      <c r="X294" s="1488"/>
      <c r="Y294" s="1488"/>
      <c r="Z294" s="1488"/>
      <c r="AA294" s="1488"/>
      <c r="AB294" s="1488"/>
      <c r="AC294" s="1488"/>
      <c r="AD294" s="1488"/>
      <c r="AE294" s="1488"/>
      <c r="AF294" s="1488"/>
      <c r="AG294" s="1488"/>
      <c r="AH294" s="1451">
        <f t="shared" si="152"/>
        <v>0</v>
      </c>
      <c r="AI294" s="1488"/>
      <c r="AJ294" s="1488"/>
      <c r="AK294" s="1488"/>
      <c r="AL294" s="1488"/>
      <c r="AM294" s="1488"/>
      <c r="AN294" s="1488"/>
      <c r="AO294" s="1488"/>
      <c r="AP294" s="1488"/>
      <c r="AQ294" s="1488"/>
      <c r="AR294" s="1488"/>
      <c r="AS294" s="1488"/>
      <c r="AT294" s="1542"/>
      <c r="AU294" s="1599">
        <f t="shared" si="153"/>
        <v>0</v>
      </c>
      <c r="AV294" s="1544">
        <f t="shared" si="181"/>
        <v>0</v>
      </c>
      <c r="AW294" s="1452">
        <f t="shared" si="154"/>
        <v>0</v>
      </c>
      <c r="AX294" s="1452">
        <f t="shared" si="155"/>
        <v>0</v>
      </c>
      <c r="AY294" s="1452">
        <f t="shared" si="156"/>
        <v>0</v>
      </c>
      <c r="AZ294" s="1452">
        <f t="shared" si="157"/>
        <v>0</v>
      </c>
      <c r="BA294" s="1452">
        <f t="shared" si="158"/>
        <v>0</v>
      </c>
      <c r="BB294" s="1452">
        <f t="shared" si="159"/>
        <v>0</v>
      </c>
      <c r="BC294" s="1452">
        <f t="shared" si="160"/>
        <v>0</v>
      </c>
      <c r="BD294" s="1452">
        <f t="shared" si="161"/>
        <v>0</v>
      </c>
      <c r="BE294" s="1452">
        <f t="shared" si="162"/>
        <v>0</v>
      </c>
      <c r="BF294" s="1452">
        <f t="shared" si="163"/>
        <v>0</v>
      </c>
      <c r="BG294" s="1452">
        <f t="shared" si="164"/>
        <v>0</v>
      </c>
      <c r="BH294" s="1452">
        <f t="shared" si="165"/>
        <v>0</v>
      </c>
      <c r="BI294" s="1452">
        <f t="shared" si="182"/>
        <v>0</v>
      </c>
      <c r="BJ294" s="1452" t="str">
        <f t="shared" si="166"/>
        <v/>
      </c>
      <c r="BK294" s="1452" t="str">
        <f t="shared" si="167"/>
        <v/>
      </c>
      <c r="BL294" s="1452" t="str">
        <f t="shared" si="168"/>
        <v/>
      </c>
      <c r="BM294" s="1452" t="str">
        <f t="shared" si="169"/>
        <v/>
      </c>
      <c r="BN294" s="1452" t="str">
        <f t="shared" ca="1" si="170"/>
        <v/>
      </c>
      <c r="BO294" s="1452" t="str">
        <f t="shared" si="183"/>
        <v/>
      </c>
      <c r="BP294" s="1452" t="str">
        <f t="shared" si="171"/>
        <v/>
      </c>
      <c r="BQ294" s="1452" t="str">
        <f t="shared" si="172"/>
        <v/>
      </c>
      <c r="BR294" s="1452" t="str">
        <f t="shared" si="173"/>
        <v/>
      </c>
      <c r="BS294" s="1452" t="str">
        <f t="shared" si="174"/>
        <v/>
      </c>
      <c r="BT294" s="1452" t="str">
        <f t="shared" si="175"/>
        <v/>
      </c>
      <c r="BU294" s="1452" t="str">
        <f t="shared" si="176"/>
        <v/>
      </c>
      <c r="BV294" s="1452" t="str">
        <f t="shared" si="177"/>
        <v/>
      </c>
      <c r="BW294" s="1558">
        <f t="shared" ca="1" si="184"/>
        <v>0</v>
      </c>
    </row>
    <row r="295" spans="1:75" s="9" customFormat="1" ht="12.5">
      <c r="A295" s="1483" t="str">
        <f t="shared" si="178"/>
        <v>Public Health Wales Trust</v>
      </c>
      <c r="B295" s="1583"/>
      <c r="C295" s="1583"/>
      <c r="D295" s="1583"/>
      <c r="E295" s="1581"/>
      <c r="F295" s="1436"/>
      <c r="G295" s="1547">
        <f t="shared" si="179"/>
        <v>0</v>
      </c>
      <c r="H295" s="1484"/>
      <c r="I295" s="1547">
        <f t="shared" si="180"/>
        <v>0</v>
      </c>
      <c r="J295" s="1485"/>
      <c r="K295" s="1485"/>
      <c r="L295" s="1436"/>
      <c r="M295" s="1439"/>
      <c r="N295" s="1439"/>
      <c r="O295" s="1485"/>
      <c r="P295" s="1486"/>
      <c r="Q295" s="1486"/>
      <c r="R295" s="1487"/>
      <c r="S295" s="1444"/>
      <c r="T295" s="1444"/>
      <c r="U295" s="1444"/>
      <c r="V295" s="1488"/>
      <c r="W295" s="1488"/>
      <c r="X295" s="1488"/>
      <c r="Y295" s="1488"/>
      <c r="Z295" s="1488"/>
      <c r="AA295" s="1488"/>
      <c r="AB295" s="1488"/>
      <c r="AC295" s="1488"/>
      <c r="AD295" s="1488"/>
      <c r="AE295" s="1488"/>
      <c r="AF295" s="1488"/>
      <c r="AG295" s="1488"/>
      <c r="AH295" s="1451">
        <f t="shared" si="152"/>
        <v>0</v>
      </c>
      <c r="AI295" s="1488"/>
      <c r="AJ295" s="1488"/>
      <c r="AK295" s="1488"/>
      <c r="AL295" s="1488"/>
      <c r="AM295" s="1488"/>
      <c r="AN295" s="1488"/>
      <c r="AO295" s="1488"/>
      <c r="AP295" s="1488"/>
      <c r="AQ295" s="1488"/>
      <c r="AR295" s="1488"/>
      <c r="AS295" s="1488"/>
      <c r="AT295" s="1542"/>
      <c r="AU295" s="1599">
        <f t="shared" si="153"/>
        <v>0</v>
      </c>
      <c r="AV295" s="1544">
        <f t="shared" si="181"/>
        <v>0</v>
      </c>
      <c r="AW295" s="1452">
        <f t="shared" si="154"/>
        <v>0</v>
      </c>
      <c r="AX295" s="1452">
        <f t="shared" si="155"/>
        <v>0</v>
      </c>
      <c r="AY295" s="1452">
        <f t="shared" si="156"/>
        <v>0</v>
      </c>
      <c r="AZ295" s="1452">
        <f t="shared" si="157"/>
        <v>0</v>
      </c>
      <c r="BA295" s="1452">
        <f t="shared" si="158"/>
        <v>0</v>
      </c>
      <c r="BB295" s="1452">
        <f t="shared" si="159"/>
        <v>0</v>
      </c>
      <c r="BC295" s="1452">
        <f t="shared" si="160"/>
        <v>0</v>
      </c>
      <c r="BD295" s="1452">
        <f t="shared" si="161"/>
        <v>0</v>
      </c>
      <c r="BE295" s="1452">
        <f t="shared" si="162"/>
        <v>0</v>
      </c>
      <c r="BF295" s="1452">
        <f t="shared" si="163"/>
        <v>0</v>
      </c>
      <c r="BG295" s="1452">
        <f t="shared" si="164"/>
        <v>0</v>
      </c>
      <c r="BH295" s="1452">
        <f t="shared" si="165"/>
        <v>0</v>
      </c>
      <c r="BI295" s="1452">
        <f t="shared" si="182"/>
        <v>0</v>
      </c>
      <c r="BJ295" s="1452" t="str">
        <f t="shared" si="166"/>
        <v/>
      </c>
      <c r="BK295" s="1452" t="str">
        <f t="shared" si="167"/>
        <v/>
      </c>
      <c r="BL295" s="1452" t="str">
        <f t="shared" si="168"/>
        <v/>
      </c>
      <c r="BM295" s="1452" t="str">
        <f t="shared" si="169"/>
        <v/>
      </c>
      <c r="BN295" s="1452" t="str">
        <f t="shared" ca="1" si="170"/>
        <v/>
      </c>
      <c r="BO295" s="1452" t="str">
        <f t="shared" si="183"/>
        <v/>
      </c>
      <c r="BP295" s="1452" t="str">
        <f t="shared" si="171"/>
        <v/>
      </c>
      <c r="BQ295" s="1452" t="str">
        <f t="shared" si="172"/>
        <v/>
      </c>
      <c r="BR295" s="1452" t="str">
        <f t="shared" si="173"/>
        <v/>
      </c>
      <c r="BS295" s="1452" t="str">
        <f t="shared" si="174"/>
        <v/>
      </c>
      <c r="BT295" s="1452" t="str">
        <f t="shared" si="175"/>
        <v/>
      </c>
      <c r="BU295" s="1452" t="str">
        <f t="shared" si="176"/>
        <v/>
      </c>
      <c r="BV295" s="1452" t="str">
        <f t="shared" si="177"/>
        <v/>
      </c>
      <c r="BW295" s="1558">
        <f t="shared" ca="1" si="184"/>
        <v>0</v>
      </c>
    </row>
    <row r="296" spans="1:75" s="9" customFormat="1" ht="12.5">
      <c r="A296" s="1483" t="str">
        <f t="shared" si="178"/>
        <v>Public Health Wales Trust</v>
      </c>
      <c r="B296" s="1583"/>
      <c r="C296" s="1583"/>
      <c r="D296" s="1583"/>
      <c r="E296" s="1581"/>
      <c r="F296" s="1436"/>
      <c r="G296" s="1547">
        <f t="shared" si="179"/>
        <v>0</v>
      </c>
      <c r="H296" s="1484"/>
      <c r="I296" s="1547">
        <f t="shared" si="180"/>
        <v>0</v>
      </c>
      <c r="J296" s="1485"/>
      <c r="K296" s="1485"/>
      <c r="L296" s="1436"/>
      <c r="M296" s="1439"/>
      <c r="N296" s="1439"/>
      <c r="O296" s="1485"/>
      <c r="P296" s="1486"/>
      <c r="Q296" s="1486"/>
      <c r="R296" s="1487"/>
      <c r="S296" s="1444"/>
      <c r="T296" s="1444"/>
      <c r="U296" s="1444"/>
      <c r="V296" s="1488"/>
      <c r="W296" s="1488"/>
      <c r="X296" s="1488"/>
      <c r="Y296" s="1488"/>
      <c r="Z296" s="1488"/>
      <c r="AA296" s="1488"/>
      <c r="AB296" s="1488"/>
      <c r="AC296" s="1488"/>
      <c r="AD296" s="1488"/>
      <c r="AE296" s="1488"/>
      <c r="AF296" s="1488"/>
      <c r="AG296" s="1488"/>
      <c r="AH296" s="1451">
        <f t="shared" si="152"/>
        <v>0</v>
      </c>
      <c r="AI296" s="1488"/>
      <c r="AJ296" s="1488"/>
      <c r="AK296" s="1488"/>
      <c r="AL296" s="1488"/>
      <c r="AM296" s="1488"/>
      <c r="AN296" s="1488"/>
      <c r="AO296" s="1488"/>
      <c r="AP296" s="1488"/>
      <c r="AQ296" s="1488"/>
      <c r="AR296" s="1488"/>
      <c r="AS296" s="1488"/>
      <c r="AT296" s="1542"/>
      <c r="AU296" s="1599">
        <f t="shared" si="153"/>
        <v>0</v>
      </c>
      <c r="AV296" s="1544">
        <f t="shared" si="181"/>
        <v>0</v>
      </c>
      <c r="AW296" s="1452">
        <f t="shared" si="154"/>
        <v>0</v>
      </c>
      <c r="AX296" s="1452">
        <f t="shared" si="155"/>
        <v>0</v>
      </c>
      <c r="AY296" s="1452">
        <f t="shared" si="156"/>
        <v>0</v>
      </c>
      <c r="AZ296" s="1452">
        <f t="shared" si="157"/>
        <v>0</v>
      </c>
      <c r="BA296" s="1452">
        <f t="shared" si="158"/>
        <v>0</v>
      </c>
      <c r="BB296" s="1452">
        <f t="shared" si="159"/>
        <v>0</v>
      </c>
      <c r="BC296" s="1452">
        <f t="shared" si="160"/>
        <v>0</v>
      </c>
      <c r="BD296" s="1452">
        <f t="shared" si="161"/>
        <v>0</v>
      </c>
      <c r="BE296" s="1452">
        <f t="shared" si="162"/>
        <v>0</v>
      </c>
      <c r="BF296" s="1452">
        <f t="shared" si="163"/>
        <v>0</v>
      </c>
      <c r="BG296" s="1452">
        <f t="shared" si="164"/>
        <v>0</v>
      </c>
      <c r="BH296" s="1452">
        <f t="shared" si="165"/>
        <v>0</v>
      </c>
      <c r="BI296" s="1452">
        <f t="shared" si="182"/>
        <v>0</v>
      </c>
      <c r="BJ296" s="1452" t="str">
        <f t="shared" si="166"/>
        <v/>
      </c>
      <c r="BK296" s="1452" t="str">
        <f t="shared" si="167"/>
        <v/>
      </c>
      <c r="BL296" s="1452" t="str">
        <f t="shared" si="168"/>
        <v/>
      </c>
      <c r="BM296" s="1452" t="str">
        <f t="shared" si="169"/>
        <v/>
      </c>
      <c r="BN296" s="1452" t="str">
        <f t="shared" ca="1" si="170"/>
        <v/>
      </c>
      <c r="BO296" s="1452" t="str">
        <f t="shared" si="183"/>
        <v/>
      </c>
      <c r="BP296" s="1452" t="str">
        <f t="shared" si="171"/>
        <v/>
      </c>
      <c r="BQ296" s="1452" t="str">
        <f t="shared" si="172"/>
        <v/>
      </c>
      <c r="BR296" s="1452" t="str">
        <f t="shared" si="173"/>
        <v/>
      </c>
      <c r="BS296" s="1452" t="str">
        <f t="shared" si="174"/>
        <v/>
      </c>
      <c r="BT296" s="1452" t="str">
        <f t="shared" si="175"/>
        <v/>
      </c>
      <c r="BU296" s="1452" t="str">
        <f t="shared" si="176"/>
        <v/>
      </c>
      <c r="BV296" s="1452" t="str">
        <f t="shared" si="177"/>
        <v/>
      </c>
      <c r="BW296" s="1558">
        <f t="shared" ca="1" si="184"/>
        <v>0</v>
      </c>
    </row>
    <row r="297" spans="1:75" s="9" customFormat="1" ht="12.5">
      <c r="A297" s="1483" t="str">
        <f t="shared" si="178"/>
        <v>Public Health Wales Trust</v>
      </c>
      <c r="B297" s="1583"/>
      <c r="C297" s="1583"/>
      <c r="D297" s="1583"/>
      <c r="E297" s="1581"/>
      <c r="F297" s="1436"/>
      <c r="G297" s="1547">
        <f t="shared" si="179"/>
        <v>0</v>
      </c>
      <c r="H297" s="1484"/>
      <c r="I297" s="1547">
        <f t="shared" si="180"/>
        <v>0</v>
      </c>
      <c r="J297" s="1485"/>
      <c r="K297" s="1485"/>
      <c r="L297" s="1436"/>
      <c r="M297" s="1439"/>
      <c r="N297" s="1439"/>
      <c r="O297" s="1485"/>
      <c r="P297" s="1486"/>
      <c r="Q297" s="1486"/>
      <c r="R297" s="1487"/>
      <c r="S297" s="1444"/>
      <c r="T297" s="1444"/>
      <c r="U297" s="1444"/>
      <c r="V297" s="1488"/>
      <c r="W297" s="1488"/>
      <c r="X297" s="1488"/>
      <c r="Y297" s="1488"/>
      <c r="Z297" s="1488"/>
      <c r="AA297" s="1488"/>
      <c r="AB297" s="1488"/>
      <c r="AC297" s="1488"/>
      <c r="AD297" s="1488"/>
      <c r="AE297" s="1488"/>
      <c r="AF297" s="1488"/>
      <c r="AG297" s="1488"/>
      <c r="AH297" s="1451">
        <f t="shared" si="152"/>
        <v>0</v>
      </c>
      <c r="AI297" s="1488"/>
      <c r="AJ297" s="1488"/>
      <c r="AK297" s="1488"/>
      <c r="AL297" s="1488"/>
      <c r="AM297" s="1488"/>
      <c r="AN297" s="1488"/>
      <c r="AO297" s="1488"/>
      <c r="AP297" s="1488"/>
      <c r="AQ297" s="1488"/>
      <c r="AR297" s="1488"/>
      <c r="AS297" s="1488"/>
      <c r="AT297" s="1542"/>
      <c r="AU297" s="1599">
        <f t="shared" si="153"/>
        <v>0</v>
      </c>
      <c r="AV297" s="1544">
        <f t="shared" si="181"/>
        <v>0</v>
      </c>
      <c r="AW297" s="1452">
        <f t="shared" si="154"/>
        <v>0</v>
      </c>
      <c r="AX297" s="1452">
        <f t="shared" si="155"/>
        <v>0</v>
      </c>
      <c r="AY297" s="1452">
        <f t="shared" si="156"/>
        <v>0</v>
      </c>
      <c r="AZ297" s="1452">
        <f t="shared" si="157"/>
        <v>0</v>
      </c>
      <c r="BA297" s="1452">
        <f t="shared" si="158"/>
        <v>0</v>
      </c>
      <c r="BB297" s="1452">
        <f t="shared" si="159"/>
        <v>0</v>
      </c>
      <c r="BC297" s="1452">
        <f t="shared" si="160"/>
        <v>0</v>
      </c>
      <c r="BD297" s="1452">
        <f t="shared" si="161"/>
        <v>0</v>
      </c>
      <c r="BE297" s="1452">
        <f t="shared" si="162"/>
        <v>0</v>
      </c>
      <c r="BF297" s="1452">
        <f t="shared" si="163"/>
        <v>0</v>
      </c>
      <c r="BG297" s="1452">
        <f t="shared" si="164"/>
        <v>0</v>
      </c>
      <c r="BH297" s="1452">
        <f t="shared" si="165"/>
        <v>0</v>
      </c>
      <c r="BI297" s="1452">
        <f t="shared" si="182"/>
        <v>0</v>
      </c>
      <c r="BJ297" s="1452" t="str">
        <f t="shared" si="166"/>
        <v/>
      </c>
      <c r="BK297" s="1452" t="str">
        <f t="shared" si="167"/>
        <v/>
      </c>
      <c r="BL297" s="1452" t="str">
        <f t="shared" si="168"/>
        <v/>
      </c>
      <c r="BM297" s="1452" t="str">
        <f t="shared" si="169"/>
        <v/>
      </c>
      <c r="BN297" s="1452" t="str">
        <f t="shared" ca="1" si="170"/>
        <v/>
      </c>
      <c r="BO297" s="1452" t="str">
        <f t="shared" si="183"/>
        <v/>
      </c>
      <c r="BP297" s="1452" t="str">
        <f t="shared" si="171"/>
        <v/>
      </c>
      <c r="BQ297" s="1452" t="str">
        <f t="shared" si="172"/>
        <v/>
      </c>
      <c r="BR297" s="1452" t="str">
        <f t="shared" si="173"/>
        <v/>
      </c>
      <c r="BS297" s="1452" t="str">
        <f t="shared" si="174"/>
        <v/>
      </c>
      <c r="BT297" s="1452" t="str">
        <f t="shared" si="175"/>
        <v/>
      </c>
      <c r="BU297" s="1452" t="str">
        <f t="shared" si="176"/>
        <v/>
      </c>
      <c r="BV297" s="1452" t="str">
        <f t="shared" si="177"/>
        <v/>
      </c>
      <c r="BW297" s="1558">
        <f t="shared" ca="1" si="184"/>
        <v>0</v>
      </c>
    </row>
    <row r="298" spans="1:75" s="9" customFormat="1" ht="12.5">
      <c r="A298" s="1483" t="str">
        <f t="shared" si="178"/>
        <v>Public Health Wales Trust</v>
      </c>
      <c r="B298" s="1583"/>
      <c r="C298" s="1583"/>
      <c r="D298" s="1583"/>
      <c r="E298" s="1581"/>
      <c r="F298" s="1436"/>
      <c r="G298" s="1547">
        <f t="shared" si="179"/>
        <v>0</v>
      </c>
      <c r="H298" s="1484"/>
      <c r="I298" s="1547">
        <f t="shared" si="180"/>
        <v>0</v>
      </c>
      <c r="J298" s="1485"/>
      <c r="K298" s="1485"/>
      <c r="L298" s="1436"/>
      <c r="M298" s="1439"/>
      <c r="N298" s="1439"/>
      <c r="O298" s="1485"/>
      <c r="P298" s="1486"/>
      <c r="Q298" s="1486"/>
      <c r="R298" s="1487"/>
      <c r="S298" s="1444"/>
      <c r="T298" s="1444"/>
      <c r="U298" s="1444"/>
      <c r="V298" s="1488"/>
      <c r="W298" s="1488"/>
      <c r="X298" s="1488"/>
      <c r="Y298" s="1488"/>
      <c r="Z298" s="1488"/>
      <c r="AA298" s="1488"/>
      <c r="AB298" s="1488"/>
      <c r="AC298" s="1488"/>
      <c r="AD298" s="1488"/>
      <c r="AE298" s="1488"/>
      <c r="AF298" s="1488"/>
      <c r="AG298" s="1488"/>
      <c r="AH298" s="1451">
        <f t="shared" si="152"/>
        <v>0</v>
      </c>
      <c r="AI298" s="1488"/>
      <c r="AJ298" s="1488"/>
      <c r="AK298" s="1488"/>
      <c r="AL298" s="1488"/>
      <c r="AM298" s="1488"/>
      <c r="AN298" s="1488"/>
      <c r="AO298" s="1488"/>
      <c r="AP298" s="1488"/>
      <c r="AQ298" s="1488"/>
      <c r="AR298" s="1488"/>
      <c r="AS298" s="1488"/>
      <c r="AT298" s="1542"/>
      <c r="AU298" s="1599">
        <f t="shared" si="153"/>
        <v>0</v>
      </c>
      <c r="AV298" s="1544">
        <f t="shared" si="181"/>
        <v>0</v>
      </c>
      <c r="AW298" s="1452">
        <f t="shared" si="154"/>
        <v>0</v>
      </c>
      <c r="AX298" s="1452">
        <f t="shared" si="155"/>
        <v>0</v>
      </c>
      <c r="AY298" s="1452">
        <f t="shared" si="156"/>
        <v>0</v>
      </c>
      <c r="AZ298" s="1452">
        <f t="shared" si="157"/>
        <v>0</v>
      </c>
      <c r="BA298" s="1452">
        <f t="shared" si="158"/>
        <v>0</v>
      </c>
      <c r="BB298" s="1452">
        <f t="shared" si="159"/>
        <v>0</v>
      </c>
      <c r="BC298" s="1452">
        <f t="shared" si="160"/>
        <v>0</v>
      </c>
      <c r="BD298" s="1452">
        <f t="shared" si="161"/>
        <v>0</v>
      </c>
      <c r="BE298" s="1452">
        <f t="shared" si="162"/>
        <v>0</v>
      </c>
      <c r="BF298" s="1452">
        <f t="shared" si="163"/>
        <v>0</v>
      </c>
      <c r="BG298" s="1452">
        <f t="shared" si="164"/>
        <v>0</v>
      </c>
      <c r="BH298" s="1452">
        <f t="shared" si="165"/>
        <v>0</v>
      </c>
      <c r="BI298" s="1452">
        <f t="shared" si="182"/>
        <v>0</v>
      </c>
      <c r="BJ298" s="1452" t="str">
        <f t="shared" si="166"/>
        <v/>
      </c>
      <c r="BK298" s="1452" t="str">
        <f t="shared" si="167"/>
        <v/>
      </c>
      <c r="BL298" s="1452" t="str">
        <f t="shared" si="168"/>
        <v/>
      </c>
      <c r="BM298" s="1452" t="str">
        <f t="shared" si="169"/>
        <v/>
      </c>
      <c r="BN298" s="1452" t="str">
        <f t="shared" ca="1" si="170"/>
        <v/>
      </c>
      <c r="BO298" s="1452" t="str">
        <f t="shared" si="183"/>
        <v/>
      </c>
      <c r="BP298" s="1452" t="str">
        <f t="shared" si="171"/>
        <v/>
      </c>
      <c r="BQ298" s="1452" t="str">
        <f t="shared" si="172"/>
        <v/>
      </c>
      <c r="BR298" s="1452" t="str">
        <f t="shared" si="173"/>
        <v/>
      </c>
      <c r="BS298" s="1452" t="str">
        <f t="shared" si="174"/>
        <v/>
      </c>
      <c r="BT298" s="1452" t="str">
        <f t="shared" si="175"/>
        <v/>
      </c>
      <c r="BU298" s="1452" t="str">
        <f t="shared" si="176"/>
        <v/>
      </c>
      <c r="BV298" s="1452" t="str">
        <f t="shared" si="177"/>
        <v/>
      </c>
      <c r="BW298" s="1558">
        <f t="shared" ca="1" si="184"/>
        <v>0</v>
      </c>
    </row>
    <row r="299" spans="1:75" s="9" customFormat="1" ht="12.5">
      <c r="A299" s="1483" t="str">
        <f t="shared" si="178"/>
        <v>Public Health Wales Trust</v>
      </c>
      <c r="B299" s="1583"/>
      <c r="C299" s="1583"/>
      <c r="D299" s="1583"/>
      <c r="E299" s="1581"/>
      <c r="F299" s="1436"/>
      <c r="G299" s="1547">
        <f t="shared" si="179"/>
        <v>0</v>
      </c>
      <c r="H299" s="1484"/>
      <c r="I299" s="1547">
        <f t="shared" si="180"/>
        <v>0</v>
      </c>
      <c r="J299" s="1485"/>
      <c r="K299" s="1485"/>
      <c r="L299" s="1436"/>
      <c r="M299" s="1439"/>
      <c r="N299" s="1439"/>
      <c r="O299" s="1485"/>
      <c r="P299" s="1486"/>
      <c r="Q299" s="1486"/>
      <c r="R299" s="1487"/>
      <c r="S299" s="1444"/>
      <c r="T299" s="1444"/>
      <c r="U299" s="1444"/>
      <c r="V299" s="1488"/>
      <c r="W299" s="1488"/>
      <c r="X299" s="1488"/>
      <c r="Y299" s="1488"/>
      <c r="Z299" s="1488"/>
      <c r="AA299" s="1488"/>
      <c r="AB299" s="1488"/>
      <c r="AC299" s="1488"/>
      <c r="AD299" s="1488"/>
      <c r="AE299" s="1488"/>
      <c r="AF299" s="1488"/>
      <c r="AG299" s="1488"/>
      <c r="AH299" s="1451">
        <f t="shared" ref="AH299:AH362" si="185">SUM(V299:AG299)</f>
        <v>0</v>
      </c>
      <c r="AI299" s="1488"/>
      <c r="AJ299" s="1488"/>
      <c r="AK299" s="1488"/>
      <c r="AL299" s="1488"/>
      <c r="AM299" s="1488"/>
      <c r="AN299" s="1488"/>
      <c r="AO299" s="1488"/>
      <c r="AP299" s="1488"/>
      <c r="AQ299" s="1488"/>
      <c r="AR299" s="1488"/>
      <c r="AS299" s="1488"/>
      <c r="AT299" s="1542"/>
      <c r="AU299" s="1599">
        <f t="shared" ref="AU299:AU362" si="186">SUMPRODUCT($AC$40:$AN$40,AI299:AT299)</f>
        <v>0</v>
      </c>
      <c r="AV299" s="1544">
        <f t="shared" si="181"/>
        <v>0</v>
      </c>
      <c r="AW299" s="1452">
        <f t="shared" ref="AW299:AW362" si="187">AI299-V299</f>
        <v>0</v>
      </c>
      <c r="AX299" s="1452">
        <f t="shared" ref="AX299:AX362" si="188">AJ299-W299</f>
        <v>0</v>
      </c>
      <c r="AY299" s="1452">
        <f t="shared" ref="AY299:AY362" si="189">AK299-X299</f>
        <v>0</v>
      </c>
      <c r="AZ299" s="1452">
        <f t="shared" ref="AZ299:AZ362" si="190">AL299-Y299</f>
        <v>0</v>
      </c>
      <c r="BA299" s="1452">
        <f t="shared" ref="BA299:BA362" si="191">AM299-Z299</f>
        <v>0</v>
      </c>
      <c r="BB299" s="1452">
        <f t="shared" ref="BB299:BB362" si="192">AN299-AA299</f>
        <v>0</v>
      </c>
      <c r="BC299" s="1452">
        <f t="shared" ref="BC299:BC362" si="193">AO299-AB299</f>
        <v>0</v>
      </c>
      <c r="BD299" s="1452">
        <f t="shared" ref="BD299:BD362" si="194">AP299-AC299</f>
        <v>0</v>
      </c>
      <c r="BE299" s="1452">
        <f t="shared" ref="BE299:BE362" si="195">AQ299-AD299</f>
        <v>0</v>
      </c>
      <c r="BF299" s="1452">
        <f t="shared" ref="BF299:BF362" si="196">AR299-AE299</f>
        <v>0</v>
      </c>
      <c r="BG299" s="1452">
        <f t="shared" ref="BG299:BG362" si="197">AS299-AF299</f>
        <v>0</v>
      </c>
      <c r="BH299" s="1452">
        <f t="shared" ref="BH299:BH362" si="198">AT299-AG299</f>
        <v>0</v>
      </c>
      <c r="BI299" s="1452">
        <f t="shared" si="182"/>
        <v>0</v>
      </c>
      <c r="BJ299" s="1452" t="str">
        <f t="shared" ref="BJ299:BJ362" si="199">IF(OR(G299&gt;0,I299&gt;0),IF(AND(B299&lt;&gt;"",C299&lt;&gt;"",D299&lt;&gt;"",E299&lt;&gt;"",F299&lt;&gt;"",L299&lt;&gt;"",M299&lt;&gt;"",N299&lt;&gt;"",O299&lt;&gt;"",P299&lt;&gt;"",Q299&lt;&gt;"",R299&lt;&gt;""),"","ERROR"),"")</f>
        <v/>
      </c>
      <c r="BK299" s="1452" t="str">
        <f t="shared" ref="BK299:BK362" si="200">IF(COUNTIF($D$43:$D$1496,D299)&gt;1,"ERROR","")</f>
        <v/>
      </c>
      <c r="BL299" s="1452" t="str">
        <f t="shared" ref="BL299:BL362" si="201">IF(AND(OR(R299=$CQ$1,R299=$CQ$3),S299=""),"ERROR","")</f>
        <v/>
      </c>
      <c r="BM299" s="1452" t="str">
        <f t="shared" ref="BM299:BM362" si="202">IF(AND(OR(R299=$CQ$2),S299&lt;&gt;""),"ERROR","")</f>
        <v/>
      </c>
      <c r="BN299" s="1452" t="str">
        <f t="shared" ref="BN299:BN362" ca="1" si="203">IF(AND(O299=$CA$2,N299&lt;TODAY()),"ERROR","")</f>
        <v/>
      </c>
      <c r="BO299" s="1452" t="str">
        <f t="shared" si="183"/>
        <v/>
      </c>
      <c r="BP299" s="1452" t="str">
        <f t="shared" ref="BP299:BP362" si="204">IF(AND(F299=$BZ$1,G299&gt;H299),"ERROR","")</f>
        <v/>
      </c>
      <c r="BQ299" s="1452" t="str">
        <f t="shared" ref="BQ299:BQ362" si="205">IF(AND(F299=$BZ$1,I299&gt;J299),"ERROR","")</f>
        <v/>
      </c>
      <c r="BR299" s="1452" t="str">
        <f t="shared" ref="BR299:BR362" si="206">IF(AND(F299=$BZ$2,SUM(H299,J299)&gt;0),"ERROR","")</f>
        <v/>
      </c>
      <c r="BS299" s="1452" t="str">
        <f t="shared" ref="BS299:BS362" si="207">IF(AND(I299=0,J299&gt;0),"ERROR","")</f>
        <v/>
      </c>
      <c r="BT299" s="1452" t="str">
        <f t="shared" ref="BT299:BT362" si="208">IF(AND(O299=$CA$1,K299&lt;&gt;0),"ERROR","")</f>
        <v/>
      </c>
      <c r="BU299" s="1452" t="str">
        <f t="shared" ref="BU299:BU362" si="209">IF(AND(O299=$CA$2,I299-AU299-K299&lt;0),"ERROR","")</f>
        <v/>
      </c>
      <c r="BV299" s="1452" t="str">
        <f t="shared" ref="BV299:BV362" si="210">IF(S299="","",VLOOKUP(S299,$CS$1:$CT$14,2,0))</f>
        <v/>
      </c>
      <c r="BW299" s="1558">
        <f t="shared" ca="1" si="184"/>
        <v>0</v>
      </c>
    </row>
    <row r="300" spans="1:75" s="9" customFormat="1" ht="12.5">
      <c r="A300" s="1483" t="str">
        <f t="shared" ref="A300:A363" si="211">$A$1</f>
        <v>Public Health Wales Trust</v>
      </c>
      <c r="B300" s="1583"/>
      <c r="C300" s="1583"/>
      <c r="D300" s="1583"/>
      <c r="E300" s="1581"/>
      <c r="F300" s="1436"/>
      <c r="G300" s="1547">
        <f t="shared" ref="G300:G363" si="212">AH300</f>
        <v>0</v>
      </c>
      <c r="H300" s="1484"/>
      <c r="I300" s="1547">
        <f t="shared" ref="I300:I363" si="213">AV300</f>
        <v>0</v>
      </c>
      <c r="J300" s="1485"/>
      <c r="K300" s="1485"/>
      <c r="L300" s="1436"/>
      <c r="M300" s="1439"/>
      <c r="N300" s="1439"/>
      <c r="O300" s="1485"/>
      <c r="P300" s="1486"/>
      <c r="Q300" s="1486"/>
      <c r="R300" s="1487"/>
      <c r="S300" s="1444"/>
      <c r="T300" s="1444"/>
      <c r="U300" s="1444"/>
      <c r="V300" s="1488"/>
      <c r="W300" s="1488"/>
      <c r="X300" s="1488"/>
      <c r="Y300" s="1488"/>
      <c r="Z300" s="1488"/>
      <c r="AA300" s="1488"/>
      <c r="AB300" s="1488"/>
      <c r="AC300" s="1488"/>
      <c r="AD300" s="1488"/>
      <c r="AE300" s="1488"/>
      <c r="AF300" s="1488"/>
      <c r="AG300" s="1488"/>
      <c r="AH300" s="1451">
        <f t="shared" si="185"/>
        <v>0</v>
      </c>
      <c r="AI300" s="1488"/>
      <c r="AJ300" s="1488"/>
      <c r="AK300" s="1488"/>
      <c r="AL300" s="1488"/>
      <c r="AM300" s="1488"/>
      <c r="AN300" s="1488"/>
      <c r="AO300" s="1488"/>
      <c r="AP300" s="1488"/>
      <c r="AQ300" s="1488"/>
      <c r="AR300" s="1488"/>
      <c r="AS300" s="1488"/>
      <c r="AT300" s="1542"/>
      <c r="AU300" s="1599">
        <f t="shared" si="186"/>
        <v>0</v>
      </c>
      <c r="AV300" s="1544">
        <f t="shared" ref="AV300:AV363" si="214">SUM(AI300:AT300)</f>
        <v>0</v>
      </c>
      <c r="AW300" s="1452">
        <f t="shared" si="187"/>
        <v>0</v>
      </c>
      <c r="AX300" s="1452">
        <f t="shared" si="188"/>
        <v>0</v>
      </c>
      <c r="AY300" s="1452">
        <f t="shared" si="189"/>
        <v>0</v>
      </c>
      <c r="AZ300" s="1452">
        <f t="shared" si="190"/>
        <v>0</v>
      </c>
      <c r="BA300" s="1452">
        <f t="shared" si="191"/>
        <v>0</v>
      </c>
      <c r="BB300" s="1452">
        <f t="shared" si="192"/>
        <v>0</v>
      </c>
      <c r="BC300" s="1452">
        <f t="shared" si="193"/>
        <v>0</v>
      </c>
      <c r="BD300" s="1452">
        <f t="shared" si="194"/>
        <v>0</v>
      </c>
      <c r="BE300" s="1452">
        <f t="shared" si="195"/>
        <v>0</v>
      </c>
      <c r="BF300" s="1452">
        <f t="shared" si="196"/>
        <v>0</v>
      </c>
      <c r="BG300" s="1452">
        <f t="shared" si="197"/>
        <v>0</v>
      </c>
      <c r="BH300" s="1452">
        <f t="shared" si="198"/>
        <v>0</v>
      </c>
      <c r="BI300" s="1452">
        <f t="shared" ref="BI300:BI363" si="215">SUM(AW300:BH300)</f>
        <v>0</v>
      </c>
      <c r="BJ300" s="1452" t="str">
        <f t="shared" si="199"/>
        <v/>
      </c>
      <c r="BK300" s="1452" t="str">
        <f t="shared" si="200"/>
        <v/>
      </c>
      <c r="BL300" s="1452" t="str">
        <f t="shared" si="201"/>
        <v/>
      </c>
      <c r="BM300" s="1452" t="str">
        <f t="shared" si="202"/>
        <v/>
      </c>
      <c r="BN300" s="1452" t="str">
        <f t="shared" ca="1" si="203"/>
        <v/>
      </c>
      <c r="BO300" s="1452" t="str">
        <f t="shared" ref="BO300:BO363" si="216">IF(AND(AV300&gt;0,AH300=0),"ERROR","")</f>
        <v/>
      </c>
      <c r="BP300" s="1452" t="str">
        <f t="shared" si="204"/>
        <v/>
      </c>
      <c r="BQ300" s="1452" t="str">
        <f t="shared" si="205"/>
        <v/>
      </c>
      <c r="BR300" s="1452" t="str">
        <f t="shared" si="206"/>
        <v/>
      </c>
      <c r="BS300" s="1452" t="str">
        <f t="shared" si="207"/>
        <v/>
      </c>
      <c r="BT300" s="1452" t="str">
        <f t="shared" si="208"/>
        <v/>
      </c>
      <c r="BU300" s="1452" t="str">
        <f t="shared" si="209"/>
        <v/>
      </c>
      <c r="BV300" s="1452" t="str">
        <f t="shared" si="210"/>
        <v/>
      </c>
      <c r="BW300" s="1558">
        <f t="shared" ref="BW300:BW363" ca="1" si="217">COUNTIF(BJ300:BU300,"ERROR")</f>
        <v>0</v>
      </c>
    </row>
    <row r="301" spans="1:75" s="9" customFormat="1" ht="12.5">
      <c r="A301" s="1483" t="str">
        <f t="shared" si="211"/>
        <v>Public Health Wales Trust</v>
      </c>
      <c r="B301" s="1583"/>
      <c r="C301" s="1583"/>
      <c r="D301" s="1583"/>
      <c r="E301" s="1581"/>
      <c r="F301" s="1436"/>
      <c r="G301" s="1547">
        <f t="shared" si="212"/>
        <v>0</v>
      </c>
      <c r="H301" s="1484"/>
      <c r="I301" s="1547">
        <f t="shared" si="213"/>
        <v>0</v>
      </c>
      <c r="J301" s="1485"/>
      <c r="K301" s="1485"/>
      <c r="L301" s="1436"/>
      <c r="M301" s="1439"/>
      <c r="N301" s="1439"/>
      <c r="O301" s="1485"/>
      <c r="P301" s="1486"/>
      <c r="Q301" s="1486"/>
      <c r="R301" s="1487"/>
      <c r="S301" s="1444"/>
      <c r="T301" s="1444"/>
      <c r="U301" s="1444"/>
      <c r="V301" s="1488"/>
      <c r="W301" s="1488"/>
      <c r="X301" s="1488"/>
      <c r="Y301" s="1488"/>
      <c r="Z301" s="1488"/>
      <c r="AA301" s="1488"/>
      <c r="AB301" s="1488"/>
      <c r="AC301" s="1488"/>
      <c r="AD301" s="1488"/>
      <c r="AE301" s="1488"/>
      <c r="AF301" s="1488"/>
      <c r="AG301" s="1488"/>
      <c r="AH301" s="1451">
        <f t="shared" si="185"/>
        <v>0</v>
      </c>
      <c r="AI301" s="1488"/>
      <c r="AJ301" s="1488"/>
      <c r="AK301" s="1488"/>
      <c r="AL301" s="1488"/>
      <c r="AM301" s="1488"/>
      <c r="AN301" s="1488"/>
      <c r="AO301" s="1488"/>
      <c r="AP301" s="1488"/>
      <c r="AQ301" s="1488"/>
      <c r="AR301" s="1488"/>
      <c r="AS301" s="1488"/>
      <c r="AT301" s="1542"/>
      <c r="AU301" s="1599">
        <f t="shared" si="186"/>
        <v>0</v>
      </c>
      <c r="AV301" s="1544">
        <f t="shared" si="214"/>
        <v>0</v>
      </c>
      <c r="AW301" s="1452">
        <f t="shared" si="187"/>
        <v>0</v>
      </c>
      <c r="AX301" s="1452">
        <f t="shared" si="188"/>
        <v>0</v>
      </c>
      <c r="AY301" s="1452">
        <f t="shared" si="189"/>
        <v>0</v>
      </c>
      <c r="AZ301" s="1452">
        <f t="shared" si="190"/>
        <v>0</v>
      </c>
      <c r="BA301" s="1452">
        <f t="shared" si="191"/>
        <v>0</v>
      </c>
      <c r="BB301" s="1452">
        <f t="shared" si="192"/>
        <v>0</v>
      </c>
      <c r="BC301" s="1452">
        <f t="shared" si="193"/>
        <v>0</v>
      </c>
      <c r="BD301" s="1452">
        <f t="shared" si="194"/>
        <v>0</v>
      </c>
      <c r="BE301" s="1452">
        <f t="shared" si="195"/>
        <v>0</v>
      </c>
      <c r="BF301" s="1452">
        <f t="shared" si="196"/>
        <v>0</v>
      </c>
      <c r="BG301" s="1452">
        <f t="shared" si="197"/>
        <v>0</v>
      </c>
      <c r="BH301" s="1452">
        <f t="shared" si="198"/>
        <v>0</v>
      </c>
      <c r="BI301" s="1452">
        <f t="shared" si="215"/>
        <v>0</v>
      </c>
      <c r="BJ301" s="1452" t="str">
        <f t="shared" si="199"/>
        <v/>
      </c>
      <c r="BK301" s="1452" t="str">
        <f t="shared" si="200"/>
        <v/>
      </c>
      <c r="BL301" s="1452" t="str">
        <f t="shared" si="201"/>
        <v/>
      </c>
      <c r="BM301" s="1452" t="str">
        <f t="shared" si="202"/>
        <v/>
      </c>
      <c r="BN301" s="1452" t="str">
        <f t="shared" ca="1" si="203"/>
        <v/>
      </c>
      <c r="BO301" s="1452" t="str">
        <f t="shared" si="216"/>
        <v/>
      </c>
      <c r="BP301" s="1452" t="str">
        <f t="shared" si="204"/>
        <v/>
      </c>
      <c r="BQ301" s="1452" t="str">
        <f t="shared" si="205"/>
        <v/>
      </c>
      <c r="BR301" s="1452" t="str">
        <f t="shared" si="206"/>
        <v/>
      </c>
      <c r="BS301" s="1452" t="str">
        <f t="shared" si="207"/>
        <v/>
      </c>
      <c r="BT301" s="1452" t="str">
        <f t="shared" si="208"/>
        <v/>
      </c>
      <c r="BU301" s="1452" t="str">
        <f t="shared" si="209"/>
        <v/>
      </c>
      <c r="BV301" s="1452" t="str">
        <f t="shared" si="210"/>
        <v/>
      </c>
      <c r="BW301" s="1558">
        <f t="shared" ca="1" si="217"/>
        <v>0</v>
      </c>
    </row>
    <row r="302" spans="1:75" s="9" customFormat="1" ht="12.5">
      <c r="A302" s="1483" t="str">
        <f t="shared" si="211"/>
        <v>Public Health Wales Trust</v>
      </c>
      <c r="B302" s="1583"/>
      <c r="C302" s="1583"/>
      <c r="D302" s="1583"/>
      <c r="E302" s="1581"/>
      <c r="F302" s="1436"/>
      <c r="G302" s="1547">
        <f t="shared" si="212"/>
        <v>0</v>
      </c>
      <c r="H302" s="1484"/>
      <c r="I302" s="1547">
        <f t="shared" si="213"/>
        <v>0</v>
      </c>
      <c r="J302" s="1485"/>
      <c r="K302" s="1485"/>
      <c r="L302" s="1436"/>
      <c r="M302" s="1439"/>
      <c r="N302" s="1439"/>
      <c r="O302" s="1485"/>
      <c r="P302" s="1486"/>
      <c r="Q302" s="1486"/>
      <c r="R302" s="1487"/>
      <c r="S302" s="1444"/>
      <c r="T302" s="1444"/>
      <c r="U302" s="1444"/>
      <c r="V302" s="1488"/>
      <c r="W302" s="1488"/>
      <c r="X302" s="1488"/>
      <c r="Y302" s="1488"/>
      <c r="Z302" s="1488"/>
      <c r="AA302" s="1488"/>
      <c r="AB302" s="1488"/>
      <c r="AC302" s="1488"/>
      <c r="AD302" s="1488"/>
      <c r="AE302" s="1488"/>
      <c r="AF302" s="1488"/>
      <c r="AG302" s="1488"/>
      <c r="AH302" s="1451">
        <f t="shared" si="185"/>
        <v>0</v>
      </c>
      <c r="AI302" s="1488"/>
      <c r="AJ302" s="1488"/>
      <c r="AK302" s="1488"/>
      <c r="AL302" s="1488"/>
      <c r="AM302" s="1488"/>
      <c r="AN302" s="1488"/>
      <c r="AO302" s="1488"/>
      <c r="AP302" s="1488"/>
      <c r="AQ302" s="1488"/>
      <c r="AR302" s="1488"/>
      <c r="AS302" s="1488"/>
      <c r="AT302" s="1542"/>
      <c r="AU302" s="1599">
        <f t="shared" si="186"/>
        <v>0</v>
      </c>
      <c r="AV302" s="1544">
        <f t="shared" si="214"/>
        <v>0</v>
      </c>
      <c r="AW302" s="1452">
        <f t="shared" si="187"/>
        <v>0</v>
      </c>
      <c r="AX302" s="1452">
        <f t="shared" si="188"/>
        <v>0</v>
      </c>
      <c r="AY302" s="1452">
        <f t="shared" si="189"/>
        <v>0</v>
      </c>
      <c r="AZ302" s="1452">
        <f t="shared" si="190"/>
        <v>0</v>
      </c>
      <c r="BA302" s="1452">
        <f t="shared" si="191"/>
        <v>0</v>
      </c>
      <c r="BB302" s="1452">
        <f t="shared" si="192"/>
        <v>0</v>
      </c>
      <c r="BC302" s="1452">
        <f t="shared" si="193"/>
        <v>0</v>
      </c>
      <c r="BD302" s="1452">
        <f t="shared" si="194"/>
        <v>0</v>
      </c>
      <c r="BE302" s="1452">
        <f t="shared" si="195"/>
        <v>0</v>
      </c>
      <c r="BF302" s="1452">
        <f t="shared" si="196"/>
        <v>0</v>
      </c>
      <c r="BG302" s="1452">
        <f t="shared" si="197"/>
        <v>0</v>
      </c>
      <c r="BH302" s="1452">
        <f t="shared" si="198"/>
        <v>0</v>
      </c>
      <c r="BI302" s="1452">
        <f t="shared" si="215"/>
        <v>0</v>
      </c>
      <c r="BJ302" s="1452" t="str">
        <f t="shared" si="199"/>
        <v/>
      </c>
      <c r="BK302" s="1452" t="str">
        <f t="shared" si="200"/>
        <v/>
      </c>
      <c r="BL302" s="1452" t="str">
        <f t="shared" si="201"/>
        <v/>
      </c>
      <c r="BM302" s="1452" t="str">
        <f t="shared" si="202"/>
        <v/>
      </c>
      <c r="BN302" s="1452" t="str">
        <f t="shared" ca="1" si="203"/>
        <v/>
      </c>
      <c r="BO302" s="1452" t="str">
        <f t="shared" si="216"/>
        <v/>
      </c>
      <c r="BP302" s="1452" t="str">
        <f t="shared" si="204"/>
        <v/>
      </c>
      <c r="BQ302" s="1452" t="str">
        <f t="shared" si="205"/>
        <v/>
      </c>
      <c r="BR302" s="1452" t="str">
        <f t="shared" si="206"/>
        <v/>
      </c>
      <c r="BS302" s="1452" t="str">
        <f t="shared" si="207"/>
        <v/>
      </c>
      <c r="BT302" s="1452" t="str">
        <f t="shared" si="208"/>
        <v/>
      </c>
      <c r="BU302" s="1452" t="str">
        <f t="shared" si="209"/>
        <v/>
      </c>
      <c r="BV302" s="1452" t="str">
        <f t="shared" si="210"/>
        <v/>
      </c>
      <c r="BW302" s="1558">
        <f t="shared" ca="1" si="217"/>
        <v>0</v>
      </c>
    </row>
    <row r="303" spans="1:75" s="9" customFormat="1" ht="12.5">
      <c r="A303" s="1483" t="str">
        <f t="shared" si="211"/>
        <v>Public Health Wales Trust</v>
      </c>
      <c r="B303" s="1583"/>
      <c r="C303" s="1583"/>
      <c r="D303" s="1583"/>
      <c r="E303" s="1581"/>
      <c r="F303" s="1436"/>
      <c r="G303" s="1547">
        <f t="shared" si="212"/>
        <v>0</v>
      </c>
      <c r="H303" s="1484"/>
      <c r="I303" s="1547">
        <f t="shared" si="213"/>
        <v>0</v>
      </c>
      <c r="J303" s="1485"/>
      <c r="K303" s="1485"/>
      <c r="L303" s="1436"/>
      <c r="M303" s="1439"/>
      <c r="N303" s="1439"/>
      <c r="O303" s="1485"/>
      <c r="P303" s="1486"/>
      <c r="Q303" s="1486"/>
      <c r="R303" s="1487"/>
      <c r="S303" s="1444"/>
      <c r="T303" s="1444"/>
      <c r="U303" s="1444"/>
      <c r="V303" s="1488"/>
      <c r="W303" s="1488"/>
      <c r="X303" s="1488"/>
      <c r="Y303" s="1488"/>
      <c r="Z303" s="1488"/>
      <c r="AA303" s="1488"/>
      <c r="AB303" s="1488"/>
      <c r="AC303" s="1488"/>
      <c r="AD303" s="1488"/>
      <c r="AE303" s="1488"/>
      <c r="AF303" s="1488"/>
      <c r="AG303" s="1488"/>
      <c r="AH303" s="1451">
        <f t="shared" si="185"/>
        <v>0</v>
      </c>
      <c r="AI303" s="1488"/>
      <c r="AJ303" s="1488"/>
      <c r="AK303" s="1488"/>
      <c r="AL303" s="1488"/>
      <c r="AM303" s="1488"/>
      <c r="AN303" s="1488"/>
      <c r="AO303" s="1488"/>
      <c r="AP303" s="1488"/>
      <c r="AQ303" s="1488"/>
      <c r="AR303" s="1488"/>
      <c r="AS303" s="1488"/>
      <c r="AT303" s="1542"/>
      <c r="AU303" s="1599">
        <f t="shared" si="186"/>
        <v>0</v>
      </c>
      <c r="AV303" s="1544">
        <f t="shared" si="214"/>
        <v>0</v>
      </c>
      <c r="AW303" s="1452">
        <f t="shared" si="187"/>
        <v>0</v>
      </c>
      <c r="AX303" s="1452">
        <f t="shared" si="188"/>
        <v>0</v>
      </c>
      <c r="AY303" s="1452">
        <f t="shared" si="189"/>
        <v>0</v>
      </c>
      <c r="AZ303" s="1452">
        <f t="shared" si="190"/>
        <v>0</v>
      </c>
      <c r="BA303" s="1452">
        <f t="shared" si="191"/>
        <v>0</v>
      </c>
      <c r="BB303" s="1452">
        <f t="shared" si="192"/>
        <v>0</v>
      </c>
      <c r="BC303" s="1452">
        <f t="shared" si="193"/>
        <v>0</v>
      </c>
      <c r="BD303" s="1452">
        <f t="shared" si="194"/>
        <v>0</v>
      </c>
      <c r="BE303" s="1452">
        <f t="shared" si="195"/>
        <v>0</v>
      </c>
      <c r="BF303" s="1452">
        <f t="shared" si="196"/>
        <v>0</v>
      </c>
      <c r="BG303" s="1452">
        <f t="shared" si="197"/>
        <v>0</v>
      </c>
      <c r="BH303" s="1452">
        <f t="shared" si="198"/>
        <v>0</v>
      </c>
      <c r="BI303" s="1452">
        <f t="shared" si="215"/>
        <v>0</v>
      </c>
      <c r="BJ303" s="1452" t="str">
        <f t="shared" si="199"/>
        <v/>
      </c>
      <c r="BK303" s="1452" t="str">
        <f t="shared" si="200"/>
        <v/>
      </c>
      <c r="BL303" s="1452" t="str">
        <f t="shared" si="201"/>
        <v/>
      </c>
      <c r="BM303" s="1452" t="str">
        <f t="shared" si="202"/>
        <v/>
      </c>
      <c r="BN303" s="1452" t="str">
        <f t="shared" ca="1" si="203"/>
        <v/>
      </c>
      <c r="BO303" s="1452" t="str">
        <f t="shared" si="216"/>
        <v/>
      </c>
      <c r="BP303" s="1452" t="str">
        <f t="shared" si="204"/>
        <v/>
      </c>
      <c r="BQ303" s="1452" t="str">
        <f t="shared" si="205"/>
        <v/>
      </c>
      <c r="BR303" s="1452" t="str">
        <f t="shared" si="206"/>
        <v/>
      </c>
      <c r="BS303" s="1452" t="str">
        <f t="shared" si="207"/>
        <v/>
      </c>
      <c r="BT303" s="1452" t="str">
        <f t="shared" si="208"/>
        <v/>
      </c>
      <c r="BU303" s="1452" t="str">
        <f t="shared" si="209"/>
        <v/>
      </c>
      <c r="BV303" s="1452" t="str">
        <f t="shared" si="210"/>
        <v/>
      </c>
      <c r="BW303" s="1558">
        <f t="shared" ca="1" si="217"/>
        <v>0</v>
      </c>
    </row>
    <row r="304" spans="1:75" s="9" customFormat="1" ht="12.5">
      <c r="A304" s="1483" t="str">
        <f t="shared" si="211"/>
        <v>Public Health Wales Trust</v>
      </c>
      <c r="B304" s="1583"/>
      <c r="C304" s="1583"/>
      <c r="D304" s="1583"/>
      <c r="E304" s="1581"/>
      <c r="F304" s="1436"/>
      <c r="G304" s="1547">
        <f t="shared" si="212"/>
        <v>0</v>
      </c>
      <c r="H304" s="1484"/>
      <c r="I304" s="1547">
        <f t="shared" si="213"/>
        <v>0</v>
      </c>
      <c r="J304" s="1485"/>
      <c r="K304" s="1485"/>
      <c r="L304" s="1436"/>
      <c r="M304" s="1439"/>
      <c r="N304" s="1439"/>
      <c r="O304" s="1485"/>
      <c r="P304" s="1486"/>
      <c r="Q304" s="1486"/>
      <c r="R304" s="1487"/>
      <c r="S304" s="1444"/>
      <c r="T304" s="1444"/>
      <c r="U304" s="1444"/>
      <c r="V304" s="1488"/>
      <c r="W304" s="1488"/>
      <c r="X304" s="1488"/>
      <c r="Y304" s="1488"/>
      <c r="Z304" s="1488"/>
      <c r="AA304" s="1488"/>
      <c r="AB304" s="1488"/>
      <c r="AC304" s="1488"/>
      <c r="AD304" s="1488"/>
      <c r="AE304" s="1488"/>
      <c r="AF304" s="1488"/>
      <c r="AG304" s="1488"/>
      <c r="AH304" s="1451">
        <f t="shared" si="185"/>
        <v>0</v>
      </c>
      <c r="AI304" s="1488"/>
      <c r="AJ304" s="1488"/>
      <c r="AK304" s="1488"/>
      <c r="AL304" s="1488"/>
      <c r="AM304" s="1488"/>
      <c r="AN304" s="1488"/>
      <c r="AO304" s="1488"/>
      <c r="AP304" s="1488"/>
      <c r="AQ304" s="1488"/>
      <c r="AR304" s="1488"/>
      <c r="AS304" s="1488"/>
      <c r="AT304" s="1542"/>
      <c r="AU304" s="1599">
        <f t="shared" si="186"/>
        <v>0</v>
      </c>
      <c r="AV304" s="1544">
        <f t="shared" si="214"/>
        <v>0</v>
      </c>
      <c r="AW304" s="1452">
        <f t="shared" si="187"/>
        <v>0</v>
      </c>
      <c r="AX304" s="1452">
        <f t="shared" si="188"/>
        <v>0</v>
      </c>
      <c r="AY304" s="1452">
        <f t="shared" si="189"/>
        <v>0</v>
      </c>
      <c r="AZ304" s="1452">
        <f t="shared" si="190"/>
        <v>0</v>
      </c>
      <c r="BA304" s="1452">
        <f t="shared" si="191"/>
        <v>0</v>
      </c>
      <c r="BB304" s="1452">
        <f t="shared" si="192"/>
        <v>0</v>
      </c>
      <c r="BC304" s="1452">
        <f t="shared" si="193"/>
        <v>0</v>
      </c>
      <c r="BD304" s="1452">
        <f t="shared" si="194"/>
        <v>0</v>
      </c>
      <c r="BE304" s="1452">
        <f t="shared" si="195"/>
        <v>0</v>
      </c>
      <c r="BF304" s="1452">
        <f t="shared" si="196"/>
        <v>0</v>
      </c>
      <c r="BG304" s="1452">
        <f t="shared" si="197"/>
        <v>0</v>
      </c>
      <c r="BH304" s="1452">
        <f t="shared" si="198"/>
        <v>0</v>
      </c>
      <c r="BI304" s="1452">
        <f t="shared" si="215"/>
        <v>0</v>
      </c>
      <c r="BJ304" s="1452" t="str">
        <f t="shared" si="199"/>
        <v/>
      </c>
      <c r="BK304" s="1452" t="str">
        <f t="shared" si="200"/>
        <v/>
      </c>
      <c r="BL304" s="1452" t="str">
        <f t="shared" si="201"/>
        <v/>
      </c>
      <c r="BM304" s="1452" t="str">
        <f t="shared" si="202"/>
        <v/>
      </c>
      <c r="BN304" s="1452" t="str">
        <f t="shared" ca="1" si="203"/>
        <v/>
      </c>
      <c r="BO304" s="1452" t="str">
        <f t="shared" si="216"/>
        <v/>
      </c>
      <c r="BP304" s="1452" t="str">
        <f t="shared" si="204"/>
        <v/>
      </c>
      <c r="BQ304" s="1452" t="str">
        <f t="shared" si="205"/>
        <v/>
      </c>
      <c r="BR304" s="1452" t="str">
        <f t="shared" si="206"/>
        <v/>
      </c>
      <c r="BS304" s="1452" t="str">
        <f t="shared" si="207"/>
        <v/>
      </c>
      <c r="BT304" s="1452" t="str">
        <f t="shared" si="208"/>
        <v/>
      </c>
      <c r="BU304" s="1452" t="str">
        <f t="shared" si="209"/>
        <v/>
      </c>
      <c r="BV304" s="1452" t="str">
        <f t="shared" si="210"/>
        <v/>
      </c>
      <c r="BW304" s="1558">
        <f t="shared" ca="1" si="217"/>
        <v>0</v>
      </c>
    </row>
    <row r="305" spans="1:75" s="9" customFormat="1" ht="12.5">
      <c r="A305" s="1483" t="str">
        <f t="shared" si="211"/>
        <v>Public Health Wales Trust</v>
      </c>
      <c r="B305" s="1583"/>
      <c r="C305" s="1583"/>
      <c r="D305" s="1583"/>
      <c r="E305" s="1581"/>
      <c r="F305" s="1436"/>
      <c r="G305" s="1547">
        <f t="shared" si="212"/>
        <v>0</v>
      </c>
      <c r="H305" s="1484"/>
      <c r="I305" s="1547">
        <f t="shared" si="213"/>
        <v>0</v>
      </c>
      <c r="J305" s="1485"/>
      <c r="K305" s="1485"/>
      <c r="L305" s="1436"/>
      <c r="M305" s="1439"/>
      <c r="N305" s="1439"/>
      <c r="O305" s="1485"/>
      <c r="P305" s="1486"/>
      <c r="Q305" s="1486"/>
      <c r="R305" s="1487"/>
      <c r="S305" s="1444"/>
      <c r="T305" s="1444"/>
      <c r="U305" s="1444"/>
      <c r="V305" s="1488"/>
      <c r="W305" s="1488"/>
      <c r="X305" s="1488"/>
      <c r="Y305" s="1488"/>
      <c r="Z305" s="1488"/>
      <c r="AA305" s="1488"/>
      <c r="AB305" s="1488"/>
      <c r="AC305" s="1488"/>
      <c r="AD305" s="1488"/>
      <c r="AE305" s="1488"/>
      <c r="AF305" s="1488"/>
      <c r="AG305" s="1488"/>
      <c r="AH305" s="1451">
        <f t="shared" si="185"/>
        <v>0</v>
      </c>
      <c r="AI305" s="1488"/>
      <c r="AJ305" s="1488"/>
      <c r="AK305" s="1488"/>
      <c r="AL305" s="1488"/>
      <c r="AM305" s="1488"/>
      <c r="AN305" s="1488"/>
      <c r="AO305" s="1488"/>
      <c r="AP305" s="1488"/>
      <c r="AQ305" s="1488"/>
      <c r="AR305" s="1488"/>
      <c r="AS305" s="1488"/>
      <c r="AT305" s="1542"/>
      <c r="AU305" s="1599">
        <f t="shared" si="186"/>
        <v>0</v>
      </c>
      <c r="AV305" s="1544">
        <f t="shared" si="214"/>
        <v>0</v>
      </c>
      <c r="AW305" s="1452">
        <f t="shared" si="187"/>
        <v>0</v>
      </c>
      <c r="AX305" s="1452">
        <f t="shared" si="188"/>
        <v>0</v>
      </c>
      <c r="AY305" s="1452">
        <f t="shared" si="189"/>
        <v>0</v>
      </c>
      <c r="AZ305" s="1452">
        <f t="shared" si="190"/>
        <v>0</v>
      </c>
      <c r="BA305" s="1452">
        <f t="shared" si="191"/>
        <v>0</v>
      </c>
      <c r="BB305" s="1452">
        <f t="shared" si="192"/>
        <v>0</v>
      </c>
      <c r="BC305" s="1452">
        <f t="shared" si="193"/>
        <v>0</v>
      </c>
      <c r="BD305" s="1452">
        <f t="shared" si="194"/>
        <v>0</v>
      </c>
      <c r="BE305" s="1452">
        <f t="shared" si="195"/>
        <v>0</v>
      </c>
      <c r="BF305" s="1452">
        <f t="shared" si="196"/>
        <v>0</v>
      </c>
      <c r="BG305" s="1452">
        <f t="shared" si="197"/>
        <v>0</v>
      </c>
      <c r="BH305" s="1452">
        <f t="shared" si="198"/>
        <v>0</v>
      </c>
      <c r="BI305" s="1452">
        <f t="shared" si="215"/>
        <v>0</v>
      </c>
      <c r="BJ305" s="1452" t="str">
        <f t="shared" si="199"/>
        <v/>
      </c>
      <c r="BK305" s="1452" t="str">
        <f t="shared" si="200"/>
        <v/>
      </c>
      <c r="BL305" s="1452" t="str">
        <f t="shared" si="201"/>
        <v/>
      </c>
      <c r="BM305" s="1452" t="str">
        <f t="shared" si="202"/>
        <v/>
      </c>
      <c r="BN305" s="1452" t="str">
        <f t="shared" ca="1" si="203"/>
        <v/>
      </c>
      <c r="BO305" s="1452" t="str">
        <f t="shared" si="216"/>
        <v/>
      </c>
      <c r="BP305" s="1452" t="str">
        <f t="shared" si="204"/>
        <v/>
      </c>
      <c r="BQ305" s="1452" t="str">
        <f t="shared" si="205"/>
        <v/>
      </c>
      <c r="BR305" s="1452" t="str">
        <f t="shared" si="206"/>
        <v/>
      </c>
      <c r="BS305" s="1452" t="str">
        <f t="shared" si="207"/>
        <v/>
      </c>
      <c r="BT305" s="1452" t="str">
        <f t="shared" si="208"/>
        <v/>
      </c>
      <c r="BU305" s="1452" t="str">
        <f t="shared" si="209"/>
        <v/>
      </c>
      <c r="BV305" s="1452" t="str">
        <f t="shared" si="210"/>
        <v/>
      </c>
      <c r="BW305" s="1558">
        <f t="shared" ca="1" si="217"/>
        <v>0</v>
      </c>
    </row>
    <row r="306" spans="1:75" s="9" customFormat="1" ht="12.5">
      <c r="A306" s="1483" t="str">
        <f t="shared" si="211"/>
        <v>Public Health Wales Trust</v>
      </c>
      <c r="B306" s="1583"/>
      <c r="C306" s="1583"/>
      <c r="D306" s="1583"/>
      <c r="E306" s="1581"/>
      <c r="F306" s="1436"/>
      <c r="G306" s="1547">
        <f t="shared" si="212"/>
        <v>0</v>
      </c>
      <c r="H306" s="1484"/>
      <c r="I306" s="1547">
        <f t="shared" si="213"/>
        <v>0</v>
      </c>
      <c r="J306" s="1485"/>
      <c r="K306" s="1485"/>
      <c r="L306" s="1436"/>
      <c r="M306" s="1439"/>
      <c r="N306" s="1439"/>
      <c r="O306" s="1485"/>
      <c r="P306" s="1486"/>
      <c r="Q306" s="1486"/>
      <c r="R306" s="1487"/>
      <c r="S306" s="1444"/>
      <c r="T306" s="1444"/>
      <c r="U306" s="1444"/>
      <c r="V306" s="1488"/>
      <c r="W306" s="1488"/>
      <c r="X306" s="1488"/>
      <c r="Y306" s="1488"/>
      <c r="Z306" s="1488"/>
      <c r="AA306" s="1488"/>
      <c r="AB306" s="1488"/>
      <c r="AC306" s="1488"/>
      <c r="AD306" s="1488"/>
      <c r="AE306" s="1488"/>
      <c r="AF306" s="1488"/>
      <c r="AG306" s="1488"/>
      <c r="AH306" s="1451">
        <f t="shared" si="185"/>
        <v>0</v>
      </c>
      <c r="AI306" s="1488"/>
      <c r="AJ306" s="1488"/>
      <c r="AK306" s="1488"/>
      <c r="AL306" s="1488"/>
      <c r="AM306" s="1488"/>
      <c r="AN306" s="1488"/>
      <c r="AO306" s="1488"/>
      <c r="AP306" s="1488"/>
      <c r="AQ306" s="1488"/>
      <c r="AR306" s="1488"/>
      <c r="AS306" s="1488"/>
      <c r="AT306" s="1542"/>
      <c r="AU306" s="1599">
        <f t="shared" si="186"/>
        <v>0</v>
      </c>
      <c r="AV306" s="1544">
        <f t="shared" si="214"/>
        <v>0</v>
      </c>
      <c r="AW306" s="1452">
        <f t="shared" si="187"/>
        <v>0</v>
      </c>
      <c r="AX306" s="1452">
        <f t="shared" si="188"/>
        <v>0</v>
      </c>
      <c r="AY306" s="1452">
        <f t="shared" si="189"/>
        <v>0</v>
      </c>
      <c r="AZ306" s="1452">
        <f t="shared" si="190"/>
        <v>0</v>
      </c>
      <c r="BA306" s="1452">
        <f t="shared" si="191"/>
        <v>0</v>
      </c>
      <c r="BB306" s="1452">
        <f t="shared" si="192"/>
        <v>0</v>
      </c>
      <c r="BC306" s="1452">
        <f t="shared" si="193"/>
        <v>0</v>
      </c>
      <c r="BD306" s="1452">
        <f t="shared" si="194"/>
        <v>0</v>
      </c>
      <c r="BE306" s="1452">
        <f t="shared" si="195"/>
        <v>0</v>
      </c>
      <c r="BF306" s="1452">
        <f t="shared" si="196"/>
        <v>0</v>
      </c>
      <c r="BG306" s="1452">
        <f t="shared" si="197"/>
        <v>0</v>
      </c>
      <c r="BH306" s="1452">
        <f t="shared" si="198"/>
        <v>0</v>
      </c>
      <c r="BI306" s="1452">
        <f t="shared" si="215"/>
        <v>0</v>
      </c>
      <c r="BJ306" s="1452" t="str">
        <f t="shared" si="199"/>
        <v/>
      </c>
      <c r="BK306" s="1452" t="str">
        <f t="shared" si="200"/>
        <v/>
      </c>
      <c r="BL306" s="1452" t="str">
        <f t="shared" si="201"/>
        <v/>
      </c>
      <c r="BM306" s="1452" t="str">
        <f t="shared" si="202"/>
        <v/>
      </c>
      <c r="BN306" s="1452" t="str">
        <f t="shared" ca="1" si="203"/>
        <v/>
      </c>
      <c r="BO306" s="1452" t="str">
        <f t="shared" si="216"/>
        <v/>
      </c>
      <c r="BP306" s="1452" t="str">
        <f t="shared" si="204"/>
        <v/>
      </c>
      <c r="BQ306" s="1452" t="str">
        <f t="shared" si="205"/>
        <v/>
      </c>
      <c r="BR306" s="1452" t="str">
        <f t="shared" si="206"/>
        <v/>
      </c>
      <c r="BS306" s="1452" t="str">
        <f t="shared" si="207"/>
        <v/>
      </c>
      <c r="BT306" s="1452" t="str">
        <f t="shared" si="208"/>
        <v/>
      </c>
      <c r="BU306" s="1452" t="str">
        <f t="shared" si="209"/>
        <v/>
      </c>
      <c r="BV306" s="1452" t="str">
        <f t="shared" si="210"/>
        <v/>
      </c>
      <c r="BW306" s="1558">
        <f t="shared" ca="1" si="217"/>
        <v>0</v>
      </c>
    </row>
    <row r="307" spans="1:75" s="9" customFormat="1" ht="12.5">
      <c r="A307" s="1483" t="str">
        <f t="shared" si="211"/>
        <v>Public Health Wales Trust</v>
      </c>
      <c r="B307" s="1583"/>
      <c r="C307" s="1583"/>
      <c r="D307" s="1583"/>
      <c r="E307" s="1581"/>
      <c r="F307" s="1436"/>
      <c r="G307" s="1547">
        <f t="shared" si="212"/>
        <v>0</v>
      </c>
      <c r="H307" s="1484"/>
      <c r="I307" s="1547">
        <f t="shared" si="213"/>
        <v>0</v>
      </c>
      <c r="J307" s="1485"/>
      <c r="K307" s="1485"/>
      <c r="L307" s="1436"/>
      <c r="M307" s="1439"/>
      <c r="N307" s="1439"/>
      <c r="O307" s="1485"/>
      <c r="P307" s="1486"/>
      <c r="Q307" s="1486"/>
      <c r="R307" s="1487"/>
      <c r="S307" s="1444"/>
      <c r="T307" s="1444"/>
      <c r="U307" s="1444"/>
      <c r="V307" s="1488"/>
      <c r="W307" s="1488"/>
      <c r="X307" s="1488"/>
      <c r="Y307" s="1488"/>
      <c r="Z307" s="1488"/>
      <c r="AA307" s="1488"/>
      <c r="AB307" s="1488"/>
      <c r="AC307" s="1488"/>
      <c r="AD307" s="1488"/>
      <c r="AE307" s="1488"/>
      <c r="AF307" s="1488"/>
      <c r="AG307" s="1488"/>
      <c r="AH307" s="1451">
        <f t="shared" si="185"/>
        <v>0</v>
      </c>
      <c r="AI307" s="1488"/>
      <c r="AJ307" s="1488"/>
      <c r="AK307" s="1488"/>
      <c r="AL307" s="1488"/>
      <c r="AM307" s="1488"/>
      <c r="AN307" s="1488"/>
      <c r="AO307" s="1488"/>
      <c r="AP307" s="1488"/>
      <c r="AQ307" s="1488"/>
      <c r="AR307" s="1488"/>
      <c r="AS307" s="1488"/>
      <c r="AT307" s="1542"/>
      <c r="AU307" s="1599">
        <f t="shared" si="186"/>
        <v>0</v>
      </c>
      <c r="AV307" s="1544">
        <f t="shared" si="214"/>
        <v>0</v>
      </c>
      <c r="AW307" s="1452">
        <f t="shared" si="187"/>
        <v>0</v>
      </c>
      <c r="AX307" s="1452">
        <f t="shared" si="188"/>
        <v>0</v>
      </c>
      <c r="AY307" s="1452">
        <f t="shared" si="189"/>
        <v>0</v>
      </c>
      <c r="AZ307" s="1452">
        <f t="shared" si="190"/>
        <v>0</v>
      </c>
      <c r="BA307" s="1452">
        <f t="shared" si="191"/>
        <v>0</v>
      </c>
      <c r="BB307" s="1452">
        <f t="shared" si="192"/>
        <v>0</v>
      </c>
      <c r="BC307" s="1452">
        <f t="shared" si="193"/>
        <v>0</v>
      </c>
      <c r="BD307" s="1452">
        <f t="shared" si="194"/>
        <v>0</v>
      </c>
      <c r="BE307" s="1452">
        <f t="shared" si="195"/>
        <v>0</v>
      </c>
      <c r="BF307" s="1452">
        <f t="shared" si="196"/>
        <v>0</v>
      </c>
      <c r="BG307" s="1452">
        <f t="shared" si="197"/>
        <v>0</v>
      </c>
      <c r="BH307" s="1452">
        <f t="shared" si="198"/>
        <v>0</v>
      </c>
      <c r="BI307" s="1452">
        <f t="shared" si="215"/>
        <v>0</v>
      </c>
      <c r="BJ307" s="1452" t="str">
        <f t="shared" si="199"/>
        <v/>
      </c>
      <c r="BK307" s="1452" t="str">
        <f t="shared" si="200"/>
        <v/>
      </c>
      <c r="BL307" s="1452" t="str">
        <f t="shared" si="201"/>
        <v/>
      </c>
      <c r="BM307" s="1452" t="str">
        <f t="shared" si="202"/>
        <v/>
      </c>
      <c r="BN307" s="1452" t="str">
        <f t="shared" ca="1" si="203"/>
        <v/>
      </c>
      <c r="BO307" s="1452" t="str">
        <f t="shared" si="216"/>
        <v/>
      </c>
      <c r="BP307" s="1452" t="str">
        <f t="shared" si="204"/>
        <v/>
      </c>
      <c r="BQ307" s="1452" t="str">
        <f t="shared" si="205"/>
        <v/>
      </c>
      <c r="BR307" s="1452" t="str">
        <f t="shared" si="206"/>
        <v/>
      </c>
      <c r="BS307" s="1452" t="str">
        <f t="shared" si="207"/>
        <v/>
      </c>
      <c r="BT307" s="1452" t="str">
        <f t="shared" si="208"/>
        <v/>
      </c>
      <c r="BU307" s="1452" t="str">
        <f t="shared" si="209"/>
        <v/>
      </c>
      <c r="BV307" s="1452" t="str">
        <f t="shared" si="210"/>
        <v/>
      </c>
      <c r="BW307" s="1558">
        <f t="shared" ca="1" si="217"/>
        <v>0</v>
      </c>
    </row>
    <row r="308" spans="1:75" s="9" customFormat="1" ht="12.5">
      <c r="A308" s="1483" t="str">
        <f t="shared" si="211"/>
        <v>Public Health Wales Trust</v>
      </c>
      <c r="B308" s="1583"/>
      <c r="C308" s="1583"/>
      <c r="D308" s="1583"/>
      <c r="E308" s="1581"/>
      <c r="F308" s="1436"/>
      <c r="G308" s="1547">
        <f t="shared" si="212"/>
        <v>0</v>
      </c>
      <c r="H308" s="1484"/>
      <c r="I308" s="1547">
        <f t="shared" si="213"/>
        <v>0</v>
      </c>
      <c r="J308" s="1485"/>
      <c r="K308" s="1485"/>
      <c r="L308" s="1436"/>
      <c r="M308" s="1439"/>
      <c r="N308" s="1439"/>
      <c r="O308" s="1485"/>
      <c r="P308" s="1486"/>
      <c r="Q308" s="1486"/>
      <c r="R308" s="1487"/>
      <c r="S308" s="1444"/>
      <c r="T308" s="1444"/>
      <c r="U308" s="1444"/>
      <c r="V308" s="1488"/>
      <c r="W308" s="1488"/>
      <c r="X308" s="1488"/>
      <c r="Y308" s="1488"/>
      <c r="Z308" s="1488"/>
      <c r="AA308" s="1488"/>
      <c r="AB308" s="1488"/>
      <c r="AC308" s="1488"/>
      <c r="AD308" s="1488"/>
      <c r="AE308" s="1488"/>
      <c r="AF308" s="1488"/>
      <c r="AG308" s="1488"/>
      <c r="AH308" s="1451">
        <f t="shared" si="185"/>
        <v>0</v>
      </c>
      <c r="AI308" s="1488"/>
      <c r="AJ308" s="1488"/>
      <c r="AK308" s="1488"/>
      <c r="AL308" s="1488"/>
      <c r="AM308" s="1488"/>
      <c r="AN308" s="1488"/>
      <c r="AO308" s="1488"/>
      <c r="AP308" s="1488"/>
      <c r="AQ308" s="1488"/>
      <c r="AR308" s="1488"/>
      <c r="AS308" s="1488"/>
      <c r="AT308" s="1542"/>
      <c r="AU308" s="1599">
        <f t="shared" si="186"/>
        <v>0</v>
      </c>
      <c r="AV308" s="1544">
        <f t="shared" si="214"/>
        <v>0</v>
      </c>
      <c r="AW308" s="1452">
        <f t="shared" si="187"/>
        <v>0</v>
      </c>
      <c r="AX308" s="1452">
        <f t="shared" si="188"/>
        <v>0</v>
      </c>
      <c r="AY308" s="1452">
        <f t="shared" si="189"/>
        <v>0</v>
      </c>
      <c r="AZ308" s="1452">
        <f t="shared" si="190"/>
        <v>0</v>
      </c>
      <c r="BA308" s="1452">
        <f t="shared" si="191"/>
        <v>0</v>
      </c>
      <c r="BB308" s="1452">
        <f t="shared" si="192"/>
        <v>0</v>
      </c>
      <c r="BC308" s="1452">
        <f t="shared" si="193"/>
        <v>0</v>
      </c>
      <c r="BD308" s="1452">
        <f t="shared" si="194"/>
        <v>0</v>
      </c>
      <c r="BE308" s="1452">
        <f t="shared" si="195"/>
        <v>0</v>
      </c>
      <c r="BF308" s="1452">
        <f t="shared" si="196"/>
        <v>0</v>
      </c>
      <c r="BG308" s="1452">
        <f t="shared" si="197"/>
        <v>0</v>
      </c>
      <c r="BH308" s="1452">
        <f t="shared" si="198"/>
        <v>0</v>
      </c>
      <c r="BI308" s="1452">
        <f t="shared" si="215"/>
        <v>0</v>
      </c>
      <c r="BJ308" s="1452" t="str">
        <f t="shared" si="199"/>
        <v/>
      </c>
      <c r="BK308" s="1452" t="str">
        <f t="shared" si="200"/>
        <v/>
      </c>
      <c r="BL308" s="1452" t="str">
        <f t="shared" si="201"/>
        <v/>
      </c>
      <c r="BM308" s="1452" t="str">
        <f t="shared" si="202"/>
        <v/>
      </c>
      <c r="BN308" s="1452" t="str">
        <f t="shared" ca="1" si="203"/>
        <v/>
      </c>
      <c r="BO308" s="1452" t="str">
        <f t="shared" si="216"/>
        <v/>
      </c>
      <c r="BP308" s="1452" t="str">
        <f t="shared" si="204"/>
        <v/>
      </c>
      <c r="BQ308" s="1452" t="str">
        <f t="shared" si="205"/>
        <v/>
      </c>
      <c r="BR308" s="1452" t="str">
        <f t="shared" si="206"/>
        <v/>
      </c>
      <c r="BS308" s="1452" t="str">
        <f t="shared" si="207"/>
        <v/>
      </c>
      <c r="BT308" s="1452" t="str">
        <f t="shared" si="208"/>
        <v/>
      </c>
      <c r="BU308" s="1452" t="str">
        <f t="shared" si="209"/>
        <v/>
      </c>
      <c r="BV308" s="1452" t="str">
        <f t="shared" si="210"/>
        <v/>
      </c>
      <c r="BW308" s="1558">
        <f t="shared" ca="1" si="217"/>
        <v>0</v>
      </c>
    </row>
    <row r="309" spans="1:75" s="9" customFormat="1" ht="12.5">
      <c r="A309" s="1483" t="str">
        <f t="shared" si="211"/>
        <v>Public Health Wales Trust</v>
      </c>
      <c r="B309" s="1583"/>
      <c r="C309" s="1583"/>
      <c r="D309" s="1583"/>
      <c r="E309" s="1581"/>
      <c r="F309" s="1436"/>
      <c r="G309" s="1547">
        <f t="shared" si="212"/>
        <v>0</v>
      </c>
      <c r="H309" s="1484"/>
      <c r="I309" s="1547">
        <f t="shared" si="213"/>
        <v>0</v>
      </c>
      <c r="J309" s="1485"/>
      <c r="K309" s="1485"/>
      <c r="L309" s="1436"/>
      <c r="M309" s="1439"/>
      <c r="N309" s="1439"/>
      <c r="O309" s="1485"/>
      <c r="P309" s="1486"/>
      <c r="Q309" s="1486"/>
      <c r="R309" s="1487"/>
      <c r="S309" s="1444"/>
      <c r="T309" s="1444"/>
      <c r="U309" s="1444"/>
      <c r="V309" s="1488"/>
      <c r="W309" s="1488"/>
      <c r="X309" s="1488"/>
      <c r="Y309" s="1488"/>
      <c r="Z309" s="1488"/>
      <c r="AA309" s="1488"/>
      <c r="AB309" s="1488"/>
      <c r="AC309" s="1488"/>
      <c r="AD309" s="1488"/>
      <c r="AE309" s="1488"/>
      <c r="AF309" s="1488"/>
      <c r="AG309" s="1488"/>
      <c r="AH309" s="1451">
        <f t="shared" si="185"/>
        <v>0</v>
      </c>
      <c r="AI309" s="1488"/>
      <c r="AJ309" s="1488"/>
      <c r="AK309" s="1488"/>
      <c r="AL309" s="1488"/>
      <c r="AM309" s="1488"/>
      <c r="AN309" s="1488"/>
      <c r="AO309" s="1488"/>
      <c r="AP309" s="1488"/>
      <c r="AQ309" s="1488"/>
      <c r="AR309" s="1488"/>
      <c r="AS309" s="1488"/>
      <c r="AT309" s="1542"/>
      <c r="AU309" s="1599">
        <f t="shared" si="186"/>
        <v>0</v>
      </c>
      <c r="AV309" s="1544">
        <f t="shared" si="214"/>
        <v>0</v>
      </c>
      <c r="AW309" s="1452">
        <f t="shared" si="187"/>
        <v>0</v>
      </c>
      <c r="AX309" s="1452">
        <f t="shared" si="188"/>
        <v>0</v>
      </c>
      <c r="AY309" s="1452">
        <f t="shared" si="189"/>
        <v>0</v>
      </c>
      <c r="AZ309" s="1452">
        <f t="shared" si="190"/>
        <v>0</v>
      </c>
      <c r="BA309" s="1452">
        <f t="shared" si="191"/>
        <v>0</v>
      </c>
      <c r="BB309" s="1452">
        <f t="shared" si="192"/>
        <v>0</v>
      </c>
      <c r="BC309" s="1452">
        <f t="shared" si="193"/>
        <v>0</v>
      </c>
      <c r="BD309" s="1452">
        <f t="shared" si="194"/>
        <v>0</v>
      </c>
      <c r="BE309" s="1452">
        <f t="shared" si="195"/>
        <v>0</v>
      </c>
      <c r="BF309" s="1452">
        <f t="shared" si="196"/>
        <v>0</v>
      </c>
      <c r="BG309" s="1452">
        <f t="shared" si="197"/>
        <v>0</v>
      </c>
      <c r="BH309" s="1452">
        <f t="shared" si="198"/>
        <v>0</v>
      </c>
      <c r="BI309" s="1452">
        <f t="shared" si="215"/>
        <v>0</v>
      </c>
      <c r="BJ309" s="1452" t="str">
        <f t="shared" si="199"/>
        <v/>
      </c>
      <c r="BK309" s="1452" t="str">
        <f t="shared" si="200"/>
        <v/>
      </c>
      <c r="BL309" s="1452" t="str">
        <f t="shared" si="201"/>
        <v/>
      </c>
      <c r="BM309" s="1452" t="str">
        <f t="shared" si="202"/>
        <v/>
      </c>
      <c r="BN309" s="1452" t="str">
        <f t="shared" ca="1" si="203"/>
        <v/>
      </c>
      <c r="BO309" s="1452" t="str">
        <f t="shared" si="216"/>
        <v/>
      </c>
      <c r="BP309" s="1452" t="str">
        <f t="shared" si="204"/>
        <v/>
      </c>
      <c r="BQ309" s="1452" t="str">
        <f t="shared" si="205"/>
        <v/>
      </c>
      <c r="BR309" s="1452" t="str">
        <f t="shared" si="206"/>
        <v/>
      </c>
      <c r="BS309" s="1452" t="str">
        <f t="shared" si="207"/>
        <v/>
      </c>
      <c r="BT309" s="1452" t="str">
        <f t="shared" si="208"/>
        <v/>
      </c>
      <c r="BU309" s="1452" t="str">
        <f t="shared" si="209"/>
        <v/>
      </c>
      <c r="BV309" s="1452" t="str">
        <f t="shared" si="210"/>
        <v/>
      </c>
      <c r="BW309" s="1558">
        <f t="shared" ca="1" si="217"/>
        <v>0</v>
      </c>
    </row>
    <row r="310" spans="1:75" s="9" customFormat="1" ht="12.5">
      <c r="A310" s="1483" t="str">
        <f t="shared" si="211"/>
        <v>Public Health Wales Trust</v>
      </c>
      <c r="B310" s="1583"/>
      <c r="C310" s="1583"/>
      <c r="D310" s="1583"/>
      <c r="E310" s="1581"/>
      <c r="F310" s="1436"/>
      <c r="G310" s="1547">
        <f t="shared" si="212"/>
        <v>0</v>
      </c>
      <c r="H310" s="1484"/>
      <c r="I310" s="1547">
        <f t="shared" si="213"/>
        <v>0</v>
      </c>
      <c r="J310" s="1485"/>
      <c r="K310" s="1485"/>
      <c r="L310" s="1436"/>
      <c r="M310" s="1439"/>
      <c r="N310" s="1439"/>
      <c r="O310" s="1485"/>
      <c r="P310" s="1486"/>
      <c r="Q310" s="1486"/>
      <c r="R310" s="1487"/>
      <c r="S310" s="1444"/>
      <c r="T310" s="1444"/>
      <c r="U310" s="1444"/>
      <c r="V310" s="1488"/>
      <c r="W310" s="1488"/>
      <c r="X310" s="1488"/>
      <c r="Y310" s="1488"/>
      <c r="Z310" s="1488"/>
      <c r="AA310" s="1488"/>
      <c r="AB310" s="1488"/>
      <c r="AC310" s="1488"/>
      <c r="AD310" s="1488"/>
      <c r="AE310" s="1488"/>
      <c r="AF310" s="1488"/>
      <c r="AG310" s="1488"/>
      <c r="AH310" s="1451">
        <f t="shared" si="185"/>
        <v>0</v>
      </c>
      <c r="AI310" s="1488"/>
      <c r="AJ310" s="1488"/>
      <c r="AK310" s="1488"/>
      <c r="AL310" s="1488"/>
      <c r="AM310" s="1488"/>
      <c r="AN310" s="1488"/>
      <c r="AO310" s="1488"/>
      <c r="AP310" s="1488"/>
      <c r="AQ310" s="1488"/>
      <c r="AR310" s="1488"/>
      <c r="AS310" s="1488"/>
      <c r="AT310" s="1542"/>
      <c r="AU310" s="1599">
        <f t="shared" si="186"/>
        <v>0</v>
      </c>
      <c r="AV310" s="1544">
        <f t="shared" si="214"/>
        <v>0</v>
      </c>
      <c r="AW310" s="1452">
        <f t="shared" si="187"/>
        <v>0</v>
      </c>
      <c r="AX310" s="1452">
        <f t="shared" si="188"/>
        <v>0</v>
      </c>
      <c r="AY310" s="1452">
        <f t="shared" si="189"/>
        <v>0</v>
      </c>
      <c r="AZ310" s="1452">
        <f t="shared" si="190"/>
        <v>0</v>
      </c>
      <c r="BA310" s="1452">
        <f t="shared" si="191"/>
        <v>0</v>
      </c>
      <c r="BB310" s="1452">
        <f t="shared" si="192"/>
        <v>0</v>
      </c>
      <c r="BC310" s="1452">
        <f t="shared" si="193"/>
        <v>0</v>
      </c>
      <c r="BD310" s="1452">
        <f t="shared" si="194"/>
        <v>0</v>
      </c>
      <c r="BE310" s="1452">
        <f t="shared" si="195"/>
        <v>0</v>
      </c>
      <c r="BF310" s="1452">
        <f t="shared" si="196"/>
        <v>0</v>
      </c>
      <c r="BG310" s="1452">
        <f t="shared" si="197"/>
        <v>0</v>
      </c>
      <c r="BH310" s="1452">
        <f t="shared" si="198"/>
        <v>0</v>
      </c>
      <c r="BI310" s="1452">
        <f t="shared" si="215"/>
        <v>0</v>
      </c>
      <c r="BJ310" s="1452" t="str">
        <f t="shared" si="199"/>
        <v/>
      </c>
      <c r="BK310" s="1452" t="str">
        <f t="shared" si="200"/>
        <v/>
      </c>
      <c r="BL310" s="1452" t="str">
        <f t="shared" si="201"/>
        <v/>
      </c>
      <c r="BM310" s="1452" t="str">
        <f t="shared" si="202"/>
        <v/>
      </c>
      <c r="BN310" s="1452" t="str">
        <f t="shared" ca="1" si="203"/>
        <v/>
      </c>
      <c r="BO310" s="1452" t="str">
        <f t="shared" si="216"/>
        <v/>
      </c>
      <c r="BP310" s="1452" t="str">
        <f t="shared" si="204"/>
        <v/>
      </c>
      <c r="BQ310" s="1452" t="str">
        <f t="shared" si="205"/>
        <v/>
      </c>
      <c r="BR310" s="1452" t="str">
        <f t="shared" si="206"/>
        <v/>
      </c>
      <c r="BS310" s="1452" t="str">
        <f t="shared" si="207"/>
        <v/>
      </c>
      <c r="BT310" s="1452" t="str">
        <f t="shared" si="208"/>
        <v/>
      </c>
      <c r="BU310" s="1452" t="str">
        <f t="shared" si="209"/>
        <v/>
      </c>
      <c r="BV310" s="1452" t="str">
        <f t="shared" si="210"/>
        <v/>
      </c>
      <c r="BW310" s="1558">
        <f t="shared" ca="1" si="217"/>
        <v>0</v>
      </c>
    </row>
    <row r="311" spans="1:75" s="9" customFormat="1" ht="12.5">
      <c r="A311" s="1483" t="str">
        <f t="shared" si="211"/>
        <v>Public Health Wales Trust</v>
      </c>
      <c r="B311" s="1583"/>
      <c r="C311" s="1583"/>
      <c r="D311" s="1583"/>
      <c r="E311" s="1581"/>
      <c r="F311" s="1436"/>
      <c r="G311" s="1547">
        <f t="shared" si="212"/>
        <v>0</v>
      </c>
      <c r="H311" s="1484"/>
      <c r="I311" s="1547">
        <f t="shared" si="213"/>
        <v>0</v>
      </c>
      <c r="J311" s="1485"/>
      <c r="K311" s="1485"/>
      <c r="L311" s="1436"/>
      <c r="M311" s="1439"/>
      <c r="N311" s="1439"/>
      <c r="O311" s="1485"/>
      <c r="P311" s="1486"/>
      <c r="Q311" s="1486"/>
      <c r="R311" s="1487"/>
      <c r="S311" s="1444"/>
      <c r="T311" s="1444"/>
      <c r="U311" s="1444"/>
      <c r="V311" s="1488"/>
      <c r="W311" s="1488"/>
      <c r="X311" s="1488"/>
      <c r="Y311" s="1488"/>
      <c r="Z311" s="1488"/>
      <c r="AA311" s="1488"/>
      <c r="AB311" s="1488"/>
      <c r="AC311" s="1488"/>
      <c r="AD311" s="1488"/>
      <c r="AE311" s="1488"/>
      <c r="AF311" s="1488"/>
      <c r="AG311" s="1488"/>
      <c r="AH311" s="1451">
        <f t="shared" si="185"/>
        <v>0</v>
      </c>
      <c r="AI311" s="1488"/>
      <c r="AJ311" s="1488"/>
      <c r="AK311" s="1488"/>
      <c r="AL311" s="1488"/>
      <c r="AM311" s="1488"/>
      <c r="AN311" s="1488"/>
      <c r="AO311" s="1488"/>
      <c r="AP311" s="1488"/>
      <c r="AQ311" s="1488"/>
      <c r="AR311" s="1488"/>
      <c r="AS311" s="1488"/>
      <c r="AT311" s="1542"/>
      <c r="AU311" s="1599">
        <f t="shared" si="186"/>
        <v>0</v>
      </c>
      <c r="AV311" s="1544">
        <f t="shared" si="214"/>
        <v>0</v>
      </c>
      <c r="AW311" s="1452">
        <f t="shared" si="187"/>
        <v>0</v>
      </c>
      <c r="AX311" s="1452">
        <f t="shared" si="188"/>
        <v>0</v>
      </c>
      <c r="AY311" s="1452">
        <f t="shared" si="189"/>
        <v>0</v>
      </c>
      <c r="AZ311" s="1452">
        <f t="shared" si="190"/>
        <v>0</v>
      </c>
      <c r="BA311" s="1452">
        <f t="shared" si="191"/>
        <v>0</v>
      </c>
      <c r="BB311" s="1452">
        <f t="shared" si="192"/>
        <v>0</v>
      </c>
      <c r="BC311" s="1452">
        <f t="shared" si="193"/>
        <v>0</v>
      </c>
      <c r="BD311" s="1452">
        <f t="shared" si="194"/>
        <v>0</v>
      </c>
      <c r="BE311" s="1452">
        <f t="shared" si="195"/>
        <v>0</v>
      </c>
      <c r="BF311" s="1452">
        <f t="shared" si="196"/>
        <v>0</v>
      </c>
      <c r="BG311" s="1452">
        <f t="shared" si="197"/>
        <v>0</v>
      </c>
      <c r="BH311" s="1452">
        <f t="shared" si="198"/>
        <v>0</v>
      </c>
      <c r="BI311" s="1452">
        <f t="shared" si="215"/>
        <v>0</v>
      </c>
      <c r="BJ311" s="1452" t="str">
        <f t="shared" si="199"/>
        <v/>
      </c>
      <c r="BK311" s="1452" t="str">
        <f t="shared" si="200"/>
        <v/>
      </c>
      <c r="BL311" s="1452" t="str">
        <f t="shared" si="201"/>
        <v/>
      </c>
      <c r="BM311" s="1452" t="str">
        <f t="shared" si="202"/>
        <v/>
      </c>
      <c r="BN311" s="1452" t="str">
        <f t="shared" ca="1" si="203"/>
        <v/>
      </c>
      <c r="BO311" s="1452" t="str">
        <f t="shared" si="216"/>
        <v/>
      </c>
      <c r="BP311" s="1452" t="str">
        <f t="shared" si="204"/>
        <v/>
      </c>
      <c r="BQ311" s="1452" t="str">
        <f t="shared" si="205"/>
        <v/>
      </c>
      <c r="BR311" s="1452" t="str">
        <f t="shared" si="206"/>
        <v/>
      </c>
      <c r="BS311" s="1452" t="str">
        <f t="shared" si="207"/>
        <v/>
      </c>
      <c r="BT311" s="1452" t="str">
        <f t="shared" si="208"/>
        <v/>
      </c>
      <c r="BU311" s="1452" t="str">
        <f t="shared" si="209"/>
        <v/>
      </c>
      <c r="BV311" s="1452" t="str">
        <f t="shared" si="210"/>
        <v/>
      </c>
      <c r="BW311" s="1558">
        <f t="shared" ca="1" si="217"/>
        <v>0</v>
      </c>
    </row>
    <row r="312" spans="1:75" s="9" customFormat="1" ht="12.5">
      <c r="A312" s="1483" t="str">
        <f t="shared" si="211"/>
        <v>Public Health Wales Trust</v>
      </c>
      <c r="B312" s="1583"/>
      <c r="C312" s="1583"/>
      <c r="D312" s="1583"/>
      <c r="E312" s="1581"/>
      <c r="F312" s="1436"/>
      <c r="G312" s="1547">
        <f t="shared" si="212"/>
        <v>0</v>
      </c>
      <c r="H312" s="1484"/>
      <c r="I312" s="1547">
        <f t="shared" si="213"/>
        <v>0</v>
      </c>
      <c r="J312" s="1485"/>
      <c r="K312" s="1485"/>
      <c r="L312" s="1436"/>
      <c r="M312" s="1439"/>
      <c r="N312" s="1439"/>
      <c r="O312" s="1485"/>
      <c r="P312" s="1486"/>
      <c r="Q312" s="1486"/>
      <c r="R312" s="1487"/>
      <c r="S312" s="1444"/>
      <c r="T312" s="1444"/>
      <c r="U312" s="1444"/>
      <c r="V312" s="1488"/>
      <c r="W312" s="1488"/>
      <c r="X312" s="1488"/>
      <c r="Y312" s="1488"/>
      <c r="Z312" s="1488"/>
      <c r="AA312" s="1488"/>
      <c r="AB312" s="1488"/>
      <c r="AC312" s="1488"/>
      <c r="AD312" s="1488"/>
      <c r="AE312" s="1488"/>
      <c r="AF312" s="1488"/>
      <c r="AG312" s="1488"/>
      <c r="AH312" s="1451">
        <f t="shared" si="185"/>
        <v>0</v>
      </c>
      <c r="AI312" s="1488"/>
      <c r="AJ312" s="1488"/>
      <c r="AK312" s="1488"/>
      <c r="AL312" s="1488"/>
      <c r="AM312" s="1488"/>
      <c r="AN312" s="1488"/>
      <c r="AO312" s="1488"/>
      <c r="AP312" s="1488"/>
      <c r="AQ312" s="1488"/>
      <c r="AR312" s="1488"/>
      <c r="AS312" s="1488"/>
      <c r="AT312" s="1542"/>
      <c r="AU312" s="1599">
        <f t="shared" si="186"/>
        <v>0</v>
      </c>
      <c r="AV312" s="1544">
        <f t="shared" si="214"/>
        <v>0</v>
      </c>
      <c r="AW312" s="1452">
        <f t="shared" si="187"/>
        <v>0</v>
      </c>
      <c r="AX312" s="1452">
        <f t="shared" si="188"/>
        <v>0</v>
      </c>
      <c r="AY312" s="1452">
        <f t="shared" si="189"/>
        <v>0</v>
      </c>
      <c r="AZ312" s="1452">
        <f t="shared" si="190"/>
        <v>0</v>
      </c>
      <c r="BA312" s="1452">
        <f t="shared" si="191"/>
        <v>0</v>
      </c>
      <c r="BB312" s="1452">
        <f t="shared" si="192"/>
        <v>0</v>
      </c>
      <c r="BC312" s="1452">
        <f t="shared" si="193"/>
        <v>0</v>
      </c>
      <c r="BD312" s="1452">
        <f t="shared" si="194"/>
        <v>0</v>
      </c>
      <c r="BE312" s="1452">
        <f t="shared" si="195"/>
        <v>0</v>
      </c>
      <c r="BF312" s="1452">
        <f t="shared" si="196"/>
        <v>0</v>
      </c>
      <c r="BG312" s="1452">
        <f t="shared" si="197"/>
        <v>0</v>
      </c>
      <c r="BH312" s="1452">
        <f t="shared" si="198"/>
        <v>0</v>
      </c>
      <c r="BI312" s="1452">
        <f t="shared" si="215"/>
        <v>0</v>
      </c>
      <c r="BJ312" s="1452" t="str">
        <f t="shared" si="199"/>
        <v/>
      </c>
      <c r="BK312" s="1452" t="str">
        <f t="shared" si="200"/>
        <v/>
      </c>
      <c r="BL312" s="1452" t="str">
        <f t="shared" si="201"/>
        <v/>
      </c>
      <c r="BM312" s="1452" t="str">
        <f t="shared" si="202"/>
        <v/>
      </c>
      <c r="BN312" s="1452" t="str">
        <f t="shared" ca="1" si="203"/>
        <v/>
      </c>
      <c r="BO312" s="1452" t="str">
        <f t="shared" si="216"/>
        <v/>
      </c>
      <c r="BP312" s="1452" t="str">
        <f t="shared" si="204"/>
        <v/>
      </c>
      <c r="BQ312" s="1452" t="str">
        <f t="shared" si="205"/>
        <v/>
      </c>
      <c r="BR312" s="1452" t="str">
        <f t="shared" si="206"/>
        <v/>
      </c>
      <c r="BS312" s="1452" t="str">
        <f t="shared" si="207"/>
        <v/>
      </c>
      <c r="BT312" s="1452" t="str">
        <f t="shared" si="208"/>
        <v/>
      </c>
      <c r="BU312" s="1452" t="str">
        <f t="shared" si="209"/>
        <v/>
      </c>
      <c r="BV312" s="1452" t="str">
        <f t="shared" si="210"/>
        <v/>
      </c>
      <c r="BW312" s="1558">
        <f t="shared" ca="1" si="217"/>
        <v>0</v>
      </c>
    </row>
    <row r="313" spans="1:75" s="9" customFormat="1" ht="12.5">
      <c r="A313" s="1483" t="str">
        <f t="shared" si="211"/>
        <v>Public Health Wales Trust</v>
      </c>
      <c r="B313" s="1583"/>
      <c r="C313" s="1583"/>
      <c r="D313" s="1583"/>
      <c r="E313" s="1581"/>
      <c r="F313" s="1436"/>
      <c r="G313" s="1547">
        <f t="shared" si="212"/>
        <v>0</v>
      </c>
      <c r="H313" s="1484"/>
      <c r="I313" s="1547">
        <f t="shared" si="213"/>
        <v>0</v>
      </c>
      <c r="J313" s="1485"/>
      <c r="K313" s="1485"/>
      <c r="L313" s="1436"/>
      <c r="M313" s="1439"/>
      <c r="N313" s="1439"/>
      <c r="O313" s="1485"/>
      <c r="P313" s="1486"/>
      <c r="Q313" s="1486"/>
      <c r="R313" s="1487"/>
      <c r="S313" s="1444"/>
      <c r="T313" s="1444"/>
      <c r="U313" s="1444"/>
      <c r="V313" s="1488"/>
      <c r="W313" s="1488"/>
      <c r="X313" s="1488"/>
      <c r="Y313" s="1488"/>
      <c r="Z313" s="1488"/>
      <c r="AA313" s="1488"/>
      <c r="AB313" s="1488"/>
      <c r="AC313" s="1488"/>
      <c r="AD313" s="1488"/>
      <c r="AE313" s="1488"/>
      <c r="AF313" s="1488"/>
      <c r="AG313" s="1488"/>
      <c r="AH313" s="1451">
        <f t="shared" si="185"/>
        <v>0</v>
      </c>
      <c r="AI313" s="1488"/>
      <c r="AJ313" s="1488"/>
      <c r="AK313" s="1488"/>
      <c r="AL313" s="1488"/>
      <c r="AM313" s="1488"/>
      <c r="AN313" s="1488"/>
      <c r="AO313" s="1488"/>
      <c r="AP313" s="1488"/>
      <c r="AQ313" s="1488"/>
      <c r="AR313" s="1488"/>
      <c r="AS313" s="1488"/>
      <c r="AT313" s="1542"/>
      <c r="AU313" s="1599">
        <f t="shared" si="186"/>
        <v>0</v>
      </c>
      <c r="AV313" s="1544">
        <f t="shared" si="214"/>
        <v>0</v>
      </c>
      <c r="AW313" s="1452">
        <f t="shared" si="187"/>
        <v>0</v>
      </c>
      <c r="AX313" s="1452">
        <f t="shared" si="188"/>
        <v>0</v>
      </c>
      <c r="AY313" s="1452">
        <f t="shared" si="189"/>
        <v>0</v>
      </c>
      <c r="AZ313" s="1452">
        <f t="shared" si="190"/>
        <v>0</v>
      </c>
      <c r="BA313" s="1452">
        <f t="shared" si="191"/>
        <v>0</v>
      </c>
      <c r="BB313" s="1452">
        <f t="shared" si="192"/>
        <v>0</v>
      </c>
      <c r="BC313" s="1452">
        <f t="shared" si="193"/>
        <v>0</v>
      </c>
      <c r="BD313" s="1452">
        <f t="shared" si="194"/>
        <v>0</v>
      </c>
      <c r="BE313" s="1452">
        <f t="shared" si="195"/>
        <v>0</v>
      </c>
      <c r="BF313" s="1452">
        <f t="shared" si="196"/>
        <v>0</v>
      </c>
      <c r="BG313" s="1452">
        <f t="shared" si="197"/>
        <v>0</v>
      </c>
      <c r="BH313" s="1452">
        <f t="shared" si="198"/>
        <v>0</v>
      </c>
      <c r="BI313" s="1452">
        <f t="shared" si="215"/>
        <v>0</v>
      </c>
      <c r="BJ313" s="1452" t="str">
        <f t="shared" si="199"/>
        <v/>
      </c>
      <c r="BK313" s="1452" t="str">
        <f t="shared" si="200"/>
        <v/>
      </c>
      <c r="BL313" s="1452" t="str">
        <f t="shared" si="201"/>
        <v/>
      </c>
      <c r="BM313" s="1452" t="str">
        <f t="shared" si="202"/>
        <v/>
      </c>
      <c r="BN313" s="1452" t="str">
        <f t="shared" ca="1" si="203"/>
        <v/>
      </c>
      <c r="BO313" s="1452" t="str">
        <f t="shared" si="216"/>
        <v/>
      </c>
      <c r="BP313" s="1452" t="str">
        <f t="shared" si="204"/>
        <v/>
      </c>
      <c r="BQ313" s="1452" t="str">
        <f t="shared" si="205"/>
        <v/>
      </c>
      <c r="BR313" s="1452" t="str">
        <f t="shared" si="206"/>
        <v/>
      </c>
      <c r="BS313" s="1452" t="str">
        <f t="shared" si="207"/>
        <v/>
      </c>
      <c r="BT313" s="1452" t="str">
        <f t="shared" si="208"/>
        <v/>
      </c>
      <c r="BU313" s="1452" t="str">
        <f t="shared" si="209"/>
        <v/>
      </c>
      <c r="BV313" s="1452" t="str">
        <f t="shared" si="210"/>
        <v/>
      </c>
      <c r="BW313" s="1558">
        <f t="shared" ca="1" si="217"/>
        <v>0</v>
      </c>
    </row>
    <row r="314" spans="1:75" s="9" customFormat="1" ht="12.5">
      <c r="A314" s="1483" t="str">
        <f t="shared" si="211"/>
        <v>Public Health Wales Trust</v>
      </c>
      <c r="B314" s="1583"/>
      <c r="C314" s="1583"/>
      <c r="D314" s="1583"/>
      <c r="E314" s="1581"/>
      <c r="F314" s="1436"/>
      <c r="G314" s="1547">
        <f t="shared" si="212"/>
        <v>0</v>
      </c>
      <c r="H314" s="1484"/>
      <c r="I314" s="1547">
        <f t="shared" si="213"/>
        <v>0</v>
      </c>
      <c r="J314" s="1485"/>
      <c r="K314" s="1485"/>
      <c r="L314" s="1436"/>
      <c r="M314" s="1439"/>
      <c r="N314" s="1439"/>
      <c r="O314" s="1485"/>
      <c r="P314" s="1486"/>
      <c r="Q314" s="1486"/>
      <c r="R314" s="1487"/>
      <c r="S314" s="1444"/>
      <c r="T314" s="1444"/>
      <c r="U314" s="1444"/>
      <c r="V314" s="1488"/>
      <c r="W314" s="1488"/>
      <c r="X314" s="1488"/>
      <c r="Y314" s="1488"/>
      <c r="Z314" s="1488"/>
      <c r="AA314" s="1488"/>
      <c r="AB314" s="1488"/>
      <c r="AC314" s="1488"/>
      <c r="AD314" s="1488"/>
      <c r="AE314" s="1488"/>
      <c r="AF314" s="1488"/>
      <c r="AG314" s="1488"/>
      <c r="AH314" s="1451">
        <f t="shared" si="185"/>
        <v>0</v>
      </c>
      <c r="AI314" s="1488"/>
      <c r="AJ314" s="1488"/>
      <c r="AK314" s="1488"/>
      <c r="AL314" s="1488"/>
      <c r="AM314" s="1488"/>
      <c r="AN314" s="1488"/>
      <c r="AO314" s="1488"/>
      <c r="AP314" s="1488"/>
      <c r="AQ314" s="1488"/>
      <c r="AR314" s="1488"/>
      <c r="AS314" s="1488"/>
      <c r="AT314" s="1542"/>
      <c r="AU314" s="1599">
        <f t="shared" si="186"/>
        <v>0</v>
      </c>
      <c r="AV314" s="1544">
        <f t="shared" si="214"/>
        <v>0</v>
      </c>
      <c r="AW314" s="1452">
        <f t="shared" si="187"/>
        <v>0</v>
      </c>
      <c r="AX314" s="1452">
        <f t="shared" si="188"/>
        <v>0</v>
      </c>
      <c r="AY314" s="1452">
        <f t="shared" si="189"/>
        <v>0</v>
      </c>
      <c r="AZ314" s="1452">
        <f t="shared" si="190"/>
        <v>0</v>
      </c>
      <c r="BA314" s="1452">
        <f t="shared" si="191"/>
        <v>0</v>
      </c>
      <c r="BB314" s="1452">
        <f t="shared" si="192"/>
        <v>0</v>
      </c>
      <c r="BC314" s="1452">
        <f t="shared" si="193"/>
        <v>0</v>
      </c>
      <c r="BD314" s="1452">
        <f t="shared" si="194"/>
        <v>0</v>
      </c>
      <c r="BE314" s="1452">
        <f t="shared" si="195"/>
        <v>0</v>
      </c>
      <c r="BF314" s="1452">
        <f t="shared" si="196"/>
        <v>0</v>
      </c>
      <c r="BG314" s="1452">
        <f t="shared" si="197"/>
        <v>0</v>
      </c>
      <c r="BH314" s="1452">
        <f t="shared" si="198"/>
        <v>0</v>
      </c>
      <c r="BI314" s="1452">
        <f t="shared" si="215"/>
        <v>0</v>
      </c>
      <c r="BJ314" s="1452" t="str">
        <f t="shared" si="199"/>
        <v/>
      </c>
      <c r="BK314" s="1452" t="str">
        <f t="shared" si="200"/>
        <v/>
      </c>
      <c r="BL314" s="1452" t="str">
        <f t="shared" si="201"/>
        <v/>
      </c>
      <c r="BM314" s="1452" t="str">
        <f t="shared" si="202"/>
        <v/>
      </c>
      <c r="BN314" s="1452" t="str">
        <f t="shared" ca="1" si="203"/>
        <v/>
      </c>
      <c r="BO314" s="1452" t="str">
        <f t="shared" si="216"/>
        <v/>
      </c>
      <c r="BP314" s="1452" t="str">
        <f t="shared" si="204"/>
        <v/>
      </c>
      <c r="BQ314" s="1452" t="str">
        <f t="shared" si="205"/>
        <v/>
      </c>
      <c r="BR314" s="1452" t="str">
        <f t="shared" si="206"/>
        <v/>
      </c>
      <c r="BS314" s="1452" t="str">
        <f t="shared" si="207"/>
        <v/>
      </c>
      <c r="BT314" s="1452" t="str">
        <f t="shared" si="208"/>
        <v/>
      </c>
      <c r="BU314" s="1452" t="str">
        <f t="shared" si="209"/>
        <v/>
      </c>
      <c r="BV314" s="1452" t="str">
        <f t="shared" si="210"/>
        <v/>
      </c>
      <c r="BW314" s="1558">
        <f t="shared" ca="1" si="217"/>
        <v>0</v>
      </c>
    </row>
    <row r="315" spans="1:75" s="9" customFormat="1" ht="12.5">
      <c r="A315" s="1483" t="str">
        <f t="shared" si="211"/>
        <v>Public Health Wales Trust</v>
      </c>
      <c r="B315" s="1583"/>
      <c r="C315" s="1583"/>
      <c r="D315" s="1583"/>
      <c r="E315" s="1581"/>
      <c r="F315" s="1436"/>
      <c r="G315" s="1547">
        <f t="shared" si="212"/>
        <v>0</v>
      </c>
      <c r="H315" s="1484"/>
      <c r="I315" s="1547">
        <f t="shared" si="213"/>
        <v>0</v>
      </c>
      <c r="J315" s="1485"/>
      <c r="K315" s="1485"/>
      <c r="L315" s="1436"/>
      <c r="M315" s="1439"/>
      <c r="N315" s="1439"/>
      <c r="O315" s="1485"/>
      <c r="P315" s="1486"/>
      <c r="Q315" s="1486"/>
      <c r="R315" s="1487"/>
      <c r="S315" s="1444"/>
      <c r="T315" s="1444"/>
      <c r="U315" s="1444"/>
      <c r="V315" s="1488"/>
      <c r="W315" s="1488"/>
      <c r="X315" s="1488"/>
      <c r="Y315" s="1488"/>
      <c r="Z315" s="1488"/>
      <c r="AA315" s="1488"/>
      <c r="AB315" s="1488"/>
      <c r="AC315" s="1488"/>
      <c r="AD315" s="1488"/>
      <c r="AE315" s="1488"/>
      <c r="AF315" s="1488"/>
      <c r="AG315" s="1488"/>
      <c r="AH315" s="1451">
        <f t="shared" si="185"/>
        <v>0</v>
      </c>
      <c r="AI315" s="1488"/>
      <c r="AJ315" s="1488"/>
      <c r="AK315" s="1488"/>
      <c r="AL315" s="1488"/>
      <c r="AM315" s="1488"/>
      <c r="AN315" s="1488"/>
      <c r="AO315" s="1488"/>
      <c r="AP315" s="1488"/>
      <c r="AQ315" s="1488"/>
      <c r="AR315" s="1488"/>
      <c r="AS315" s="1488"/>
      <c r="AT315" s="1542"/>
      <c r="AU315" s="1599">
        <f t="shared" si="186"/>
        <v>0</v>
      </c>
      <c r="AV315" s="1544">
        <f t="shared" si="214"/>
        <v>0</v>
      </c>
      <c r="AW315" s="1452">
        <f t="shared" si="187"/>
        <v>0</v>
      </c>
      <c r="AX315" s="1452">
        <f t="shared" si="188"/>
        <v>0</v>
      </c>
      <c r="AY315" s="1452">
        <f t="shared" si="189"/>
        <v>0</v>
      </c>
      <c r="AZ315" s="1452">
        <f t="shared" si="190"/>
        <v>0</v>
      </c>
      <c r="BA315" s="1452">
        <f t="shared" si="191"/>
        <v>0</v>
      </c>
      <c r="BB315" s="1452">
        <f t="shared" si="192"/>
        <v>0</v>
      </c>
      <c r="BC315" s="1452">
        <f t="shared" si="193"/>
        <v>0</v>
      </c>
      <c r="BD315" s="1452">
        <f t="shared" si="194"/>
        <v>0</v>
      </c>
      <c r="BE315" s="1452">
        <f t="shared" si="195"/>
        <v>0</v>
      </c>
      <c r="BF315" s="1452">
        <f t="shared" si="196"/>
        <v>0</v>
      </c>
      <c r="BG315" s="1452">
        <f t="shared" si="197"/>
        <v>0</v>
      </c>
      <c r="BH315" s="1452">
        <f t="shared" si="198"/>
        <v>0</v>
      </c>
      <c r="BI315" s="1452">
        <f t="shared" si="215"/>
        <v>0</v>
      </c>
      <c r="BJ315" s="1452" t="str">
        <f t="shared" si="199"/>
        <v/>
      </c>
      <c r="BK315" s="1452" t="str">
        <f t="shared" si="200"/>
        <v/>
      </c>
      <c r="BL315" s="1452" t="str">
        <f t="shared" si="201"/>
        <v/>
      </c>
      <c r="BM315" s="1452" t="str">
        <f t="shared" si="202"/>
        <v/>
      </c>
      <c r="BN315" s="1452" t="str">
        <f t="shared" ca="1" si="203"/>
        <v/>
      </c>
      <c r="BO315" s="1452" t="str">
        <f t="shared" si="216"/>
        <v/>
      </c>
      <c r="BP315" s="1452" t="str">
        <f t="shared" si="204"/>
        <v/>
      </c>
      <c r="BQ315" s="1452" t="str">
        <f t="shared" si="205"/>
        <v/>
      </c>
      <c r="BR315" s="1452" t="str">
        <f t="shared" si="206"/>
        <v/>
      </c>
      <c r="BS315" s="1452" t="str">
        <f t="shared" si="207"/>
        <v/>
      </c>
      <c r="BT315" s="1452" t="str">
        <f t="shared" si="208"/>
        <v/>
      </c>
      <c r="BU315" s="1452" t="str">
        <f t="shared" si="209"/>
        <v/>
      </c>
      <c r="BV315" s="1452" t="str">
        <f t="shared" si="210"/>
        <v/>
      </c>
      <c r="BW315" s="1558">
        <f t="shared" ca="1" si="217"/>
        <v>0</v>
      </c>
    </row>
    <row r="316" spans="1:75" s="9" customFormat="1" ht="12.5">
      <c r="A316" s="1483" t="str">
        <f t="shared" si="211"/>
        <v>Public Health Wales Trust</v>
      </c>
      <c r="B316" s="1584"/>
      <c r="C316" s="1584"/>
      <c r="D316" s="1583"/>
      <c r="E316" s="1581"/>
      <c r="F316" s="1436"/>
      <c r="G316" s="1547">
        <f t="shared" si="212"/>
        <v>0</v>
      </c>
      <c r="H316" s="1484"/>
      <c r="I316" s="1547">
        <f t="shared" si="213"/>
        <v>0</v>
      </c>
      <c r="J316" s="1485"/>
      <c r="K316" s="1485"/>
      <c r="L316" s="1436"/>
      <c r="M316" s="1439"/>
      <c r="N316" s="1439"/>
      <c r="O316" s="1485"/>
      <c r="P316" s="1486"/>
      <c r="Q316" s="1486"/>
      <c r="R316" s="1487"/>
      <c r="S316" s="1444"/>
      <c r="T316" s="1444"/>
      <c r="U316" s="1444"/>
      <c r="V316" s="1488"/>
      <c r="W316" s="1488"/>
      <c r="X316" s="1488"/>
      <c r="Y316" s="1488"/>
      <c r="Z316" s="1488"/>
      <c r="AA316" s="1488"/>
      <c r="AB316" s="1488"/>
      <c r="AC316" s="1488"/>
      <c r="AD316" s="1488"/>
      <c r="AE316" s="1488"/>
      <c r="AF316" s="1488"/>
      <c r="AG316" s="1488"/>
      <c r="AH316" s="1451">
        <f t="shared" si="185"/>
        <v>0</v>
      </c>
      <c r="AI316" s="1488"/>
      <c r="AJ316" s="1488"/>
      <c r="AK316" s="1488"/>
      <c r="AL316" s="1488"/>
      <c r="AM316" s="1488"/>
      <c r="AN316" s="1488"/>
      <c r="AO316" s="1488"/>
      <c r="AP316" s="1488"/>
      <c r="AQ316" s="1488"/>
      <c r="AR316" s="1488"/>
      <c r="AS316" s="1488"/>
      <c r="AT316" s="1542"/>
      <c r="AU316" s="1599">
        <f t="shared" si="186"/>
        <v>0</v>
      </c>
      <c r="AV316" s="1544">
        <f t="shared" si="214"/>
        <v>0</v>
      </c>
      <c r="AW316" s="1452">
        <f t="shared" si="187"/>
        <v>0</v>
      </c>
      <c r="AX316" s="1452">
        <f t="shared" si="188"/>
        <v>0</v>
      </c>
      <c r="AY316" s="1452">
        <f t="shared" si="189"/>
        <v>0</v>
      </c>
      <c r="AZ316" s="1452">
        <f t="shared" si="190"/>
        <v>0</v>
      </c>
      <c r="BA316" s="1452">
        <f t="shared" si="191"/>
        <v>0</v>
      </c>
      <c r="BB316" s="1452">
        <f t="shared" si="192"/>
        <v>0</v>
      </c>
      <c r="BC316" s="1452">
        <f t="shared" si="193"/>
        <v>0</v>
      </c>
      <c r="BD316" s="1452">
        <f t="shared" si="194"/>
        <v>0</v>
      </c>
      <c r="BE316" s="1452">
        <f t="shared" si="195"/>
        <v>0</v>
      </c>
      <c r="BF316" s="1452">
        <f t="shared" si="196"/>
        <v>0</v>
      </c>
      <c r="BG316" s="1452">
        <f t="shared" si="197"/>
        <v>0</v>
      </c>
      <c r="BH316" s="1452">
        <f t="shared" si="198"/>
        <v>0</v>
      </c>
      <c r="BI316" s="1452">
        <f t="shared" si="215"/>
        <v>0</v>
      </c>
      <c r="BJ316" s="1452" t="str">
        <f t="shared" si="199"/>
        <v/>
      </c>
      <c r="BK316" s="1452" t="str">
        <f t="shared" si="200"/>
        <v/>
      </c>
      <c r="BL316" s="1452" t="str">
        <f t="shared" si="201"/>
        <v/>
      </c>
      <c r="BM316" s="1452" t="str">
        <f t="shared" si="202"/>
        <v/>
      </c>
      <c r="BN316" s="1452" t="str">
        <f t="shared" ca="1" si="203"/>
        <v/>
      </c>
      <c r="BO316" s="1452" t="str">
        <f t="shared" si="216"/>
        <v/>
      </c>
      <c r="BP316" s="1452" t="str">
        <f t="shared" si="204"/>
        <v/>
      </c>
      <c r="BQ316" s="1452" t="str">
        <f t="shared" si="205"/>
        <v/>
      </c>
      <c r="BR316" s="1452" t="str">
        <f t="shared" si="206"/>
        <v/>
      </c>
      <c r="BS316" s="1452" t="str">
        <f t="shared" si="207"/>
        <v/>
      </c>
      <c r="BT316" s="1452" t="str">
        <f t="shared" si="208"/>
        <v/>
      </c>
      <c r="BU316" s="1452" t="str">
        <f t="shared" si="209"/>
        <v/>
      </c>
      <c r="BV316" s="1452" t="str">
        <f t="shared" si="210"/>
        <v/>
      </c>
      <c r="BW316" s="1558">
        <f t="shared" ca="1" si="217"/>
        <v>0</v>
      </c>
    </row>
    <row r="317" spans="1:75" s="9" customFormat="1" ht="12.5">
      <c r="A317" s="1483" t="str">
        <f t="shared" si="211"/>
        <v>Public Health Wales Trust</v>
      </c>
      <c r="B317" s="1584"/>
      <c r="C317" s="1584"/>
      <c r="D317" s="1583"/>
      <c r="E317" s="1581"/>
      <c r="F317" s="1436"/>
      <c r="G317" s="1547">
        <f t="shared" si="212"/>
        <v>0</v>
      </c>
      <c r="H317" s="1484"/>
      <c r="I317" s="1547">
        <f t="shared" si="213"/>
        <v>0</v>
      </c>
      <c r="J317" s="1485"/>
      <c r="K317" s="1485"/>
      <c r="L317" s="1436"/>
      <c r="M317" s="1439"/>
      <c r="N317" s="1439"/>
      <c r="O317" s="1485"/>
      <c r="P317" s="1486"/>
      <c r="Q317" s="1486"/>
      <c r="R317" s="1487"/>
      <c r="S317" s="1444"/>
      <c r="T317" s="1444"/>
      <c r="U317" s="1444"/>
      <c r="V317" s="1488"/>
      <c r="W317" s="1488"/>
      <c r="X317" s="1488"/>
      <c r="Y317" s="1488"/>
      <c r="Z317" s="1488"/>
      <c r="AA317" s="1488"/>
      <c r="AB317" s="1488"/>
      <c r="AC317" s="1488"/>
      <c r="AD317" s="1488"/>
      <c r="AE317" s="1488"/>
      <c r="AF317" s="1488"/>
      <c r="AG317" s="1488"/>
      <c r="AH317" s="1451">
        <f t="shared" si="185"/>
        <v>0</v>
      </c>
      <c r="AI317" s="1488"/>
      <c r="AJ317" s="1488"/>
      <c r="AK317" s="1488"/>
      <c r="AL317" s="1488"/>
      <c r="AM317" s="1488"/>
      <c r="AN317" s="1488"/>
      <c r="AO317" s="1488"/>
      <c r="AP317" s="1488"/>
      <c r="AQ317" s="1488"/>
      <c r="AR317" s="1488"/>
      <c r="AS317" s="1488"/>
      <c r="AT317" s="1542"/>
      <c r="AU317" s="1599">
        <f t="shared" si="186"/>
        <v>0</v>
      </c>
      <c r="AV317" s="1544">
        <f t="shared" si="214"/>
        <v>0</v>
      </c>
      <c r="AW317" s="1452">
        <f t="shared" si="187"/>
        <v>0</v>
      </c>
      <c r="AX317" s="1452">
        <f t="shared" si="188"/>
        <v>0</v>
      </c>
      <c r="AY317" s="1452">
        <f t="shared" si="189"/>
        <v>0</v>
      </c>
      <c r="AZ317" s="1452">
        <f t="shared" si="190"/>
        <v>0</v>
      </c>
      <c r="BA317" s="1452">
        <f t="shared" si="191"/>
        <v>0</v>
      </c>
      <c r="BB317" s="1452">
        <f t="shared" si="192"/>
        <v>0</v>
      </c>
      <c r="BC317" s="1452">
        <f t="shared" si="193"/>
        <v>0</v>
      </c>
      <c r="BD317" s="1452">
        <f t="shared" si="194"/>
        <v>0</v>
      </c>
      <c r="BE317" s="1452">
        <f t="shared" si="195"/>
        <v>0</v>
      </c>
      <c r="BF317" s="1452">
        <f t="shared" si="196"/>
        <v>0</v>
      </c>
      <c r="BG317" s="1452">
        <f t="shared" si="197"/>
        <v>0</v>
      </c>
      <c r="BH317" s="1452">
        <f t="shared" si="198"/>
        <v>0</v>
      </c>
      <c r="BI317" s="1452">
        <f t="shared" si="215"/>
        <v>0</v>
      </c>
      <c r="BJ317" s="1452" t="str">
        <f t="shared" si="199"/>
        <v/>
      </c>
      <c r="BK317" s="1452" t="str">
        <f t="shared" si="200"/>
        <v/>
      </c>
      <c r="BL317" s="1452" t="str">
        <f t="shared" si="201"/>
        <v/>
      </c>
      <c r="BM317" s="1452" t="str">
        <f t="shared" si="202"/>
        <v/>
      </c>
      <c r="BN317" s="1452" t="str">
        <f t="shared" ca="1" si="203"/>
        <v/>
      </c>
      <c r="BO317" s="1452" t="str">
        <f t="shared" si="216"/>
        <v/>
      </c>
      <c r="BP317" s="1452" t="str">
        <f t="shared" si="204"/>
        <v/>
      </c>
      <c r="BQ317" s="1452" t="str">
        <f t="shared" si="205"/>
        <v/>
      </c>
      <c r="BR317" s="1452" t="str">
        <f t="shared" si="206"/>
        <v/>
      </c>
      <c r="BS317" s="1452" t="str">
        <f t="shared" si="207"/>
        <v/>
      </c>
      <c r="BT317" s="1452" t="str">
        <f t="shared" si="208"/>
        <v/>
      </c>
      <c r="BU317" s="1452" t="str">
        <f t="shared" si="209"/>
        <v/>
      </c>
      <c r="BV317" s="1452" t="str">
        <f t="shared" si="210"/>
        <v/>
      </c>
      <c r="BW317" s="1558">
        <f t="shared" ca="1" si="217"/>
        <v>0</v>
      </c>
    </row>
    <row r="318" spans="1:75" s="9" customFormat="1" ht="12.5">
      <c r="A318" s="1483" t="str">
        <f t="shared" si="211"/>
        <v>Public Health Wales Trust</v>
      </c>
      <c r="B318" s="1584"/>
      <c r="C318" s="1584"/>
      <c r="D318" s="1583"/>
      <c r="E318" s="1581"/>
      <c r="F318" s="1436"/>
      <c r="G318" s="1547">
        <f t="shared" si="212"/>
        <v>0</v>
      </c>
      <c r="H318" s="1484"/>
      <c r="I318" s="1547">
        <f t="shared" si="213"/>
        <v>0</v>
      </c>
      <c r="J318" s="1485"/>
      <c r="K318" s="1485"/>
      <c r="L318" s="1436"/>
      <c r="M318" s="1439"/>
      <c r="N318" s="1439"/>
      <c r="O318" s="1485"/>
      <c r="P318" s="1486"/>
      <c r="Q318" s="1486"/>
      <c r="R318" s="1487"/>
      <c r="S318" s="1444"/>
      <c r="T318" s="1444"/>
      <c r="U318" s="1444"/>
      <c r="V318" s="1488"/>
      <c r="W318" s="1488"/>
      <c r="X318" s="1488"/>
      <c r="Y318" s="1488"/>
      <c r="Z318" s="1488"/>
      <c r="AA318" s="1488"/>
      <c r="AB318" s="1488"/>
      <c r="AC318" s="1488"/>
      <c r="AD318" s="1488"/>
      <c r="AE318" s="1488"/>
      <c r="AF318" s="1488"/>
      <c r="AG318" s="1488"/>
      <c r="AH318" s="1451">
        <f t="shared" si="185"/>
        <v>0</v>
      </c>
      <c r="AI318" s="1488"/>
      <c r="AJ318" s="1488"/>
      <c r="AK318" s="1488"/>
      <c r="AL318" s="1488"/>
      <c r="AM318" s="1488"/>
      <c r="AN318" s="1488"/>
      <c r="AO318" s="1488"/>
      <c r="AP318" s="1488"/>
      <c r="AQ318" s="1488"/>
      <c r="AR318" s="1488"/>
      <c r="AS318" s="1488"/>
      <c r="AT318" s="1542"/>
      <c r="AU318" s="1599">
        <f t="shared" si="186"/>
        <v>0</v>
      </c>
      <c r="AV318" s="1544">
        <f t="shared" si="214"/>
        <v>0</v>
      </c>
      <c r="AW318" s="1452">
        <f t="shared" si="187"/>
        <v>0</v>
      </c>
      <c r="AX318" s="1452">
        <f t="shared" si="188"/>
        <v>0</v>
      </c>
      <c r="AY318" s="1452">
        <f t="shared" si="189"/>
        <v>0</v>
      </c>
      <c r="AZ318" s="1452">
        <f t="shared" si="190"/>
        <v>0</v>
      </c>
      <c r="BA318" s="1452">
        <f t="shared" si="191"/>
        <v>0</v>
      </c>
      <c r="BB318" s="1452">
        <f t="shared" si="192"/>
        <v>0</v>
      </c>
      <c r="BC318" s="1452">
        <f t="shared" si="193"/>
        <v>0</v>
      </c>
      <c r="BD318" s="1452">
        <f t="shared" si="194"/>
        <v>0</v>
      </c>
      <c r="BE318" s="1452">
        <f t="shared" si="195"/>
        <v>0</v>
      </c>
      <c r="BF318" s="1452">
        <f t="shared" si="196"/>
        <v>0</v>
      </c>
      <c r="BG318" s="1452">
        <f t="shared" si="197"/>
        <v>0</v>
      </c>
      <c r="BH318" s="1452">
        <f t="shared" si="198"/>
        <v>0</v>
      </c>
      <c r="BI318" s="1452">
        <f t="shared" si="215"/>
        <v>0</v>
      </c>
      <c r="BJ318" s="1452" t="str">
        <f t="shared" si="199"/>
        <v/>
      </c>
      <c r="BK318" s="1452" t="str">
        <f t="shared" si="200"/>
        <v/>
      </c>
      <c r="BL318" s="1452" t="str">
        <f t="shared" si="201"/>
        <v/>
      </c>
      <c r="BM318" s="1452" t="str">
        <f t="shared" si="202"/>
        <v/>
      </c>
      <c r="BN318" s="1452" t="str">
        <f t="shared" ca="1" si="203"/>
        <v/>
      </c>
      <c r="BO318" s="1452" t="str">
        <f t="shared" si="216"/>
        <v/>
      </c>
      <c r="BP318" s="1452" t="str">
        <f t="shared" si="204"/>
        <v/>
      </c>
      <c r="BQ318" s="1452" t="str">
        <f t="shared" si="205"/>
        <v/>
      </c>
      <c r="BR318" s="1452" t="str">
        <f t="shared" si="206"/>
        <v/>
      </c>
      <c r="BS318" s="1452" t="str">
        <f t="shared" si="207"/>
        <v/>
      </c>
      <c r="BT318" s="1452" t="str">
        <f t="shared" si="208"/>
        <v/>
      </c>
      <c r="BU318" s="1452" t="str">
        <f t="shared" si="209"/>
        <v/>
      </c>
      <c r="BV318" s="1452" t="str">
        <f t="shared" si="210"/>
        <v/>
      </c>
      <c r="BW318" s="1558">
        <f t="shared" ca="1" si="217"/>
        <v>0</v>
      </c>
    </row>
    <row r="319" spans="1:75" s="9" customFormat="1" ht="12.5">
      <c r="A319" s="1483" t="str">
        <f t="shared" si="211"/>
        <v>Public Health Wales Trust</v>
      </c>
      <c r="B319" s="1584"/>
      <c r="C319" s="1584"/>
      <c r="D319" s="1583"/>
      <c r="E319" s="1581"/>
      <c r="F319" s="1436"/>
      <c r="G319" s="1547">
        <f t="shared" si="212"/>
        <v>0</v>
      </c>
      <c r="H319" s="1484"/>
      <c r="I319" s="1547">
        <f t="shared" si="213"/>
        <v>0</v>
      </c>
      <c r="J319" s="1485"/>
      <c r="K319" s="1485"/>
      <c r="L319" s="1436"/>
      <c r="M319" s="1439"/>
      <c r="N319" s="1439"/>
      <c r="O319" s="1485"/>
      <c r="P319" s="1486"/>
      <c r="Q319" s="1486"/>
      <c r="R319" s="1487"/>
      <c r="S319" s="1444"/>
      <c r="T319" s="1444"/>
      <c r="U319" s="1444"/>
      <c r="V319" s="1488"/>
      <c r="W319" s="1488"/>
      <c r="X319" s="1488"/>
      <c r="Y319" s="1488"/>
      <c r="Z319" s="1488"/>
      <c r="AA319" s="1488"/>
      <c r="AB319" s="1488"/>
      <c r="AC319" s="1488"/>
      <c r="AD319" s="1488"/>
      <c r="AE319" s="1488"/>
      <c r="AF319" s="1488"/>
      <c r="AG319" s="1488"/>
      <c r="AH319" s="1451">
        <f t="shared" si="185"/>
        <v>0</v>
      </c>
      <c r="AI319" s="1488"/>
      <c r="AJ319" s="1488"/>
      <c r="AK319" s="1488"/>
      <c r="AL319" s="1488"/>
      <c r="AM319" s="1488"/>
      <c r="AN319" s="1488"/>
      <c r="AO319" s="1488"/>
      <c r="AP319" s="1488"/>
      <c r="AQ319" s="1488"/>
      <c r="AR319" s="1488"/>
      <c r="AS319" s="1488"/>
      <c r="AT319" s="1542"/>
      <c r="AU319" s="1599">
        <f t="shared" si="186"/>
        <v>0</v>
      </c>
      <c r="AV319" s="1544">
        <f t="shared" si="214"/>
        <v>0</v>
      </c>
      <c r="AW319" s="1452">
        <f t="shared" si="187"/>
        <v>0</v>
      </c>
      <c r="AX319" s="1452">
        <f t="shared" si="188"/>
        <v>0</v>
      </c>
      <c r="AY319" s="1452">
        <f t="shared" si="189"/>
        <v>0</v>
      </c>
      <c r="AZ319" s="1452">
        <f t="shared" si="190"/>
        <v>0</v>
      </c>
      <c r="BA319" s="1452">
        <f t="shared" si="191"/>
        <v>0</v>
      </c>
      <c r="BB319" s="1452">
        <f t="shared" si="192"/>
        <v>0</v>
      </c>
      <c r="BC319" s="1452">
        <f t="shared" si="193"/>
        <v>0</v>
      </c>
      <c r="BD319" s="1452">
        <f t="shared" si="194"/>
        <v>0</v>
      </c>
      <c r="BE319" s="1452">
        <f t="shared" si="195"/>
        <v>0</v>
      </c>
      <c r="BF319" s="1452">
        <f t="shared" si="196"/>
        <v>0</v>
      </c>
      <c r="BG319" s="1452">
        <f t="shared" si="197"/>
        <v>0</v>
      </c>
      <c r="BH319" s="1452">
        <f t="shared" si="198"/>
        <v>0</v>
      </c>
      <c r="BI319" s="1452">
        <f t="shared" si="215"/>
        <v>0</v>
      </c>
      <c r="BJ319" s="1452" t="str">
        <f t="shared" si="199"/>
        <v/>
      </c>
      <c r="BK319" s="1452" t="str">
        <f t="shared" si="200"/>
        <v/>
      </c>
      <c r="BL319" s="1452" t="str">
        <f t="shared" si="201"/>
        <v/>
      </c>
      <c r="BM319" s="1452" t="str">
        <f t="shared" si="202"/>
        <v/>
      </c>
      <c r="BN319" s="1452" t="str">
        <f t="shared" ca="1" si="203"/>
        <v/>
      </c>
      <c r="BO319" s="1452" t="str">
        <f t="shared" si="216"/>
        <v/>
      </c>
      <c r="BP319" s="1452" t="str">
        <f t="shared" si="204"/>
        <v/>
      </c>
      <c r="BQ319" s="1452" t="str">
        <f t="shared" si="205"/>
        <v/>
      </c>
      <c r="BR319" s="1452" t="str">
        <f t="shared" si="206"/>
        <v/>
      </c>
      <c r="BS319" s="1452" t="str">
        <f t="shared" si="207"/>
        <v/>
      </c>
      <c r="BT319" s="1452" t="str">
        <f t="shared" si="208"/>
        <v/>
      </c>
      <c r="BU319" s="1452" t="str">
        <f t="shared" si="209"/>
        <v/>
      </c>
      <c r="BV319" s="1452" t="str">
        <f t="shared" si="210"/>
        <v/>
      </c>
      <c r="BW319" s="1558">
        <f t="shared" ca="1" si="217"/>
        <v>0</v>
      </c>
    </row>
    <row r="320" spans="1:75" s="9" customFormat="1" ht="12.5">
      <c r="A320" s="1483" t="str">
        <f t="shared" si="211"/>
        <v>Public Health Wales Trust</v>
      </c>
      <c r="B320" s="1584"/>
      <c r="C320" s="1584"/>
      <c r="D320" s="1583"/>
      <c r="E320" s="1581"/>
      <c r="F320" s="1436"/>
      <c r="G320" s="1547">
        <f t="shared" si="212"/>
        <v>0</v>
      </c>
      <c r="H320" s="1484"/>
      <c r="I320" s="1547">
        <f t="shared" si="213"/>
        <v>0</v>
      </c>
      <c r="J320" s="1485"/>
      <c r="K320" s="1485"/>
      <c r="L320" s="1436"/>
      <c r="M320" s="1439"/>
      <c r="N320" s="1439"/>
      <c r="O320" s="1485"/>
      <c r="P320" s="1486"/>
      <c r="Q320" s="1486"/>
      <c r="R320" s="1487"/>
      <c r="S320" s="1444"/>
      <c r="T320" s="1444"/>
      <c r="U320" s="1444"/>
      <c r="V320" s="1488"/>
      <c r="W320" s="1488"/>
      <c r="X320" s="1488"/>
      <c r="Y320" s="1488"/>
      <c r="Z320" s="1488"/>
      <c r="AA320" s="1488"/>
      <c r="AB320" s="1488"/>
      <c r="AC320" s="1488"/>
      <c r="AD320" s="1488"/>
      <c r="AE320" s="1488"/>
      <c r="AF320" s="1488"/>
      <c r="AG320" s="1488"/>
      <c r="AH320" s="1451">
        <f t="shared" si="185"/>
        <v>0</v>
      </c>
      <c r="AI320" s="1488"/>
      <c r="AJ320" s="1488"/>
      <c r="AK320" s="1488"/>
      <c r="AL320" s="1488"/>
      <c r="AM320" s="1488"/>
      <c r="AN320" s="1488"/>
      <c r="AO320" s="1488"/>
      <c r="AP320" s="1488"/>
      <c r="AQ320" s="1488"/>
      <c r="AR320" s="1488"/>
      <c r="AS320" s="1488"/>
      <c r="AT320" s="1542"/>
      <c r="AU320" s="1599">
        <f t="shared" si="186"/>
        <v>0</v>
      </c>
      <c r="AV320" s="1544">
        <f t="shared" si="214"/>
        <v>0</v>
      </c>
      <c r="AW320" s="1452">
        <f t="shared" si="187"/>
        <v>0</v>
      </c>
      <c r="AX320" s="1452">
        <f t="shared" si="188"/>
        <v>0</v>
      </c>
      <c r="AY320" s="1452">
        <f t="shared" si="189"/>
        <v>0</v>
      </c>
      <c r="AZ320" s="1452">
        <f t="shared" si="190"/>
        <v>0</v>
      </c>
      <c r="BA320" s="1452">
        <f t="shared" si="191"/>
        <v>0</v>
      </c>
      <c r="BB320" s="1452">
        <f t="shared" si="192"/>
        <v>0</v>
      </c>
      <c r="BC320" s="1452">
        <f t="shared" si="193"/>
        <v>0</v>
      </c>
      <c r="BD320" s="1452">
        <f t="shared" si="194"/>
        <v>0</v>
      </c>
      <c r="BE320" s="1452">
        <f t="shared" si="195"/>
        <v>0</v>
      </c>
      <c r="BF320" s="1452">
        <f t="shared" si="196"/>
        <v>0</v>
      </c>
      <c r="BG320" s="1452">
        <f t="shared" si="197"/>
        <v>0</v>
      </c>
      <c r="BH320" s="1452">
        <f t="shared" si="198"/>
        <v>0</v>
      </c>
      <c r="BI320" s="1452">
        <f t="shared" si="215"/>
        <v>0</v>
      </c>
      <c r="BJ320" s="1452" t="str">
        <f t="shared" si="199"/>
        <v/>
      </c>
      <c r="BK320" s="1452" t="str">
        <f t="shared" si="200"/>
        <v/>
      </c>
      <c r="BL320" s="1452" t="str">
        <f t="shared" si="201"/>
        <v/>
      </c>
      <c r="BM320" s="1452" t="str">
        <f t="shared" si="202"/>
        <v/>
      </c>
      <c r="BN320" s="1452" t="str">
        <f t="shared" ca="1" si="203"/>
        <v/>
      </c>
      <c r="BO320" s="1452" t="str">
        <f t="shared" si="216"/>
        <v/>
      </c>
      <c r="BP320" s="1452" t="str">
        <f t="shared" si="204"/>
        <v/>
      </c>
      <c r="BQ320" s="1452" t="str">
        <f t="shared" si="205"/>
        <v/>
      </c>
      <c r="BR320" s="1452" t="str">
        <f t="shared" si="206"/>
        <v/>
      </c>
      <c r="BS320" s="1452" t="str">
        <f t="shared" si="207"/>
        <v/>
      </c>
      <c r="BT320" s="1452" t="str">
        <f t="shared" si="208"/>
        <v/>
      </c>
      <c r="BU320" s="1452" t="str">
        <f t="shared" si="209"/>
        <v/>
      </c>
      <c r="BV320" s="1452" t="str">
        <f t="shared" si="210"/>
        <v/>
      </c>
      <c r="BW320" s="1558">
        <f t="shared" ca="1" si="217"/>
        <v>0</v>
      </c>
    </row>
    <row r="321" spans="1:75" s="9" customFormat="1" ht="12.5">
      <c r="A321" s="1483" t="str">
        <f t="shared" si="211"/>
        <v>Public Health Wales Trust</v>
      </c>
      <c r="B321" s="1584"/>
      <c r="C321" s="1584"/>
      <c r="D321" s="1583"/>
      <c r="E321" s="1581"/>
      <c r="F321" s="1436"/>
      <c r="G321" s="1547">
        <f t="shared" si="212"/>
        <v>0</v>
      </c>
      <c r="H321" s="1484"/>
      <c r="I321" s="1547">
        <f t="shared" si="213"/>
        <v>0</v>
      </c>
      <c r="J321" s="1485"/>
      <c r="K321" s="1485"/>
      <c r="L321" s="1436"/>
      <c r="M321" s="1439"/>
      <c r="N321" s="1439"/>
      <c r="O321" s="1485"/>
      <c r="P321" s="1486"/>
      <c r="Q321" s="1486"/>
      <c r="R321" s="1487"/>
      <c r="S321" s="1444"/>
      <c r="T321" s="1444"/>
      <c r="U321" s="1444"/>
      <c r="V321" s="1488"/>
      <c r="W321" s="1488"/>
      <c r="X321" s="1488"/>
      <c r="Y321" s="1488"/>
      <c r="Z321" s="1488"/>
      <c r="AA321" s="1488"/>
      <c r="AB321" s="1488"/>
      <c r="AC321" s="1488"/>
      <c r="AD321" s="1488"/>
      <c r="AE321" s="1488"/>
      <c r="AF321" s="1488"/>
      <c r="AG321" s="1488"/>
      <c r="AH321" s="1451">
        <f t="shared" si="185"/>
        <v>0</v>
      </c>
      <c r="AI321" s="1488"/>
      <c r="AJ321" s="1488"/>
      <c r="AK321" s="1488"/>
      <c r="AL321" s="1488"/>
      <c r="AM321" s="1488"/>
      <c r="AN321" s="1488"/>
      <c r="AO321" s="1488"/>
      <c r="AP321" s="1488"/>
      <c r="AQ321" s="1488"/>
      <c r="AR321" s="1488"/>
      <c r="AS321" s="1488"/>
      <c r="AT321" s="1542"/>
      <c r="AU321" s="1599">
        <f t="shared" si="186"/>
        <v>0</v>
      </c>
      <c r="AV321" s="1544">
        <f t="shared" si="214"/>
        <v>0</v>
      </c>
      <c r="AW321" s="1452">
        <f t="shared" si="187"/>
        <v>0</v>
      </c>
      <c r="AX321" s="1452">
        <f t="shared" si="188"/>
        <v>0</v>
      </c>
      <c r="AY321" s="1452">
        <f t="shared" si="189"/>
        <v>0</v>
      </c>
      <c r="AZ321" s="1452">
        <f t="shared" si="190"/>
        <v>0</v>
      </c>
      <c r="BA321" s="1452">
        <f t="shared" si="191"/>
        <v>0</v>
      </c>
      <c r="BB321" s="1452">
        <f t="shared" si="192"/>
        <v>0</v>
      </c>
      <c r="BC321" s="1452">
        <f t="shared" si="193"/>
        <v>0</v>
      </c>
      <c r="BD321" s="1452">
        <f t="shared" si="194"/>
        <v>0</v>
      </c>
      <c r="BE321" s="1452">
        <f t="shared" si="195"/>
        <v>0</v>
      </c>
      <c r="BF321" s="1452">
        <f t="shared" si="196"/>
        <v>0</v>
      </c>
      <c r="BG321" s="1452">
        <f t="shared" si="197"/>
        <v>0</v>
      </c>
      <c r="BH321" s="1452">
        <f t="shared" si="198"/>
        <v>0</v>
      </c>
      <c r="BI321" s="1452">
        <f t="shared" si="215"/>
        <v>0</v>
      </c>
      <c r="BJ321" s="1452" t="str">
        <f t="shared" si="199"/>
        <v/>
      </c>
      <c r="BK321" s="1452" t="str">
        <f t="shared" si="200"/>
        <v/>
      </c>
      <c r="BL321" s="1452" t="str">
        <f t="shared" si="201"/>
        <v/>
      </c>
      <c r="BM321" s="1452" t="str">
        <f t="shared" si="202"/>
        <v/>
      </c>
      <c r="BN321" s="1452" t="str">
        <f t="shared" ca="1" si="203"/>
        <v/>
      </c>
      <c r="BO321" s="1452" t="str">
        <f t="shared" si="216"/>
        <v/>
      </c>
      <c r="BP321" s="1452" t="str">
        <f t="shared" si="204"/>
        <v/>
      </c>
      <c r="BQ321" s="1452" t="str">
        <f t="shared" si="205"/>
        <v/>
      </c>
      <c r="BR321" s="1452" t="str">
        <f t="shared" si="206"/>
        <v/>
      </c>
      <c r="BS321" s="1452" t="str">
        <f t="shared" si="207"/>
        <v/>
      </c>
      <c r="BT321" s="1452" t="str">
        <f t="shared" si="208"/>
        <v/>
      </c>
      <c r="BU321" s="1452" t="str">
        <f t="shared" si="209"/>
        <v/>
      </c>
      <c r="BV321" s="1452" t="str">
        <f t="shared" si="210"/>
        <v/>
      </c>
      <c r="BW321" s="1558">
        <f t="shared" ca="1" si="217"/>
        <v>0</v>
      </c>
    </row>
    <row r="322" spans="1:75" s="9" customFormat="1" ht="12.5">
      <c r="A322" s="1483" t="str">
        <f t="shared" si="211"/>
        <v>Public Health Wales Trust</v>
      </c>
      <c r="B322" s="1584"/>
      <c r="C322" s="1584"/>
      <c r="D322" s="1583"/>
      <c r="E322" s="1581"/>
      <c r="F322" s="1436"/>
      <c r="G322" s="1547">
        <f t="shared" si="212"/>
        <v>0</v>
      </c>
      <c r="H322" s="1484"/>
      <c r="I322" s="1547">
        <f t="shared" si="213"/>
        <v>0</v>
      </c>
      <c r="J322" s="1485"/>
      <c r="K322" s="1485"/>
      <c r="L322" s="1436"/>
      <c r="M322" s="1439"/>
      <c r="N322" s="1439"/>
      <c r="O322" s="1485"/>
      <c r="P322" s="1486"/>
      <c r="Q322" s="1486"/>
      <c r="R322" s="1487"/>
      <c r="S322" s="1444"/>
      <c r="T322" s="1444"/>
      <c r="U322" s="1444"/>
      <c r="V322" s="1488"/>
      <c r="W322" s="1488"/>
      <c r="X322" s="1488"/>
      <c r="Y322" s="1488"/>
      <c r="Z322" s="1488"/>
      <c r="AA322" s="1488"/>
      <c r="AB322" s="1488"/>
      <c r="AC322" s="1488"/>
      <c r="AD322" s="1488"/>
      <c r="AE322" s="1488"/>
      <c r="AF322" s="1488"/>
      <c r="AG322" s="1488"/>
      <c r="AH322" s="1451">
        <f t="shared" si="185"/>
        <v>0</v>
      </c>
      <c r="AI322" s="1488"/>
      <c r="AJ322" s="1488"/>
      <c r="AK322" s="1488"/>
      <c r="AL322" s="1488"/>
      <c r="AM322" s="1488"/>
      <c r="AN322" s="1488"/>
      <c r="AO322" s="1488"/>
      <c r="AP322" s="1488"/>
      <c r="AQ322" s="1488"/>
      <c r="AR322" s="1488"/>
      <c r="AS322" s="1488"/>
      <c r="AT322" s="1542"/>
      <c r="AU322" s="1599">
        <f t="shared" si="186"/>
        <v>0</v>
      </c>
      <c r="AV322" s="1544">
        <f t="shared" si="214"/>
        <v>0</v>
      </c>
      <c r="AW322" s="1452">
        <f t="shared" si="187"/>
        <v>0</v>
      </c>
      <c r="AX322" s="1452">
        <f t="shared" si="188"/>
        <v>0</v>
      </c>
      <c r="AY322" s="1452">
        <f t="shared" si="189"/>
        <v>0</v>
      </c>
      <c r="AZ322" s="1452">
        <f t="shared" si="190"/>
        <v>0</v>
      </c>
      <c r="BA322" s="1452">
        <f t="shared" si="191"/>
        <v>0</v>
      </c>
      <c r="BB322" s="1452">
        <f t="shared" si="192"/>
        <v>0</v>
      </c>
      <c r="BC322" s="1452">
        <f t="shared" si="193"/>
        <v>0</v>
      </c>
      <c r="BD322" s="1452">
        <f t="shared" si="194"/>
        <v>0</v>
      </c>
      <c r="BE322" s="1452">
        <f t="shared" si="195"/>
        <v>0</v>
      </c>
      <c r="BF322" s="1452">
        <f t="shared" si="196"/>
        <v>0</v>
      </c>
      <c r="BG322" s="1452">
        <f t="shared" si="197"/>
        <v>0</v>
      </c>
      <c r="BH322" s="1452">
        <f t="shared" si="198"/>
        <v>0</v>
      </c>
      <c r="BI322" s="1452">
        <f t="shared" si="215"/>
        <v>0</v>
      </c>
      <c r="BJ322" s="1452" t="str">
        <f t="shared" si="199"/>
        <v/>
      </c>
      <c r="BK322" s="1452" t="str">
        <f t="shared" si="200"/>
        <v/>
      </c>
      <c r="BL322" s="1452" t="str">
        <f t="shared" si="201"/>
        <v/>
      </c>
      <c r="BM322" s="1452" t="str">
        <f t="shared" si="202"/>
        <v/>
      </c>
      <c r="BN322" s="1452" t="str">
        <f t="shared" ca="1" si="203"/>
        <v/>
      </c>
      <c r="BO322" s="1452" t="str">
        <f t="shared" si="216"/>
        <v/>
      </c>
      <c r="BP322" s="1452" t="str">
        <f t="shared" si="204"/>
        <v/>
      </c>
      <c r="BQ322" s="1452" t="str">
        <f t="shared" si="205"/>
        <v/>
      </c>
      <c r="BR322" s="1452" t="str">
        <f t="shared" si="206"/>
        <v/>
      </c>
      <c r="BS322" s="1452" t="str">
        <f t="shared" si="207"/>
        <v/>
      </c>
      <c r="BT322" s="1452" t="str">
        <f t="shared" si="208"/>
        <v/>
      </c>
      <c r="BU322" s="1452" t="str">
        <f t="shared" si="209"/>
        <v/>
      </c>
      <c r="BV322" s="1452" t="str">
        <f t="shared" si="210"/>
        <v/>
      </c>
      <c r="BW322" s="1558">
        <f t="shared" ca="1" si="217"/>
        <v>0</v>
      </c>
    </row>
    <row r="323" spans="1:75" s="9" customFormat="1" ht="12.5">
      <c r="A323" s="1483" t="str">
        <f t="shared" si="211"/>
        <v>Public Health Wales Trust</v>
      </c>
      <c r="B323" s="1584"/>
      <c r="C323" s="1584"/>
      <c r="D323" s="1583"/>
      <c r="E323" s="1581"/>
      <c r="F323" s="1436"/>
      <c r="G323" s="1547">
        <f t="shared" si="212"/>
        <v>0</v>
      </c>
      <c r="H323" s="1484"/>
      <c r="I323" s="1547">
        <f t="shared" si="213"/>
        <v>0</v>
      </c>
      <c r="J323" s="1485"/>
      <c r="K323" s="1485"/>
      <c r="L323" s="1436"/>
      <c r="M323" s="1439"/>
      <c r="N323" s="1439"/>
      <c r="O323" s="1485"/>
      <c r="P323" s="1486"/>
      <c r="Q323" s="1486"/>
      <c r="R323" s="1487"/>
      <c r="S323" s="1444"/>
      <c r="T323" s="1444"/>
      <c r="U323" s="1444"/>
      <c r="V323" s="1488"/>
      <c r="W323" s="1488"/>
      <c r="X323" s="1488"/>
      <c r="Y323" s="1488"/>
      <c r="Z323" s="1488"/>
      <c r="AA323" s="1488"/>
      <c r="AB323" s="1488"/>
      <c r="AC323" s="1488"/>
      <c r="AD323" s="1488"/>
      <c r="AE323" s="1488"/>
      <c r="AF323" s="1488"/>
      <c r="AG323" s="1488"/>
      <c r="AH323" s="1451">
        <f t="shared" si="185"/>
        <v>0</v>
      </c>
      <c r="AI323" s="1488"/>
      <c r="AJ323" s="1488"/>
      <c r="AK323" s="1488"/>
      <c r="AL323" s="1488"/>
      <c r="AM323" s="1488"/>
      <c r="AN323" s="1488"/>
      <c r="AO323" s="1488"/>
      <c r="AP323" s="1488"/>
      <c r="AQ323" s="1488"/>
      <c r="AR323" s="1488"/>
      <c r="AS323" s="1488"/>
      <c r="AT323" s="1542"/>
      <c r="AU323" s="1599">
        <f t="shared" si="186"/>
        <v>0</v>
      </c>
      <c r="AV323" s="1544">
        <f t="shared" si="214"/>
        <v>0</v>
      </c>
      <c r="AW323" s="1452">
        <f t="shared" si="187"/>
        <v>0</v>
      </c>
      <c r="AX323" s="1452">
        <f t="shared" si="188"/>
        <v>0</v>
      </c>
      <c r="AY323" s="1452">
        <f t="shared" si="189"/>
        <v>0</v>
      </c>
      <c r="AZ323" s="1452">
        <f t="shared" si="190"/>
        <v>0</v>
      </c>
      <c r="BA323" s="1452">
        <f t="shared" si="191"/>
        <v>0</v>
      </c>
      <c r="BB323" s="1452">
        <f t="shared" si="192"/>
        <v>0</v>
      </c>
      <c r="BC323" s="1452">
        <f t="shared" si="193"/>
        <v>0</v>
      </c>
      <c r="BD323" s="1452">
        <f t="shared" si="194"/>
        <v>0</v>
      </c>
      <c r="BE323" s="1452">
        <f t="shared" si="195"/>
        <v>0</v>
      </c>
      <c r="BF323" s="1452">
        <f t="shared" si="196"/>
        <v>0</v>
      </c>
      <c r="BG323" s="1452">
        <f t="shared" si="197"/>
        <v>0</v>
      </c>
      <c r="BH323" s="1452">
        <f t="shared" si="198"/>
        <v>0</v>
      </c>
      <c r="BI323" s="1452">
        <f t="shared" si="215"/>
        <v>0</v>
      </c>
      <c r="BJ323" s="1452" t="str">
        <f t="shared" si="199"/>
        <v/>
      </c>
      <c r="BK323" s="1452" t="str">
        <f t="shared" si="200"/>
        <v/>
      </c>
      <c r="BL323" s="1452" t="str">
        <f t="shared" si="201"/>
        <v/>
      </c>
      <c r="BM323" s="1452" t="str">
        <f t="shared" si="202"/>
        <v/>
      </c>
      <c r="BN323" s="1452" t="str">
        <f t="shared" ca="1" si="203"/>
        <v/>
      </c>
      <c r="BO323" s="1452" t="str">
        <f t="shared" si="216"/>
        <v/>
      </c>
      <c r="BP323" s="1452" t="str">
        <f t="shared" si="204"/>
        <v/>
      </c>
      <c r="BQ323" s="1452" t="str">
        <f t="shared" si="205"/>
        <v/>
      </c>
      <c r="BR323" s="1452" t="str">
        <f t="shared" si="206"/>
        <v/>
      </c>
      <c r="BS323" s="1452" t="str">
        <f t="shared" si="207"/>
        <v/>
      </c>
      <c r="BT323" s="1452" t="str">
        <f t="shared" si="208"/>
        <v/>
      </c>
      <c r="BU323" s="1452" t="str">
        <f t="shared" si="209"/>
        <v/>
      </c>
      <c r="BV323" s="1452" t="str">
        <f t="shared" si="210"/>
        <v/>
      </c>
      <c r="BW323" s="1558">
        <f t="shared" ca="1" si="217"/>
        <v>0</v>
      </c>
    </row>
    <row r="324" spans="1:75" s="9" customFormat="1" ht="12.5">
      <c r="A324" s="1483" t="str">
        <f t="shared" si="211"/>
        <v>Public Health Wales Trust</v>
      </c>
      <c r="B324" s="1584"/>
      <c r="C324" s="1584"/>
      <c r="D324" s="1583"/>
      <c r="E324" s="1581"/>
      <c r="F324" s="1436"/>
      <c r="G324" s="1547">
        <f t="shared" si="212"/>
        <v>0</v>
      </c>
      <c r="H324" s="1484"/>
      <c r="I324" s="1547">
        <f t="shared" si="213"/>
        <v>0</v>
      </c>
      <c r="J324" s="1485"/>
      <c r="K324" s="1485"/>
      <c r="L324" s="1436"/>
      <c r="M324" s="1439"/>
      <c r="N324" s="1439"/>
      <c r="O324" s="1485"/>
      <c r="P324" s="1486"/>
      <c r="Q324" s="1486"/>
      <c r="R324" s="1487"/>
      <c r="S324" s="1444"/>
      <c r="T324" s="1444"/>
      <c r="U324" s="1444"/>
      <c r="V324" s="1488"/>
      <c r="W324" s="1488"/>
      <c r="X324" s="1488"/>
      <c r="Y324" s="1488"/>
      <c r="Z324" s="1488"/>
      <c r="AA324" s="1488"/>
      <c r="AB324" s="1488"/>
      <c r="AC324" s="1488"/>
      <c r="AD324" s="1488"/>
      <c r="AE324" s="1488"/>
      <c r="AF324" s="1488"/>
      <c r="AG324" s="1488"/>
      <c r="AH324" s="1451">
        <f t="shared" si="185"/>
        <v>0</v>
      </c>
      <c r="AI324" s="1488"/>
      <c r="AJ324" s="1488"/>
      <c r="AK324" s="1488"/>
      <c r="AL324" s="1488"/>
      <c r="AM324" s="1488"/>
      <c r="AN324" s="1488"/>
      <c r="AO324" s="1488"/>
      <c r="AP324" s="1488"/>
      <c r="AQ324" s="1488"/>
      <c r="AR324" s="1488"/>
      <c r="AS324" s="1488"/>
      <c r="AT324" s="1542"/>
      <c r="AU324" s="1599">
        <f t="shared" si="186"/>
        <v>0</v>
      </c>
      <c r="AV324" s="1544">
        <f t="shared" si="214"/>
        <v>0</v>
      </c>
      <c r="AW324" s="1452">
        <f t="shared" si="187"/>
        <v>0</v>
      </c>
      <c r="AX324" s="1452">
        <f t="shared" si="188"/>
        <v>0</v>
      </c>
      <c r="AY324" s="1452">
        <f t="shared" si="189"/>
        <v>0</v>
      </c>
      <c r="AZ324" s="1452">
        <f t="shared" si="190"/>
        <v>0</v>
      </c>
      <c r="BA324" s="1452">
        <f t="shared" si="191"/>
        <v>0</v>
      </c>
      <c r="BB324" s="1452">
        <f t="shared" si="192"/>
        <v>0</v>
      </c>
      <c r="BC324" s="1452">
        <f t="shared" si="193"/>
        <v>0</v>
      </c>
      <c r="BD324" s="1452">
        <f t="shared" si="194"/>
        <v>0</v>
      </c>
      <c r="BE324" s="1452">
        <f t="shared" si="195"/>
        <v>0</v>
      </c>
      <c r="BF324" s="1452">
        <f t="shared" si="196"/>
        <v>0</v>
      </c>
      <c r="BG324" s="1452">
        <f t="shared" si="197"/>
        <v>0</v>
      </c>
      <c r="BH324" s="1452">
        <f t="shared" si="198"/>
        <v>0</v>
      </c>
      <c r="BI324" s="1452">
        <f t="shared" si="215"/>
        <v>0</v>
      </c>
      <c r="BJ324" s="1452" t="str">
        <f t="shared" si="199"/>
        <v/>
      </c>
      <c r="BK324" s="1452" t="str">
        <f t="shared" si="200"/>
        <v/>
      </c>
      <c r="BL324" s="1452" t="str">
        <f t="shared" si="201"/>
        <v/>
      </c>
      <c r="BM324" s="1452" t="str">
        <f t="shared" si="202"/>
        <v/>
      </c>
      <c r="BN324" s="1452" t="str">
        <f t="shared" ca="1" si="203"/>
        <v/>
      </c>
      <c r="BO324" s="1452" t="str">
        <f t="shared" si="216"/>
        <v/>
      </c>
      <c r="BP324" s="1452" t="str">
        <f t="shared" si="204"/>
        <v/>
      </c>
      <c r="BQ324" s="1452" t="str">
        <f t="shared" si="205"/>
        <v/>
      </c>
      <c r="BR324" s="1452" t="str">
        <f t="shared" si="206"/>
        <v/>
      </c>
      <c r="BS324" s="1452" t="str">
        <f t="shared" si="207"/>
        <v/>
      </c>
      <c r="BT324" s="1452" t="str">
        <f t="shared" si="208"/>
        <v/>
      </c>
      <c r="BU324" s="1452" t="str">
        <f t="shared" si="209"/>
        <v/>
      </c>
      <c r="BV324" s="1452" t="str">
        <f t="shared" si="210"/>
        <v/>
      </c>
      <c r="BW324" s="1558">
        <f t="shared" ca="1" si="217"/>
        <v>0</v>
      </c>
    </row>
    <row r="325" spans="1:75" s="9" customFormat="1" ht="12.5">
      <c r="A325" s="1483" t="str">
        <f t="shared" si="211"/>
        <v>Public Health Wales Trust</v>
      </c>
      <c r="B325" s="1584"/>
      <c r="C325" s="1584"/>
      <c r="D325" s="1583"/>
      <c r="E325" s="1581"/>
      <c r="F325" s="1436"/>
      <c r="G325" s="1547">
        <f t="shared" si="212"/>
        <v>0</v>
      </c>
      <c r="H325" s="1484"/>
      <c r="I325" s="1547">
        <f t="shared" si="213"/>
        <v>0</v>
      </c>
      <c r="J325" s="1485"/>
      <c r="K325" s="1485"/>
      <c r="L325" s="1436"/>
      <c r="M325" s="1439"/>
      <c r="N325" s="1439"/>
      <c r="O325" s="1485"/>
      <c r="P325" s="1486"/>
      <c r="Q325" s="1486"/>
      <c r="R325" s="1487"/>
      <c r="S325" s="1444"/>
      <c r="T325" s="1444"/>
      <c r="U325" s="1444"/>
      <c r="V325" s="1488"/>
      <c r="W325" s="1488"/>
      <c r="X325" s="1488"/>
      <c r="Y325" s="1488"/>
      <c r="Z325" s="1488"/>
      <c r="AA325" s="1488"/>
      <c r="AB325" s="1488"/>
      <c r="AC325" s="1488"/>
      <c r="AD325" s="1488"/>
      <c r="AE325" s="1488"/>
      <c r="AF325" s="1488"/>
      <c r="AG325" s="1488"/>
      <c r="AH325" s="1451">
        <f t="shared" si="185"/>
        <v>0</v>
      </c>
      <c r="AI325" s="1488"/>
      <c r="AJ325" s="1488"/>
      <c r="AK325" s="1488"/>
      <c r="AL325" s="1488"/>
      <c r="AM325" s="1488"/>
      <c r="AN325" s="1488"/>
      <c r="AO325" s="1488"/>
      <c r="AP325" s="1488"/>
      <c r="AQ325" s="1488"/>
      <c r="AR325" s="1488"/>
      <c r="AS325" s="1488"/>
      <c r="AT325" s="1542"/>
      <c r="AU325" s="1599">
        <f t="shared" si="186"/>
        <v>0</v>
      </c>
      <c r="AV325" s="1544">
        <f t="shared" si="214"/>
        <v>0</v>
      </c>
      <c r="AW325" s="1452">
        <f t="shared" si="187"/>
        <v>0</v>
      </c>
      <c r="AX325" s="1452">
        <f t="shared" si="188"/>
        <v>0</v>
      </c>
      <c r="AY325" s="1452">
        <f t="shared" si="189"/>
        <v>0</v>
      </c>
      <c r="AZ325" s="1452">
        <f t="shared" si="190"/>
        <v>0</v>
      </c>
      <c r="BA325" s="1452">
        <f t="shared" si="191"/>
        <v>0</v>
      </c>
      <c r="BB325" s="1452">
        <f t="shared" si="192"/>
        <v>0</v>
      </c>
      <c r="BC325" s="1452">
        <f t="shared" si="193"/>
        <v>0</v>
      </c>
      <c r="BD325" s="1452">
        <f t="shared" si="194"/>
        <v>0</v>
      </c>
      <c r="BE325" s="1452">
        <f t="shared" si="195"/>
        <v>0</v>
      </c>
      <c r="BF325" s="1452">
        <f t="shared" si="196"/>
        <v>0</v>
      </c>
      <c r="BG325" s="1452">
        <f t="shared" si="197"/>
        <v>0</v>
      </c>
      <c r="BH325" s="1452">
        <f t="shared" si="198"/>
        <v>0</v>
      </c>
      <c r="BI325" s="1452">
        <f t="shared" si="215"/>
        <v>0</v>
      </c>
      <c r="BJ325" s="1452" t="str">
        <f t="shared" si="199"/>
        <v/>
      </c>
      <c r="BK325" s="1452" t="str">
        <f t="shared" si="200"/>
        <v/>
      </c>
      <c r="BL325" s="1452" t="str">
        <f t="shared" si="201"/>
        <v/>
      </c>
      <c r="BM325" s="1452" t="str">
        <f t="shared" si="202"/>
        <v/>
      </c>
      <c r="BN325" s="1452" t="str">
        <f t="shared" ca="1" si="203"/>
        <v/>
      </c>
      <c r="BO325" s="1452" t="str">
        <f t="shared" si="216"/>
        <v/>
      </c>
      <c r="BP325" s="1452" t="str">
        <f t="shared" si="204"/>
        <v/>
      </c>
      <c r="BQ325" s="1452" t="str">
        <f t="shared" si="205"/>
        <v/>
      </c>
      <c r="BR325" s="1452" t="str">
        <f t="shared" si="206"/>
        <v/>
      </c>
      <c r="BS325" s="1452" t="str">
        <f t="shared" si="207"/>
        <v/>
      </c>
      <c r="BT325" s="1452" t="str">
        <f t="shared" si="208"/>
        <v/>
      </c>
      <c r="BU325" s="1452" t="str">
        <f t="shared" si="209"/>
        <v/>
      </c>
      <c r="BV325" s="1452" t="str">
        <f t="shared" si="210"/>
        <v/>
      </c>
      <c r="BW325" s="1558">
        <f t="shared" ca="1" si="217"/>
        <v>0</v>
      </c>
    </row>
    <row r="326" spans="1:75" s="9" customFormat="1" ht="12.5">
      <c r="A326" s="1483" t="str">
        <f t="shared" si="211"/>
        <v>Public Health Wales Trust</v>
      </c>
      <c r="B326" s="1583"/>
      <c r="C326" s="1583"/>
      <c r="D326" s="1583"/>
      <c r="E326" s="1585"/>
      <c r="F326" s="1436"/>
      <c r="G326" s="1547">
        <f t="shared" si="212"/>
        <v>0</v>
      </c>
      <c r="H326" s="1484"/>
      <c r="I326" s="1547">
        <f t="shared" si="213"/>
        <v>0</v>
      </c>
      <c r="J326" s="1485"/>
      <c r="K326" s="1485"/>
      <c r="L326" s="1436"/>
      <c r="M326" s="1439"/>
      <c r="N326" s="1439"/>
      <c r="O326" s="1485"/>
      <c r="P326" s="1486"/>
      <c r="Q326" s="1486"/>
      <c r="R326" s="1487"/>
      <c r="S326" s="1444"/>
      <c r="T326" s="1444"/>
      <c r="U326" s="1444"/>
      <c r="V326" s="1488"/>
      <c r="W326" s="1488"/>
      <c r="X326" s="1488"/>
      <c r="Y326" s="1488"/>
      <c r="Z326" s="1488"/>
      <c r="AA326" s="1488"/>
      <c r="AB326" s="1488"/>
      <c r="AC326" s="1488"/>
      <c r="AD326" s="1488"/>
      <c r="AE326" s="1488"/>
      <c r="AF326" s="1488"/>
      <c r="AG326" s="1488"/>
      <c r="AH326" s="1451">
        <f t="shared" si="185"/>
        <v>0</v>
      </c>
      <c r="AI326" s="1488"/>
      <c r="AJ326" s="1488"/>
      <c r="AK326" s="1488"/>
      <c r="AL326" s="1488"/>
      <c r="AM326" s="1488"/>
      <c r="AN326" s="1488"/>
      <c r="AO326" s="1488"/>
      <c r="AP326" s="1488"/>
      <c r="AQ326" s="1488"/>
      <c r="AR326" s="1488"/>
      <c r="AS326" s="1488"/>
      <c r="AT326" s="1542"/>
      <c r="AU326" s="1599">
        <f t="shared" si="186"/>
        <v>0</v>
      </c>
      <c r="AV326" s="1544">
        <f t="shared" si="214"/>
        <v>0</v>
      </c>
      <c r="AW326" s="1452">
        <f t="shared" si="187"/>
        <v>0</v>
      </c>
      <c r="AX326" s="1452">
        <f t="shared" si="188"/>
        <v>0</v>
      </c>
      <c r="AY326" s="1452">
        <f t="shared" si="189"/>
        <v>0</v>
      </c>
      <c r="AZ326" s="1452">
        <f t="shared" si="190"/>
        <v>0</v>
      </c>
      <c r="BA326" s="1452">
        <f t="shared" si="191"/>
        <v>0</v>
      </c>
      <c r="BB326" s="1452">
        <f t="shared" si="192"/>
        <v>0</v>
      </c>
      <c r="BC326" s="1452">
        <f t="shared" si="193"/>
        <v>0</v>
      </c>
      <c r="BD326" s="1452">
        <f t="shared" si="194"/>
        <v>0</v>
      </c>
      <c r="BE326" s="1452">
        <f t="shared" si="195"/>
        <v>0</v>
      </c>
      <c r="BF326" s="1452">
        <f t="shared" si="196"/>
        <v>0</v>
      </c>
      <c r="BG326" s="1452">
        <f t="shared" si="197"/>
        <v>0</v>
      </c>
      <c r="BH326" s="1452">
        <f t="shared" si="198"/>
        <v>0</v>
      </c>
      <c r="BI326" s="1452">
        <f t="shared" si="215"/>
        <v>0</v>
      </c>
      <c r="BJ326" s="1452" t="str">
        <f t="shared" si="199"/>
        <v/>
      </c>
      <c r="BK326" s="1452" t="str">
        <f t="shared" si="200"/>
        <v/>
      </c>
      <c r="BL326" s="1452" t="str">
        <f t="shared" si="201"/>
        <v/>
      </c>
      <c r="BM326" s="1452" t="str">
        <f t="shared" si="202"/>
        <v/>
      </c>
      <c r="BN326" s="1452" t="str">
        <f t="shared" ca="1" si="203"/>
        <v/>
      </c>
      <c r="BO326" s="1452" t="str">
        <f t="shared" si="216"/>
        <v/>
      </c>
      <c r="BP326" s="1452" t="str">
        <f t="shared" si="204"/>
        <v/>
      </c>
      <c r="BQ326" s="1452" t="str">
        <f t="shared" si="205"/>
        <v/>
      </c>
      <c r="BR326" s="1452" t="str">
        <f t="shared" si="206"/>
        <v/>
      </c>
      <c r="BS326" s="1452" t="str">
        <f t="shared" si="207"/>
        <v/>
      </c>
      <c r="BT326" s="1452" t="str">
        <f t="shared" si="208"/>
        <v/>
      </c>
      <c r="BU326" s="1452" t="str">
        <f t="shared" si="209"/>
        <v/>
      </c>
      <c r="BV326" s="1452" t="str">
        <f t="shared" si="210"/>
        <v/>
      </c>
      <c r="BW326" s="1558">
        <f t="shared" ca="1" si="217"/>
        <v>0</v>
      </c>
    </row>
    <row r="327" spans="1:75" s="9" customFormat="1" ht="12.5">
      <c r="A327" s="1483" t="str">
        <f t="shared" si="211"/>
        <v>Public Health Wales Trust</v>
      </c>
      <c r="B327" s="1583"/>
      <c r="C327" s="1583"/>
      <c r="D327" s="1583"/>
      <c r="E327" s="1581"/>
      <c r="F327" s="1436"/>
      <c r="G327" s="1547">
        <f t="shared" si="212"/>
        <v>0</v>
      </c>
      <c r="H327" s="1484"/>
      <c r="I327" s="1547">
        <f t="shared" si="213"/>
        <v>0</v>
      </c>
      <c r="J327" s="1485"/>
      <c r="K327" s="1485"/>
      <c r="L327" s="1436"/>
      <c r="M327" s="1439"/>
      <c r="N327" s="1439"/>
      <c r="O327" s="1485"/>
      <c r="P327" s="1486"/>
      <c r="Q327" s="1486"/>
      <c r="R327" s="1487"/>
      <c r="S327" s="1444"/>
      <c r="T327" s="1444"/>
      <c r="U327" s="1444"/>
      <c r="V327" s="1488"/>
      <c r="W327" s="1488"/>
      <c r="X327" s="1488"/>
      <c r="Y327" s="1488"/>
      <c r="Z327" s="1488"/>
      <c r="AA327" s="1488"/>
      <c r="AB327" s="1488"/>
      <c r="AC327" s="1488"/>
      <c r="AD327" s="1488"/>
      <c r="AE327" s="1488"/>
      <c r="AF327" s="1488"/>
      <c r="AG327" s="1488"/>
      <c r="AH327" s="1451">
        <f t="shared" si="185"/>
        <v>0</v>
      </c>
      <c r="AI327" s="1488"/>
      <c r="AJ327" s="1488"/>
      <c r="AK327" s="1488"/>
      <c r="AL327" s="1488"/>
      <c r="AM327" s="1488"/>
      <c r="AN327" s="1488"/>
      <c r="AO327" s="1488"/>
      <c r="AP327" s="1488"/>
      <c r="AQ327" s="1488"/>
      <c r="AR327" s="1488"/>
      <c r="AS327" s="1488"/>
      <c r="AT327" s="1542"/>
      <c r="AU327" s="1599">
        <f t="shared" si="186"/>
        <v>0</v>
      </c>
      <c r="AV327" s="1544">
        <f t="shared" si="214"/>
        <v>0</v>
      </c>
      <c r="AW327" s="1452">
        <f t="shared" si="187"/>
        <v>0</v>
      </c>
      <c r="AX327" s="1452">
        <f t="shared" si="188"/>
        <v>0</v>
      </c>
      <c r="AY327" s="1452">
        <f t="shared" si="189"/>
        <v>0</v>
      </c>
      <c r="AZ327" s="1452">
        <f t="shared" si="190"/>
        <v>0</v>
      </c>
      <c r="BA327" s="1452">
        <f t="shared" si="191"/>
        <v>0</v>
      </c>
      <c r="BB327" s="1452">
        <f t="shared" si="192"/>
        <v>0</v>
      </c>
      <c r="BC327" s="1452">
        <f t="shared" si="193"/>
        <v>0</v>
      </c>
      <c r="BD327" s="1452">
        <f t="shared" si="194"/>
        <v>0</v>
      </c>
      <c r="BE327" s="1452">
        <f t="shared" si="195"/>
        <v>0</v>
      </c>
      <c r="BF327" s="1452">
        <f t="shared" si="196"/>
        <v>0</v>
      </c>
      <c r="BG327" s="1452">
        <f t="shared" si="197"/>
        <v>0</v>
      </c>
      <c r="BH327" s="1452">
        <f t="shared" si="198"/>
        <v>0</v>
      </c>
      <c r="BI327" s="1452">
        <f t="shared" si="215"/>
        <v>0</v>
      </c>
      <c r="BJ327" s="1452" t="str">
        <f t="shared" si="199"/>
        <v/>
      </c>
      <c r="BK327" s="1452" t="str">
        <f t="shared" si="200"/>
        <v/>
      </c>
      <c r="BL327" s="1452" t="str">
        <f t="shared" si="201"/>
        <v/>
      </c>
      <c r="BM327" s="1452" t="str">
        <f t="shared" si="202"/>
        <v/>
      </c>
      <c r="BN327" s="1452" t="str">
        <f t="shared" ca="1" si="203"/>
        <v/>
      </c>
      <c r="BO327" s="1452" t="str">
        <f t="shared" si="216"/>
        <v/>
      </c>
      <c r="BP327" s="1452" t="str">
        <f t="shared" si="204"/>
        <v/>
      </c>
      <c r="BQ327" s="1452" t="str">
        <f t="shared" si="205"/>
        <v/>
      </c>
      <c r="BR327" s="1452" t="str">
        <f t="shared" si="206"/>
        <v/>
      </c>
      <c r="BS327" s="1452" t="str">
        <f t="shared" si="207"/>
        <v/>
      </c>
      <c r="BT327" s="1452" t="str">
        <f t="shared" si="208"/>
        <v/>
      </c>
      <c r="BU327" s="1452" t="str">
        <f t="shared" si="209"/>
        <v/>
      </c>
      <c r="BV327" s="1452" t="str">
        <f t="shared" si="210"/>
        <v/>
      </c>
      <c r="BW327" s="1558">
        <f t="shared" ca="1" si="217"/>
        <v>0</v>
      </c>
    </row>
    <row r="328" spans="1:75" s="9" customFormat="1" ht="12.5">
      <c r="A328" s="1483" t="str">
        <f t="shared" si="211"/>
        <v>Public Health Wales Trust</v>
      </c>
      <c r="B328" s="1583"/>
      <c r="C328" s="1583"/>
      <c r="D328" s="1583"/>
      <c r="E328" s="1581"/>
      <c r="F328" s="1436"/>
      <c r="G328" s="1547">
        <f t="shared" si="212"/>
        <v>0</v>
      </c>
      <c r="H328" s="1484"/>
      <c r="I328" s="1547">
        <f t="shared" si="213"/>
        <v>0</v>
      </c>
      <c r="J328" s="1485"/>
      <c r="K328" s="1485"/>
      <c r="L328" s="1436"/>
      <c r="M328" s="1439"/>
      <c r="N328" s="1439"/>
      <c r="O328" s="1485"/>
      <c r="P328" s="1486"/>
      <c r="Q328" s="1486"/>
      <c r="R328" s="1487"/>
      <c r="S328" s="1444"/>
      <c r="T328" s="1444"/>
      <c r="U328" s="1444"/>
      <c r="V328" s="1488"/>
      <c r="W328" s="1488"/>
      <c r="X328" s="1488"/>
      <c r="Y328" s="1488"/>
      <c r="Z328" s="1488"/>
      <c r="AA328" s="1488"/>
      <c r="AB328" s="1488"/>
      <c r="AC328" s="1488"/>
      <c r="AD328" s="1488"/>
      <c r="AE328" s="1488"/>
      <c r="AF328" s="1488"/>
      <c r="AG328" s="1488"/>
      <c r="AH328" s="1451">
        <f t="shared" si="185"/>
        <v>0</v>
      </c>
      <c r="AI328" s="1488"/>
      <c r="AJ328" s="1488"/>
      <c r="AK328" s="1488"/>
      <c r="AL328" s="1488"/>
      <c r="AM328" s="1488"/>
      <c r="AN328" s="1488"/>
      <c r="AO328" s="1488"/>
      <c r="AP328" s="1488"/>
      <c r="AQ328" s="1488"/>
      <c r="AR328" s="1488"/>
      <c r="AS328" s="1488"/>
      <c r="AT328" s="1542"/>
      <c r="AU328" s="1599">
        <f t="shared" si="186"/>
        <v>0</v>
      </c>
      <c r="AV328" s="1544">
        <f t="shared" si="214"/>
        <v>0</v>
      </c>
      <c r="AW328" s="1452">
        <f t="shared" si="187"/>
        <v>0</v>
      </c>
      <c r="AX328" s="1452">
        <f t="shared" si="188"/>
        <v>0</v>
      </c>
      <c r="AY328" s="1452">
        <f t="shared" si="189"/>
        <v>0</v>
      </c>
      <c r="AZ328" s="1452">
        <f t="shared" si="190"/>
        <v>0</v>
      </c>
      <c r="BA328" s="1452">
        <f t="shared" si="191"/>
        <v>0</v>
      </c>
      <c r="BB328" s="1452">
        <f t="shared" si="192"/>
        <v>0</v>
      </c>
      <c r="BC328" s="1452">
        <f t="shared" si="193"/>
        <v>0</v>
      </c>
      <c r="BD328" s="1452">
        <f t="shared" si="194"/>
        <v>0</v>
      </c>
      <c r="BE328" s="1452">
        <f t="shared" si="195"/>
        <v>0</v>
      </c>
      <c r="BF328" s="1452">
        <f t="shared" si="196"/>
        <v>0</v>
      </c>
      <c r="BG328" s="1452">
        <f t="shared" si="197"/>
        <v>0</v>
      </c>
      <c r="BH328" s="1452">
        <f t="shared" si="198"/>
        <v>0</v>
      </c>
      <c r="BI328" s="1452">
        <f t="shared" si="215"/>
        <v>0</v>
      </c>
      <c r="BJ328" s="1452" t="str">
        <f t="shared" si="199"/>
        <v/>
      </c>
      <c r="BK328" s="1452" t="str">
        <f t="shared" si="200"/>
        <v/>
      </c>
      <c r="BL328" s="1452" t="str">
        <f t="shared" si="201"/>
        <v/>
      </c>
      <c r="BM328" s="1452" t="str">
        <f t="shared" si="202"/>
        <v/>
      </c>
      <c r="BN328" s="1452" t="str">
        <f t="shared" ca="1" si="203"/>
        <v/>
      </c>
      <c r="BO328" s="1452" t="str">
        <f t="shared" si="216"/>
        <v/>
      </c>
      <c r="BP328" s="1452" t="str">
        <f t="shared" si="204"/>
        <v/>
      </c>
      <c r="BQ328" s="1452" t="str">
        <f t="shared" si="205"/>
        <v/>
      </c>
      <c r="BR328" s="1452" t="str">
        <f t="shared" si="206"/>
        <v/>
      </c>
      <c r="BS328" s="1452" t="str">
        <f t="shared" si="207"/>
        <v/>
      </c>
      <c r="BT328" s="1452" t="str">
        <f t="shared" si="208"/>
        <v/>
      </c>
      <c r="BU328" s="1452" t="str">
        <f t="shared" si="209"/>
        <v/>
      </c>
      <c r="BV328" s="1452" t="str">
        <f t="shared" si="210"/>
        <v/>
      </c>
      <c r="BW328" s="1558">
        <f t="shared" ca="1" si="217"/>
        <v>0</v>
      </c>
    </row>
    <row r="329" spans="1:75" s="9" customFormat="1" ht="12.5">
      <c r="A329" s="1483" t="str">
        <f t="shared" si="211"/>
        <v>Public Health Wales Trust</v>
      </c>
      <c r="B329" s="1583"/>
      <c r="C329" s="1583"/>
      <c r="D329" s="1583"/>
      <c r="E329" s="1581"/>
      <c r="F329" s="1436"/>
      <c r="G329" s="1547">
        <f t="shared" si="212"/>
        <v>0</v>
      </c>
      <c r="H329" s="1484"/>
      <c r="I329" s="1547">
        <f t="shared" si="213"/>
        <v>0</v>
      </c>
      <c r="J329" s="1485"/>
      <c r="K329" s="1485"/>
      <c r="L329" s="1436"/>
      <c r="M329" s="1439"/>
      <c r="N329" s="1439"/>
      <c r="O329" s="1485"/>
      <c r="P329" s="1486"/>
      <c r="Q329" s="1486"/>
      <c r="R329" s="1487"/>
      <c r="S329" s="1444"/>
      <c r="T329" s="1444"/>
      <c r="U329" s="1444"/>
      <c r="V329" s="1488"/>
      <c r="W329" s="1488"/>
      <c r="X329" s="1488"/>
      <c r="Y329" s="1488"/>
      <c r="Z329" s="1488"/>
      <c r="AA329" s="1488"/>
      <c r="AB329" s="1488"/>
      <c r="AC329" s="1488"/>
      <c r="AD329" s="1488"/>
      <c r="AE329" s="1488"/>
      <c r="AF329" s="1488"/>
      <c r="AG329" s="1488"/>
      <c r="AH329" s="1451">
        <f t="shared" si="185"/>
        <v>0</v>
      </c>
      <c r="AI329" s="1488"/>
      <c r="AJ329" s="1488"/>
      <c r="AK329" s="1488"/>
      <c r="AL329" s="1488"/>
      <c r="AM329" s="1488"/>
      <c r="AN329" s="1488"/>
      <c r="AO329" s="1488"/>
      <c r="AP329" s="1488"/>
      <c r="AQ329" s="1488"/>
      <c r="AR329" s="1488"/>
      <c r="AS329" s="1488"/>
      <c r="AT329" s="1542"/>
      <c r="AU329" s="1599">
        <f t="shared" si="186"/>
        <v>0</v>
      </c>
      <c r="AV329" s="1544">
        <f t="shared" si="214"/>
        <v>0</v>
      </c>
      <c r="AW329" s="1452">
        <f t="shared" si="187"/>
        <v>0</v>
      </c>
      <c r="AX329" s="1452">
        <f t="shared" si="188"/>
        <v>0</v>
      </c>
      <c r="AY329" s="1452">
        <f t="shared" si="189"/>
        <v>0</v>
      </c>
      <c r="AZ329" s="1452">
        <f t="shared" si="190"/>
        <v>0</v>
      </c>
      <c r="BA329" s="1452">
        <f t="shared" si="191"/>
        <v>0</v>
      </c>
      <c r="BB329" s="1452">
        <f t="shared" si="192"/>
        <v>0</v>
      </c>
      <c r="BC329" s="1452">
        <f t="shared" si="193"/>
        <v>0</v>
      </c>
      <c r="BD329" s="1452">
        <f t="shared" si="194"/>
        <v>0</v>
      </c>
      <c r="BE329" s="1452">
        <f t="shared" si="195"/>
        <v>0</v>
      </c>
      <c r="BF329" s="1452">
        <f t="shared" si="196"/>
        <v>0</v>
      </c>
      <c r="BG329" s="1452">
        <f t="shared" si="197"/>
        <v>0</v>
      </c>
      <c r="BH329" s="1452">
        <f t="shared" si="198"/>
        <v>0</v>
      </c>
      <c r="BI329" s="1452">
        <f t="shared" si="215"/>
        <v>0</v>
      </c>
      <c r="BJ329" s="1452" t="str">
        <f t="shared" si="199"/>
        <v/>
      </c>
      <c r="BK329" s="1452" t="str">
        <f t="shared" si="200"/>
        <v/>
      </c>
      <c r="BL329" s="1452" t="str">
        <f t="shared" si="201"/>
        <v/>
      </c>
      <c r="BM329" s="1452" t="str">
        <f t="shared" si="202"/>
        <v/>
      </c>
      <c r="BN329" s="1452" t="str">
        <f t="shared" ca="1" si="203"/>
        <v/>
      </c>
      <c r="BO329" s="1452" t="str">
        <f t="shared" si="216"/>
        <v/>
      </c>
      <c r="BP329" s="1452" t="str">
        <f t="shared" si="204"/>
        <v/>
      </c>
      <c r="BQ329" s="1452" t="str">
        <f t="shared" si="205"/>
        <v/>
      </c>
      <c r="BR329" s="1452" t="str">
        <f t="shared" si="206"/>
        <v/>
      </c>
      <c r="BS329" s="1452" t="str">
        <f t="shared" si="207"/>
        <v/>
      </c>
      <c r="BT329" s="1452" t="str">
        <f t="shared" si="208"/>
        <v/>
      </c>
      <c r="BU329" s="1452" t="str">
        <f t="shared" si="209"/>
        <v/>
      </c>
      <c r="BV329" s="1452" t="str">
        <f t="shared" si="210"/>
        <v/>
      </c>
      <c r="BW329" s="1558">
        <f t="shared" ca="1" si="217"/>
        <v>0</v>
      </c>
    </row>
    <row r="330" spans="1:75" s="9" customFormat="1" ht="12.5">
      <c r="A330" s="1483" t="str">
        <f t="shared" si="211"/>
        <v>Public Health Wales Trust</v>
      </c>
      <c r="B330" s="1583"/>
      <c r="C330" s="1583"/>
      <c r="D330" s="1583"/>
      <c r="E330" s="1581"/>
      <c r="F330" s="1436"/>
      <c r="G330" s="1547">
        <f t="shared" si="212"/>
        <v>0</v>
      </c>
      <c r="H330" s="1484"/>
      <c r="I330" s="1547">
        <f t="shared" si="213"/>
        <v>0</v>
      </c>
      <c r="J330" s="1485"/>
      <c r="K330" s="1485"/>
      <c r="L330" s="1436"/>
      <c r="M330" s="1439"/>
      <c r="N330" s="1439"/>
      <c r="O330" s="1485"/>
      <c r="P330" s="1486"/>
      <c r="Q330" s="1486"/>
      <c r="R330" s="1487"/>
      <c r="S330" s="1444"/>
      <c r="T330" s="1444"/>
      <c r="U330" s="1444"/>
      <c r="V330" s="1488"/>
      <c r="W330" s="1488"/>
      <c r="X330" s="1488"/>
      <c r="Y330" s="1488"/>
      <c r="Z330" s="1488"/>
      <c r="AA330" s="1488"/>
      <c r="AB330" s="1488"/>
      <c r="AC330" s="1488"/>
      <c r="AD330" s="1488"/>
      <c r="AE330" s="1488"/>
      <c r="AF330" s="1488"/>
      <c r="AG330" s="1488"/>
      <c r="AH330" s="1451">
        <f t="shared" si="185"/>
        <v>0</v>
      </c>
      <c r="AI330" s="1488"/>
      <c r="AJ330" s="1488"/>
      <c r="AK330" s="1488"/>
      <c r="AL330" s="1488"/>
      <c r="AM330" s="1488"/>
      <c r="AN330" s="1488"/>
      <c r="AO330" s="1488"/>
      <c r="AP330" s="1488"/>
      <c r="AQ330" s="1488"/>
      <c r="AR330" s="1488"/>
      <c r="AS330" s="1488"/>
      <c r="AT330" s="1542"/>
      <c r="AU330" s="1599">
        <f t="shared" si="186"/>
        <v>0</v>
      </c>
      <c r="AV330" s="1544">
        <f t="shared" si="214"/>
        <v>0</v>
      </c>
      <c r="AW330" s="1452">
        <f t="shared" si="187"/>
        <v>0</v>
      </c>
      <c r="AX330" s="1452">
        <f t="shared" si="188"/>
        <v>0</v>
      </c>
      <c r="AY330" s="1452">
        <f t="shared" si="189"/>
        <v>0</v>
      </c>
      <c r="AZ330" s="1452">
        <f t="shared" si="190"/>
        <v>0</v>
      </c>
      <c r="BA330" s="1452">
        <f t="shared" si="191"/>
        <v>0</v>
      </c>
      <c r="BB330" s="1452">
        <f t="shared" si="192"/>
        <v>0</v>
      </c>
      <c r="BC330" s="1452">
        <f t="shared" si="193"/>
        <v>0</v>
      </c>
      <c r="BD330" s="1452">
        <f t="shared" si="194"/>
        <v>0</v>
      </c>
      <c r="BE330" s="1452">
        <f t="shared" si="195"/>
        <v>0</v>
      </c>
      <c r="BF330" s="1452">
        <f t="shared" si="196"/>
        <v>0</v>
      </c>
      <c r="BG330" s="1452">
        <f t="shared" si="197"/>
        <v>0</v>
      </c>
      <c r="BH330" s="1452">
        <f t="shared" si="198"/>
        <v>0</v>
      </c>
      <c r="BI330" s="1452">
        <f t="shared" si="215"/>
        <v>0</v>
      </c>
      <c r="BJ330" s="1452" t="str">
        <f t="shared" si="199"/>
        <v/>
      </c>
      <c r="BK330" s="1452" t="str">
        <f t="shared" si="200"/>
        <v/>
      </c>
      <c r="BL330" s="1452" t="str">
        <f t="shared" si="201"/>
        <v/>
      </c>
      <c r="BM330" s="1452" t="str">
        <f t="shared" si="202"/>
        <v/>
      </c>
      <c r="BN330" s="1452" t="str">
        <f t="shared" ca="1" si="203"/>
        <v/>
      </c>
      <c r="BO330" s="1452" t="str">
        <f t="shared" si="216"/>
        <v/>
      </c>
      <c r="BP330" s="1452" t="str">
        <f t="shared" si="204"/>
        <v/>
      </c>
      <c r="BQ330" s="1452" t="str">
        <f t="shared" si="205"/>
        <v/>
      </c>
      <c r="BR330" s="1452" t="str">
        <f t="shared" si="206"/>
        <v/>
      </c>
      <c r="BS330" s="1452" t="str">
        <f t="shared" si="207"/>
        <v/>
      </c>
      <c r="BT330" s="1452" t="str">
        <f t="shared" si="208"/>
        <v/>
      </c>
      <c r="BU330" s="1452" t="str">
        <f t="shared" si="209"/>
        <v/>
      </c>
      <c r="BV330" s="1452" t="str">
        <f t="shared" si="210"/>
        <v/>
      </c>
      <c r="BW330" s="1558">
        <f t="shared" ca="1" si="217"/>
        <v>0</v>
      </c>
    </row>
    <row r="331" spans="1:75" s="9" customFormat="1" ht="12.5">
      <c r="A331" s="1483" t="str">
        <f t="shared" si="211"/>
        <v>Public Health Wales Trust</v>
      </c>
      <c r="B331" s="1583"/>
      <c r="C331" s="1583"/>
      <c r="D331" s="1583"/>
      <c r="E331" s="1581"/>
      <c r="F331" s="1436"/>
      <c r="G331" s="1547">
        <f t="shared" si="212"/>
        <v>0</v>
      </c>
      <c r="H331" s="1484"/>
      <c r="I331" s="1547">
        <f t="shared" si="213"/>
        <v>0</v>
      </c>
      <c r="J331" s="1485"/>
      <c r="K331" s="1485"/>
      <c r="L331" s="1436"/>
      <c r="M331" s="1439"/>
      <c r="N331" s="1439"/>
      <c r="O331" s="1485"/>
      <c r="P331" s="1486"/>
      <c r="Q331" s="1486"/>
      <c r="R331" s="1487"/>
      <c r="S331" s="1444"/>
      <c r="T331" s="1444"/>
      <c r="U331" s="1444"/>
      <c r="V331" s="1488"/>
      <c r="W331" s="1488"/>
      <c r="X331" s="1488"/>
      <c r="Y331" s="1488"/>
      <c r="Z331" s="1488"/>
      <c r="AA331" s="1488"/>
      <c r="AB331" s="1488"/>
      <c r="AC331" s="1488"/>
      <c r="AD331" s="1488"/>
      <c r="AE331" s="1488"/>
      <c r="AF331" s="1488"/>
      <c r="AG331" s="1488"/>
      <c r="AH331" s="1451">
        <f t="shared" si="185"/>
        <v>0</v>
      </c>
      <c r="AI331" s="1488"/>
      <c r="AJ331" s="1488"/>
      <c r="AK331" s="1488"/>
      <c r="AL331" s="1488"/>
      <c r="AM331" s="1488"/>
      <c r="AN331" s="1488"/>
      <c r="AO331" s="1488"/>
      <c r="AP331" s="1488"/>
      <c r="AQ331" s="1488"/>
      <c r="AR331" s="1488"/>
      <c r="AS331" s="1488"/>
      <c r="AT331" s="1542"/>
      <c r="AU331" s="1599">
        <f t="shared" si="186"/>
        <v>0</v>
      </c>
      <c r="AV331" s="1544">
        <f t="shared" si="214"/>
        <v>0</v>
      </c>
      <c r="AW331" s="1452">
        <f t="shared" si="187"/>
        <v>0</v>
      </c>
      <c r="AX331" s="1452">
        <f t="shared" si="188"/>
        <v>0</v>
      </c>
      <c r="AY331" s="1452">
        <f t="shared" si="189"/>
        <v>0</v>
      </c>
      <c r="AZ331" s="1452">
        <f t="shared" si="190"/>
        <v>0</v>
      </c>
      <c r="BA331" s="1452">
        <f t="shared" si="191"/>
        <v>0</v>
      </c>
      <c r="BB331" s="1452">
        <f t="shared" si="192"/>
        <v>0</v>
      </c>
      <c r="BC331" s="1452">
        <f t="shared" si="193"/>
        <v>0</v>
      </c>
      <c r="BD331" s="1452">
        <f t="shared" si="194"/>
        <v>0</v>
      </c>
      <c r="BE331" s="1452">
        <f t="shared" si="195"/>
        <v>0</v>
      </c>
      <c r="BF331" s="1452">
        <f t="shared" si="196"/>
        <v>0</v>
      </c>
      <c r="BG331" s="1452">
        <f t="shared" si="197"/>
        <v>0</v>
      </c>
      <c r="BH331" s="1452">
        <f t="shared" si="198"/>
        <v>0</v>
      </c>
      <c r="BI331" s="1452">
        <f t="shared" si="215"/>
        <v>0</v>
      </c>
      <c r="BJ331" s="1452" t="str">
        <f t="shared" si="199"/>
        <v/>
      </c>
      <c r="BK331" s="1452" t="str">
        <f t="shared" si="200"/>
        <v/>
      </c>
      <c r="BL331" s="1452" t="str">
        <f t="shared" si="201"/>
        <v/>
      </c>
      <c r="BM331" s="1452" t="str">
        <f t="shared" si="202"/>
        <v/>
      </c>
      <c r="BN331" s="1452" t="str">
        <f t="shared" ca="1" si="203"/>
        <v/>
      </c>
      <c r="BO331" s="1452" t="str">
        <f t="shared" si="216"/>
        <v/>
      </c>
      <c r="BP331" s="1452" t="str">
        <f t="shared" si="204"/>
        <v/>
      </c>
      <c r="BQ331" s="1452" t="str">
        <f t="shared" si="205"/>
        <v/>
      </c>
      <c r="BR331" s="1452" t="str">
        <f t="shared" si="206"/>
        <v/>
      </c>
      <c r="BS331" s="1452" t="str">
        <f t="shared" si="207"/>
        <v/>
      </c>
      <c r="BT331" s="1452" t="str">
        <f t="shared" si="208"/>
        <v/>
      </c>
      <c r="BU331" s="1452" t="str">
        <f t="shared" si="209"/>
        <v/>
      </c>
      <c r="BV331" s="1452" t="str">
        <f t="shared" si="210"/>
        <v/>
      </c>
      <c r="BW331" s="1558">
        <f t="shared" ca="1" si="217"/>
        <v>0</v>
      </c>
    </row>
    <row r="332" spans="1:75" s="9" customFormat="1" ht="12.5">
      <c r="A332" s="1483" t="str">
        <f t="shared" si="211"/>
        <v>Public Health Wales Trust</v>
      </c>
      <c r="B332" s="1583"/>
      <c r="C332" s="1583"/>
      <c r="D332" s="1583"/>
      <c r="E332" s="1581"/>
      <c r="F332" s="1436"/>
      <c r="G332" s="1547">
        <f t="shared" si="212"/>
        <v>0</v>
      </c>
      <c r="H332" s="1484"/>
      <c r="I332" s="1547">
        <f t="shared" si="213"/>
        <v>0</v>
      </c>
      <c r="J332" s="1485"/>
      <c r="K332" s="1485"/>
      <c r="L332" s="1436"/>
      <c r="M332" s="1439"/>
      <c r="N332" s="1439"/>
      <c r="O332" s="1485"/>
      <c r="P332" s="1486"/>
      <c r="Q332" s="1486"/>
      <c r="R332" s="1487"/>
      <c r="S332" s="1444"/>
      <c r="T332" s="1444"/>
      <c r="U332" s="1444"/>
      <c r="V332" s="1488"/>
      <c r="W332" s="1488"/>
      <c r="X332" s="1488"/>
      <c r="Y332" s="1488"/>
      <c r="Z332" s="1488"/>
      <c r="AA332" s="1488"/>
      <c r="AB332" s="1488"/>
      <c r="AC332" s="1488"/>
      <c r="AD332" s="1488"/>
      <c r="AE332" s="1488"/>
      <c r="AF332" s="1488"/>
      <c r="AG332" s="1488"/>
      <c r="AH332" s="1451">
        <f t="shared" si="185"/>
        <v>0</v>
      </c>
      <c r="AI332" s="1488"/>
      <c r="AJ332" s="1488"/>
      <c r="AK332" s="1488"/>
      <c r="AL332" s="1488"/>
      <c r="AM332" s="1488"/>
      <c r="AN332" s="1488"/>
      <c r="AO332" s="1488"/>
      <c r="AP332" s="1488"/>
      <c r="AQ332" s="1488"/>
      <c r="AR332" s="1488"/>
      <c r="AS332" s="1488"/>
      <c r="AT332" s="1542"/>
      <c r="AU332" s="1599">
        <f t="shared" si="186"/>
        <v>0</v>
      </c>
      <c r="AV332" s="1544">
        <f t="shared" si="214"/>
        <v>0</v>
      </c>
      <c r="AW332" s="1452">
        <f t="shared" si="187"/>
        <v>0</v>
      </c>
      <c r="AX332" s="1452">
        <f t="shared" si="188"/>
        <v>0</v>
      </c>
      <c r="AY332" s="1452">
        <f t="shared" si="189"/>
        <v>0</v>
      </c>
      <c r="AZ332" s="1452">
        <f t="shared" si="190"/>
        <v>0</v>
      </c>
      <c r="BA332" s="1452">
        <f t="shared" si="191"/>
        <v>0</v>
      </c>
      <c r="BB332" s="1452">
        <f t="shared" si="192"/>
        <v>0</v>
      </c>
      <c r="BC332" s="1452">
        <f t="shared" si="193"/>
        <v>0</v>
      </c>
      <c r="BD332" s="1452">
        <f t="shared" si="194"/>
        <v>0</v>
      </c>
      <c r="BE332" s="1452">
        <f t="shared" si="195"/>
        <v>0</v>
      </c>
      <c r="BF332" s="1452">
        <f t="shared" si="196"/>
        <v>0</v>
      </c>
      <c r="BG332" s="1452">
        <f t="shared" si="197"/>
        <v>0</v>
      </c>
      <c r="BH332" s="1452">
        <f t="shared" si="198"/>
        <v>0</v>
      </c>
      <c r="BI332" s="1452">
        <f t="shared" si="215"/>
        <v>0</v>
      </c>
      <c r="BJ332" s="1452" t="str">
        <f t="shared" si="199"/>
        <v/>
      </c>
      <c r="BK332" s="1452" t="str">
        <f t="shared" si="200"/>
        <v/>
      </c>
      <c r="BL332" s="1452" t="str">
        <f t="shared" si="201"/>
        <v/>
      </c>
      <c r="BM332" s="1452" t="str">
        <f t="shared" si="202"/>
        <v/>
      </c>
      <c r="BN332" s="1452" t="str">
        <f t="shared" ca="1" si="203"/>
        <v/>
      </c>
      <c r="BO332" s="1452" t="str">
        <f t="shared" si="216"/>
        <v/>
      </c>
      <c r="BP332" s="1452" t="str">
        <f t="shared" si="204"/>
        <v/>
      </c>
      <c r="BQ332" s="1452" t="str">
        <f t="shared" si="205"/>
        <v/>
      </c>
      <c r="BR332" s="1452" t="str">
        <f t="shared" si="206"/>
        <v/>
      </c>
      <c r="BS332" s="1452" t="str">
        <f t="shared" si="207"/>
        <v/>
      </c>
      <c r="BT332" s="1452" t="str">
        <f t="shared" si="208"/>
        <v/>
      </c>
      <c r="BU332" s="1452" t="str">
        <f t="shared" si="209"/>
        <v/>
      </c>
      <c r="BV332" s="1452" t="str">
        <f t="shared" si="210"/>
        <v/>
      </c>
      <c r="BW332" s="1558">
        <f t="shared" ca="1" si="217"/>
        <v>0</v>
      </c>
    </row>
    <row r="333" spans="1:75" s="9" customFormat="1" ht="12.5">
      <c r="A333" s="1483" t="str">
        <f t="shared" si="211"/>
        <v>Public Health Wales Trust</v>
      </c>
      <c r="B333" s="1583"/>
      <c r="C333" s="1583"/>
      <c r="D333" s="1583"/>
      <c r="E333" s="1581"/>
      <c r="F333" s="1436"/>
      <c r="G333" s="1547">
        <f t="shared" si="212"/>
        <v>0</v>
      </c>
      <c r="H333" s="1484"/>
      <c r="I333" s="1547">
        <f t="shared" si="213"/>
        <v>0</v>
      </c>
      <c r="J333" s="1485"/>
      <c r="K333" s="1485"/>
      <c r="L333" s="1436"/>
      <c r="M333" s="1439"/>
      <c r="N333" s="1439"/>
      <c r="O333" s="1485"/>
      <c r="P333" s="1486"/>
      <c r="Q333" s="1486"/>
      <c r="R333" s="1487"/>
      <c r="S333" s="1444"/>
      <c r="T333" s="1444"/>
      <c r="U333" s="1444"/>
      <c r="V333" s="1488"/>
      <c r="W333" s="1488"/>
      <c r="X333" s="1488"/>
      <c r="Y333" s="1488"/>
      <c r="Z333" s="1488"/>
      <c r="AA333" s="1488"/>
      <c r="AB333" s="1488"/>
      <c r="AC333" s="1488"/>
      <c r="AD333" s="1488"/>
      <c r="AE333" s="1488"/>
      <c r="AF333" s="1488"/>
      <c r="AG333" s="1488"/>
      <c r="AH333" s="1451">
        <f t="shared" si="185"/>
        <v>0</v>
      </c>
      <c r="AI333" s="1488"/>
      <c r="AJ333" s="1488"/>
      <c r="AK333" s="1488"/>
      <c r="AL333" s="1488"/>
      <c r="AM333" s="1488"/>
      <c r="AN333" s="1488"/>
      <c r="AO333" s="1488"/>
      <c r="AP333" s="1488"/>
      <c r="AQ333" s="1488"/>
      <c r="AR333" s="1488"/>
      <c r="AS333" s="1488"/>
      <c r="AT333" s="1542"/>
      <c r="AU333" s="1599">
        <f t="shared" si="186"/>
        <v>0</v>
      </c>
      <c r="AV333" s="1544">
        <f t="shared" si="214"/>
        <v>0</v>
      </c>
      <c r="AW333" s="1452">
        <f t="shared" si="187"/>
        <v>0</v>
      </c>
      <c r="AX333" s="1452">
        <f t="shared" si="188"/>
        <v>0</v>
      </c>
      <c r="AY333" s="1452">
        <f t="shared" si="189"/>
        <v>0</v>
      </c>
      <c r="AZ333" s="1452">
        <f t="shared" si="190"/>
        <v>0</v>
      </c>
      <c r="BA333" s="1452">
        <f t="shared" si="191"/>
        <v>0</v>
      </c>
      <c r="BB333" s="1452">
        <f t="shared" si="192"/>
        <v>0</v>
      </c>
      <c r="BC333" s="1452">
        <f t="shared" si="193"/>
        <v>0</v>
      </c>
      <c r="BD333" s="1452">
        <f t="shared" si="194"/>
        <v>0</v>
      </c>
      <c r="BE333" s="1452">
        <f t="shared" si="195"/>
        <v>0</v>
      </c>
      <c r="BF333" s="1452">
        <f t="shared" si="196"/>
        <v>0</v>
      </c>
      <c r="BG333" s="1452">
        <f t="shared" si="197"/>
        <v>0</v>
      </c>
      <c r="BH333" s="1452">
        <f t="shared" si="198"/>
        <v>0</v>
      </c>
      <c r="BI333" s="1452">
        <f t="shared" si="215"/>
        <v>0</v>
      </c>
      <c r="BJ333" s="1452" t="str">
        <f t="shared" si="199"/>
        <v/>
      </c>
      <c r="BK333" s="1452" t="str">
        <f t="shared" si="200"/>
        <v/>
      </c>
      <c r="BL333" s="1452" t="str">
        <f t="shared" si="201"/>
        <v/>
      </c>
      <c r="BM333" s="1452" t="str">
        <f t="shared" si="202"/>
        <v/>
      </c>
      <c r="BN333" s="1452" t="str">
        <f t="shared" ca="1" si="203"/>
        <v/>
      </c>
      <c r="BO333" s="1452" t="str">
        <f t="shared" si="216"/>
        <v/>
      </c>
      <c r="BP333" s="1452" t="str">
        <f t="shared" si="204"/>
        <v/>
      </c>
      <c r="BQ333" s="1452" t="str">
        <f t="shared" si="205"/>
        <v/>
      </c>
      <c r="BR333" s="1452" t="str">
        <f t="shared" si="206"/>
        <v/>
      </c>
      <c r="BS333" s="1452" t="str">
        <f t="shared" si="207"/>
        <v/>
      </c>
      <c r="BT333" s="1452" t="str">
        <f t="shared" si="208"/>
        <v/>
      </c>
      <c r="BU333" s="1452" t="str">
        <f t="shared" si="209"/>
        <v/>
      </c>
      <c r="BV333" s="1452" t="str">
        <f t="shared" si="210"/>
        <v/>
      </c>
      <c r="BW333" s="1558">
        <f t="shared" ca="1" si="217"/>
        <v>0</v>
      </c>
    </row>
    <row r="334" spans="1:75" s="9" customFormat="1" ht="12.5">
      <c r="A334" s="1483" t="str">
        <f t="shared" si="211"/>
        <v>Public Health Wales Trust</v>
      </c>
      <c r="B334" s="1583"/>
      <c r="C334" s="1583"/>
      <c r="D334" s="1583"/>
      <c r="E334" s="1581"/>
      <c r="F334" s="1436"/>
      <c r="G334" s="1547">
        <f t="shared" si="212"/>
        <v>0</v>
      </c>
      <c r="H334" s="1484"/>
      <c r="I334" s="1547">
        <f t="shared" si="213"/>
        <v>0</v>
      </c>
      <c r="J334" s="1485"/>
      <c r="K334" s="1485"/>
      <c r="L334" s="1436"/>
      <c r="M334" s="1439"/>
      <c r="N334" s="1439"/>
      <c r="O334" s="1485"/>
      <c r="P334" s="1486"/>
      <c r="Q334" s="1486"/>
      <c r="R334" s="1487"/>
      <c r="S334" s="1444"/>
      <c r="T334" s="1444"/>
      <c r="U334" s="1444"/>
      <c r="V334" s="1488"/>
      <c r="W334" s="1488"/>
      <c r="X334" s="1488"/>
      <c r="Y334" s="1488"/>
      <c r="Z334" s="1488"/>
      <c r="AA334" s="1488"/>
      <c r="AB334" s="1488"/>
      <c r="AC334" s="1488"/>
      <c r="AD334" s="1488"/>
      <c r="AE334" s="1488"/>
      <c r="AF334" s="1488"/>
      <c r="AG334" s="1488"/>
      <c r="AH334" s="1451">
        <f t="shared" si="185"/>
        <v>0</v>
      </c>
      <c r="AI334" s="1488"/>
      <c r="AJ334" s="1488"/>
      <c r="AK334" s="1488"/>
      <c r="AL334" s="1488"/>
      <c r="AM334" s="1488"/>
      <c r="AN334" s="1488"/>
      <c r="AO334" s="1488"/>
      <c r="AP334" s="1488"/>
      <c r="AQ334" s="1488"/>
      <c r="AR334" s="1488"/>
      <c r="AS334" s="1488"/>
      <c r="AT334" s="1542"/>
      <c r="AU334" s="1599">
        <f t="shared" si="186"/>
        <v>0</v>
      </c>
      <c r="AV334" s="1544">
        <f t="shared" si="214"/>
        <v>0</v>
      </c>
      <c r="AW334" s="1452">
        <f t="shared" si="187"/>
        <v>0</v>
      </c>
      <c r="AX334" s="1452">
        <f t="shared" si="188"/>
        <v>0</v>
      </c>
      <c r="AY334" s="1452">
        <f t="shared" si="189"/>
        <v>0</v>
      </c>
      <c r="AZ334" s="1452">
        <f t="shared" si="190"/>
        <v>0</v>
      </c>
      <c r="BA334" s="1452">
        <f t="shared" si="191"/>
        <v>0</v>
      </c>
      <c r="BB334" s="1452">
        <f t="shared" si="192"/>
        <v>0</v>
      </c>
      <c r="BC334" s="1452">
        <f t="shared" si="193"/>
        <v>0</v>
      </c>
      <c r="BD334" s="1452">
        <f t="shared" si="194"/>
        <v>0</v>
      </c>
      <c r="BE334" s="1452">
        <f t="shared" si="195"/>
        <v>0</v>
      </c>
      <c r="BF334" s="1452">
        <f t="shared" si="196"/>
        <v>0</v>
      </c>
      <c r="BG334" s="1452">
        <f t="shared" si="197"/>
        <v>0</v>
      </c>
      <c r="BH334" s="1452">
        <f t="shared" si="198"/>
        <v>0</v>
      </c>
      <c r="BI334" s="1452">
        <f t="shared" si="215"/>
        <v>0</v>
      </c>
      <c r="BJ334" s="1452" t="str">
        <f t="shared" si="199"/>
        <v/>
      </c>
      <c r="BK334" s="1452" t="str">
        <f t="shared" si="200"/>
        <v/>
      </c>
      <c r="BL334" s="1452" t="str">
        <f t="shared" si="201"/>
        <v/>
      </c>
      <c r="BM334" s="1452" t="str">
        <f t="shared" si="202"/>
        <v/>
      </c>
      <c r="BN334" s="1452" t="str">
        <f t="shared" ca="1" si="203"/>
        <v/>
      </c>
      <c r="BO334" s="1452" t="str">
        <f t="shared" si="216"/>
        <v/>
      </c>
      <c r="BP334" s="1452" t="str">
        <f t="shared" si="204"/>
        <v/>
      </c>
      <c r="BQ334" s="1452" t="str">
        <f t="shared" si="205"/>
        <v/>
      </c>
      <c r="BR334" s="1452" t="str">
        <f t="shared" si="206"/>
        <v/>
      </c>
      <c r="BS334" s="1452" t="str">
        <f t="shared" si="207"/>
        <v/>
      </c>
      <c r="BT334" s="1452" t="str">
        <f t="shared" si="208"/>
        <v/>
      </c>
      <c r="BU334" s="1452" t="str">
        <f t="shared" si="209"/>
        <v/>
      </c>
      <c r="BV334" s="1452" t="str">
        <f t="shared" si="210"/>
        <v/>
      </c>
      <c r="BW334" s="1558">
        <f t="shared" ca="1" si="217"/>
        <v>0</v>
      </c>
    </row>
    <row r="335" spans="1:75" s="9" customFormat="1" ht="12.5">
      <c r="A335" s="1483" t="str">
        <f t="shared" si="211"/>
        <v>Public Health Wales Trust</v>
      </c>
      <c r="B335" s="1584"/>
      <c r="C335" s="1584"/>
      <c r="D335" s="1583"/>
      <c r="E335" s="1581"/>
      <c r="F335" s="1436"/>
      <c r="G335" s="1547">
        <f t="shared" si="212"/>
        <v>0</v>
      </c>
      <c r="H335" s="1484"/>
      <c r="I335" s="1547">
        <f t="shared" si="213"/>
        <v>0</v>
      </c>
      <c r="J335" s="1485"/>
      <c r="K335" s="1485"/>
      <c r="L335" s="1436"/>
      <c r="M335" s="1439"/>
      <c r="N335" s="1439"/>
      <c r="O335" s="1485"/>
      <c r="P335" s="1486"/>
      <c r="Q335" s="1486"/>
      <c r="R335" s="1487"/>
      <c r="S335" s="1444"/>
      <c r="T335" s="1444"/>
      <c r="U335" s="1444"/>
      <c r="V335" s="1488"/>
      <c r="W335" s="1488"/>
      <c r="X335" s="1488"/>
      <c r="Y335" s="1488"/>
      <c r="Z335" s="1488"/>
      <c r="AA335" s="1488"/>
      <c r="AB335" s="1488"/>
      <c r="AC335" s="1488"/>
      <c r="AD335" s="1488"/>
      <c r="AE335" s="1488"/>
      <c r="AF335" s="1488"/>
      <c r="AG335" s="1488"/>
      <c r="AH335" s="1451">
        <f t="shared" si="185"/>
        <v>0</v>
      </c>
      <c r="AI335" s="1488"/>
      <c r="AJ335" s="1488"/>
      <c r="AK335" s="1488"/>
      <c r="AL335" s="1488"/>
      <c r="AM335" s="1488"/>
      <c r="AN335" s="1488"/>
      <c r="AO335" s="1488"/>
      <c r="AP335" s="1488"/>
      <c r="AQ335" s="1488"/>
      <c r="AR335" s="1488"/>
      <c r="AS335" s="1488"/>
      <c r="AT335" s="1542"/>
      <c r="AU335" s="1599">
        <f t="shared" si="186"/>
        <v>0</v>
      </c>
      <c r="AV335" s="1544">
        <f t="shared" si="214"/>
        <v>0</v>
      </c>
      <c r="AW335" s="1452">
        <f t="shared" si="187"/>
        <v>0</v>
      </c>
      <c r="AX335" s="1452">
        <f t="shared" si="188"/>
        <v>0</v>
      </c>
      <c r="AY335" s="1452">
        <f t="shared" si="189"/>
        <v>0</v>
      </c>
      <c r="AZ335" s="1452">
        <f t="shared" si="190"/>
        <v>0</v>
      </c>
      <c r="BA335" s="1452">
        <f t="shared" si="191"/>
        <v>0</v>
      </c>
      <c r="BB335" s="1452">
        <f t="shared" si="192"/>
        <v>0</v>
      </c>
      <c r="BC335" s="1452">
        <f t="shared" si="193"/>
        <v>0</v>
      </c>
      <c r="BD335" s="1452">
        <f t="shared" si="194"/>
        <v>0</v>
      </c>
      <c r="BE335" s="1452">
        <f t="shared" si="195"/>
        <v>0</v>
      </c>
      <c r="BF335" s="1452">
        <f t="shared" si="196"/>
        <v>0</v>
      </c>
      <c r="BG335" s="1452">
        <f t="shared" si="197"/>
        <v>0</v>
      </c>
      <c r="BH335" s="1452">
        <f t="shared" si="198"/>
        <v>0</v>
      </c>
      <c r="BI335" s="1452">
        <f t="shared" si="215"/>
        <v>0</v>
      </c>
      <c r="BJ335" s="1452" t="str">
        <f t="shared" si="199"/>
        <v/>
      </c>
      <c r="BK335" s="1452" t="str">
        <f t="shared" si="200"/>
        <v/>
      </c>
      <c r="BL335" s="1452" t="str">
        <f t="shared" si="201"/>
        <v/>
      </c>
      <c r="BM335" s="1452" t="str">
        <f t="shared" si="202"/>
        <v/>
      </c>
      <c r="BN335" s="1452" t="str">
        <f t="shared" ca="1" si="203"/>
        <v/>
      </c>
      <c r="BO335" s="1452" t="str">
        <f t="shared" si="216"/>
        <v/>
      </c>
      <c r="BP335" s="1452" t="str">
        <f t="shared" si="204"/>
        <v/>
      </c>
      <c r="BQ335" s="1452" t="str">
        <f t="shared" si="205"/>
        <v/>
      </c>
      <c r="BR335" s="1452" t="str">
        <f t="shared" si="206"/>
        <v/>
      </c>
      <c r="BS335" s="1452" t="str">
        <f t="shared" si="207"/>
        <v/>
      </c>
      <c r="BT335" s="1452" t="str">
        <f t="shared" si="208"/>
        <v/>
      </c>
      <c r="BU335" s="1452" t="str">
        <f t="shared" si="209"/>
        <v/>
      </c>
      <c r="BV335" s="1452" t="str">
        <f t="shared" si="210"/>
        <v/>
      </c>
      <c r="BW335" s="1558">
        <f t="shared" ca="1" si="217"/>
        <v>0</v>
      </c>
    </row>
    <row r="336" spans="1:75" s="9" customFormat="1" ht="12.5">
      <c r="A336" s="1483" t="str">
        <f t="shared" si="211"/>
        <v>Public Health Wales Trust</v>
      </c>
      <c r="B336" s="1583"/>
      <c r="C336" s="1583"/>
      <c r="D336" s="1583"/>
      <c r="E336" s="1581"/>
      <c r="F336" s="1436"/>
      <c r="G336" s="1547">
        <f t="shared" si="212"/>
        <v>0</v>
      </c>
      <c r="H336" s="1484"/>
      <c r="I336" s="1547">
        <f t="shared" si="213"/>
        <v>0</v>
      </c>
      <c r="J336" s="1485"/>
      <c r="K336" s="1485"/>
      <c r="L336" s="1436"/>
      <c r="M336" s="1439"/>
      <c r="N336" s="1439"/>
      <c r="O336" s="1485"/>
      <c r="P336" s="1486"/>
      <c r="Q336" s="1486"/>
      <c r="R336" s="1487"/>
      <c r="S336" s="1444"/>
      <c r="T336" s="1444"/>
      <c r="U336" s="1444"/>
      <c r="V336" s="1488"/>
      <c r="W336" s="1488"/>
      <c r="X336" s="1488"/>
      <c r="Y336" s="1488"/>
      <c r="Z336" s="1488"/>
      <c r="AA336" s="1488"/>
      <c r="AB336" s="1488"/>
      <c r="AC336" s="1488"/>
      <c r="AD336" s="1488"/>
      <c r="AE336" s="1488"/>
      <c r="AF336" s="1488"/>
      <c r="AG336" s="1488"/>
      <c r="AH336" s="1451">
        <f t="shared" si="185"/>
        <v>0</v>
      </c>
      <c r="AI336" s="1488"/>
      <c r="AJ336" s="1488"/>
      <c r="AK336" s="1488"/>
      <c r="AL336" s="1488"/>
      <c r="AM336" s="1488"/>
      <c r="AN336" s="1488"/>
      <c r="AO336" s="1488"/>
      <c r="AP336" s="1488"/>
      <c r="AQ336" s="1488"/>
      <c r="AR336" s="1488"/>
      <c r="AS336" s="1488"/>
      <c r="AT336" s="1542"/>
      <c r="AU336" s="1599">
        <f t="shared" si="186"/>
        <v>0</v>
      </c>
      <c r="AV336" s="1544">
        <f t="shared" si="214"/>
        <v>0</v>
      </c>
      <c r="AW336" s="1452">
        <f t="shared" si="187"/>
        <v>0</v>
      </c>
      <c r="AX336" s="1452">
        <f t="shared" si="188"/>
        <v>0</v>
      </c>
      <c r="AY336" s="1452">
        <f t="shared" si="189"/>
        <v>0</v>
      </c>
      <c r="AZ336" s="1452">
        <f t="shared" si="190"/>
        <v>0</v>
      </c>
      <c r="BA336" s="1452">
        <f t="shared" si="191"/>
        <v>0</v>
      </c>
      <c r="BB336" s="1452">
        <f t="shared" si="192"/>
        <v>0</v>
      </c>
      <c r="BC336" s="1452">
        <f t="shared" si="193"/>
        <v>0</v>
      </c>
      <c r="BD336" s="1452">
        <f t="shared" si="194"/>
        <v>0</v>
      </c>
      <c r="BE336" s="1452">
        <f t="shared" si="195"/>
        <v>0</v>
      </c>
      <c r="BF336" s="1452">
        <f t="shared" si="196"/>
        <v>0</v>
      </c>
      <c r="BG336" s="1452">
        <f t="shared" si="197"/>
        <v>0</v>
      </c>
      <c r="BH336" s="1452">
        <f t="shared" si="198"/>
        <v>0</v>
      </c>
      <c r="BI336" s="1452">
        <f t="shared" si="215"/>
        <v>0</v>
      </c>
      <c r="BJ336" s="1452" t="str">
        <f t="shared" si="199"/>
        <v/>
      </c>
      <c r="BK336" s="1452" t="str">
        <f t="shared" si="200"/>
        <v/>
      </c>
      <c r="BL336" s="1452" t="str">
        <f t="shared" si="201"/>
        <v/>
      </c>
      <c r="BM336" s="1452" t="str">
        <f t="shared" si="202"/>
        <v/>
      </c>
      <c r="BN336" s="1452" t="str">
        <f t="shared" ca="1" si="203"/>
        <v/>
      </c>
      <c r="BO336" s="1452" t="str">
        <f t="shared" si="216"/>
        <v/>
      </c>
      <c r="BP336" s="1452" t="str">
        <f t="shared" si="204"/>
        <v/>
      </c>
      <c r="BQ336" s="1452" t="str">
        <f t="shared" si="205"/>
        <v/>
      </c>
      <c r="BR336" s="1452" t="str">
        <f t="shared" si="206"/>
        <v/>
      </c>
      <c r="BS336" s="1452" t="str">
        <f t="shared" si="207"/>
        <v/>
      </c>
      <c r="BT336" s="1452" t="str">
        <f t="shared" si="208"/>
        <v/>
      </c>
      <c r="BU336" s="1452" t="str">
        <f t="shared" si="209"/>
        <v/>
      </c>
      <c r="BV336" s="1452" t="str">
        <f t="shared" si="210"/>
        <v/>
      </c>
      <c r="BW336" s="1558">
        <f t="shared" ca="1" si="217"/>
        <v>0</v>
      </c>
    </row>
    <row r="337" spans="1:75" s="9" customFormat="1" ht="12.5">
      <c r="A337" s="1483" t="str">
        <f t="shared" si="211"/>
        <v>Public Health Wales Trust</v>
      </c>
      <c r="B337" s="1583"/>
      <c r="C337" s="1583"/>
      <c r="D337" s="1583"/>
      <c r="E337" s="1581"/>
      <c r="F337" s="1436"/>
      <c r="G337" s="1547">
        <f t="shared" si="212"/>
        <v>0</v>
      </c>
      <c r="H337" s="1484"/>
      <c r="I337" s="1547">
        <f t="shared" si="213"/>
        <v>0</v>
      </c>
      <c r="J337" s="1485"/>
      <c r="K337" s="1485"/>
      <c r="L337" s="1436"/>
      <c r="M337" s="1439"/>
      <c r="N337" s="1439"/>
      <c r="O337" s="1485"/>
      <c r="P337" s="1486"/>
      <c r="Q337" s="1486"/>
      <c r="R337" s="1487"/>
      <c r="S337" s="1444"/>
      <c r="T337" s="1444"/>
      <c r="U337" s="1444"/>
      <c r="V337" s="1488"/>
      <c r="W337" s="1488"/>
      <c r="X337" s="1488"/>
      <c r="Y337" s="1488"/>
      <c r="Z337" s="1488"/>
      <c r="AA337" s="1488"/>
      <c r="AB337" s="1488"/>
      <c r="AC337" s="1488"/>
      <c r="AD337" s="1488"/>
      <c r="AE337" s="1488"/>
      <c r="AF337" s="1488"/>
      <c r="AG337" s="1488"/>
      <c r="AH337" s="1451">
        <f t="shared" si="185"/>
        <v>0</v>
      </c>
      <c r="AI337" s="1488"/>
      <c r="AJ337" s="1488"/>
      <c r="AK337" s="1488"/>
      <c r="AL337" s="1488"/>
      <c r="AM337" s="1488"/>
      <c r="AN337" s="1488"/>
      <c r="AO337" s="1488"/>
      <c r="AP337" s="1488"/>
      <c r="AQ337" s="1488"/>
      <c r="AR337" s="1488"/>
      <c r="AS337" s="1488"/>
      <c r="AT337" s="1542"/>
      <c r="AU337" s="1599">
        <f t="shared" si="186"/>
        <v>0</v>
      </c>
      <c r="AV337" s="1544">
        <f t="shared" si="214"/>
        <v>0</v>
      </c>
      <c r="AW337" s="1452">
        <f t="shared" si="187"/>
        <v>0</v>
      </c>
      <c r="AX337" s="1452">
        <f t="shared" si="188"/>
        <v>0</v>
      </c>
      <c r="AY337" s="1452">
        <f t="shared" si="189"/>
        <v>0</v>
      </c>
      <c r="AZ337" s="1452">
        <f t="shared" si="190"/>
        <v>0</v>
      </c>
      <c r="BA337" s="1452">
        <f t="shared" si="191"/>
        <v>0</v>
      </c>
      <c r="BB337" s="1452">
        <f t="shared" si="192"/>
        <v>0</v>
      </c>
      <c r="BC337" s="1452">
        <f t="shared" si="193"/>
        <v>0</v>
      </c>
      <c r="BD337" s="1452">
        <f t="shared" si="194"/>
        <v>0</v>
      </c>
      <c r="BE337" s="1452">
        <f t="shared" si="195"/>
        <v>0</v>
      </c>
      <c r="BF337" s="1452">
        <f t="shared" si="196"/>
        <v>0</v>
      </c>
      <c r="BG337" s="1452">
        <f t="shared" si="197"/>
        <v>0</v>
      </c>
      <c r="BH337" s="1452">
        <f t="shared" si="198"/>
        <v>0</v>
      </c>
      <c r="BI337" s="1452">
        <f t="shared" si="215"/>
        <v>0</v>
      </c>
      <c r="BJ337" s="1452" t="str">
        <f t="shared" si="199"/>
        <v/>
      </c>
      <c r="BK337" s="1452" t="str">
        <f t="shared" si="200"/>
        <v/>
      </c>
      <c r="BL337" s="1452" t="str">
        <f t="shared" si="201"/>
        <v/>
      </c>
      <c r="BM337" s="1452" t="str">
        <f t="shared" si="202"/>
        <v/>
      </c>
      <c r="BN337" s="1452" t="str">
        <f t="shared" ca="1" si="203"/>
        <v/>
      </c>
      <c r="BO337" s="1452" t="str">
        <f t="shared" si="216"/>
        <v/>
      </c>
      <c r="BP337" s="1452" t="str">
        <f t="shared" si="204"/>
        <v/>
      </c>
      <c r="BQ337" s="1452" t="str">
        <f t="shared" si="205"/>
        <v/>
      </c>
      <c r="BR337" s="1452" t="str">
        <f t="shared" si="206"/>
        <v/>
      </c>
      <c r="BS337" s="1452" t="str">
        <f t="shared" si="207"/>
        <v/>
      </c>
      <c r="BT337" s="1452" t="str">
        <f t="shared" si="208"/>
        <v/>
      </c>
      <c r="BU337" s="1452" t="str">
        <f t="shared" si="209"/>
        <v/>
      </c>
      <c r="BV337" s="1452" t="str">
        <f t="shared" si="210"/>
        <v/>
      </c>
      <c r="BW337" s="1558">
        <f t="shared" ca="1" si="217"/>
        <v>0</v>
      </c>
    </row>
    <row r="338" spans="1:75" s="9" customFormat="1" ht="12.5">
      <c r="A338" s="1483" t="str">
        <f t="shared" si="211"/>
        <v>Public Health Wales Trust</v>
      </c>
      <c r="B338" s="1583"/>
      <c r="C338" s="1583"/>
      <c r="D338" s="1583"/>
      <c r="E338" s="1581"/>
      <c r="F338" s="1436"/>
      <c r="G338" s="1547">
        <f t="shared" si="212"/>
        <v>0</v>
      </c>
      <c r="H338" s="1484"/>
      <c r="I338" s="1547">
        <f t="shared" si="213"/>
        <v>0</v>
      </c>
      <c r="J338" s="1485"/>
      <c r="K338" s="1485"/>
      <c r="L338" s="1436"/>
      <c r="M338" s="1439"/>
      <c r="N338" s="1439"/>
      <c r="O338" s="1485"/>
      <c r="P338" s="1486"/>
      <c r="Q338" s="1486"/>
      <c r="R338" s="1487"/>
      <c r="S338" s="1444"/>
      <c r="T338" s="1444"/>
      <c r="U338" s="1444"/>
      <c r="V338" s="1488"/>
      <c r="W338" s="1488"/>
      <c r="X338" s="1488"/>
      <c r="Y338" s="1488"/>
      <c r="Z338" s="1488"/>
      <c r="AA338" s="1488"/>
      <c r="AB338" s="1488"/>
      <c r="AC338" s="1488"/>
      <c r="AD338" s="1488"/>
      <c r="AE338" s="1488"/>
      <c r="AF338" s="1488"/>
      <c r="AG338" s="1488"/>
      <c r="AH338" s="1451">
        <f t="shared" si="185"/>
        <v>0</v>
      </c>
      <c r="AI338" s="1488"/>
      <c r="AJ338" s="1488"/>
      <c r="AK338" s="1488"/>
      <c r="AL338" s="1488"/>
      <c r="AM338" s="1488"/>
      <c r="AN338" s="1488"/>
      <c r="AO338" s="1488"/>
      <c r="AP338" s="1488"/>
      <c r="AQ338" s="1488"/>
      <c r="AR338" s="1488"/>
      <c r="AS338" s="1488"/>
      <c r="AT338" s="1542"/>
      <c r="AU338" s="1599">
        <f t="shared" si="186"/>
        <v>0</v>
      </c>
      <c r="AV338" s="1544">
        <f t="shared" si="214"/>
        <v>0</v>
      </c>
      <c r="AW338" s="1452">
        <f t="shared" si="187"/>
        <v>0</v>
      </c>
      <c r="AX338" s="1452">
        <f t="shared" si="188"/>
        <v>0</v>
      </c>
      <c r="AY338" s="1452">
        <f t="shared" si="189"/>
        <v>0</v>
      </c>
      <c r="AZ338" s="1452">
        <f t="shared" si="190"/>
        <v>0</v>
      </c>
      <c r="BA338" s="1452">
        <f t="shared" si="191"/>
        <v>0</v>
      </c>
      <c r="BB338" s="1452">
        <f t="shared" si="192"/>
        <v>0</v>
      </c>
      <c r="BC338" s="1452">
        <f t="shared" si="193"/>
        <v>0</v>
      </c>
      <c r="BD338" s="1452">
        <f t="shared" si="194"/>
        <v>0</v>
      </c>
      <c r="BE338" s="1452">
        <f t="shared" si="195"/>
        <v>0</v>
      </c>
      <c r="BF338" s="1452">
        <f t="shared" si="196"/>
        <v>0</v>
      </c>
      <c r="BG338" s="1452">
        <f t="shared" si="197"/>
        <v>0</v>
      </c>
      <c r="BH338" s="1452">
        <f t="shared" si="198"/>
        <v>0</v>
      </c>
      <c r="BI338" s="1452">
        <f t="shared" si="215"/>
        <v>0</v>
      </c>
      <c r="BJ338" s="1452" t="str">
        <f t="shared" si="199"/>
        <v/>
      </c>
      <c r="BK338" s="1452" t="str">
        <f t="shared" si="200"/>
        <v/>
      </c>
      <c r="BL338" s="1452" t="str">
        <f t="shared" si="201"/>
        <v/>
      </c>
      <c r="BM338" s="1452" t="str">
        <f t="shared" si="202"/>
        <v/>
      </c>
      <c r="BN338" s="1452" t="str">
        <f t="shared" ca="1" si="203"/>
        <v/>
      </c>
      <c r="BO338" s="1452" t="str">
        <f t="shared" si="216"/>
        <v/>
      </c>
      <c r="BP338" s="1452" t="str">
        <f t="shared" si="204"/>
        <v/>
      </c>
      <c r="BQ338" s="1452" t="str">
        <f t="shared" si="205"/>
        <v/>
      </c>
      <c r="BR338" s="1452" t="str">
        <f t="shared" si="206"/>
        <v/>
      </c>
      <c r="BS338" s="1452" t="str">
        <f t="shared" si="207"/>
        <v/>
      </c>
      <c r="BT338" s="1452" t="str">
        <f t="shared" si="208"/>
        <v/>
      </c>
      <c r="BU338" s="1452" t="str">
        <f t="shared" si="209"/>
        <v/>
      </c>
      <c r="BV338" s="1452" t="str">
        <f t="shared" si="210"/>
        <v/>
      </c>
      <c r="BW338" s="1558">
        <f t="shared" ca="1" si="217"/>
        <v>0</v>
      </c>
    </row>
    <row r="339" spans="1:75" s="9" customFormat="1" ht="12.5">
      <c r="A339" s="1483" t="str">
        <f t="shared" si="211"/>
        <v>Public Health Wales Trust</v>
      </c>
      <c r="B339" s="1583"/>
      <c r="C339" s="1583"/>
      <c r="D339" s="1583"/>
      <c r="E339" s="1581"/>
      <c r="F339" s="1436"/>
      <c r="G339" s="1547">
        <f t="shared" si="212"/>
        <v>0</v>
      </c>
      <c r="H339" s="1484"/>
      <c r="I339" s="1547">
        <f t="shared" si="213"/>
        <v>0</v>
      </c>
      <c r="J339" s="1485"/>
      <c r="K339" s="1485"/>
      <c r="L339" s="1436"/>
      <c r="M339" s="1439"/>
      <c r="N339" s="1439"/>
      <c r="O339" s="1485"/>
      <c r="P339" s="1486"/>
      <c r="Q339" s="1486"/>
      <c r="R339" s="1487"/>
      <c r="S339" s="1444"/>
      <c r="T339" s="1444"/>
      <c r="U339" s="1444"/>
      <c r="V339" s="1488"/>
      <c r="W339" s="1488"/>
      <c r="X339" s="1488"/>
      <c r="Y339" s="1488"/>
      <c r="Z339" s="1488"/>
      <c r="AA339" s="1488"/>
      <c r="AB339" s="1488"/>
      <c r="AC339" s="1488"/>
      <c r="AD339" s="1488"/>
      <c r="AE339" s="1488"/>
      <c r="AF339" s="1488"/>
      <c r="AG339" s="1488"/>
      <c r="AH339" s="1451">
        <f t="shared" si="185"/>
        <v>0</v>
      </c>
      <c r="AI339" s="1488"/>
      <c r="AJ339" s="1488"/>
      <c r="AK339" s="1488"/>
      <c r="AL339" s="1488"/>
      <c r="AM339" s="1488"/>
      <c r="AN339" s="1488"/>
      <c r="AO339" s="1488"/>
      <c r="AP339" s="1488"/>
      <c r="AQ339" s="1488"/>
      <c r="AR339" s="1488"/>
      <c r="AS339" s="1488"/>
      <c r="AT339" s="1542"/>
      <c r="AU339" s="1599">
        <f t="shared" si="186"/>
        <v>0</v>
      </c>
      <c r="AV339" s="1544">
        <f t="shared" si="214"/>
        <v>0</v>
      </c>
      <c r="AW339" s="1452">
        <f t="shared" si="187"/>
        <v>0</v>
      </c>
      <c r="AX339" s="1452">
        <f t="shared" si="188"/>
        <v>0</v>
      </c>
      <c r="AY339" s="1452">
        <f t="shared" si="189"/>
        <v>0</v>
      </c>
      <c r="AZ339" s="1452">
        <f t="shared" si="190"/>
        <v>0</v>
      </c>
      <c r="BA339" s="1452">
        <f t="shared" si="191"/>
        <v>0</v>
      </c>
      <c r="BB339" s="1452">
        <f t="shared" si="192"/>
        <v>0</v>
      </c>
      <c r="BC339" s="1452">
        <f t="shared" si="193"/>
        <v>0</v>
      </c>
      <c r="BD339" s="1452">
        <f t="shared" si="194"/>
        <v>0</v>
      </c>
      <c r="BE339" s="1452">
        <f t="shared" si="195"/>
        <v>0</v>
      </c>
      <c r="BF339" s="1452">
        <f t="shared" si="196"/>
        <v>0</v>
      </c>
      <c r="BG339" s="1452">
        <f t="shared" si="197"/>
        <v>0</v>
      </c>
      <c r="BH339" s="1452">
        <f t="shared" si="198"/>
        <v>0</v>
      </c>
      <c r="BI339" s="1452">
        <f t="shared" si="215"/>
        <v>0</v>
      </c>
      <c r="BJ339" s="1452" t="str">
        <f t="shared" si="199"/>
        <v/>
      </c>
      <c r="BK339" s="1452" t="str">
        <f t="shared" si="200"/>
        <v/>
      </c>
      <c r="BL339" s="1452" t="str">
        <f t="shared" si="201"/>
        <v/>
      </c>
      <c r="BM339" s="1452" t="str">
        <f t="shared" si="202"/>
        <v/>
      </c>
      <c r="BN339" s="1452" t="str">
        <f t="shared" ca="1" si="203"/>
        <v/>
      </c>
      <c r="BO339" s="1452" t="str">
        <f t="shared" si="216"/>
        <v/>
      </c>
      <c r="BP339" s="1452" t="str">
        <f t="shared" si="204"/>
        <v/>
      </c>
      <c r="BQ339" s="1452" t="str">
        <f t="shared" si="205"/>
        <v/>
      </c>
      <c r="BR339" s="1452" t="str">
        <f t="shared" si="206"/>
        <v/>
      </c>
      <c r="BS339" s="1452" t="str">
        <f t="shared" si="207"/>
        <v/>
      </c>
      <c r="BT339" s="1452" t="str">
        <f t="shared" si="208"/>
        <v/>
      </c>
      <c r="BU339" s="1452" t="str">
        <f t="shared" si="209"/>
        <v/>
      </c>
      <c r="BV339" s="1452" t="str">
        <f t="shared" si="210"/>
        <v/>
      </c>
      <c r="BW339" s="1558">
        <f t="shared" ca="1" si="217"/>
        <v>0</v>
      </c>
    </row>
    <row r="340" spans="1:75" s="9" customFormat="1" ht="12.5">
      <c r="A340" s="1483" t="str">
        <f t="shared" si="211"/>
        <v>Public Health Wales Trust</v>
      </c>
      <c r="B340" s="1583"/>
      <c r="C340" s="1583"/>
      <c r="D340" s="1583"/>
      <c r="E340" s="1581"/>
      <c r="F340" s="1436"/>
      <c r="G340" s="1547">
        <f t="shared" si="212"/>
        <v>0</v>
      </c>
      <c r="H340" s="1484"/>
      <c r="I340" s="1547">
        <f t="shared" si="213"/>
        <v>0</v>
      </c>
      <c r="J340" s="1485"/>
      <c r="K340" s="1485"/>
      <c r="L340" s="1436"/>
      <c r="M340" s="1439"/>
      <c r="N340" s="1439"/>
      <c r="O340" s="1485"/>
      <c r="P340" s="1486"/>
      <c r="Q340" s="1486"/>
      <c r="R340" s="1487"/>
      <c r="S340" s="1444"/>
      <c r="T340" s="1444"/>
      <c r="U340" s="1444"/>
      <c r="V340" s="1488"/>
      <c r="W340" s="1488"/>
      <c r="X340" s="1488"/>
      <c r="Y340" s="1488"/>
      <c r="Z340" s="1488"/>
      <c r="AA340" s="1488"/>
      <c r="AB340" s="1488"/>
      <c r="AC340" s="1488"/>
      <c r="AD340" s="1488"/>
      <c r="AE340" s="1488"/>
      <c r="AF340" s="1488"/>
      <c r="AG340" s="1488"/>
      <c r="AH340" s="1451">
        <f t="shared" si="185"/>
        <v>0</v>
      </c>
      <c r="AI340" s="1488"/>
      <c r="AJ340" s="1488"/>
      <c r="AK340" s="1488"/>
      <c r="AL340" s="1488"/>
      <c r="AM340" s="1488"/>
      <c r="AN340" s="1488"/>
      <c r="AO340" s="1488"/>
      <c r="AP340" s="1488"/>
      <c r="AQ340" s="1488"/>
      <c r="AR340" s="1488"/>
      <c r="AS340" s="1488"/>
      <c r="AT340" s="1542"/>
      <c r="AU340" s="1599">
        <f t="shared" si="186"/>
        <v>0</v>
      </c>
      <c r="AV340" s="1544">
        <f t="shared" si="214"/>
        <v>0</v>
      </c>
      <c r="AW340" s="1452">
        <f t="shared" si="187"/>
        <v>0</v>
      </c>
      <c r="AX340" s="1452">
        <f t="shared" si="188"/>
        <v>0</v>
      </c>
      <c r="AY340" s="1452">
        <f t="shared" si="189"/>
        <v>0</v>
      </c>
      <c r="AZ340" s="1452">
        <f t="shared" si="190"/>
        <v>0</v>
      </c>
      <c r="BA340" s="1452">
        <f t="shared" si="191"/>
        <v>0</v>
      </c>
      <c r="BB340" s="1452">
        <f t="shared" si="192"/>
        <v>0</v>
      </c>
      <c r="BC340" s="1452">
        <f t="shared" si="193"/>
        <v>0</v>
      </c>
      <c r="BD340" s="1452">
        <f t="shared" si="194"/>
        <v>0</v>
      </c>
      <c r="BE340" s="1452">
        <f t="shared" si="195"/>
        <v>0</v>
      </c>
      <c r="BF340" s="1452">
        <f t="shared" si="196"/>
        <v>0</v>
      </c>
      <c r="BG340" s="1452">
        <f t="shared" si="197"/>
        <v>0</v>
      </c>
      <c r="BH340" s="1452">
        <f t="shared" si="198"/>
        <v>0</v>
      </c>
      <c r="BI340" s="1452">
        <f t="shared" si="215"/>
        <v>0</v>
      </c>
      <c r="BJ340" s="1452" t="str">
        <f t="shared" si="199"/>
        <v/>
      </c>
      <c r="BK340" s="1452" t="str">
        <f t="shared" si="200"/>
        <v/>
      </c>
      <c r="BL340" s="1452" t="str">
        <f t="shared" si="201"/>
        <v/>
      </c>
      <c r="BM340" s="1452" t="str">
        <f t="shared" si="202"/>
        <v/>
      </c>
      <c r="BN340" s="1452" t="str">
        <f t="shared" ca="1" si="203"/>
        <v/>
      </c>
      <c r="BO340" s="1452" t="str">
        <f t="shared" si="216"/>
        <v/>
      </c>
      <c r="BP340" s="1452" t="str">
        <f t="shared" si="204"/>
        <v/>
      </c>
      <c r="BQ340" s="1452" t="str">
        <f t="shared" si="205"/>
        <v/>
      </c>
      <c r="BR340" s="1452" t="str">
        <f t="shared" si="206"/>
        <v/>
      </c>
      <c r="BS340" s="1452" t="str">
        <f t="shared" si="207"/>
        <v/>
      </c>
      <c r="BT340" s="1452" t="str">
        <f t="shared" si="208"/>
        <v/>
      </c>
      <c r="BU340" s="1452" t="str">
        <f t="shared" si="209"/>
        <v/>
      </c>
      <c r="BV340" s="1452" t="str">
        <f t="shared" si="210"/>
        <v/>
      </c>
      <c r="BW340" s="1558">
        <f t="shared" ca="1" si="217"/>
        <v>0</v>
      </c>
    </row>
    <row r="341" spans="1:75" s="9" customFormat="1" ht="12.5">
      <c r="A341" s="1483" t="str">
        <f t="shared" si="211"/>
        <v>Public Health Wales Trust</v>
      </c>
      <c r="B341" s="1583"/>
      <c r="C341" s="1583"/>
      <c r="D341" s="1583"/>
      <c r="E341" s="1581"/>
      <c r="F341" s="1436"/>
      <c r="G341" s="1547">
        <f t="shared" si="212"/>
        <v>0</v>
      </c>
      <c r="H341" s="1484"/>
      <c r="I341" s="1547">
        <f t="shared" si="213"/>
        <v>0</v>
      </c>
      <c r="J341" s="1485"/>
      <c r="K341" s="1485"/>
      <c r="L341" s="1436"/>
      <c r="M341" s="1439"/>
      <c r="N341" s="1439"/>
      <c r="O341" s="1485"/>
      <c r="P341" s="1486"/>
      <c r="Q341" s="1486"/>
      <c r="R341" s="1487"/>
      <c r="S341" s="1444"/>
      <c r="T341" s="1444"/>
      <c r="U341" s="1444"/>
      <c r="V341" s="1488"/>
      <c r="W341" s="1488"/>
      <c r="X341" s="1488"/>
      <c r="Y341" s="1488"/>
      <c r="Z341" s="1488"/>
      <c r="AA341" s="1488"/>
      <c r="AB341" s="1488"/>
      <c r="AC341" s="1488"/>
      <c r="AD341" s="1488"/>
      <c r="AE341" s="1488"/>
      <c r="AF341" s="1488"/>
      <c r="AG341" s="1488"/>
      <c r="AH341" s="1451">
        <f t="shared" si="185"/>
        <v>0</v>
      </c>
      <c r="AI341" s="1488"/>
      <c r="AJ341" s="1488"/>
      <c r="AK341" s="1488"/>
      <c r="AL341" s="1488"/>
      <c r="AM341" s="1488"/>
      <c r="AN341" s="1488"/>
      <c r="AO341" s="1488"/>
      <c r="AP341" s="1488"/>
      <c r="AQ341" s="1488"/>
      <c r="AR341" s="1488"/>
      <c r="AS341" s="1488"/>
      <c r="AT341" s="1542"/>
      <c r="AU341" s="1599">
        <f t="shared" si="186"/>
        <v>0</v>
      </c>
      <c r="AV341" s="1544">
        <f t="shared" si="214"/>
        <v>0</v>
      </c>
      <c r="AW341" s="1452">
        <f t="shared" si="187"/>
        <v>0</v>
      </c>
      <c r="AX341" s="1452">
        <f t="shared" si="188"/>
        <v>0</v>
      </c>
      <c r="AY341" s="1452">
        <f t="shared" si="189"/>
        <v>0</v>
      </c>
      <c r="AZ341" s="1452">
        <f t="shared" si="190"/>
        <v>0</v>
      </c>
      <c r="BA341" s="1452">
        <f t="shared" si="191"/>
        <v>0</v>
      </c>
      <c r="BB341" s="1452">
        <f t="shared" si="192"/>
        <v>0</v>
      </c>
      <c r="BC341" s="1452">
        <f t="shared" si="193"/>
        <v>0</v>
      </c>
      <c r="BD341" s="1452">
        <f t="shared" si="194"/>
        <v>0</v>
      </c>
      <c r="BE341" s="1452">
        <f t="shared" si="195"/>
        <v>0</v>
      </c>
      <c r="BF341" s="1452">
        <f t="shared" si="196"/>
        <v>0</v>
      </c>
      <c r="BG341" s="1452">
        <f t="shared" si="197"/>
        <v>0</v>
      </c>
      <c r="BH341" s="1452">
        <f t="shared" si="198"/>
        <v>0</v>
      </c>
      <c r="BI341" s="1452">
        <f t="shared" si="215"/>
        <v>0</v>
      </c>
      <c r="BJ341" s="1452" t="str">
        <f t="shared" si="199"/>
        <v/>
      </c>
      <c r="BK341" s="1452" t="str">
        <f t="shared" si="200"/>
        <v/>
      </c>
      <c r="BL341" s="1452" t="str">
        <f t="shared" si="201"/>
        <v/>
      </c>
      <c r="BM341" s="1452" t="str">
        <f t="shared" si="202"/>
        <v/>
      </c>
      <c r="BN341" s="1452" t="str">
        <f t="shared" ca="1" si="203"/>
        <v/>
      </c>
      <c r="BO341" s="1452" t="str">
        <f t="shared" si="216"/>
        <v/>
      </c>
      <c r="BP341" s="1452" t="str">
        <f t="shared" si="204"/>
        <v/>
      </c>
      <c r="BQ341" s="1452" t="str">
        <f t="shared" si="205"/>
        <v/>
      </c>
      <c r="BR341" s="1452" t="str">
        <f t="shared" si="206"/>
        <v/>
      </c>
      <c r="BS341" s="1452" t="str">
        <f t="shared" si="207"/>
        <v/>
      </c>
      <c r="BT341" s="1452" t="str">
        <f t="shared" si="208"/>
        <v/>
      </c>
      <c r="BU341" s="1452" t="str">
        <f t="shared" si="209"/>
        <v/>
      </c>
      <c r="BV341" s="1452" t="str">
        <f t="shared" si="210"/>
        <v/>
      </c>
      <c r="BW341" s="1558">
        <f t="shared" ca="1" si="217"/>
        <v>0</v>
      </c>
    </row>
    <row r="342" spans="1:75" s="9" customFormat="1" ht="12.5">
      <c r="A342" s="1483" t="str">
        <f t="shared" si="211"/>
        <v>Public Health Wales Trust</v>
      </c>
      <c r="B342" s="1583"/>
      <c r="C342" s="1583"/>
      <c r="D342" s="1583"/>
      <c r="E342" s="1581"/>
      <c r="F342" s="1436"/>
      <c r="G342" s="1547">
        <f t="shared" si="212"/>
        <v>0</v>
      </c>
      <c r="H342" s="1484"/>
      <c r="I342" s="1547">
        <f t="shared" si="213"/>
        <v>0</v>
      </c>
      <c r="J342" s="1485"/>
      <c r="K342" s="1485"/>
      <c r="L342" s="1436"/>
      <c r="M342" s="1439"/>
      <c r="N342" s="1439"/>
      <c r="O342" s="1485"/>
      <c r="P342" s="1486"/>
      <c r="Q342" s="1486"/>
      <c r="R342" s="1487"/>
      <c r="S342" s="1444"/>
      <c r="T342" s="1444"/>
      <c r="U342" s="1444"/>
      <c r="V342" s="1488"/>
      <c r="W342" s="1488"/>
      <c r="X342" s="1488"/>
      <c r="Y342" s="1488"/>
      <c r="Z342" s="1488"/>
      <c r="AA342" s="1488"/>
      <c r="AB342" s="1488"/>
      <c r="AC342" s="1488"/>
      <c r="AD342" s="1488"/>
      <c r="AE342" s="1488"/>
      <c r="AF342" s="1488"/>
      <c r="AG342" s="1488"/>
      <c r="AH342" s="1451">
        <f t="shared" si="185"/>
        <v>0</v>
      </c>
      <c r="AI342" s="1488"/>
      <c r="AJ342" s="1488"/>
      <c r="AK342" s="1488"/>
      <c r="AL342" s="1488"/>
      <c r="AM342" s="1488"/>
      <c r="AN342" s="1488"/>
      <c r="AO342" s="1488"/>
      <c r="AP342" s="1488"/>
      <c r="AQ342" s="1488"/>
      <c r="AR342" s="1488"/>
      <c r="AS342" s="1488"/>
      <c r="AT342" s="1542"/>
      <c r="AU342" s="1599">
        <f t="shared" si="186"/>
        <v>0</v>
      </c>
      <c r="AV342" s="1544">
        <f t="shared" si="214"/>
        <v>0</v>
      </c>
      <c r="AW342" s="1452">
        <f t="shared" si="187"/>
        <v>0</v>
      </c>
      <c r="AX342" s="1452">
        <f t="shared" si="188"/>
        <v>0</v>
      </c>
      <c r="AY342" s="1452">
        <f t="shared" si="189"/>
        <v>0</v>
      </c>
      <c r="AZ342" s="1452">
        <f t="shared" si="190"/>
        <v>0</v>
      </c>
      <c r="BA342" s="1452">
        <f t="shared" si="191"/>
        <v>0</v>
      </c>
      <c r="BB342" s="1452">
        <f t="shared" si="192"/>
        <v>0</v>
      </c>
      <c r="BC342" s="1452">
        <f t="shared" si="193"/>
        <v>0</v>
      </c>
      <c r="BD342" s="1452">
        <f t="shared" si="194"/>
        <v>0</v>
      </c>
      <c r="BE342" s="1452">
        <f t="shared" si="195"/>
        <v>0</v>
      </c>
      <c r="BF342" s="1452">
        <f t="shared" si="196"/>
        <v>0</v>
      </c>
      <c r="BG342" s="1452">
        <f t="shared" si="197"/>
        <v>0</v>
      </c>
      <c r="BH342" s="1452">
        <f t="shared" si="198"/>
        <v>0</v>
      </c>
      <c r="BI342" s="1452">
        <f t="shared" si="215"/>
        <v>0</v>
      </c>
      <c r="BJ342" s="1452" t="str">
        <f t="shared" si="199"/>
        <v/>
      </c>
      <c r="BK342" s="1452" t="str">
        <f t="shared" si="200"/>
        <v/>
      </c>
      <c r="BL342" s="1452" t="str">
        <f t="shared" si="201"/>
        <v/>
      </c>
      <c r="BM342" s="1452" t="str">
        <f t="shared" si="202"/>
        <v/>
      </c>
      <c r="BN342" s="1452" t="str">
        <f t="shared" ca="1" si="203"/>
        <v/>
      </c>
      <c r="BO342" s="1452" t="str">
        <f t="shared" si="216"/>
        <v/>
      </c>
      <c r="BP342" s="1452" t="str">
        <f t="shared" si="204"/>
        <v/>
      </c>
      <c r="BQ342" s="1452" t="str">
        <f t="shared" si="205"/>
        <v/>
      </c>
      <c r="BR342" s="1452" t="str">
        <f t="shared" si="206"/>
        <v/>
      </c>
      <c r="BS342" s="1452" t="str">
        <f t="shared" si="207"/>
        <v/>
      </c>
      <c r="BT342" s="1452" t="str">
        <f t="shared" si="208"/>
        <v/>
      </c>
      <c r="BU342" s="1452" t="str">
        <f t="shared" si="209"/>
        <v/>
      </c>
      <c r="BV342" s="1452" t="str">
        <f t="shared" si="210"/>
        <v/>
      </c>
      <c r="BW342" s="1558">
        <f t="shared" ca="1" si="217"/>
        <v>0</v>
      </c>
    </row>
    <row r="343" spans="1:75" s="9" customFormat="1" ht="12.5">
      <c r="A343" s="1483" t="str">
        <f t="shared" si="211"/>
        <v>Public Health Wales Trust</v>
      </c>
      <c r="B343" s="1583"/>
      <c r="C343" s="1583"/>
      <c r="D343" s="1583"/>
      <c r="E343" s="1581"/>
      <c r="F343" s="1436"/>
      <c r="G343" s="1547">
        <f t="shared" si="212"/>
        <v>0</v>
      </c>
      <c r="H343" s="1484"/>
      <c r="I343" s="1547">
        <f t="shared" si="213"/>
        <v>0</v>
      </c>
      <c r="J343" s="1485"/>
      <c r="K343" s="1485"/>
      <c r="L343" s="1436"/>
      <c r="M343" s="1439"/>
      <c r="N343" s="1439"/>
      <c r="O343" s="1485"/>
      <c r="P343" s="1486"/>
      <c r="Q343" s="1486"/>
      <c r="R343" s="1487"/>
      <c r="S343" s="1444"/>
      <c r="T343" s="1444"/>
      <c r="U343" s="1444"/>
      <c r="V343" s="1488"/>
      <c r="W343" s="1488"/>
      <c r="X343" s="1488"/>
      <c r="Y343" s="1488"/>
      <c r="Z343" s="1488"/>
      <c r="AA343" s="1488"/>
      <c r="AB343" s="1488"/>
      <c r="AC343" s="1488"/>
      <c r="AD343" s="1488"/>
      <c r="AE343" s="1488"/>
      <c r="AF343" s="1488"/>
      <c r="AG343" s="1488"/>
      <c r="AH343" s="1451">
        <f t="shared" si="185"/>
        <v>0</v>
      </c>
      <c r="AI343" s="1488"/>
      <c r="AJ343" s="1488"/>
      <c r="AK343" s="1488"/>
      <c r="AL343" s="1488"/>
      <c r="AM343" s="1488"/>
      <c r="AN343" s="1488"/>
      <c r="AO343" s="1488"/>
      <c r="AP343" s="1488"/>
      <c r="AQ343" s="1488"/>
      <c r="AR343" s="1488"/>
      <c r="AS343" s="1488"/>
      <c r="AT343" s="1542"/>
      <c r="AU343" s="1599">
        <f t="shared" si="186"/>
        <v>0</v>
      </c>
      <c r="AV343" s="1544">
        <f t="shared" si="214"/>
        <v>0</v>
      </c>
      <c r="AW343" s="1452">
        <f t="shared" si="187"/>
        <v>0</v>
      </c>
      <c r="AX343" s="1452">
        <f t="shared" si="188"/>
        <v>0</v>
      </c>
      <c r="AY343" s="1452">
        <f t="shared" si="189"/>
        <v>0</v>
      </c>
      <c r="AZ343" s="1452">
        <f t="shared" si="190"/>
        <v>0</v>
      </c>
      <c r="BA343" s="1452">
        <f t="shared" si="191"/>
        <v>0</v>
      </c>
      <c r="BB343" s="1452">
        <f t="shared" si="192"/>
        <v>0</v>
      </c>
      <c r="BC343" s="1452">
        <f t="shared" si="193"/>
        <v>0</v>
      </c>
      <c r="BD343" s="1452">
        <f t="shared" si="194"/>
        <v>0</v>
      </c>
      <c r="BE343" s="1452">
        <f t="shared" si="195"/>
        <v>0</v>
      </c>
      <c r="BF343" s="1452">
        <f t="shared" si="196"/>
        <v>0</v>
      </c>
      <c r="BG343" s="1452">
        <f t="shared" si="197"/>
        <v>0</v>
      </c>
      <c r="BH343" s="1452">
        <f t="shared" si="198"/>
        <v>0</v>
      </c>
      <c r="BI343" s="1452">
        <f t="shared" si="215"/>
        <v>0</v>
      </c>
      <c r="BJ343" s="1452" t="str">
        <f t="shared" si="199"/>
        <v/>
      </c>
      <c r="BK343" s="1452" t="str">
        <f t="shared" si="200"/>
        <v/>
      </c>
      <c r="BL343" s="1452" t="str">
        <f t="shared" si="201"/>
        <v/>
      </c>
      <c r="BM343" s="1452" t="str">
        <f t="shared" si="202"/>
        <v/>
      </c>
      <c r="BN343" s="1452" t="str">
        <f t="shared" ca="1" si="203"/>
        <v/>
      </c>
      <c r="BO343" s="1452" t="str">
        <f t="shared" si="216"/>
        <v/>
      </c>
      <c r="BP343" s="1452" t="str">
        <f t="shared" si="204"/>
        <v/>
      </c>
      <c r="BQ343" s="1452" t="str">
        <f t="shared" si="205"/>
        <v/>
      </c>
      <c r="BR343" s="1452" t="str">
        <f t="shared" si="206"/>
        <v/>
      </c>
      <c r="BS343" s="1452" t="str">
        <f t="shared" si="207"/>
        <v/>
      </c>
      <c r="BT343" s="1452" t="str">
        <f t="shared" si="208"/>
        <v/>
      </c>
      <c r="BU343" s="1452" t="str">
        <f t="shared" si="209"/>
        <v/>
      </c>
      <c r="BV343" s="1452" t="str">
        <f t="shared" si="210"/>
        <v/>
      </c>
      <c r="BW343" s="1558">
        <f t="shared" ca="1" si="217"/>
        <v>0</v>
      </c>
    </row>
    <row r="344" spans="1:75" s="9" customFormat="1" ht="12.5">
      <c r="A344" s="1483" t="str">
        <f t="shared" si="211"/>
        <v>Public Health Wales Trust</v>
      </c>
      <c r="B344" s="1583"/>
      <c r="C344" s="1583"/>
      <c r="D344" s="1583"/>
      <c r="E344" s="1581"/>
      <c r="F344" s="1436"/>
      <c r="G344" s="1547">
        <f t="shared" si="212"/>
        <v>0</v>
      </c>
      <c r="H344" s="1484"/>
      <c r="I344" s="1547">
        <f t="shared" si="213"/>
        <v>0</v>
      </c>
      <c r="J344" s="1485"/>
      <c r="K344" s="1485"/>
      <c r="L344" s="1436"/>
      <c r="M344" s="1439"/>
      <c r="N344" s="1439"/>
      <c r="O344" s="1485"/>
      <c r="P344" s="1486"/>
      <c r="Q344" s="1486"/>
      <c r="R344" s="1487"/>
      <c r="S344" s="1444"/>
      <c r="T344" s="1444"/>
      <c r="U344" s="1444"/>
      <c r="V344" s="1488"/>
      <c r="W344" s="1488"/>
      <c r="X344" s="1488"/>
      <c r="Y344" s="1488"/>
      <c r="Z344" s="1488"/>
      <c r="AA344" s="1488"/>
      <c r="AB344" s="1488"/>
      <c r="AC344" s="1488"/>
      <c r="AD344" s="1488"/>
      <c r="AE344" s="1488"/>
      <c r="AF344" s="1488"/>
      <c r="AG344" s="1488"/>
      <c r="AH344" s="1451">
        <f t="shared" si="185"/>
        <v>0</v>
      </c>
      <c r="AI344" s="1488"/>
      <c r="AJ344" s="1488"/>
      <c r="AK344" s="1488"/>
      <c r="AL344" s="1488"/>
      <c r="AM344" s="1488"/>
      <c r="AN344" s="1488"/>
      <c r="AO344" s="1488"/>
      <c r="AP344" s="1488"/>
      <c r="AQ344" s="1488"/>
      <c r="AR344" s="1488"/>
      <c r="AS344" s="1488"/>
      <c r="AT344" s="1542"/>
      <c r="AU344" s="1599">
        <f t="shared" si="186"/>
        <v>0</v>
      </c>
      <c r="AV344" s="1544">
        <f t="shared" si="214"/>
        <v>0</v>
      </c>
      <c r="AW344" s="1452">
        <f t="shared" si="187"/>
        <v>0</v>
      </c>
      <c r="AX344" s="1452">
        <f t="shared" si="188"/>
        <v>0</v>
      </c>
      <c r="AY344" s="1452">
        <f t="shared" si="189"/>
        <v>0</v>
      </c>
      <c r="AZ344" s="1452">
        <f t="shared" si="190"/>
        <v>0</v>
      </c>
      <c r="BA344" s="1452">
        <f t="shared" si="191"/>
        <v>0</v>
      </c>
      <c r="BB344" s="1452">
        <f t="shared" si="192"/>
        <v>0</v>
      </c>
      <c r="BC344" s="1452">
        <f t="shared" si="193"/>
        <v>0</v>
      </c>
      <c r="BD344" s="1452">
        <f t="shared" si="194"/>
        <v>0</v>
      </c>
      <c r="BE344" s="1452">
        <f t="shared" si="195"/>
        <v>0</v>
      </c>
      <c r="BF344" s="1452">
        <f t="shared" si="196"/>
        <v>0</v>
      </c>
      <c r="BG344" s="1452">
        <f t="shared" si="197"/>
        <v>0</v>
      </c>
      <c r="BH344" s="1452">
        <f t="shared" si="198"/>
        <v>0</v>
      </c>
      <c r="BI344" s="1452">
        <f t="shared" si="215"/>
        <v>0</v>
      </c>
      <c r="BJ344" s="1452" t="str">
        <f t="shared" si="199"/>
        <v/>
      </c>
      <c r="BK344" s="1452" t="str">
        <f t="shared" si="200"/>
        <v/>
      </c>
      <c r="BL344" s="1452" t="str">
        <f t="shared" si="201"/>
        <v/>
      </c>
      <c r="BM344" s="1452" t="str">
        <f t="shared" si="202"/>
        <v/>
      </c>
      <c r="BN344" s="1452" t="str">
        <f t="shared" ca="1" si="203"/>
        <v/>
      </c>
      <c r="BO344" s="1452" t="str">
        <f t="shared" si="216"/>
        <v/>
      </c>
      <c r="BP344" s="1452" t="str">
        <f t="shared" si="204"/>
        <v/>
      </c>
      <c r="BQ344" s="1452" t="str">
        <f t="shared" si="205"/>
        <v/>
      </c>
      <c r="BR344" s="1452" t="str">
        <f t="shared" si="206"/>
        <v/>
      </c>
      <c r="BS344" s="1452" t="str">
        <f t="shared" si="207"/>
        <v/>
      </c>
      <c r="BT344" s="1452" t="str">
        <f t="shared" si="208"/>
        <v/>
      </c>
      <c r="BU344" s="1452" t="str">
        <f t="shared" si="209"/>
        <v/>
      </c>
      <c r="BV344" s="1452" t="str">
        <f t="shared" si="210"/>
        <v/>
      </c>
      <c r="BW344" s="1558">
        <f t="shared" ca="1" si="217"/>
        <v>0</v>
      </c>
    </row>
    <row r="345" spans="1:75" s="9" customFormat="1" ht="12.5">
      <c r="A345" s="1483" t="str">
        <f t="shared" si="211"/>
        <v>Public Health Wales Trust</v>
      </c>
      <c r="B345" s="1583"/>
      <c r="C345" s="1583"/>
      <c r="D345" s="1583"/>
      <c r="E345" s="1581"/>
      <c r="F345" s="1436"/>
      <c r="G345" s="1547">
        <f t="shared" si="212"/>
        <v>0</v>
      </c>
      <c r="H345" s="1484"/>
      <c r="I345" s="1547">
        <f t="shared" si="213"/>
        <v>0</v>
      </c>
      <c r="J345" s="1485"/>
      <c r="K345" s="1485"/>
      <c r="L345" s="1436"/>
      <c r="M345" s="1439"/>
      <c r="N345" s="1439"/>
      <c r="O345" s="1485"/>
      <c r="P345" s="1486"/>
      <c r="Q345" s="1486"/>
      <c r="R345" s="1487"/>
      <c r="S345" s="1444"/>
      <c r="T345" s="1444"/>
      <c r="U345" s="1444"/>
      <c r="V345" s="1488"/>
      <c r="W345" s="1488"/>
      <c r="X345" s="1488"/>
      <c r="Y345" s="1488"/>
      <c r="Z345" s="1488"/>
      <c r="AA345" s="1488"/>
      <c r="AB345" s="1488"/>
      <c r="AC345" s="1488"/>
      <c r="AD345" s="1488"/>
      <c r="AE345" s="1488"/>
      <c r="AF345" s="1488"/>
      <c r="AG345" s="1488"/>
      <c r="AH345" s="1451">
        <f t="shared" si="185"/>
        <v>0</v>
      </c>
      <c r="AI345" s="1488"/>
      <c r="AJ345" s="1488"/>
      <c r="AK345" s="1488"/>
      <c r="AL345" s="1488"/>
      <c r="AM345" s="1488"/>
      <c r="AN345" s="1488"/>
      <c r="AO345" s="1488"/>
      <c r="AP345" s="1488"/>
      <c r="AQ345" s="1488"/>
      <c r="AR345" s="1488"/>
      <c r="AS345" s="1488"/>
      <c r="AT345" s="1542"/>
      <c r="AU345" s="1599">
        <f t="shared" si="186"/>
        <v>0</v>
      </c>
      <c r="AV345" s="1544">
        <f t="shared" si="214"/>
        <v>0</v>
      </c>
      <c r="AW345" s="1452">
        <f t="shared" si="187"/>
        <v>0</v>
      </c>
      <c r="AX345" s="1452">
        <f t="shared" si="188"/>
        <v>0</v>
      </c>
      <c r="AY345" s="1452">
        <f t="shared" si="189"/>
        <v>0</v>
      </c>
      <c r="AZ345" s="1452">
        <f t="shared" si="190"/>
        <v>0</v>
      </c>
      <c r="BA345" s="1452">
        <f t="shared" si="191"/>
        <v>0</v>
      </c>
      <c r="BB345" s="1452">
        <f t="shared" si="192"/>
        <v>0</v>
      </c>
      <c r="BC345" s="1452">
        <f t="shared" si="193"/>
        <v>0</v>
      </c>
      <c r="BD345" s="1452">
        <f t="shared" si="194"/>
        <v>0</v>
      </c>
      <c r="BE345" s="1452">
        <f t="shared" si="195"/>
        <v>0</v>
      </c>
      <c r="BF345" s="1452">
        <f t="shared" si="196"/>
        <v>0</v>
      </c>
      <c r="BG345" s="1452">
        <f t="shared" si="197"/>
        <v>0</v>
      </c>
      <c r="BH345" s="1452">
        <f t="shared" si="198"/>
        <v>0</v>
      </c>
      <c r="BI345" s="1452">
        <f t="shared" si="215"/>
        <v>0</v>
      </c>
      <c r="BJ345" s="1452" t="str">
        <f t="shared" si="199"/>
        <v/>
      </c>
      <c r="BK345" s="1452" t="str">
        <f t="shared" si="200"/>
        <v/>
      </c>
      <c r="BL345" s="1452" t="str">
        <f t="shared" si="201"/>
        <v/>
      </c>
      <c r="BM345" s="1452" t="str">
        <f t="shared" si="202"/>
        <v/>
      </c>
      <c r="BN345" s="1452" t="str">
        <f t="shared" ca="1" si="203"/>
        <v/>
      </c>
      <c r="BO345" s="1452" t="str">
        <f t="shared" si="216"/>
        <v/>
      </c>
      <c r="BP345" s="1452" t="str">
        <f t="shared" si="204"/>
        <v/>
      </c>
      <c r="BQ345" s="1452" t="str">
        <f t="shared" si="205"/>
        <v/>
      </c>
      <c r="BR345" s="1452" t="str">
        <f t="shared" si="206"/>
        <v/>
      </c>
      <c r="BS345" s="1452" t="str">
        <f t="shared" si="207"/>
        <v/>
      </c>
      <c r="BT345" s="1452" t="str">
        <f t="shared" si="208"/>
        <v/>
      </c>
      <c r="BU345" s="1452" t="str">
        <f t="shared" si="209"/>
        <v/>
      </c>
      <c r="BV345" s="1452" t="str">
        <f t="shared" si="210"/>
        <v/>
      </c>
      <c r="BW345" s="1558">
        <f t="shared" ca="1" si="217"/>
        <v>0</v>
      </c>
    </row>
    <row r="346" spans="1:75" s="9" customFormat="1" ht="12.5">
      <c r="A346" s="1483" t="str">
        <f t="shared" si="211"/>
        <v>Public Health Wales Trust</v>
      </c>
      <c r="B346" s="1583"/>
      <c r="C346" s="1583"/>
      <c r="D346" s="1583"/>
      <c r="E346" s="1581"/>
      <c r="F346" s="1436"/>
      <c r="G346" s="1547">
        <f t="shared" si="212"/>
        <v>0</v>
      </c>
      <c r="H346" s="1484"/>
      <c r="I346" s="1547">
        <f t="shared" si="213"/>
        <v>0</v>
      </c>
      <c r="J346" s="1485"/>
      <c r="K346" s="1485"/>
      <c r="L346" s="1436"/>
      <c r="M346" s="1439"/>
      <c r="N346" s="1439"/>
      <c r="O346" s="1485"/>
      <c r="P346" s="1486"/>
      <c r="Q346" s="1486"/>
      <c r="R346" s="1487"/>
      <c r="S346" s="1444"/>
      <c r="T346" s="1444"/>
      <c r="U346" s="1444"/>
      <c r="V346" s="1488"/>
      <c r="W346" s="1488"/>
      <c r="X346" s="1488"/>
      <c r="Y346" s="1488"/>
      <c r="Z346" s="1488"/>
      <c r="AA346" s="1488"/>
      <c r="AB346" s="1488"/>
      <c r="AC346" s="1488"/>
      <c r="AD346" s="1488"/>
      <c r="AE346" s="1488"/>
      <c r="AF346" s="1488"/>
      <c r="AG346" s="1488"/>
      <c r="AH346" s="1451">
        <f t="shared" si="185"/>
        <v>0</v>
      </c>
      <c r="AI346" s="1488"/>
      <c r="AJ346" s="1488"/>
      <c r="AK346" s="1488"/>
      <c r="AL346" s="1488"/>
      <c r="AM346" s="1488"/>
      <c r="AN346" s="1488"/>
      <c r="AO346" s="1488"/>
      <c r="AP346" s="1488"/>
      <c r="AQ346" s="1488"/>
      <c r="AR346" s="1488"/>
      <c r="AS346" s="1488"/>
      <c r="AT346" s="1542"/>
      <c r="AU346" s="1599">
        <f t="shared" si="186"/>
        <v>0</v>
      </c>
      <c r="AV346" s="1544">
        <f t="shared" si="214"/>
        <v>0</v>
      </c>
      <c r="AW346" s="1452">
        <f t="shared" si="187"/>
        <v>0</v>
      </c>
      <c r="AX346" s="1452">
        <f t="shared" si="188"/>
        <v>0</v>
      </c>
      <c r="AY346" s="1452">
        <f t="shared" si="189"/>
        <v>0</v>
      </c>
      <c r="AZ346" s="1452">
        <f t="shared" si="190"/>
        <v>0</v>
      </c>
      <c r="BA346" s="1452">
        <f t="shared" si="191"/>
        <v>0</v>
      </c>
      <c r="BB346" s="1452">
        <f t="shared" si="192"/>
        <v>0</v>
      </c>
      <c r="BC346" s="1452">
        <f t="shared" si="193"/>
        <v>0</v>
      </c>
      <c r="BD346" s="1452">
        <f t="shared" si="194"/>
        <v>0</v>
      </c>
      <c r="BE346" s="1452">
        <f t="shared" si="195"/>
        <v>0</v>
      </c>
      <c r="BF346" s="1452">
        <f t="shared" si="196"/>
        <v>0</v>
      </c>
      <c r="BG346" s="1452">
        <f t="shared" si="197"/>
        <v>0</v>
      </c>
      <c r="BH346" s="1452">
        <f t="shared" si="198"/>
        <v>0</v>
      </c>
      <c r="BI346" s="1452">
        <f t="shared" si="215"/>
        <v>0</v>
      </c>
      <c r="BJ346" s="1452" t="str">
        <f t="shared" si="199"/>
        <v/>
      </c>
      <c r="BK346" s="1452" t="str">
        <f t="shared" si="200"/>
        <v/>
      </c>
      <c r="BL346" s="1452" t="str">
        <f t="shared" si="201"/>
        <v/>
      </c>
      <c r="BM346" s="1452" t="str">
        <f t="shared" si="202"/>
        <v/>
      </c>
      <c r="BN346" s="1452" t="str">
        <f t="shared" ca="1" si="203"/>
        <v/>
      </c>
      <c r="BO346" s="1452" t="str">
        <f t="shared" si="216"/>
        <v/>
      </c>
      <c r="BP346" s="1452" t="str">
        <f t="shared" si="204"/>
        <v/>
      </c>
      <c r="BQ346" s="1452" t="str">
        <f t="shared" si="205"/>
        <v/>
      </c>
      <c r="BR346" s="1452" t="str">
        <f t="shared" si="206"/>
        <v/>
      </c>
      <c r="BS346" s="1452" t="str">
        <f t="shared" si="207"/>
        <v/>
      </c>
      <c r="BT346" s="1452" t="str">
        <f t="shared" si="208"/>
        <v/>
      </c>
      <c r="BU346" s="1452" t="str">
        <f t="shared" si="209"/>
        <v/>
      </c>
      <c r="BV346" s="1452" t="str">
        <f t="shared" si="210"/>
        <v/>
      </c>
      <c r="BW346" s="1558">
        <f t="shared" ca="1" si="217"/>
        <v>0</v>
      </c>
    </row>
    <row r="347" spans="1:75" s="9" customFormat="1" ht="12.5">
      <c r="A347" s="1483" t="str">
        <f t="shared" si="211"/>
        <v>Public Health Wales Trust</v>
      </c>
      <c r="B347" s="1583"/>
      <c r="C347" s="1583"/>
      <c r="D347" s="1583"/>
      <c r="E347" s="1581"/>
      <c r="F347" s="1436"/>
      <c r="G347" s="1547">
        <f t="shared" si="212"/>
        <v>0</v>
      </c>
      <c r="H347" s="1484"/>
      <c r="I347" s="1547">
        <f t="shared" si="213"/>
        <v>0</v>
      </c>
      <c r="J347" s="1485"/>
      <c r="K347" s="1485"/>
      <c r="L347" s="1436"/>
      <c r="M347" s="1439"/>
      <c r="N347" s="1439"/>
      <c r="O347" s="1485"/>
      <c r="P347" s="1486"/>
      <c r="Q347" s="1486"/>
      <c r="R347" s="1487"/>
      <c r="S347" s="1444"/>
      <c r="T347" s="1444"/>
      <c r="U347" s="1444"/>
      <c r="V347" s="1488"/>
      <c r="W347" s="1488"/>
      <c r="X347" s="1488"/>
      <c r="Y347" s="1488"/>
      <c r="Z347" s="1488"/>
      <c r="AA347" s="1488"/>
      <c r="AB347" s="1488"/>
      <c r="AC347" s="1488"/>
      <c r="AD347" s="1488"/>
      <c r="AE347" s="1488"/>
      <c r="AF347" s="1488"/>
      <c r="AG347" s="1488"/>
      <c r="AH347" s="1451">
        <f t="shared" si="185"/>
        <v>0</v>
      </c>
      <c r="AI347" s="1488"/>
      <c r="AJ347" s="1488"/>
      <c r="AK347" s="1488"/>
      <c r="AL347" s="1488"/>
      <c r="AM347" s="1488"/>
      <c r="AN347" s="1488"/>
      <c r="AO347" s="1488"/>
      <c r="AP347" s="1488"/>
      <c r="AQ347" s="1488"/>
      <c r="AR347" s="1488"/>
      <c r="AS347" s="1488"/>
      <c r="AT347" s="1542"/>
      <c r="AU347" s="1599">
        <f t="shared" si="186"/>
        <v>0</v>
      </c>
      <c r="AV347" s="1544">
        <f t="shared" si="214"/>
        <v>0</v>
      </c>
      <c r="AW347" s="1452">
        <f t="shared" si="187"/>
        <v>0</v>
      </c>
      <c r="AX347" s="1452">
        <f t="shared" si="188"/>
        <v>0</v>
      </c>
      <c r="AY347" s="1452">
        <f t="shared" si="189"/>
        <v>0</v>
      </c>
      <c r="AZ347" s="1452">
        <f t="shared" si="190"/>
        <v>0</v>
      </c>
      <c r="BA347" s="1452">
        <f t="shared" si="191"/>
        <v>0</v>
      </c>
      <c r="BB347" s="1452">
        <f t="shared" si="192"/>
        <v>0</v>
      </c>
      <c r="BC347" s="1452">
        <f t="shared" si="193"/>
        <v>0</v>
      </c>
      <c r="BD347" s="1452">
        <f t="shared" si="194"/>
        <v>0</v>
      </c>
      <c r="BE347" s="1452">
        <f t="shared" si="195"/>
        <v>0</v>
      </c>
      <c r="BF347" s="1452">
        <f t="shared" si="196"/>
        <v>0</v>
      </c>
      <c r="BG347" s="1452">
        <f t="shared" si="197"/>
        <v>0</v>
      </c>
      <c r="BH347" s="1452">
        <f t="shared" si="198"/>
        <v>0</v>
      </c>
      <c r="BI347" s="1452">
        <f t="shared" si="215"/>
        <v>0</v>
      </c>
      <c r="BJ347" s="1452" t="str">
        <f t="shared" si="199"/>
        <v/>
      </c>
      <c r="BK347" s="1452" t="str">
        <f t="shared" si="200"/>
        <v/>
      </c>
      <c r="BL347" s="1452" t="str">
        <f t="shared" si="201"/>
        <v/>
      </c>
      <c r="BM347" s="1452" t="str">
        <f t="shared" si="202"/>
        <v/>
      </c>
      <c r="BN347" s="1452" t="str">
        <f t="shared" ca="1" si="203"/>
        <v/>
      </c>
      <c r="BO347" s="1452" t="str">
        <f t="shared" si="216"/>
        <v/>
      </c>
      <c r="BP347" s="1452" t="str">
        <f t="shared" si="204"/>
        <v/>
      </c>
      <c r="BQ347" s="1452" t="str">
        <f t="shared" si="205"/>
        <v/>
      </c>
      <c r="BR347" s="1452" t="str">
        <f t="shared" si="206"/>
        <v/>
      </c>
      <c r="BS347" s="1452" t="str">
        <f t="shared" si="207"/>
        <v/>
      </c>
      <c r="BT347" s="1452" t="str">
        <f t="shared" si="208"/>
        <v/>
      </c>
      <c r="BU347" s="1452" t="str">
        <f t="shared" si="209"/>
        <v/>
      </c>
      <c r="BV347" s="1452" t="str">
        <f t="shared" si="210"/>
        <v/>
      </c>
      <c r="BW347" s="1558">
        <f t="shared" ca="1" si="217"/>
        <v>0</v>
      </c>
    </row>
    <row r="348" spans="1:75" s="9" customFormat="1" ht="12.5">
      <c r="A348" s="1483" t="str">
        <f t="shared" si="211"/>
        <v>Public Health Wales Trust</v>
      </c>
      <c r="B348" s="1583"/>
      <c r="C348" s="1583"/>
      <c r="D348" s="1583"/>
      <c r="E348" s="1581"/>
      <c r="F348" s="1436"/>
      <c r="G348" s="1547">
        <f t="shared" si="212"/>
        <v>0</v>
      </c>
      <c r="H348" s="1484"/>
      <c r="I348" s="1547">
        <f t="shared" si="213"/>
        <v>0</v>
      </c>
      <c r="J348" s="1485"/>
      <c r="K348" s="1485"/>
      <c r="L348" s="1436"/>
      <c r="M348" s="1439"/>
      <c r="N348" s="1439"/>
      <c r="O348" s="1485"/>
      <c r="P348" s="1486"/>
      <c r="Q348" s="1486"/>
      <c r="R348" s="1487"/>
      <c r="S348" s="1444"/>
      <c r="T348" s="1444"/>
      <c r="U348" s="1444"/>
      <c r="V348" s="1488"/>
      <c r="W348" s="1488"/>
      <c r="X348" s="1488"/>
      <c r="Y348" s="1488"/>
      <c r="Z348" s="1488"/>
      <c r="AA348" s="1488"/>
      <c r="AB348" s="1488"/>
      <c r="AC348" s="1488"/>
      <c r="AD348" s="1488"/>
      <c r="AE348" s="1488"/>
      <c r="AF348" s="1488"/>
      <c r="AG348" s="1488"/>
      <c r="AH348" s="1451">
        <f t="shared" si="185"/>
        <v>0</v>
      </c>
      <c r="AI348" s="1488"/>
      <c r="AJ348" s="1488"/>
      <c r="AK348" s="1488"/>
      <c r="AL348" s="1488"/>
      <c r="AM348" s="1488"/>
      <c r="AN348" s="1488"/>
      <c r="AO348" s="1488"/>
      <c r="AP348" s="1488"/>
      <c r="AQ348" s="1488"/>
      <c r="AR348" s="1488"/>
      <c r="AS348" s="1488"/>
      <c r="AT348" s="1542"/>
      <c r="AU348" s="1599">
        <f t="shared" si="186"/>
        <v>0</v>
      </c>
      <c r="AV348" s="1544">
        <f t="shared" si="214"/>
        <v>0</v>
      </c>
      <c r="AW348" s="1452">
        <f t="shared" si="187"/>
        <v>0</v>
      </c>
      <c r="AX348" s="1452">
        <f t="shared" si="188"/>
        <v>0</v>
      </c>
      <c r="AY348" s="1452">
        <f t="shared" si="189"/>
        <v>0</v>
      </c>
      <c r="AZ348" s="1452">
        <f t="shared" si="190"/>
        <v>0</v>
      </c>
      <c r="BA348" s="1452">
        <f t="shared" si="191"/>
        <v>0</v>
      </c>
      <c r="BB348" s="1452">
        <f t="shared" si="192"/>
        <v>0</v>
      </c>
      <c r="BC348" s="1452">
        <f t="shared" si="193"/>
        <v>0</v>
      </c>
      <c r="BD348" s="1452">
        <f t="shared" si="194"/>
        <v>0</v>
      </c>
      <c r="BE348" s="1452">
        <f t="shared" si="195"/>
        <v>0</v>
      </c>
      <c r="BF348" s="1452">
        <f t="shared" si="196"/>
        <v>0</v>
      </c>
      <c r="BG348" s="1452">
        <f t="shared" si="197"/>
        <v>0</v>
      </c>
      <c r="BH348" s="1452">
        <f t="shared" si="198"/>
        <v>0</v>
      </c>
      <c r="BI348" s="1452">
        <f t="shared" si="215"/>
        <v>0</v>
      </c>
      <c r="BJ348" s="1452" t="str">
        <f t="shared" si="199"/>
        <v/>
      </c>
      <c r="BK348" s="1452" t="str">
        <f t="shared" si="200"/>
        <v/>
      </c>
      <c r="BL348" s="1452" t="str">
        <f t="shared" si="201"/>
        <v/>
      </c>
      <c r="BM348" s="1452" t="str">
        <f t="shared" si="202"/>
        <v/>
      </c>
      <c r="BN348" s="1452" t="str">
        <f t="shared" ca="1" si="203"/>
        <v/>
      </c>
      <c r="BO348" s="1452" t="str">
        <f t="shared" si="216"/>
        <v/>
      </c>
      <c r="BP348" s="1452" t="str">
        <f t="shared" si="204"/>
        <v/>
      </c>
      <c r="BQ348" s="1452" t="str">
        <f t="shared" si="205"/>
        <v/>
      </c>
      <c r="BR348" s="1452" t="str">
        <f t="shared" si="206"/>
        <v/>
      </c>
      <c r="BS348" s="1452" t="str">
        <f t="shared" si="207"/>
        <v/>
      </c>
      <c r="BT348" s="1452" t="str">
        <f t="shared" si="208"/>
        <v/>
      </c>
      <c r="BU348" s="1452" t="str">
        <f t="shared" si="209"/>
        <v/>
      </c>
      <c r="BV348" s="1452" t="str">
        <f t="shared" si="210"/>
        <v/>
      </c>
      <c r="BW348" s="1558">
        <f t="shared" ca="1" si="217"/>
        <v>0</v>
      </c>
    </row>
    <row r="349" spans="1:75" s="9" customFormat="1" ht="12.5">
      <c r="A349" s="1483" t="str">
        <f t="shared" si="211"/>
        <v>Public Health Wales Trust</v>
      </c>
      <c r="B349" s="1583"/>
      <c r="C349" s="1583"/>
      <c r="D349" s="1583"/>
      <c r="E349" s="1581"/>
      <c r="F349" s="1436"/>
      <c r="G349" s="1547">
        <f t="shared" si="212"/>
        <v>0</v>
      </c>
      <c r="H349" s="1484"/>
      <c r="I349" s="1547">
        <f t="shared" si="213"/>
        <v>0</v>
      </c>
      <c r="J349" s="1485"/>
      <c r="K349" s="1485"/>
      <c r="L349" s="1436"/>
      <c r="M349" s="1439"/>
      <c r="N349" s="1439"/>
      <c r="O349" s="1485"/>
      <c r="P349" s="1486"/>
      <c r="Q349" s="1486"/>
      <c r="R349" s="1487"/>
      <c r="S349" s="1444"/>
      <c r="T349" s="1444"/>
      <c r="U349" s="1444"/>
      <c r="V349" s="1488"/>
      <c r="W349" s="1488"/>
      <c r="X349" s="1488"/>
      <c r="Y349" s="1488"/>
      <c r="Z349" s="1488"/>
      <c r="AA349" s="1488"/>
      <c r="AB349" s="1488"/>
      <c r="AC349" s="1488"/>
      <c r="AD349" s="1488"/>
      <c r="AE349" s="1488"/>
      <c r="AF349" s="1488"/>
      <c r="AG349" s="1488"/>
      <c r="AH349" s="1451">
        <f t="shared" si="185"/>
        <v>0</v>
      </c>
      <c r="AI349" s="1488"/>
      <c r="AJ349" s="1488"/>
      <c r="AK349" s="1488"/>
      <c r="AL349" s="1488"/>
      <c r="AM349" s="1488"/>
      <c r="AN349" s="1488"/>
      <c r="AO349" s="1488"/>
      <c r="AP349" s="1488"/>
      <c r="AQ349" s="1488"/>
      <c r="AR349" s="1488"/>
      <c r="AS349" s="1488"/>
      <c r="AT349" s="1542"/>
      <c r="AU349" s="1599">
        <f t="shared" si="186"/>
        <v>0</v>
      </c>
      <c r="AV349" s="1544">
        <f t="shared" si="214"/>
        <v>0</v>
      </c>
      <c r="AW349" s="1452">
        <f t="shared" si="187"/>
        <v>0</v>
      </c>
      <c r="AX349" s="1452">
        <f t="shared" si="188"/>
        <v>0</v>
      </c>
      <c r="AY349" s="1452">
        <f t="shared" si="189"/>
        <v>0</v>
      </c>
      <c r="AZ349" s="1452">
        <f t="shared" si="190"/>
        <v>0</v>
      </c>
      <c r="BA349" s="1452">
        <f t="shared" si="191"/>
        <v>0</v>
      </c>
      <c r="BB349" s="1452">
        <f t="shared" si="192"/>
        <v>0</v>
      </c>
      <c r="BC349" s="1452">
        <f t="shared" si="193"/>
        <v>0</v>
      </c>
      <c r="BD349" s="1452">
        <f t="shared" si="194"/>
        <v>0</v>
      </c>
      <c r="BE349" s="1452">
        <f t="shared" si="195"/>
        <v>0</v>
      </c>
      <c r="BF349" s="1452">
        <f t="shared" si="196"/>
        <v>0</v>
      </c>
      <c r="BG349" s="1452">
        <f t="shared" si="197"/>
        <v>0</v>
      </c>
      <c r="BH349" s="1452">
        <f t="shared" si="198"/>
        <v>0</v>
      </c>
      <c r="BI349" s="1452">
        <f t="shared" si="215"/>
        <v>0</v>
      </c>
      <c r="BJ349" s="1452" t="str">
        <f t="shared" si="199"/>
        <v/>
      </c>
      <c r="BK349" s="1452" t="str">
        <f t="shared" si="200"/>
        <v/>
      </c>
      <c r="BL349" s="1452" t="str">
        <f t="shared" si="201"/>
        <v/>
      </c>
      <c r="BM349" s="1452" t="str">
        <f t="shared" si="202"/>
        <v/>
      </c>
      <c r="BN349" s="1452" t="str">
        <f t="shared" ca="1" si="203"/>
        <v/>
      </c>
      <c r="BO349" s="1452" t="str">
        <f t="shared" si="216"/>
        <v/>
      </c>
      <c r="BP349" s="1452" t="str">
        <f t="shared" si="204"/>
        <v/>
      </c>
      <c r="BQ349" s="1452" t="str">
        <f t="shared" si="205"/>
        <v/>
      </c>
      <c r="BR349" s="1452" t="str">
        <f t="shared" si="206"/>
        <v/>
      </c>
      <c r="BS349" s="1452" t="str">
        <f t="shared" si="207"/>
        <v/>
      </c>
      <c r="BT349" s="1452" t="str">
        <f t="shared" si="208"/>
        <v/>
      </c>
      <c r="BU349" s="1452" t="str">
        <f t="shared" si="209"/>
        <v/>
      </c>
      <c r="BV349" s="1452" t="str">
        <f t="shared" si="210"/>
        <v/>
      </c>
      <c r="BW349" s="1558">
        <f t="shared" ca="1" si="217"/>
        <v>0</v>
      </c>
    </row>
    <row r="350" spans="1:75" s="9" customFormat="1" ht="12.5">
      <c r="A350" s="1483" t="str">
        <f t="shared" si="211"/>
        <v>Public Health Wales Trust</v>
      </c>
      <c r="B350" s="1583"/>
      <c r="C350" s="1583"/>
      <c r="D350" s="1583"/>
      <c r="E350" s="1581"/>
      <c r="F350" s="1436"/>
      <c r="G350" s="1547">
        <f t="shared" si="212"/>
        <v>0</v>
      </c>
      <c r="H350" s="1484"/>
      <c r="I350" s="1547">
        <f t="shared" si="213"/>
        <v>0</v>
      </c>
      <c r="J350" s="1485"/>
      <c r="K350" s="1485"/>
      <c r="L350" s="1436"/>
      <c r="M350" s="1439"/>
      <c r="N350" s="1439"/>
      <c r="O350" s="1485"/>
      <c r="P350" s="1486"/>
      <c r="Q350" s="1486"/>
      <c r="R350" s="1487"/>
      <c r="S350" s="1444"/>
      <c r="T350" s="1444"/>
      <c r="U350" s="1444"/>
      <c r="V350" s="1488"/>
      <c r="W350" s="1488"/>
      <c r="X350" s="1488"/>
      <c r="Y350" s="1488"/>
      <c r="Z350" s="1488"/>
      <c r="AA350" s="1488"/>
      <c r="AB350" s="1488"/>
      <c r="AC350" s="1488"/>
      <c r="AD350" s="1488"/>
      <c r="AE350" s="1488"/>
      <c r="AF350" s="1488"/>
      <c r="AG350" s="1488"/>
      <c r="AH350" s="1451">
        <f t="shared" si="185"/>
        <v>0</v>
      </c>
      <c r="AI350" s="1488"/>
      <c r="AJ350" s="1488"/>
      <c r="AK350" s="1488"/>
      <c r="AL350" s="1488"/>
      <c r="AM350" s="1488"/>
      <c r="AN350" s="1488"/>
      <c r="AO350" s="1488"/>
      <c r="AP350" s="1488"/>
      <c r="AQ350" s="1488"/>
      <c r="AR350" s="1488"/>
      <c r="AS350" s="1488"/>
      <c r="AT350" s="1542"/>
      <c r="AU350" s="1599">
        <f t="shared" si="186"/>
        <v>0</v>
      </c>
      <c r="AV350" s="1544">
        <f t="shared" si="214"/>
        <v>0</v>
      </c>
      <c r="AW350" s="1452">
        <f t="shared" si="187"/>
        <v>0</v>
      </c>
      <c r="AX350" s="1452">
        <f t="shared" si="188"/>
        <v>0</v>
      </c>
      <c r="AY350" s="1452">
        <f t="shared" si="189"/>
        <v>0</v>
      </c>
      <c r="AZ350" s="1452">
        <f t="shared" si="190"/>
        <v>0</v>
      </c>
      <c r="BA350" s="1452">
        <f t="shared" si="191"/>
        <v>0</v>
      </c>
      <c r="BB350" s="1452">
        <f t="shared" si="192"/>
        <v>0</v>
      </c>
      <c r="BC350" s="1452">
        <f t="shared" si="193"/>
        <v>0</v>
      </c>
      <c r="BD350" s="1452">
        <f t="shared" si="194"/>
        <v>0</v>
      </c>
      <c r="BE350" s="1452">
        <f t="shared" si="195"/>
        <v>0</v>
      </c>
      <c r="BF350" s="1452">
        <f t="shared" si="196"/>
        <v>0</v>
      </c>
      <c r="BG350" s="1452">
        <f t="shared" si="197"/>
        <v>0</v>
      </c>
      <c r="BH350" s="1452">
        <f t="shared" si="198"/>
        <v>0</v>
      </c>
      <c r="BI350" s="1452">
        <f t="shared" si="215"/>
        <v>0</v>
      </c>
      <c r="BJ350" s="1452" t="str">
        <f t="shared" si="199"/>
        <v/>
      </c>
      <c r="BK350" s="1452" t="str">
        <f t="shared" si="200"/>
        <v/>
      </c>
      <c r="BL350" s="1452" t="str">
        <f t="shared" si="201"/>
        <v/>
      </c>
      <c r="BM350" s="1452" t="str">
        <f t="shared" si="202"/>
        <v/>
      </c>
      <c r="BN350" s="1452" t="str">
        <f t="shared" ca="1" si="203"/>
        <v/>
      </c>
      <c r="BO350" s="1452" t="str">
        <f t="shared" si="216"/>
        <v/>
      </c>
      <c r="BP350" s="1452" t="str">
        <f t="shared" si="204"/>
        <v/>
      </c>
      <c r="BQ350" s="1452" t="str">
        <f t="shared" si="205"/>
        <v/>
      </c>
      <c r="BR350" s="1452" t="str">
        <f t="shared" si="206"/>
        <v/>
      </c>
      <c r="BS350" s="1452" t="str">
        <f t="shared" si="207"/>
        <v/>
      </c>
      <c r="BT350" s="1452" t="str">
        <f t="shared" si="208"/>
        <v/>
      </c>
      <c r="BU350" s="1452" t="str">
        <f t="shared" si="209"/>
        <v/>
      </c>
      <c r="BV350" s="1452" t="str">
        <f t="shared" si="210"/>
        <v/>
      </c>
      <c r="BW350" s="1558">
        <f t="shared" ca="1" si="217"/>
        <v>0</v>
      </c>
    </row>
    <row r="351" spans="1:75" s="9" customFormat="1" ht="12.5">
      <c r="A351" s="1483" t="str">
        <f t="shared" si="211"/>
        <v>Public Health Wales Trust</v>
      </c>
      <c r="B351" s="1583"/>
      <c r="C351" s="1583"/>
      <c r="D351" s="1583"/>
      <c r="E351" s="1581"/>
      <c r="F351" s="1436"/>
      <c r="G351" s="1547">
        <f t="shared" si="212"/>
        <v>0</v>
      </c>
      <c r="H351" s="1484"/>
      <c r="I351" s="1547">
        <f t="shared" si="213"/>
        <v>0</v>
      </c>
      <c r="J351" s="1485"/>
      <c r="K351" s="1485"/>
      <c r="L351" s="1436"/>
      <c r="M351" s="1439"/>
      <c r="N351" s="1439"/>
      <c r="O351" s="1485"/>
      <c r="P351" s="1486"/>
      <c r="Q351" s="1486"/>
      <c r="R351" s="1487"/>
      <c r="S351" s="1444"/>
      <c r="T351" s="1444"/>
      <c r="U351" s="1444"/>
      <c r="V351" s="1488"/>
      <c r="W351" s="1488"/>
      <c r="X351" s="1488"/>
      <c r="Y351" s="1488"/>
      <c r="Z351" s="1488"/>
      <c r="AA351" s="1488"/>
      <c r="AB351" s="1488"/>
      <c r="AC351" s="1488"/>
      <c r="AD351" s="1488"/>
      <c r="AE351" s="1488"/>
      <c r="AF351" s="1488"/>
      <c r="AG351" s="1488"/>
      <c r="AH351" s="1451">
        <f t="shared" si="185"/>
        <v>0</v>
      </c>
      <c r="AI351" s="1488"/>
      <c r="AJ351" s="1488"/>
      <c r="AK351" s="1488"/>
      <c r="AL351" s="1488"/>
      <c r="AM351" s="1488"/>
      <c r="AN351" s="1488"/>
      <c r="AO351" s="1488"/>
      <c r="AP351" s="1488"/>
      <c r="AQ351" s="1488"/>
      <c r="AR351" s="1488"/>
      <c r="AS351" s="1488"/>
      <c r="AT351" s="1542"/>
      <c r="AU351" s="1599">
        <f t="shared" si="186"/>
        <v>0</v>
      </c>
      <c r="AV351" s="1544">
        <f t="shared" si="214"/>
        <v>0</v>
      </c>
      <c r="AW351" s="1452">
        <f t="shared" si="187"/>
        <v>0</v>
      </c>
      <c r="AX351" s="1452">
        <f t="shared" si="188"/>
        <v>0</v>
      </c>
      <c r="AY351" s="1452">
        <f t="shared" si="189"/>
        <v>0</v>
      </c>
      <c r="AZ351" s="1452">
        <f t="shared" si="190"/>
        <v>0</v>
      </c>
      <c r="BA351" s="1452">
        <f t="shared" si="191"/>
        <v>0</v>
      </c>
      <c r="BB351" s="1452">
        <f t="shared" si="192"/>
        <v>0</v>
      </c>
      <c r="BC351" s="1452">
        <f t="shared" si="193"/>
        <v>0</v>
      </c>
      <c r="BD351" s="1452">
        <f t="shared" si="194"/>
        <v>0</v>
      </c>
      <c r="BE351" s="1452">
        <f t="shared" si="195"/>
        <v>0</v>
      </c>
      <c r="BF351" s="1452">
        <f t="shared" si="196"/>
        <v>0</v>
      </c>
      <c r="BG351" s="1452">
        <f t="shared" si="197"/>
        <v>0</v>
      </c>
      <c r="BH351" s="1452">
        <f t="shared" si="198"/>
        <v>0</v>
      </c>
      <c r="BI351" s="1452">
        <f t="shared" si="215"/>
        <v>0</v>
      </c>
      <c r="BJ351" s="1452" t="str">
        <f t="shared" si="199"/>
        <v/>
      </c>
      <c r="BK351" s="1452" t="str">
        <f t="shared" si="200"/>
        <v/>
      </c>
      <c r="BL351" s="1452" t="str">
        <f t="shared" si="201"/>
        <v/>
      </c>
      <c r="BM351" s="1452" t="str">
        <f t="shared" si="202"/>
        <v/>
      </c>
      <c r="BN351" s="1452" t="str">
        <f t="shared" ca="1" si="203"/>
        <v/>
      </c>
      <c r="BO351" s="1452" t="str">
        <f t="shared" si="216"/>
        <v/>
      </c>
      <c r="BP351" s="1452" t="str">
        <f t="shared" si="204"/>
        <v/>
      </c>
      <c r="BQ351" s="1452" t="str">
        <f t="shared" si="205"/>
        <v/>
      </c>
      <c r="BR351" s="1452" t="str">
        <f t="shared" si="206"/>
        <v/>
      </c>
      <c r="BS351" s="1452" t="str">
        <f t="shared" si="207"/>
        <v/>
      </c>
      <c r="BT351" s="1452" t="str">
        <f t="shared" si="208"/>
        <v/>
      </c>
      <c r="BU351" s="1452" t="str">
        <f t="shared" si="209"/>
        <v/>
      </c>
      <c r="BV351" s="1452" t="str">
        <f t="shared" si="210"/>
        <v/>
      </c>
      <c r="BW351" s="1558">
        <f t="shared" ca="1" si="217"/>
        <v>0</v>
      </c>
    </row>
    <row r="352" spans="1:75" s="9" customFormat="1" ht="12.5">
      <c r="A352" s="1483" t="str">
        <f t="shared" si="211"/>
        <v>Public Health Wales Trust</v>
      </c>
      <c r="B352" s="1583"/>
      <c r="C352" s="1583"/>
      <c r="D352" s="1583"/>
      <c r="E352" s="1581"/>
      <c r="F352" s="1436"/>
      <c r="G352" s="1547">
        <f t="shared" si="212"/>
        <v>0</v>
      </c>
      <c r="H352" s="1484"/>
      <c r="I352" s="1547">
        <f t="shared" si="213"/>
        <v>0</v>
      </c>
      <c r="J352" s="1485"/>
      <c r="K352" s="1485"/>
      <c r="L352" s="1436"/>
      <c r="M352" s="1439"/>
      <c r="N352" s="1439"/>
      <c r="O352" s="1485"/>
      <c r="P352" s="1486"/>
      <c r="Q352" s="1486"/>
      <c r="R352" s="1487"/>
      <c r="S352" s="1444"/>
      <c r="T352" s="1444"/>
      <c r="U352" s="1444"/>
      <c r="V352" s="1488"/>
      <c r="W352" s="1488"/>
      <c r="X352" s="1488"/>
      <c r="Y352" s="1488"/>
      <c r="Z352" s="1488"/>
      <c r="AA352" s="1488"/>
      <c r="AB352" s="1488"/>
      <c r="AC352" s="1488"/>
      <c r="AD352" s="1488"/>
      <c r="AE352" s="1488"/>
      <c r="AF352" s="1488"/>
      <c r="AG352" s="1488"/>
      <c r="AH352" s="1451">
        <f t="shared" si="185"/>
        <v>0</v>
      </c>
      <c r="AI352" s="1488"/>
      <c r="AJ352" s="1488"/>
      <c r="AK352" s="1488"/>
      <c r="AL352" s="1488"/>
      <c r="AM352" s="1488"/>
      <c r="AN352" s="1488"/>
      <c r="AO352" s="1488"/>
      <c r="AP352" s="1488"/>
      <c r="AQ352" s="1488"/>
      <c r="AR352" s="1488"/>
      <c r="AS352" s="1488"/>
      <c r="AT352" s="1542"/>
      <c r="AU352" s="1599">
        <f t="shared" si="186"/>
        <v>0</v>
      </c>
      <c r="AV352" s="1544">
        <f t="shared" si="214"/>
        <v>0</v>
      </c>
      <c r="AW352" s="1452">
        <f t="shared" si="187"/>
        <v>0</v>
      </c>
      <c r="AX352" s="1452">
        <f t="shared" si="188"/>
        <v>0</v>
      </c>
      <c r="AY352" s="1452">
        <f t="shared" si="189"/>
        <v>0</v>
      </c>
      <c r="AZ352" s="1452">
        <f t="shared" si="190"/>
        <v>0</v>
      </c>
      <c r="BA352" s="1452">
        <f t="shared" si="191"/>
        <v>0</v>
      </c>
      <c r="BB352" s="1452">
        <f t="shared" si="192"/>
        <v>0</v>
      </c>
      <c r="BC352" s="1452">
        <f t="shared" si="193"/>
        <v>0</v>
      </c>
      <c r="BD352" s="1452">
        <f t="shared" si="194"/>
        <v>0</v>
      </c>
      <c r="BE352" s="1452">
        <f t="shared" si="195"/>
        <v>0</v>
      </c>
      <c r="BF352" s="1452">
        <f t="shared" si="196"/>
        <v>0</v>
      </c>
      <c r="BG352" s="1452">
        <f t="shared" si="197"/>
        <v>0</v>
      </c>
      <c r="BH352" s="1452">
        <f t="shared" si="198"/>
        <v>0</v>
      </c>
      <c r="BI352" s="1452">
        <f t="shared" si="215"/>
        <v>0</v>
      </c>
      <c r="BJ352" s="1452" t="str">
        <f t="shared" si="199"/>
        <v/>
      </c>
      <c r="BK352" s="1452" t="str">
        <f t="shared" si="200"/>
        <v/>
      </c>
      <c r="BL352" s="1452" t="str">
        <f t="shared" si="201"/>
        <v/>
      </c>
      <c r="BM352" s="1452" t="str">
        <f t="shared" si="202"/>
        <v/>
      </c>
      <c r="BN352" s="1452" t="str">
        <f t="shared" ca="1" si="203"/>
        <v/>
      </c>
      <c r="BO352" s="1452" t="str">
        <f t="shared" si="216"/>
        <v/>
      </c>
      <c r="BP352" s="1452" t="str">
        <f t="shared" si="204"/>
        <v/>
      </c>
      <c r="BQ352" s="1452" t="str">
        <f t="shared" si="205"/>
        <v/>
      </c>
      <c r="BR352" s="1452" t="str">
        <f t="shared" si="206"/>
        <v/>
      </c>
      <c r="BS352" s="1452" t="str">
        <f t="shared" si="207"/>
        <v/>
      </c>
      <c r="BT352" s="1452" t="str">
        <f t="shared" si="208"/>
        <v/>
      </c>
      <c r="BU352" s="1452" t="str">
        <f t="shared" si="209"/>
        <v/>
      </c>
      <c r="BV352" s="1452" t="str">
        <f t="shared" si="210"/>
        <v/>
      </c>
      <c r="BW352" s="1558">
        <f t="shared" ca="1" si="217"/>
        <v>0</v>
      </c>
    </row>
    <row r="353" spans="1:75" s="9" customFormat="1" ht="12.5">
      <c r="A353" s="1483" t="str">
        <f t="shared" si="211"/>
        <v>Public Health Wales Trust</v>
      </c>
      <c r="B353" s="1583"/>
      <c r="C353" s="1583"/>
      <c r="D353" s="1583"/>
      <c r="E353" s="1581"/>
      <c r="F353" s="1436"/>
      <c r="G353" s="1547">
        <f t="shared" si="212"/>
        <v>0</v>
      </c>
      <c r="H353" s="1484"/>
      <c r="I353" s="1547">
        <f t="shared" si="213"/>
        <v>0</v>
      </c>
      <c r="J353" s="1485"/>
      <c r="K353" s="1485"/>
      <c r="L353" s="1436"/>
      <c r="M353" s="1439"/>
      <c r="N353" s="1439"/>
      <c r="O353" s="1485"/>
      <c r="P353" s="1486"/>
      <c r="Q353" s="1486"/>
      <c r="R353" s="1487"/>
      <c r="S353" s="1444"/>
      <c r="T353" s="1444"/>
      <c r="U353" s="1444"/>
      <c r="V353" s="1488"/>
      <c r="W353" s="1488"/>
      <c r="X353" s="1488"/>
      <c r="Y353" s="1488"/>
      <c r="Z353" s="1488"/>
      <c r="AA353" s="1488"/>
      <c r="AB353" s="1488"/>
      <c r="AC353" s="1488"/>
      <c r="AD353" s="1488"/>
      <c r="AE353" s="1488"/>
      <c r="AF353" s="1488"/>
      <c r="AG353" s="1488"/>
      <c r="AH353" s="1451">
        <f t="shared" si="185"/>
        <v>0</v>
      </c>
      <c r="AI353" s="1488"/>
      <c r="AJ353" s="1488"/>
      <c r="AK353" s="1488"/>
      <c r="AL353" s="1488"/>
      <c r="AM353" s="1488"/>
      <c r="AN353" s="1488"/>
      <c r="AO353" s="1488"/>
      <c r="AP353" s="1488"/>
      <c r="AQ353" s="1488"/>
      <c r="AR353" s="1488"/>
      <c r="AS353" s="1488"/>
      <c r="AT353" s="1542"/>
      <c r="AU353" s="1599">
        <f t="shared" si="186"/>
        <v>0</v>
      </c>
      <c r="AV353" s="1544">
        <f t="shared" si="214"/>
        <v>0</v>
      </c>
      <c r="AW353" s="1452">
        <f t="shared" si="187"/>
        <v>0</v>
      </c>
      <c r="AX353" s="1452">
        <f t="shared" si="188"/>
        <v>0</v>
      </c>
      <c r="AY353" s="1452">
        <f t="shared" si="189"/>
        <v>0</v>
      </c>
      <c r="AZ353" s="1452">
        <f t="shared" si="190"/>
        <v>0</v>
      </c>
      <c r="BA353" s="1452">
        <f t="shared" si="191"/>
        <v>0</v>
      </c>
      <c r="BB353" s="1452">
        <f t="shared" si="192"/>
        <v>0</v>
      </c>
      <c r="BC353" s="1452">
        <f t="shared" si="193"/>
        <v>0</v>
      </c>
      <c r="BD353" s="1452">
        <f t="shared" si="194"/>
        <v>0</v>
      </c>
      <c r="BE353" s="1452">
        <f t="shared" si="195"/>
        <v>0</v>
      </c>
      <c r="BF353" s="1452">
        <f t="shared" si="196"/>
        <v>0</v>
      </c>
      <c r="BG353" s="1452">
        <f t="shared" si="197"/>
        <v>0</v>
      </c>
      <c r="BH353" s="1452">
        <f t="shared" si="198"/>
        <v>0</v>
      </c>
      <c r="BI353" s="1452">
        <f t="shared" si="215"/>
        <v>0</v>
      </c>
      <c r="BJ353" s="1452" t="str">
        <f t="shared" si="199"/>
        <v/>
      </c>
      <c r="BK353" s="1452" t="str">
        <f t="shared" si="200"/>
        <v/>
      </c>
      <c r="BL353" s="1452" t="str">
        <f t="shared" si="201"/>
        <v/>
      </c>
      <c r="BM353" s="1452" t="str">
        <f t="shared" si="202"/>
        <v/>
      </c>
      <c r="BN353" s="1452" t="str">
        <f t="shared" ca="1" si="203"/>
        <v/>
      </c>
      <c r="BO353" s="1452" t="str">
        <f t="shared" si="216"/>
        <v/>
      </c>
      <c r="BP353" s="1452" t="str">
        <f t="shared" si="204"/>
        <v/>
      </c>
      <c r="BQ353" s="1452" t="str">
        <f t="shared" si="205"/>
        <v/>
      </c>
      <c r="BR353" s="1452" t="str">
        <f t="shared" si="206"/>
        <v/>
      </c>
      <c r="BS353" s="1452" t="str">
        <f t="shared" si="207"/>
        <v/>
      </c>
      <c r="BT353" s="1452" t="str">
        <f t="shared" si="208"/>
        <v/>
      </c>
      <c r="BU353" s="1452" t="str">
        <f t="shared" si="209"/>
        <v/>
      </c>
      <c r="BV353" s="1452" t="str">
        <f t="shared" si="210"/>
        <v/>
      </c>
      <c r="BW353" s="1558">
        <f t="shared" ca="1" si="217"/>
        <v>0</v>
      </c>
    </row>
    <row r="354" spans="1:75" s="9" customFormat="1" ht="12.5">
      <c r="A354" s="1483" t="str">
        <f t="shared" si="211"/>
        <v>Public Health Wales Trust</v>
      </c>
      <c r="B354" s="1583"/>
      <c r="C354" s="1583"/>
      <c r="D354" s="1583"/>
      <c r="E354" s="1581"/>
      <c r="F354" s="1436"/>
      <c r="G354" s="1547">
        <f t="shared" si="212"/>
        <v>0</v>
      </c>
      <c r="H354" s="1484"/>
      <c r="I354" s="1547">
        <f t="shared" si="213"/>
        <v>0</v>
      </c>
      <c r="J354" s="1485"/>
      <c r="K354" s="1485"/>
      <c r="L354" s="1436"/>
      <c r="M354" s="1439"/>
      <c r="N354" s="1439"/>
      <c r="O354" s="1485"/>
      <c r="P354" s="1486"/>
      <c r="Q354" s="1486"/>
      <c r="R354" s="1487"/>
      <c r="S354" s="1444"/>
      <c r="T354" s="1444"/>
      <c r="U354" s="1444"/>
      <c r="V354" s="1488"/>
      <c r="W354" s="1488"/>
      <c r="X354" s="1488"/>
      <c r="Y354" s="1488"/>
      <c r="Z354" s="1488"/>
      <c r="AA354" s="1488"/>
      <c r="AB354" s="1488"/>
      <c r="AC354" s="1488"/>
      <c r="AD354" s="1488"/>
      <c r="AE354" s="1488"/>
      <c r="AF354" s="1488"/>
      <c r="AG354" s="1488"/>
      <c r="AH354" s="1451">
        <f t="shared" si="185"/>
        <v>0</v>
      </c>
      <c r="AI354" s="1488"/>
      <c r="AJ354" s="1488"/>
      <c r="AK354" s="1488"/>
      <c r="AL354" s="1488"/>
      <c r="AM354" s="1488"/>
      <c r="AN354" s="1488"/>
      <c r="AO354" s="1488"/>
      <c r="AP354" s="1488"/>
      <c r="AQ354" s="1488"/>
      <c r="AR354" s="1488"/>
      <c r="AS354" s="1488"/>
      <c r="AT354" s="1542"/>
      <c r="AU354" s="1599">
        <f t="shared" si="186"/>
        <v>0</v>
      </c>
      <c r="AV354" s="1544">
        <f t="shared" si="214"/>
        <v>0</v>
      </c>
      <c r="AW354" s="1452">
        <f t="shared" si="187"/>
        <v>0</v>
      </c>
      <c r="AX354" s="1452">
        <f t="shared" si="188"/>
        <v>0</v>
      </c>
      <c r="AY354" s="1452">
        <f t="shared" si="189"/>
        <v>0</v>
      </c>
      <c r="AZ354" s="1452">
        <f t="shared" si="190"/>
        <v>0</v>
      </c>
      <c r="BA354" s="1452">
        <f t="shared" si="191"/>
        <v>0</v>
      </c>
      <c r="BB354" s="1452">
        <f t="shared" si="192"/>
        <v>0</v>
      </c>
      <c r="BC354" s="1452">
        <f t="shared" si="193"/>
        <v>0</v>
      </c>
      <c r="BD354" s="1452">
        <f t="shared" si="194"/>
        <v>0</v>
      </c>
      <c r="BE354" s="1452">
        <f t="shared" si="195"/>
        <v>0</v>
      </c>
      <c r="BF354" s="1452">
        <f t="shared" si="196"/>
        <v>0</v>
      </c>
      <c r="BG354" s="1452">
        <f t="shared" si="197"/>
        <v>0</v>
      </c>
      <c r="BH354" s="1452">
        <f t="shared" si="198"/>
        <v>0</v>
      </c>
      <c r="BI354" s="1452">
        <f t="shared" si="215"/>
        <v>0</v>
      </c>
      <c r="BJ354" s="1452" t="str">
        <f t="shared" si="199"/>
        <v/>
      </c>
      <c r="BK354" s="1452" t="str">
        <f t="shared" si="200"/>
        <v/>
      </c>
      <c r="BL354" s="1452" t="str">
        <f t="shared" si="201"/>
        <v/>
      </c>
      <c r="BM354" s="1452" t="str">
        <f t="shared" si="202"/>
        <v/>
      </c>
      <c r="BN354" s="1452" t="str">
        <f t="shared" ca="1" si="203"/>
        <v/>
      </c>
      <c r="BO354" s="1452" t="str">
        <f t="shared" si="216"/>
        <v/>
      </c>
      <c r="BP354" s="1452" t="str">
        <f t="shared" si="204"/>
        <v/>
      </c>
      <c r="BQ354" s="1452" t="str">
        <f t="shared" si="205"/>
        <v/>
      </c>
      <c r="BR354" s="1452" t="str">
        <f t="shared" si="206"/>
        <v/>
      </c>
      <c r="BS354" s="1452" t="str">
        <f t="shared" si="207"/>
        <v/>
      </c>
      <c r="BT354" s="1452" t="str">
        <f t="shared" si="208"/>
        <v/>
      </c>
      <c r="BU354" s="1452" t="str">
        <f t="shared" si="209"/>
        <v/>
      </c>
      <c r="BV354" s="1452" t="str">
        <f t="shared" si="210"/>
        <v/>
      </c>
      <c r="BW354" s="1558">
        <f t="shared" ca="1" si="217"/>
        <v>0</v>
      </c>
    </row>
    <row r="355" spans="1:75" s="9" customFormat="1" ht="12.5">
      <c r="A355" s="1483" t="str">
        <f t="shared" si="211"/>
        <v>Public Health Wales Trust</v>
      </c>
      <c r="B355" s="1583"/>
      <c r="C355" s="1583"/>
      <c r="D355" s="1583"/>
      <c r="E355" s="1581"/>
      <c r="F355" s="1436"/>
      <c r="G355" s="1547">
        <f t="shared" si="212"/>
        <v>0</v>
      </c>
      <c r="H355" s="1484"/>
      <c r="I355" s="1547">
        <f t="shared" si="213"/>
        <v>0</v>
      </c>
      <c r="J355" s="1485"/>
      <c r="K355" s="1485"/>
      <c r="L355" s="1436"/>
      <c r="M355" s="1439"/>
      <c r="N355" s="1439"/>
      <c r="O355" s="1485"/>
      <c r="P355" s="1486"/>
      <c r="Q355" s="1486"/>
      <c r="R355" s="1487"/>
      <c r="S355" s="1444"/>
      <c r="T355" s="1444"/>
      <c r="U355" s="1444"/>
      <c r="V355" s="1488"/>
      <c r="W355" s="1488"/>
      <c r="X355" s="1488"/>
      <c r="Y355" s="1488"/>
      <c r="Z355" s="1488"/>
      <c r="AA355" s="1488"/>
      <c r="AB355" s="1488"/>
      <c r="AC355" s="1488"/>
      <c r="AD355" s="1488"/>
      <c r="AE355" s="1488"/>
      <c r="AF355" s="1488"/>
      <c r="AG355" s="1488"/>
      <c r="AH355" s="1451">
        <f t="shared" si="185"/>
        <v>0</v>
      </c>
      <c r="AI355" s="1488"/>
      <c r="AJ355" s="1488"/>
      <c r="AK355" s="1488"/>
      <c r="AL355" s="1488"/>
      <c r="AM355" s="1488"/>
      <c r="AN355" s="1488"/>
      <c r="AO355" s="1488"/>
      <c r="AP355" s="1488"/>
      <c r="AQ355" s="1488"/>
      <c r="AR355" s="1488"/>
      <c r="AS355" s="1488"/>
      <c r="AT355" s="1542"/>
      <c r="AU355" s="1599">
        <f t="shared" si="186"/>
        <v>0</v>
      </c>
      <c r="AV355" s="1544">
        <f t="shared" si="214"/>
        <v>0</v>
      </c>
      <c r="AW355" s="1452">
        <f t="shared" si="187"/>
        <v>0</v>
      </c>
      <c r="AX355" s="1452">
        <f t="shared" si="188"/>
        <v>0</v>
      </c>
      <c r="AY355" s="1452">
        <f t="shared" si="189"/>
        <v>0</v>
      </c>
      <c r="AZ355" s="1452">
        <f t="shared" si="190"/>
        <v>0</v>
      </c>
      <c r="BA355" s="1452">
        <f t="shared" si="191"/>
        <v>0</v>
      </c>
      <c r="BB355" s="1452">
        <f t="shared" si="192"/>
        <v>0</v>
      </c>
      <c r="BC355" s="1452">
        <f t="shared" si="193"/>
        <v>0</v>
      </c>
      <c r="BD355" s="1452">
        <f t="shared" si="194"/>
        <v>0</v>
      </c>
      <c r="BE355" s="1452">
        <f t="shared" si="195"/>
        <v>0</v>
      </c>
      <c r="BF355" s="1452">
        <f t="shared" si="196"/>
        <v>0</v>
      </c>
      <c r="BG355" s="1452">
        <f t="shared" si="197"/>
        <v>0</v>
      </c>
      <c r="BH355" s="1452">
        <f t="shared" si="198"/>
        <v>0</v>
      </c>
      <c r="BI355" s="1452">
        <f t="shared" si="215"/>
        <v>0</v>
      </c>
      <c r="BJ355" s="1452" t="str">
        <f t="shared" si="199"/>
        <v/>
      </c>
      <c r="BK355" s="1452" t="str">
        <f t="shared" si="200"/>
        <v/>
      </c>
      <c r="BL355" s="1452" t="str">
        <f t="shared" si="201"/>
        <v/>
      </c>
      <c r="BM355" s="1452" t="str">
        <f t="shared" si="202"/>
        <v/>
      </c>
      <c r="BN355" s="1452" t="str">
        <f t="shared" ca="1" si="203"/>
        <v/>
      </c>
      <c r="BO355" s="1452" t="str">
        <f t="shared" si="216"/>
        <v/>
      </c>
      <c r="BP355" s="1452" t="str">
        <f t="shared" si="204"/>
        <v/>
      </c>
      <c r="BQ355" s="1452" t="str">
        <f t="shared" si="205"/>
        <v/>
      </c>
      <c r="BR355" s="1452" t="str">
        <f t="shared" si="206"/>
        <v/>
      </c>
      <c r="BS355" s="1452" t="str">
        <f t="shared" si="207"/>
        <v/>
      </c>
      <c r="BT355" s="1452" t="str">
        <f t="shared" si="208"/>
        <v/>
      </c>
      <c r="BU355" s="1452" t="str">
        <f t="shared" si="209"/>
        <v/>
      </c>
      <c r="BV355" s="1452" t="str">
        <f t="shared" si="210"/>
        <v/>
      </c>
      <c r="BW355" s="1558">
        <f t="shared" ca="1" si="217"/>
        <v>0</v>
      </c>
    </row>
    <row r="356" spans="1:75" s="9" customFormat="1" ht="12.5">
      <c r="A356" s="1483" t="str">
        <f t="shared" si="211"/>
        <v>Public Health Wales Trust</v>
      </c>
      <c r="B356" s="1583"/>
      <c r="C356" s="1583"/>
      <c r="D356" s="1583"/>
      <c r="E356" s="1581"/>
      <c r="F356" s="1436"/>
      <c r="G356" s="1547">
        <f t="shared" si="212"/>
        <v>0</v>
      </c>
      <c r="H356" s="1484"/>
      <c r="I356" s="1547">
        <f t="shared" si="213"/>
        <v>0</v>
      </c>
      <c r="J356" s="1485"/>
      <c r="K356" s="1485"/>
      <c r="L356" s="1436"/>
      <c r="M356" s="1439"/>
      <c r="N356" s="1439"/>
      <c r="O356" s="1485"/>
      <c r="P356" s="1486"/>
      <c r="Q356" s="1486"/>
      <c r="R356" s="1487"/>
      <c r="S356" s="1444"/>
      <c r="T356" s="1444"/>
      <c r="U356" s="1444"/>
      <c r="V356" s="1488"/>
      <c r="W356" s="1488"/>
      <c r="X356" s="1488"/>
      <c r="Y356" s="1488"/>
      <c r="Z356" s="1488"/>
      <c r="AA356" s="1488"/>
      <c r="AB356" s="1488"/>
      <c r="AC356" s="1488"/>
      <c r="AD356" s="1488"/>
      <c r="AE356" s="1488"/>
      <c r="AF356" s="1488"/>
      <c r="AG356" s="1488"/>
      <c r="AH356" s="1451">
        <f t="shared" si="185"/>
        <v>0</v>
      </c>
      <c r="AI356" s="1488"/>
      <c r="AJ356" s="1488"/>
      <c r="AK356" s="1488"/>
      <c r="AL356" s="1488"/>
      <c r="AM356" s="1488"/>
      <c r="AN356" s="1488"/>
      <c r="AO356" s="1488"/>
      <c r="AP356" s="1488"/>
      <c r="AQ356" s="1488"/>
      <c r="AR356" s="1488"/>
      <c r="AS356" s="1488"/>
      <c r="AT356" s="1542"/>
      <c r="AU356" s="1599">
        <f t="shared" si="186"/>
        <v>0</v>
      </c>
      <c r="AV356" s="1544">
        <f t="shared" si="214"/>
        <v>0</v>
      </c>
      <c r="AW356" s="1452">
        <f t="shared" si="187"/>
        <v>0</v>
      </c>
      <c r="AX356" s="1452">
        <f t="shared" si="188"/>
        <v>0</v>
      </c>
      <c r="AY356" s="1452">
        <f t="shared" si="189"/>
        <v>0</v>
      </c>
      <c r="AZ356" s="1452">
        <f t="shared" si="190"/>
        <v>0</v>
      </c>
      <c r="BA356" s="1452">
        <f t="shared" si="191"/>
        <v>0</v>
      </c>
      <c r="BB356" s="1452">
        <f t="shared" si="192"/>
        <v>0</v>
      </c>
      <c r="BC356" s="1452">
        <f t="shared" si="193"/>
        <v>0</v>
      </c>
      <c r="BD356" s="1452">
        <f t="shared" si="194"/>
        <v>0</v>
      </c>
      <c r="BE356" s="1452">
        <f t="shared" si="195"/>
        <v>0</v>
      </c>
      <c r="BF356" s="1452">
        <f t="shared" si="196"/>
        <v>0</v>
      </c>
      <c r="BG356" s="1452">
        <f t="shared" si="197"/>
        <v>0</v>
      </c>
      <c r="BH356" s="1452">
        <f t="shared" si="198"/>
        <v>0</v>
      </c>
      <c r="BI356" s="1452">
        <f t="shared" si="215"/>
        <v>0</v>
      </c>
      <c r="BJ356" s="1452" t="str">
        <f t="shared" si="199"/>
        <v/>
      </c>
      <c r="BK356" s="1452" t="str">
        <f t="shared" si="200"/>
        <v/>
      </c>
      <c r="BL356" s="1452" t="str">
        <f t="shared" si="201"/>
        <v/>
      </c>
      <c r="BM356" s="1452" t="str">
        <f t="shared" si="202"/>
        <v/>
      </c>
      <c r="BN356" s="1452" t="str">
        <f t="shared" ca="1" si="203"/>
        <v/>
      </c>
      <c r="BO356" s="1452" t="str">
        <f t="shared" si="216"/>
        <v/>
      </c>
      <c r="BP356" s="1452" t="str">
        <f t="shared" si="204"/>
        <v/>
      </c>
      <c r="BQ356" s="1452" t="str">
        <f t="shared" si="205"/>
        <v/>
      </c>
      <c r="BR356" s="1452" t="str">
        <f t="shared" si="206"/>
        <v/>
      </c>
      <c r="BS356" s="1452" t="str">
        <f t="shared" si="207"/>
        <v/>
      </c>
      <c r="BT356" s="1452" t="str">
        <f t="shared" si="208"/>
        <v/>
      </c>
      <c r="BU356" s="1452" t="str">
        <f t="shared" si="209"/>
        <v/>
      </c>
      <c r="BV356" s="1452" t="str">
        <f t="shared" si="210"/>
        <v/>
      </c>
      <c r="BW356" s="1558">
        <f t="shared" ca="1" si="217"/>
        <v>0</v>
      </c>
    </row>
    <row r="357" spans="1:75" s="9" customFormat="1" ht="12.5">
      <c r="A357" s="1483" t="str">
        <f t="shared" si="211"/>
        <v>Public Health Wales Trust</v>
      </c>
      <c r="B357" s="1583"/>
      <c r="C357" s="1583"/>
      <c r="D357" s="1583"/>
      <c r="E357" s="1581"/>
      <c r="F357" s="1436"/>
      <c r="G357" s="1547">
        <f t="shared" si="212"/>
        <v>0</v>
      </c>
      <c r="H357" s="1484"/>
      <c r="I357" s="1547">
        <f t="shared" si="213"/>
        <v>0</v>
      </c>
      <c r="J357" s="1485"/>
      <c r="K357" s="1485"/>
      <c r="L357" s="1436"/>
      <c r="M357" s="1439"/>
      <c r="N357" s="1439"/>
      <c r="O357" s="1485"/>
      <c r="P357" s="1486"/>
      <c r="Q357" s="1486"/>
      <c r="R357" s="1487"/>
      <c r="S357" s="1444"/>
      <c r="T357" s="1444"/>
      <c r="U357" s="1444"/>
      <c r="V357" s="1488"/>
      <c r="W357" s="1488"/>
      <c r="X357" s="1488"/>
      <c r="Y357" s="1488"/>
      <c r="Z357" s="1488"/>
      <c r="AA357" s="1488"/>
      <c r="AB357" s="1488"/>
      <c r="AC357" s="1488"/>
      <c r="AD357" s="1488"/>
      <c r="AE357" s="1488"/>
      <c r="AF357" s="1488"/>
      <c r="AG357" s="1488"/>
      <c r="AH357" s="1451">
        <f t="shared" si="185"/>
        <v>0</v>
      </c>
      <c r="AI357" s="1488"/>
      <c r="AJ357" s="1488"/>
      <c r="AK357" s="1488"/>
      <c r="AL357" s="1488"/>
      <c r="AM357" s="1488"/>
      <c r="AN357" s="1488"/>
      <c r="AO357" s="1488"/>
      <c r="AP357" s="1488"/>
      <c r="AQ357" s="1488"/>
      <c r="AR357" s="1488"/>
      <c r="AS357" s="1488"/>
      <c r="AT357" s="1542"/>
      <c r="AU357" s="1599">
        <f t="shared" si="186"/>
        <v>0</v>
      </c>
      <c r="AV357" s="1544">
        <f t="shared" si="214"/>
        <v>0</v>
      </c>
      <c r="AW357" s="1452">
        <f t="shared" si="187"/>
        <v>0</v>
      </c>
      <c r="AX357" s="1452">
        <f t="shared" si="188"/>
        <v>0</v>
      </c>
      <c r="AY357" s="1452">
        <f t="shared" si="189"/>
        <v>0</v>
      </c>
      <c r="AZ357" s="1452">
        <f t="shared" si="190"/>
        <v>0</v>
      </c>
      <c r="BA357" s="1452">
        <f t="shared" si="191"/>
        <v>0</v>
      </c>
      <c r="BB357" s="1452">
        <f t="shared" si="192"/>
        <v>0</v>
      </c>
      <c r="BC357" s="1452">
        <f t="shared" si="193"/>
        <v>0</v>
      </c>
      <c r="BD357" s="1452">
        <f t="shared" si="194"/>
        <v>0</v>
      </c>
      <c r="BE357" s="1452">
        <f t="shared" si="195"/>
        <v>0</v>
      </c>
      <c r="BF357" s="1452">
        <f t="shared" si="196"/>
        <v>0</v>
      </c>
      <c r="BG357" s="1452">
        <f t="shared" si="197"/>
        <v>0</v>
      </c>
      <c r="BH357" s="1452">
        <f t="shared" si="198"/>
        <v>0</v>
      </c>
      <c r="BI357" s="1452">
        <f t="shared" si="215"/>
        <v>0</v>
      </c>
      <c r="BJ357" s="1452" t="str">
        <f t="shared" si="199"/>
        <v/>
      </c>
      <c r="BK357" s="1452" t="str">
        <f t="shared" si="200"/>
        <v/>
      </c>
      <c r="BL357" s="1452" t="str">
        <f t="shared" si="201"/>
        <v/>
      </c>
      <c r="BM357" s="1452" t="str">
        <f t="shared" si="202"/>
        <v/>
      </c>
      <c r="BN357" s="1452" t="str">
        <f t="shared" ca="1" si="203"/>
        <v/>
      </c>
      <c r="BO357" s="1452" t="str">
        <f t="shared" si="216"/>
        <v/>
      </c>
      <c r="BP357" s="1452" t="str">
        <f t="shared" si="204"/>
        <v/>
      </c>
      <c r="BQ357" s="1452" t="str">
        <f t="shared" si="205"/>
        <v/>
      </c>
      <c r="BR357" s="1452" t="str">
        <f t="shared" si="206"/>
        <v/>
      </c>
      <c r="BS357" s="1452" t="str">
        <f t="shared" si="207"/>
        <v/>
      </c>
      <c r="BT357" s="1452" t="str">
        <f t="shared" si="208"/>
        <v/>
      </c>
      <c r="BU357" s="1452" t="str">
        <f t="shared" si="209"/>
        <v/>
      </c>
      <c r="BV357" s="1452" t="str">
        <f t="shared" si="210"/>
        <v/>
      </c>
      <c r="BW357" s="1558">
        <f t="shared" ca="1" si="217"/>
        <v>0</v>
      </c>
    </row>
    <row r="358" spans="1:75" s="9" customFormat="1" ht="12.5">
      <c r="A358" s="1483" t="str">
        <f t="shared" si="211"/>
        <v>Public Health Wales Trust</v>
      </c>
      <c r="B358" s="1583"/>
      <c r="C358" s="1583"/>
      <c r="D358" s="1583"/>
      <c r="E358" s="1581"/>
      <c r="F358" s="1436"/>
      <c r="G358" s="1547">
        <f t="shared" si="212"/>
        <v>0</v>
      </c>
      <c r="H358" s="1484"/>
      <c r="I358" s="1547">
        <f t="shared" si="213"/>
        <v>0</v>
      </c>
      <c r="J358" s="1485"/>
      <c r="K358" s="1485"/>
      <c r="L358" s="1436"/>
      <c r="M358" s="1439"/>
      <c r="N358" s="1439"/>
      <c r="O358" s="1485"/>
      <c r="P358" s="1486"/>
      <c r="Q358" s="1486"/>
      <c r="R358" s="1487"/>
      <c r="S358" s="1444"/>
      <c r="T358" s="1444"/>
      <c r="U358" s="1444"/>
      <c r="V358" s="1488"/>
      <c r="W358" s="1488"/>
      <c r="X358" s="1488"/>
      <c r="Y358" s="1488"/>
      <c r="Z358" s="1488"/>
      <c r="AA358" s="1488"/>
      <c r="AB358" s="1488"/>
      <c r="AC358" s="1488"/>
      <c r="AD358" s="1488"/>
      <c r="AE358" s="1488"/>
      <c r="AF358" s="1488"/>
      <c r="AG358" s="1488"/>
      <c r="AH358" s="1451">
        <f t="shared" si="185"/>
        <v>0</v>
      </c>
      <c r="AI358" s="1488"/>
      <c r="AJ358" s="1488"/>
      <c r="AK358" s="1488"/>
      <c r="AL358" s="1488"/>
      <c r="AM358" s="1488"/>
      <c r="AN358" s="1488"/>
      <c r="AO358" s="1488"/>
      <c r="AP358" s="1488"/>
      <c r="AQ358" s="1488"/>
      <c r="AR358" s="1488"/>
      <c r="AS358" s="1488"/>
      <c r="AT358" s="1542"/>
      <c r="AU358" s="1599">
        <f t="shared" si="186"/>
        <v>0</v>
      </c>
      <c r="AV358" s="1544">
        <f t="shared" si="214"/>
        <v>0</v>
      </c>
      <c r="AW358" s="1452">
        <f t="shared" si="187"/>
        <v>0</v>
      </c>
      <c r="AX358" s="1452">
        <f t="shared" si="188"/>
        <v>0</v>
      </c>
      <c r="AY358" s="1452">
        <f t="shared" si="189"/>
        <v>0</v>
      </c>
      <c r="AZ358" s="1452">
        <f t="shared" si="190"/>
        <v>0</v>
      </c>
      <c r="BA358" s="1452">
        <f t="shared" si="191"/>
        <v>0</v>
      </c>
      <c r="BB358" s="1452">
        <f t="shared" si="192"/>
        <v>0</v>
      </c>
      <c r="BC358" s="1452">
        <f t="shared" si="193"/>
        <v>0</v>
      </c>
      <c r="BD358" s="1452">
        <f t="shared" si="194"/>
        <v>0</v>
      </c>
      <c r="BE358" s="1452">
        <f t="shared" si="195"/>
        <v>0</v>
      </c>
      <c r="BF358" s="1452">
        <f t="shared" si="196"/>
        <v>0</v>
      </c>
      <c r="BG358" s="1452">
        <f t="shared" si="197"/>
        <v>0</v>
      </c>
      <c r="BH358" s="1452">
        <f t="shared" si="198"/>
        <v>0</v>
      </c>
      <c r="BI358" s="1452">
        <f t="shared" si="215"/>
        <v>0</v>
      </c>
      <c r="BJ358" s="1452" t="str">
        <f t="shared" si="199"/>
        <v/>
      </c>
      <c r="BK358" s="1452" t="str">
        <f t="shared" si="200"/>
        <v/>
      </c>
      <c r="BL358" s="1452" t="str">
        <f t="shared" si="201"/>
        <v/>
      </c>
      <c r="BM358" s="1452" t="str">
        <f t="shared" si="202"/>
        <v/>
      </c>
      <c r="BN358" s="1452" t="str">
        <f t="shared" ca="1" si="203"/>
        <v/>
      </c>
      <c r="BO358" s="1452" t="str">
        <f t="shared" si="216"/>
        <v/>
      </c>
      <c r="BP358" s="1452" t="str">
        <f t="shared" si="204"/>
        <v/>
      </c>
      <c r="BQ358" s="1452" t="str">
        <f t="shared" si="205"/>
        <v/>
      </c>
      <c r="BR358" s="1452" t="str">
        <f t="shared" si="206"/>
        <v/>
      </c>
      <c r="BS358" s="1452" t="str">
        <f t="shared" si="207"/>
        <v/>
      </c>
      <c r="BT358" s="1452" t="str">
        <f t="shared" si="208"/>
        <v/>
      </c>
      <c r="BU358" s="1452" t="str">
        <f t="shared" si="209"/>
        <v/>
      </c>
      <c r="BV358" s="1452" t="str">
        <f t="shared" si="210"/>
        <v/>
      </c>
      <c r="BW358" s="1558">
        <f t="shared" ca="1" si="217"/>
        <v>0</v>
      </c>
    </row>
    <row r="359" spans="1:75" s="9" customFormat="1" ht="12.5">
      <c r="A359" s="1483" t="str">
        <f t="shared" si="211"/>
        <v>Public Health Wales Trust</v>
      </c>
      <c r="B359" s="1583"/>
      <c r="C359" s="1583"/>
      <c r="D359" s="1583"/>
      <c r="E359" s="1581"/>
      <c r="F359" s="1436"/>
      <c r="G359" s="1547">
        <f t="shared" si="212"/>
        <v>0</v>
      </c>
      <c r="H359" s="1484"/>
      <c r="I359" s="1547">
        <f t="shared" si="213"/>
        <v>0</v>
      </c>
      <c r="J359" s="1485"/>
      <c r="K359" s="1485"/>
      <c r="L359" s="1436"/>
      <c r="M359" s="1439"/>
      <c r="N359" s="1439"/>
      <c r="O359" s="1485"/>
      <c r="P359" s="1486"/>
      <c r="Q359" s="1486"/>
      <c r="R359" s="1487"/>
      <c r="S359" s="1444"/>
      <c r="T359" s="1444"/>
      <c r="U359" s="1444"/>
      <c r="V359" s="1488"/>
      <c r="W359" s="1488"/>
      <c r="X359" s="1488"/>
      <c r="Y359" s="1488"/>
      <c r="Z359" s="1488"/>
      <c r="AA359" s="1488"/>
      <c r="AB359" s="1488"/>
      <c r="AC359" s="1488"/>
      <c r="AD359" s="1488"/>
      <c r="AE359" s="1488"/>
      <c r="AF359" s="1488"/>
      <c r="AG359" s="1488"/>
      <c r="AH359" s="1451">
        <f t="shared" si="185"/>
        <v>0</v>
      </c>
      <c r="AI359" s="1488"/>
      <c r="AJ359" s="1488"/>
      <c r="AK359" s="1488"/>
      <c r="AL359" s="1488"/>
      <c r="AM359" s="1488"/>
      <c r="AN359" s="1488"/>
      <c r="AO359" s="1488"/>
      <c r="AP359" s="1488"/>
      <c r="AQ359" s="1488"/>
      <c r="AR359" s="1488"/>
      <c r="AS359" s="1488"/>
      <c r="AT359" s="1542"/>
      <c r="AU359" s="1599">
        <f t="shared" si="186"/>
        <v>0</v>
      </c>
      <c r="AV359" s="1544">
        <f t="shared" si="214"/>
        <v>0</v>
      </c>
      <c r="AW359" s="1452">
        <f t="shared" si="187"/>
        <v>0</v>
      </c>
      <c r="AX359" s="1452">
        <f t="shared" si="188"/>
        <v>0</v>
      </c>
      <c r="AY359" s="1452">
        <f t="shared" si="189"/>
        <v>0</v>
      </c>
      <c r="AZ359" s="1452">
        <f t="shared" si="190"/>
        <v>0</v>
      </c>
      <c r="BA359" s="1452">
        <f t="shared" si="191"/>
        <v>0</v>
      </c>
      <c r="BB359" s="1452">
        <f t="shared" si="192"/>
        <v>0</v>
      </c>
      <c r="BC359" s="1452">
        <f t="shared" si="193"/>
        <v>0</v>
      </c>
      <c r="BD359" s="1452">
        <f t="shared" si="194"/>
        <v>0</v>
      </c>
      <c r="BE359" s="1452">
        <f t="shared" si="195"/>
        <v>0</v>
      </c>
      <c r="BF359" s="1452">
        <f t="shared" si="196"/>
        <v>0</v>
      </c>
      <c r="BG359" s="1452">
        <f t="shared" si="197"/>
        <v>0</v>
      </c>
      <c r="BH359" s="1452">
        <f t="shared" si="198"/>
        <v>0</v>
      </c>
      <c r="BI359" s="1452">
        <f t="shared" si="215"/>
        <v>0</v>
      </c>
      <c r="BJ359" s="1452" t="str">
        <f t="shared" si="199"/>
        <v/>
      </c>
      <c r="BK359" s="1452" t="str">
        <f t="shared" si="200"/>
        <v/>
      </c>
      <c r="BL359" s="1452" t="str">
        <f t="shared" si="201"/>
        <v/>
      </c>
      <c r="BM359" s="1452" t="str">
        <f t="shared" si="202"/>
        <v/>
      </c>
      <c r="BN359" s="1452" t="str">
        <f t="shared" ca="1" si="203"/>
        <v/>
      </c>
      <c r="BO359" s="1452" t="str">
        <f t="shared" si="216"/>
        <v/>
      </c>
      <c r="BP359" s="1452" t="str">
        <f t="shared" si="204"/>
        <v/>
      </c>
      <c r="BQ359" s="1452" t="str">
        <f t="shared" si="205"/>
        <v/>
      </c>
      <c r="BR359" s="1452" t="str">
        <f t="shared" si="206"/>
        <v/>
      </c>
      <c r="BS359" s="1452" t="str">
        <f t="shared" si="207"/>
        <v/>
      </c>
      <c r="BT359" s="1452" t="str">
        <f t="shared" si="208"/>
        <v/>
      </c>
      <c r="BU359" s="1452" t="str">
        <f t="shared" si="209"/>
        <v/>
      </c>
      <c r="BV359" s="1452" t="str">
        <f t="shared" si="210"/>
        <v/>
      </c>
      <c r="BW359" s="1558">
        <f t="shared" ca="1" si="217"/>
        <v>0</v>
      </c>
    </row>
    <row r="360" spans="1:75" s="9" customFormat="1" ht="12.5">
      <c r="A360" s="1483" t="str">
        <f t="shared" si="211"/>
        <v>Public Health Wales Trust</v>
      </c>
      <c r="B360" s="1583"/>
      <c r="C360" s="1583"/>
      <c r="D360" s="1583"/>
      <c r="E360" s="1581"/>
      <c r="F360" s="1436"/>
      <c r="G360" s="1547">
        <f t="shared" si="212"/>
        <v>0</v>
      </c>
      <c r="H360" s="1484"/>
      <c r="I360" s="1547">
        <f t="shared" si="213"/>
        <v>0</v>
      </c>
      <c r="J360" s="1485"/>
      <c r="K360" s="1485"/>
      <c r="L360" s="1436"/>
      <c r="M360" s="1439"/>
      <c r="N360" s="1439"/>
      <c r="O360" s="1485"/>
      <c r="P360" s="1486"/>
      <c r="Q360" s="1486"/>
      <c r="R360" s="1487"/>
      <c r="S360" s="1444"/>
      <c r="T360" s="1444"/>
      <c r="U360" s="1444"/>
      <c r="V360" s="1488"/>
      <c r="W360" s="1488"/>
      <c r="X360" s="1488"/>
      <c r="Y360" s="1488"/>
      <c r="Z360" s="1488"/>
      <c r="AA360" s="1488"/>
      <c r="AB360" s="1488"/>
      <c r="AC360" s="1488"/>
      <c r="AD360" s="1488"/>
      <c r="AE360" s="1488"/>
      <c r="AF360" s="1488"/>
      <c r="AG360" s="1488"/>
      <c r="AH360" s="1451">
        <f t="shared" si="185"/>
        <v>0</v>
      </c>
      <c r="AI360" s="1488"/>
      <c r="AJ360" s="1488"/>
      <c r="AK360" s="1488"/>
      <c r="AL360" s="1488"/>
      <c r="AM360" s="1488"/>
      <c r="AN360" s="1488"/>
      <c r="AO360" s="1488"/>
      <c r="AP360" s="1488"/>
      <c r="AQ360" s="1488"/>
      <c r="AR360" s="1488"/>
      <c r="AS360" s="1488"/>
      <c r="AT360" s="1542"/>
      <c r="AU360" s="1599">
        <f t="shared" si="186"/>
        <v>0</v>
      </c>
      <c r="AV360" s="1544">
        <f t="shared" si="214"/>
        <v>0</v>
      </c>
      <c r="AW360" s="1452">
        <f t="shared" si="187"/>
        <v>0</v>
      </c>
      <c r="AX360" s="1452">
        <f t="shared" si="188"/>
        <v>0</v>
      </c>
      <c r="AY360" s="1452">
        <f t="shared" si="189"/>
        <v>0</v>
      </c>
      <c r="AZ360" s="1452">
        <f t="shared" si="190"/>
        <v>0</v>
      </c>
      <c r="BA360" s="1452">
        <f t="shared" si="191"/>
        <v>0</v>
      </c>
      <c r="BB360" s="1452">
        <f t="shared" si="192"/>
        <v>0</v>
      </c>
      <c r="BC360" s="1452">
        <f t="shared" si="193"/>
        <v>0</v>
      </c>
      <c r="BD360" s="1452">
        <f t="shared" si="194"/>
        <v>0</v>
      </c>
      <c r="BE360" s="1452">
        <f t="shared" si="195"/>
        <v>0</v>
      </c>
      <c r="BF360" s="1452">
        <f t="shared" si="196"/>
        <v>0</v>
      </c>
      <c r="BG360" s="1452">
        <f t="shared" si="197"/>
        <v>0</v>
      </c>
      <c r="BH360" s="1452">
        <f t="shared" si="198"/>
        <v>0</v>
      </c>
      <c r="BI360" s="1452">
        <f t="shared" si="215"/>
        <v>0</v>
      </c>
      <c r="BJ360" s="1452" t="str">
        <f t="shared" si="199"/>
        <v/>
      </c>
      <c r="BK360" s="1452" t="str">
        <f t="shared" si="200"/>
        <v/>
      </c>
      <c r="BL360" s="1452" t="str">
        <f t="shared" si="201"/>
        <v/>
      </c>
      <c r="BM360" s="1452" t="str">
        <f t="shared" si="202"/>
        <v/>
      </c>
      <c r="BN360" s="1452" t="str">
        <f t="shared" ca="1" si="203"/>
        <v/>
      </c>
      <c r="BO360" s="1452" t="str">
        <f t="shared" si="216"/>
        <v/>
      </c>
      <c r="BP360" s="1452" t="str">
        <f t="shared" si="204"/>
        <v/>
      </c>
      <c r="BQ360" s="1452" t="str">
        <f t="shared" si="205"/>
        <v/>
      </c>
      <c r="BR360" s="1452" t="str">
        <f t="shared" si="206"/>
        <v/>
      </c>
      <c r="BS360" s="1452" t="str">
        <f t="shared" si="207"/>
        <v/>
      </c>
      <c r="BT360" s="1452" t="str">
        <f t="shared" si="208"/>
        <v/>
      </c>
      <c r="BU360" s="1452" t="str">
        <f t="shared" si="209"/>
        <v/>
      </c>
      <c r="BV360" s="1452" t="str">
        <f t="shared" si="210"/>
        <v/>
      </c>
      <c r="BW360" s="1558">
        <f t="shared" ca="1" si="217"/>
        <v>0</v>
      </c>
    </row>
    <row r="361" spans="1:75" s="9" customFormat="1" ht="12.5">
      <c r="A361" s="1483" t="str">
        <f t="shared" si="211"/>
        <v>Public Health Wales Trust</v>
      </c>
      <c r="B361" s="1583"/>
      <c r="C361" s="1583"/>
      <c r="D361" s="1583"/>
      <c r="E361" s="1581"/>
      <c r="F361" s="1436"/>
      <c r="G361" s="1547">
        <f t="shared" si="212"/>
        <v>0</v>
      </c>
      <c r="H361" s="1484"/>
      <c r="I361" s="1547">
        <f t="shared" si="213"/>
        <v>0</v>
      </c>
      <c r="J361" s="1485"/>
      <c r="K361" s="1485"/>
      <c r="L361" s="1436"/>
      <c r="M361" s="1439"/>
      <c r="N361" s="1439"/>
      <c r="O361" s="1485"/>
      <c r="P361" s="1486"/>
      <c r="Q361" s="1486"/>
      <c r="R361" s="1487"/>
      <c r="S361" s="1444"/>
      <c r="T361" s="1444"/>
      <c r="U361" s="1444"/>
      <c r="V361" s="1488"/>
      <c r="W361" s="1488"/>
      <c r="X361" s="1488"/>
      <c r="Y361" s="1488"/>
      <c r="Z361" s="1488"/>
      <c r="AA361" s="1488"/>
      <c r="AB361" s="1488"/>
      <c r="AC361" s="1488"/>
      <c r="AD361" s="1488"/>
      <c r="AE361" s="1488"/>
      <c r="AF361" s="1488"/>
      <c r="AG361" s="1488"/>
      <c r="AH361" s="1451">
        <f t="shared" si="185"/>
        <v>0</v>
      </c>
      <c r="AI361" s="1488"/>
      <c r="AJ361" s="1488"/>
      <c r="AK361" s="1488"/>
      <c r="AL361" s="1488"/>
      <c r="AM361" s="1488"/>
      <c r="AN361" s="1488"/>
      <c r="AO361" s="1488"/>
      <c r="AP361" s="1488"/>
      <c r="AQ361" s="1488"/>
      <c r="AR361" s="1488"/>
      <c r="AS361" s="1488"/>
      <c r="AT361" s="1542"/>
      <c r="AU361" s="1599">
        <f t="shared" si="186"/>
        <v>0</v>
      </c>
      <c r="AV361" s="1544">
        <f t="shared" si="214"/>
        <v>0</v>
      </c>
      <c r="AW361" s="1452">
        <f t="shared" si="187"/>
        <v>0</v>
      </c>
      <c r="AX361" s="1452">
        <f t="shared" si="188"/>
        <v>0</v>
      </c>
      <c r="AY361" s="1452">
        <f t="shared" si="189"/>
        <v>0</v>
      </c>
      <c r="AZ361" s="1452">
        <f t="shared" si="190"/>
        <v>0</v>
      </c>
      <c r="BA361" s="1452">
        <f t="shared" si="191"/>
        <v>0</v>
      </c>
      <c r="BB361" s="1452">
        <f t="shared" si="192"/>
        <v>0</v>
      </c>
      <c r="BC361" s="1452">
        <f t="shared" si="193"/>
        <v>0</v>
      </c>
      <c r="BD361" s="1452">
        <f t="shared" si="194"/>
        <v>0</v>
      </c>
      <c r="BE361" s="1452">
        <f t="shared" si="195"/>
        <v>0</v>
      </c>
      <c r="BF361" s="1452">
        <f t="shared" si="196"/>
        <v>0</v>
      </c>
      <c r="BG361" s="1452">
        <f t="shared" si="197"/>
        <v>0</v>
      </c>
      <c r="BH361" s="1452">
        <f t="shared" si="198"/>
        <v>0</v>
      </c>
      <c r="BI361" s="1452">
        <f t="shared" si="215"/>
        <v>0</v>
      </c>
      <c r="BJ361" s="1452" t="str">
        <f t="shared" si="199"/>
        <v/>
      </c>
      <c r="BK361" s="1452" t="str">
        <f t="shared" si="200"/>
        <v/>
      </c>
      <c r="BL361" s="1452" t="str">
        <f t="shared" si="201"/>
        <v/>
      </c>
      <c r="BM361" s="1452" t="str">
        <f t="shared" si="202"/>
        <v/>
      </c>
      <c r="BN361" s="1452" t="str">
        <f t="shared" ca="1" si="203"/>
        <v/>
      </c>
      <c r="BO361" s="1452" t="str">
        <f t="shared" si="216"/>
        <v/>
      </c>
      <c r="BP361" s="1452" t="str">
        <f t="shared" si="204"/>
        <v/>
      </c>
      <c r="BQ361" s="1452" t="str">
        <f t="shared" si="205"/>
        <v/>
      </c>
      <c r="BR361" s="1452" t="str">
        <f t="shared" si="206"/>
        <v/>
      </c>
      <c r="BS361" s="1452" t="str">
        <f t="shared" si="207"/>
        <v/>
      </c>
      <c r="BT361" s="1452" t="str">
        <f t="shared" si="208"/>
        <v/>
      </c>
      <c r="BU361" s="1452" t="str">
        <f t="shared" si="209"/>
        <v/>
      </c>
      <c r="BV361" s="1452" t="str">
        <f t="shared" si="210"/>
        <v/>
      </c>
      <c r="BW361" s="1558">
        <f t="shared" ca="1" si="217"/>
        <v>0</v>
      </c>
    </row>
    <row r="362" spans="1:75" s="9" customFormat="1" ht="12.5">
      <c r="A362" s="1483" t="str">
        <f t="shared" si="211"/>
        <v>Public Health Wales Trust</v>
      </c>
      <c r="B362" s="1583"/>
      <c r="C362" s="1583"/>
      <c r="D362" s="1583"/>
      <c r="E362" s="1581"/>
      <c r="F362" s="1436"/>
      <c r="G362" s="1547">
        <f t="shared" si="212"/>
        <v>0</v>
      </c>
      <c r="H362" s="1484"/>
      <c r="I362" s="1547">
        <f t="shared" si="213"/>
        <v>0</v>
      </c>
      <c r="J362" s="1485"/>
      <c r="K362" s="1485"/>
      <c r="L362" s="1436"/>
      <c r="M362" s="1439"/>
      <c r="N362" s="1439"/>
      <c r="O362" s="1485"/>
      <c r="P362" s="1486"/>
      <c r="Q362" s="1486"/>
      <c r="R362" s="1487"/>
      <c r="S362" s="1444"/>
      <c r="T362" s="1444"/>
      <c r="U362" s="1444"/>
      <c r="V362" s="1488"/>
      <c r="W362" s="1488"/>
      <c r="X362" s="1488"/>
      <c r="Y362" s="1488"/>
      <c r="Z362" s="1488"/>
      <c r="AA362" s="1488"/>
      <c r="AB362" s="1488"/>
      <c r="AC362" s="1488"/>
      <c r="AD362" s="1488"/>
      <c r="AE362" s="1488"/>
      <c r="AF362" s="1488"/>
      <c r="AG362" s="1488"/>
      <c r="AH362" s="1451">
        <f t="shared" si="185"/>
        <v>0</v>
      </c>
      <c r="AI362" s="1488"/>
      <c r="AJ362" s="1488"/>
      <c r="AK362" s="1488"/>
      <c r="AL362" s="1488"/>
      <c r="AM362" s="1488"/>
      <c r="AN362" s="1488"/>
      <c r="AO362" s="1488"/>
      <c r="AP362" s="1488"/>
      <c r="AQ362" s="1488"/>
      <c r="AR362" s="1488"/>
      <c r="AS362" s="1488"/>
      <c r="AT362" s="1542"/>
      <c r="AU362" s="1599">
        <f t="shared" si="186"/>
        <v>0</v>
      </c>
      <c r="AV362" s="1544">
        <f t="shared" si="214"/>
        <v>0</v>
      </c>
      <c r="AW362" s="1452">
        <f t="shared" si="187"/>
        <v>0</v>
      </c>
      <c r="AX362" s="1452">
        <f t="shared" si="188"/>
        <v>0</v>
      </c>
      <c r="AY362" s="1452">
        <f t="shared" si="189"/>
        <v>0</v>
      </c>
      <c r="AZ362" s="1452">
        <f t="shared" si="190"/>
        <v>0</v>
      </c>
      <c r="BA362" s="1452">
        <f t="shared" si="191"/>
        <v>0</v>
      </c>
      <c r="BB362" s="1452">
        <f t="shared" si="192"/>
        <v>0</v>
      </c>
      <c r="BC362" s="1452">
        <f t="shared" si="193"/>
        <v>0</v>
      </c>
      <c r="BD362" s="1452">
        <f t="shared" si="194"/>
        <v>0</v>
      </c>
      <c r="BE362" s="1452">
        <f t="shared" si="195"/>
        <v>0</v>
      </c>
      <c r="BF362" s="1452">
        <f t="shared" si="196"/>
        <v>0</v>
      </c>
      <c r="BG362" s="1452">
        <f t="shared" si="197"/>
        <v>0</v>
      </c>
      <c r="BH362" s="1452">
        <f t="shared" si="198"/>
        <v>0</v>
      </c>
      <c r="BI362" s="1452">
        <f t="shared" si="215"/>
        <v>0</v>
      </c>
      <c r="BJ362" s="1452" t="str">
        <f t="shared" si="199"/>
        <v/>
      </c>
      <c r="BK362" s="1452" t="str">
        <f t="shared" si="200"/>
        <v/>
      </c>
      <c r="BL362" s="1452" t="str">
        <f t="shared" si="201"/>
        <v/>
      </c>
      <c r="BM362" s="1452" t="str">
        <f t="shared" si="202"/>
        <v/>
      </c>
      <c r="BN362" s="1452" t="str">
        <f t="shared" ca="1" si="203"/>
        <v/>
      </c>
      <c r="BO362" s="1452" t="str">
        <f t="shared" si="216"/>
        <v/>
      </c>
      <c r="BP362" s="1452" t="str">
        <f t="shared" si="204"/>
        <v/>
      </c>
      <c r="BQ362" s="1452" t="str">
        <f t="shared" si="205"/>
        <v/>
      </c>
      <c r="BR362" s="1452" t="str">
        <f t="shared" si="206"/>
        <v/>
      </c>
      <c r="BS362" s="1452" t="str">
        <f t="shared" si="207"/>
        <v/>
      </c>
      <c r="BT362" s="1452" t="str">
        <f t="shared" si="208"/>
        <v/>
      </c>
      <c r="BU362" s="1452" t="str">
        <f t="shared" si="209"/>
        <v/>
      </c>
      <c r="BV362" s="1452" t="str">
        <f t="shared" si="210"/>
        <v/>
      </c>
      <c r="BW362" s="1558">
        <f t="shared" ca="1" si="217"/>
        <v>0</v>
      </c>
    </row>
    <row r="363" spans="1:75" s="9" customFormat="1" ht="12.5">
      <c r="A363" s="1483" t="str">
        <f t="shared" si="211"/>
        <v>Public Health Wales Trust</v>
      </c>
      <c r="B363" s="1583"/>
      <c r="C363" s="1583"/>
      <c r="D363" s="1583"/>
      <c r="E363" s="1581"/>
      <c r="F363" s="1436"/>
      <c r="G363" s="1547">
        <f t="shared" si="212"/>
        <v>0</v>
      </c>
      <c r="H363" s="1484"/>
      <c r="I363" s="1547">
        <f t="shared" si="213"/>
        <v>0</v>
      </c>
      <c r="J363" s="1485"/>
      <c r="K363" s="1485"/>
      <c r="L363" s="1436"/>
      <c r="M363" s="1439"/>
      <c r="N363" s="1439"/>
      <c r="O363" s="1485"/>
      <c r="P363" s="1486"/>
      <c r="Q363" s="1486"/>
      <c r="R363" s="1487"/>
      <c r="S363" s="1444"/>
      <c r="T363" s="1444"/>
      <c r="U363" s="1444"/>
      <c r="V363" s="1488"/>
      <c r="W363" s="1488"/>
      <c r="X363" s="1488"/>
      <c r="Y363" s="1488"/>
      <c r="Z363" s="1488"/>
      <c r="AA363" s="1488"/>
      <c r="AB363" s="1488"/>
      <c r="AC363" s="1488"/>
      <c r="AD363" s="1488"/>
      <c r="AE363" s="1488"/>
      <c r="AF363" s="1488"/>
      <c r="AG363" s="1488"/>
      <c r="AH363" s="1451">
        <f t="shared" ref="AH363:AH426" si="218">SUM(V363:AG363)</f>
        <v>0</v>
      </c>
      <c r="AI363" s="1488"/>
      <c r="AJ363" s="1488"/>
      <c r="AK363" s="1488"/>
      <c r="AL363" s="1488"/>
      <c r="AM363" s="1488"/>
      <c r="AN363" s="1488"/>
      <c r="AO363" s="1488"/>
      <c r="AP363" s="1488"/>
      <c r="AQ363" s="1488"/>
      <c r="AR363" s="1488"/>
      <c r="AS363" s="1488"/>
      <c r="AT363" s="1542"/>
      <c r="AU363" s="1599">
        <f t="shared" ref="AU363:AU426" si="219">SUMPRODUCT($AC$40:$AN$40,AI363:AT363)</f>
        <v>0</v>
      </c>
      <c r="AV363" s="1544">
        <f t="shared" si="214"/>
        <v>0</v>
      </c>
      <c r="AW363" s="1452">
        <f t="shared" ref="AW363:AW426" si="220">AI363-V363</f>
        <v>0</v>
      </c>
      <c r="AX363" s="1452">
        <f t="shared" ref="AX363:AX426" si="221">AJ363-W363</f>
        <v>0</v>
      </c>
      <c r="AY363" s="1452">
        <f t="shared" ref="AY363:AY426" si="222">AK363-X363</f>
        <v>0</v>
      </c>
      <c r="AZ363" s="1452">
        <f t="shared" ref="AZ363:AZ426" si="223">AL363-Y363</f>
        <v>0</v>
      </c>
      <c r="BA363" s="1452">
        <f t="shared" ref="BA363:BA426" si="224">AM363-Z363</f>
        <v>0</v>
      </c>
      <c r="BB363" s="1452">
        <f t="shared" ref="BB363:BB426" si="225">AN363-AA363</f>
        <v>0</v>
      </c>
      <c r="BC363" s="1452">
        <f t="shared" ref="BC363:BC426" si="226">AO363-AB363</f>
        <v>0</v>
      </c>
      <c r="BD363" s="1452">
        <f t="shared" ref="BD363:BD426" si="227">AP363-AC363</f>
        <v>0</v>
      </c>
      <c r="BE363" s="1452">
        <f t="shared" ref="BE363:BE426" si="228">AQ363-AD363</f>
        <v>0</v>
      </c>
      <c r="BF363" s="1452">
        <f t="shared" ref="BF363:BF426" si="229">AR363-AE363</f>
        <v>0</v>
      </c>
      <c r="BG363" s="1452">
        <f t="shared" ref="BG363:BG426" si="230">AS363-AF363</f>
        <v>0</v>
      </c>
      <c r="BH363" s="1452">
        <f t="shared" ref="BH363:BH426" si="231">AT363-AG363</f>
        <v>0</v>
      </c>
      <c r="BI363" s="1452">
        <f t="shared" si="215"/>
        <v>0</v>
      </c>
      <c r="BJ363" s="1452" t="str">
        <f t="shared" ref="BJ363:BJ426" si="232">IF(OR(G363&gt;0,I363&gt;0),IF(AND(B363&lt;&gt;"",C363&lt;&gt;"",D363&lt;&gt;"",E363&lt;&gt;"",F363&lt;&gt;"",L363&lt;&gt;"",M363&lt;&gt;"",N363&lt;&gt;"",O363&lt;&gt;"",P363&lt;&gt;"",Q363&lt;&gt;"",R363&lt;&gt;""),"","ERROR"),"")</f>
        <v/>
      </c>
      <c r="BK363" s="1452" t="str">
        <f t="shared" ref="BK363:BK426" si="233">IF(COUNTIF($D$43:$D$1496,D363)&gt;1,"ERROR","")</f>
        <v/>
      </c>
      <c r="BL363" s="1452" t="str">
        <f t="shared" ref="BL363:BL426" si="234">IF(AND(OR(R363=$CQ$1,R363=$CQ$3),S363=""),"ERROR","")</f>
        <v/>
      </c>
      <c r="BM363" s="1452" t="str">
        <f t="shared" ref="BM363:BM426" si="235">IF(AND(OR(R363=$CQ$2),S363&lt;&gt;""),"ERROR","")</f>
        <v/>
      </c>
      <c r="BN363" s="1452" t="str">
        <f t="shared" ref="BN363:BN426" ca="1" si="236">IF(AND(O363=$CA$2,N363&lt;TODAY()),"ERROR","")</f>
        <v/>
      </c>
      <c r="BO363" s="1452" t="str">
        <f t="shared" si="216"/>
        <v/>
      </c>
      <c r="BP363" s="1452" t="str">
        <f t="shared" ref="BP363:BP426" si="237">IF(AND(F363=$BZ$1,G363&gt;H363),"ERROR","")</f>
        <v/>
      </c>
      <c r="BQ363" s="1452" t="str">
        <f t="shared" ref="BQ363:BQ426" si="238">IF(AND(F363=$BZ$1,I363&gt;J363),"ERROR","")</f>
        <v/>
      </c>
      <c r="BR363" s="1452" t="str">
        <f t="shared" ref="BR363:BR426" si="239">IF(AND(F363=$BZ$2,SUM(H363,J363)&gt;0),"ERROR","")</f>
        <v/>
      </c>
      <c r="BS363" s="1452" t="str">
        <f t="shared" ref="BS363:BS426" si="240">IF(AND(I363=0,J363&gt;0),"ERROR","")</f>
        <v/>
      </c>
      <c r="BT363" s="1452" t="str">
        <f t="shared" ref="BT363:BT426" si="241">IF(AND(O363=$CA$1,K363&lt;&gt;0),"ERROR","")</f>
        <v/>
      </c>
      <c r="BU363" s="1452" t="str">
        <f t="shared" ref="BU363:BU426" si="242">IF(AND(O363=$CA$2,I363-AU363-K363&lt;0),"ERROR","")</f>
        <v/>
      </c>
      <c r="BV363" s="1452" t="str">
        <f t="shared" ref="BV363:BV426" si="243">IF(S363="","",VLOOKUP(S363,$CS$1:$CT$14,2,0))</f>
        <v/>
      </c>
      <c r="BW363" s="1558">
        <f t="shared" ca="1" si="217"/>
        <v>0</v>
      </c>
    </row>
    <row r="364" spans="1:75" s="9" customFormat="1" ht="12.5">
      <c r="A364" s="1483" t="str">
        <f t="shared" ref="A364:A427" si="244">$A$1</f>
        <v>Public Health Wales Trust</v>
      </c>
      <c r="B364" s="1583"/>
      <c r="C364" s="1583"/>
      <c r="D364" s="1583"/>
      <c r="E364" s="1581"/>
      <c r="F364" s="1436"/>
      <c r="G364" s="1547">
        <f t="shared" ref="G364:G427" si="245">AH364</f>
        <v>0</v>
      </c>
      <c r="H364" s="1484"/>
      <c r="I364" s="1547">
        <f t="shared" ref="I364:I427" si="246">AV364</f>
        <v>0</v>
      </c>
      <c r="J364" s="1485"/>
      <c r="K364" s="1485"/>
      <c r="L364" s="1436"/>
      <c r="M364" s="1439"/>
      <c r="N364" s="1439"/>
      <c r="O364" s="1485"/>
      <c r="P364" s="1486"/>
      <c r="Q364" s="1486"/>
      <c r="R364" s="1487"/>
      <c r="S364" s="1444"/>
      <c r="T364" s="1444"/>
      <c r="U364" s="1444"/>
      <c r="V364" s="1488"/>
      <c r="W364" s="1488"/>
      <c r="X364" s="1488"/>
      <c r="Y364" s="1488"/>
      <c r="Z364" s="1488"/>
      <c r="AA364" s="1488"/>
      <c r="AB364" s="1488"/>
      <c r="AC364" s="1488"/>
      <c r="AD364" s="1488"/>
      <c r="AE364" s="1488"/>
      <c r="AF364" s="1488"/>
      <c r="AG364" s="1488"/>
      <c r="AH364" s="1451">
        <f t="shared" si="218"/>
        <v>0</v>
      </c>
      <c r="AI364" s="1488"/>
      <c r="AJ364" s="1488"/>
      <c r="AK364" s="1488"/>
      <c r="AL364" s="1488"/>
      <c r="AM364" s="1488"/>
      <c r="AN364" s="1488"/>
      <c r="AO364" s="1488"/>
      <c r="AP364" s="1488"/>
      <c r="AQ364" s="1488"/>
      <c r="AR364" s="1488"/>
      <c r="AS364" s="1488"/>
      <c r="AT364" s="1542"/>
      <c r="AU364" s="1599">
        <f t="shared" si="219"/>
        <v>0</v>
      </c>
      <c r="AV364" s="1544">
        <f t="shared" ref="AV364:AV427" si="247">SUM(AI364:AT364)</f>
        <v>0</v>
      </c>
      <c r="AW364" s="1452">
        <f t="shared" si="220"/>
        <v>0</v>
      </c>
      <c r="AX364" s="1452">
        <f t="shared" si="221"/>
        <v>0</v>
      </c>
      <c r="AY364" s="1452">
        <f t="shared" si="222"/>
        <v>0</v>
      </c>
      <c r="AZ364" s="1452">
        <f t="shared" si="223"/>
        <v>0</v>
      </c>
      <c r="BA364" s="1452">
        <f t="shared" si="224"/>
        <v>0</v>
      </c>
      <c r="BB364" s="1452">
        <f t="shared" si="225"/>
        <v>0</v>
      </c>
      <c r="BC364" s="1452">
        <f t="shared" si="226"/>
        <v>0</v>
      </c>
      <c r="BD364" s="1452">
        <f t="shared" si="227"/>
        <v>0</v>
      </c>
      <c r="BE364" s="1452">
        <f t="shared" si="228"/>
        <v>0</v>
      </c>
      <c r="BF364" s="1452">
        <f t="shared" si="229"/>
        <v>0</v>
      </c>
      <c r="BG364" s="1452">
        <f t="shared" si="230"/>
        <v>0</v>
      </c>
      <c r="BH364" s="1452">
        <f t="shared" si="231"/>
        <v>0</v>
      </c>
      <c r="BI364" s="1452">
        <f t="shared" ref="BI364:BI427" si="248">SUM(AW364:BH364)</f>
        <v>0</v>
      </c>
      <c r="BJ364" s="1452" t="str">
        <f t="shared" si="232"/>
        <v/>
      </c>
      <c r="BK364" s="1452" t="str">
        <f t="shared" si="233"/>
        <v/>
      </c>
      <c r="BL364" s="1452" t="str">
        <f t="shared" si="234"/>
        <v/>
      </c>
      <c r="BM364" s="1452" t="str">
        <f t="shared" si="235"/>
        <v/>
      </c>
      <c r="BN364" s="1452" t="str">
        <f t="shared" ca="1" si="236"/>
        <v/>
      </c>
      <c r="BO364" s="1452" t="str">
        <f t="shared" ref="BO364:BO427" si="249">IF(AND(AV364&gt;0,AH364=0),"ERROR","")</f>
        <v/>
      </c>
      <c r="BP364" s="1452" t="str">
        <f t="shared" si="237"/>
        <v/>
      </c>
      <c r="BQ364" s="1452" t="str">
        <f t="shared" si="238"/>
        <v/>
      </c>
      <c r="BR364" s="1452" t="str">
        <f t="shared" si="239"/>
        <v/>
      </c>
      <c r="BS364" s="1452" t="str">
        <f t="shared" si="240"/>
        <v/>
      </c>
      <c r="BT364" s="1452" t="str">
        <f t="shared" si="241"/>
        <v/>
      </c>
      <c r="BU364" s="1452" t="str">
        <f t="shared" si="242"/>
        <v/>
      </c>
      <c r="BV364" s="1452" t="str">
        <f t="shared" si="243"/>
        <v/>
      </c>
      <c r="BW364" s="1558">
        <f t="shared" ref="BW364:BW427" ca="1" si="250">COUNTIF(BJ364:BU364,"ERROR")</f>
        <v>0</v>
      </c>
    </row>
    <row r="365" spans="1:75" s="9" customFormat="1" ht="12.5">
      <c r="A365" s="1483" t="str">
        <f t="shared" si="244"/>
        <v>Public Health Wales Trust</v>
      </c>
      <c r="B365" s="1583"/>
      <c r="C365" s="1583"/>
      <c r="D365" s="1583"/>
      <c r="E365" s="1581"/>
      <c r="F365" s="1436"/>
      <c r="G365" s="1547">
        <f t="shared" si="245"/>
        <v>0</v>
      </c>
      <c r="H365" s="1484"/>
      <c r="I365" s="1547">
        <f t="shared" si="246"/>
        <v>0</v>
      </c>
      <c r="J365" s="1485"/>
      <c r="K365" s="1485"/>
      <c r="L365" s="1436"/>
      <c r="M365" s="1439"/>
      <c r="N365" s="1439"/>
      <c r="O365" s="1485"/>
      <c r="P365" s="1486"/>
      <c r="Q365" s="1486"/>
      <c r="R365" s="1487"/>
      <c r="S365" s="1444"/>
      <c r="T365" s="1444"/>
      <c r="U365" s="1444"/>
      <c r="V365" s="1488"/>
      <c r="W365" s="1488"/>
      <c r="X365" s="1488"/>
      <c r="Y365" s="1488"/>
      <c r="Z365" s="1488"/>
      <c r="AA365" s="1488"/>
      <c r="AB365" s="1488"/>
      <c r="AC365" s="1488"/>
      <c r="AD365" s="1488"/>
      <c r="AE365" s="1488"/>
      <c r="AF365" s="1488"/>
      <c r="AG365" s="1488"/>
      <c r="AH365" s="1451">
        <f t="shared" si="218"/>
        <v>0</v>
      </c>
      <c r="AI365" s="1488"/>
      <c r="AJ365" s="1488"/>
      <c r="AK365" s="1488"/>
      <c r="AL365" s="1488"/>
      <c r="AM365" s="1488"/>
      <c r="AN365" s="1488"/>
      <c r="AO365" s="1488"/>
      <c r="AP365" s="1488"/>
      <c r="AQ365" s="1488"/>
      <c r="AR365" s="1488"/>
      <c r="AS365" s="1488"/>
      <c r="AT365" s="1542"/>
      <c r="AU365" s="1599">
        <f t="shared" si="219"/>
        <v>0</v>
      </c>
      <c r="AV365" s="1544">
        <f t="shared" si="247"/>
        <v>0</v>
      </c>
      <c r="AW365" s="1452">
        <f t="shared" si="220"/>
        <v>0</v>
      </c>
      <c r="AX365" s="1452">
        <f t="shared" si="221"/>
        <v>0</v>
      </c>
      <c r="AY365" s="1452">
        <f t="shared" si="222"/>
        <v>0</v>
      </c>
      <c r="AZ365" s="1452">
        <f t="shared" si="223"/>
        <v>0</v>
      </c>
      <c r="BA365" s="1452">
        <f t="shared" si="224"/>
        <v>0</v>
      </c>
      <c r="BB365" s="1452">
        <f t="shared" si="225"/>
        <v>0</v>
      </c>
      <c r="BC365" s="1452">
        <f t="shared" si="226"/>
        <v>0</v>
      </c>
      <c r="BD365" s="1452">
        <f t="shared" si="227"/>
        <v>0</v>
      </c>
      <c r="BE365" s="1452">
        <f t="shared" si="228"/>
        <v>0</v>
      </c>
      <c r="BF365" s="1452">
        <f t="shared" si="229"/>
        <v>0</v>
      </c>
      <c r="BG365" s="1452">
        <f t="shared" si="230"/>
        <v>0</v>
      </c>
      <c r="BH365" s="1452">
        <f t="shared" si="231"/>
        <v>0</v>
      </c>
      <c r="BI365" s="1452">
        <f t="shared" si="248"/>
        <v>0</v>
      </c>
      <c r="BJ365" s="1452" t="str">
        <f t="shared" si="232"/>
        <v/>
      </c>
      <c r="BK365" s="1452" t="str">
        <f t="shared" si="233"/>
        <v/>
      </c>
      <c r="BL365" s="1452" t="str">
        <f t="shared" si="234"/>
        <v/>
      </c>
      <c r="BM365" s="1452" t="str">
        <f t="shared" si="235"/>
        <v/>
      </c>
      <c r="BN365" s="1452" t="str">
        <f t="shared" ca="1" si="236"/>
        <v/>
      </c>
      <c r="BO365" s="1452" t="str">
        <f t="shared" si="249"/>
        <v/>
      </c>
      <c r="BP365" s="1452" t="str">
        <f t="shared" si="237"/>
        <v/>
      </c>
      <c r="BQ365" s="1452" t="str">
        <f t="shared" si="238"/>
        <v/>
      </c>
      <c r="BR365" s="1452" t="str">
        <f t="shared" si="239"/>
        <v/>
      </c>
      <c r="BS365" s="1452" t="str">
        <f t="shared" si="240"/>
        <v/>
      </c>
      <c r="BT365" s="1452" t="str">
        <f t="shared" si="241"/>
        <v/>
      </c>
      <c r="BU365" s="1452" t="str">
        <f t="shared" si="242"/>
        <v/>
      </c>
      <c r="BV365" s="1452" t="str">
        <f t="shared" si="243"/>
        <v/>
      </c>
      <c r="BW365" s="1558">
        <f t="shared" ca="1" si="250"/>
        <v>0</v>
      </c>
    </row>
    <row r="366" spans="1:75" s="9" customFormat="1" ht="12.5">
      <c r="A366" s="1483" t="str">
        <f t="shared" si="244"/>
        <v>Public Health Wales Trust</v>
      </c>
      <c r="B366" s="1583"/>
      <c r="C366" s="1583"/>
      <c r="D366" s="1583"/>
      <c r="E366" s="1581"/>
      <c r="F366" s="1436"/>
      <c r="G366" s="1547">
        <f t="shared" si="245"/>
        <v>0</v>
      </c>
      <c r="H366" s="1484"/>
      <c r="I366" s="1547">
        <f t="shared" si="246"/>
        <v>0</v>
      </c>
      <c r="J366" s="1485"/>
      <c r="K366" s="1485"/>
      <c r="L366" s="1436"/>
      <c r="M366" s="1439"/>
      <c r="N366" s="1439"/>
      <c r="O366" s="1485"/>
      <c r="P366" s="1486"/>
      <c r="Q366" s="1486"/>
      <c r="R366" s="1487"/>
      <c r="S366" s="1444"/>
      <c r="T366" s="1444"/>
      <c r="U366" s="1444"/>
      <c r="V366" s="1488"/>
      <c r="W366" s="1488"/>
      <c r="X366" s="1488"/>
      <c r="Y366" s="1488"/>
      <c r="Z366" s="1488"/>
      <c r="AA366" s="1488"/>
      <c r="AB366" s="1488"/>
      <c r="AC366" s="1488"/>
      <c r="AD366" s="1488"/>
      <c r="AE366" s="1488"/>
      <c r="AF366" s="1488"/>
      <c r="AG366" s="1488"/>
      <c r="AH366" s="1451">
        <f t="shared" si="218"/>
        <v>0</v>
      </c>
      <c r="AI366" s="1488"/>
      <c r="AJ366" s="1488"/>
      <c r="AK366" s="1488"/>
      <c r="AL366" s="1488"/>
      <c r="AM366" s="1488"/>
      <c r="AN366" s="1488"/>
      <c r="AO366" s="1488"/>
      <c r="AP366" s="1488"/>
      <c r="AQ366" s="1488"/>
      <c r="AR366" s="1488"/>
      <c r="AS366" s="1488"/>
      <c r="AT366" s="1542"/>
      <c r="AU366" s="1599">
        <f t="shared" si="219"/>
        <v>0</v>
      </c>
      <c r="AV366" s="1544">
        <f t="shared" si="247"/>
        <v>0</v>
      </c>
      <c r="AW366" s="1452">
        <f t="shared" si="220"/>
        <v>0</v>
      </c>
      <c r="AX366" s="1452">
        <f t="shared" si="221"/>
        <v>0</v>
      </c>
      <c r="AY366" s="1452">
        <f t="shared" si="222"/>
        <v>0</v>
      </c>
      <c r="AZ366" s="1452">
        <f t="shared" si="223"/>
        <v>0</v>
      </c>
      <c r="BA366" s="1452">
        <f t="shared" si="224"/>
        <v>0</v>
      </c>
      <c r="BB366" s="1452">
        <f t="shared" si="225"/>
        <v>0</v>
      </c>
      <c r="BC366" s="1452">
        <f t="shared" si="226"/>
        <v>0</v>
      </c>
      <c r="BD366" s="1452">
        <f t="shared" si="227"/>
        <v>0</v>
      </c>
      <c r="BE366" s="1452">
        <f t="shared" si="228"/>
        <v>0</v>
      </c>
      <c r="BF366" s="1452">
        <f t="shared" si="229"/>
        <v>0</v>
      </c>
      <c r="BG366" s="1452">
        <f t="shared" si="230"/>
        <v>0</v>
      </c>
      <c r="BH366" s="1452">
        <f t="shared" si="231"/>
        <v>0</v>
      </c>
      <c r="BI366" s="1452">
        <f t="shared" si="248"/>
        <v>0</v>
      </c>
      <c r="BJ366" s="1452" t="str">
        <f t="shared" si="232"/>
        <v/>
      </c>
      <c r="BK366" s="1452" t="str">
        <f t="shared" si="233"/>
        <v/>
      </c>
      <c r="BL366" s="1452" t="str">
        <f t="shared" si="234"/>
        <v/>
      </c>
      <c r="BM366" s="1452" t="str">
        <f t="shared" si="235"/>
        <v/>
      </c>
      <c r="BN366" s="1452" t="str">
        <f t="shared" ca="1" si="236"/>
        <v/>
      </c>
      <c r="BO366" s="1452" t="str">
        <f t="shared" si="249"/>
        <v/>
      </c>
      <c r="BP366" s="1452" t="str">
        <f t="shared" si="237"/>
        <v/>
      </c>
      <c r="BQ366" s="1452" t="str">
        <f t="shared" si="238"/>
        <v/>
      </c>
      <c r="BR366" s="1452" t="str">
        <f t="shared" si="239"/>
        <v/>
      </c>
      <c r="BS366" s="1452" t="str">
        <f t="shared" si="240"/>
        <v/>
      </c>
      <c r="BT366" s="1452" t="str">
        <f t="shared" si="241"/>
        <v/>
      </c>
      <c r="BU366" s="1452" t="str">
        <f t="shared" si="242"/>
        <v/>
      </c>
      <c r="BV366" s="1452" t="str">
        <f t="shared" si="243"/>
        <v/>
      </c>
      <c r="BW366" s="1558">
        <f t="shared" ca="1" si="250"/>
        <v>0</v>
      </c>
    </row>
    <row r="367" spans="1:75" s="9" customFormat="1" ht="12.5">
      <c r="A367" s="1483" t="str">
        <f t="shared" si="244"/>
        <v>Public Health Wales Trust</v>
      </c>
      <c r="B367" s="1583"/>
      <c r="C367" s="1583"/>
      <c r="D367" s="1583"/>
      <c r="E367" s="1581"/>
      <c r="F367" s="1436"/>
      <c r="G367" s="1547">
        <f t="shared" si="245"/>
        <v>0</v>
      </c>
      <c r="H367" s="1484"/>
      <c r="I367" s="1547">
        <f t="shared" si="246"/>
        <v>0</v>
      </c>
      <c r="J367" s="1485"/>
      <c r="K367" s="1485"/>
      <c r="L367" s="1436"/>
      <c r="M367" s="1439"/>
      <c r="N367" s="1439"/>
      <c r="O367" s="1485"/>
      <c r="P367" s="1486"/>
      <c r="Q367" s="1486"/>
      <c r="R367" s="1487"/>
      <c r="S367" s="1444"/>
      <c r="T367" s="1444"/>
      <c r="U367" s="1444"/>
      <c r="V367" s="1488"/>
      <c r="W367" s="1488"/>
      <c r="X367" s="1488"/>
      <c r="Y367" s="1488"/>
      <c r="Z367" s="1488"/>
      <c r="AA367" s="1488"/>
      <c r="AB367" s="1488"/>
      <c r="AC367" s="1488"/>
      <c r="AD367" s="1488"/>
      <c r="AE367" s="1488"/>
      <c r="AF367" s="1488"/>
      <c r="AG367" s="1488"/>
      <c r="AH367" s="1451">
        <f t="shared" si="218"/>
        <v>0</v>
      </c>
      <c r="AI367" s="1488"/>
      <c r="AJ367" s="1488"/>
      <c r="AK367" s="1488"/>
      <c r="AL367" s="1488"/>
      <c r="AM367" s="1488"/>
      <c r="AN367" s="1488"/>
      <c r="AO367" s="1488"/>
      <c r="AP367" s="1488"/>
      <c r="AQ367" s="1488"/>
      <c r="AR367" s="1488"/>
      <c r="AS367" s="1488"/>
      <c r="AT367" s="1542"/>
      <c r="AU367" s="1599">
        <f t="shared" si="219"/>
        <v>0</v>
      </c>
      <c r="AV367" s="1544">
        <f t="shared" si="247"/>
        <v>0</v>
      </c>
      <c r="AW367" s="1452">
        <f t="shared" si="220"/>
        <v>0</v>
      </c>
      <c r="AX367" s="1452">
        <f t="shared" si="221"/>
        <v>0</v>
      </c>
      <c r="AY367" s="1452">
        <f t="shared" si="222"/>
        <v>0</v>
      </c>
      <c r="AZ367" s="1452">
        <f t="shared" si="223"/>
        <v>0</v>
      </c>
      <c r="BA367" s="1452">
        <f t="shared" si="224"/>
        <v>0</v>
      </c>
      <c r="BB367" s="1452">
        <f t="shared" si="225"/>
        <v>0</v>
      </c>
      <c r="BC367" s="1452">
        <f t="shared" si="226"/>
        <v>0</v>
      </c>
      <c r="BD367" s="1452">
        <f t="shared" si="227"/>
        <v>0</v>
      </c>
      <c r="BE367" s="1452">
        <f t="shared" si="228"/>
        <v>0</v>
      </c>
      <c r="BF367" s="1452">
        <f t="shared" si="229"/>
        <v>0</v>
      </c>
      <c r="BG367" s="1452">
        <f t="shared" si="230"/>
        <v>0</v>
      </c>
      <c r="BH367" s="1452">
        <f t="shared" si="231"/>
        <v>0</v>
      </c>
      <c r="BI367" s="1452">
        <f t="shared" si="248"/>
        <v>0</v>
      </c>
      <c r="BJ367" s="1452" t="str">
        <f t="shared" si="232"/>
        <v/>
      </c>
      <c r="BK367" s="1452" t="str">
        <f t="shared" si="233"/>
        <v/>
      </c>
      <c r="BL367" s="1452" t="str">
        <f t="shared" si="234"/>
        <v/>
      </c>
      <c r="BM367" s="1452" t="str">
        <f t="shared" si="235"/>
        <v/>
      </c>
      <c r="BN367" s="1452" t="str">
        <f t="shared" ca="1" si="236"/>
        <v/>
      </c>
      <c r="BO367" s="1452" t="str">
        <f t="shared" si="249"/>
        <v/>
      </c>
      <c r="BP367" s="1452" t="str">
        <f t="shared" si="237"/>
        <v/>
      </c>
      <c r="BQ367" s="1452" t="str">
        <f t="shared" si="238"/>
        <v/>
      </c>
      <c r="BR367" s="1452" t="str">
        <f t="shared" si="239"/>
        <v/>
      </c>
      <c r="BS367" s="1452" t="str">
        <f t="shared" si="240"/>
        <v/>
      </c>
      <c r="BT367" s="1452" t="str">
        <f t="shared" si="241"/>
        <v/>
      </c>
      <c r="BU367" s="1452" t="str">
        <f t="shared" si="242"/>
        <v/>
      </c>
      <c r="BV367" s="1452" t="str">
        <f t="shared" si="243"/>
        <v/>
      </c>
      <c r="BW367" s="1558">
        <f t="shared" ca="1" si="250"/>
        <v>0</v>
      </c>
    </row>
    <row r="368" spans="1:75" s="9" customFormat="1" ht="12.5">
      <c r="A368" s="1483" t="str">
        <f t="shared" si="244"/>
        <v>Public Health Wales Trust</v>
      </c>
      <c r="B368" s="1583"/>
      <c r="C368" s="1583"/>
      <c r="D368" s="1583"/>
      <c r="E368" s="1581"/>
      <c r="F368" s="1436"/>
      <c r="G368" s="1547">
        <f t="shared" si="245"/>
        <v>0</v>
      </c>
      <c r="H368" s="1484"/>
      <c r="I368" s="1547">
        <f t="shared" si="246"/>
        <v>0</v>
      </c>
      <c r="J368" s="1485"/>
      <c r="K368" s="1485"/>
      <c r="L368" s="1436"/>
      <c r="M368" s="1439"/>
      <c r="N368" s="1439"/>
      <c r="O368" s="1485"/>
      <c r="P368" s="1486"/>
      <c r="Q368" s="1486"/>
      <c r="R368" s="1487"/>
      <c r="S368" s="1444"/>
      <c r="T368" s="1444"/>
      <c r="U368" s="1444"/>
      <c r="V368" s="1488"/>
      <c r="W368" s="1488"/>
      <c r="X368" s="1488"/>
      <c r="Y368" s="1488"/>
      <c r="Z368" s="1488"/>
      <c r="AA368" s="1488"/>
      <c r="AB368" s="1488"/>
      <c r="AC368" s="1488"/>
      <c r="AD368" s="1488"/>
      <c r="AE368" s="1488"/>
      <c r="AF368" s="1488"/>
      <c r="AG368" s="1488"/>
      <c r="AH368" s="1451">
        <f t="shared" si="218"/>
        <v>0</v>
      </c>
      <c r="AI368" s="1488"/>
      <c r="AJ368" s="1488"/>
      <c r="AK368" s="1488"/>
      <c r="AL368" s="1488"/>
      <c r="AM368" s="1488"/>
      <c r="AN368" s="1488"/>
      <c r="AO368" s="1488"/>
      <c r="AP368" s="1488"/>
      <c r="AQ368" s="1488"/>
      <c r="AR368" s="1488"/>
      <c r="AS368" s="1488"/>
      <c r="AT368" s="1542"/>
      <c r="AU368" s="1599">
        <f t="shared" si="219"/>
        <v>0</v>
      </c>
      <c r="AV368" s="1544">
        <f t="shared" si="247"/>
        <v>0</v>
      </c>
      <c r="AW368" s="1452">
        <f t="shared" si="220"/>
        <v>0</v>
      </c>
      <c r="AX368" s="1452">
        <f t="shared" si="221"/>
        <v>0</v>
      </c>
      <c r="AY368" s="1452">
        <f t="shared" si="222"/>
        <v>0</v>
      </c>
      <c r="AZ368" s="1452">
        <f t="shared" si="223"/>
        <v>0</v>
      </c>
      <c r="BA368" s="1452">
        <f t="shared" si="224"/>
        <v>0</v>
      </c>
      <c r="BB368" s="1452">
        <f t="shared" si="225"/>
        <v>0</v>
      </c>
      <c r="BC368" s="1452">
        <f t="shared" si="226"/>
        <v>0</v>
      </c>
      <c r="BD368" s="1452">
        <f t="shared" si="227"/>
        <v>0</v>
      </c>
      <c r="BE368" s="1452">
        <f t="shared" si="228"/>
        <v>0</v>
      </c>
      <c r="BF368" s="1452">
        <f t="shared" si="229"/>
        <v>0</v>
      </c>
      <c r="BG368" s="1452">
        <f t="shared" si="230"/>
        <v>0</v>
      </c>
      <c r="BH368" s="1452">
        <f t="shared" si="231"/>
        <v>0</v>
      </c>
      <c r="BI368" s="1452">
        <f t="shared" si="248"/>
        <v>0</v>
      </c>
      <c r="BJ368" s="1452" t="str">
        <f t="shared" si="232"/>
        <v/>
      </c>
      <c r="BK368" s="1452" t="str">
        <f t="shared" si="233"/>
        <v/>
      </c>
      <c r="BL368" s="1452" t="str">
        <f t="shared" si="234"/>
        <v/>
      </c>
      <c r="BM368" s="1452" t="str">
        <f t="shared" si="235"/>
        <v/>
      </c>
      <c r="BN368" s="1452" t="str">
        <f t="shared" ca="1" si="236"/>
        <v/>
      </c>
      <c r="BO368" s="1452" t="str">
        <f t="shared" si="249"/>
        <v/>
      </c>
      <c r="BP368" s="1452" t="str">
        <f t="shared" si="237"/>
        <v/>
      </c>
      <c r="BQ368" s="1452" t="str">
        <f t="shared" si="238"/>
        <v/>
      </c>
      <c r="BR368" s="1452" t="str">
        <f t="shared" si="239"/>
        <v/>
      </c>
      <c r="BS368" s="1452" t="str">
        <f t="shared" si="240"/>
        <v/>
      </c>
      <c r="BT368" s="1452" t="str">
        <f t="shared" si="241"/>
        <v/>
      </c>
      <c r="BU368" s="1452" t="str">
        <f t="shared" si="242"/>
        <v/>
      </c>
      <c r="BV368" s="1452" t="str">
        <f t="shared" si="243"/>
        <v/>
      </c>
      <c r="BW368" s="1558">
        <f t="shared" ca="1" si="250"/>
        <v>0</v>
      </c>
    </row>
    <row r="369" spans="1:75" s="9" customFormat="1" ht="12.5">
      <c r="A369" s="1483" t="str">
        <f t="shared" si="244"/>
        <v>Public Health Wales Trust</v>
      </c>
      <c r="B369" s="1583"/>
      <c r="C369" s="1583"/>
      <c r="D369" s="1583"/>
      <c r="E369" s="1581"/>
      <c r="F369" s="1436"/>
      <c r="G369" s="1547">
        <f t="shared" si="245"/>
        <v>0</v>
      </c>
      <c r="H369" s="1484"/>
      <c r="I369" s="1547">
        <f t="shared" si="246"/>
        <v>0</v>
      </c>
      <c r="J369" s="1485"/>
      <c r="K369" s="1485"/>
      <c r="L369" s="1436"/>
      <c r="M369" s="1439"/>
      <c r="N369" s="1439"/>
      <c r="O369" s="1485"/>
      <c r="P369" s="1486"/>
      <c r="Q369" s="1486"/>
      <c r="R369" s="1487"/>
      <c r="S369" s="1444"/>
      <c r="T369" s="1444"/>
      <c r="U369" s="1444"/>
      <c r="V369" s="1488"/>
      <c r="W369" s="1488"/>
      <c r="X369" s="1488"/>
      <c r="Y369" s="1488"/>
      <c r="Z369" s="1488"/>
      <c r="AA369" s="1488"/>
      <c r="AB369" s="1488"/>
      <c r="AC369" s="1488"/>
      <c r="AD369" s="1488"/>
      <c r="AE369" s="1488"/>
      <c r="AF369" s="1488"/>
      <c r="AG369" s="1488"/>
      <c r="AH369" s="1451">
        <f t="shared" si="218"/>
        <v>0</v>
      </c>
      <c r="AI369" s="1488"/>
      <c r="AJ369" s="1488"/>
      <c r="AK369" s="1488"/>
      <c r="AL369" s="1488"/>
      <c r="AM369" s="1488"/>
      <c r="AN369" s="1488"/>
      <c r="AO369" s="1488"/>
      <c r="AP369" s="1488"/>
      <c r="AQ369" s="1488"/>
      <c r="AR369" s="1488"/>
      <c r="AS369" s="1488"/>
      <c r="AT369" s="1542"/>
      <c r="AU369" s="1599">
        <f t="shared" si="219"/>
        <v>0</v>
      </c>
      <c r="AV369" s="1544">
        <f t="shared" si="247"/>
        <v>0</v>
      </c>
      <c r="AW369" s="1452">
        <f t="shared" si="220"/>
        <v>0</v>
      </c>
      <c r="AX369" s="1452">
        <f t="shared" si="221"/>
        <v>0</v>
      </c>
      <c r="AY369" s="1452">
        <f t="shared" si="222"/>
        <v>0</v>
      </c>
      <c r="AZ369" s="1452">
        <f t="shared" si="223"/>
        <v>0</v>
      </c>
      <c r="BA369" s="1452">
        <f t="shared" si="224"/>
        <v>0</v>
      </c>
      <c r="BB369" s="1452">
        <f t="shared" si="225"/>
        <v>0</v>
      </c>
      <c r="BC369" s="1452">
        <f t="shared" si="226"/>
        <v>0</v>
      </c>
      <c r="BD369" s="1452">
        <f t="shared" si="227"/>
        <v>0</v>
      </c>
      <c r="BE369" s="1452">
        <f t="shared" si="228"/>
        <v>0</v>
      </c>
      <c r="BF369" s="1452">
        <f t="shared" si="229"/>
        <v>0</v>
      </c>
      <c r="BG369" s="1452">
        <f t="shared" si="230"/>
        <v>0</v>
      </c>
      <c r="BH369" s="1452">
        <f t="shared" si="231"/>
        <v>0</v>
      </c>
      <c r="BI369" s="1452">
        <f t="shared" si="248"/>
        <v>0</v>
      </c>
      <c r="BJ369" s="1452" t="str">
        <f t="shared" si="232"/>
        <v/>
      </c>
      <c r="BK369" s="1452" t="str">
        <f t="shared" si="233"/>
        <v/>
      </c>
      <c r="BL369" s="1452" t="str">
        <f t="shared" si="234"/>
        <v/>
      </c>
      <c r="BM369" s="1452" t="str">
        <f t="shared" si="235"/>
        <v/>
      </c>
      <c r="BN369" s="1452" t="str">
        <f t="shared" ca="1" si="236"/>
        <v/>
      </c>
      <c r="BO369" s="1452" t="str">
        <f t="shared" si="249"/>
        <v/>
      </c>
      <c r="BP369" s="1452" t="str">
        <f t="shared" si="237"/>
        <v/>
      </c>
      <c r="BQ369" s="1452" t="str">
        <f t="shared" si="238"/>
        <v/>
      </c>
      <c r="BR369" s="1452" t="str">
        <f t="shared" si="239"/>
        <v/>
      </c>
      <c r="BS369" s="1452" t="str">
        <f t="shared" si="240"/>
        <v/>
      </c>
      <c r="BT369" s="1452" t="str">
        <f t="shared" si="241"/>
        <v/>
      </c>
      <c r="BU369" s="1452" t="str">
        <f t="shared" si="242"/>
        <v/>
      </c>
      <c r="BV369" s="1452" t="str">
        <f t="shared" si="243"/>
        <v/>
      </c>
      <c r="BW369" s="1558">
        <f t="shared" ca="1" si="250"/>
        <v>0</v>
      </c>
    </row>
    <row r="370" spans="1:75" s="9" customFormat="1" ht="12.5">
      <c r="A370" s="1483" t="str">
        <f t="shared" si="244"/>
        <v>Public Health Wales Trust</v>
      </c>
      <c r="B370" s="1583"/>
      <c r="C370" s="1583"/>
      <c r="D370" s="1583"/>
      <c r="E370" s="1581"/>
      <c r="F370" s="1436"/>
      <c r="G370" s="1547">
        <f t="shared" si="245"/>
        <v>0</v>
      </c>
      <c r="H370" s="1484"/>
      <c r="I370" s="1547">
        <f t="shared" si="246"/>
        <v>0</v>
      </c>
      <c r="J370" s="1485"/>
      <c r="K370" s="1485"/>
      <c r="L370" s="1436"/>
      <c r="M370" s="1439"/>
      <c r="N370" s="1439"/>
      <c r="O370" s="1485"/>
      <c r="P370" s="1486"/>
      <c r="Q370" s="1486"/>
      <c r="R370" s="1487"/>
      <c r="S370" s="1444"/>
      <c r="T370" s="1444"/>
      <c r="U370" s="1444"/>
      <c r="V370" s="1488"/>
      <c r="W370" s="1488"/>
      <c r="X370" s="1488"/>
      <c r="Y370" s="1488"/>
      <c r="Z370" s="1488"/>
      <c r="AA370" s="1488"/>
      <c r="AB370" s="1488"/>
      <c r="AC370" s="1488"/>
      <c r="AD370" s="1488"/>
      <c r="AE370" s="1488"/>
      <c r="AF370" s="1488"/>
      <c r="AG370" s="1488"/>
      <c r="AH370" s="1451">
        <f t="shared" si="218"/>
        <v>0</v>
      </c>
      <c r="AI370" s="1488"/>
      <c r="AJ370" s="1488"/>
      <c r="AK370" s="1488"/>
      <c r="AL370" s="1488"/>
      <c r="AM370" s="1488"/>
      <c r="AN370" s="1488"/>
      <c r="AO370" s="1488"/>
      <c r="AP370" s="1488"/>
      <c r="AQ370" s="1488"/>
      <c r="AR370" s="1488"/>
      <c r="AS370" s="1488"/>
      <c r="AT370" s="1542"/>
      <c r="AU370" s="1599">
        <f t="shared" si="219"/>
        <v>0</v>
      </c>
      <c r="AV370" s="1544">
        <f t="shared" si="247"/>
        <v>0</v>
      </c>
      <c r="AW370" s="1452">
        <f t="shared" si="220"/>
        <v>0</v>
      </c>
      <c r="AX370" s="1452">
        <f t="shared" si="221"/>
        <v>0</v>
      </c>
      <c r="AY370" s="1452">
        <f t="shared" si="222"/>
        <v>0</v>
      </c>
      <c r="AZ370" s="1452">
        <f t="shared" si="223"/>
        <v>0</v>
      </c>
      <c r="BA370" s="1452">
        <f t="shared" si="224"/>
        <v>0</v>
      </c>
      <c r="BB370" s="1452">
        <f t="shared" si="225"/>
        <v>0</v>
      </c>
      <c r="BC370" s="1452">
        <f t="shared" si="226"/>
        <v>0</v>
      </c>
      <c r="BD370" s="1452">
        <f t="shared" si="227"/>
        <v>0</v>
      </c>
      <c r="BE370" s="1452">
        <f t="shared" si="228"/>
        <v>0</v>
      </c>
      <c r="BF370" s="1452">
        <f t="shared" si="229"/>
        <v>0</v>
      </c>
      <c r="BG370" s="1452">
        <f t="shared" si="230"/>
        <v>0</v>
      </c>
      <c r="BH370" s="1452">
        <f t="shared" si="231"/>
        <v>0</v>
      </c>
      <c r="BI370" s="1452">
        <f t="shared" si="248"/>
        <v>0</v>
      </c>
      <c r="BJ370" s="1452" t="str">
        <f t="shared" si="232"/>
        <v/>
      </c>
      <c r="BK370" s="1452" t="str">
        <f t="shared" si="233"/>
        <v/>
      </c>
      <c r="BL370" s="1452" t="str">
        <f t="shared" si="234"/>
        <v/>
      </c>
      <c r="BM370" s="1452" t="str">
        <f t="shared" si="235"/>
        <v/>
      </c>
      <c r="BN370" s="1452" t="str">
        <f t="shared" ca="1" si="236"/>
        <v/>
      </c>
      <c r="BO370" s="1452" t="str">
        <f t="shared" si="249"/>
        <v/>
      </c>
      <c r="BP370" s="1452" t="str">
        <f t="shared" si="237"/>
        <v/>
      </c>
      <c r="BQ370" s="1452" t="str">
        <f t="shared" si="238"/>
        <v/>
      </c>
      <c r="BR370" s="1452" t="str">
        <f t="shared" si="239"/>
        <v/>
      </c>
      <c r="BS370" s="1452" t="str">
        <f t="shared" si="240"/>
        <v/>
      </c>
      <c r="BT370" s="1452" t="str">
        <f t="shared" si="241"/>
        <v/>
      </c>
      <c r="BU370" s="1452" t="str">
        <f t="shared" si="242"/>
        <v/>
      </c>
      <c r="BV370" s="1452" t="str">
        <f t="shared" si="243"/>
        <v/>
      </c>
      <c r="BW370" s="1558">
        <f t="shared" ca="1" si="250"/>
        <v>0</v>
      </c>
    </row>
    <row r="371" spans="1:75" s="9" customFormat="1" ht="12.5">
      <c r="A371" s="1483" t="str">
        <f t="shared" si="244"/>
        <v>Public Health Wales Trust</v>
      </c>
      <c r="B371" s="1583"/>
      <c r="C371" s="1583"/>
      <c r="D371" s="1583"/>
      <c r="E371" s="1581"/>
      <c r="F371" s="1436"/>
      <c r="G371" s="1547">
        <f t="shared" si="245"/>
        <v>0</v>
      </c>
      <c r="H371" s="1484"/>
      <c r="I371" s="1547">
        <f t="shared" si="246"/>
        <v>0</v>
      </c>
      <c r="J371" s="1485"/>
      <c r="K371" s="1485"/>
      <c r="L371" s="1436"/>
      <c r="M371" s="1439"/>
      <c r="N371" s="1439"/>
      <c r="O371" s="1485"/>
      <c r="P371" s="1486"/>
      <c r="Q371" s="1486"/>
      <c r="R371" s="1487"/>
      <c r="S371" s="1444"/>
      <c r="T371" s="1444"/>
      <c r="U371" s="1444"/>
      <c r="V371" s="1488"/>
      <c r="W371" s="1488"/>
      <c r="X371" s="1488"/>
      <c r="Y371" s="1488"/>
      <c r="Z371" s="1488"/>
      <c r="AA371" s="1488"/>
      <c r="AB371" s="1488"/>
      <c r="AC371" s="1488"/>
      <c r="AD371" s="1488"/>
      <c r="AE371" s="1488"/>
      <c r="AF371" s="1488"/>
      <c r="AG371" s="1488"/>
      <c r="AH371" s="1451">
        <f t="shared" si="218"/>
        <v>0</v>
      </c>
      <c r="AI371" s="1488"/>
      <c r="AJ371" s="1488"/>
      <c r="AK371" s="1488"/>
      <c r="AL371" s="1488"/>
      <c r="AM371" s="1488"/>
      <c r="AN371" s="1488"/>
      <c r="AO371" s="1488"/>
      <c r="AP371" s="1488"/>
      <c r="AQ371" s="1488"/>
      <c r="AR371" s="1488"/>
      <c r="AS371" s="1488"/>
      <c r="AT371" s="1542"/>
      <c r="AU371" s="1599">
        <f t="shared" si="219"/>
        <v>0</v>
      </c>
      <c r="AV371" s="1544">
        <f t="shared" si="247"/>
        <v>0</v>
      </c>
      <c r="AW371" s="1452">
        <f t="shared" si="220"/>
        <v>0</v>
      </c>
      <c r="AX371" s="1452">
        <f t="shared" si="221"/>
        <v>0</v>
      </c>
      <c r="AY371" s="1452">
        <f t="shared" si="222"/>
        <v>0</v>
      </c>
      <c r="AZ371" s="1452">
        <f t="shared" si="223"/>
        <v>0</v>
      </c>
      <c r="BA371" s="1452">
        <f t="shared" si="224"/>
        <v>0</v>
      </c>
      <c r="BB371" s="1452">
        <f t="shared" si="225"/>
        <v>0</v>
      </c>
      <c r="BC371" s="1452">
        <f t="shared" si="226"/>
        <v>0</v>
      </c>
      <c r="BD371" s="1452">
        <f t="shared" si="227"/>
        <v>0</v>
      </c>
      <c r="BE371" s="1452">
        <f t="shared" si="228"/>
        <v>0</v>
      </c>
      <c r="BF371" s="1452">
        <f t="shared" si="229"/>
        <v>0</v>
      </c>
      <c r="BG371" s="1452">
        <f t="shared" si="230"/>
        <v>0</v>
      </c>
      <c r="BH371" s="1452">
        <f t="shared" si="231"/>
        <v>0</v>
      </c>
      <c r="BI371" s="1452">
        <f t="shared" si="248"/>
        <v>0</v>
      </c>
      <c r="BJ371" s="1452" t="str">
        <f t="shared" si="232"/>
        <v/>
      </c>
      <c r="BK371" s="1452" t="str">
        <f t="shared" si="233"/>
        <v/>
      </c>
      <c r="BL371" s="1452" t="str">
        <f t="shared" si="234"/>
        <v/>
      </c>
      <c r="BM371" s="1452" t="str">
        <f t="shared" si="235"/>
        <v/>
      </c>
      <c r="BN371" s="1452" t="str">
        <f t="shared" ca="1" si="236"/>
        <v/>
      </c>
      <c r="BO371" s="1452" t="str">
        <f t="shared" si="249"/>
        <v/>
      </c>
      <c r="BP371" s="1452" t="str">
        <f t="shared" si="237"/>
        <v/>
      </c>
      <c r="BQ371" s="1452" t="str">
        <f t="shared" si="238"/>
        <v/>
      </c>
      <c r="BR371" s="1452" t="str">
        <f t="shared" si="239"/>
        <v/>
      </c>
      <c r="BS371" s="1452" t="str">
        <f t="shared" si="240"/>
        <v/>
      </c>
      <c r="BT371" s="1452" t="str">
        <f t="shared" si="241"/>
        <v/>
      </c>
      <c r="BU371" s="1452" t="str">
        <f t="shared" si="242"/>
        <v/>
      </c>
      <c r="BV371" s="1452" t="str">
        <f t="shared" si="243"/>
        <v/>
      </c>
      <c r="BW371" s="1558">
        <f t="shared" ca="1" si="250"/>
        <v>0</v>
      </c>
    </row>
    <row r="372" spans="1:75" s="9" customFormat="1" ht="12.5">
      <c r="A372" s="1483" t="str">
        <f t="shared" si="244"/>
        <v>Public Health Wales Trust</v>
      </c>
      <c r="B372" s="1583"/>
      <c r="C372" s="1583"/>
      <c r="D372" s="1583"/>
      <c r="E372" s="1581"/>
      <c r="F372" s="1436"/>
      <c r="G372" s="1547">
        <f t="shared" si="245"/>
        <v>0</v>
      </c>
      <c r="H372" s="1484"/>
      <c r="I372" s="1547">
        <f t="shared" si="246"/>
        <v>0</v>
      </c>
      <c r="J372" s="1485"/>
      <c r="K372" s="1485"/>
      <c r="L372" s="1436"/>
      <c r="M372" s="1439"/>
      <c r="N372" s="1439"/>
      <c r="O372" s="1485"/>
      <c r="P372" s="1486"/>
      <c r="Q372" s="1486"/>
      <c r="R372" s="1487"/>
      <c r="S372" s="1444"/>
      <c r="T372" s="1444"/>
      <c r="U372" s="1444"/>
      <c r="V372" s="1488"/>
      <c r="W372" s="1488"/>
      <c r="X372" s="1488"/>
      <c r="Y372" s="1488"/>
      <c r="Z372" s="1488"/>
      <c r="AA372" s="1488"/>
      <c r="AB372" s="1488"/>
      <c r="AC372" s="1488"/>
      <c r="AD372" s="1488"/>
      <c r="AE372" s="1488"/>
      <c r="AF372" s="1488"/>
      <c r="AG372" s="1488"/>
      <c r="AH372" s="1451">
        <f t="shared" si="218"/>
        <v>0</v>
      </c>
      <c r="AI372" s="1488"/>
      <c r="AJ372" s="1488"/>
      <c r="AK372" s="1488"/>
      <c r="AL372" s="1488"/>
      <c r="AM372" s="1488"/>
      <c r="AN372" s="1488"/>
      <c r="AO372" s="1488"/>
      <c r="AP372" s="1488"/>
      <c r="AQ372" s="1488"/>
      <c r="AR372" s="1488"/>
      <c r="AS372" s="1488"/>
      <c r="AT372" s="1542"/>
      <c r="AU372" s="1599">
        <f t="shared" si="219"/>
        <v>0</v>
      </c>
      <c r="AV372" s="1544">
        <f t="shared" si="247"/>
        <v>0</v>
      </c>
      <c r="AW372" s="1452">
        <f t="shared" si="220"/>
        <v>0</v>
      </c>
      <c r="AX372" s="1452">
        <f t="shared" si="221"/>
        <v>0</v>
      </c>
      <c r="AY372" s="1452">
        <f t="shared" si="222"/>
        <v>0</v>
      </c>
      <c r="AZ372" s="1452">
        <f t="shared" si="223"/>
        <v>0</v>
      </c>
      <c r="BA372" s="1452">
        <f t="shared" si="224"/>
        <v>0</v>
      </c>
      <c r="BB372" s="1452">
        <f t="shared" si="225"/>
        <v>0</v>
      </c>
      <c r="BC372" s="1452">
        <f t="shared" si="226"/>
        <v>0</v>
      </c>
      <c r="BD372" s="1452">
        <f t="shared" si="227"/>
        <v>0</v>
      </c>
      <c r="BE372" s="1452">
        <f t="shared" si="228"/>
        <v>0</v>
      </c>
      <c r="BF372" s="1452">
        <f t="shared" si="229"/>
        <v>0</v>
      </c>
      <c r="BG372" s="1452">
        <f t="shared" si="230"/>
        <v>0</v>
      </c>
      <c r="BH372" s="1452">
        <f t="shared" si="231"/>
        <v>0</v>
      </c>
      <c r="BI372" s="1452">
        <f t="shared" si="248"/>
        <v>0</v>
      </c>
      <c r="BJ372" s="1452" t="str">
        <f t="shared" si="232"/>
        <v/>
      </c>
      <c r="BK372" s="1452" t="str">
        <f t="shared" si="233"/>
        <v/>
      </c>
      <c r="BL372" s="1452" t="str">
        <f t="shared" si="234"/>
        <v/>
      </c>
      <c r="BM372" s="1452" t="str">
        <f t="shared" si="235"/>
        <v/>
      </c>
      <c r="BN372" s="1452" t="str">
        <f t="shared" ca="1" si="236"/>
        <v/>
      </c>
      <c r="BO372" s="1452" t="str">
        <f t="shared" si="249"/>
        <v/>
      </c>
      <c r="BP372" s="1452" t="str">
        <f t="shared" si="237"/>
        <v/>
      </c>
      <c r="BQ372" s="1452" t="str">
        <f t="shared" si="238"/>
        <v/>
      </c>
      <c r="BR372" s="1452" t="str">
        <f t="shared" si="239"/>
        <v/>
      </c>
      <c r="BS372" s="1452" t="str">
        <f t="shared" si="240"/>
        <v/>
      </c>
      <c r="BT372" s="1452" t="str">
        <f t="shared" si="241"/>
        <v/>
      </c>
      <c r="BU372" s="1452" t="str">
        <f t="shared" si="242"/>
        <v/>
      </c>
      <c r="BV372" s="1452" t="str">
        <f t="shared" si="243"/>
        <v/>
      </c>
      <c r="BW372" s="1558">
        <f t="shared" ca="1" si="250"/>
        <v>0</v>
      </c>
    </row>
    <row r="373" spans="1:75" s="9" customFormat="1" ht="12.5">
      <c r="A373" s="1483" t="str">
        <f t="shared" si="244"/>
        <v>Public Health Wales Trust</v>
      </c>
      <c r="B373" s="1583"/>
      <c r="C373" s="1583"/>
      <c r="D373" s="1583"/>
      <c r="E373" s="1581"/>
      <c r="F373" s="1436"/>
      <c r="G373" s="1547">
        <f t="shared" si="245"/>
        <v>0</v>
      </c>
      <c r="H373" s="1484"/>
      <c r="I373" s="1547">
        <f t="shared" si="246"/>
        <v>0</v>
      </c>
      <c r="J373" s="1485"/>
      <c r="K373" s="1485"/>
      <c r="L373" s="1436"/>
      <c r="M373" s="1439"/>
      <c r="N373" s="1439"/>
      <c r="O373" s="1485"/>
      <c r="P373" s="1486"/>
      <c r="Q373" s="1486"/>
      <c r="R373" s="1487"/>
      <c r="S373" s="1444"/>
      <c r="T373" s="1444"/>
      <c r="U373" s="1444"/>
      <c r="V373" s="1488"/>
      <c r="W373" s="1488"/>
      <c r="X373" s="1488"/>
      <c r="Y373" s="1488"/>
      <c r="Z373" s="1488"/>
      <c r="AA373" s="1488"/>
      <c r="AB373" s="1488"/>
      <c r="AC373" s="1488"/>
      <c r="AD373" s="1488"/>
      <c r="AE373" s="1488"/>
      <c r="AF373" s="1488"/>
      <c r="AG373" s="1488"/>
      <c r="AH373" s="1451">
        <f t="shared" si="218"/>
        <v>0</v>
      </c>
      <c r="AI373" s="1488"/>
      <c r="AJ373" s="1488"/>
      <c r="AK373" s="1488"/>
      <c r="AL373" s="1488"/>
      <c r="AM373" s="1488"/>
      <c r="AN373" s="1488"/>
      <c r="AO373" s="1488"/>
      <c r="AP373" s="1488"/>
      <c r="AQ373" s="1488"/>
      <c r="AR373" s="1488"/>
      <c r="AS373" s="1488"/>
      <c r="AT373" s="1542"/>
      <c r="AU373" s="1599">
        <f t="shared" si="219"/>
        <v>0</v>
      </c>
      <c r="AV373" s="1544">
        <f t="shared" si="247"/>
        <v>0</v>
      </c>
      <c r="AW373" s="1452">
        <f t="shared" si="220"/>
        <v>0</v>
      </c>
      <c r="AX373" s="1452">
        <f t="shared" si="221"/>
        <v>0</v>
      </c>
      <c r="AY373" s="1452">
        <f t="shared" si="222"/>
        <v>0</v>
      </c>
      <c r="AZ373" s="1452">
        <f t="shared" si="223"/>
        <v>0</v>
      </c>
      <c r="BA373" s="1452">
        <f t="shared" si="224"/>
        <v>0</v>
      </c>
      <c r="BB373" s="1452">
        <f t="shared" si="225"/>
        <v>0</v>
      </c>
      <c r="BC373" s="1452">
        <f t="shared" si="226"/>
        <v>0</v>
      </c>
      <c r="BD373" s="1452">
        <f t="shared" si="227"/>
        <v>0</v>
      </c>
      <c r="BE373" s="1452">
        <f t="shared" si="228"/>
        <v>0</v>
      </c>
      <c r="BF373" s="1452">
        <f t="shared" si="229"/>
        <v>0</v>
      </c>
      <c r="BG373" s="1452">
        <f t="shared" si="230"/>
        <v>0</v>
      </c>
      <c r="BH373" s="1452">
        <f t="shared" si="231"/>
        <v>0</v>
      </c>
      <c r="BI373" s="1452">
        <f t="shared" si="248"/>
        <v>0</v>
      </c>
      <c r="BJ373" s="1452" t="str">
        <f t="shared" si="232"/>
        <v/>
      </c>
      <c r="BK373" s="1452" t="str">
        <f t="shared" si="233"/>
        <v/>
      </c>
      <c r="BL373" s="1452" t="str">
        <f t="shared" si="234"/>
        <v/>
      </c>
      <c r="BM373" s="1452" t="str">
        <f t="shared" si="235"/>
        <v/>
      </c>
      <c r="BN373" s="1452" t="str">
        <f t="shared" ca="1" si="236"/>
        <v/>
      </c>
      <c r="BO373" s="1452" t="str">
        <f t="shared" si="249"/>
        <v/>
      </c>
      <c r="BP373" s="1452" t="str">
        <f t="shared" si="237"/>
        <v/>
      </c>
      <c r="BQ373" s="1452" t="str">
        <f t="shared" si="238"/>
        <v/>
      </c>
      <c r="BR373" s="1452" t="str">
        <f t="shared" si="239"/>
        <v/>
      </c>
      <c r="BS373" s="1452" t="str">
        <f t="shared" si="240"/>
        <v/>
      </c>
      <c r="BT373" s="1452" t="str">
        <f t="shared" si="241"/>
        <v/>
      </c>
      <c r="BU373" s="1452" t="str">
        <f t="shared" si="242"/>
        <v/>
      </c>
      <c r="BV373" s="1452" t="str">
        <f t="shared" si="243"/>
        <v/>
      </c>
      <c r="BW373" s="1558">
        <f t="shared" ca="1" si="250"/>
        <v>0</v>
      </c>
    </row>
    <row r="374" spans="1:75" s="9" customFormat="1" ht="12.5">
      <c r="A374" s="1483" t="str">
        <f t="shared" si="244"/>
        <v>Public Health Wales Trust</v>
      </c>
      <c r="B374" s="1583"/>
      <c r="C374" s="1583"/>
      <c r="D374" s="1583"/>
      <c r="E374" s="1581"/>
      <c r="F374" s="1436"/>
      <c r="G374" s="1547">
        <f t="shared" si="245"/>
        <v>0</v>
      </c>
      <c r="H374" s="1484"/>
      <c r="I374" s="1547">
        <f t="shared" si="246"/>
        <v>0</v>
      </c>
      <c r="J374" s="1485"/>
      <c r="K374" s="1485"/>
      <c r="L374" s="1436"/>
      <c r="M374" s="1439"/>
      <c r="N374" s="1439"/>
      <c r="O374" s="1485"/>
      <c r="P374" s="1486"/>
      <c r="Q374" s="1486"/>
      <c r="R374" s="1487"/>
      <c r="S374" s="1444"/>
      <c r="T374" s="1444"/>
      <c r="U374" s="1444"/>
      <c r="V374" s="1488"/>
      <c r="W374" s="1488"/>
      <c r="X374" s="1488"/>
      <c r="Y374" s="1488"/>
      <c r="Z374" s="1488"/>
      <c r="AA374" s="1488"/>
      <c r="AB374" s="1488"/>
      <c r="AC374" s="1488"/>
      <c r="AD374" s="1488"/>
      <c r="AE374" s="1488"/>
      <c r="AF374" s="1488"/>
      <c r="AG374" s="1488"/>
      <c r="AH374" s="1451">
        <f t="shared" si="218"/>
        <v>0</v>
      </c>
      <c r="AI374" s="1488"/>
      <c r="AJ374" s="1488"/>
      <c r="AK374" s="1488"/>
      <c r="AL374" s="1488"/>
      <c r="AM374" s="1488"/>
      <c r="AN374" s="1488"/>
      <c r="AO374" s="1488"/>
      <c r="AP374" s="1488"/>
      <c r="AQ374" s="1488"/>
      <c r="AR374" s="1488"/>
      <c r="AS374" s="1488"/>
      <c r="AT374" s="1542"/>
      <c r="AU374" s="1599">
        <f t="shared" si="219"/>
        <v>0</v>
      </c>
      <c r="AV374" s="1544">
        <f t="shared" si="247"/>
        <v>0</v>
      </c>
      <c r="AW374" s="1452">
        <f t="shared" si="220"/>
        <v>0</v>
      </c>
      <c r="AX374" s="1452">
        <f t="shared" si="221"/>
        <v>0</v>
      </c>
      <c r="AY374" s="1452">
        <f t="shared" si="222"/>
        <v>0</v>
      </c>
      <c r="AZ374" s="1452">
        <f t="shared" si="223"/>
        <v>0</v>
      </c>
      <c r="BA374" s="1452">
        <f t="shared" si="224"/>
        <v>0</v>
      </c>
      <c r="BB374" s="1452">
        <f t="shared" si="225"/>
        <v>0</v>
      </c>
      <c r="BC374" s="1452">
        <f t="shared" si="226"/>
        <v>0</v>
      </c>
      <c r="BD374" s="1452">
        <f t="shared" si="227"/>
        <v>0</v>
      </c>
      <c r="BE374" s="1452">
        <f t="shared" si="228"/>
        <v>0</v>
      </c>
      <c r="BF374" s="1452">
        <f t="shared" si="229"/>
        <v>0</v>
      </c>
      <c r="BG374" s="1452">
        <f t="shared" si="230"/>
        <v>0</v>
      </c>
      <c r="BH374" s="1452">
        <f t="shared" si="231"/>
        <v>0</v>
      </c>
      <c r="BI374" s="1452">
        <f t="shared" si="248"/>
        <v>0</v>
      </c>
      <c r="BJ374" s="1452" t="str">
        <f t="shared" si="232"/>
        <v/>
      </c>
      <c r="BK374" s="1452" t="str">
        <f t="shared" si="233"/>
        <v/>
      </c>
      <c r="BL374" s="1452" t="str">
        <f t="shared" si="234"/>
        <v/>
      </c>
      <c r="BM374" s="1452" t="str">
        <f t="shared" si="235"/>
        <v/>
      </c>
      <c r="BN374" s="1452" t="str">
        <f t="shared" ca="1" si="236"/>
        <v/>
      </c>
      <c r="BO374" s="1452" t="str">
        <f t="shared" si="249"/>
        <v/>
      </c>
      <c r="BP374" s="1452" t="str">
        <f t="shared" si="237"/>
        <v/>
      </c>
      <c r="BQ374" s="1452" t="str">
        <f t="shared" si="238"/>
        <v/>
      </c>
      <c r="BR374" s="1452" t="str">
        <f t="shared" si="239"/>
        <v/>
      </c>
      <c r="BS374" s="1452" t="str">
        <f t="shared" si="240"/>
        <v/>
      </c>
      <c r="BT374" s="1452" t="str">
        <f t="shared" si="241"/>
        <v/>
      </c>
      <c r="BU374" s="1452" t="str">
        <f t="shared" si="242"/>
        <v/>
      </c>
      <c r="BV374" s="1452" t="str">
        <f t="shared" si="243"/>
        <v/>
      </c>
      <c r="BW374" s="1558">
        <f t="shared" ca="1" si="250"/>
        <v>0</v>
      </c>
    </row>
    <row r="375" spans="1:75" s="9" customFormat="1" ht="12.5">
      <c r="A375" s="1483" t="str">
        <f t="shared" si="244"/>
        <v>Public Health Wales Trust</v>
      </c>
      <c r="B375" s="1583"/>
      <c r="C375" s="1583"/>
      <c r="D375" s="1583"/>
      <c r="E375" s="1581"/>
      <c r="F375" s="1436"/>
      <c r="G375" s="1547">
        <f t="shared" si="245"/>
        <v>0</v>
      </c>
      <c r="H375" s="1484"/>
      <c r="I375" s="1547">
        <f t="shared" si="246"/>
        <v>0</v>
      </c>
      <c r="J375" s="1485"/>
      <c r="K375" s="1485"/>
      <c r="L375" s="1436"/>
      <c r="M375" s="1439"/>
      <c r="N375" s="1439"/>
      <c r="O375" s="1485"/>
      <c r="P375" s="1486"/>
      <c r="Q375" s="1486"/>
      <c r="R375" s="1487"/>
      <c r="S375" s="1444"/>
      <c r="T375" s="1444"/>
      <c r="U375" s="1444"/>
      <c r="V375" s="1488"/>
      <c r="W375" s="1488"/>
      <c r="X375" s="1488"/>
      <c r="Y375" s="1488"/>
      <c r="Z375" s="1488"/>
      <c r="AA375" s="1488"/>
      <c r="AB375" s="1488"/>
      <c r="AC375" s="1488"/>
      <c r="AD375" s="1488"/>
      <c r="AE375" s="1488"/>
      <c r="AF375" s="1488"/>
      <c r="AG375" s="1488"/>
      <c r="AH375" s="1451">
        <f t="shared" si="218"/>
        <v>0</v>
      </c>
      <c r="AI375" s="1488"/>
      <c r="AJ375" s="1488"/>
      <c r="AK375" s="1488"/>
      <c r="AL375" s="1488"/>
      <c r="AM375" s="1488"/>
      <c r="AN375" s="1488"/>
      <c r="AO375" s="1488"/>
      <c r="AP375" s="1488"/>
      <c r="AQ375" s="1488"/>
      <c r="AR375" s="1488"/>
      <c r="AS375" s="1488"/>
      <c r="AT375" s="1542"/>
      <c r="AU375" s="1599">
        <f t="shared" si="219"/>
        <v>0</v>
      </c>
      <c r="AV375" s="1544">
        <f t="shared" si="247"/>
        <v>0</v>
      </c>
      <c r="AW375" s="1452">
        <f t="shared" si="220"/>
        <v>0</v>
      </c>
      <c r="AX375" s="1452">
        <f t="shared" si="221"/>
        <v>0</v>
      </c>
      <c r="AY375" s="1452">
        <f t="shared" si="222"/>
        <v>0</v>
      </c>
      <c r="AZ375" s="1452">
        <f t="shared" si="223"/>
        <v>0</v>
      </c>
      <c r="BA375" s="1452">
        <f t="shared" si="224"/>
        <v>0</v>
      </c>
      <c r="BB375" s="1452">
        <f t="shared" si="225"/>
        <v>0</v>
      </c>
      <c r="BC375" s="1452">
        <f t="shared" si="226"/>
        <v>0</v>
      </c>
      <c r="BD375" s="1452">
        <f t="shared" si="227"/>
        <v>0</v>
      </c>
      <c r="BE375" s="1452">
        <f t="shared" si="228"/>
        <v>0</v>
      </c>
      <c r="BF375" s="1452">
        <f t="shared" si="229"/>
        <v>0</v>
      </c>
      <c r="BG375" s="1452">
        <f t="shared" si="230"/>
        <v>0</v>
      </c>
      <c r="BH375" s="1452">
        <f t="shared" si="231"/>
        <v>0</v>
      </c>
      <c r="BI375" s="1452">
        <f t="shared" si="248"/>
        <v>0</v>
      </c>
      <c r="BJ375" s="1452" t="str">
        <f t="shared" si="232"/>
        <v/>
      </c>
      <c r="BK375" s="1452" t="str">
        <f t="shared" si="233"/>
        <v/>
      </c>
      <c r="BL375" s="1452" t="str">
        <f t="shared" si="234"/>
        <v/>
      </c>
      <c r="BM375" s="1452" t="str">
        <f t="shared" si="235"/>
        <v/>
      </c>
      <c r="BN375" s="1452" t="str">
        <f t="shared" ca="1" si="236"/>
        <v/>
      </c>
      <c r="BO375" s="1452" t="str">
        <f t="shared" si="249"/>
        <v/>
      </c>
      <c r="BP375" s="1452" t="str">
        <f t="shared" si="237"/>
        <v/>
      </c>
      <c r="BQ375" s="1452" t="str">
        <f t="shared" si="238"/>
        <v/>
      </c>
      <c r="BR375" s="1452" t="str">
        <f t="shared" si="239"/>
        <v/>
      </c>
      <c r="BS375" s="1452" t="str">
        <f t="shared" si="240"/>
        <v/>
      </c>
      <c r="BT375" s="1452" t="str">
        <f t="shared" si="241"/>
        <v/>
      </c>
      <c r="BU375" s="1452" t="str">
        <f t="shared" si="242"/>
        <v/>
      </c>
      <c r="BV375" s="1452" t="str">
        <f t="shared" si="243"/>
        <v/>
      </c>
      <c r="BW375" s="1558">
        <f t="shared" ca="1" si="250"/>
        <v>0</v>
      </c>
    </row>
    <row r="376" spans="1:75" s="9" customFormat="1" ht="12.5">
      <c r="A376" s="1483" t="str">
        <f t="shared" si="244"/>
        <v>Public Health Wales Trust</v>
      </c>
      <c r="B376" s="1583"/>
      <c r="C376" s="1583"/>
      <c r="D376" s="1583"/>
      <c r="E376" s="1581"/>
      <c r="F376" s="1436"/>
      <c r="G376" s="1547">
        <f t="shared" si="245"/>
        <v>0</v>
      </c>
      <c r="H376" s="1484"/>
      <c r="I376" s="1547">
        <f t="shared" si="246"/>
        <v>0</v>
      </c>
      <c r="J376" s="1485"/>
      <c r="K376" s="1485"/>
      <c r="L376" s="1436"/>
      <c r="M376" s="1439"/>
      <c r="N376" s="1439"/>
      <c r="O376" s="1485"/>
      <c r="P376" s="1486"/>
      <c r="Q376" s="1486"/>
      <c r="R376" s="1487"/>
      <c r="S376" s="1444"/>
      <c r="T376" s="1444"/>
      <c r="U376" s="1444"/>
      <c r="V376" s="1488"/>
      <c r="W376" s="1488"/>
      <c r="X376" s="1488"/>
      <c r="Y376" s="1488"/>
      <c r="Z376" s="1488"/>
      <c r="AA376" s="1488"/>
      <c r="AB376" s="1488"/>
      <c r="AC376" s="1488"/>
      <c r="AD376" s="1488"/>
      <c r="AE376" s="1488"/>
      <c r="AF376" s="1488"/>
      <c r="AG376" s="1488"/>
      <c r="AH376" s="1451">
        <f t="shared" si="218"/>
        <v>0</v>
      </c>
      <c r="AI376" s="1488"/>
      <c r="AJ376" s="1488"/>
      <c r="AK376" s="1488"/>
      <c r="AL376" s="1488"/>
      <c r="AM376" s="1488"/>
      <c r="AN376" s="1488"/>
      <c r="AO376" s="1488"/>
      <c r="AP376" s="1488"/>
      <c r="AQ376" s="1488"/>
      <c r="AR376" s="1488"/>
      <c r="AS376" s="1488"/>
      <c r="AT376" s="1542"/>
      <c r="AU376" s="1599">
        <f t="shared" si="219"/>
        <v>0</v>
      </c>
      <c r="AV376" s="1544">
        <f t="shared" si="247"/>
        <v>0</v>
      </c>
      <c r="AW376" s="1452">
        <f t="shared" si="220"/>
        <v>0</v>
      </c>
      <c r="AX376" s="1452">
        <f t="shared" si="221"/>
        <v>0</v>
      </c>
      <c r="AY376" s="1452">
        <f t="shared" si="222"/>
        <v>0</v>
      </c>
      <c r="AZ376" s="1452">
        <f t="shared" si="223"/>
        <v>0</v>
      </c>
      <c r="BA376" s="1452">
        <f t="shared" si="224"/>
        <v>0</v>
      </c>
      <c r="BB376" s="1452">
        <f t="shared" si="225"/>
        <v>0</v>
      </c>
      <c r="BC376" s="1452">
        <f t="shared" si="226"/>
        <v>0</v>
      </c>
      <c r="BD376" s="1452">
        <f t="shared" si="227"/>
        <v>0</v>
      </c>
      <c r="BE376" s="1452">
        <f t="shared" si="228"/>
        <v>0</v>
      </c>
      <c r="BF376" s="1452">
        <f t="shared" si="229"/>
        <v>0</v>
      </c>
      <c r="BG376" s="1452">
        <f t="shared" si="230"/>
        <v>0</v>
      </c>
      <c r="BH376" s="1452">
        <f t="shared" si="231"/>
        <v>0</v>
      </c>
      <c r="BI376" s="1452">
        <f t="shared" si="248"/>
        <v>0</v>
      </c>
      <c r="BJ376" s="1452" t="str">
        <f t="shared" si="232"/>
        <v/>
      </c>
      <c r="BK376" s="1452" t="str">
        <f t="shared" si="233"/>
        <v/>
      </c>
      <c r="BL376" s="1452" t="str">
        <f t="shared" si="234"/>
        <v/>
      </c>
      <c r="BM376" s="1452" t="str">
        <f t="shared" si="235"/>
        <v/>
      </c>
      <c r="BN376" s="1452" t="str">
        <f t="shared" ca="1" si="236"/>
        <v/>
      </c>
      <c r="BO376" s="1452" t="str">
        <f t="shared" si="249"/>
        <v/>
      </c>
      <c r="BP376" s="1452" t="str">
        <f t="shared" si="237"/>
        <v/>
      </c>
      <c r="BQ376" s="1452" t="str">
        <f t="shared" si="238"/>
        <v/>
      </c>
      <c r="BR376" s="1452" t="str">
        <f t="shared" si="239"/>
        <v/>
      </c>
      <c r="BS376" s="1452" t="str">
        <f t="shared" si="240"/>
        <v/>
      </c>
      <c r="BT376" s="1452" t="str">
        <f t="shared" si="241"/>
        <v/>
      </c>
      <c r="BU376" s="1452" t="str">
        <f t="shared" si="242"/>
        <v/>
      </c>
      <c r="BV376" s="1452" t="str">
        <f t="shared" si="243"/>
        <v/>
      </c>
      <c r="BW376" s="1558">
        <f t="shared" ca="1" si="250"/>
        <v>0</v>
      </c>
    </row>
    <row r="377" spans="1:75" s="9" customFormat="1" ht="12.5">
      <c r="A377" s="1483" t="str">
        <f t="shared" si="244"/>
        <v>Public Health Wales Trust</v>
      </c>
      <c r="B377" s="1583"/>
      <c r="C377" s="1583"/>
      <c r="D377" s="1583"/>
      <c r="E377" s="1581"/>
      <c r="F377" s="1436"/>
      <c r="G377" s="1547">
        <f t="shared" si="245"/>
        <v>0</v>
      </c>
      <c r="H377" s="1484"/>
      <c r="I377" s="1547">
        <f t="shared" si="246"/>
        <v>0</v>
      </c>
      <c r="J377" s="1485"/>
      <c r="K377" s="1485"/>
      <c r="L377" s="1436"/>
      <c r="M377" s="1439"/>
      <c r="N377" s="1439"/>
      <c r="O377" s="1485"/>
      <c r="P377" s="1486"/>
      <c r="Q377" s="1486"/>
      <c r="R377" s="1487"/>
      <c r="S377" s="1444"/>
      <c r="T377" s="1444"/>
      <c r="U377" s="1444"/>
      <c r="V377" s="1488"/>
      <c r="W377" s="1488"/>
      <c r="X377" s="1488"/>
      <c r="Y377" s="1488"/>
      <c r="Z377" s="1488"/>
      <c r="AA377" s="1488"/>
      <c r="AB377" s="1488"/>
      <c r="AC377" s="1488"/>
      <c r="AD377" s="1488"/>
      <c r="AE377" s="1488"/>
      <c r="AF377" s="1488"/>
      <c r="AG377" s="1488"/>
      <c r="AH377" s="1451">
        <f t="shared" si="218"/>
        <v>0</v>
      </c>
      <c r="AI377" s="1488"/>
      <c r="AJ377" s="1488"/>
      <c r="AK377" s="1488"/>
      <c r="AL377" s="1488"/>
      <c r="AM377" s="1488"/>
      <c r="AN377" s="1488"/>
      <c r="AO377" s="1488"/>
      <c r="AP377" s="1488"/>
      <c r="AQ377" s="1488"/>
      <c r="AR377" s="1488"/>
      <c r="AS377" s="1488"/>
      <c r="AT377" s="1542"/>
      <c r="AU377" s="1599">
        <f t="shared" si="219"/>
        <v>0</v>
      </c>
      <c r="AV377" s="1544">
        <f t="shared" si="247"/>
        <v>0</v>
      </c>
      <c r="AW377" s="1452">
        <f t="shared" si="220"/>
        <v>0</v>
      </c>
      <c r="AX377" s="1452">
        <f t="shared" si="221"/>
        <v>0</v>
      </c>
      <c r="AY377" s="1452">
        <f t="shared" si="222"/>
        <v>0</v>
      </c>
      <c r="AZ377" s="1452">
        <f t="shared" si="223"/>
        <v>0</v>
      </c>
      <c r="BA377" s="1452">
        <f t="shared" si="224"/>
        <v>0</v>
      </c>
      <c r="BB377" s="1452">
        <f t="shared" si="225"/>
        <v>0</v>
      </c>
      <c r="BC377" s="1452">
        <f t="shared" si="226"/>
        <v>0</v>
      </c>
      <c r="BD377" s="1452">
        <f t="shared" si="227"/>
        <v>0</v>
      </c>
      <c r="BE377" s="1452">
        <f t="shared" si="228"/>
        <v>0</v>
      </c>
      <c r="BF377" s="1452">
        <f t="shared" si="229"/>
        <v>0</v>
      </c>
      <c r="BG377" s="1452">
        <f t="shared" si="230"/>
        <v>0</v>
      </c>
      <c r="BH377" s="1452">
        <f t="shared" si="231"/>
        <v>0</v>
      </c>
      <c r="BI377" s="1452">
        <f t="shared" si="248"/>
        <v>0</v>
      </c>
      <c r="BJ377" s="1452" t="str">
        <f t="shared" si="232"/>
        <v/>
      </c>
      <c r="BK377" s="1452" t="str">
        <f t="shared" si="233"/>
        <v/>
      </c>
      <c r="BL377" s="1452" t="str">
        <f t="shared" si="234"/>
        <v/>
      </c>
      <c r="BM377" s="1452" t="str">
        <f t="shared" si="235"/>
        <v/>
      </c>
      <c r="BN377" s="1452" t="str">
        <f t="shared" ca="1" si="236"/>
        <v/>
      </c>
      <c r="BO377" s="1452" t="str">
        <f t="shared" si="249"/>
        <v/>
      </c>
      <c r="BP377" s="1452" t="str">
        <f t="shared" si="237"/>
        <v/>
      </c>
      <c r="BQ377" s="1452" t="str">
        <f t="shared" si="238"/>
        <v/>
      </c>
      <c r="BR377" s="1452" t="str">
        <f t="shared" si="239"/>
        <v/>
      </c>
      <c r="BS377" s="1452" t="str">
        <f t="shared" si="240"/>
        <v/>
      </c>
      <c r="BT377" s="1452" t="str">
        <f t="shared" si="241"/>
        <v/>
      </c>
      <c r="BU377" s="1452" t="str">
        <f t="shared" si="242"/>
        <v/>
      </c>
      <c r="BV377" s="1452" t="str">
        <f t="shared" si="243"/>
        <v/>
      </c>
      <c r="BW377" s="1558">
        <f t="shared" ca="1" si="250"/>
        <v>0</v>
      </c>
    </row>
    <row r="378" spans="1:75" s="9" customFormat="1" ht="12.5">
      <c r="A378" s="1483" t="str">
        <f t="shared" si="244"/>
        <v>Public Health Wales Trust</v>
      </c>
      <c r="B378" s="1583"/>
      <c r="C378" s="1583"/>
      <c r="D378" s="1583"/>
      <c r="E378" s="1581"/>
      <c r="F378" s="1436"/>
      <c r="G378" s="1547">
        <f t="shared" si="245"/>
        <v>0</v>
      </c>
      <c r="H378" s="1484"/>
      <c r="I378" s="1547">
        <f t="shared" si="246"/>
        <v>0</v>
      </c>
      <c r="J378" s="1485"/>
      <c r="K378" s="1485"/>
      <c r="L378" s="1436"/>
      <c r="M378" s="1439"/>
      <c r="N378" s="1439"/>
      <c r="O378" s="1485"/>
      <c r="P378" s="1486"/>
      <c r="Q378" s="1486"/>
      <c r="R378" s="1487"/>
      <c r="S378" s="1444"/>
      <c r="T378" s="1444"/>
      <c r="U378" s="1444"/>
      <c r="V378" s="1488"/>
      <c r="W378" s="1488"/>
      <c r="X378" s="1488"/>
      <c r="Y378" s="1488"/>
      <c r="Z378" s="1488"/>
      <c r="AA378" s="1488"/>
      <c r="AB378" s="1488"/>
      <c r="AC378" s="1488"/>
      <c r="AD378" s="1488"/>
      <c r="AE378" s="1488"/>
      <c r="AF378" s="1488"/>
      <c r="AG378" s="1488"/>
      <c r="AH378" s="1451">
        <f t="shared" si="218"/>
        <v>0</v>
      </c>
      <c r="AI378" s="1488"/>
      <c r="AJ378" s="1488"/>
      <c r="AK378" s="1488"/>
      <c r="AL378" s="1488"/>
      <c r="AM378" s="1488"/>
      <c r="AN378" s="1488"/>
      <c r="AO378" s="1488"/>
      <c r="AP378" s="1488"/>
      <c r="AQ378" s="1488"/>
      <c r="AR378" s="1488"/>
      <c r="AS378" s="1488"/>
      <c r="AT378" s="1542"/>
      <c r="AU378" s="1599">
        <f t="shared" si="219"/>
        <v>0</v>
      </c>
      <c r="AV378" s="1544">
        <f t="shared" si="247"/>
        <v>0</v>
      </c>
      <c r="AW378" s="1452">
        <f t="shared" si="220"/>
        <v>0</v>
      </c>
      <c r="AX378" s="1452">
        <f t="shared" si="221"/>
        <v>0</v>
      </c>
      <c r="AY378" s="1452">
        <f t="shared" si="222"/>
        <v>0</v>
      </c>
      <c r="AZ378" s="1452">
        <f t="shared" si="223"/>
        <v>0</v>
      </c>
      <c r="BA378" s="1452">
        <f t="shared" si="224"/>
        <v>0</v>
      </c>
      <c r="BB378" s="1452">
        <f t="shared" si="225"/>
        <v>0</v>
      </c>
      <c r="BC378" s="1452">
        <f t="shared" si="226"/>
        <v>0</v>
      </c>
      <c r="BD378" s="1452">
        <f t="shared" si="227"/>
        <v>0</v>
      </c>
      <c r="BE378" s="1452">
        <f t="shared" si="228"/>
        <v>0</v>
      </c>
      <c r="BF378" s="1452">
        <f t="shared" si="229"/>
        <v>0</v>
      </c>
      <c r="BG378" s="1452">
        <f t="shared" si="230"/>
        <v>0</v>
      </c>
      <c r="BH378" s="1452">
        <f t="shared" si="231"/>
        <v>0</v>
      </c>
      <c r="BI378" s="1452">
        <f t="shared" si="248"/>
        <v>0</v>
      </c>
      <c r="BJ378" s="1452" t="str">
        <f t="shared" si="232"/>
        <v/>
      </c>
      <c r="BK378" s="1452" t="str">
        <f t="shared" si="233"/>
        <v/>
      </c>
      <c r="BL378" s="1452" t="str">
        <f t="shared" si="234"/>
        <v/>
      </c>
      <c r="BM378" s="1452" t="str">
        <f t="shared" si="235"/>
        <v/>
      </c>
      <c r="BN378" s="1452" t="str">
        <f t="shared" ca="1" si="236"/>
        <v/>
      </c>
      <c r="BO378" s="1452" t="str">
        <f t="shared" si="249"/>
        <v/>
      </c>
      <c r="BP378" s="1452" t="str">
        <f t="shared" si="237"/>
        <v/>
      </c>
      <c r="BQ378" s="1452" t="str">
        <f t="shared" si="238"/>
        <v/>
      </c>
      <c r="BR378" s="1452" t="str">
        <f t="shared" si="239"/>
        <v/>
      </c>
      <c r="BS378" s="1452" t="str">
        <f t="shared" si="240"/>
        <v/>
      </c>
      <c r="BT378" s="1452" t="str">
        <f t="shared" si="241"/>
        <v/>
      </c>
      <c r="BU378" s="1452" t="str">
        <f t="shared" si="242"/>
        <v/>
      </c>
      <c r="BV378" s="1452" t="str">
        <f t="shared" si="243"/>
        <v/>
      </c>
      <c r="BW378" s="1558">
        <f t="shared" ca="1" si="250"/>
        <v>0</v>
      </c>
    </row>
    <row r="379" spans="1:75" s="9" customFormat="1" ht="12.5">
      <c r="A379" s="1483" t="str">
        <f t="shared" si="244"/>
        <v>Public Health Wales Trust</v>
      </c>
      <c r="B379" s="1583"/>
      <c r="C379" s="1583"/>
      <c r="D379" s="1583"/>
      <c r="E379" s="1581"/>
      <c r="F379" s="1436"/>
      <c r="G379" s="1547">
        <f t="shared" si="245"/>
        <v>0</v>
      </c>
      <c r="H379" s="1484"/>
      <c r="I379" s="1547">
        <f t="shared" si="246"/>
        <v>0</v>
      </c>
      <c r="J379" s="1485"/>
      <c r="K379" s="1485"/>
      <c r="L379" s="1436"/>
      <c r="M379" s="1439"/>
      <c r="N379" s="1439"/>
      <c r="O379" s="1485"/>
      <c r="P379" s="1486"/>
      <c r="Q379" s="1486"/>
      <c r="R379" s="1487"/>
      <c r="S379" s="1444"/>
      <c r="T379" s="1444"/>
      <c r="U379" s="1444"/>
      <c r="V379" s="1488"/>
      <c r="W379" s="1488"/>
      <c r="X379" s="1488"/>
      <c r="Y379" s="1488"/>
      <c r="Z379" s="1488"/>
      <c r="AA379" s="1488"/>
      <c r="AB379" s="1488"/>
      <c r="AC379" s="1488"/>
      <c r="AD379" s="1488"/>
      <c r="AE379" s="1488"/>
      <c r="AF379" s="1488"/>
      <c r="AG379" s="1488"/>
      <c r="AH379" s="1451">
        <f t="shared" si="218"/>
        <v>0</v>
      </c>
      <c r="AI379" s="1488"/>
      <c r="AJ379" s="1488"/>
      <c r="AK379" s="1488"/>
      <c r="AL379" s="1488"/>
      <c r="AM379" s="1488"/>
      <c r="AN379" s="1488"/>
      <c r="AO379" s="1488"/>
      <c r="AP379" s="1488"/>
      <c r="AQ379" s="1488"/>
      <c r="AR379" s="1488"/>
      <c r="AS379" s="1488"/>
      <c r="AT379" s="1542"/>
      <c r="AU379" s="1599">
        <f t="shared" si="219"/>
        <v>0</v>
      </c>
      <c r="AV379" s="1544">
        <f t="shared" si="247"/>
        <v>0</v>
      </c>
      <c r="AW379" s="1452">
        <f t="shared" si="220"/>
        <v>0</v>
      </c>
      <c r="AX379" s="1452">
        <f t="shared" si="221"/>
        <v>0</v>
      </c>
      <c r="AY379" s="1452">
        <f t="shared" si="222"/>
        <v>0</v>
      </c>
      <c r="AZ379" s="1452">
        <f t="shared" si="223"/>
        <v>0</v>
      </c>
      <c r="BA379" s="1452">
        <f t="shared" si="224"/>
        <v>0</v>
      </c>
      <c r="BB379" s="1452">
        <f t="shared" si="225"/>
        <v>0</v>
      </c>
      <c r="BC379" s="1452">
        <f t="shared" si="226"/>
        <v>0</v>
      </c>
      <c r="BD379" s="1452">
        <f t="shared" si="227"/>
        <v>0</v>
      </c>
      <c r="BE379" s="1452">
        <f t="shared" si="228"/>
        <v>0</v>
      </c>
      <c r="BF379" s="1452">
        <f t="shared" si="229"/>
        <v>0</v>
      </c>
      <c r="BG379" s="1452">
        <f t="shared" si="230"/>
        <v>0</v>
      </c>
      <c r="BH379" s="1452">
        <f t="shared" si="231"/>
        <v>0</v>
      </c>
      <c r="BI379" s="1452">
        <f t="shared" si="248"/>
        <v>0</v>
      </c>
      <c r="BJ379" s="1452" t="str">
        <f t="shared" si="232"/>
        <v/>
      </c>
      <c r="BK379" s="1452" t="str">
        <f t="shared" si="233"/>
        <v/>
      </c>
      <c r="BL379" s="1452" t="str">
        <f t="shared" si="234"/>
        <v/>
      </c>
      <c r="BM379" s="1452" t="str">
        <f t="shared" si="235"/>
        <v/>
      </c>
      <c r="BN379" s="1452" t="str">
        <f t="shared" ca="1" si="236"/>
        <v/>
      </c>
      <c r="BO379" s="1452" t="str">
        <f t="shared" si="249"/>
        <v/>
      </c>
      <c r="BP379" s="1452" t="str">
        <f t="shared" si="237"/>
        <v/>
      </c>
      <c r="BQ379" s="1452" t="str">
        <f t="shared" si="238"/>
        <v/>
      </c>
      <c r="BR379" s="1452" t="str">
        <f t="shared" si="239"/>
        <v/>
      </c>
      <c r="BS379" s="1452" t="str">
        <f t="shared" si="240"/>
        <v/>
      </c>
      <c r="BT379" s="1452" t="str">
        <f t="shared" si="241"/>
        <v/>
      </c>
      <c r="BU379" s="1452" t="str">
        <f t="shared" si="242"/>
        <v/>
      </c>
      <c r="BV379" s="1452" t="str">
        <f t="shared" si="243"/>
        <v/>
      </c>
      <c r="BW379" s="1558">
        <f t="shared" ca="1" si="250"/>
        <v>0</v>
      </c>
    </row>
    <row r="380" spans="1:75" s="9" customFormat="1" ht="12.5">
      <c r="A380" s="1483" t="str">
        <f t="shared" si="244"/>
        <v>Public Health Wales Trust</v>
      </c>
      <c r="B380" s="1583"/>
      <c r="C380" s="1583"/>
      <c r="D380" s="1583"/>
      <c r="E380" s="1581"/>
      <c r="F380" s="1436"/>
      <c r="G380" s="1547">
        <f t="shared" si="245"/>
        <v>0</v>
      </c>
      <c r="H380" s="1484"/>
      <c r="I380" s="1547">
        <f t="shared" si="246"/>
        <v>0</v>
      </c>
      <c r="J380" s="1485"/>
      <c r="K380" s="1485"/>
      <c r="L380" s="1436"/>
      <c r="M380" s="1439"/>
      <c r="N380" s="1439"/>
      <c r="O380" s="1485"/>
      <c r="P380" s="1486"/>
      <c r="Q380" s="1486"/>
      <c r="R380" s="1487"/>
      <c r="S380" s="1444"/>
      <c r="T380" s="1444"/>
      <c r="U380" s="1444"/>
      <c r="V380" s="1488"/>
      <c r="W380" s="1488"/>
      <c r="X380" s="1488"/>
      <c r="Y380" s="1488"/>
      <c r="Z380" s="1488"/>
      <c r="AA380" s="1488"/>
      <c r="AB380" s="1488"/>
      <c r="AC380" s="1488"/>
      <c r="AD380" s="1488"/>
      <c r="AE380" s="1488"/>
      <c r="AF380" s="1488"/>
      <c r="AG380" s="1488"/>
      <c r="AH380" s="1451">
        <f t="shared" si="218"/>
        <v>0</v>
      </c>
      <c r="AI380" s="1488"/>
      <c r="AJ380" s="1488"/>
      <c r="AK380" s="1488"/>
      <c r="AL380" s="1488"/>
      <c r="AM380" s="1488"/>
      <c r="AN380" s="1488"/>
      <c r="AO380" s="1488"/>
      <c r="AP380" s="1488"/>
      <c r="AQ380" s="1488"/>
      <c r="AR380" s="1488"/>
      <c r="AS380" s="1488"/>
      <c r="AT380" s="1542"/>
      <c r="AU380" s="1599">
        <f t="shared" si="219"/>
        <v>0</v>
      </c>
      <c r="AV380" s="1544">
        <f t="shared" si="247"/>
        <v>0</v>
      </c>
      <c r="AW380" s="1452">
        <f t="shared" si="220"/>
        <v>0</v>
      </c>
      <c r="AX380" s="1452">
        <f t="shared" si="221"/>
        <v>0</v>
      </c>
      <c r="AY380" s="1452">
        <f t="shared" si="222"/>
        <v>0</v>
      </c>
      <c r="AZ380" s="1452">
        <f t="shared" si="223"/>
        <v>0</v>
      </c>
      <c r="BA380" s="1452">
        <f t="shared" si="224"/>
        <v>0</v>
      </c>
      <c r="BB380" s="1452">
        <f t="shared" si="225"/>
        <v>0</v>
      </c>
      <c r="BC380" s="1452">
        <f t="shared" si="226"/>
        <v>0</v>
      </c>
      <c r="BD380" s="1452">
        <f t="shared" si="227"/>
        <v>0</v>
      </c>
      <c r="BE380" s="1452">
        <f t="shared" si="228"/>
        <v>0</v>
      </c>
      <c r="BF380" s="1452">
        <f t="shared" si="229"/>
        <v>0</v>
      </c>
      <c r="BG380" s="1452">
        <f t="shared" si="230"/>
        <v>0</v>
      </c>
      <c r="BH380" s="1452">
        <f t="shared" si="231"/>
        <v>0</v>
      </c>
      <c r="BI380" s="1452">
        <f t="shared" si="248"/>
        <v>0</v>
      </c>
      <c r="BJ380" s="1452" t="str">
        <f t="shared" si="232"/>
        <v/>
      </c>
      <c r="BK380" s="1452" t="str">
        <f t="shared" si="233"/>
        <v/>
      </c>
      <c r="BL380" s="1452" t="str">
        <f t="shared" si="234"/>
        <v/>
      </c>
      <c r="BM380" s="1452" t="str">
        <f t="shared" si="235"/>
        <v/>
      </c>
      <c r="BN380" s="1452" t="str">
        <f t="shared" ca="1" si="236"/>
        <v/>
      </c>
      <c r="BO380" s="1452" t="str">
        <f t="shared" si="249"/>
        <v/>
      </c>
      <c r="BP380" s="1452" t="str">
        <f t="shared" si="237"/>
        <v/>
      </c>
      <c r="BQ380" s="1452" t="str">
        <f t="shared" si="238"/>
        <v/>
      </c>
      <c r="BR380" s="1452" t="str">
        <f t="shared" si="239"/>
        <v/>
      </c>
      <c r="BS380" s="1452" t="str">
        <f t="shared" si="240"/>
        <v/>
      </c>
      <c r="BT380" s="1452" t="str">
        <f t="shared" si="241"/>
        <v/>
      </c>
      <c r="BU380" s="1452" t="str">
        <f t="shared" si="242"/>
        <v/>
      </c>
      <c r="BV380" s="1452" t="str">
        <f t="shared" si="243"/>
        <v/>
      </c>
      <c r="BW380" s="1558">
        <f t="shared" ca="1" si="250"/>
        <v>0</v>
      </c>
    </row>
    <row r="381" spans="1:75" s="9" customFormat="1" ht="12.5">
      <c r="A381" s="1483" t="str">
        <f t="shared" si="244"/>
        <v>Public Health Wales Trust</v>
      </c>
      <c r="B381" s="1583"/>
      <c r="C381" s="1583"/>
      <c r="D381" s="1583"/>
      <c r="E381" s="1581"/>
      <c r="F381" s="1436"/>
      <c r="G381" s="1547">
        <f t="shared" si="245"/>
        <v>0</v>
      </c>
      <c r="H381" s="1484"/>
      <c r="I381" s="1547">
        <f t="shared" si="246"/>
        <v>0</v>
      </c>
      <c r="J381" s="1485"/>
      <c r="K381" s="1485"/>
      <c r="L381" s="1436"/>
      <c r="M381" s="1439"/>
      <c r="N381" s="1439"/>
      <c r="O381" s="1485"/>
      <c r="P381" s="1486"/>
      <c r="Q381" s="1486"/>
      <c r="R381" s="1487"/>
      <c r="S381" s="1444"/>
      <c r="T381" s="1444"/>
      <c r="U381" s="1444"/>
      <c r="V381" s="1488"/>
      <c r="W381" s="1488"/>
      <c r="X381" s="1488"/>
      <c r="Y381" s="1488"/>
      <c r="Z381" s="1488"/>
      <c r="AA381" s="1488"/>
      <c r="AB381" s="1488"/>
      <c r="AC381" s="1488"/>
      <c r="AD381" s="1488"/>
      <c r="AE381" s="1488"/>
      <c r="AF381" s="1488"/>
      <c r="AG381" s="1488"/>
      <c r="AH381" s="1451">
        <f t="shared" si="218"/>
        <v>0</v>
      </c>
      <c r="AI381" s="1488"/>
      <c r="AJ381" s="1488"/>
      <c r="AK381" s="1488"/>
      <c r="AL381" s="1488"/>
      <c r="AM381" s="1488"/>
      <c r="AN381" s="1488"/>
      <c r="AO381" s="1488"/>
      <c r="AP381" s="1488"/>
      <c r="AQ381" s="1488"/>
      <c r="AR381" s="1488"/>
      <c r="AS381" s="1488"/>
      <c r="AT381" s="1542"/>
      <c r="AU381" s="1599">
        <f t="shared" si="219"/>
        <v>0</v>
      </c>
      <c r="AV381" s="1544">
        <f t="shared" si="247"/>
        <v>0</v>
      </c>
      <c r="AW381" s="1452">
        <f t="shared" si="220"/>
        <v>0</v>
      </c>
      <c r="AX381" s="1452">
        <f t="shared" si="221"/>
        <v>0</v>
      </c>
      <c r="AY381" s="1452">
        <f t="shared" si="222"/>
        <v>0</v>
      </c>
      <c r="AZ381" s="1452">
        <f t="shared" si="223"/>
        <v>0</v>
      </c>
      <c r="BA381" s="1452">
        <f t="shared" si="224"/>
        <v>0</v>
      </c>
      <c r="BB381" s="1452">
        <f t="shared" si="225"/>
        <v>0</v>
      </c>
      <c r="BC381" s="1452">
        <f t="shared" si="226"/>
        <v>0</v>
      </c>
      <c r="BD381" s="1452">
        <f t="shared" si="227"/>
        <v>0</v>
      </c>
      <c r="BE381" s="1452">
        <f t="shared" si="228"/>
        <v>0</v>
      </c>
      <c r="BF381" s="1452">
        <f t="shared" si="229"/>
        <v>0</v>
      </c>
      <c r="BG381" s="1452">
        <f t="shared" si="230"/>
        <v>0</v>
      </c>
      <c r="BH381" s="1452">
        <f t="shared" si="231"/>
        <v>0</v>
      </c>
      <c r="BI381" s="1452">
        <f t="shared" si="248"/>
        <v>0</v>
      </c>
      <c r="BJ381" s="1452" t="str">
        <f t="shared" si="232"/>
        <v/>
      </c>
      <c r="BK381" s="1452" t="str">
        <f t="shared" si="233"/>
        <v/>
      </c>
      <c r="BL381" s="1452" t="str">
        <f t="shared" si="234"/>
        <v/>
      </c>
      <c r="BM381" s="1452" t="str">
        <f t="shared" si="235"/>
        <v/>
      </c>
      <c r="BN381" s="1452" t="str">
        <f t="shared" ca="1" si="236"/>
        <v/>
      </c>
      <c r="BO381" s="1452" t="str">
        <f t="shared" si="249"/>
        <v/>
      </c>
      <c r="BP381" s="1452" t="str">
        <f t="shared" si="237"/>
        <v/>
      </c>
      <c r="BQ381" s="1452" t="str">
        <f t="shared" si="238"/>
        <v/>
      </c>
      <c r="BR381" s="1452" t="str">
        <f t="shared" si="239"/>
        <v/>
      </c>
      <c r="BS381" s="1452" t="str">
        <f t="shared" si="240"/>
        <v/>
      </c>
      <c r="BT381" s="1452" t="str">
        <f t="shared" si="241"/>
        <v/>
      </c>
      <c r="BU381" s="1452" t="str">
        <f t="shared" si="242"/>
        <v/>
      </c>
      <c r="BV381" s="1452" t="str">
        <f t="shared" si="243"/>
        <v/>
      </c>
      <c r="BW381" s="1558">
        <f t="shared" ca="1" si="250"/>
        <v>0</v>
      </c>
    </row>
    <row r="382" spans="1:75" s="9" customFormat="1" ht="12.5">
      <c r="A382" s="1483" t="str">
        <f t="shared" si="244"/>
        <v>Public Health Wales Trust</v>
      </c>
      <c r="B382" s="1583"/>
      <c r="C382" s="1583"/>
      <c r="D382" s="1583"/>
      <c r="E382" s="1581"/>
      <c r="F382" s="1436"/>
      <c r="G382" s="1547">
        <f t="shared" si="245"/>
        <v>0</v>
      </c>
      <c r="H382" s="1484"/>
      <c r="I382" s="1547">
        <f t="shared" si="246"/>
        <v>0</v>
      </c>
      <c r="J382" s="1485"/>
      <c r="K382" s="1485"/>
      <c r="L382" s="1436"/>
      <c r="M382" s="1439"/>
      <c r="N382" s="1439"/>
      <c r="O382" s="1485"/>
      <c r="P382" s="1486"/>
      <c r="Q382" s="1486"/>
      <c r="R382" s="1487"/>
      <c r="S382" s="1444"/>
      <c r="T382" s="1444"/>
      <c r="U382" s="1444"/>
      <c r="V382" s="1488"/>
      <c r="W382" s="1488"/>
      <c r="X382" s="1488"/>
      <c r="Y382" s="1488"/>
      <c r="Z382" s="1488"/>
      <c r="AA382" s="1488"/>
      <c r="AB382" s="1488"/>
      <c r="AC382" s="1488"/>
      <c r="AD382" s="1488"/>
      <c r="AE382" s="1488"/>
      <c r="AF382" s="1488"/>
      <c r="AG382" s="1488"/>
      <c r="AH382" s="1451">
        <f t="shared" si="218"/>
        <v>0</v>
      </c>
      <c r="AI382" s="1488"/>
      <c r="AJ382" s="1488"/>
      <c r="AK382" s="1488"/>
      <c r="AL382" s="1488"/>
      <c r="AM382" s="1488"/>
      <c r="AN382" s="1488"/>
      <c r="AO382" s="1488"/>
      <c r="AP382" s="1488"/>
      <c r="AQ382" s="1488"/>
      <c r="AR382" s="1488"/>
      <c r="AS382" s="1488"/>
      <c r="AT382" s="1542"/>
      <c r="AU382" s="1599">
        <f t="shared" si="219"/>
        <v>0</v>
      </c>
      <c r="AV382" s="1544">
        <f t="shared" si="247"/>
        <v>0</v>
      </c>
      <c r="AW382" s="1452">
        <f t="shared" si="220"/>
        <v>0</v>
      </c>
      <c r="AX382" s="1452">
        <f t="shared" si="221"/>
        <v>0</v>
      </c>
      <c r="AY382" s="1452">
        <f t="shared" si="222"/>
        <v>0</v>
      </c>
      <c r="AZ382" s="1452">
        <f t="shared" si="223"/>
        <v>0</v>
      </c>
      <c r="BA382" s="1452">
        <f t="shared" si="224"/>
        <v>0</v>
      </c>
      <c r="BB382" s="1452">
        <f t="shared" si="225"/>
        <v>0</v>
      </c>
      <c r="BC382" s="1452">
        <f t="shared" si="226"/>
        <v>0</v>
      </c>
      <c r="BD382" s="1452">
        <f t="shared" si="227"/>
        <v>0</v>
      </c>
      <c r="BE382" s="1452">
        <f t="shared" si="228"/>
        <v>0</v>
      </c>
      <c r="BF382" s="1452">
        <f t="shared" si="229"/>
        <v>0</v>
      </c>
      <c r="BG382" s="1452">
        <f t="shared" si="230"/>
        <v>0</v>
      </c>
      <c r="BH382" s="1452">
        <f t="shared" si="231"/>
        <v>0</v>
      </c>
      <c r="BI382" s="1452">
        <f t="shared" si="248"/>
        <v>0</v>
      </c>
      <c r="BJ382" s="1452" t="str">
        <f t="shared" si="232"/>
        <v/>
      </c>
      <c r="BK382" s="1452" t="str">
        <f t="shared" si="233"/>
        <v/>
      </c>
      <c r="BL382" s="1452" t="str">
        <f t="shared" si="234"/>
        <v/>
      </c>
      <c r="BM382" s="1452" t="str">
        <f t="shared" si="235"/>
        <v/>
      </c>
      <c r="BN382" s="1452" t="str">
        <f t="shared" ca="1" si="236"/>
        <v/>
      </c>
      <c r="BO382" s="1452" t="str">
        <f t="shared" si="249"/>
        <v/>
      </c>
      <c r="BP382" s="1452" t="str">
        <f t="shared" si="237"/>
        <v/>
      </c>
      <c r="BQ382" s="1452" t="str">
        <f t="shared" si="238"/>
        <v/>
      </c>
      <c r="BR382" s="1452" t="str">
        <f t="shared" si="239"/>
        <v/>
      </c>
      <c r="BS382" s="1452" t="str">
        <f t="shared" si="240"/>
        <v/>
      </c>
      <c r="BT382" s="1452" t="str">
        <f t="shared" si="241"/>
        <v/>
      </c>
      <c r="BU382" s="1452" t="str">
        <f t="shared" si="242"/>
        <v/>
      </c>
      <c r="BV382" s="1452" t="str">
        <f t="shared" si="243"/>
        <v/>
      </c>
      <c r="BW382" s="1558">
        <f t="shared" ca="1" si="250"/>
        <v>0</v>
      </c>
    </row>
    <row r="383" spans="1:75" s="9" customFormat="1" ht="12.5">
      <c r="A383" s="1483" t="str">
        <f t="shared" si="244"/>
        <v>Public Health Wales Trust</v>
      </c>
      <c r="B383" s="1583"/>
      <c r="C383" s="1583"/>
      <c r="D383" s="1583"/>
      <c r="E383" s="1581"/>
      <c r="F383" s="1436"/>
      <c r="G383" s="1547">
        <f t="shared" si="245"/>
        <v>0</v>
      </c>
      <c r="H383" s="1484"/>
      <c r="I383" s="1547">
        <f t="shared" si="246"/>
        <v>0</v>
      </c>
      <c r="J383" s="1485"/>
      <c r="K383" s="1485"/>
      <c r="L383" s="1436"/>
      <c r="M383" s="1439"/>
      <c r="N383" s="1439"/>
      <c r="O383" s="1485"/>
      <c r="P383" s="1486"/>
      <c r="Q383" s="1486"/>
      <c r="R383" s="1487"/>
      <c r="S383" s="1444"/>
      <c r="T383" s="1444"/>
      <c r="U383" s="1444"/>
      <c r="V383" s="1488"/>
      <c r="W383" s="1488"/>
      <c r="X383" s="1488"/>
      <c r="Y383" s="1488"/>
      <c r="Z383" s="1488"/>
      <c r="AA383" s="1488"/>
      <c r="AB383" s="1488"/>
      <c r="AC383" s="1488"/>
      <c r="AD383" s="1488"/>
      <c r="AE383" s="1488"/>
      <c r="AF383" s="1488"/>
      <c r="AG383" s="1488"/>
      <c r="AH383" s="1451">
        <f t="shared" si="218"/>
        <v>0</v>
      </c>
      <c r="AI383" s="1488"/>
      <c r="AJ383" s="1488"/>
      <c r="AK383" s="1488"/>
      <c r="AL383" s="1488"/>
      <c r="AM383" s="1488"/>
      <c r="AN383" s="1488"/>
      <c r="AO383" s="1488"/>
      <c r="AP383" s="1488"/>
      <c r="AQ383" s="1488"/>
      <c r="AR383" s="1488"/>
      <c r="AS383" s="1488"/>
      <c r="AT383" s="1542"/>
      <c r="AU383" s="1599">
        <f t="shared" si="219"/>
        <v>0</v>
      </c>
      <c r="AV383" s="1544">
        <f t="shared" si="247"/>
        <v>0</v>
      </c>
      <c r="AW383" s="1452">
        <f t="shared" si="220"/>
        <v>0</v>
      </c>
      <c r="AX383" s="1452">
        <f t="shared" si="221"/>
        <v>0</v>
      </c>
      <c r="AY383" s="1452">
        <f t="shared" si="222"/>
        <v>0</v>
      </c>
      <c r="AZ383" s="1452">
        <f t="shared" si="223"/>
        <v>0</v>
      </c>
      <c r="BA383" s="1452">
        <f t="shared" si="224"/>
        <v>0</v>
      </c>
      <c r="BB383" s="1452">
        <f t="shared" si="225"/>
        <v>0</v>
      </c>
      <c r="BC383" s="1452">
        <f t="shared" si="226"/>
        <v>0</v>
      </c>
      <c r="BD383" s="1452">
        <f t="shared" si="227"/>
        <v>0</v>
      </c>
      <c r="BE383" s="1452">
        <f t="shared" si="228"/>
        <v>0</v>
      </c>
      <c r="BF383" s="1452">
        <f t="shared" si="229"/>
        <v>0</v>
      </c>
      <c r="BG383" s="1452">
        <f t="shared" si="230"/>
        <v>0</v>
      </c>
      <c r="BH383" s="1452">
        <f t="shared" si="231"/>
        <v>0</v>
      </c>
      <c r="BI383" s="1452">
        <f t="shared" si="248"/>
        <v>0</v>
      </c>
      <c r="BJ383" s="1452" t="str">
        <f t="shared" si="232"/>
        <v/>
      </c>
      <c r="BK383" s="1452" t="str">
        <f t="shared" si="233"/>
        <v/>
      </c>
      <c r="BL383" s="1452" t="str">
        <f t="shared" si="234"/>
        <v/>
      </c>
      <c r="BM383" s="1452" t="str">
        <f t="shared" si="235"/>
        <v/>
      </c>
      <c r="BN383" s="1452" t="str">
        <f t="shared" ca="1" si="236"/>
        <v/>
      </c>
      <c r="BO383" s="1452" t="str">
        <f t="shared" si="249"/>
        <v/>
      </c>
      <c r="BP383" s="1452" t="str">
        <f t="shared" si="237"/>
        <v/>
      </c>
      <c r="BQ383" s="1452" t="str">
        <f t="shared" si="238"/>
        <v/>
      </c>
      <c r="BR383" s="1452" t="str">
        <f t="shared" si="239"/>
        <v/>
      </c>
      <c r="BS383" s="1452" t="str">
        <f t="shared" si="240"/>
        <v/>
      </c>
      <c r="BT383" s="1452" t="str">
        <f t="shared" si="241"/>
        <v/>
      </c>
      <c r="BU383" s="1452" t="str">
        <f t="shared" si="242"/>
        <v/>
      </c>
      <c r="BV383" s="1452" t="str">
        <f t="shared" si="243"/>
        <v/>
      </c>
      <c r="BW383" s="1558">
        <f t="shared" ca="1" si="250"/>
        <v>0</v>
      </c>
    </row>
    <row r="384" spans="1:75" s="9" customFormat="1" ht="12.5">
      <c r="A384" s="1483" t="str">
        <f t="shared" si="244"/>
        <v>Public Health Wales Trust</v>
      </c>
      <c r="B384" s="1583"/>
      <c r="C384" s="1583"/>
      <c r="D384" s="1583"/>
      <c r="E384" s="1581"/>
      <c r="F384" s="1436"/>
      <c r="G384" s="1547">
        <f t="shared" si="245"/>
        <v>0</v>
      </c>
      <c r="H384" s="1484"/>
      <c r="I384" s="1547">
        <f t="shared" si="246"/>
        <v>0</v>
      </c>
      <c r="J384" s="1485"/>
      <c r="K384" s="1485"/>
      <c r="L384" s="1436"/>
      <c r="M384" s="1439"/>
      <c r="N384" s="1439"/>
      <c r="O384" s="1485"/>
      <c r="P384" s="1486"/>
      <c r="Q384" s="1486"/>
      <c r="R384" s="1487"/>
      <c r="S384" s="1444"/>
      <c r="T384" s="1444"/>
      <c r="U384" s="1444"/>
      <c r="V384" s="1488"/>
      <c r="W384" s="1488"/>
      <c r="X384" s="1488"/>
      <c r="Y384" s="1488"/>
      <c r="Z384" s="1488"/>
      <c r="AA384" s="1488"/>
      <c r="AB384" s="1488"/>
      <c r="AC384" s="1488"/>
      <c r="AD384" s="1488"/>
      <c r="AE384" s="1488"/>
      <c r="AF384" s="1488"/>
      <c r="AG384" s="1488"/>
      <c r="AH384" s="1451">
        <f t="shared" si="218"/>
        <v>0</v>
      </c>
      <c r="AI384" s="1488"/>
      <c r="AJ384" s="1488"/>
      <c r="AK384" s="1488"/>
      <c r="AL384" s="1488"/>
      <c r="AM384" s="1488"/>
      <c r="AN384" s="1488"/>
      <c r="AO384" s="1488"/>
      <c r="AP384" s="1488"/>
      <c r="AQ384" s="1488"/>
      <c r="AR384" s="1488"/>
      <c r="AS384" s="1488"/>
      <c r="AT384" s="1542"/>
      <c r="AU384" s="1599">
        <f t="shared" si="219"/>
        <v>0</v>
      </c>
      <c r="AV384" s="1544">
        <f t="shared" si="247"/>
        <v>0</v>
      </c>
      <c r="AW384" s="1452">
        <f t="shared" si="220"/>
        <v>0</v>
      </c>
      <c r="AX384" s="1452">
        <f t="shared" si="221"/>
        <v>0</v>
      </c>
      <c r="AY384" s="1452">
        <f t="shared" si="222"/>
        <v>0</v>
      </c>
      <c r="AZ384" s="1452">
        <f t="shared" si="223"/>
        <v>0</v>
      </c>
      <c r="BA384" s="1452">
        <f t="shared" si="224"/>
        <v>0</v>
      </c>
      <c r="BB384" s="1452">
        <f t="shared" si="225"/>
        <v>0</v>
      </c>
      <c r="BC384" s="1452">
        <f t="shared" si="226"/>
        <v>0</v>
      </c>
      <c r="BD384" s="1452">
        <f t="shared" si="227"/>
        <v>0</v>
      </c>
      <c r="BE384" s="1452">
        <f t="shared" si="228"/>
        <v>0</v>
      </c>
      <c r="BF384" s="1452">
        <f t="shared" si="229"/>
        <v>0</v>
      </c>
      <c r="BG384" s="1452">
        <f t="shared" si="230"/>
        <v>0</v>
      </c>
      <c r="BH384" s="1452">
        <f t="shared" si="231"/>
        <v>0</v>
      </c>
      <c r="BI384" s="1452">
        <f t="shared" si="248"/>
        <v>0</v>
      </c>
      <c r="BJ384" s="1452" t="str">
        <f t="shared" si="232"/>
        <v/>
      </c>
      <c r="BK384" s="1452" t="str">
        <f t="shared" si="233"/>
        <v/>
      </c>
      <c r="BL384" s="1452" t="str">
        <f t="shared" si="234"/>
        <v/>
      </c>
      <c r="BM384" s="1452" t="str">
        <f t="shared" si="235"/>
        <v/>
      </c>
      <c r="BN384" s="1452" t="str">
        <f t="shared" ca="1" si="236"/>
        <v/>
      </c>
      <c r="BO384" s="1452" t="str">
        <f t="shared" si="249"/>
        <v/>
      </c>
      <c r="BP384" s="1452" t="str">
        <f t="shared" si="237"/>
        <v/>
      </c>
      <c r="BQ384" s="1452" t="str">
        <f t="shared" si="238"/>
        <v/>
      </c>
      <c r="BR384" s="1452" t="str">
        <f t="shared" si="239"/>
        <v/>
      </c>
      <c r="BS384" s="1452" t="str">
        <f t="shared" si="240"/>
        <v/>
      </c>
      <c r="BT384" s="1452" t="str">
        <f t="shared" si="241"/>
        <v/>
      </c>
      <c r="BU384" s="1452" t="str">
        <f t="shared" si="242"/>
        <v/>
      </c>
      <c r="BV384" s="1452" t="str">
        <f t="shared" si="243"/>
        <v/>
      </c>
      <c r="BW384" s="1558">
        <f t="shared" ca="1" si="250"/>
        <v>0</v>
      </c>
    </row>
    <row r="385" spans="1:75" s="9" customFormat="1" ht="12.5">
      <c r="A385" s="1483" t="str">
        <f t="shared" si="244"/>
        <v>Public Health Wales Trust</v>
      </c>
      <c r="B385" s="1583"/>
      <c r="C385" s="1583"/>
      <c r="D385" s="1583"/>
      <c r="E385" s="1581"/>
      <c r="F385" s="1436"/>
      <c r="G385" s="1547">
        <f t="shared" si="245"/>
        <v>0</v>
      </c>
      <c r="H385" s="1484"/>
      <c r="I385" s="1547">
        <f t="shared" si="246"/>
        <v>0</v>
      </c>
      <c r="J385" s="1485"/>
      <c r="K385" s="1485"/>
      <c r="L385" s="1436"/>
      <c r="M385" s="1439"/>
      <c r="N385" s="1439"/>
      <c r="O385" s="1485"/>
      <c r="P385" s="1486"/>
      <c r="Q385" s="1486"/>
      <c r="R385" s="1487"/>
      <c r="S385" s="1444"/>
      <c r="T385" s="1444"/>
      <c r="U385" s="1444"/>
      <c r="V385" s="1488"/>
      <c r="W385" s="1488"/>
      <c r="X385" s="1488"/>
      <c r="Y385" s="1488"/>
      <c r="Z385" s="1488"/>
      <c r="AA385" s="1488"/>
      <c r="AB385" s="1488"/>
      <c r="AC385" s="1488"/>
      <c r="AD385" s="1488"/>
      <c r="AE385" s="1488"/>
      <c r="AF385" s="1488"/>
      <c r="AG385" s="1488"/>
      <c r="AH385" s="1451">
        <f t="shared" si="218"/>
        <v>0</v>
      </c>
      <c r="AI385" s="1488"/>
      <c r="AJ385" s="1488"/>
      <c r="AK385" s="1488"/>
      <c r="AL385" s="1488"/>
      <c r="AM385" s="1488"/>
      <c r="AN385" s="1488"/>
      <c r="AO385" s="1488"/>
      <c r="AP385" s="1488"/>
      <c r="AQ385" s="1488"/>
      <c r="AR385" s="1488"/>
      <c r="AS385" s="1488"/>
      <c r="AT385" s="1542"/>
      <c r="AU385" s="1599">
        <f t="shared" si="219"/>
        <v>0</v>
      </c>
      <c r="AV385" s="1544">
        <f t="shared" si="247"/>
        <v>0</v>
      </c>
      <c r="AW385" s="1452">
        <f t="shared" si="220"/>
        <v>0</v>
      </c>
      <c r="AX385" s="1452">
        <f t="shared" si="221"/>
        <v>0</v>
      </c>
      <c r="AY385" s="1452">
        <f t="shared" si="222"/>
        <v>0</v>
      </c>
      <c r="AZ385" s="1452">
        <f t="shared" si="223"/>
        <v>0</v>
      </c>
      <c r="BA385" s="1452">
        <f t="shared" si="224"/>
        <v>0</v>
      </c>
      <c r="BB385" s="1452">
        <f t="shared" si="225"/>
        <v>0</v>
      </c>
      <c r="BC385" s="1452">
        <f t="shared" si="226"/>
        <v>0</v>
      </c>
      <c r="BD385" s="1452">
        <f t="shared" si="227"/>
        <v>0</v>
      </c>
      <c r="BE385" s="1452">
        <f t="shared" si="228"/>
        <v>0</v>
      </c>
      <c r="BF385" s="1452">
        <f t="shared" si="229"/>
        <v>0</v>
      </c>
      <c r="BG385" s="1452">
        <f t="shared" si="230"/>
        <v>0</v>
      </c>
      <c r="BH385" s="1452">
        <f t="shared" si="231"/>
        <v>0</v>
      </c>
      <c r="BI385" s="1452">
        <f t="shared" si="248"/>
        <v>0</v>
      </c>
      <c r="BJ385" s="1452" t="str">
        <f t="shared" si="232"/>
        <v/>
      </c>
      <c r="BK385" s="1452" t="str">
        <f t="shared" si="233"/>
        <v/>
      </c>
      <c r="BL385" s="1452" t="str">
        <f t="shared" si="234"/>
        <v/>
      </c>
      <c r="BM385" s="1452" t="str">
        <f t="shared" si="235"/>
        <v/>
      </c>
      <c r="BN385" s="1452" t="str">
        <f t="shared" ca="1" si="236"/>
        <v/>
      </c>
      <c r="BO385" s="1452" t="str">
        <f t="shared" si="249"/>
        <v/>
      </c>
      <c r="BP385" s="1452" t="str">
        <f t="shared" si="237"/>
        <v/>
      </c>
      <c r="BQ385" s="1452" t="str">
        <f t="shared" si="238"/>
        <v/>
      </c>
      <c r="BR385" s="1452" t="str">
        <f t="shared" si="239"/>
        <v/>
      </c>
      <c r="BS385" s="1452" t="str">
        <f t="shared" si="240"/>
        <v/>
      </c>
      <c r="BT385" s="1452" t="str">
        <f t="shared" si="241"/>
        <v/>
      </c>
      <c r="BU385" s="1452" t="str">
        <f t="shared" si="242"/>
        <v/>
      </c>
      <c r="BV385" s="1452" t="str">
        <f t="shared" si="243"/>
        <v/>
      </c>
      <c r="BW385" s="1558">
        <f t="shared" ca="1" si="250"/>
        <v>0</v>
      </c>
    </row>
    <row r="386" spans="1:75" s="9" customFormat="1" ht="12.5">
      <c r="A386" s="1483" t="str">
        <f t="shared" si="244"/>
        <v>Public Health Wales Trust</v>
      </c>
      <c r="B386" s="1583"/>
      <c r="C386" s="1583"/>
      <c r="D386" s="1583"/>
      <c r="E386" s="1581"/>
      <c r="F386" s="1436"/>
      <c r="G386" s="1547">
        <f t="shared" si="245"/>
        <v>0</v>
      </c>
      <c r="H386" s="1484"/>
      <c r="I386" s="1547">
        <f t="shared" si="246"/>
        <v>0</v>
      </c>
      <c r="J386" s="1485"/>
      <c r="K386" s="1485"/>
      <c r="L386" s="1436"/>
      <c r="M386" s="1439"/>
      <c r="N386" s="1439"/>
      <c r="O386" s="1485"/>
      <c r="P386" s="1486"/>
      <c r="Q386" s="1486"/>
      <c r="R386" s="1487"/>
      <c r="S386" s="1444"/>
      <c r="T386" s="1444"/>
      <c r="U386" s="1444"/>
      <c r="V386" s="1488"/>
      <c r="W386" s="1488"/>
      <c r="X386" s="1488"/>
      <c r="Y386" s="1488"/>
      <c r="Z386" s="1488"/>
      <c r="AA386" s="1488"/>
      <c r="AB386" s="1488"/>
      <c r="AC386" s="1488"/>
      <c r="AD386" s="1488"/>
      <c r="AE386" s="1488"/>
      <c r="AF386" s="1488"/>
      <c r="AG386" s="1488"/>
      <c r="AH386" s="1451">
        <f t="shared" si="218"/>
        <v>0</v>
      </c>
      <c r="AI386" s="1488"/>
      <c r="AJ386" s="1488"/>
      <c r="AK386" s="1488"/>
      <c r="AL386" s="1488"/>
      <c r="AM386" s="1488"/>
      <c r="AN386" s="1488"/>
      <c r="AO386" s="1488"/>
      <c r="AP386" s="1488"/>
      <c r="AQ386" s="1488"/>
      <c r="AR386" s="1488"/>
      <c r="AS386" s="1488"/>
      <c r="AT386" s="1542"/>
      <c r="AU386" s="1599">
        <f t="shared" si="219"/>
        <v>0</v>
      </c>
      <c r="AV386" s="1544">
        <f t="shared" si="247"/>
        <v>0</v>
      </c>
      <c r="AW386" s="1452">
        <f t="shared" si="220"/>
        <v>0</v>
      </c>
      <c r="AX386" s="1452">
        <f t="shared" si="221"/>
        <v>0</v>
      </c>
      <c r="AY386" s="1452">
        <f t="shared" si="222"/>
        <v>0</v>
      </c>
      <c r="AZ386" s="1452">
        <f t="shared" si="223"/>
        <v>0</v>
      </c>
      <c r="BA386" s="1452">
        <f t="shared" si="224"/>
        <v>0</v>
      </c>
      <c r="BB386" s="1452">
        <f t="shared" si="225"/>
        <v>0</v>
      </c>
      <c r="BC386" s="1452">
        <f t="shared" si="226"/>
        <v>0</v>
      </c>
      <c r="BD386" s="1452">
        <f t="shared" si="227"/>
        <v>0</v>
      </c>
      <c r="BE386" s="1452">
        <f t="shared" si="228"/>
        <v>0</v>
      </c>
      <c r="BF386" s="1452">
        <f t="shared" si="229"/>
        <v>0</v>
      </c>
      <c r="BG386" s="1452">
        <f t="shared" si="230"/>
        <v>0</v>
      </c>
      <c r="BH386" s="1452">
        <f t="shared" si="231"/>
        <v>0</v>
      </c>
      <c r="BI386" s="1452">
        <f t="shared" si="248"/>
        <v>0</v>
      </c>
      <c r="BJ386" s="1452" t="str">
        <f t="shared" si="232"/>
        <v/>
      </c>
      <c r="BK386" s="1452" t="str">
        <f t="shared" si="233"/>
        <v/>
      </c>
      <c r="BL386" s="1452" t="str">
        <f t="shared" si="234"/>
        <v/>
      </c>
      <c r="BM386" s="1452" t="str">
        <f t="shared" si="235"/>
        <v/>
      </c>
      <c r="BN386" s="1452" t="str">
        <f t="shared" ca="1" si="236"/>
        <v/>
      </c>
      <c r="BO386" s="1452" t="str">
        <f t="shared" si="249"/>
        <v/>
      </c>
      <c r="BP386" s="1452" t="str">
        <f t="shared" si="237"/>
        <v/>
      </c>
      <c r="BQ386" s="1452" t="str">
        <f t="shared" si="238"/>
        <v/>
      </c>
      <c r="BR386" s="1452" t="str">
        <f t="shared" si="239"/>
        <v/>
      </c>
      <c r="BS386" s="1452" t="str">
        <f t="shared" si="240"/>
        <v/>
      </c>
      <c r="BT386" s="1452" t="str">
        <f t="shared" si="241"/>
        <v/>
      </c>
      <c r="BU386" s="1452" t="str">
        <f t="shared" si="242"/>
        <v/>
      </c>
      <c r="BV386" s="1452" t="str">
        <f t="shared" si="243"/>
        <v/>
      </c>
      <c r="BW386" s="1558">
        <f t="shared" ca="1" si="250"/>
        <v>0</v>
      </c>
    </row>
    <row r="387" spans="1:75" s="9" customFormat="1" ht="12.5">
      <c r="A387" s="1483" t="str">
        <f t="shared" si="244"/>
        <v>Public Health Wales Trust</v>
      </c>
      <c r="B387" s="1583"/>
      <c r="C387" s="1583"/>
      <c r="D387" s="1583"/>
      <c r="E387" s="1581"/>
      <c r="F387" s="1436"/>
      <c r="G387" s="1547">
        <f t="shared" si="245"/>
        <v>0</v>
      </c>
      <c r="H387" s="1484"/>
      <c r="I387" s="1547">
        <f t="shared" si="246"/>
        <v>0</v>
      </c>
      <c r="J387" s="1485"/>
      <c r="K387" s="1485"/>
      <c r="L387" s="1436"/>
      <c r="M387" s="1439"/>
      <c r="N387" s="1439"/>
      <c r="O387" s="1485"/>
      <c r="P387" s="1486"/>
      <c r="Q387" s="1486"/>
      <c r="R387" s="1487"/>
      <c r="S387" s="1444"/>
      <c r="T387" s="1444"/>
      <c r="U387" s="1444"/>
      <c r="V387" s="1488"/>
      <c r="W387" s="1488"/>
      <c r="X387" s="1488"/>
      <c r="Y387" s="1488"/>
      <c r="Z387" s="1488"/>
      <c r="AA387" s="1488"/>
      <c r="AB387" s="1488"/>
      <c r="AC387" s="1488"/>
      <c r="AD387" s="1488"/>
      <c r="AE387" s="1488"/>
      <c r="AF387" s="1488"/>
      <c r="AG387" s="1488"/>
      <c r="AH387" s="1451">
        <f t="shared" si="218"/>
        <v>0</v>
      </c>
      <c r="AI387" s="1488"/>
      <c r="AJ387" s="1488"/>
      <c r="AK387" s="1488"/>
      <c r="AL387" s="1488"/>
      <c r="AM387" s="1488"/>
      <c r="AN387" s="1488"/>
      <c r="AO387" s="1488"/>
      <c r="AP387" s="1488"/>
      <c r="AQ387" s="1488"/>
      <c r="AR387" s="1488"/>
      <c r="AS387" s="1488"/>
      <c r="AT387" s="1542"/>
      <c r="AU387" s="1599">
        <f t="shared" si="219"/>
        <v>0</v>
      </c>
      <c r="AV387" s="1544">
        <f t="shared" si="247"/>
        <v>0</v>
      </c>
      <c r="AW387" s="1452">
        <f t="shared" si="220"/>
        <v>0</v>
      </c>
      <c r="AX387" s="1452">
        <f t="shared" si="221"/>
        <v>0</v>
      </c>
      <c r="AY387" s="1452">
        <f t="shared" si="222"/>
        <v>0</v>
      </c>
      <c r="AZ387" s="1452">
        <f t="shared" si="223"/>
        <v>0</v>
      </c>
      <c r="BA387" s="1452">
        <f t="shared" si="224"/>
        <v>0</v>
      </c>
      <c r="BB387" s="1452">
        <f t="shared" si="225"/>
        <v>0</v>
      </c>
      <c r="BC387" s="1452">
        <f t="shared" si="226"/>
        <v>0</v>
      </c>
      <c r="BD387" s="1452">
        <f t="shared" si="227"/>
        <v>0</v>
      </c>
      <c r="BE387" s="1452">
        <f t="shared" si="228"/>
        <v>0</v>
      </c>
      <c r="BF387" s="1452">
        <f t="shared" si="229"/>
        <v>0</v>
      </c>
      <c r="BG387" s="1452">
        <f t="shared" si="230"/>
        <v>0</v>
      </c>
      <c r="BH387" s="1452">
        <f t="shared" si="231"/>
        <v>0</v>
      </c>
      <c r="BI387" s="1452">
        <f t="shared" si="248"/>
        <v>0</v>
      </c>
      <c r="BJ387" s="1452" t="str">
        <f t="shared" si="232"/>
        <v/>
      </c>
      <c r="BK387" s="1452" t="str">
        <f t="shared" si="233"/>
        <v/>
      </c>
      <c r="BL387" s="1452" t="str">
        <f t="shared" si="234"/>
        <v/>
      </c>
      <c r="BM387" s="1452" t="str">
        <f t="shared" si="235"/>
        <v/>
      </c>
      <c r="BN387" s="1452" t="str">
        <f t="shared" ca="1" si="236"/>
        <v/>
      </c>
      <c r="BO387" s="1452" t="str">
        <f t="shared" si="249"/>
        <v/>
      </c>
      <c r="BP387" s="1452" t="str">
        <f t="shared" si="237"/>
        <v/>
      </c>
      <c r="BQ387" s="1452" t="str">
        <f t="shared" si="238"/>
        <v/>
      </c>
      <c r="BR387" s="1452" t="str">
        <f t="shared" si="239"/>
        <v/>
      </c>
      <c r="BS387" s="1452" t="str">
        <f t="shared" si="240"/>
        <v/>
      </c>
      <c r="BT387" s="1452" t="str">
        <f t="shared" si="241"/>
        <v/>
      </c>
      <c r="BU387" s="1452" t="str">
        <f t="shared" si="242"/>
        <v/>
      </c>
      <c r="BV387" s="1452" t="str">
        <f t="shared" si="243"/>
        <v/>
      </c>
      <c r="BW387" s="1558">
        <f t="shared" ca="1" si="250"/>
        <v>0</v>
      </c>
    </row>
    <row r="388" spans="1:75" s="9" customFormat="1" ht="12.5">
      <c r="A388" s="1483" t="str">
        <f t="shared" si="244"/>
        <v>Public Health Wales Trust</v>
      </c>
      <c r="B388" s="1583"/>
      <c r="C388" s="1583"/>
      <c r="D388" s="1583"/>
      <c r="E388" s="1581"/>
      <c r="F388" s="1436"/>
      <c r="G388" s="1547">
        <f t="shared" si="245"/>
        <v>0</v>
      </c>
      <c r="H388" s="1484"/>
      <c r="I388" s="1547">
        <f t="shared" si="246"/>
        <v>0</v>
      </c>
      <c r="J388" s="1485"/>
      <c r="K388" s="1485"/>
      <c r="L388" s="1436"/>
      <c r="M388" s="1439"/>
      <c r="N388" s="1439"/>
      <c r="O388" s="1485"/>
      <c r="P388" s="1486"/>
      <c r="Q388" s="1486"/>
      <c r="R388" s="1487"/>
      <c r="S388" s="1444"/>
      <c r="T388" s="1444"/>
      <c r="U388" s="1444"/>
      <c r="V388" s="1488"/>
      <c r="W388" s="1488"/>
      <c r="X388" s="1488"/>
      <c r="Y388" s="1488"/>
      <c r="Z388" s="1488"/>
      <c r="AA388" s="1488"/>
      <c r="AB388" s="1488"/>
      <c r="AC388" s="1488"/>
      <c r="AD388" s="1488"/>
      <c r="AE388" s="1488"/>
      <c r="AF388" s="1488"/>
      <c r="AG388" s="1488"/>
      <c r="AH388" s="1451">
        <f t="shared" si="218"/>
        <v>0</v>
      </c>
      <c r="AI388" s="1488"/>
      <c r="AJ388" s="1488"/>
      <c r="AK388" s="1488"/>
      <c r="AL388" s="1488"/>
      <c r="AM388" s="1488"/>
      <c r="AN388" s="1488"/>
      <c r="AO388" s="1488"/>
      <c r="AP388" s="1488"/>
      <c r="AQ388" s="1488"/>
      <c r="AR388" s="1488"/>
      <c r="AS388" s="1488"/>
      <c r="AT388" s="1542"/>
      <c r="AU388" s="1599">
        <f t="shared" si="219"/>
        <v>0</v>
      </c>
      <c r="AV388" s="1544">
        <f t="shared" si="247"/>
        <v>0</v>
      </c>
      <c r="AW388" s="1452">
        <f t="shared" si="220"/>
        <v>0</v>
      </c>
      <c r="AX388" s="1452">
        <f t="shared" si="221"/>
        <v>0</v>
      </c>
      <c r="AY388" s="1452">
        <f t="shared" si="222"/>
        <v>0</v>
      </c>
      <c r="AZ388" s="1452">
        <f t="shared" si="223"/>
        <v>0</v>
      </c>
      <c r="BA388" s="1452">
        <f t="shared" si="224"/>
        <v>0</v>
      </c>
      <c r="BB388" s="1452">
        <f t="shared" si="225"/>
        <v>0</v>
      </c>
      <c r="BC388" s="1452">
        <f t="shared" si="226"/>
        <v>0</v>
      </c>
      <c r="BD388" s="1452">
        <f t="shared" si="227"/>
        <v>0</v>
      </c>
      <c r="BE388" s="1452">
        <f t="shared" si="228"/>
        <v>0</v>
      </c>
      <c r="BF388" s="1452">
        <f t="shared" si="229"/>
        <v>0</v>
      </c>
      <c r="BG388" s="1452">
        <f t="shared" si="230"/>
        <v>0</v>
      </c>
      <c r="BH388" s="1452">
        <f t="shared" si="231"/>
        <v>0</v>
      </c>
      <c r="BI388" s="1452">
        <f t="shared" si="248"/>
        <v>0</v>
      </c>
      <c r="BJ388" s="1452" t="str">
        <f t="shared" si="232"/>
        <v/>
      </c>
      <c r="BK388" s="1452" t="str">
        <f t="shared" si="233"/>
        <v/>
      </c>
      <c r="BL388" s="1452" t="str">
        <f t="shared" si="234"/>
        <v/>
      </c>
      <c r="BM388" s="1452" t="str">
        <f t="shared" si="235"/>
        <v/>
      </c>
      <c r="BN388" s="1452" t="str">
        <f t="shared" ca="1" si="236"/>
        <v/>
      </c>
      <c r="BO388" s="1452" t="str">
        <f t="shared" si="249"/>
        <v/>
      </c>
      <c r="BP388" s="1452" t="str">
        <f t="shared" si="237"/>
        <v/>
      </c>
      <c r="BQ388" s="1452" t="str">
        <f t="shared" si="238"/>
        <v/>
      </c>
      <c r="BR388" s="1452" t="str">
        <f t="shared" si="239"/>
        <v/>
      </c>
      <c r="BS388" s="1452" t="str">
        <f t="shared" si="240"/>
        <v/>
      </c>
      <c r="BT388" s="1452" t="str">
        <f t="shared" si="241"/>
        <v/>
      </c>
      <c r="BU388" s="1452" t="str">
        <f t="shared" si="242"/>
        <v/>
      </c>
      <c r="BV388" s="1452" t="str">
        <f t="shared" si="243"/>
        <v/>
      </c>
      <c r="BW388" s="1558">
        <f t="shared" ca="1" si="250"/>
        <v>0</v>
      </c>
    </row>
    <row r="389" spans="1:75" s="9" customFormat="1" ht="12.5">
      <c r="A389" s="1483" t="str">
        <f t="shared" si="244"/>
        <v>Public Health Wales Trust</v>
      </c>
      <c r="B389" s="1583"/>
      <c r="C389" s="1583"/>
      <c r="D389" s="1583"/>
      <c r="E389" s="1581"/>
      <c r="F389" s="1436"/>
      <c r="G389" s="1547">
        <f t="shared" si="245"/>
        <v>0</v>
      </c>
      <c r="H389" s="1484"/>
      <c r="I389" s="1547">
        <f t="shared" si="246"/>
        <v>0</v>
      </c>
      <c r="J389" s="1485"/>
      <c r="K389" s="1485"/>
      <c r="L389" s="1436"/>
      <c r="M389" s="1439"/>
      <c r="N389" s="1439"/>
      <c r="O389" s="1485"/>
      <c r="P389" s="1486"/>
      <c r="Q389" s="1486"/>
      <c r="R389" s="1487"/>
      <c r="S389" s="1444"/>
      <c r="T389" s="1444"/>
      <c r="U389" s="1444"/>
      <c r="V389" s="1488"/>
      <c r="W389" s="1488"/>
      <c r="X389" s="1488"/>
      <c r="Y389" s="1488"/>
      <c r="Z389" s="1488"/>
      <c r="AA389" s="1488"/>
      <c r="AB389" s="1488"/>
      <c r="AC389" s="1488"/>
      <c r="AD389" s="1488"/>
      <c r="AE389" s="1488"/>
      <c r="AF389" s="1488"/>
      <c r="AG389" s="1488"/>
      <c r="AH389" s="1451">
        <f t="shared" si="218"/>
        <v>0</v>
      </c>
      <c r="AI389" s="1488"/>
      <c r="AJ389" s="1488"/>
      <c r="AK389" s="1488"/>
      <c r="AL389" s="1488"/>
      <c r="AM389" s="1488"/>
      <c r="AN389" s="1488"/>
      <c r="AO389" s="1488"/>
      <c r="AP389" s="1488"/>
      <c r="AQ389" s="1488"/>
      <c r="AR389" s="1488"/>
      <c r="AS389" s="1488"/>
      <c r="AT389" s="1542"/>
      <c r="AU389" s="1599">
        <f t="shared" si="219"/>
        <v>0</v>
      </c>
      <c r="AV389" s="1544">
        <f t="shared" si="247"/>
        <v>0</v>
      </c>
      <c r="AW389" s="1452">
        <f t="shared" si="220"/>
        <v>0</v>
      </c>
      <c r="AX389" s="1452">
        <f t="shared" si="221"/>
        <v>0</v>
      </c>
      <c r="AY389" s="1452">
        <f t="shared" si="222"/>
        <v>0</v>
      </c>
      <c r="AZ389" s="1452">
        <f t="shared" si="223"/>
        <v>0</v>
      </c>
      <c r="BA389" s="1452">
        <f t="shared" si="224"/>
        <v>0</v>
      </c>
      <c r="BB389" s="1452">
        <f t="shared" si="225"/>
        <v>0</v>
      </c>
      <c r="BC389" s="1452">
        <f t="shared" si="226"/>
        <v>0</v>
      </c>
      <c r="BD389" s="1452">
        <f t="shared" si="227"/>
        <v>0</v>
      </c>
      <c r="BE389" s="1452">
        <f t="shared" si="228"/>
        <v>0</v>
      </c>
      <c r="BF389" s="1452">
        <f t="shared" si="229"/>
        <v>0</v>
      </c>
      <c r="BG389" s="1452">
        <f t="shared" si="230"/>
        <v>0</v>
      </c>
      <c r="BH389" s="1452">
        <f t="shared" si="231"/>
        <v>0</v>
      </c>
      <c r="BI389" s="1452">
        <f t="shared" si="248"/>
        <v>0</v>
      </c>
      <c r="BJ389" s="1452" t="str">
        <f t="shared" si="232"/>
        <v/>
      </c>
      <c r="BK389" s="1452" t="str">
        <f t="shared" si="233"/>
        <v/>
      </c>
      <c r="BL389" s="1452" t="str">
        <f t="shared" si="234"/>
        <v/>
      </c>
      <c r="BM389" s="1452" t="str">
        <f t="shared" si="235"/>
        <v/>
      </c>
      <c r="BN389" s="1452" t="str">
        <f t="shared" ca="1" si="236"/>
        <v/>
      </c>
      <c r="BO389" s="1452" t="str">
        <f t="shared" si="249"/>
        <v/>
      </c>
      <c r="BP389" s="1452" t="str">
        <f t="shared" si="237"/>
        <v/>
      </c>
      <c r="BQ389" s="1452" t="str">
        <f t="shared" si="238"/>
        <v/>
      </c>
      <c r="BR389" s="1452" t="str">
        <f t="shared" si="239"/>
        <v/>
      </c>
      <c r="BS389" s="1452" t="str">
        <f t="shared" si="240"/>
        <v/>
      </c>
      <c r="BT389" s="1452" t="str">
        <f t="shared" si="241"/>
        <v/>
      </c>
      <c r="BU389" s="1452" t="str">
        <f t="shared" si="242"/>
        <v/>
      </c>
      <c r="BV389" s="1452" t="str">
        <f t="shared" si="243"/>
        <v/>
      </c>
      <c r="BW389" s="1558">
        <f t="shared" ca="1" si="250"/>
        <v>0</v>
      </c>
    </row>
    <row r="390" spans="1:75" s="9" customFormat="1" ht="12.5">
      <c r="A390" s="1483" t="str">
        <f t="shared" si="244"/>
        <v>Public Health Wales Trust</v>
      </c>
      <c r="B390" s="1583"/>
      <c r="C390" s="1583"/>
      <c r="D390" s="1583"/>
      <c r="E390" s="1581"/>
      <c r="F390" s="1436"/>
      <c r="G390" s="1547">
        <f t="shared" si="245"/>
        <v>0</v>
      </c>
      <c r="H390" s="1484"/>
      <c r="I390" s="1547">
        <f t="shared" si="246"/>
        <v>0</v>
      </c>
      <c r="J390" s="1485"/>
      <c r="K390" s="1485"/>
      <c r="L390" s="1436"/>
      <c r="M390" s="1439"/>
      <c r="N390" s="1439"/>
      <c r="O390" s="1485"/>
      <c r="P390" s="1486"/>
      <c r="Q390" s="1486"/>
      <c r="R390" s="1487"/>
      <c r="S390" s="1444"/>
      <c r="T390" s="1444"/>
      <c r="U390" s="1444"/>
      <c r="V390" s="1488"/>
      <c r="W390" s="1488"/>
      <c r="X390" s="1488"/>
      <c r="Y390" s="1488"/>
      <c r="Z390" s="1488"/>
      <c r="AA390" s="1488"/>
      <c r="AB390" s="1488"/>
      <c r="AC390" s="1488"/>
      <c r="AD390" s="1488"/>
      <c r="AE390" s="1488"/>
      <c r="AF390" s="1488"/>
      <c r="AG390" s="1488"/>
      <c r="AH390" s="1451">
        <f t="shared" si="218"/>
        <v>0</v>
      </c>
      <c r="AI390" s="1488"/>
      <c r="AJ390" s="1488"/>
      <c r="AK390" s="1488"/>
      <c r="AL390" s="1488"/>
      <c r="AM390" s="1488"/>
      <c r="AN390" s="1488"/>
      <c r="AO390" s="1488"/>
      <c r="AP390" s="1488"/>
      <c r="AQ390" s="1488"/>
      <c r="AR390" s="1488"/>
      <c r="AS390" s="1488"/>
      <c r="AT390" s="1542"/>
      <c r="AU390" s="1599">
        <f t="shared" si="219"/>
        <v>0</v>
      </c>
      <c r="AV390" s="1544">
        <f t="shared" si="247"/>
        <v>0</v>
      </c>
      <c r="AW390" s="1452">
        <f t="shared" si="220"/>
        <v>0</v>
      </c>
      <c r="AX390" s="1452">
        <f t="shared" si="221"/>
        <v>0</v>
      </c>
      <c r="AY390" s="1452">
        <f t="shared" si="222"/>
        <v>0</v>
      </c>
      <c r="AZ390" s="1452">
        <f t="shared" si="223"/>
        <v>0</v>
      </c>
      <c r="BA390" s="1452">
        <f t="shared" si="224"/>
        <v>0</v>
      </c>
      <c r="BB390" s="1452">
        <f t="shared" si="225"/>
        <v>0</v>
      </c>
      <c r="BC390" s="1452">
        <f t="shared" si="226"/>
        <v>0</v>
      </c>
      <c r="BD390" s="1452">
        <f t="shared" si="227"/>
        <v>0</v>
      </c>
      <c r="BE390" s="1452">
        <f t="shared" si="228"/>
        <v>0</v>
      </c>
      <c r="BF390" s="1452">
        <f t="shared" si="229"/>
        <v>0</v>
      </c>
      <c r="BG390" s="1452">
        <f t="shared" si="230"/>
        <v>0</v>
      </c>
      <c r="BH390" s="1452">
        <f t="shared" si="231"/>
        <v>0</v>
      </c>
      <c r="BI390" s="1452">
        <f t="shared" si="248"/>
        <v>0</v>
      </c>
      <c r="BJ390" s="1452" t="str">
        <f t="shared" si="232"/>
        <v/>
      </c>
      <c r="BK390" s="1452" t="str">
        <f t="shared" si="233"/>
        <v/>
      </c>
      <c r="BL390" s="1452" t="str">
        <f t="shared" si="234"/>
        <v/>
      </c>
      <c r="BM390" s="1452" t="str">
        <f t="shared" si="235"/>
        <v/>
      </c>
      <c r="BN390" s="1452" t="str">
        <f t="shared" ca="1" si="236"/>
        <v/>
      </c>
      <c r="BO390" s="1452" t="str">
        <f t="shared" si="249"/>
        <v/>
      </c>
      <c r="BP390" s="1452" t="str">
        <f t="shared" si="237"/>
        <v/>
      </c>
      <c r="BQ390" s="1452" t="str">
        <f t="shared" si="238"/>
        <v/>
      </c>
      <c r="BR390" s="1452" t="str">
        <f t="shared" si="239"/>
        <v/>
      </c>
      <c r="BS390" s="1452" t="str">
        <f t="shared" si="240"/>
        <v/>
      </c>
      <c r="BT390" s="1452" t="str">
        <f t="shared" si="241"/>
        <v/>
      </c>
      <c r="BU390" s="1452" t="str">
        <f t="shared" si="242"/>
        <v/>
      </c>
      <c r="BV390" s="1452" t="str">
        <f t="shared" si="243"/>
        <v/>
      </c>
      <c r="BW390" s="1558">
        <f t="shared" ca="1" si="250"/>
        <v>0</v>
      </c>
    </row>
    <row r="391" spans="1:75" s="9" customFormat="1" ht="12.5">
      <c r="A391" s="1483" t="str">
        <f t="shared" si="244"/>
        <v>Public Health Wales Trust</v>
      </c>
      <c r="B391" s="1583"/>
      <c r="C391" s="1583"/>
      <c r="D391" s="1583"/>
      <c r="E391" s="1581"/>
      <c r="F391" s="1436"/>
      <c r="G391" s="1547">
        <f t="shared" si="245"/>
        <v>0</v>
      </c>
      <c r="H391" s="1484"/>
      <c r="I391" s="1547">
        <f t="shared" si="246"/>
        <v>0</v>
      </c>
      <c r="J391" s="1485"/>
      <c r="K391" s="1485"/>
      <c r="L391" s="1436"/>
      <c r="M391" s="1439"/>
      <c r="N391" s="1439"/>
      <c r="O391" s="1485"/>
      <c r="P391" s="1486"/>
      <c r="Q391" s="1486"/>
      <c r="R391" s="1487"/>
      <c r="S391" s="1444"/>
      <c r="T391" s="1444"/>
      <c r="U391" s="1444"/>
      <c r="V391" s="1488"/>
      <c r="W391" s="1488"/>
      <c r="X391" s="1488"/>
      <c r="Y391" s="1488"/>
      <c r="Z391" s="1488"/>
      <c r="AA391" s="1488"/>
      <c r="AB391" s="1488"/>
      <c r="AC391" s="1488"/>
      <c r="AD391" s="1488"/>
      <c r="AE391" s="1488"/>
      <c r="AF391" s="1488"/>
      <c r="AG391" s="1488"/>
      <c r="AH391" s="1451">
        <f t="shared" si="218"/>
        <v>0</v>
      </c>
      <c r="AI391" s="1488"/>
      <c r="AJ391" s="1488"/>
      <c r="AK391" s="1488"/>
      <c r="AL391" s="1488"/>
      <c r="AM391" s="1488"/>
      <c r="AN391" s="1488"/>
      <c r="AO391" s="1488"/>
      <c r="AP391" s="1488"/>
      <c r="AQ391" s="1488"/>
      <c r="AR391" s="1488"/>
      <c r="AS391" s="1488"/>
      <c r="AT391" s="1542"/>
      <c r="AU391" s="1599">
        <f t="shared" si="219"/>
        <v>0</v>
      </c>
      <c r="AV391" s="1544">
        <f t="shared" si="247"/>
        <v>0</v>
      </c>
      <c r="AW391" s="1452">
        <f t="shared" si="220"/>
        <v>0</v>
      </c>
      <c r="AX391" s="1452">
        <f t="shared" si="221"/>
        <v>0</v>
      </c>
      <c r="AY391" s="1452">
        <f t="shared" si="222"/>
        <v>0</v>
      </c>
      <c r="AZ391" s="1452">
        <f t="shared" si="223"/>
        <v>0</v>
      </c>
      <c r="BA391" s="1452">
        <f t="shared" si="224"/>
        <v>0</v>
      </c>
      <c r="BB391" s="1452">
        <f t="shared" si="225"/>
        <v>0</v>
      </c>
      <c r="BC391" s="1452">
        <f t="shared" si="226"/>
        <v>0</v>
      </c>
      <c r="BD391" s="1452">
        <f t="shared" si="227"/>
        <v>0</v>
      </c>
      <c r="BE391" s="1452">
        <f t="shared" si="228"/>
        <v>0</v>
      </c>
      <c r="BF391" s="1452">
        <f t="shared" si="229"/>
        <v>0</v>
      </c>
      <c r="BG391" s="1452">
        <f t="shared" si="230"/>
        <v>0</v>
      </c>
      <c r="BH391" s="1452">
        <f t="shared" si="231"/>
        <v>0</v>
      </c>
      <c r="BI391" s="1452">
        <f t="shared" si="248"/>
        <v>0</v>
      </c>
      <c r="BJ391" s="1452" t="str">
        <f t="shared" si="232"/>
        <v/>
      </c>
      <c r="BK391" s="1452" t="str">
        <f t="shared" si="233"/>
        <v/>
      </c>
      <c r="BL391" s="1452" t="str">
        <f t="shared" si="234"/>
        <v/>
      </c>
      <c r="BM391" s="1452" t="str">
        <f t="shared" si="235"/>
        <v/>
      </c>
      <c r="BN391" s="1452" t="str">
        <f t="shared" ca="1" si="236"/>
        <v/>
      </c>
      <c r="BO391" s="1452" t="str">
        <f t="shared" si="249"/>
        <v/>
      </c>
      <c r="BP391" s="1452" t="str">
        <f t="shared" si="237"/>
        <v/>
      </c>
      <c r="BQ391" s="1452" t="str">
        <f t="shared" si="238"/>
        <v/>
      </c>
      <c r="BR391" s="1452" t="str">
        <f t="shared" si="239"/>
        <v/>
      </c>
      <c r="BS391" s="1452" t="str">
        <f t="shared" si="240"/>
        <v/>
      </c>
      <c r="BT391" s="1452" t="str">
        <f t="shared" si="241"/>
        <v/>
      </c>
      <c r="BU391" s="1452" t="str">
        <f t="shared" si="242"/>
        <v/>
      </c>
      <c r="BV391" s="1452" t="str">
        <f t="shared" si="243"/>
        <v/>
      </c>
      <c r="BW391" s="1558">
        <f t="shared" ca="1" si="250"/>
        <v>0</v>
      </c>
    </row>
    <row r="392" spans="1:75" s="9" customFormat="1" ht="12.5">
      <c r="A392" s="1483" t="str">
        <f t="shared" si="244"/>
        <v>Public Health Wales Trust</v>
      </c>
      <c r="B392" s="1583"/>
      <c r="C392" s="1583"/>
      <c r="D392" s="1583"/>
      <c r="E392" s="1581"/>
      <c r="F392" s="1436"/>
      <c r="G392" s="1547">
        <f t="shared" si="245"/>
        <v>0</v>
      </c>
      <c r="H392" s="1484"/>
      <c r="I392" s="1547">
        <f t="shared" si="246"/>
        <v>0</v>
      </c>
      <c r="J392" s="1485"/>
      <c r="K392" s="1485"/>
      <c r="L392" s="1436"/>
      <c r="M392" s="1439"/>
      <c r="N392" s="1439"/>
      <c r="O392" s="1485"/>
      <c r="P392" s="1486"/>
      <c r="Q392" s="1486"/>
      <c r="R392" s="1487"/>
      <c r="S392" s="1444"/>
      <c r="T392" s="1444"/>
      <c r="U392" s="1444"/>
      <c r="V392" s="1488"/>
      <c r="W392" s="1488"/>
      <c r="X392" s="1488"/>
      <c r="Y392" s="1488"/>
      <c r="Z392" s="1488"/>
      <c r="AA392" s="1488"/>
      <c r="AB392" s="1488"/>
      <c r="AC392" s="1488"/>
      <c r="AD392" s="1488"/>
      <c r="AE392" s="1488"/>
      <c r="AF392" s="1488"/>
      <c r="AG392" s="1488"/>
      <c r="AH392" s="1451">
        <f t="shared" si="218"/>
        <v>0</v>
      </c>
      <c r="AI392" s="1488"/>
      <c r="AJ392" s="1488"/>
      <c r="AK392" s="1488"/>
      <c r="AL392" s="1488"/>
      <c r="AM392" s="1488"/>
      <c r="AN392" s="1488"/>
      <c r="AO392" s="1488"/>
      <c r="AP392" s="1488"/>
      <c r="AQ392" s="1488"/>
      <c r="AR392" s="1488"/>
      <c r="AS392" s="1488"/>
      <c r="AT392" s="1542"/>
      <c r="AU392" s="1599">
        <f t="shared" si="219"/>
        <v>0</v>
      </c>
      <c r="AV392" s="1544">
        <f t="shared" si="247"/>
        <v>0</v>
      </c>
      <c r="AW392" s="1452">
        <f t="shared" si="220"/>
        <v>0</v>
      </c>
      <c r="AX392" s="1452">
        <f t="shared" si="221"/>
        <v>0</v>
      </c>
      <c r="AY392" s="1452">
        <f t="shared" si="222"/>
        <v>0</v>
      </c>
      <c r="AZ392" s="1452">
        <f t="shared" si="223"/>
        <v>0</v>
      </c>
      <c r="BA392" s="1452">
        <f t="shared" si="224"/>
        <v>0</v>
      </c>
      <c r="BB392" s="1452">
        <f t="shared" si="225"/>
        <v>0</v>
      </c>
      <c r="BC392" s="1452">
        <f t="shared" si="226"/>
        <v>0</v>
      </c>
      <c r="BD392" s="1452">
        <f t="shared" si="227"/>
        <v>0</v>
      </c>
      <c r="BE392" s="1452">
        <f t="shared" si="228"/>
        <v>0</v>
      </c>
      <c r="BF392" s="1452">
        <f t="shared" si="229"/>
        <v>0</v>
      </c>
      <c r="BG392" s="1452">
        <f t="shared" si="230"/>
        <v>0</v>
      </c>
      <c r="BH392" s="1452">
        <f t="shared" si="231"/>
        <v>0</v>
      </c>
      <c r="BI392" s="1452">
        <f t="shared" si="248"/>
        <v>0</v>
      </c>
      <c r="BJ392" s="1452" t="str">
        <f t="shared" si="232"/>
        <v/>
      </c>
      <c r="BK392" s="1452" t="str">
        <f t="shared" si="233"/>
        <v/>
      </c>
      <c r="BL392" s="1452" t="str">
        <f t="shared" si="234"/>
        <v/>
      </c>
      <c r="BM392" s="1452" t="str">
        <f t="shared" si="235"/>
        <v/>
      </c>
      <c r="BN392" s="1452" t="str">
        <f t="shared" ca="1" si="236"/>
        <v/>
      </c>
      <c r="BO392" s="1452" t="str">
        <f t="shared" si="249"/>
        <v/>
      </c>
      <c r="BP392" s="1452" t="str">
        <f t="shared" si="237"/>
        <v/>
      </c>
      <c r="BQ392" s="1452" t="str">
        <f t="shared" si="238"/>
        <v/>
      </c>
      <c r="BR392" s="1452" t="str">
        <f t="shared" si="239"/>
        <v/>
      </c>
      <c r="BS392" s="1452" t="str">
        <f t="shared" si="240"/>
        <v/>
      </c>
      <c r="BT392" s="1452" t="str">
        <f t="shared" si="241"/>
        <v/>
      </c>
      <c r="BU392" s="1452" t="str">
        <f t="shared" si="242"/>
        <v/>
      </c>
      <c r="BV392" s="1452" t="str">
        <f t="shared" si="243"/>
        <v/>
      </c>
      <c r="BW392" s="1558">
        <f t="shared" ca="1" si="250"/>
        <v>0</v>
      </c>
    </row>
    <row r="393" spans="1:75" s="9" customFormat="1" ht="12.5">
      <c r="A393" s="1483" t="str">
        <f t="shared" si="244"/>
        <v>Public Health Wales Trust</v>
      </c>
      <c r="B393" s="1583"/>
      <c r="C393" s="1583"/>
      <c r="D393" s="1583"/>
      <c r="E393" s="1581"/>
      <c r="F393" s="1436"/>
      <c r="G393" s="1547">
        <f t="shared" si="245"/>
        <v>0</v>
      </c>
      <c r="H393" s="1484"/>
      <c r="I393" s="1547">
        <f t="shared" si="246"/>
        <v>0</v>
      </c>
      <c r="J393" s="1485"/>
      <c r="K393" s="1485"/>
      <c r="L393" s="1436"/>
      <c r="M393" s="1439"/>
      <c r="N393" s="1439"/>
      <c r="O393" s="1485"/>
      <c r="P393" s="1486"/>
      <c r="Q393" s="1486"/>
      <c r="R393" s="1487"/>
      <c r="S393" s="1444"/>
      <c r="T393" s="1444"/>
      <c r="U393" s="1444"/>
      <c r="V393" s="1488"/>
      <c r="W393" s="1488"/>
      <c r="X393" s="1488"/>
      <c r="Y393" s="1488"/>
      <c r="Z393" s="1488"/>
      <c r="AA393" s="1488"/>
      <c r="AB393" s="1488"/>
      <c r="AC393" s="1488"/>
      <c r="AD393" s="1488"/>
      <c r="AE393" s="1488"/>
      <c r="AF393" s="1488"/>
      <c r="AG393" s="1488"/>
      <c r="AH393" s="1451">
        <f t="shared" si="218"/>
        <v>0</v>
      </c>
      <c r="AI393" s="1488"/>
      <c r="AJ393" s="1488"/>
      <c r="AK393" s="1488"/>
      <c r="AL393" s="1488"/>
      <c r="AM393" s="1488"/>
      <c r="AN393" s="1488"/>
      <c r="AO393" s="1488"/>
      <c r="AP393" s="1488"/>
      <c r="AQ393" s="1488"/>
      <c r="AR393" s="1488"/>
      <c r="AS393" s="1488"/>
      <c r="AT393" s="1542"/>
      <c r="AU393" s="1599">
        <f t="shared" si="219"/>
        <v>0</v>
      </c>
      <c r="AV393" s="1544">
        <f t="shared" si="247"/>
        <v>0</v>
      </c>
      <c r="AW393" s="1452">
        <f t="shared" si="220"/>
        <v>0</v>
      </c>
      <c r="AX393" s="1452">
        <f t="shared" si="221"/>
        <v>0</v>
      </c>
      <c r="AY393" s="1452">
        <f t="shared" si="222"/>
        <v>0</v>
      </c>
      <c r="AZ393" s="1452">
        <f t="shared" si="223"/>
        <v>0</v>
      </c>
      <c r="BA393" s="1452">
        <f t="shared" si="224"/>
        <v>0</v>
      </c>
      <c r="BB393" s="1452">
        <f t="shared" si="225"/>
        <v>0</v>
      </c>
      <c r="BC393" s="1452">
        <f t="shared" si="226"/>
        <v>0</v>
      </c>
      <c r="BD393" s="1452">
        <f t="shared" si="227"/>
        <v>0</v>
      </c>
      <c r="BE393" s="1452">
        <f t="shared" si="228"/>
        <v>0</v>
      </c>
      <c r="BF393" s="1452">
        <f t="shared" si="229"/>
        <v>0</v>
      </c>
      <c r="BG393" s="1452">
        <f t="shared" si="230"/>
        <v>0</v>
      </c>
      <c r="BH393" s="1452">
        <f t="shared" si="231"/>
        <v>0</v>
      </c>
      <c r="BI393" s="1452">
        <f t="shared" si="248"/>
        <v>0</v>
      </c>
      <c r="BJ393" s="1452" t="str">
        <f t="shared" si="232"/>
        <v/>
      </c>
      <c r="BK393" s="1452" t="str">
        <f t="shared" si="233"/>
        <v/>
      </c>
      <c r="BL393" s="1452" t="str">
        <f t="shared" si="234"/>
        <v/>
      </c>
      <c r="BM393" s="1452" t="str">
        <f t="shared" si="235"/>
        <v/>
      </c>
      <c r="BN393" s="1452" t="str">
        <f t="shared" ca="1" si="236"/>
        <v/>
      </c>
      <c r="BO393" s="1452" t="str">
        <f t="shared" si="249"/>
        <v/>
      </c>
      <c r="BP393" s="1452" t="str">
        <f t="shared" si="237"/>
        <v/>
      </c>
      <c r="BQ393" s="1452" t="str">
        <f t="shared" si="238"/>
        <v/>
      </c>
      <c r="BR393" s="1452" t="str">
        <f t="shared" si="239"/>
        <v/>
      </c>
      <c r="BS393" s="1452" t="str">
        <f t="shared" si="240"/>
        <v/>
      </c>
      <c r="BT393" s="1452" t="str">
        <f t="shared" si="241"/>
        <v/>
      </c>
      <c r="BU393" s="1452" t="str">
        <f t="shared" si="242"/>
        <v/>
      </c>
      <c r="BV393" s="1452" t="str">
        <f t="shared" si="243"/>
        <v/>
      </c>
      <c r="BW393" s="1558">
        <f t="shared" ca="1" si="250"/>
        <v>0</v>
      </c>
    </row>
    <row r="394" spans="1:75" s="9" customFormat="1" ht="12.5">
      <c r="A394" s="1483" t="str">
        <f t="shared" si="244"/>
        <v>Public Health Wales Trust</v>
      </c>
      <c r="B394" s="1583"/>
      <c r="C394" s="1583"/>
      <c r="D394" s="1583"/>
      <c r="E394" s="1581"/>
      <c r="F394" s="1436"/>
      <c r="G394" s="1547">
        <f t="shared" si="245"/>
        <v>0</v>
      </c>
      <c r="H394" s="1484"/>
      <c r="I394" s="1547">
        <f t="shared" si="246"/>
        <v>0</v>
      </c>
      <c r="J394" s="1485"/>
      <c r="K394" s="1485"/>
      <c r="L394" s="1436"/>
      <c r="M394" s="1439"/>
      <c r="N394" s="1439"/>
      <c r="O394" s="1485"/>
      <c r="P394" s="1486"/>
      <c r="Q394" s="1486"/>
      <c r="R394" s="1487"/>
      <c r="S394" s="1444"/>
      <c r="T394" s="1444"/>
      <c r="U394" s="1444"/>
      <c r="V394" s="1488"/>
      <c r="W394" s="1488"/>
      <c r="X394" s="1488"/>
      <c r="Y394" s="1488"/>
      <c r="Z394" s="1488"/>
      <c r="AA394" s="1488"/>
      <c r="AB394" s="1488"/>
      <c r="AC394" s="1488"/>
      <c r="AD394" s="1488"/>
      <c r="AE394" s="1488"/>
      <c r="AF394" s="1488"/>
      <c r="AG394" s="1488"/>
      <c r="AH394" s="1451">
        <f t="shared" si="218"/>
        <v>0</v>
      </c>
      <c r="AI394" s="1488"/>
      <c r="AJ394" s="1488"/>
      <c r="AK394" s="1488"/>
      <c r="AL394" s="1488"/>
      <c r="AM394" s="1488"/>
      <c r="AN394" s="1488"/>
      <c r="AO394" s="1488"/>
      <c r="AP394" s="1488"/>
      <c r="AQ394" s="1488"/>
      <c r="AR394" s="1488"/>
      <c r="AS394" s="1488"/>
      <c r="AT394" s="1542"/>
      <c r="AU394" s="1599">
        <f t="shared" si="219"/>
        <v>0</v>
      </c>
      <c r="AV394" s="1544">
        <f t="shared" si="247"/>
        <v>0</v>
      </c>
      <c r="AW394" s="1452">
        <f t="shared" si="220"/>
        <v>0</v>
      </c>
      <c r="AX394" s="1452">
        <f t="shared" si="221"/>
        <v>0</v>
      </c>
      <c r="AY394" s="1452">
        <f t="shared" si="222"/>
        <v>0</v>
      </c>
      <c r="AZ394" s="1452">
        <f t="shared" si="223"/>
        <v>0</v>
      </c>
      <c r="BA394" s="1452">
        <f t="shared" si="224"/>
        <v>0</v>
      </c>
      <c r="BB394" s="1452">
        <f t="shared" si="225"/>
        <v>0</v>
      </c>
      <c r="BC394" s="1452">
        <f t="shared" si="226"/>
        <v>0</v>
      </c>
      <c r="BD394" s="1452">
        <f t="shared" si="227"/>
        <v>0</v>
      </c>
      <c r="BE394" s="1452">
        <f t="shared" si="228"/>
        <v>0</v>
      </c>
      <c r="BF394" s="1452">
        <f t="shared" si="229"/>
        <v>0</v>
      </c>
      <c r="BG394" s="1452">
        <f t="shared" si="230"/>
        <v>0</v>
      </c>
      <c r="BH394" s="1452">
        <f t="shared" si="231"/>
        <v>0</v>
      </c>
      <c r="BI394" s="1452">
        <f t="shared" si="248"/>
        <v>0</v>
      </c>
      <c r="BJ394" s="1452" t="str">
        <f t="shared" si="232"/>
        <v/>
      </c>
      <c r="BK394" s="1452" t="str">
        <f t="shared" si="233"/>
        <v/>
      </c>
      <c r="BL394" s="1452" t="str">
        <f t="shared" si="234"/>
        <v/>
      </c>
      <c r="BM394" s="1452" t="str">
        <f t="shared" si="235"/>
        <v/>
      </c>
      <c r="BN394" s="1452" t="str">
        <f t="shared" ca="1" si="236"/>
        <v/>
      </c>
      <c r="BO394" s="1452" t="str">
        <f t="shared" si="249"/>
        <v/>
      </c>
      <c r="BP394" s="1452" t="str">
        <f t="shared" si="237"/>
        <v/>
      </c>
      <c r="BQ394" s="1452" t="str">
        <f t="shared" si="238"/>
        <v/>
      </c>
      <c r="BR394" s="1452" t="str">
        <f t="shared" si="239"/>
        <v/>
      </c>
      <c r="BS394" s="1452" t="str">
        <f t="shared" si="240"/>
        <v/>
      </c>
      <c r="BT394" s="1452" t="str">
        <f t="shared" si="241"/>
        <v/>
      </c>
      <c r="BU394" s="1452" t="str">
        <f t="shared" si="242"/>
        <v/>
      </c>
      <c r="BV394" s="1452" t="str">
        <f t="shared" si="243"/>
        <v/>
      </c>
      <c r="BW394" s="1558">
        <f t="shared" ca="1" si="250"/>
        <v>0</v>
      </c>
    </row>
    <row r="395" spans="1:75" s="9" customFormat="1" ht="12.5">
      <c r="A395" s="1483" t="str">
        <f t="shared" si="244"/>
        <v>Public Health Wales Trust</v>
      </c>
      <c r="B395" s="1583"/>
      <c r="C395" s="1583"/>
      <c r="D395" s="1583"/>
      <c r="E395" s="1581"/>
      <c r="F395" s="1436"/>
      <c r="G395" s="1547">
        <f t="shared" si="245"/>
        <v>0</v>
      </c>
      <c r="H395" s="1484"/>
      <c r="I395" s="1547">
        <f t="shared" si="246"/>
        <v>0</v>
      </c>
      <c r="J395" s="1485"/>
      <c r="K395" s="1485"/>
      <c r="L395" s="1436"/>
      <c r="M395" s="1439"/>
      <c r="N395" s="1439"/>
      <c r="O395" s="1485"/>
      <c r="P395" s="1486"/>
      <c r="Q395" s="1486"/>
      <c r="R395" s="1487"/>
      <c r="S395" s="1444"/>
      <c r="T395" s="1444"/>
      <c r="U395" s="1444"/>
      <c r="V395" s="1488"/>
      <c r="W395" s="1488"/>
      <c r="X395" s="1488"/>
      <c r="Y395" s="1488"/>
      <c r="Z395" s="1488"/>
      <c r="AA395" s="1488"/>
      <c r="AB395" s="1488"/>
      <c r="AC395" s="1488"/>
      <c r="AD395" s="1488"/>
      <c r="AE395" s="1488"/>
      <c r="AF395" s="1488"/>
      <c r="AG395" s="1488"/>
      <c r="AH395" s="1451">
        <f t="shared" si="218"/>
        <v>0</v>
      </c>
      <c r="AI395" s="1488"/>
      <c r="AJ395" s="1488"/>
      <c r="AK395" s="1488"/>
      <c r="AL395" s="1488"/>
      <c r="AM395" s="1488"/>
      <c r="AN395" s="1488"/>
      <c r="AO395" s="1488"/>
      <c r="AP395" s="1488"/>
      <c r="AQ395" s="1488"/>
      <c r="AR395" s="1488"/>
      <c r="AS395" s="1488"/>
      <c r="AT395" s="1542"/>
      <c r="AU395" s="1599">
        <f t="shared" si="219"/>
        <v>0</v>
      </c>
      <c r="AV395" s="1544">
        <f t="shared" si="247"/>
        <v>0</v>
      </c>
      <c r="AW395" s="1452">
        <f t="shared" si="220"/>
        <v>0</v>
      </c>
      <c r="AX395" s="1452">
        <f t="shared" si="221"/>
        <v>0</v>
      </c>
      <c r="AY395" s="1452">
        <f t="shared" si="222"/>
        <v>0</v>
      </c>
      <c r="AZ395" s="1452">
        <f t="shared" si="223"/>
        <v>0</v>
      </c>
      <c r="BA395" s="1452">
        <f t="shared" si="224"/>
        <v>0</v>
      </c>
      <c r="BB395" s="1452">
        <f t="shared" si="225"/>
        <v>0</v>
      </c>
      <c r="BC395" s="1452">
        <f t="shared" si="226"/>
        <v>0</v>
      </c>
      <c r="BD395" s="1452">
        <f t="shared" si="227"/>
        <v>0</v>
      </c>
      <c r="BE395" s="1452">
        <f t="shared" si="228"/>
        <v>0</v>
      </c>
      <c r="BF395" s="1452">
        <f t="shared" si="229"/>
        <v>0</v>
      </c>
      <c r="BG395" s="1452">
        <f t="shared" si="230"/>
        <v>0</v>
      </c>
      <c r="BH395" s="1452">
        <f t="shared" si="231"/>
        <v>0</v>
      </c>
      <c r="BI395" s="1452">
        <f t="shared" si="248"/>
        <v>0</v>
      </c>
      <c r="BJ395" s="1452" t="str">
        <f t="shared" si="232"/>
        <v/>
      </c>
      <c r="BK395" s="1452" t="str">
        <f t="shared" si="233"/>
        <v/>
      </c>
      <c r="BL395" s="1452" t="str">
        <f t="shared" si="234"/>
        <v/>
      </c>
      <c r="BM395" s="1452" t="str">
        <f t="shared" si="235"/>
        <v/>
      </c>
      <c r="BN395" s="1452" t="str">
        <f t="shared" ca="1" si="236"/>
        <v/>
      </c>
      <c r="BO395" s="1452" t="str">
        <f t="shared" si="249"/>
        <v/>
      </c>
      <c r="BP395" s="1452" t="str">
        <f t="shared" si="237"/>
        <v/>
      </c>
      <c r="BQ395" s="1452" t="str">
        <f t="shared" si="238"/>
        <v/>
      </c>
      <c r="BR395" s="1452" t="str">
        <f t="shared" si="239"/>
        <v/>
      </c>
      <c r="BS395" s="1452" t="str">
        <f t="shared" si="240"/>
        <v/>
      </c>
      <c r="BT395" s="1452" t="str">
        <f t="shared" si="241"/>
        <v/>
      </c>
      <c r="BU395" s="1452" t="str">
        <f t="shared" si="242"/>
        <v/>
      </c>
      <c r="BV395" s="1452" t="str">
        <f t="shared" si="243"/>
        <v/>
      </c>
      <c r="BW395" s="1558">
        <f t="shared" ca="1" si="250"/>
        <v>0</v>
      </c>
    </row>
    <row r="396" spans="1:75" s="9" customFormat="1" ht="12.5">
      <c r="A396" s="1483" t="str">
        <f t="shared" si="244"/>
        <v>Public Health Wales Trust</v>
      </c>
      <c r="B396" s="1583"/>
      <c r="C396" s="1583"/>
      <c r="D396" s="1583"/>
      <c r="E396" s="1581"/>
      <c r="F396" s="1436"/>
      <c r="G396" s="1547">
        <f t="shared" si="245"/>
        <v>0</v>
      </c>
      <c r="H396" s="1484"/>
      <c r="I396" s="1547">
        <f t="shared" si="246"/>
        <v>0</v>
      </c>
      <c r="J396" s="1485"/>
      <c r="K396" s="1485"/>
      <c r="L396" s="1436"/>
      <c r="M396" s="1439"/>
      <c r="N396" s="1439"/>
      <c r="O396" s="1485"/>
      <c r="P396" s="1486"/>
      <c r="Q396" s="1486"/>
      <c r="R396" s="1487"/>
      <c r="S396" s="1444"/>
      <c r="T396" s="1444"/>
      <c r="U396" s="1444"/>
      <c r="V396" s="1488"/>
      <c r="W396" s="1488"/>
      <c r="X396" s="1488"/>
      <c r="Y396" s="1488"/>
      <c r="Z396" s="1488"/>
      <c r="AA396" s="1488"/>
      <c r="AB396" s="1488"/>
      <c r="AC396" s="1488"/>
      <c r="AD396" s="1488"/>
      <c r="AE396" s="1488"/>
      <c r="AF396" s="1488"/>
      <c r="AG396" s="1488"/>
      <c r="AH396" s="1451">
        <f t="shared" si="218"/>
        <v>0</v>
      </c>
      <c r="AI396" s="1488"/>
      <c r="AJ396" s="1488"/>
      <c r="AK396" s="1488"/>
      <c r="AL396" s="1488"/>
      <c r="AM396" s="1488"/>
      <c r="AN396" s="1488"/>
      <c r="AO396" s="1488"/>
      <c r="AP396" s="1488"/>
      <c r="AQ396" s="1488"/>
      <c r="AR396" s="1488"/>
      <c r="AS396" s="1488"/>
      <c r="AT396" s="1542"/>
      <c r="AU396" s="1599">
        <f t="shared" si="219"/>
        <v>0</v>
      </c>
      <c r="AV396" s="1544">
        <f t="shared" si="247"/>
        <v>0</v>
      </c>
      <c r="AW396" s="1452">
        <f t="shared" si="220"/>
        <v>0</v>
      </c>
      <c r="AX396" s="1452">
        <f t="shared" si="221"/>
        <v>0</v>
      </c>
      <c r="AY396" s="1452">
        <f t="shared" si="222"/>
        <v>0</v>
      </c>
      <c r="AZ396" s="1452">
        <f t="shared" si="223"/>
        <v>0</v>
      </c>
      <c r="BA396" s="1452">
        <f t="shared" si="224"/>
        <v>0</v>
      </c>
      <c r="BB396" s="1452">
        <f t="shared" si="225"/>
        <v>0</v>
      </c>
      <c r="BC396" s="1452">
        <f t="shared" si="226"/>
        <v>0</v>
      </c>
      <c r="BD396" s="1452">
        <f t="shared" si="227"/>
        <v>0</v>
      </c>
      <c r="BE396" s="1452">
        <f t="shared" si="228"/>
        <v>0</v>
      </c>
      <c r="BF396" s="1452">
        <f t="shared" si="229"/>
        <v>0</v>
      </c>
      <c r="BG396" s="1452">
        <f t="shared" si="230"/>
        <v>0</v>
      </c>
      <c r="BH396" s="1452">
        <f t="shared" si="231"/>
        <v>0</v>
      </c>
      <c r="BI396" s="1452">
        <f t="shared" si="248"/>
        <v>0</v>
      </c>
      <c r="BJ396" s="1452" t="str">
        <f t="shared" si="232"/>
        <v/>
      </c>
      <c r="BK396" s="1452" t="str">
        <f t="shared" si="233"/>
        <v/>
      </c>
      <c r="BL396" s="1452" t="str">
        <f t="shared" si="234"/>
        <v/>
      </c>
      <c r="BM396" s="1452" t="str">
        <f t="shared" si="235"/>
        <v/>
      </c>
      <c r="BN396" s="1452" t="str">
        <f t="shared" ca="1" si="236"/>
        <v/>
      </c>
      <c r="BO396" s="1452" t="str">
        <f t="shared" si="249"/>
        <v/>
      </c>
      <c r="BP396" s="1452" t="str">
        <f t="shared" si="237"/>
        <v/>
      </c>
      <c r="BQ396" s="1452" t="str">
        <f t="shared" si="238"/>
        <v/>
      </c>
      <c r="BR396" s="1452" t="str">
        <f t="shared" si="239"/>
        <v/>
      </c>
      <c r="BS396" s="1452" t="str">
        <f t="shared" si="240"/>
        <v/>
      </c>
      <c r="BT396" s="1452" t="str">
        <f t="shared" si="241"/>
        <v/>
      </c>
      <c r="BU396" s="1452" t="str">
        <f t="shared" si="242"/>
        <v/>
      </c>
      <c r="BV396" s="1452" t="str">
        <f t="shared" si="243"/>
        <v/>
      </c>
      <c r="BW396" s="1558">
        <f t="shared" ca="1" si="250"/>
        <v>0</v>
      </c>
    </row>
    <row r="397" spans="1:75" s="9" customFormat="1" ht="12.5">
      <c r="A397" s="1483" t="str">
        <f t="shared" si="244"/>
        <v>Public Health Wales Trust</v>
      </c>
      <c r="B397" s="1583"/>
      <c r="C397" s="1583"/>
      <c r="D397" s="1583"/>
      <c r="E397" s="1581"/>
      <c r="F397" s="1436"/>
      <c r="G397" s="1547">
        <f t="shared" si="245"/>
        <v>0</v>
      </c>
      <c r="H397" s="1484"/>
      <c r="I397" s="1547">
        <f t="shared" si="246"/>
        <v>0</v>
      </c>
      <c r="J397" s="1485"/>
      <c r="K397" s="1485"/>
      <c r="L397" s="1436"/>
      <c r="M397" s="1439"/>
      <c r="N397" s="1439"/>
      <c r="O397" s="1485"/>
      <c r="P397" s="1486"/>
      <c r="Q397" s="1486"/>
      <c r="R397" s="1487"/>
      <c r="S397" s="1444"/>
      <c r="T397" s="1444"/>
      <c r="U397" s="1444"/>
      <c r="V397" s="1488"/>
      <c r="W397" s="1488"/>
      <c r="X397" s="1488"/>
      <c r="Y397" s="1488"/>
      <c r="Z397" s="1488"/>
      <c r="AA397" s="1488"/>
      <c r="AB397" s="1488"/>
      <c r="AC397" s="1488"/>
      <c r="AD397" s="1488"/>
      <c r="AE397" s="1488"/>
      <c r="AF397" s="1488"/>
      <c r="AG397" s="1488"/>
      <c r="AH397" s="1451">
        <f t="shared" si="218"/>
        <v>0</v>
      </c>
      <c r="AI397" s="1488"/>
      <c r="AJ397" s="1488"/>
      <c r="AK397" s="1488"/>
      <c r="AL397" s="1488"/>
      <c r="AM397" s="1488"/>
      <c r="AN397" s="1488"/>
      <c r="AO397" s="1488"/>
      <c r="AP397" s="1488"/>
      <c r="AQ397" s="1488"/>
      <c r="AR397" s="1488"/>
      <c r="AS397" s="1488"/>
      <c r="AT397" s="1542"/>
      <c r="AU397" s="1599">
        <f t="shared" si="219"/>
        <v>0</v>
      </c>
      <c r="AV397" s="1544">
        <f t="shared" si="247"/>
        <v>0</v>
      </c>
      <c r="AW397" s="1452">
        <f t="shared" si="220"/>
        <v>0</v>
      </c>
      <c r="AX397" s="1452">
        <f t="shared" si="221"/>
        <v>0</v>
      </c>
      <c r="AY397" s="1452">
        <f t="shared" si="222"/>
        <v>0</v>
      </c>
      <c r="AZ397" s="1452">
        <f t="shared" si="223"/>
        <v>0</v>
      </c>
      <c r="BA397" s="1452">
        <f t="shared" si="224"/>
        <v>0</v>
      </c>
      <c r="BB397" s="1452">
        <f t="shared" si="225"/>
        <v>0</v>
      </c>
      <c r="BC397" s="1452">
        <f t="shared" si="226"/>
        <v>0</v>
      </c>
      <c r="BD397" s="1452">
        <f t="shared" si="227"/>
        <v>0</v>
      </c>
      <c r="BE397" s="1452">
        <f t="shared" si="228"/>
        <v>0</v>
      </c>
      <c r="BF397" s="1452">
        <f t="shared" si="229"/>
        <v>0</v>
      </c>
      <c r="BG397" s="1452">
        <f t="shared" si="230"/>
        <v>0</v>
      </c>
      <c r="BH397" s="1452">
        <f t="shared" si="231"/>
        <v>0</v>
      </c>
      <c r="BI397" s="1452">
        <f t="shared" si="248"/>
        <v>0</v>
      </c>
      <c r="BJ397" s="1452" t="str">
        <f t="shared" si="232"/>
        <v/>
      </c>
      <c r="BK397" s="1452" t="str">
        <f t="shared" si="233"/>
        <v/>
      </c>
      <c r="BL397" s="1452" t="str">
        <f t="shared" si="234"/>
        <v/>
      </c>
      <c r="BM397" s="1452" t="str">
        <f t="shared" si="235"/>
        <v/>
      </c>
      <c r="BN397" s="1452" t="str">
        <f t="shared" ca="1" si="236"/>
        <v/>
      </c>
      <c r="BO397" s="1452" t="str">
        <f t="shared" si="249"/>
        <v/>
      </c>
      <c r="BP397" s="1452" t="str">
        <f t="shared" si="237"/>
        <v/>
      </c>
      <c r="BQ397" s="1452" t="str">
        <f t="shared" si="238"/>
        <v/>
      </c>
      <c r="BR397" s="1452" t="str">
        <f t="shared" si="239"/>
        <v/>
      </c>
      <c r="BS397" s="1452" t="str">
        <f t="shared" si="240"/>
        <v/>
      </c>
      <c r="BT397" s="1452" t="str">
        <f t="shared" si="241"/>
        <v/>
      </c>
      <c r="BU397" s="1452" t="str">
        <f t="shared" si="242"/>
        <v/>
      </c>
      <c r="BV397" s="1452" t="str">
        <f t="shared" si="243"/>
        <v/>
      </c>
      <c r="BW397" s="1558">
        <f t="shared" ca="1" si="250"/>
        <v>0</v>
      </c>
    </row>
    <row r="398" spans="1:75" s="9" customFormat="1" ht="12.5">
      <c r="A398" s="1483" t="str">
        <f t="shared" si="244"/>
        <v>Public Health Wales Trust</v>
      </c>
      <c r="B398" s="1583"/>
      <c r="C398" s="1583"/>
      <c r="D398" s="1583"/>
      <c r="E398" s="1581"/>
      <c r="F398" s="1436"/>
      <c r="G398" s="1547">
        <f t="shared" si="245"/>
        <v>0</v>
      </c>
      <c r="H398" s="1484"/>
      <c r="I398" s="1547">
        <f t="shared" si="246"/>
        <v>0</v>
      </c>
      <c r="J398" s="1485"/>
      <c r="K398" s="1485"/>
      <c r="L398" s="1436"/>
      <c r="M398" s="1439"/>
      <c r="N398" s="1439"/>
      <c r="O398" s="1485"/>
      <c r="P398" s="1486"/>
      <c r="Q398" s="1486"/>
      <c r="R398" s="1487"/>
      <c r="S398" s="1444"/>
      <c r="T398" s="1444"/>
      <c r="U398" s="1444"/>
      <c r="V398" s="1488"/>
      <c r="W398" s="1488"/>
      <c r="X398" s="1488"/>
      <c r="Y398" s="1488"/>
      <c r="Z398" s="1488"/>
      <c r="AA398" s="1488"/>
      <c r="AB398" s="1488"/>
      <c r="AC398" s="1488"/>
      <c r="AD398" s="1488"/>
      <c r="AE398" s="1488"/>
      <c r="AF398" s="1488"/>
      <c r="AG398" s="1488"/>
      <c r="AH398" s="1451">
        <f t="shared" si="218"/>
        <v>0</v>
      </c>
      <c r="AI398" s="1488"/>
      <c r="AJ398" s="1488"/>
      <c r="AK398" s="1488"/>
      <c r="AL398" s="1488"/>
      <c r="AM398" s="1488"/>
      <c r="AN398" s="1488"/>
      <c r="AO398" s="1488"/>
      <c r="AP398" s="1488"/>
      <c r="AQ398" s="1488"/>
      <c r="AR398" s="1488"/>
      <c r="AS398" s="1488"/>
      <c r="AT398" s="1542"/>
      <c r="AU398" s="1599">
        <f t="shared" si="219"/>
        <v>0</v>
      </c>
      <c r="AV398" s="1544">
        <f t="shared" si="247"/>
        <v>0</v>
      </c>
      <c r="AW398" s="1452">
        <f t="shared" si="220"/>
        <v>0</v>
      </c>
      <c r="AX398" s="1452">
        <f t="shared" si="221"/>
        <v>0</v>
      </c>
      <c r="AY398" s="1452">
        <f t="shared" si="222"/>
        <v>0</v>
      </c>
      <c r="AZ398" s="1452">
        <f t="shared" si="223"/>
        <v>0</v>
      </c>
      <c r="BA398" s="1452">
        <f t="shared" si="224"/>
        <v>0</v>
      </c>
      <c r="BB398" s="1452">
        <f t="shared" si="225"/>
        <v>0</v>
      </c>
      <c r="BC398" s="1452">
        <f t="shared" si="226"/>
        <v>0</v>
      </c>
      <c r="BD398" s="1452">
        <f t="shared" si="227"/>
        <v>0</v>
      </c>
      <c r="BE398" s="1452">
        <f t="shared" si="228"/>
        <v>0</v>
      </c>
      <c r="BF398" s="1452">
        <f t="shared" si="229"/>
        <v>0</v>
      </c>
      <c r="BG398" s="1452">
        <f t="shared" si="230"/>
        <v>0</v>
      </c>
      <c r="BH398" s="1452">
        <f t="shared" si="231"/>
        <v>0</v>
      </c>
      <c r="BI398" s="1452">
        <f t="shared" si="248"/>
        <v>0</v>
      </c>
      <c r="BJ398" s="1452" t="str">
        <f t="shared" si="232"/>
        <v/>
      </c>
      <c r="BK398" s="1452" t="str">
        <f t="shared" si="233"/>
        <v/>
      </c>
      <c r="BL398" s="1452" t="str">
        <f t="shared" si="234"/>
        <v/>
      </c>
      <c r="BM398" s="1452" t="str">
        <f t="shared" si="235"/>
        <v/>
      </c>
      <c r="BN398" s="1452" t="str">
        <f t="shared" ca="1" si="236"/>
        <v/>
      </c>
      <c r="BO398" s="1452" t="str">
        <f t="shared" si="249"/>
        <v/>
      </c>
      <c r="BP398" s="1452" t="str">
        <f t="shared" si="237"/>
        <v/>
      </c>
      <c r="BQ398" s="1452" t="str">
        <f t="shared" si="238"/>
        <v/>
      </c>
      <c r="BR398" s="1452" t="str">
        <f t="shared" si="239"/>
        <v/>
      </c>
      <c r="BS398" s="1452" t="str">
        <f t="shared" si="240"/>
        <v/>
      </c>
      <c r="BT398" s="1452" t="str">
        <f t="shared" si="241"/>
        <v/>
      </c>
      <c r="BU398" s="1452" t="str">
        <f t="shared" si="242"/>
        <v/>
      </c>
      <c r="BV398" s="1452" t="str">
        <f t="shared" si="243"/>
        <v/>
      </c>
      <c r="BW398" s="1558">
        <f t="shared" ca="1" si="250"/>
        <v>0</v>
      </c>
    </row>
    <row r="399" spans="1:75" s="9" customFormat="1" ht="12.5">
      <c r="A399" s="1483" t="str">
        <f t="shared" si="244"/>
        <v>Public Health Wales Trust</v>
      </c>
      <c r="B399" s="1583"/>
      <c r="C399" s="1583"/>
      <c r="D399" s="1583"/>
      <c r="E399" s="1581"/>
      <c r="F399" s="1436"/>
      <c r="G399" s="1547">
        <f t="shared" si="245"/>
        <v>0</v>
      </c>
      <c r="H399" s="1484"/>
      <c r="I399" s="1547">
        <f t="shared" si="246"/>
        <v>0</v>
      </c>
      <c r="J399" s="1485"/>
      <c r="K399" s="1485"/>
      <c r="L399" s="1436"/>
      <c r="M399" s="1439"/>
      <c r="N399" s="1439"/>
      <c r="O399" s="1485"/>
      <c r="P399" s="1486"/>
      <c r="Q399" s="1486"/>
      <c r="R399" s="1487"/>
      <c r="S399" s="1444"/>
      <c r="T399" s="1444"/>
      <c r="U399" s="1444"/>
      <c r="V399" s="1488"/>
      <c r="W399" s="1488"/>
      <c r="X399" s="1488"/>
      <c r="Y399" s="1488"/>
      <c r="Z399" s="1488"/>
      <c r="AA399" s="1488"/>
      <c r="AB399" s="1488"/>
      <c r="AC399" s="1488"/>
      <c r="AD399" s="1488"/>
      <c r="AE399" s="1488"/>
      <c r="AF399" s="1488"/>
      <c r="AG399" s="1488"/>
      <c r="AH399" s="1451">
        <f t="shared" si="218"/>
        <v>0</v>
      </c>
      <c r="AI399" s="1488"/>
      <c r="AJ399" s="1488"/>
      <c r="AK399" s="1488"/>
      <c r="AL399" s="1488"/>
      <c r="AM399" s="1488"/>
      <c r="AN399" s="1488"/>
      <c r="AO399" s="1488"/>
      <c r="AP399" s="1488"/>
      <c r="AQ399" s="1488"/>
      <c r="AR399" s="1488"/>
      <c r="AS399" s="1488"/>
      <c r="AT399" s="1542"/>
      <c r="AU399" s="1599">
        <f t="shared" si="219"/>
        <v>0</v>
      </c>
      <c r="AV399" s="1544">
        <f t="shared" si="247"/>
        <v>0</v>
      </c>
      <c r="AW399" s="1452">
        <f t="shared" si="220"/>
        <v>0</v>
      </c>
      <c r="AX399" s="1452">
        <f t="shared" si="221"/>
        <v>0</v>
      </c>
      <c r="AY399" s="1452">
        <f t="shared" si="222"/>
        <v>0</v>
      </c>
      <c r="AZ399" s="1452">
        <f t="shared" si="223"/>
        <v>0</v>
      </c>
      <c r="BA399" s="1452">
        <f t="shared" si="224"/>
        <v>0</v>
      </c>
      <c r="BB399" s="1452">
        <f t="shared" si="225"/>
        <v>0</v>
      </c>
      <c r="BC399" s="1452">
        <f t="shared" si="226"/>
        <v>0</v>
      </c>
      <c r="BD399" s="1452">
        <f t="shared" si="227"/>
        <v>0</v>
      </c>
      <c r="BE399" s="1452">
        <f t="shared" si="228"/>
        <v>0</v>
      </c>
      <c r="BF399" s="1452">
        <f t="shared" si="229"/>
        <v>0</v>
      </c>
      <c r="BG399" s="1452">
        <f t="shared" si="230"/>
        <v>0</v>
      </c>
      <c r="BH399" s="1452">
        <f t="shared" si="231"/>
        <v>0</v>
      </c>
      <c r="BI399" s="1452">
        <f t="shared" si="248"/>
        <v>0</v>
      </c>
      <c r="BJ399" s="1452" t="str">
        <f t="shared" si="232"/>
        <v/>
      </c>
      <c r="BK399" s="1452" t="str">
        <f t="shared" si="233"/>
        <v/>
      </c>
      <c r="BL399" s="1452" t="str">
        <f t="shared" si="234"/>
        <v/>
      </c>
      <c r="BM399" s="1452" t="str">
        <f t="shared" si="235"/>
        <v/>
      </c>
      <c r="BN399" s="1452" t="str">
        <f t="shared" ca="1" si="236"/>
        <v/>
      </c>
      <c r="BO399" s="1452" t="str">
        <f t="shared" si="249"/>
        <v/>
      </c>
      <c r="BP399" s="1452" t="str">
        <f t="shared" si="237"/>
        <v/>
      </c>
      <c r="BQ399" s="1452" t="str">
        <f t="shared" si="238"/>
        <v/>
      </c>
      <c r="BR399" s="1452" t="str">
        <f t="shared" si="239"/>
        <v/>
      </c>
      <c r="BS399" s="1452" t="str">
        <f t="shared" si="240"/>
        <v/>
      </c>
      <c r="BT399" s="1452" t="str">
        <f t="shared" si="241"/>
        <v/>
      </c>
      <c r="BU399" s="1452" t="str">
        <f t="shared" si="242"/>
        <v/>
      </c>
      <c r="BV399" s="1452" t="str">
        <f t="shared" si="243"/>
        <v/>
      </c>
      <c r="BW399" s="1558">
        <f t="shared" ca="1" si="250"/>
        <v>0</v>
      </c>
    </row>
    <row r="400" spans="1:75" s="9" customFormat="1" ht="12.5">
      <c r="A400" s="1483" t="str">
        <f t="shared" si="244"/>
        <v>Public Health Wales Trust</v>
      </c>
      <c r="B400" s="1583"/>
      <c r="C400" s="1583"/>
      <c r="D400" s="1583"/>
      <c r="E400" s="1581"/>
      <c r="F400" s="1436"/>
      <c r="G400" s="1547">
        <f t="shared" si="245"/>
        <v>0</v>
      </c>
      <c r="H400" s="1484"/>
      <c r="I400" s="1547">
        <f t="shared" si="246"/>
        <v>0</v>
      </c>
      <c r="J400" s="1485"/>
      <c r="K400" s="1485"/>
      <c r="L400" s="1436"/>
      <c r="M400" s="1439"/>
      <c r="N400" s="1439"/>
      <c r="O400" s="1485"/>
      <c r="P400" s="1486"/>
      <c r="Q400" s="1486"/>
      <c r="R400" s="1487"/>
      <c r="S400" s="1444"/>
      <c r="T400" s="1444"/>
      <c r="U400" s="1444"/>
      <c r="V400" s="1488"/>
      <c r="W400" s="1488"/>
      <c r="X400" s="1488"/>
      <c r="Y400" s="1488"/>
      <c r="Z400" s="1488"/>
      <c r="AA400" s="1488"/>
      <c r="AB400" s="1488"/>
      <c r="AC400" s="1488"/>
      <c r="AD400" s="1488"/>
      <c r="AE400" s="1488"/>
      <c r="AF400" s="1488"/>
      <c r="AG400" s="1488"/>
      <c r="AH400" s="1451">
        <f t="shared" si="218"/>
        <v>0</v>
      </c>
      <c r="AI400" s="1488"/>
      <c r="AJ400" s="1488"/>
      <c r="AK400" s="1488"/>
      <c r="AL400" s="1488"/>
      <c r="AM400" s="1488"/>
      <c r="AN400" s="1488"/>
      <c r="AO400" s="1488"/>
      <c r="AP400" s="1488"/>
      <c r="AQ400" s="1488"/>
      <c r="AR400" s="1488"/>
      <c r="AS400" s="1488"/>
      <c r="AT400" s="1542"/>
      <c r="AU400" s="1599">
        <f t="shared" si="219"/>
        <v>0</v>
      </c>
      <c r="AV400" s="1544">
        <f t="shared" si="247"/>
        <v>0</v>
      </c>
      <c r="AW400" s="1452">
        <f t="shared" si="220"/>
        <v>0</v>
      </c>
      <c r="AX400" s="1452">
        <f t="shared" si="221"/>
        <v>0</v>
      </c>
      <c r="AY400" s="1452">
        <f t="shared" si="222"/>
        <v>0</v>
      </c>
      <c r="AZ400" s="1452">
        <f t="shared" si="223"/>
        <v>0</v>
      </c>
      <c r="BA400" s="1452">
        <f t="shared" si="224"/>
        <v>0</v>
      </c>
      <c r="BB400" s="1452">
        <f t="shared" si="225"/>
        <v>0</v>
      </c>
      <c r="BC400" s="1452">
        <f t="shared" si="226"/>
        <v>0</v>
      </c>
      <c r="BD400" s="1452">
        <f t="shared" si="227"/>
        <v>0</v>
      </c>
      <c r="BE400" s="1452">
        <f t="shared" si="228"/>
        <v>0</v>
      </c>
      <c r="BF400" s="1452">
        <f t="shared" si="229"/>
        <v>0</v>
      </c>
      <c r="BG400" s="1452">
        <f t="shared" si="230"/>
        <v>0</v>
      </c>
      <c r="BH400" s="1452">
        <f t="shared" si="231"/>
        <v>0</v>
      </c>
      <c r="BI400" s="1452">
        <f t="shared" si="248"/>
        <v>0</v>
      </c>
      <c r="BJ400" s="1452" t="str">
        <f t="shared" si="232"/>
        <v/>
      </c>
      <c r="BK400" s="1452" t="str">
        <f t="shared" si="233"/>
        <v/>
      </c>
      <c r="BL400" s="1452" t="str">
        <f t="shared" si="234"/>
        <v/>
      </c>
      <c r="BM400" s="1452" t="str">
        <f t="shared" si="235"/>
        <v/>
      </c>
      <c r="BN400" s="1452" t="str">
        <f t="shared" ca="1" si="236"/>
        <v/>
      </c>
      <c r="BO400" s="1452" t="str">
        <f t="shared" si="249"/>
        <v/>
      </c>
      <c r="BP400" s="1452" t="str">
        <f t="shared" si="237"/>
        <v/>
      </c>
      <c r="BQ400" s="1452" t="str">
        <f t="shared" si="238"/>
        <v/>
      </c>
      <c r="BR400" s="1452" t="str">
        <f t="shared" si="239"/>
        <v/>
      </c>
      <c r="BS400" s="1452" t="str">
        <f t="shared" si="240"/>
        <v/>
      </c>
      <c r="BT400" s="1452" t="str">
        <f t="shared" si="241"/>
        <v/>
      </c>
      <c r="BU400" s="1452" t="str">
        <f t="shared" si="242"/>
        <v/>
      </c>
      <c r="BV400" s="1452" t="str">
        <f t="shared" si="243"/>
        <v/>
      </c>
      <c r="BW400" s="1558">
        <f t="shared" ca="1" si="250"/>
        <v>0</v>
      </c>
    </row>
    <row r="401" spans="1:75" s="9" customFormat="1" ht="12.5">
      <c r="A401" s="1483" t="str">
        <f t="shared" si="244"/>
        <v>Public Health Wales Trust</v>
      </c>
      <c r="B401" s="1583"/>
      <c r="C401" s="1583"/>
      <c r="D401" s="1583"/>
      <c r="E401" s="1581"/>
      <c r="F401" s="1436"/>
      <c r="G401" s="1547">
        <f t="shared" si="245"/>
        <v>0</v>
      </c>
      <c r="H401" s="1484"/>
      <c r="I401" s="1547">
        <f t="shared" si="246"/>
        <v>0</v>
      </c>
      <c r="J401" s="1485"/>
      <c r="K401" s="1485"/>
      <c r="L401" s="1436"/>
      <c r="M401" s="1439"/>
      <c r="N401" s="1439"/>
      <c r="O401" s="1485"/>
      <c r="P401" s="1486"/>
      <c r="Q401" s="1486"/>
      <c r="R401" s="1487"/>
      <c r="S401" s="1444"/>
      <c r="T401" s="1444"/>
      <c r="U401" s="1444"/>
      <c r="V401" s="1488"/>
      <c r="W401" s="1488"/>
      <c r="X401" s="1488"/>
      <c r="Y401" s="1488"/>
      <c r="Z401" s="1488"/>
      <c r="AA401" s="1488"/>
      <c r="AB401" s="1488"/>
      <c r="AC401" s="1488"/>
      <c r="AD401" s="1488"/>
      <c r="AE401" s="1488"/>
      <c r="AF401" s="1488"/>
      <c r="AG401" s="1488"/>
      <c r="AH401" s="1451">
        <f t="shared" si="218"/>
        <v>0</v>
      </c>
      <c r="AI401" s="1488"/>
      <c r="AJ401" s="1488"/>
      <c r="AK401" s="1488"/>
      <c r="AL401" s="1488"/>
      <c r="AM401" s="1488"/>
      <c r="AN401" s="1488"/>
      <c r="AO401" s="1488"/>
      <c r="AP401" s="1488"/>
      <c r="AQ401" s="1488"/>
      <c r="AR401" s="1488"/>
      <c r="AS401" s="1488"/>
      <c r="AT401" s="1542"/>
      <c r="AU401" s="1599">
        <f t="shared" si="219"/>
        <v>0</v>
      </c>
      <c r="AV401" s="1544">
        <f t="shared" si="247"/>
        <v>0</v>
      </c>
      <c r="AW401" s="1452">
        <f t="shared" si="220"/>
        <v>0</v>
      </c>
      <c r="AX401" s="1452">
        <f t="shared" si="221"/>
        <v>0</v>
      </c>
      <c r="AY401" s="1452">
        <f t="shared" si="222"/>
        <v>0</v>
      </c>
      <c r="AZ401" s="1452">
        <f t="shared" si="223"/>
        <v>0</v>
      </c>
      <c r="BA401" s="1452">
        <f t="shared" si="224"/>
        <v>0</v>
      </c>
      <c r="BB401" s="1452">
        <f t="shared" si="225"/>
        <v>0</v>
      </c>
      <c r="BC401" s="1452">
        <f t="shared" si="226"/>
        <v>0</v>
      </c>
      <c r="BD401" s="1452">
        <f t="shared" si="227"/>
        <v>0</v>
      </c>
      <c r="BE401" s="1452">
        <f t="shared" si="228"/>
        <v>0</v>
      </c>
      <c r="BF401" s="1452">
        <f t="shared" si="229"/>
        <v>0</v>
      </c>
      <c r="BG401" s="1452">
        <f t="shared" si="230"/>
        <v>0</v>
      </c>
      <c r="BH401" s="1452">
        <f t="shared" si="231"/>
        <v>0</v>
      </c>
      <c r="BI401" s="1452">
        <f t="shared" si="248"/>
        <v>0</v>
      </c>
      <c r="BJ401" s="1452" t="str">
        <f t="shared" si="232"/>
        <v/>
      </c>
      <c r="BK401" s="1452" t="str">
        <f t="shared" si="233"/>
        <v/>
      </c>
      <c r="BL401" s="1452" t="str">
        <f t="shared" si="234"/>
        <v/>
      </c>
      <c r="BM401" s="1452" t="str">
        <f t="shared" si="235"/>
        <v/>
      </c>
      <c r="BN401" s="1452" t="str">
        <f t="shared" ca="1" si="236"/>
        <v/>
      </c>
      <c r="BO401" s="1452" t="str">
        <f t="shared" si="249"/>
        <v/>
      </c>
      <c r="BP401" s="1452" t="str">
        <f t="shared" si="237"/>
        <v/>
      </c>
      <c r="BQ401" s="1452" t="str">
        <f t="shared" si="238"/>
        <v/>
      </c>
      <c r="BR401" s="1452" t="str">
        <f t="shared" si="239"/>
        <v/>
      </c>
      <c r="BS401" s="1452" t="str">
        <f t="shared" si="240"/>
        <v/>
      </c>
      <c r="BT401" s="1452" t="str">
        <f t="shared" si="241"/>
        <v/>
      </c>
      <c r="BU401" s="1452" t="str">
        <f t="shared" si="242"/>
        <v/>
      </c>
      <c r="BV401" s="1452" t="str">
        <f t="shared" si="243"/>
        <v/>
      </c>
      <c r="BW401" s="1558">
        <f t="shared" ca="1" si="250"/>
        <v>0</v>
      </c>
    </row>
    <row r="402" spans="1:75" s="9" customFormat="1" ht="12.5">
      <c r="A402" s="1483" t="str">
        <f t="shared" si="244"/>
        <v>Public Health Wales Trust</v>
      </c>
      <c r="B402" s="1583"/>
      <c r="C402" s="1583"/>
      <c r="D402" s="1583"/>
      <c r="E402" s="1581"/>
      <c r="F402" s="1436"/>
      <c r="G402" s="1547">
        <f t="shared" si="245"/>
        <v>0</v>
      </c>
      <c r="H402" s="1484"/>
      <c r="I402" s="1547">
        <f t="shared" si="246"/>
        <v>0</v>
      </c>
      <c r="J402" s="1485"/>
      <c r="K402" s="1485"/>
      <c r="L402" s="1436"/>
      <c r="M402" s="1439"/>
      <c r="N402" s="1439"/>
      <c r="O402" s="1485"/>
      <c r="P402" s="1486"/>
      <c r="Q402" s="1486"/>
      <c r="R402" s="1487"/>
      <c r="S402" s="1444"/>
      <c r="T402" s="1444"/>
      <c r="U402" s="1444"/>
      <c r="V402" s="1488"/>
      <c r="W402" s="1488"/>
      <c r="X402" s="1488"/>
      <c r="Y402" s="1488"/>
      <c r="Z402" s="1488"/>
      <c r="AA402" s="1488"/>
      <c r="AB402" s="1488"/>
      <c r="AC402" s="1488"/>
      <c r="AD402" s="1488"/>
      <c r="AE402" s="1488"/>
      <c r="AF402" s="1488"/>
      <c r="AG402" s="1488"/>
      <c r="AH402" s="1451">
        <f t="shared" si="218"/>
        <v>0</v>
      </c>
      <c r="AI402" s="1488"/>
      <c r="AJ402" s="1488"/>
      <c r="AK402" s="1488"/>
      <c r="AL402" s="1488"/>
      <c r="AM402" s="1488"/>
      <c r="AN402" s="1488"/>
      <c r="AO402" s="1488"/>
      <c r="AP402" s="1488"/>
      <c r="AQ402" s="1488"/>
      <c r="AR402" s="1488"/>
      <c r="AS402" s="1488"/>
      <c r="AT402" s="1542"/>
      <c r="AU402" s="1599">
        <f t="shared" si="219"/>
        <v>0</v>
      </c>
      <c r="AV402" s="1544">
        <f t="shared" si="247"/>
        <v>0</v>
      </c>
      <c r="AW402" s="1452">
        <f t="shared" si="220"/>
        <v>0</v>
      </c>
      <c r="AX402" s="1452">
        <f t="shared" si="221"/>
        <v>0</v>
      </c>
      <c r="AY402" s="1452">
        <f t="shared" si="222"/>
        <v>0</v>
      </c>
      <c r="AZ402" s="1452">
        <f t="shared" si="223"/>
        <v>0</v>
      </c>
      <c r="BA402" s="1452">
        <f t="shared" si="224"/>
        <v>0</v>
      </c>
      <c r="BB402" s="1452">
        <f t="shared" si="225"/>
        <v>0</v>
      </c>
      <c r="BC402" s="1452">
        <f t="shared" si="226"/>
        <v>0</v>
      </c>
      <c r="BD402" s="1452">
        <f t="shared" si="227"/>
        <v>0</v>
      </c>
      <c r="BE402" s="1452">
        <f t="shared" si="228"/>
        <v>0</v>
      </c>
      <c r="BF402" s="1452">
        <f t="shared" si="229"/>
        <v>0</v>
      </c>
      <c r="BG402" s="1452">
        <f t="shared" si="230"/>
        <v>0</v>
      </c>
      <c r="BH402" s="1452">
        <f t="shared" si="231"/>
        <v>0</v>
      </c>
      <c r="BI402" s="1452">
        <f t="shared" si="248"/>
        <v>0</v>
      </c>
      <c r="BJ402" s="1452" t="str">
        <f t="shared" si="232"/>
        <v/>
      </c>
      <c r="BK402" s="1452" t="str">
        <f t="shared" si="233"/>
        <v/>
      </c>
      <c r="BL402" s="1452" t="str">
        <f t="shared" si="234"/>
        <v/>
      </c>
      <c r="BM402" s="1452" t="str">
        <f t="shared" si="235"/>
        <v/>
      </c>
      <c r="BN402" s="1452" t="str">
        <f t="shared" ca="1" si="236"/>
        <v/>
      </c>
      <c r="BO402" s="1452" t="str">
        <f t="shared" si="249"/>
        <v/>
      </c>
      <c r="BP402" s="1452" t="str">
        <f t="shared" si="237"/>
        <v/>
      </c>
      <c r="BQ402" s="1452" t="str">
        <f t="shared" si="238"/>
        <v/>
      </c>
      <c r="BR402" s="1452" t="str">
        <f t="shared" si="239"/>
        <v/>
      </c>
      <c r="BS402" s="1452" t="str">
        <f t="shared" si="240"/>
        <v/>
      </c>
      <c r="BT402" s="1452" t="str">
        <f t="shared" si="241"/>
        <v/>
      </c>
      <c r="BU402" s="1452" t="str">
        <f t="shared" si="242"/>
        <v/>
      </c>
      <c r="BV402" s="1452" t="str">
        <f t="shared" si="243"/>
        <v/>
      </c>
      <c r="BW402" s="1558">
        <f t="shared" ca="1" si="250"/>
        <v>0</v>
      </c>
    </row>
    <row r="403" spans="1:75" s="9" customFormat="1" ht="12.5">
      <c r="A403" s="1483" t="str">
        <f t="shared" si="244"/>
        <v>Public Health Wales Trust</v>
      </c>
      <c r="B403" s="1583"/>
      <c r="C403" s="1583"/>
      <c r="D403" s="1583"/>
      <c r="E403" s="1581"/>
      <c r="F403" s="1436"/>
      <c r="G403" s="1547">
        <f t="shared" si="245"/>
        <v>0</v>
      </c>
      <c r="H403" s="1484"/>
      <c r="I403" s="1547">
        <f t="shared" si="246"/>
        <v>0</v>
      </c>
      <c r="J403" s="1485"/>
      <c r="K403" s="1485"/>
      <c r="L403" s="1436"/>
      <c r="M403" s="1439"/>
      <c r="N403" s="1439"/>
      <c r="O403" s="1485"/>
      <c r="P403" s="1486"/>
      <c r="Q403" s="1486"/>
      <c r="R403" s="1487"/>
      <c r="S403" s="1444"/>
      <c r="T403" s="1444"/>
      <c r="U403" s="1444"/>
      <c r="V403" s="1488"/>
      <c r="W403" s="1488"/>
      <c r="X403" s="1488"/>
      <c r="Y403" s="1488"/>
      <c r="Z403" s="1488"/>
      <c r="AA403" s="1488"/>
      <c r="AB403" s="1488"/>
      <c r="AC403" s="1488"/>
      <c r="AD403" s="1488"/>
      <c r="AE403" s="1488"/>
      <c r="AF403" s="1488"/>
      <c r="AG403" s="1488"/>
      <c r="AH403" s="1451">
        <f t="shared" si="218"/>
        <v>0</v>
      </c>
      <c r="AI403" s="1488"/>
      <c r="AJ403" s="1488"/>
      <c r="AK403" s="1488"/>
      <c r="AL403" s="1488"/>
      <c r="AM403" s="1488"/>
      <c r="AN403" s="1488"/>
      <c r="AO403" s="1488"/>
      <c r="AP403" s="1488"/>
      <c r="AQ403" s="1488"/>
      <c r="AR403" s="1488"/>
      <c r="AS403" s="1488"/>
      <c r="AT403" s="1542"/>
      <c r="AU403" s="1599">
        <f t="shared" si="219"/>
        <v>0</v>
      </c>
      <c r="AV403" s="1544">
        <f t="shared" si="247"/>
        <v>0</v>
      </c>
      <c r="AW403" s="1452">
        <f t="shared" si="220"/>
        <v>0</v>
      </c>
      <c r="AX403" s="1452">
        <f t="shared" si="221"/>
        <v>0</v>
      </c>
      <c r="AY403" s="1452">
        <f t="shared" si="222"/>
        <v>0</v>
      </c>
      <c r="AZ403" s="1452">
        <f t="shared" si="223"/>
        <v>0</v>
      </c>
      <c r="BA403" s="1452">
        <f t="shared" si="224"/>
        <v>0</v>
      </c>
      <c r="BB403" s="1452">
        <f t="shared" si="225"/>
        <v>0</v>
      </c>
      <c r="BC403" s="1452">
        <f t="shared" si="226"/>
        <v>0</v>
      </c>
      <c r="BD403" s="1452">
        <f t="shared" si="227"/>
        <v>0</v>
      </c>
      <c r="BE403" s="1452">
        <f t="shared" si="228"/>
        <v>0</v>
      </c>
      <c r="BF403" s="1452">
        <f t="shared" si="229"/>
        <v>0</v>
      </c>
      <c r="BG403" s="1452">
        <f t="shared" si="230"/>
        <v>0</v>
      </c>
      <c r="BH403" s="1452">
        <f t="shared" si="231"/>
        <v>0</v>
      </c>
      <c r="BI403" s="1452">
        <f t="shared" si="248"/>
        <v>0</v>
      </c>
      <c r="BJ403" s="1452" t="str">
        <f t="shared" si="232"/>
        <v/>
      </c>
      <c r="BK403" s="1452" t="str">
        <f t="shared" si="233"/>
        <v/>
      </c>
      <c r="BL403" s="1452" t="str">
        <f t="shared" si="234"/>
        <v/>
      </c>
      <c r="BM403" s="1452" t="str">
        <f t="shared" si="235"/>
        <v/>
      </c>
      <c r="BN403" s="1452" t="str">
        <f t="shared" ca="1" si="236"/>
        <v/>
      </c>
      <c r="BO403" s="1452" t="str">
        <f t="shared" si="249"/>
        <v/>
      </c>
      <c r="BP403" s="1452" t="str">
        <f t="shared" si="237"/>
        <v/>
      </c>
      <c r="BQ403" s="1452" t="str">
        <f t="shared" si="238"/>
        <v/>
      </c>
      <c r="BR403" s="1452" t="str">
        <f t="shared" si="239"/>
        <v/>
      </c>
      <c r="BS403" s="1452" t="str">
        <f t="shared" si="240"/>
        <v/>
      </c>
      <c r="BT403" s="1452" t="str">
        <f t="shared" si="241"/>
        <v/>
      </c>
      <c r="BU403" s="1452" t="str">
        <f t="shared" si="242"/>
        <v/>
      </c>
      <c r="BV403" s="1452" t="str">
        <f t="shared" si="243"/>
        <v/>
      </c>
      <c r="BW403" s="1558">
        <f t="shared" ca="1" si="250"/>
        <v>0</v>
      </c>
    </row>
    <row r="404" spans="1:75" s="9" customFormat="1" ht="12.5">
      <c r="A404" s="1483" t="str">
        <f t="shared" si="244"/>
        <v>Public Health Wales Trust</v>
      </c>
      <c r="B404" s="1583"/>
      <c r="C404" s="1583"/>
      <c r="D404" s="1583"/>
      <c r="E404" s="1581"/>
      <c r="F404" s="1436"/>
      <c r="G404" s="1547">
        <f t="shared" si="245"/>
        <v>0</v>
      </c>
      <c r="H404" s="1484"/>
      <c r="I404" s="1547">
        <f t="shared" si="246"/>
        <v>0</v>
      </c>
      <c r="J404" s="1485"/>
      <c r="K404" s="1485"/>
      <c r="L404" s="1436"/>
      <c r="M404" s="1439"/>
      <c r="N404" s="1439"/>
      <c r="O404" s="1485"/>
      <c r="P404" s="1486"/>
      <c r="Q404" s="1486"/>
      <c r="R404" s="1487"/>
      <c r="S404" s="1444"/>
      <c r="T404" s="1444"/>
      <c r="U404" s="1444"/>
      <c r="V404" s="1488"/>
      <c r="W404" s="1488"/>
      <c r="X404" s="1488"/>
      <c r="Y404" s="1488"/>
      <c r="Z404" s="1488"/>
      <c r="AA404" s="1488"/>
      <c r="AB404" s="1488"/>
      <c r="AC404" s="1488"/>
      <c r="AD404" s="1488"/>
      <c r="AE404" s="1488"/>
      <c r="AF404" s="1488"/>
      <c r="AG404" s="1488"/>
      <c r="AH404" s="1451">
        <f t="shared" si="218"/>
        <v>0</v>
      </c>
      <c r="AI404" s="1488"/>
      <c r="AJ404" s="1488"/>
      <c r="AK404" s="1488"/>
      <c r="AL404" s="1488"/>
      <c r="AM404" s="1488"/>
      <c r="AN404" s="1488"/>
      <c r="AO404" s="1488"/>
      <c r="AP404" s="1488"/>
      <c r="AQ404" s="1488"/>
      <c r="AR404" s="1488"/>
      <c r="AS404" s="1488"/>
      <c r="AT404" s="1542"/>
      <c r="AU404" s="1599">
        <f t="shared" si="219"/>
        <v>0</v>
      </c>
      <c r="AV404" s="1544">
        <f t="shared" si="247"/>
        <v>0</v>
      </c>
      <c r="AW404" s="1452">
        <f t="shared" si="220"/>
        <v>0</v>
      </c>
      <c r="AX404" s="1452">
        <f t="shared" si="221"/>
        <v>0</v>
      </c>
      <c r="AY404" s="1452">
        <f t="shared" si="222"/>
        <v>0</v>
      </c>
      <c r="AZ404" s="1452">
        <f t="shared" si="223"/>
        <v>0</v>
      </c>
      <c r="BA404" s="1452">
        <f t="shared" si="224"/>
        <v>0</v>
      </c>
      <c r="BB404" s="1452">
        <f t="shared" si="225"/>
        <v>0</v>
      </c>
      <c r="BC404" s="1452">
        <f t="shared" si="226"/>
        <v>0</v>
      </c>
      <c r="BD404" s="1452">
        <f t="shared" si="227"/>
        <v>0</v>
      </c>
      <c r="BE404" s="1452">
        <f t="shared" si="228"/>
        <v>0</v>
      </c>
      <c r="BF404" s="1452">
        <f t="shared" si="229"/>
        <v>0</v>
      </c>
      <c r="BG404" s="1452">
        <f t="shared" si="230"/>
        <v>0</v>
      </c>
      <c r="BH404" s="1452">
        <f t="shared" si="231"/>
        <v>0</v>
      </c>
      <c r="BI404" s="1452">
        <f t="shared" si="248"/>
        <v>0</v>
      </c>
      <c r="BJ404" s="1452" t="str">
        <f t="shared" si="232"/>
        <v/>
      </c>
      <c r="BK404" s="1452" t="str">
        <f t="shared" si="233"/>
        <v/>
      </c>
      <c r="BL404" s="1452" t="str">
        <f t="shared" si="234"/>
        <v/>
      </c>
      <c r="BM404" s="1452" t="str">
        <f t="shared" si="235"/>
        <v/>
      </c>
      <c r="BN404" s="1452" t="str">
        <f t="shared" ca="1" si="236"/>
        <v/>
      </c>
      <c r="BO404" s="1452" t="str">
        <f t="shared" si="249"/>
        <v/>
      </c>
      <c r="BP404" s="1452" t="str">
        <f t="shared" si="237"/>
        <v/>
      </c>
      <c r="BQ404" s="1452" t="str">
        <f t="shared" si="238"/>
        <v/>
      </c>
      <c r="BR404" s="1452" t="str">
        <f t="shared" si="239"/>
        <v/>
      </c>
      <c r="BS404" s="1452" t="str">
        <f t="shared" si="240"/>
        <v/>
      </c>
      <c r="BT404" s="1452" t="str">
        <f t="shared" si="241"/>
        <v/>
      </c>
      <c r="BU404" s="1452" t="str">
        <f t="shared" si="242"/>
        <v/>
      </c>
      <c r="BV404" s="1452" t="str">
        <f t="shared" si="243"/>
        <v/>
      </c>
      <c r="BW404" s="1558">
        <f t="shared" ca="1" si="250"/>
        <v>0</v>
      </c>
    </row>
    <row r="405" spans="1:75" s="9" customFormat="1" ht="12.5">
      <c r="A405" s="1483" t="str">
        <f t="shared" si="244"/>
        <v>Public Health Wales Trust</v>
      </c>
      <c r="B405" s="1583"/>
      <c r="C405" s="1583"/>
      <c r="D405" s="1583"/>
      <c r="E405" s="1581"/>
      <c r="F405" s="1436"/>
      <c r="G405" s="1547">
        <f t="shared" si="245"/>
        <v>0</v>
      </c>
      <c r="H405" s="1484"/>
      <c r="I405" s="1547">
        <f t="shared" si="246"/>
        <v>0</v>
      </c>
      <c r="J405" s="1485"/>
      <c r="K405" s="1485"/>
      <c r="L405" s="1436"/>
      <c r="M405" s="1439"/>
      <c r="N405" s="1439"/>
      <c r="O405" s="1485"/>
      <c r="P405" s="1486"/>
      <c r="Q405" s="1486"/>
      <c r="R405" s="1487"/>
      <c r="S405" s="1444"/>
      <c r="T405" s="1444"/>
      <c r="U405" s="1444"/>
      <c r="V405" s="1488"/>
      <c r="W405" s="1488"/>
      <c r="X405" s="1488"/>
      <c r="Y405" s="1488"/>
      <c r="Z405" s="1488"/>
      <c r="AA405" s="1488"/>
      <c r="AB405" s="1488"/>
      <c r="AC405" s="1488"/>
      <c r="AD405" s="1488"/>
      <c r="AE405" s="1488"/>
      <c r="AF405" s="1488"/>
      <c r="AG405" s="1488"/>
      <c r="AH405" s="1451">
        <f t="shared" si="218"/>
        <v>0</v>
      </c>
      <c r="AI405" s="1488"/>
      <c r="AJ405" s="1488"/>
      <c r="AK405" s="1488"/>
      <c r="AL405" s="1488"/>
      <c r="AM405" s="1488"/>
      <c r="AN405" s="1488"/>
      <c r="AO405" s="1488"/>
      <c r="AP405" s="1488"/>
      <c r="AQ405" s="1488"/>
      <c r="AR405" s="1488"/>
      <c r="AS405" s="1488"/>
      <c r="AT405" s="1542"/>
      <c r="AU405" s="1599">
        <f t="shared" si="219"/>
        <v>0</v>
      </c>
      <c r="AV405" s="1544">
        <f t="shared" si="247"/>
        <v>0</v>
      </c>
      <c r="AW405" s="1452">
        <f t="shared" si="220"/>
        <v>0</v>
      </c>
      <c r="AX405" s="1452">
        <f t="shared" si="221"/>
        <v>0</v>
      </c>
      <c r="AY405" s="1452">
        <f t="shared" si="222"/>
        <v>0</v>
      </c>
      <c r="AZ405" s="1452">
        <f t="shared" si="223"/>
        <v>0</v>
      </c>
      <c r="BA405" s="1452">
        <f t="shared" si="224"/>
        <v>0</v>
      </c>
      <c r="BB405" s="1452">
        <f t="shared" si="225"/>
        <v>0</v>
      </c>
      <c r="BC405" s="1452">
        <f t="shared" si="226"/>
        <v>0</v>
      </c>
      <c r="BD405" s="1452">
        <f t="shared" si="227"/>
        <v>0</v>
      </c>
      <c r="BE405" s="1452">
        <f t="shared" si="228"/>
        <v>0</v>
      </c>
      <c r="BF405" s="1452">
        <f t="shared" si="229"/>
        <v>0</v>
      </c>
      <c r="BG405" s="1452">
        <f t="shared" si="230"/>
        <v>0</v>
      </c>
      <c r="BH405" s="1452">
        <f t="shared" si="231"/>
        <v>0</v>
      </c>
      <c r="BI405" s="1452">
        <f t="shared" si="248"/>
        <v>0</v>
      </c>
      <c r="BJ405" s="1452" t="str">
        <f t="shared" si="232"/>
        <v/>
      </c>
      <c r="BK405" s="1452" t="str">
        <f t="shared" si="233"/>
        <v/>
      </c>
      <c r="BL405" s="1452" t="str">
        <f t="shared" si="234"/>
        <v/>
      </c>
      <c r="BM405" s="1452" t="str">
        <f t="shared" si="235"/>
        <v/>
      </c>
      <c r="BN405" s="1452" t="str">
        <f t="shared" ca="1" si="236"/>
        <v/>
      </c>
      <c r="BO405" s="1452" t="str">
        <f t="shared" si="249"/>
        <v/>
      </c>
      <c r="BP405" s="1452" t="str">
        <f t="shared" si="237"/>
        <v/>
      </c>
      <c r="BQ405" s="1452" t="str">
        <f t="shared" si="238"/>
        <v/>
      </c>
      <c r="BR405" s="1452" t="str">
        <f t="shared" si="239"/>
        <v/>
      </c>
      <c r="BS405" s="1452" t="str">
        <f t="shared" si="240"/>
        <v/>
      </c>
      <c r="BT405" s="1452" t="str">
        <f t="shared" si="241"/>
        <v/>
      </c>
      <c r="BU405" s="1452" t="str">
        <f t="shared" si="242"/>
        <v/>
      </c>
      <c r="BV405" s="1452" t="str">
        <f t="shared" si="243"/>
        <v/>
      </c>
      <c r="BW405" s="1558">
        <f t="shared" ca="1" si="250"/>
        <v>0</v>
      </c>
    </row>
    <row r="406" spans="1:75" s="9" customFormat="1" ht="12.5">
      <c r="A406" s="1483" t="str">
        <f t="shared" si="244"/>
        <v>Public Health Wales Trust</v>
      </c>
      <c r="B406" s="1583"/>
      <c r="C406" s="1583"/>
      <c r="D406" s="1583"/>
      <c r="E406" s="1581"/>
      <c r="F406" s="1436"/>
      <c r="G406" s="1547">
        <f t="shared" si="245"/>
        <v>0</v>
      </c>
      <c r="H406" s="1484"/>
      <c r="I406" s="1547">
        <f t="shared" si="246"/>
        <v>0</v>
      </c>
      <c r="J406" s="1485"/>
      <c r="K406" s="1485"/>
      <c r="L406" s="1436"/>
      <c r="M406" s="1439"/>
      <c r="N406" s="1439"/>
      <c r="O406" s="1485"/>
      <c r="P406" s="1486"/>
      <c r="Q406" s="1486"/>
      <c r="R406" s="1487"/>
      <c r="S406" s="1444"/>
      <c r="T406" s="1444"/>
      <c r="U406" s="1444"/>
      <c r="V406" s="1488"/>
      <c r="W406" s="1488"/>
      <c r="X406" s="1488"/>
      <c r="Y406" s="1488"/>
      <c r="Z406" s="1488"/>
      <c r="AA406" s="1488"/>
      <c r="AB406" s="1488"/>
      <c r="AC406" s="1488"/>
      <c r="AD406" s="1488"/>
      <c r="AE406" s="1488"/>
      <c r="AF406" s="1488"/>
      <c r="AG406" s="1488"/>
      <c r="AH406" s="1451">
        <f t="shared" si="218"/>
        <v>0</v>
      </c>
      <c r="AI406" s="1488"/>
      <c r="AJ406" s="1488"/>
      <c r="AK406" s="1488"/>
      <c r="AL406" s="1488"/>
      <c r="AM406" s="1488"/>
      <c r="AN406" s="1488"/>
      <c r="AO406" s="1488"/>
      <c r="AP406" s="1488"/>
      <c r="AQ406" s="1488"/>
      <c r="AR406" s="1488"/>
      <c r="AS406" s="1488"/>
      <c r="AT406" s="1542"/>
      <c r="AU406" s="1599">
        <f t="shared" si="219"/>
        <v>0</v>
      </c>
      <c r="AV406" s="1544">
        <f t="shared" si="247"/>
        <v>0</v>
      </c>
      <c r="AW406" s="1452">
        <f t="shared" si="220"/>
        <v>0</v>
      </c>
      <c r="AX406" s="1452">
        <f t="shared" si="221"/>
        <v>0</v>
      </c>
      <c r="AY406" s="1452">
        <f t="shared" si="222"/>
        <v>0</v>
      </c>
      <c r="AZ406" s="1452">
        <f t="shared" si="223"/>
        <v>0</v>
      </c>
      <c r="BA406" s="1452">
        <f t="shared" si="224"/>
        <v>0</v>
      </c>
      <c r="BB406" s="1452">
        <f t="shared" si="225"/>
        <v>0</v>
      </c>
      <c r="BC406" s="1452">
        <f t="shared" si="226"/>
        <v>0</v>
      </c>
      <c r="BD406" s="1452">
        <f t="shared" si="227"/>
        <v>0</v>
      </c>
      <c r="BE406" s="1452">
        <f t="shared" si="228"/>
        <v>0</v>
      </c>
      <c r="BF406" s="1452">
        <f t="shared" si="229"/>
        <v>0</v>
      </c>
      <c r="BG406" s="1452">
        <f t="shared" si="230"/>
        <v>0</v>
      </c>
      <c r="BH406" s="1452">
        <f t="shared" si="231"/>
        <v>0</v>
      </c>
      <c r="BI406" s="1452">
        <f t="shared" si="248"/>
        <v>0</v>
      </c>
      <c r="BJ406" s="1452" t="str">
        <f t="shared" si="232"/>
        <v/>
      </c>
      <c r="BK406" s="1452" t="str">
        <f t="shared" si="233"/>
        <v/>
      </c>
      <c r="BL406" s="1452" t="str">
        <f t="shared" si="234"/>
        <v/>
      </c>
      <c r="BM406" s="1452" t="str">
        <f t="shared" si="235"/>
        <v/>
      </c>
      <c r="BN406" s="1452" t="str">
        <f t="shared" ca="1" si="236"/>
        <v/>
      </c>
      <c r="BO406" s="1452" t="str">
        <f t="shared" si="249"/>
        <v/>
      </c>
      <c r="BP406" s="1452" t="str">
        <f t="shared" si="237"/>
        <v/>
      </c>
      <c r="BQ406" s="1452" t="str">
        <f t="shared" si="238"/>
        <v/>
      </c>
      <c r="BR406" s="1452" t="str">
        <f t="shared" si="239"/>
        <v/>
      </c>
      <c r="BS406" s="1452" t="str">
        <f t="shared" si="240"/>
        <v/>
      </c>
      <c r="BT406" s="1452" t="str">
        <f t="shared" si="241"/>
        <v/>
      </c>
      <c r="BU406" s="1452" t="str">
        <f t="shared" si="242"/>
        <v/>
      </c>
      <c r="BV406" s="1452" t="str">
        <f t="shared" si="243"/>
        <v/>
      </c>
      <c r="BW406" s="1558">
        <f t="shared" ca="1" si="250"/>
        <v>0</v>
      </c>
    </row>
    <row r="407" spans="1:75" s="9" customFormat="1" ht="12.5">
      <c r="A407" s="1483" t="str">
        <f t="shared" si="244"/>
        <v>Public Health Wales Trust</v>
      </c>
      <c r="B407" s="1583"/>
      <c r="C407" s="1583"/>
      <c r="D407" s="1583"/>
      <c r="E407" s="1581"/>
      <c r="F407" s="1436"/>
      <c r="G407" s="1547">
        <f t="shared" si="245"/>
        <v>0</v>
      </c>
      <c r="H407" s="1484"/>
      <c r="I407" s="1547">
        <f t="shared" si="246"/>
        <v>0</v>
      </c>
      <c r="J407" s="1485"/>
      <c r="K407" s="1485"/>
      <c r="L407" s="1436"/>
      <c r="M407" s="1439"/>
      <c r="N407" s="1439"/>
      <c r="O407" s="1485"/>
      <c r="P407" s="1486"/>
      <c r="Q407" s="1486"/>
      <c r="R407" s="1487"/>
      <c r="S407" s="1444"/>
      <c r="T407" s="1444"/>
      <c r="U407" s="1444"/>
      <c r="V407" s="1488"/>
      <c r="W407" s="1488"/>
      <c r="X407" s="1488"/>
      <c r="Y407" s="1488"/>
      <c r="Z407" s="1488"/>
      <c r="AA407" s="1488"/>
      <c r="AB407" s="1488"/>
      <c r="AC407" s="1488"/>
      <c r="AD407" s="1488"/>
      <c r="AE407" s="1488"/>
      <c r="AF407" s="1488"/>
      <c r="AG407" s="1488"/>
      <c r="AH407" s="1451">
        <f t="shared" si="218"/>
        <v>0</v>
      </c>
      <c r="AI407" s="1488"/>
      <c r="AJ407" s="1488"/>
      <c r="AK407" s="1488"/>
      <c r="AL407" s="1488"/>
      <c r="AM407" s="1488"/>
      <c r="AN407" s="1488"/>
      <c r="AO407" s="1488"/>
      <c r="AP407" s="1488"/>
      <c r="AQ407" s="1488"/>
      <c r="AR407" s="1488"/>
      <c r="AS407" s="1488"/>
      <c r="AT407" s="1542"/>
      <c r="AU407" s="1599">
        <f t="shared" si="219"/>
        <v>0</v>
      </c>
      <c r="AV407" s="1544">
        <f t="shared" si="247"/>
        <v>0</v>
      </c>
      <c r="AW407" s="1452">
        <f t="shared" si="220"/>
        <v>0</v>
      </c>
      <c r="AX407" s="1452">
        <f t="shared" si="221"/>
        <v>0</v>
      </c>
      <c r="AY407" s="1452">
        <f t="shared" si="222"/>
        <v>0</v>
      </c>
      <c r="AZ407" s="1452">
        <f t="shared" si="223"/>
        <v>0</v>
      </c>
      <c r="BA407" s="1452">
        <f t="shared" si="224"/>
        <v>0</v>
      </c>
      <c r="BB407" s="1452">
        <f t="shared" si="225"/>
        <v>0</v>
      </c>
      <c r="BC407" s="1452">
        <f t="shared" si="226"/>
        <v>0</v>
      </c>
      <c r="BD407" s="1452">
        <f t="shared" si="227"/>
        <v>0</v>
      </c>
      <c r="BE407" s="1452">
        <f t="shared" si="228"/>
        <v>0</v>
      </c>
      <c r="BF407" s="1452">
        <f t="shared" si="229"/>
        <v>0</v>
      </c>
      <c r="BG407" s="1452">
        <f t="shared" si="230"/>
        <v>0</v>
      </c>
      <c r="BH407" s="1452">
        <f t="shared" si="231"/>
        <v>0</v>
      </c>
      <c r="BI407" s="1452">
        <f t="shared" si="248"/>
        <v>0</v>
      </c>
      <c r="BJ407" s="1452" t="str">
        <f t="shared" si="232"/>
        <v/>
      </c>
      <c r="BK407" s="1452" t="str">
        <f t="shared" si="233"/>
        <v/>
      </c>
      <c r="BL407" s="1452" t="str">
        <f t="shared" si="234"/>
        <v/>
      </c>
      <c r="BM407" s="1452" t="str">
        <f t="shared" si="235"/>
        <v/>
      </c>
      <c r="BN407" s="1452" t="str">
        <f t="shared" ca="1" si="236"/>
        <v/>
      </c>
      <c r="BO407" s="1452" t="str">
        <f t="shared" si="249"/>
        <v/>
      </c>
      <c r="BP407" s="1452" t="str">
        <f t="shared" si="237"/>
        <v/>
      </c>
      <c r="BQ407" s="1452" t="str">
        <f t="shared" si="238"/>
        <v/>
      </c>
      <c r="BR407" s="1452" t="str">
        <f t="shared" si="239"/>
        <v/>
      </c>
      <c r="BS407" s="1452" t="str">
        <f t="shared" si="240"/>
        <v/>
      </c>
      <c r="BT407" s="1452" t="str">
        <f t="shared" si="241"/>
        <v/>
      </c>
      <c r="BU407" s="1452" t="str">
        <f t="shared" si="242"/>
        <v/>
      </c>
      <c r="BV407" s="1452" t="str">
        <f t="shared" si="243"/>
        <v/>
      </c>
      <c r="BW407" s="1558">
        <f t="shared" ca="1" si="250"/>
        <v>0</v>
      </c>
    </row>
    <row r="408" spans="1:75" s="9" customFormat="1" ht="12.5">
      <c r="A408" s="1483" t="str">
        <f t="shared" si="244"/>
        <v>Public Health Wales Trust</v>
      </c>
      <c r="B408" s="1583"/>
      <c r="C408" s="1583"/>
      <c r="D408" s="1583"/>
      <c r="E408" s="1581"/>
      <c r="F408" s="1436"/>
      <c r="G408" s="1547">
        <f t="shared" si="245"/>
        <v>0</v>
      </c>
      <c r="H408" s="1484"/>
      <c r="I408" s="1547">
        <f t="shared" si="246"/>
        <v>0</v>
      </c>
      <c r="J408" s="1485"/>
      <c r="K408" s="1485"/>
      <c r="L408" s="1436"/>
      <c r="M408" s="1439"/>
      <c r="N408" s="1439"/>
      <c r="O408" s="1485"/>
      <c r="P408" s="1486"/>
      <c r="Q408" s="1486"/>
      <c r="R408" s="1487"/>
      <c r="S408" s="1444"/>
      <c r="T408" s="1444"/>
      <c r="U408" s="1444"/>
      <c r="V408" s="1488"/>
      <c r="W408" s="1488"/>
      <c r="X408" s="1488"/>
      <c r="Y408" s="1488"/>
      <c r="Z408" s="1488"/>
      <c r="AA408" s="1488"/>
      <c r="AB408" s="1488"/>
      <c r="AC408" s="1488"/>
      <c r="AD408" s="1488"/>
      <c r="AE408" s="1488"/>
      <c r="AF408" s="1488"/>
      <c r="AG408" s="1488"/>
      <c r="AH408" s="1451">
        <f t="shared" si="218"/>
        <v>0</v>
      </c>
      <c r="AI408" s="1488"/>
      <c r="AJ408" s="1488"/>
      <c r="AK408" s="1488"/>
      <c r="AL408" s="1488"/>
      <c r="AM408" s="1488"/>
      <c r="AN408" s="1488"/>
      <c r="AO408" s="1488"/>
      <c r="AP408" s="1488"/>
      <c r="AQ408" s="1488"/>
      <c r="AR408" s="1488"/>
      <c r="AS408" s="1488"/>
      <c r="AT408" s="1542"/>
      <c r="AU408" s="1599">
        <f t="shared" si="219"/>
        <v>0</v>
      </c>
      <c r="AV408" s="1544">
        <f t="shared" si="247"/>
        <v>0</v>
      </c>
      <c r="AW408" s="1452">
        <f t="shared" si="220"/>
        <v>0</v>
      </c>
      <c r="AX408" s="1452">
        <f t="shared" si="221"/>
        <v>0</v>
      </c>
      <c r="AY408" s="1452">
        <f t="shared" si="222"/>
        <v>0</v>
      </c>
      <c r="AZ408" s="1452">
        <f t="shared" si="223"/>
        <v>0</v>
      </c>
      <c r="BA408" s="1452">
        <f t="shared" si="224"/>
        <v>0</v>
      </c>
      <c r="BB408" s="1452">
        <f t="shared" si="225"/>
        <v>0</v>
      </c>
      <c r="BC408" s="1452">
        <f t="shared" si="226"/>
        <v>0</v>
      </c>
      <c r="BD408" s="1452">
        <f t="shared" si="227"/>
        <v>0</v>
      </c>
      <c r="BE408" s="1452">
        <f t="shared" si="228"/>
        <v>0</v>
      </c>
      <c r="BF408" s="1452">
        <f t="shared" si="229"/>
        <v>0</v>
      </c>
      <c r="BG408" s="1452">
        <f t="shared" si="230"/>
        <v>0</v>
      </c>
      <c r="BH408" s="1452">
        <f t="shared" si="231"/>
        <v>0</v>
      </c>
      <c r="BI408" s="1452">
        <f t="shared" si="248"/>
        <v>0</v>
      </c>
      <c r="BJ408" s="1452" t="str">
        <f t="shared" si="232"/>
        <v/>
      </c>
      <c r="BK408" s="1452" t="str">
        <f t="shared" si="233"/>
        <v/>
      </c>
      <c r="BL408" s="1452" t="str">
        <f t="shared" si="234"/>
        <v/>
      </c>
      <c r="BM408" s="1452" t="str">
        <f t="shared" si="235"/>
        <v/>
      </c>
      <c r="BN408" s="1452" t="str">
        <f t="shared" ca="1" si="236"/>
        <v/>
      </c>
      <c r="BO408" s="1452" t="str">
        <f t="shared" si="249"/>
        <v/>
      </c>
      <c r="BP408" s="1452" t="str">
        <f t="shared" si="237"/>
        <v/>
      </c>
      <c r="BQ408" s="1452" t="str">
        <f t="shared" si="238"/>
        <v/>
      </c>
      <c r="BR408" s="1452" t="str">
        <f t="shared" si="239"/>
        <v/>
      </c>
      <c r="BS408" s="1452" t="str">
        <f t="shared" si="240"/>
        <v/>
      </c>
      <c r="BT408" s="1452" t="str">
        <f t="shared" si="241"/>
        <v/>
      </c>
      <c r="BU408" s="1452" t="str">
        <f t="shared" si="242"/>
        <v/>
      </c>
      <c r="BV408" s="1452" t="str">
        <f t="shared" si="243"/>
        <v/>
      </c>
      <c r="BW408" s="1558">
        <f t="shared" ca="1" si="250"/>
        <v>0</v>
      </c>
    </row>
    <row r="409" spans="1:75" s="9" customFormat="1" ht="12.5">
      <c r="A409" s="1483" t="str">
        <f t="shared" si="244"/>
        <v>Public Health Wales Trust</v>
      </c>
      <c r="B409" s="1583"/>
      <c r="C409" s="1583"/>
      <c r="D409" s="1583"/>
      <c r="E409" s="1581"/>
      <c r="F409" s="1436"/>
      <c r="G409" s="1547">
        <f t="shared" si="245"/>
        <v>0</v>
      </c>
      <c r="H409" s="1484"/>
      <c r="I409" s="1547">
        <f t="shared" si="246"/>
        <v>0</v>
      </c>
      <c r="J409" s="1485"/>
      <c r="K409" s="1485"/>
      <c r="L409" s="1436"/>
      <c r="M409" s="1439"/>
      <c r="N409" s="1439"/>
      <c r="O409" s="1485"/>
      <c r="P409" s="1486"/>
      <c r="Q409" s="1486"/>
      <c r="R409" s="1487"/>
      <c r="S409" s="1444"/>
      <c r="T409" s="1444"/>
      <c r="U409" s="1444"/>
      <c r="V409" s="1488"/>
      <c r="W409" s="1488"/>
      <c r="X409" s="1488"/>
      <c r="Y409" s="1488"/>
      <c r="Z409" s="1488"/>
      <c r="AA409" s="1488"/>
      <c r="AB409" s="1488"/>
      <c r="AC409" s="1488"/>
      <c r="AD409" s="1488"/>
      <c r="AE409" s="1488"/>
      <c r="AF409" s="1488"/>
      <c r="AG409" s="1488"/>
      <c r="AH409" s="1451">
        <f t="shared" si="218"/>
        <v>0</v>
      </c>
      <c r="AI409" s="1488"/>
      <c r="AJ409" s="1488"/>
      <c r="AK409" s="1488"/>
      <c r="AL409" s="1488"/>
      <c r="AM409" s="1488"/>
      <c r="AN409" s="1488"/>
      <c r="AO409" s="1488"/>
      <c r="AP409" s="1488"/>
      <c r="AQ409" s="1488"/>
      <c r="AR409" s="1488"/>
      <c r="AS409" s="1488"/>
      <c r="AT409" s="1542"/>
      <c r="AU409" s="1599">
        <f t="shared" si="219"/>
        <v>0</v>
      </c>
      <c r="AV409" s="1544">
        <f t="shared" si="247"/>
        <v>0</v>
      </c>
      <c r="AW409" s="1452">
        <f t="shared" si="220"/>
        <v>0</v>
      </c>
      <c r="AX409" s="1452">
        <f t="shared" si="221"/>
        <v>0</v>
      </c>
      <c r="AY409" s="1452">
        <f t="shared" si="222"/>
        <v>0</v>
      </c>
      <c r="AZ409" s="1452">
        <f t="shared" si="223"/>
        <v>0</v>
      </c>
      <c r="BA409" s="1452">
        <f t="shared" si="224"/>
        <v>0</v>
      </c>
      <c r="BB409" s="1452">
        <f t="shared" si="225"/>
        <v>0</v>
      </c>
      <c r="BC409" s="1452">
        <f t="shared" si="226"/>
        <v>0</v>
      </c>
      <c r="BD409" s="1452">
        <f t="shared" si="227"/>
        <v>0</v>
      </c>
      <c r="BE409" s="1452">
        <f t="shared" si="228"/>
        <v>0</v>
      </c>
      <c r="BF409" s="1452">
        <f t="shared" si="229"/>
        <v>0</v>
      </c>
      <c r="BG409" s="1452">
        <f t="shared" si="230"/>
        <v>0</v>
      </c>
      <c r="BH409" s="1452">
        <f t="shared" si="231"/>
        <v>0</v>
      </c>
      <c r="BI409" s="1452">
        <f t="shared" si="248"/>
        <v>0</v>
      </c>
      <c r="BJ409" s="1452" t="str">
        <f t="shared" si="232"/>
        <v/>
      </c>
      <c r="BK409" s="1452" t="str">
        <f t="shared" si="233"/>
        <v/>
      </c>
      <c r="BL409" s="1452" t="str">
        <f t="shared" si="234"/>
        <v/>
      </c>
      <c r="BM409" s="1452" t="str">
        <f t="shared" si="235"/>
        <v/>
      </c>
      <c r="BN409" s="1452" t="str">
        <f t="shared" ca="1" si="236"/>
        <v/>
      </c>
      <c r="BO409" s="1452" t="str">
        <f t="shared" si="249"/>
        <v/>
      </c>
      <c r="BP409" s="1452" t="str">
        <f t="shared" si="237"/>
        <v/>
      </c>
      <c r="BQ409" s="1452" t="str">
        <f t="shared" si="238"/>
        <v/>
      </c>
      <c r="BR409" s="1452" t="str">
        <f t="shared" si="239"/>
        <v/>
      </c>
      <c r="BS409" s="1452" t="str">
        <f t="shared" si="240"/>
        <v/>
      </c>
      <c r="BT409" s="1452" t="str">
        <f t="shared" si="241"/>
        <v/>
      </c>
      <c r="BU409" s="1452" t="str">
        <f t="shared" si="242"/>
        <v/>
      </c>
      <c r="BV409" s="1452" t="str">
        <f t="shared" si="243"/>
        <v/>
      </c>
      <c r="BW409" s="1558">
        <f t="shared" ca="1" si="250"/>
        <v>0</v>
      </c>
    </row>
    <row r="410" spans="1:75" s="9" customFormat="1" ht="12.5">
      <c r="A410" s="1483" t="str">
        <f t="shared" si="244"/>
        <v>Public Health Wales Trust</v>
      </c>
      <c r="B410" s="1583"/>
      <c r="C410" s="1583"/>
      <c r="D410" s="1583"/>
      <c r="E410" s="1581"/>
      <c r="F410" s="1436"/>
      <c r="G410" s="1547">
        <f t="shared" si="245"/>
        <v>0</v>
      </c>
      <c r="H410" s="1484"/>
      <c r="I410" s="1547">
        <f t="shared" si="246"/>
        <v>0</v>
      </c>
      <c r="J410" s="1485"/>
      <c r="K410" s="1485"/>
      <c r="L410" s="1436"/>
      <c r="M410" s="1439"/>
      <c r="N410" s="1439"/>
      <c r="O410" s="1485"/>
      <c r="P410" s="1486"/>
      <c r="Q410" s="1486"/>
      <c r="R410" s="1487"/>
      <c r="S410" s="1444"/>
      <c r="T410" s="1444"/>
      <c r="U410" s="1444"/>
      <c r="V410" s="1488"/>
      <c r="W410" s="1488"/>
      <c r="X410" s="1488"/>
      <c r="Y410" s="1488"/>
      <c r="Z410" s="1488"/>
      <c r="AA410" s="1488"/>
      <c r="AB410" s="1488"/>
      <c r="AC410" s="1488"/>
      <c r="AD410" s="1488"/>
      <c r="AE410" s="1488"/>
      <c r="AF410" s="1488"/>
      <c r="AG410" s="1488"/>
      <c r="AH410" s="1451">
        <f t="shared" si="218"/>
        <v>0</v>
      </c>
      <c r="AI410" s="1488"/>
      <c r="AJ410" s="1488"/>
      <c r="AK410" s="1488"/>
      <c r="AL410" s="1488"/>
      <c r="AM410" s="1488"/>
      <c r="AN410" s="1488"/>
      <c r="AO410" s="1488"/>
      <c r="AP410" s="1488"/>
      <c r="AQ410" s="1488"/>
      <c r="AR410" s="1488"/>
      <c r="AS410" s="1488"/>
      <c r="AT410" s="1542"/>
      <c r="AU410" s="1599">
        <f t="shared" si="219"/>
        <v>0</v>
      </c>
      <c r="AV410" s="1544">
        <f t="shared" si="247"/>
        <v>0</v>
      </c>
      <c r="AW410" s="1452">
        <f t="shared" si="220"/>
        <v>0</v>
      </c>
      <c r="AX410" s="1452">
        <f t="shared" si="221"/>
        <v>0</v>
      </c>
      <c r="AY410" s="1452">
        <f t="shared" si="222"/>
        <v>0</v>
      </c>
      <c r="AZ410" s="1452">
        <f t="shared" si="223"/>
        <v>0</v>
      </c>
      <c r="BA410" s="1452">
        <f t="shared" si="224"/>
        <v>0</v>
      </c>
      <c r="BB410" s="1452">
        <f t="shared" si="225"/>
        <v>0</v>
      </c>
      <c r="BC410" s="1452">
        <f t="shared" si="226"/>
        <v>0</v>
      </c>
      <c r="BD410" s="1452">
        <f t="shared" si="227"/>
        <v>0</v>
      </c>
      <c r="BE410" s="1452">
        <f t="shared" si="228"/>
        <v>0</v>
      </c>
      <c r="BF410" s="1452">
        <f t="shared" si="229"/>
        <v>0</v>
      </c>
      <c r="BG410" s="1452">
        <f t="shared" si="230"/>
        <v>0</v>
      </c>
      <c r="BH410" s="1452">
        <f t="shared" si="231"/>
        <v>0</v>
      </c>
      <c r="BI410" s="1452">
        <f t="shared" si="248"/>
        <v>0</v>
      </c>
      <c r="BJ410" s="1452" t="str">
        <f t="shared" si="232"/>
        <v/>
      </c>
      <c r="BK410" s="1452" t="str">
        <f t="shared" si="233"/>
        <v/>
      </c>
      <c r="BL410" s="1452" t="str">
        <f t="shared" si="234"/>
        <v/>
      </c>
      <c r="BM410" s="1452" t="str">
        <f t="shared" si="235"/>
        <v/>
      </c>
      <c r="BN410" s="1452" t="str">
        <f t="shared" ca="1" si="236"/>
        <v/>
      </c>
      <c r="BO410" s="1452" t="str">
        <f t="shared" si="249"/>
        <v/>
      </c>
      <c r="BP410" s="1452" t="str">
        <f t="shared" si="237"/>
        <v/>
      </c>
      <c r="BQ410" s="1452" t="str">
        <f t="shared" si="238"/>
        <v/>
      </c>
      <c r="BR410" s="1452" t="str">
        <f t="shared" si="239"/>
        <v/>
      </c>
      <c r="BS410" s="1452" t="str">
        <f t="shared" si="240"/>
        <v/>
      </c>
      <c r="BT410" s="1452" t="str">
        <f t="shared" si="241"/>
        <v/>
      </c>
      <c r="BU410" s="1452" t="str">
        <f t="shared" si="242"/>
        <v/>
      </c>
      <c r="BV410" s="1452" t="str">
        <f t="shared" si="243"/>
        <v/>
      </c>
      <c r="BW410" s="1558">
        <f t="shared" ca="1" si="250"/>
        <v>0</v>
      </c>
    </row>
    <row r="411" spans="1:75" s="9" customFormat="1" ht="12.5">
      <c r="A411" s="1483" t="str">
        <f t="shared" si="244"/>
        <v>Public Health Wales Trust</v>
      </c>
      <c r="B411" s="1583"/>
      <c r="C411" s="1583"/>
      <c r="D411" s="1583"/>
      <c r="E411" s="1581"/>
      <c r="F411" s="1436"/>
      <c r="G411" s="1547">
        <f t="shared" si="245"/>
        <v>0</v>
      </c>
      <c r="H411" s="1484"/>
      <c r="I411" s="1547">
        <f t="shared" si="246"/>
        <v>0</v>
      </c>
      <c r="J411" s="1485"/>
      <c r="K411" s="1485"/>
      <c r="L411" s="1436"/>
      <c r="M411" s="1439"/>
      <c r="N411" s="1439"/>
      <c r="O411" s="1485"/>
      <c r="P411" s="1486"/>
      <c r="Q411" s="1486"/>
      <c r="R411" s="1487"/>
      <c r="S411" s="1444"/>
      <c r="T411" s="1444"/>
      <c r="U411" s="1444"/>
      <c r="V411" s="1488"/>
      <c r="W411" s="1488"/>
      <c r="X411" s="1488"/>
      <c r="Y411" s="1488"/>
      <c r="Z411" s="1488"/>
      <c r="AA411" s="1488"/>
      <c r="AB411" s="1488"/>
      <c r="AC411" s="1488"/>
      <c r="AD411" s="1488"/>
      <c r="AE411" s="1488"/>
      <c r="AF411" s="1488"/>
      <c r="AG411" s="1488"/>
      <c r="AH411" s="1451">
        <f t="shared" si="218"/>
        <v>0</v>
      </c>
      <c r="AI411" s="1488"/>
      <c r="AJ411" s="1488"/>
      <c r="AK411" s="1488"/>
      <c r="AL411" s="1488"/>
      <c r="AM411" s="1488"/>
      <c r="AN411" s="1488"/>
      <c r="AO411" s="1488"/>
      <c r="AP411" s="1488"/>
      <c r="AQ411" s="1488"/>
      <c r="AR411" s="1488"/>
      <c r="AS411" s="1488"/>
      <c r="AT411" s="1542"/>
      <c r="AU411" s="1599">
        <f t="shared" si="219"/>
        <v>0</v>
      </c>
      <c r="AV411" s="1544">
        <f t="shared" si="247"/>
        <v>0</v>
      </c>
      <c r="AW411" s="1452">
        <f t="shared" si="220"/>
        <v>0</v>
      </c>
      <c r="AX411" s="1452">
        <f t="shared" si="221"/>
        <v>0</v>
      </c>
      <c r="AY411" s="1452">
        <f t="shared" si="222"/>
        <v>0</v>
      </c>
      <c r="AZ411" s="1452">
        <f t="shared" si="223"/>
        <v>0</v>
      </c>
      <c r="BA411" s="1452">
        <f t="shared" si="224"/>
        <v>0</v>
      </c>
      <c r="BB411" s="1452">
        <f t="shared" si="225"/>
        <v>0</v>
      </c>
      <c r="BC411" s="1452">
        <f t="shared" si="226"/>
        <v>0</v>
      </c>
      <c r="BD411" s="1452">
        <f t="shared" si="227"/>
        <v>0</v>
      </c>
      <c r="BE411" s="1452">
        <f t="shared" si="228"/>
        <v>0</v>
      </c>
      <c r="BF411" s="1452">
        <f t="shared" si="229"/>
        <v>0</v>
      </c>
      <c r="BG411" s="1452">
        <f t="shared" si="230"/>
        <v>0</v>
      </c>
      <c r="BH411" s="1452">
        <f t="shared" si="231"/>
        <v>0</v>
      </c>
      <c r="BI411" s="1452">
        <f t="shared" si="248"/>
        <v>0</v>
      </c>
      <c r="BJ411" s="1452" t="str">
        <f t="shared" si="232"/>
        <v/>
      </c>
      <c r="BK411" s="1452" t="str">
        <f t="shared" si="233"/>
        <v/>
      </c>
      <c r="BL411" s="1452" t="str">
        <f t="shared" si="234"/>
        <v/>
      </c>
      <c r="BM411" s="1452" t="str">
        <f t="shared" si="235"/>
        <v/>
      </c>
      <c r="BN411" s="1452" t="str">
        <f t="shared" ca="1" si="236"/>
        <v/>
      </c>
      <c r="BO411" s="1452" t="str">
        <f t="shared" si="249"/>
        <v/>
      </c>
      <c r="BP411" s="1452" t="str">
        <f t="shared" si="237"/>
        <v/>
      </c>
      <c r="BQ411" s="1452" t="str">
        <f t="shared" si="238"/>
        <v/>
      </c>
      <c r="BR411" s="1452" t="str">
        <f t="shared" si="239"/>
        <v/>
      </c>
      <c r="BS411" s="1452" t="str">
        <f t="shared" si="240"/>
        <v/>
      </c>
      <c r="BT411" s="1452" t="str">
        <f t="shared" si="241"/>
        <v/>
      </c>
      <c r="BU411" s="1452" t="str">
        <f t="shared" si="242"/>
        <v/>
      </c>
      <c r="BV411" s="1452" t="str">
        <f t="shared" si="243"/>
        <v/>
      </c>
      <c r="BW411" s="1558">
        <f t="shared" ca="1" si="250"/>
        <v>0</v>
      </c>
    </row>
    <row r="412" spans="1:75" s="9" customFormat="1" ht="12.5">
      <c r="A412" s="1483" t="str">
        <f t="shared" si="244"/>
        <v>Public Health Wales Trust</v>
      </c>
      <c r="B412" s="1583"/>
      <c r="C412" s="1583"/>
      <c r="D412" s="1583"/>
      <c r="E412" s="1581"/>
      <c r="F412" s="1436"/>
      <c r="G412" s="1547">
        <f t="shared" si="245"/>
        <v>0</v>
      </c>
      <c r="H412" s="1484"/>
      <c r="I412" s="1547">
        <f t="shared" si="246"/>
        <v>0</v>
      </c>
      <c r="J412" s="1485"/>
      <c r="K412" s="1485"/>
      <c r="L412" s="1436"/>
      <c r="M412" s="1439"/>
      <c r="N412" s="1439"/>
      <c r="O412" s="1485"/>
      <c r="P412" s="1486"/>
      <c r="Q412" s="1486"/>
      <c r="R412" s="1487"/>
      <c r="S412" s="1444"/>
      <c r="T412" s="1444"/>
      <c r="U412" s="1444"/>
      <c r="V412" s="1488"/>
      <c r="W412" s="1488"/>
      <c r="X412" s="1488"/>
      <c r="Y412" s="1488"/>
      <c r="Z412" s="1488"/>
      <c r="AA412" s="1488"/>
      <c r="AB412" s="1488"/>
      <c r="AC412" s="1488"/>
      <c r="AD412" s="1488"/>
      <c r="AE412" s="1488"/>
      <c r="AF412" s="1488"/>
      <c r="AG412" s="1488"/>
      <c r="AH412" s="1451">
        <f t="shared" si="218"/>
        <v>0</v>
      </c>
      <c r="AI412" s="1488"/>
      <c r="AJ412" s="1488"/>
      <c r="AK412" s="1488"/>
      <c r="AL412" s="1488"/>
      <c r="AM412" s="1488"/>
      <c r="AN412" s="1488"/>
      <c r="AO412" s="1488"/>
      <c r="AP412" s="1488"/>
      <c r="AQ412" s="1488"/>
      <c r="AR412" s="1488"/>
      <c r="AS412" s="1488"/>
      <c r="AT412" s="1542"/>
      <c r="AU412" s="1599">
        <f t="shared" si="219"/>
        <v>0</v>
      </c>
      <c r="AV412" s="1544">
        <f t="shared" si="247"/>
        <v>0</v>
      </c>
      <c r="AW412" s="1452">
        <f t="shared" si="220"/>
        <v>0</v>
      </c>
      <c r="AX412" s="1452">
        <f t="shared" si="221"/>
        <v>0</v>
      </c>
      <c r="AY412" s="1452">
        <f t="shared" si="222"/>
        <v>0</v>
      </c>
      <c r="AZ412" s="1452">
        <f t="shared" si="223"/>
        <v>0</v>
      </c>
      <c r="BA412" s="1452">
        <f t="shared" si="224"/>
        <v>0</v>
      </c>
      <c r="BB412" s="1452">
        <f t="shared" si="225"/>
        <v>0</v>
      </c>
      <c r="BC412" s="1452">
        <f t="shared" si="226"/>
        <v>0</v>
      </c>
      <c r="BD412" s="1452">
        <f t="shared" si="227"/>
        <v>0</v>
      </c>
      <c r="BE412" s="1452">
        <f t="shared" si="228"/>
        <v>0</v>
      </c>
      <c r="BF412" s="1452">
        <f t="shared" si="229"/>
        <v>0</v>
      </c>
      <c r="BG412" s="1452">
        <f t="shared" si="230"/>
        <v>0</v>
      </c>
      <c r="BH412" s="1452">
        <f t="shared" si="231"/>
        <v>0</v>
      </c>
      <c r="BI412" s="1452">
        <f t="shared" si="248"/>
        <v>0</v>
      </c>
      <c r="BJ412" s="1452" t="str">
        <f t="shared" si="232"/>
        <v/>
      </c>
      <c r="BK412" s="1452" t="str">
        <f t="shared" si="233"/>
        <v/>
      </c>
      <c r="BL412" s="1452" t="str">
        <f t="shared" si="234"/>
        <v/>
      </c>
      <c r="BM412" s="1452" t="str">
        <f t="shared" si="235"/>
        <v/>
      </c>
      <c r="BN412" s="1452" t="str">
        <f t="shared" ca="1" si="236"/>
        <v/>
      </c>
      <c r="BO412" s="1452" t="str">
        <f t="shared" si="249"/>
        <v/>
      </c>
      <c r="BP412" s="1452" t="str">
        <f t="shared" si="237"/>
        <v/>
      </c>
      <c r="BQ412" s="1452" t="str">
        <f t="shared" si="238"/>
        <v/>
      </c>
      <c r="BR412" s="1452" t="str">
        <f t="shared" si="239"/>
        <v/>
      </c>
      <c r="BS412" s="1452" t="str">
        <f t="shared" si="240"/>
        <v/>
      </c>
      <c r="BT412" s="1452" t="str">
        <f t="shared" si="241"/>
        <v/>
      </c>
      <c r="BU412" s="1452" t="str">
        <f t="shared" si="242"/>
        <v/>
      </c>
      <c r="BV412" s="1452" t="str">
        <f t="shared" si="243"/>
        <v/>
      </c>
      <c r="BW412" s="1558">
        <f t="shared" ca="1" si="250"/>
        <v>0</v>
      </c>
    </row>
    <row r="413" spans="1:75" s="9" customFormat="1" ht="12.5">
      <c r="A413" s="1483" t="str">
        <f t="shared" si="244"/>
        <v>Public Health Wales Trust</v>
      </c>
      <c r="B413" s="1583"/>
      <c r="C413" s="1583"/>
      <c r="D413" s="1583"/>
      <c r="E413" s="1581"/>
      <c r="F413" s="1436"/>
      <c r="G413" s="1547">
        <f t="shared" si="245"/>
        <v>0</v>
      </c>
      <c r="H413" s="1484"/>
      <c r="I413" s="1547">
        <f t="shared" si="246"/>
        <v>0</v>
      </c>
      <c r="J413" s="1485"/>
      <c r="K413" s="1485"/>
      <c r="L413" s="1436"/>
      <c r="M413" s="1439"/>
      <c r="N413" s="1439"/>
      <c r="O413" s="1485"/>
      <c r="P413" s="1486"/>
      <c r="Q413" s="1486"/>
      <c r="R413" s="1487"/>
      <c r="S413" s="1444"/>
      <c r="T413" s="1444"/>
      <c r="U413" s="1444"/>
      <c r="V413" s="1488"/>
      <c r="W413" s="1488"/>
      <c r="X413" s="1488"/>
      <c r="Y413" s="1488"/>
      <c r="Z413" s="1488"/>
      <c r="AA413" s="1488"/>
      <c r="AB413" s="1488"/>
      <c r="AC413" s="1488"/>
      <c r="AD413" s="1488"/>
      <c r="AE413" s="1488"/>
      <c r="AF413" s="1488"/>
      <c r="AG413" s="1488"/>
      <c r="AH413" s="1451">
        <f t="shared" si="218"/>
        <v>0</v>
      </c>
      <c r="AI413" s="1488"/>
      <c r="AJ413" s="1488"/>
      <c r="AK413" s="1488"/>
      <c r="AL413" s="1488"/>
      <c r="AM413" s="1488"/>
      <c r="AN413" s="1488"/>
      <c r="AO413" s="1488"/>
      <c r="AP413" s="1488"/>
      <c r="AQ413" s="1488"/>
      <c r="AR413" s="1488"/>
      <c r="AS413" s="1488"/>
      <c r="AT413" s="1542"/>
      <c r="AU413" s="1599">
        <f t="shared" si="219"/>
        <v>0</v>
      </c>
      <c r="AV413" s="1544">
        <f t="shared" si="247"/>
        <v>0</v>
      </c>
      <c r="AW413" s="1452">
        <f t="shared" si="220"/>
        <v>0</v>
      </c>
      <c r="AX413" s="1452">
        <f t="shared" si="221"/>
        <v>0</v>
      </c>
      <c r="AY413" s="1452">
        <f t="shared" si="222"/>
        <v>0</v>
      </c>
      <c r="AZ413" s="1452">
        <f t="shared" si="223"/>
        <v>0</v>
      </c>
      <c r="BA413" s="1452">
        <f t="shared" si="224"/>
        <v>0</v>
      </c>
      <c r="BB413" s="1452">
        <f t="shared" si="225"/>
        <v>0</v>
      </c>
      <c r="BC413" s="1452">
        <f t="shared" si="226"/>
        <v>0</v>
      </c>
      <c r="BD413" s="1452">
        <f t="shared" si="227"/>
        <v>0</v>
      </c>
      <c r="BE413" s="1452">
        <f t="shared" si="228"/>
        <v>0</v>
      </c>
      <c r="BF413" s="1452">
        <f t="shared" si="229"/>
        <v>0</v>
      </c>
      <c r="BG413" s="1452">
        <f t="shared" si="230"/>
        <v>0</v>
      </c>
      <c r="BH413" s="1452">
        <f t="shared" si="231"/>
        <v>0</v>
      </c>
      <c r="BI413" s="1452">
        <f t="shared" si="248"/>
        <v>0</v>
      </c>
      <c r="BJ413" s="1452" t="str">
        <f t="shared" si="232"/>
        <v/>
      </c>
      <c r="BK413" s="1452" t="str">
        <f t="shared" si="233"/>
        <v/>
      </c>
      <c r="BL413" s="1452" t="str">
        <f t="shared" si="234"/>
        <v/>
      </c>
      <c r="BM413" s="1452" t="str">
        <f t="shared" si="235"/>
        <v/>
      </c>
      <c r="BN413" s="1452" t="str">
        <f t="shared" ca="1" si="236"/>
        <v/>
      </c>
      <c r="BO413" s="1452" t="str">
        <f t="shared" si="249"/>
        <v/>
      </c>
      <c r="BP413" s="1452" t="str">
        <f t="shared" si="237"/>
        <v/>
      </c>
      <c r="BQ413" s="1452" t="str">
        <f t="shared" si="238"/>
        <v/>
      </c>
      <c r="BR413" s="1452" t="str">
        <f t="shared" si="239"/>
        <v/>
      </c>
      <c r="BS413" s="1452" t="str">
        <f t="shared" si="240"/>
        <v/>
      </c>
      <c r="BT413" s="1452" t="str">
        <f t="shared" si="241"/>
        <v/>
      </c>
      <c r="BU413" s="1452" t="str">
        <f t="shared" si="242"/>
        <v/>
      </c>
      <c r="BV413" s="1452" t="str">
        <f t="shared" si="243"/>
        <v/>
      </c>
      <c r="BW413" s="1558">
        <f t="shared" ca="1" si="250"/>
        <v>0</v>
      </c>
    </row>
    <row r="414" spans="1:75" s="9" customFormat="1" ht="12.5">
      <c r="A414" s="1483" t="str">
        <f t="shared" si="244"/>
        <v>Public Health Wales Trust</v>
      </c>
      <c r="B414" s="1583"/>
      <c r="C414" s="1583"/>
      <c r="D414" s="1583"/>
      <c r="E414" s="1581"/>
      <c r="F414" s="1436"/>
      <c r="G414" s="1547">
        <f t="shared" si="245"/>
        <v>0</v>
      </c>
      <c r="H414" s="1484"/>
      <c r="I414" s="1547">
        <f t="shared" si="246"/>
        <v>0</v>
      </c>
      <c r="J414" s="1485"/>
      <c r="K414" s="1485"/>
      <c r="L414" s="1436"/>
      <c r="M414" s="1439"/>
      <c r="N414" s="1439"/>
      <c r="O414" s="1485"/>
      <c r="P414" s="1486"/>
      <c r="Q414" s="1486"/>
      <c r="R414" s="1487"/>
      <c r="S414" s="1444"/>
      <c r="T414" s="1444"/>
      <c r="U414" s="1444"/>
      <c r="V414" s="1488"/>
      <c r="W414" s="1488"/>
      <c r="X414" s="1488"/>
      <c r="Y414" s="1488"/>
      <c r="Z414" s="1488"/>
      <c r="AA414" s="1488"/>
      <c r="AB414" s="1488"/>
      <c r="AC414" s="1488"/>
      <c r="AD414" s="1488"/>
      <c r="AE414" s="1488"/>
      <c r="AF414" s="1488"/>
      <c r="AG414" s="1488"/>
      <c r="AH414" s="1451">
        <f t="shared" si="218"/>
        <v>0</v>
      </c>
      <c r="AI414" s="1488"/>
      <c r="AJ414" s="1488"/>
      <c r="AK414" s="1488"/>
      <c r="AL414" s="1488"/>
      <c r="AM414" s="1488"/>
      <c r="AN414" s="1488"/>
      <c r="AO414" s="1488"/>
      <c r="AP414" s="1488"/>
      <c r="AQ414" s="1488"/>
      <c r="AR414" s="1488"/>
      <c r="AS414" s="1488"/>
      <c r="AT414" s="1542"/>
      <c r="AU414" s="1599">
        <f t="shared" si="219"/>
        <v>0</v>
      </c>
      <c r="AV414" s="1544">
        <f t="shared" si="247"/>
        <v>0</v>
      </c>
      <c r="AW414" s="1452">
        <f t="shared" si="220"/>
        <v>0</v>
      </c>
      <c r="AX414" s="1452">
        <f t="shared" si="221"/>
        <v>0</v>
      </c>
      <c r="AY414" s="1452">
        <f t="shared" si="222"/>
        <v>0</v>
      </c>
      <c r="AZ414" s="1452">
        <f t="shared" si="223"/>
        <v>0</v>
      </c>
      <c r="BA414" s="1452">
        <f t="shared" si="224"/>
        <v>0</v>
      </c>
      <c r="BB414" s="1452">
        <f t="shared" si="225"/>
        <v>0</v>
      </c>
      <c r="BC414" s="1452">
        <f t="shared" si="226"/>
        <v>0</v>
      </c>
      <c r="BD414" s="1452">
        <f t="shared" si="227"/>
        <v>0</v>
      </c>
      <c r="BE414" s="1452">
        <f t="shared" si="228"/>
        <v>0</v>
      </c>
      <c r="BF414" s="1452">
        <f t="shared" si="229"/>
        <v>0</v>
      </c>
      <c r="BG414" s="1452">
        <f t="shared" si="230"/>
        <v>0</v>
      </c>
      <c r="BH414" s="1452">
        <f t="shared" si="231"/>
        <v>0</v>
      </c>
      <c r="BI414" s="1452">
        <f t="shared" si="248"/>
        <v>0</v>
      </c>
      <c r="BJ414" s="1452" t="str">
        <f t="shared" si="232"/>
        <v/>
      </c>
      <c r="BK414" s="1452" t="str">
        <f t="shared" si="233"/>
        <v/>
      </c>
      <c r="BL414" s="1452" t="str">
        <f t="shared" si="234"/>
        <v/>
      </c>
      <c r="BM414" s="1452" t="str">
        <f t="shared" si="235"/>
        <v/>
      </c>
      <c r="BN414" s="1452" t="str">
        <f t="shared" ca="1" si="236"/>
        <v/>
      </c>
      <c r="BO414" s="1452" t="str">
        <f t="shared" si="249"/>
        <v/>
      </c>
      <c r="BP414" s="1452" t="str">
        <f t="shared" si="237"/>
        <v/>
      </c>
      <c r="BQ414" s="1452" t="str">
        <f t="shared" si="238"/>
        <v/>
      </c>
      <c r="BR414" s="1452" t="str">
        <f t="shared" si="239"/>
        <v/>
      </c>
      <c r="BS414" s="1452" t="str">
        <f t="shared" si="240"/>
        <v/>
      </c>
      <c r="BT414" s="1452" t="str">
        <f t="shared" si="241"/>
        <v/>
      </c>
      <c r="BU414" s="1452" t="str">
        <f t="shared" si="242"/>
        <v/>
      </c>
      <c r="BV414" s="1452" t="str">
        <f t="shared" si="243"/>
        <v/>
      </c>
      <c r="BW414" s="1558">
        <f t="shared" ca="1" si="250"/>
        <v>0</v>
      </c>
    </row>
    <row r="415" spans="1:75" s="9" customFormat="1" ht="12.5">
      <c r="A415" s="1483" t="str">
        <f t="shared" si="244"/>
        <v>Public Health Wales Trust</v>
      </c>
      <c r="B415" s="1583"/>
      <c r="C415" s="1583"/>
      <c r="D415" s="1583"/>
      <c r="E415" s="1581"/>
      <c r="F415" s="1436"/>
      <c r="G415" s="1547">
        <f t="shared" si="245"/>
        <v>0</v>
      </c>
      <c r="H415" s="1484"/>
      <c r="I415" s="1547">
        <f t="shared" si="246"/>
        <v>0</v>
      </c>
      <c r="J415" s="1485"/>
      <c r="K415" s="1485"/>
      <c r="L415" s="1436"/>
      <c r="M415" s="1439"/>
      <c r="N415" s="1439"/>
      <c r="O415" s="1485"/>
      <c r="P415" s="1486"/>
      <c r="Q415" s="1486"/>
      <c r="R415" s="1487"/>
      <c r="S415" s="1444"/>
      <c r="T415" s="1444"/>
      <c r="U415" s="1444"/>
      <c r="V415" s="1488"/>
      <c r="W415" s="1488"/>
      <c r="X415" s="1488"/>
      <c r="Y415" s="1488"/>
      <c r="Z415" s="1488"/>
      <c r="AA415" s="1488"/>
      <c r="AB415" s="1488"/>
      <c r="AC415" s="1488"/>
      <c r="AD415" s="1488"/>
      <c r="AE415" s="1488"/>
      <c r="AF415" s="1488"/>
      <c r="AG415" s="1488"/>
      <c r="AH415" s="1451">
        <f t="shared" si="218"/>
        <v>0</v>
      </c>
      <c r="AI415" s="1488"/>
      <c r="AJ415" s="1488"/>
      <c r="AK415" s="1488"/>
      <c r="AL415" s="1488"/>
      <c r="AM415" s="1488"/>
      <c r="AN415" s="1488"/>
      <c r="AO415" s="1488"/>
      <c r="AP415" s="1488"/>
      <c r="AQ415" s="1488"/>
      <c r="AR415" s="1488"/>
      <c r="AS415" s="1488"/>
      <c r="AT415" s="1542"/>
      <c r="AU415" s="1599">
        <f t="shared" si="219"/>
        <v>0</v>
      </c>
      <c r="AV415" s="1544">
        <f t="shared" si="247"/>
        <v>0</v>
      </c>
      <c r="AW415" s="1452">
        <f t="shared" si="220"/>
        <v>0</v>
      </c>
      <c r="AX415" s="1452">
        <f t="shared" si="221"/>
        <v>0</v>
      </c>
      <c r="AY415" s="1452">
        <f t="shared" si="222"/>
        <v>0</v>
      </c>
      <c r="AZ415" s="1452">
        <f t="shared" si="223"/>
        <v>0</v>
      </c>
      <c r="BA415" s="1452">
        <f t="shared" si="224"/>
        <v>0</v>
      </c>
      <c r="BB415" s="1452">
        <f t="shared" si="225"/>
        <v>0</v>
      </c>
      <c r="BC415" s="1452">
        <f t="shared" si="226"/>
        <v>0</v>
      </c>
      <c r="BD415" s="1452">
        <f t="shared" si="227"/>
        <v>0</v>
      </c>
      <c r="BE415" s="1452">
        <f t="shared" si="228"/>
        <v>0</v>
      </c>
      <c r="BF415" s="1452">
        <f t="shared" si="229"/>
        <v>0</v>
      </c>
      <c r="BG415" s="1452">
        <f t="shared" si="230"/>
        <v>0</v>
      </c>
      <c r="BH415" s="1452">
        <f t="shared" si="231"/>
        <v>0</v>
      </c>
      <c r="BI415" s="1452">
        <f t="shared" si="248"/>
        <v>0</v>
      </c>
      <c r="BJ415" s="1452" t="str">
        <f t="shared" si="232"/>
        <v/>
      </c>
      <c r="BK415" s="1452" t="str">
        <f t="shared" si="233"/>
        <v/>
      </c>
      <c r="BL415" s="1452" t="str">
        <f t="shared" si="234"/>
        <v/>
      </c>
      <c r="BM415" s="1452" t="str">
        <f t="shared" si="235"/>
        <v/>
      </c>
      <c r="BN415" s="1452" t="str">
        <f t="shared" ca="1" si="236"/>
        <v/>
      </c>
      <c r="BO415" s="1452" t="str">
        <f t="shared" si="249"/>
        <v/>
      </c>
      <c r="BP415" s="1452" t="str">
        <f t="shared" si="237"/>
        <v/>
      </c>
      <c r="BQ415" s="1452" t="str">
        <f t="shared" si="238"/>
        <v/>
      </c>
      <c r="BR415" s="1452" t="str">
        <f t="shared" si="239"/>
        <v/>
      </c>
      <c r="BS415" s="1452" t="str">
        <f t="shared" si="240"/>
        <v/>
      </c>
      <c r="BT415" s="1452" t="str">
        <f t="shared" si="241"/>
        <v/>
      </c>
      <c r="BU415" s="1452" t="str">
        <f t="shared" si="242"/>
        <v/>
      </c>
      <c r="BV415" s="1452" t="str">
        <f t="shared" si="243"/>
        <v/>
      </c>
      <c r="BW415" s="1558">
        <f t="shared" ca="1" si="250"/>
        <v>0</v>
      </c>
    </row>
    <row r="416" spans="1:75" s="9" customFormat="1" ht="12.5">
      <c r="A416" s="1483" t="str">
        <f t="shared" si="244"/>
        <v>Public Health Wales Trust</v>
      </c>
      <c r="B416" s="1583"/>
      <c r="C416" s="1583"/>
      <c r="D416" s="1583"/>
      <c r="E416" s="1581"/>
      <c r="F416" s="1436"/>
      <c r="G416" s="1547">
        <f t="shared" si="245"/>
        <v>0</v>
      </c>
      <c r="H416" s="1484"/>
      <c r="I416" s="1547">
        <f t="shared" si="246"/>
        <v>0</v>
      </c>
      <c r="J416" s="1485"/>
      <c r="K416" s="1485"/>
      <c r="L416" s="1436"/>
      <c r="M416" s="1439"/>
      <c r="N416" s="1439"/>
      <c r="O416" s="1485"/>
      <c r="P416" s="1486"/>
      <c r="Q416" s="1486"/>
      <c r="R416" s="1487"/>
      <c r="S416" s="1444"/>
      <c r="T416" s="1444"/>
      <c r="U416" s="1444"/>
      <c r="V416" s="1488"/>
      <c r="W416" s="1488"/>
      <c r="X416" s="1488"/>
      <c r="Y416" s="1488"/>
      <c r="Z416" s="1488"/>
      <c r="AA416" s="1488"/>
      <c r="AB416" s="1488"/>
      <c r="AC416" s="1488"/>
      <c r="AD416" s="1488"/>
      <c r="AE416" s="1488"/>
      <c r="AF416" s="1488"/>
      <c r="AG416" s="1488"/>
      <c r="AH416" s="1451">
        <f t="shared" si="218"/>
        <v>0</v>
      </c>
      <c r="AI416" s="1488"/>
      <c r="AJ416" s="1488"/>
      <c r="AK416" s="1488"/>
      <c r="AL416" s="1488"/>
      <c r="AM416" s="1488"/>
      <c r="AN416" s="1488"/>
      <c r="AO416" s="1488"/>
      <c r="AP416" s="1488"/>
      <c r="AQ416" s="1488"/>
      <c r="AR416" s="1488"/>
      <c r="AS416" s="1488"/>
      <c r="AT416" s="1542"/>
      <c r="AU416" s="1599">
        <f t="shared" si="219"/>
        <v>0</v>
      </c>
      <c r="AV416" s="1544">
        <f t="shared" si="247"/>
        <v>0</v>
      </c>
      <c r="AW416" s="1452">
        <f t="shared" si="220"/>
        <v>0</v>
      </c>
      <c r="AX416" s="1452">
        <f t="shared" si="221"/>
        <v>0</v>
      </c>
      <c r="AY416" s="1452">
        <f t="shared" si="222"/>
        <v>0</v>
      </c>
      <c r="AZ416" s="1452">
        <f t="shared" si="223"/>
        <v>0</v>
      </c>
      <c r="BA416" s="1452">
        <f t="shared" si="224"/>
        <v>0</v>
      </c>
      <c r="BB416" s="1452">
        <f t="shared" si="225"/>
        <v>0</v>
      </c>
      <c r="BC416" s="1452">
        <f t="shared" si="226"/>
        <v>0</v>
      </c>
      <c r="BD416" s="1452">
        <f t="shared" si="227"/>
        <v>0</v>
      </c>
      <c r="BE416" s="1452">
        <f t="shared" si="228"/>
        <v>0</v>
      </c>
      <c r="BF416" s="1452">
        <f t="shared" si="229"/>
        <v>0</v>
      </c>
      <c r="BG416" s="1452">
        <f t="shared" si="230"/>
        <v>0</v>
      </c>
      <c r="BH416" s="1452">
        <f t="shared" si="231"/>
        <v>0</v>
      </c>
      <c r="BI416" s="1452">
        <f t="shared" si="248"/>
        <v>0</v>
      </c>
      <c r="BJ416" s="1452" t="str">
        <f t="shared" si="232"/>
        <v/>
      </c>
      <c r="BK416" s="1452" t="str">
        <f t="shared" si="233"/>
        <v/>
      </c>
      <c r="BL416" s="1452" t="str">
        <f t="shared" si="234"/>
        <v/>
      </c>
      <c r="BM416" s="1452" t="str">
        <f t="shared" si="235"/>
        <v/>
      </c>
      <c r="BN416" s="1452" t="str">
        <f t="shared" ca="1" si="236"/>
        <v/>
      </c>
      <c r="BO416" s="1452" t="str">
        <f t="shared" si="249"/>
        <v/>
      </c>
      <c r="BP416" s="1452" t="str">
        <f t="shared" si="237"/>
        <v/>
      </c>
      <c r="BQ416" s="1452" t="str">
        <f t="shared" si="238"/>
        <v/>
      </c>
      <c r="BR416" s="1452" t="str">
        <f t="shared" si="239"/>
        <v/>
      </c>
      <c r="BS416" s="1452" t="str">
        <f t="shared" si="240"/>
        <v/>
      </c>
      <c r="BT416" s="1452" t="str">
        <f t="shared" si="241"/>
        <v/>
      </c>
      <c r="BU416" s="1452" t="str">
        <f t="shared" si="242"/>
        <v/>
      </c>
      <c r="BV416" s="1452" t="str">
        <f t="shared" si="243"/>
        <v/>
      </c>
      <c r="BW416" s="1558">
        <f t="shared" ca="1" si="250"/>
        <v>0</v>
      </c>
    </row>
    <row r="417" spans="1:75" s="9" customFormat="1" ht="12.5">
      <c r="A417" s="1483" t="str">
        <f t="shared" si="244"/>
        <v>Public Health Wales Trust</v>
      </c>
      <c r="B417" s="1583"/>
      <c r="C417" s="1583"/>
      <c r="D417" s="1583"/>
      <c r="E417" s="1581"/>
      <c r="F417" s="1436"/>
      <c r="G417" s="1547">
        <f t="shared" si="245"/>
        <v>0</v>
      </c>
      <c r="H417" s="1484"/>
      <c r="I417" s="1547">
        <f t="shared" si="246"/>
        <v>0</v>
      </c>
      <c r="J417" s="1485"/>
      <c r="K417" s="1485"/>
      <c r="L417" s="1436"/>
      <c r="M417" s="1439"/>
      <c r="N417" s="1439"/>
      <c r="O417" s="1485"/>
      <c r="P417" s="1486"/>
      <c r="Q417" s="1486"/>
      <c r="R417" s="1487"/>
      <c r="S417" s="1444"/>
      <c r="T417" s="1444"/>
      <c r="U417" s="1444"/>
      <c r="V417" s="1488"/>
      <c r="W417" s="1488"/>
      <c r="X417" s="1488"/>
      <c r="Y417" s="1488"/>
      <c r="Z417" s="1488"/>
      <c r="AA417" s="1488"/>
      <c r="AB417" s="1488"/>
      <c r="AC417" s="1488"/>
      <c r="AD417" s="1488"/>
      <c r="AE417" s="1488"/>
      <c r="AF417" s="1488"/>
      <c r="AG417" s="1488"/>
      <c r="AH417" s="1451">
        <f t="shared" si="218"/>
        <v>0</v>
      </c>
      <c r="AI417" s="1488"/>
      <c r="AJ417" s="1488"/>
      <c r="AK417" s="1488"/>
      <c r="AL417" s="1488"/>
      <c r="AM417" s="1488"/>
      <c r="AN417" s="1488"/>
      <c r="AO417" s="1488"/>
      <c r="AP417" s="1488"/>
      <c r="AQ417" s="1488"/>
      <c r="AR417" s="1488"/>
      <c r="AS417" s="1488"/>
      <c r="AT417" s="1542"/>
      <c r="AU417" s="1599">
        <f t="shared" si="219"/>
        <v>0</v>
      </c>
      <c r="AV417" s="1544">
        <f t="shared" si="247"/>
        <v>0</v>
      </c>
      <c r="AW417" s="1452">
        <f t="shared" si="220"/>
        <v>0</v>
      </c>
      <c r="AX417" s="1452">
        <f t="shared" si="221"/>
        <v>0</v>
      </c>
      <c r="AY417" s="1452">
        <f t="shared" si="222"/>
        <v>0</v>
      </c>
      <c r="AZ417" s="1452">
        <f t="shared" si="223"/>
        <v>0</v>
      </c>
      <c r="BA417" s="1452">
        <f t="shared" si="224"/>
        <v>0</v>
      </c>
      <c r="BB417" s="1452">
        <f t="shared" si="225"/>
        <v>0</v>
      </c>
      <c r="BC417" s="1452">
        <f t="shared" si="226"/>
        <v>0</v>
      </c>
      <c r="BD417" s="1452">
        <f t="shared" si="227"/>
        <v>0</v>
      </c>
      <c r="BE417" s="1452">
        <f t="shared" si="228"/>
        <v>0</v>
      </c>
      <c r="BF417" s="1452">
        <f t="shared" si="229"/>
        <v>0</v>
      </c>
      <c r="BG417" s="1452">
        <f t="shared" si="230"/>
        <v>0</v>
      </c>
      <c r="BH417" s="1452">
        <f t="shared" si="231"/>
        <v>0</v>
      </c>
      <c r="BI417" s="1452">
        <f t="shared" si="248"/>
        <v>0</v>
      </c>
      <c r="BJ417" s="1452" t="str">
        <f t="shared" si="232"/>
        <v/>
      </c>
      <c r="BK417" s="1452" t="str">
        <f t="shared" si="233"/>
        <v/>
      </c>
      <c r="BL417" s="1452" t="str">
        <f t="shared" si="234"/>
        <v/>
      </c>
      <c r="BM417" s="1452" t="str">
        <f t="shared" si="235"/>
        <v/>
      </c>
      <c r="BN417" s="1452" t="str">
        <f t="shared" ca="1" si="236"/>
        <v/>
      </c>
      <c r="BO417" s="1452" t="str">
        <f t="shared" si="249"/>
        <v/>
      </c>
      <c r="BP417" s="1452" t="str">
        <f t="shared" si="237"/>
        <v/>
      </c>
      <c r="BQ417" s="1452" t="str">
        <f t="shared" si="238"/>
        <v/>
      </c>
      <c r="BR417" s="1452" t="str">
        <f t="shared" si="239"/>
        <v/>
      </c>
      <c r="BS417" s="1452" t="str">
        <f t="shared" si="240"/>
        <v/>
      </c>
      <c r="BT417" s="1452" t="str">
        <f t="shared" si="241"/>
        <v/>
      </c>
      <c r="BU417" s="1452" t="str">
        <f t="shared" si="242"/>
        <v/>
      </c>
      <c r="BV417" s="1452" t="str">
        <f t="shared" si="243"/>
        <v/>
      </c>
      <c r="BW417" s="1558">
        <f t="shared" ca="1" si="250"/>
        <v>0</v>
      </c>
    </row>
    <row r="418" spans="1:75" s="9" customFormat="1" ht="12.5">
      <c r="A418" s="1483" t="str">
        <f t="shared" si="244"/>
        <v>Public Health Wales Trust</v>
      </c>
      <c r="B418" s="1583"/>
      <c r="C418" s="1583"/>
      <c r="D418" s="1583"/>
      <c r="E418" s="1581"/>
      <c r="F418" s="1436"/>
      <c r="G418" s="1547">
        <f t="shared" si="245"/>
        <v>0</v>
      </c>
      <c r="H418" s="1484"/>
      <c r="I418" s="1547">
        <f t="shared" si="246"/>
        <v>0</v>
      </c>
      <c r="J418" s="1485"/>
      <c r="K418" s="1485"/>
      <c r="L418" s="1436"/>
      <c r="M418" s="1439"/>
      <c r="N418" s="1439"/>
      <c r="O418" s="1485"/>
      <c r="P418" s="1486"/>
      <c r="Q418" s="1486"/>
      <c r="R418" s="1487"/>
      <c r="S418" s="1444"/>
      <c r="T418" s="1444"/>
      <c r="U418" s="1444"/>
      <c r="V418" s="1488"/>
      <c r="W418" s="1488"/>
      <c r="X418" s="1488"/>
      <c r="Y418" s="1488"/>
      <c r="Z418" s="1488"/>
      <c r="AA418" s="1488"/>
      <c r="AB418" s="1488"/>
      <c r="AC418" s="1488"/>
      <c r="AD418" s="1488"/>
      <c r="AE418" s="1488"/>
      <c r="AF418" s="1488"/>
      <c r="AG418" s="1488"/>
      <c r="AH418" s="1451">
        <f t="shared" si="218"/>
        <v>0</v>
      </c>
      <c r="AI418" s="1488"/>
      <c r="AJ418" s="1488"/>
      <c r="AK418" s="1488"/>
      <c r="AL418" s="1488"/>
      <c r="AM418" s="1488"/>
      <c r="AN418" s="1488"/>
      <c r="AO418" s="1488"/>
      <c r="AP418" s="1488"/>
      <c r="AQ418" s="1488"/>
      <c r="AR418" s="1488"/>
      <c r="AS418" s="1488"/>
      <c r="AT418" s="1542"/>
      <c r="AU418" s="1599">
        <f t="shared" si="219"/>
        <v>0</v>
      </c>
      <c r="AV418" s="1544">
        <f t="shared" si="247"/>
        <v>0</v>
      </c>
      <c r="AW418" s="1452">
        <f t="shared" si="220"/>
        <v>0</v>
      </c>
      <c r="AX418" s="1452">
        <f t="shared" si="221"/>
        <v>0</v>
      </c>
      <c r="AY418" s="1452">
        <f t="shared" si="222"/>
        <v>0</v>
      </c>
      <c r="AZ418" s="1452">
        <f t="shared" si="223"/>
        <v>0</v>
      </c>
      <c r="BA418" s="1452">
        <f t="shared" si="224"/>
        <v>0</v>
      </c>
      <c r="BB418" s="1452">
        <f t="shared" si="225"/>
        <v>0</v>
      </c>
      <c r="BC418" s="1452">
        <f t="shared" si="226"/>
        <v>0</v>
      </c>
      <c r="BD418" s="1452">
        <f t="shared" si="227"/>
        <v>0</v>
      </c>
      <c r="BE418" s="1452">
        <f t="shared" si="228"/>
        <v>0</v>
      </c>
      <c r="BF418" s="1452">
        <f t="shared" si="229"/>
        <v>0</v>
      </c>
      <c r="BG418" s="1452">
        <f t="shared" si="230"/>
        <v>0</v>
      </c>
      <c r="BH418" s="1452">
        <f t="shared" si="231"/>
        <v>0</v>
      </c>
      <c r="BI418" s="1452">
        <f t="shared" si="248"/>
        <v>0</v>
      </c>
      <c r="BJ418" s="1452" t="str">
        <f t="shared" si="232"/>
        <v/>
      </c>
      <c r="BK418" s="1452" t="str">
        <f t="shared" si="233"/>
        <v/>
      </c>
      <c r="BL418" s="1452" t="str">
        <f t="shared" si="234"/>
        <v/>
      </c>
      <c r="BM418" s="1452" t="str">
        <f t="shared" si="235"/>
        <v/>
      </c>
      <c r="BN418" s="1452" t="str">
        <f t="shared" ca="1" si="236"/>
        <v/>
      </c>
      <c r="BO418" s="1452" t="str">
        <f t="shared" si="249"/>
        <v/>
      </c>
      <c r="BP418" s="1452" t="str">
        <f t="shared" si="237"/>
        <v/>
      </c>
      <c r="BQ418" s="1452" t="str">
        <f t="shared" si="238"/>
        <v/>
      </c>
      <c r="BR418" s="1452" t="str">
        <f t="shared" si="239"/>
        <v/>
      </c>
      <c r="BS418" s="1452" t="str">
        <f t="shared" si="240"/>
        <v/>
      </c>
      <c r="BT418" s="1452" t="str">
        <f t="shared" si="241"/>
        <v/>
      </c>
      <c r="BU418" s="1452" t="str">
        <f t="shared" si="242"/>
        <v/>
      </c>
      <c r="BV418" s="1452" t="str">
        <f t="shared" si="243"/>
        <v/>
      </c>
      <c r="BW418" s="1558">
        <f t="shared" ca="1" si="250"/>
        <v>0</v>
      </c>
    </row>
    <row r="419" spans="1:75" s="9" customFormat="1" ht="12.5">
      <c r="A419" s="1483" t="str">
        <f t="shared" si="244"/>
        <v>Public Health Wales Trust</v>
      </c>
      <c r="B419" s="1583"/>
      <c r="C419" s="1583"/>
      <c r="D419" s="1583"/>
      <c r="E419" s="1581"/>
      <c r="F419" s="1436"/>
      <c r="G419" s="1547">
        <f t="shared" si="245"/>
        <v>0</v>
      </c>
      <c r="H419" s="1484"/>
      <c r="I419" s="1547">
        <f t="shared" si="246"/>
        <v>0</v>
      </c>
      <c r="J419" s="1485"/>
      <c r="K419" s="1485"/>
      <c r="L419" s="1436"/>
      <c r="M419" s="1439"/>
      <c r="N419" s="1439"/>
      <c r="O419" s="1485"/>
      <c r="P419" s="1486"/>
      <c r="Q419" s="1486"/>
      <c r="R419" s="1487"/>
      <c r="S419" s="1444"/>
      <c r="T419" s="1444"/>
      <c r="U419" s="1444"/>
      <c r="V419" s="1488"/>
      <c r="W419" s="1488"/>
      <c r="X419" s="1488"/>
      <c r="Y419" s="1488"/>
      <c r="Z419" s="1488"/>
      <c r="AA419" s="1488"/>
      <c r="AB419" s="1488"/>
      <c r="AC419" s="1488"/>
      <c r="AD419" s="1488"/>
      <c r="AE419" s="1488"/>
      <c r="AF419" s="1488"/>
      <c r="AG419" s="1488"/>
      <c r="AH419" s="1451">
        <f t="shared" si="218"/>
        <v>0</v>
      </c>
      <c r="AI419" s="1488"/>
      <c r="AJ419" s="1488"/>
      <c r="AK419" s="1488"/>
      <c r="AL419" s="1488"/>
      <c r="AM419" s="1488"/>
      <c r="AN419" s="1488"/>
      <c r="AO419" s="1488"/>
      <c r="AP419" s="1488"/>
      <c r="AQ419" s="1488"/>
      <c r="AR419" s="1488"/>
      <c r="AS419" s="1488"/>
      <c r="AT419" s="1542"/>
      <c r="AU419" s="1599">
        <f t="shared" si="219"/>
        <v>0</v>
      </c>
      <c r="AV419" s="1544">
        <f t="shared" si="247"/>
        <v>0</v>
      </c>
      <c r="AW419" s="1452">
        <f t="shared" si="220"/>
        <v>0</v>
      </c>
      <c r="AX419" s="1452">
        <f t="shared" si="221"/>
        <v>0</v>
      </c>
      <c r="AY419" s="1452">
        <f t="shared" si="222"/>
        <v>0</v>
      </c>
      <c r="AZ419" s="1452">
        <f t="shared" si="223"/>
        <v>0</v>
      </c>
      <c r="BA419" s="1452">
        <f t="shared" si="224"/>
        <v>0</v>
      </c>
      <c r="BB419" s="1452">
        <f t="shared" si="225"/>
        <v>0</v>
      </c>
      <c r="BC419" s="1452">
        <f t="shared" si="226"/>
        <v>0</v>
      </c>
      <c r="BD419" s="1452">
        <f t="shared" si="227"/>
        <v>0</v>
      </c>
      <c r="BE419" s="1452">
        <f t="shared" si="228"/>
        <v>0</v>
      </c>
      <c r="BF419" s="1452">
        <f t="shared" si="229"/>
        <v>0</v>
      </c>
      <c r="BG419" s="1452">
        <f t="shared" si="230"/>
        <v>0</v>
      </c>
      <c r="BH419" s="1452">
        <f t="shared" si="231"/>
        <v>0</v>
      </c>
      <c r="BI419" s="1452">
        <f t="shared" si="248"/>
        <v>0</v>
      </c>
      <c r="BJ419" s="1452" t="str">
        <f t="shared" si="232"/>
        <v/>
      </c>
      <c r="BK419" s="1452" t="str">
        <f t="shared" si="233"/>
        <v/>
      </c>
      <c r="BL419" s="1452" t="str">
        <f t="shared" si="234"/>
        <v/>
      </c>
      <c r="BM419" s="1452" t="str">
        <f t="shared" si="235"/>
        <v/>
      </c>
      <c r="BN419" s="1452" t="str">
        <f t="shared" ca="1" si="236"/>
        <v/>
      </c>
      <c r="BO419" s="1452" t="str">
        <f t="shared" si="249"/>
        <v/>
      </c>
      <c r="BP419" s="1452" t="str">
        <f t="shared" si="237"/>
        <v/>
      </c>
      <c r="BQ419" s="1452" t="str">
        <f t="shared" si="238"/>
        <v/>
      </c>
      <c r="BR419" s="1452" t="str">
        <f t="shared" si="239"/>
        <v/>
      </c>
      <c r="BS419" s="1452" t="str">
        <f t="shared" si="240"/>
        <v/>
      </c>
      <c r="BT419" s="1452" t="str">
        <f t="shared" si="241"/>
        <v/>
      </c>
      <c r="BU419" s="1452" t="str">
        <f t="shared" si="242"/>
        <v/>
      </c>
      <c r="BV419" s="1452" t="str">
        <f t="shared" si="243"/>
        <v/>
      </c>
      <c r="BW419" s="1558">
        <f t="shared" ca="1" si="250"/>
        <v>0</v>
      </c>
    </row>
    <row r="420" spans="1:75" s="9" customFormat="1" ht="12.5">
      <c r="A420" s="1483" t="str">
        <f t="shared" si="244"/>
        <v>Public Health Wales Trust</v>
      </c>
      <c r="B420" s="1583"/>
      <c r="C420" s="1583"/>
      <c r="D420" s="1583"/>
      <c r="E420" s="1581"/>
      <c r="F420" s="1436"/>
      <c r="G420" s="1547">
        <f t="shared" si="245"/>
        <v>0</v>
      </c>
      <c r="H420" s="1484"/>
      <c r="I420" s="1547">
        <f t="shared" si="246"/>
        <v>0</v>
      </c>
      <c r="J420" s="1485"/>
      <c r="K420" s="1485"/>
      <c r="L420" s="1436"/>
      <c r="M420" s="1439"/>
      <c r="N420" s="1439"/>
      <c r="O420" s="1485"/>
      <c r="P420" s="1486"/>
      <c r="Q420" s="1486"/>
      <c r="R420" s="1487"/>
      <c r="S420" s="1444"/>
      <c r="T420" s="1444"/>
      <c r="U420" s="1444"/>
      <c r="V420" s="1488"/>
      <c r="W420" s="1488"/>
      <c r="X420" s="1488"/>
      <c r="Y420" s="1488"/>
      <c r="Z420" s="1488"/>
      <c r="AA420" s="1488"/>
      <c r="AB420" s="1488"/>
      <c r="AC420" s="1488"/>
      <c r="AD420" s="1488"/>
      <c r="AE420" s="1488"/>
      <c r="AF420" s="1488"/>
      <c r="AG420" s="1488"/>
      <c r="AH420" s="1451">
        <f t="shared" si="218"/>
        <v>0</v>
      </c>
      <c r="AI420" s="1488"/>
      <c r="AJ420" s="1488"/>
      <c r="AK420" s="1488"/>
      <c r="AL420" s="1488"/>
      <c r="AM420" s="1488"/>
      <c r="AN420" s="1488"/>
      <c r="AO420" s="1488"/>
      <c r="AP420" s="1488"/>
      <c r="AQ420" s="1488"/>
      <c r="AR420" s="1488"/>
      <c r="AS420" s="1488"/>
      <c r="AT420" s="1542"/>
      <c r="AU420" s="1599">
        <f t="shared" si="219"/>
        <v>0</v>
      </c>
      <c r="AV420" s="1544">
        <f t="shared" si="247"/>
        <v>0</v>
      </c>
      <c r="AW420" s="1452">
        <f t="shared" si="220"/>
        <v>0</v>
      </c>
      <c r="AX420" s="1452">
        <f t="shared" si="221"/>
        <v>0</v>
      </c>
      <c r="AY420" s="1452">
        <f t="shared" si="222"/>
        <v>0</v>
      </c>
      <c r="AZ420" s="1452">
        <f t="shared" si="223"/>
        <v>0</v>
      </c>
      <c r="BA420" s="1452">
        <f t="shared" si="224"/>
        <v>0</v>
      </c>
      <c r="BB420" s="1452">
        <f t="shared" si="225"/>
        <v>0</v>
      </c>
      <c r="BC420" s="1452">
        <f t="shared" si="226"/>
        <v>0</v>
      </c>
      <c r="BD420" s="1452">
        <f t="shared" si="227"/>
        <v>0</v>
      </c>
      <c r="BE420" s="1452">
        <f t="shared" si="228"/>
        <v>0</v>
      </c>
      <c r="BF420" s="1452">
        <f t="shared" si="229"/>
        <v>0</v>
      </c>
      <c r="BG420" s="1452">
        <f t="shared" si="230"/>
        <v>0</v>
      </c>
      <c r="BH420" s="1452">
        <f t="shared" si="231"/>
        <v>0</v>
      </c>
      <c r="BI420" s="1452">
        <f t="shared" si="248"/>
        <v>0</v>
      </c>
      <c r="BJ420" s="1452" t="str">
        <f t="shared" si="232"/>
        <v/>
      </c>
      <c r="BK420" s="1452" t="str">
        <f t="shared" si="233"/>
        <v/>
      </c>
      <c r="BL420" s="1452" t="str">
        <f t="shared" si="234"/>
        <v/>
      </c>
      <c r="BM420" s="1452" t="str">
        <f t="shared" si="235"/>
        <v/>
      </c>
      <c r="BN420" s="1452" t="str">
        <f t="shared" ca="1" si="236"/>
        <v/>
      </c>
      <c r="BO420" s="1452" t="str">
        <f t="shared" si="249"/>
        <v/>
      </c>
      <c r="BP420" s="1452" t="str">
        <f t="shared" si="237"/>
        <v/>
      </c>
      <c r="BQ420" s="1452" t="str">
        <f t="shared" si="238"/>
        <v/>
      </c>
      <c r="BR420" s="1452" t="str">
        <f t="shared" si="239"/>
        <v/>
      </c>
      <c r="BS420" s="1452" t="str">
        <f t="shared" si="240"/>
        <v/>
      </c>
      <c r="BT420" s="1452" t="str">
        <f t="shared" si="241"/>
        <v/>
      </c>
      <c r="BU420" s="1452" t="str">
        <f t="shared" si="242"/>
        <v/>
      </c>
      <c r="BV420" s="1452" t="str">
        <f t="shared" si="243"/>
        <v/>
      </c>
      <c r="BW420" s="1558">
        <f t="shared" ca="1" si="250"/>
        <v>0</v>
      </c>
    </row>
    <row r="421" spans="1:75" s="9" customFormat="1" ht="12.5">
      <c r="A421" s="1483" t="str">
        <f t="shared" si="244"/>
        <v>Public Health Wales Trust</v>
      </c>
      <c r="B421" s="1583"/>
      <c r="C421" s="1583"/>
      <c r="D421" s="1583"/>
      <c r="E421" s="1581"/>
      <c r="F421" s="1436"/>
      <c r="G421" s="1547">
        <f t="shared" si="245"/>
        <v>0</v>
      </c>
      <c r="H421" s="1484"/>
      <c r="I421" s="1547">
        <f t="shared" si="246"/>
        <v>0</v>
      </c>
      <c r="J421" s="1485"/>
      <c r="K421" s="1485"/>
      <c r="L421" s="1436"/>
      <c r="M421" s="1439"/>
      <c r="N421" s="1439"/>
      <c r="O421" s="1485"/>
      <c r="P421" s="1486"/>
      <c r="Q421" s="1486"/>
      <c r="R421" s="1487"/>
      <c r="S421" s="1444"/>
      <c r="T421" s="1444"/>
      <c r="U421" s="1444"/>
      <c r="V421" s="1488"/>
      <c r="W421" s="1488"/>
      <c r="X421" s="1488"/>
      <c r="Y421" s="1488"/>
      <c r="Z421" s="1488"/>
      <c r="AA421" s="1488"/>
      <c r="AB421" s="1488"/>
      <c r="AC421" s="1488"/>
      <c r="AD421" s="1488"/>
      <c r="AE421" s="1488"/>
      <c r="AF421" s="1488"/>
      <c r="AG421" s="1488"/>
      <c r="AH421" s="1451">
        <f t="shared" si="218"/>
        <v>0</v>
      </c>
      <c r="AI421" s="1488"/>
      <c r="AJ421" s="1488"/>
      <c r="AK421" s="1488"/>
      <c r="AL421" s="1488"/>
      <c r="AM421" s="1488"/>
      <c r="AN421" s="1488"/>
      <c r="AO421" s="1488"/>
      <c r="AP421" s="1488"/>
      <c r="AQ421" s="1488"/>
      <c r="AR421" s="1488"/>
      <c r="AS421" s="1488"/>
      <c r="AT421" s="1542"/>
      <c r="AU421" s="1599">
        <f t="shared" si="219"/>
        <v>0</v>
      </c>
      <c r="AV421" s="1544">
        <f t="shared" si="247"/>
        <v>0</v>
      </c>
      <c r="AW421" s="1452">
        <f t="shared" si="220"/>
        <v>0</v>
      </c>
      <c r="AX421" s="1452">
        <f t="shared" si="221"/>
        <v>0</v>
      </c>
      <c r="AY421" s="1452">
        <f t="shared" si="222"/>
        <v>0</v>
      </c>
      <c r="AZ421" s="1452">
        <f t="shared" si="223"/>
        <v>0</v>
      </c>
      <c r="BA421" s="1452">
        <f t="shared" si="224"/>
        <v>0</v>
      </c>
      <c r="BB421" s="1452">
        <f t="shared" si="225"/>
        <v>0</v>
      </c>
      <c r="BC421" s="1452">
        <f t="shared" si="226"/>
        <v>0</v>
      </c>
      <c r="BD421" s="1452">
        <f t="shared" si="227"/>
        <v>0</v>
      </c>
      <c r="BE421" s="1452">
        <f t="shared" si="228"/>
        <v>0</v>
      </c>
      <c r="BF421" s="1452">
        <f t="shared" si="229"/>
        <v>0</v>
      </c>
      <c r="BG421" s="1452">
        <f t="shared" si="230"/>
        <v>0</v>
      </c>
      <c r="BH421" s="1452">
        <f t="shared" si="231"/>
        <v>0</v>
      </c>
      <c r="BI421" s="1452">
        <f t="shared" si="248"/>
        <v>0</v>
      </c>
      <c r="BJ421" s="1452" t="str">
        <f t="shared" si="232"/>
        <v/>
      </c>
      <c r="BK421" s="1452" t="str">
        <f t="shared" si="233"/>
        <v/>
      </c>
      <c r="BL421" s="1452" t="str">
        <f t="shared" si="234"/>
        <v/>
      </c>
      <c r="BM421" s="1452" t="str">
        <f t="shared" si="235"/>
        <v/>
      </c>
      <c r="BN421" s="1452" t="str">
        <f t="shared" ca="1" si="236"/>
        <v/>
      </c>
      <c r="BO421" s="1452" t="str">
        <f t="shared" si="249"/>
        <v/>
      </c>
      <c r="BP421" s="1452" t="str">
        <f t="shared" si="237"/>
        <v/>
      </c>
      <c r="BQ421" s="1452" t="str">
        <f t="shared" si="238"/>
        <v/>
      </c>
      <c r="BR421" s="1452" t="str">
        <f t="shared" si="239"/>
        <v/>
      </c>
      <c r="BS421" s="1452" t="str">
        <f t="shared" si="240"/>
        <v/>
      </c>
      <c r="BT421" s="1452" t="str">
        <f t="shared" si="241"/>
        <v/>
      </c>
      <c r="BU421" s="1452" t="str">
        <f t="shared" si="242"/>
        <v/>
      </c>
      <c r="BV421" s="1452" t="str">
        <f t="shared" si="243"/>
        <v/>
      </c>
      <c r="BW421" s="1558">
        <f t="shared" ca="1" si="250"/>
        <v>0</v>
      </c>
    </row>
    <row r="422" spans="1:75" s="9" customFormat="1" ht="12.5">
      <c r="A422" s="1483" t="str">
        <f t="shared" si="244"/>
        <v>Public Health Wales Trust</v>
      </c>
      <c r="B422" s="1583"/>
      <c r="C422" s="1583"/>
      <c r="D422" s="1583"/>
      <c r="E422" s="1581"/>
      <c r="F422" s="1436"/>
      <c r="G422" s="1547">
        <f t="shared" si="245"/>
        <v>0</v>
      </c>
      <c r="H422" s="1484"/>
      <c r="I422" s="1547">
        <f t="shared" si="246"/>
        <v>0</v>
      </c>
      <c r="J422" s="1485"/>
      <c r="K422" s="1485"/>
      <c r="L422" s="1436"/>
      <c r="M422" s="1439"/>
      <c r="N422" s="1439"/>
      <c r="O422" s="1485"/>
      <c r="P422" s="1486"/>
      <c r="Q422" s="1486"/>
      <c r="R422" s="1487"/>
      <c r="S422" s="1444"/>
      <c r="T422" s="1444"/>
      <c r="U422" s="1444"/>
      <c r="V422" s="1488"/>
      <c r="W422" s="1488"/>
      <c r="X422" s="1488"/>
      <c r="Y422" s="1488"/>
      <c r="Z422" s="1488"/>
      <c r="AA422" s="1488"/>
      <c r="AB422" s="1488"/>
      <c r="AC422" s="1488"/>
      <c r="AD422" s="1488"/>
      <c r="AE422" s="1488"/>
      <c r="AF422" s="1488"/>
      <c r="AG422" s="1488"/>
      <c r="AH422" s="1451">
        <f t="shared" si="218"/>
        <v>0</v>
      </c>
      <c r="AI422" s="1488"/>
      <c r="AJ422" s="1488"/>
      <c r="AK422" s="1488"/>
      <c r="AL422" s="1488"/>
      <c r="AM422" s="1488"/>
      <c r="AN422" s="1488"/>
      <c r="AO422" s="1488"/>
      <c r="AP422" s="1488"/>
      <c r="AQ422" s="1488"/>
      <c r="AR422" s="1488"/>
      <c r="AS422" s="1488"/>
      <c r="AT422" s="1542"/>
      <c r="AU422" s="1599">
        <f t="shared" si="219"/>
        <v>0</v>
      </c>
      <c r="AV422" s="1544">
        <f t="shared" si="247"/>
        <v>0</v>
      </c>
      <c r="AW422" s="1452">
        <f t="shared" si="220"/>
        <v>0</v>
      </c>
      <c r="AX422" s="1452">
        <f t="shared" si="221"/>
        <v>0</v>
      </c>
      <c r="AY422" s="1452">
        <f t="shared" si="222"/>
        <v>0</v>
      </c>
      <c r="AZ422" s="1452">
        <f t="shared" si="223"/>
        <v>0</v>
      </c>
      <c r="BA422" s="1452">
        <f t="shared" si="224"/>
        <v>0</v>
      </c>
      <c r="BB422" s="1452">
        <f t="shared" si="225"/>
        <v>0</v>
      </c>
      <c r="BC422" s="1452">
        <f t="shared" si="226"/>
        <v>0</v>
      </c>
      <c r="BD422" s="1452">
        <f t="shared" si="227"/>
        <v>0</v>
      </c>
      <c r="BE422" s="1452">
        <f t="shared" si="228"/>
        <v>0</v>
      </c>
      <c r="BF422" s="1452">
        <f t="shared" si="229"/>
        <v>0</v>
      </c>
      <c r="BG422" s="1452">
        <f t="shared" si="230"/>
        <v>0</v>
      </c>
      <c r="BH422" s="1452">
        <f t="shared" si="231"/>
        <v>0</v>
      </c>
      <c r="BI422" s="1452">
        <f t="shared" si="248"/>
        <v>0</v>
      </c>
      <c r="BJ422" s="1452" t="str">
        <f t="shared" si="232"/>
        <v/>
      </c>
      <c r="BK422" s="1452" t="str">
        <f t="shared" si="233"/>
        <v/>
      </c>
      <c r="BL422" s="1452" t="str">
        <f t="shared" si="234"/>
        <v/>
      </c>
      <c r="BM422" s="1452" t="str">
        <f t="shared" si="235"/>
        <v/>
      </c>
      <c r="BN422" s="1452" t="str">
        <f t="shared" ca="1" si="236"/>
        <v/>
      </c>
      <c r="BO422" s="1452" t="str">
        <f t="shared" si="249"/>
        <v/>
      </c>
      <c r="BP422" s="1452" t="str">
        <f t="shared" si="237"/>
        <v/>
      </c>
      <c r="BQ422" s="1452" t="str">
        <f t="shared" si="238"/>
        <v/>
      </c>
      <c r="BR422" s="1452" t="str">
        <f t="shared" si="239"/>
        <v/>
      </c>
      <c r="BS422" s="1452" t="str">
        <f t="shared" si="240"/>
        <v/>
      </c>
      <c r="BT422" s="1452" t="str">
        <f t="shared" si="241"/>
        <v/>
      </c>
      <c r="BU422" s="1452" t="str">
        <f t="shared" si="242"/>
        <v/>
      </c>
      <c r="BV422" s="1452" t="str">
        <f t="shared" si="243"/>
        <v/>
      </c>
      <c r="BW422" s="1558">
        <f t="shared" ca="1" si="250"/>
        <v>0</v>
      </c>
    </row>
    <row r="423" spans="1:75" s="9" customFormat="1" ht="12.5">
      <c r="A423" s="1483" t="str">
        <f t="shared" si="244"/>
        <v>Public Health Wales Trust</v>
      </c>
      <c r="B423" s="1583"/>
      <c r="C423" s="1583"/>
      <c r="D423" s="1583"/>
      <c r="E423" s="1581"/>
      <c r="F423" s="1436"/>
      <c r="G423" s="1547">
        <f t="shared" si="245"/>
        <v>0</v>
      </c>
      <c r="H423" s="1484"/>
      <c r="I423" s="1547">
        <f t="shared" si="246"/>
        <v>0</v>
      </c>
      <c r="J423" s="1485"/>
      <c r="K423" s="1485"/>
      <c r="L423" s="1436"/>
      <c r="M423" s="1439"/>
      <c r="N423" s="1439"/>
      <c r="O423" s="1485"/>
      <c r="P423" s="1486"/>
      <c r="Q423" s="1486"/>
      <c r="R423" s="1487"/>
      <c r="S423" s="1444"/>
      <c r="T423" s="1444"/>
      <c r="U423" s="1444"/>
      <c r="V423" s="1488"/>
      <c r="W423" s="1488"/>
      <c r="X423" s="1488"/>
      <c r="Y423" s="1488"/>
      <c r="Z423" s="1488"/>
      <c r="AA423" s="1488"/>
      <c r="AB423" s="1488"/>
      <c r="AC423" s="1488"/>
      <c r="AD423" s="1488"/>
      <c r="AE423" s="1488"/>
      <c r="AF423" s="1488"/>
      <c r="AG423" s="1488"/>
      <c r="AH423" s="1451">
        <f t="shared" si="218"/>
        <v>0</v>
      </c>
      <c r="AI423" s="1488"/>
      <c r="AJ423" s="1488"/>
      <c r="AK423" s="1488"/>
      <c r="AL423" s="1488"/>
      <c r="AM423" s="1488"/>
      <c r="AN423" s="1488"/>
      <c r="AO423" s="1488"/>
      <c r="AP423" s="1488"/>
      <c r="AQ423" s="1488"/>
      <c r="AR423" s="1488"/>
      <c r="AS423" s="1488"/>
      <c r="AT423" s="1542"/>
      <c r="AU423" s="1599">
        <f t="shared" si="219"/>
        <v>0</v>
      </c>
      <c r="AV423" s="1544">
        <f t="shared" si="247"/>
        <v>0</v>
      </c>
      <c r="AW423" s="1452">
        <f t="shared" si="220"/>
        <v>0</v>
      </c>
      <c r="AX423" s="1452">
        <f t="shared" si="221"/>
        <v>0</v>
      </c>
      <c r="AY423" s="1452">
        <f t="shared" si="222"/>
        <v>0</v>
      </c>
      <c r="AZ423" s="1452">
        <f t="shared" si="223"/>
        <v>0</v>
      </c>
      <c r="BA423" s="1452">
        <f t="shared" si="224"/>
        <v>0</v>
      </c>
      <c r="BB423" s="1452">
        <f t="shared" si="225"/>
        <v>0</v>
      </c>
      <c r="BC423" s="1452">
        <f t="shared" si="226"/>
        <v>0</v>
      </c>
      <c r="BD423" s="1452">
        <f t="shared" si="227"/>
        <v>0</v>
      </c>
      <c r="BE423" s="1452">
        <f t="shared" si="228"/>
        <v>0</v>
      </c>
      <c r="BF423" s="1452">
        <f t="shared" si="229"/>
        <v>0</v>
      </c>
      <c r="BG423" s="1452">
        <f t="shared" si="230"/>
        <v>0</v>
      </c>
      <c r="BH423" s="1452">
        <f t="shared" si="231"/>
        <v>0</v>
      </c>
      <c r="BI423" s="1452">
        <f t="shared" si="248"/>
        <v>0</v>
      </c>
      <c r="BJ423" s="1452" t="str">
        <f t="shared" si="232"/>
        <v/>
      </c>
      <c r="BK423" s="1452" t="str">
        <f t="shared" si="233"/>
        <v/>
      </c>
      <c r="BL423" s="1452" t="str">
        <f t="shared" si="234"/>
        <v/>
      </c>
      <c r="BM423" s="1452" t="str">
        <f t="shared" si="235"/>
        <v/>
      </c>
      <c r="BN423" s="1452" t="str">
        <f t="shared" ca="1" si="236"/>
        <v/>
      </c>
      <c r="BO423" s="1452" t="str">
        <f t="shared" si="249"/>
        <v/>
      </c>
      <c r="BP423" s="1452" t="str">
        <f t="shared" si="237"/>
        <v/>
      </c>
      <c r="BQ423" s="1452" t="str">
        <f t="shared" si="238"/>
        <v/>
      </c>
      <c r="BR423" s="1452" t="str">
        <f t="shared" si="239"/>
        <v/>
      </c>
      <c r="BS423" s="1452" t="str">
        <f t="shared" si="240"/>
        <v/>
      </c>
      <c r="BT423" s="1452" t="str">
        <f t="shared" si="241"/>
        <v/>
      </c>
      <c r="BU423" s="1452" t="str">
        <f t="shared" si="242"/>
        <v/>
      </c>
      <c r="BV423" s="1452" t="str">
        <f t="shared" si="243"/>
        <v/>
      </c>
      <c r="BW423" s="1558">
        <f t="shared" ca="1" si="250"/>
        <v>0</v>
      </c>
    </row>
    <row r="424" spans="1:75" s="9" customFormat="1" ht="12.5">
      <c r="A424" s="1483" t="str">
        <f t="shared" si="244"/>
        <v>Public Health Wales Trust</v>
      </c>
      <c r="B424" s="1583"/>
      <c r="C424" s="1583"/>
      <c r="D424" s="1583"/>
      <c r="E424" s="1581"/>
      <c r="F424" s="1436"/>
      <c r="G424" s="1547">
        <f t="shared" si="245"/>
        <v>0</v>
      </c>
      <c r="H424" s="1484"/>
      <c r="I424" s="1547">
        <f t="shared" si="246"/>
        <v>0</v>
      </c>
      <c r="J424" s="1485"/>
      <c r="K424" s="1485"/>
      <c r="L424" s="1436"/>
      <c r="M424" s="1439"/>
      <c r="N424" s="1439"/>
      <c r="O424" s="1485"/>
      <c r="P424" s="1486"/>
      <c r="Q424" s="1486"/>
      <c r="R424" s="1487"/>
      <c r="S424" s="1444"/>
      <c r="T424" s="1444"/>
      <c r="U424" s="1444"/>
      <c r="V424" s="1488"/>
      <c r="W424" s="1488"/>
      <c r="X424" s="1488"/>
      <c r="Y424" s="1488"/>
      <c r="Z424" s="1488"/>
      <c r="AA424" s="1488"/>
      <c r="AB424" s="1488"/>
      <c r="AC424" s="1488"/>
      <c r="AD424" s="1488"/>
      <c r="AE424" s="1488"/>
      <c r="AF424" s="1488"/>
      <c r="AG424" s="1488"/>
      <c r="AH424" s="1451">
        <f t="shared" si="218"/>
        <v>0</v>
      </c>
      <c r="AI424" s="1488"/>
      <c r="AJ424" s="1488"/>
      <c r="AK424" s="1488"/>
      <c r="AL424" s="1488"/>
      <c r="AM424" s="1488"/>
      <c r="AN424" s="1488"/>
      <c r="AO424" s="1488"/>
      <c r="AP424" s="1488"/>
      <c r="AQ424" s="1488"/>
      <c r="AR424" s="1488"/>
      <c r="AS424" s="1488"/>
      <c r="AT424" s="1542"/>
      <c r="AU424" s="1599">
        <f t="shared" si="219"/>
        <v>0</v>
      </c>
      <c r="AV424" s="1544">
        <f t="shared" si="247"/>
        <v>0</v>
      </c>
      <c r="AW424" s="1452">
        <f t="shared" si="220"/>
        <v>0</v>
      </c>
      <c r="AX424" s="1452">
        <f t="shared" si="221"/>
        <v>0</v>
      </c>
      <c r="AY424" s="1452">
        <f t="shared" si="222"/>
        <v>0</v>
      </c>
      <c r="AZ424" s="1452">
        <f t="shared" si="223"/>
        <v>0</v>
      </c>
      <c r="BA424" s="1452">
        <f t="shared" si="224"/>
        <v>0</v>
      </c>
      <c r="BB424" s="1452">
        <f t="shared" si="225"/>
        <v>0</v>
      </c>
      <c r="BC424" s="1452">
        <f t="shared" si="226"/>
        <v>0</v>
      </c>
      <c r="BD424" s="1452">
        <f t="shared" si="227"/>
        <v>0</v>
      </c>
      <c r="BE424" s="1452">
        <f t="shared" si="228"/>
        <v>0</v>
      </c>
      <c r="BF424" s="1452">
        <f t="shared" si="229"/>
        <v>0</v>
      </c>
      <c r="BG424" s="1452">
        <f t="shared" si="230"/>
        <v>0</v>
      </c>
      <c r="BH424" s="1452">
        <f t="shared" si="231"/>
        <v>0</v>
      </c>
      <c r="BI424" s="1452">
        <f t="shared" si="248"/>
        <v>0</v>
      </c>
      <c r="BJ424" s="1452" t="str">
        <f t="shared" si="232"/>
        <v/>
      </c>
      <c r="BK424" s="1452" t="str">
        <f t="shared" si="233"/>
        <v/>
      </c>
      <c r="BL424" s="1452" t="str">
        <f t="shared" si="234"/>
        <v/>
      </c>
      <c r="BM424" s="1452" t="str">
        <f t="shared" si="235"/>
        <v/>
      </c>
      <c r="BN424" s="1452" t="str">
        <f t="shared" ca="1" si="236"/>
        <v/>
      </c>
      <c r="BO424" s="1452" t="str">
        <f t="shared" si="249"/>
        <v/>
      </c>
      <c r="BP424" s="1452" t="str">
        <f t="shared" si="237"/>
        <v/>
      </c>
      <c r="BQ424" s="1452" t="str">
        <f t="shared" si="238"/>
        <v/>
      </c>
      <c r="BR424" s="1452" t="str">
        <f t="shared" si="239"/>
        <v/>
      </c>
      <c r="BS424" s="1452" t="str">
        <f t="shared" si="240"/>
        <v/>
      </c>
      <c r="BT424" s="1452" t="str">
        <f t="shared" si="241"/>
        <v/>
      </c>
      <c r="BU424" s="1452" t="str">
        <f t="shared" si="242"/>
        <v/>
      </c>
      <c r="BV424" s="1452" t="str">
        <f t="shared" si="243"/>
        <v/>
      </c>
      <c r="BW424" s="1558">
        <f t="shared" ca="1" si="250"/>
        <v>0</v>
      </c>
    </row>
    <row r="425" spans="1:75" s="9" customFormat="1" ht="12.5">
      <c r="A425" s="1483" t="str">
        <f t="shared" si="244"/>
        <v>Public Health Wales Trust</v>
      </c>
      <c r="B425" s="1583"/>
      <c r="C425" s="1583"/>
      <c r="D425" s="1583"/>
      <c r="E425" s="1581"/>
      <c r="F425" s="1436"/>
      <c r="G425" s="1547">
        <f t="shared" si="245"/>
        <v>0</v>
      </c>
      <c r="H425" s="1484"/>
      <c r="I425" s="1547">
        <f t="shared" si="246"/>
        <v>0</v>
      </c>
      <c r="J425" s="1485"/>
      <c r="K425" s="1485"/>
      <c r="L425" s="1436"/>
      <c r="M425" s="1439"/>
      <c r="N425" s="1439"/>
      <c r="O425" s="1485"/>
      <c r="P425" s="1486"/>
      <c r="Q425" s="1486"/>
      <c r="R425" s="1487"/>
      <c r="S425" s="1444"/>
      <c r="T425" s="1444"/>
      <c r="U425" s="1444"/>
      <c r="V425" s="1488"/>
      <c r="W425" s="1488"/>
      <c r="X425" s="1488"/>
      <c r="Y425" s="1488"/>
      <c r="Z425" s="1488"/>
      <c r="AA425" s="1488"/>
      <c r="AB425" s="1488"/>
      <c r="AC425" s="1488"/>
      <c r="AD425" s="1488"/>
      <c r="AE425" s="1488"/>
      <c r="AF425" s="1488"/>
      <c r="AG425" s="1488"/>
      <c r="AH425" s="1451">
        <f t="shared" si="218"/>
        <v>0</v>
      </c>
      <c r="AI425" s="1488"/>
      <c r="AJ425" s="1488"/>
      <c r="AK425" s="1488"/>
      <c r="AL425" s="1488"/>
      <c r="AM425" s="1488"/>
      <c r="AN425" s="1488"/>
      <c r="AO425" s="1488"/>
      <c r="AP425" s="1488"/>
      <c r="AQ425" s="1488"/>
      <c r="AR425" s="1488"/>
      <c r="AS425" s="1488"/>
      <c r="AT425" s="1542"/>
      <c r="AU425" s="1599">
        <f t="shared" si="219"/>
        <v>0</v>
      </c>
      <c r="AV425" s="1544">
        <f t="shared" si="247"/>
        <v>0</v>
      </c>
      <c r="AW425" s="1452">
        <f t="shared" si="220"/>
        <v>0</v>
      </c>
      <c r="AX425" s="1452">
        <f t="shared" si="221"/>
        <v>0</v>
      </c>
      <c r="AY425" s="1452">
        <f t="shared" si="222"/>
        <v>0</v>
      </c>
      <c r="AZ425" s="1452">
        <f t="shared" si="223"/>
        <v>0</v>
      </c>
      <c r="BA425" s="1452">
        <f t="shared" si="224"/>
        <v>0</v>
      </c>
      <c r="BB425" s="1452">
        <f t="shared" si="225"/>
        <v>0</v>
      </c>
      <c r="BC425" s="1452">
        <f t="shared" si="226"/>
        <v>0</v>
      </c>
      <c r="BD425" s="1452">
        <f t="shared" si="227"/>
        <v>0</v>
      </c>
      <c r="BE425" s="1452">
        <f t="shared" si="228"/>
        <v>0</v>
      </c>
      <c r="BF425" s="1452">
        <f t="shared" si="229"/>
        <v>0</v>
      </c>
      <c r="BG425" s="1452">
        <f t="shared" si="230"/>
        <v>0</v>
      </c>
      <c r="BH425" s="1452">
        <f t="shared" si="231"/>
        <v>0</v>
      </c>
      <c r="BI425" s="1452">
        <f t="shared" si="248"/>
        <v>0</v>
      </c>
      <c r="BJ425" s="1452" t="str">
        <f t="shared" si="232"/>
        <v/>
      </c>
      <c r="BK425" s="1452" t="str">
        <f t="shared" si="233"/>
        <v/>
      </c>
      <c r="BL425" s="1452" t="str">
        <f t="shared" si="234"/>
        <v/>
      </c>
      <c r="BM425" s="1452" t="str">
        <f t="shared" si="235"/>
        <v/>
      </c>
      <c r="BN425" s="1452" t="str">
        <f t="shared" ca="1" si="236"/>
        <v/>
      </c>
      <c r="BO425" s="1452" t="str">
        <f t="shared" si="249"/>
        <v/>
      </c>
      <c r="BP425" s="1452" t="str">
        <f t="shared" si="237"/>
        <v/>
      </c>
      <c r="BQ425" s="1452" t="str">
        <f t="shared" si="238"/>
        <v/>
      </c>
      <c r="BR425" s="1452" t="str">
        <f t="shared" si="239"/>
        <v/>
      </c>
      <c r="BS425" s="1452" t="str">
        <f t="shared" si="240"/>
        <v/>
      </c>
      <c r="BT425" s="1452" t="str">
        <f t="shared" si="241"/>
        <v/>
      </c>
      <c r="BU425" s="1452" t="str">
        <f t="shared" si="242"/>
        <v/>
      </c>
      <c r="BV425" s="1452" t="str">
        <f t="shared" si="243"/>
        <v/>
      </c>
      <c r="BW425" s="1558">
        <f t="shared" ca="1" si="250"/>
        <v>0</v>
      </c>
    </row>
    <row r="426" spans="1:75" s="9" customFormat="1" ht="12.5">
      <c r="A426" s="1483" t="str">
        <f t="shared" si="244"/>
        <v>Public Health Wales Trust</v>
      </c>
      <c r="B426" s="1583"/>
      <c r="C426" s="1583"/>
      <c r="D426" s="1583"/>
      <c r="E426" s="1581"/>
      <c r="F426" s="1436"/>
      <c r="G426" s="1547">
        <f t="shared" si="245"/>
        <v>0</v>
      </c>
      <c r="H426" s="1484"/>
      <c r="I426" s="1547">
        <f t="shared" si="246"/>
        <v>0</v>
      </c>
      <c r="J426" s="1485"/>
      <c r="K426" s="1485"/>
      <c r="L426" s="1436"/>
      <c r="M426" s="1439"/>
      <c r="N426" s="1439"/>
      <c r="O426" s="1485"/>
      <c r="P426" s="1486"/>
      <c r="Q426" s="1486"/>
      <c r="R426" s="1487"/>
      <c r="S426" s="1444"/>
      <c r="T426" s="1444"/>
      <c r="U426" s="1444"/>
      <c r="V426" s="1488"/>
      <c r="W426" s="1488"/>
      <c r="X426" s="1488"/>
      <c r="Y426" s="1488"/>
      <c r="Z426" s="1488"/>
      <c r="AA426" s="1488"/>
      <c r="AB426" s="1488"/>
      <c r="AC426" s="1488"/>
      <c r="AD426" s="1488"/>
      <c r="AE426" s="1488"/>
      <c r="AF426" s="1488"/>
      <c r="AG426" s="1488"/>
      <c r="AH426" s="1451">
        <f t="shared" si="218"/>
        <v>0</v>
      </c>
      <c r="AI426" s="1488"/>
      <c r="AJ426" s="1488"/>
      <c r="AK426" s="1488"/>
      <c r="AL426" s="1488"/>
      <c r="AM426" s="1488"/>
      <c r="AN426" s="1488"/>
      <c r="AO426" s="1488"/>
      <c r="AP426" s="1488"/>
      <c r="AQ426" s="1488"/>
      <c r="AR426" s="1488"/>
      <c r="AS426" s="1488"/>
      <c r="AT426" s="1542"/>
      <c r="AU426" s="1599">
        <f t="shared" si="219"/>
        <v>0</v>
      </c>
      <c r="AV426" s="1544">
        <f t="shared" si="247"/>
        <v>0</v>
      </c>
      <c r="AW426" s="1452">
        <f t="shared" si="220"/>
        <v>0</v>
      </c>
      <c r="AX426" s="1452">
        <f t="shared" si="221"/>
        <v>0</v>
      </c>
      <c r="AY426" s="1452">
        <f t="shared" si="222"/>
        <v>0</v>
      </c>
      <c r="AZ426" s="1452">
        <f t="shared" si="223"/>
        <v>0</v>
      </c>
      <c r="BA426" s="1452">
        <f t="shared" si="224"/>
        <v>0</v>
      </c>
      <c r="BB426" s="1452">
        <f t="shared" si="225"/>
        <v>0</v>
      </c>
      <c r="BC426" s="1452">
        <f t="shared" si="226"/>
        <v>0</v>
      </c>
      <c r="BD426" s="1452">
        <f t="shared" si="227"/>
        <v>0</v>
      </c>
      <c r="BE426" s="1452">
        <f t="shared" si="228"/>
        <v>0</v>
      </c>
      <c r="BF426" s="1452">
        <f t="shared" si="229"/>
        <v>0</v>
      </c>
      <c r="BG426" s="1452">
        <f t="shared" si="230"/>
        <v>0</v>
      </c>
      <c r="BH426" s="1452">
        <f t="shared" si="231"/>
        <v>0</v>
      </c>
      <c r="BI426" s="1452">
        <f t="shared" si="248"/>
        <v>0</v>
      </c>
      <c r="BJ426" s="1452" t="str">
        <f t="shared" si="232"/>
        <v/>
      </c>
      <c r="BK426" s="1452" t="str">
        <f t="shared" si="233"/>
        <v/>
      </c>
      <c r="BL426" s="1452" t="str">
        <f t="shared" si="234"/>
        <v/>
      </c>
      <c r="BM426" s="1452" t="str">
        <f t="shared" si="235"/>
        <v/>
      </c>
      <c r="BN426" s="1452" t="str">
        <f t="shared" ca="1" si="236"/>
        <v/>
      </c>
      <c r="BO426" s="1452" t="str">
        <f t="shared" si="249"/>
        <v/>
      </c>
      <c r="BP426" s="1452" t="str">
        <f t="shared" si="237"/>
        <v/>
      </c>
      <c r="BQ426" s="1452" t="str">
        <f t="shared" si="238"/>
        <v/>
      </c>
      <c r="BR426" s="1452" t="str">
        <f t="shared" si="239"/>
        <v/>
      </c>
      <c r="BS426" s="1452" t="str">
        <f t="shared" si="240"/>
        <v/>
      </c>
      <c r="BT426" s="1452" t="str">
        <f t="shared" si="241"/>
        <v/>
      </c>
      <c r="BU426" s="1452" t="str">
        <f t="shared" si="242"/>
        <v/>
      </c>
      <c r="BV426" s="1452" t="str">
        <f t="shared" si="243"/>
        <v/>
      </c>
      <c r="BW426" s="1558">
        <f t="shared" ca="1" si="250"/>
        <v>0</v>
      </c>
    </row>
    <row r="427" spans="1:75" s="9" customFormat="1" ht="12.5">
      <c r="A427" s="1483" t="str">
        <f t="shared" si="244"/>
        <v>Public Health Wales Trust</v>
      </c>
      <c r="B427" s="1583"/>
      <c r="C427" s="1583"/>
      <c r="D427" s="1583"/>
      <c r="E427" s="1581"/>
      <c r="F427" s="1436"/>
      <c r="G427" s="1547">
        <f t="shared" si="245"/>
        <v>0</v>
      </c>
      <c r="H427" s="1484"/>
      <c r="I427" s="1547">
        <f t="shared" si="246"/>
        <v>0</v>
      </c>
      <c r="J427" s="1485"/>
      <c r="K427" s="1485"/>
      <c r="L427" s="1436"/>
      <c r="M427" s="1439"/>
      <c r="N427" s="1439"/>
      <c r="O427" s="1485"/>
      <c r="P427" s="1486"/>
      <c r="Q427" s="1486"/>
      <c r="R427" s="1487"/>
      <c r="S427" s="1444"/>
      <c r="T427" s="1444"/>
      <c r="U427" s="1444"/>
      <c r="V427" s="1488"/>
      <c r="W427" s="1488"/>
      <c r="X427" s="1488"/>
      <c r="Y427" s="1488"/>
      <c r="Z427" s="1488"/>
      <c r="AA427" s="1488"/>
      <c r="AB427" s="1488"/>
      <c r="AC427" s="1488"/>
      <c r="AD427" s="1488"/>
      <c r="AE427" s="1488"/>
      <c r="AF427" s="1488"/>
      <c r="AG427" s="1488"/>
      <c r="AH427" s="1451">
        <f t="shared" ref="AH427:AH490" si="251">SUM(V427:AG427)</f>
        <v>0</v>
      </c>
      <c r="AI427" s="1488"/>
      <c r="AJ427" s="1488"/>
      <c r="AK427" s="1488"/>
      <c r="AL427" s="1488"/>
      <c r="AM427" s="1488"/>
      <c r="AN427" s="1488"/>
      <c r="AO427" s="1488"/>
      <c r="AP427" s="1488"/>
      <c r="AQ427" s="1488"/>
      <c r="AR427" s="1488"/>
      <c r="AS427" s="1488"/>
      <c r="AT427" s="1542"/>
      <c r="AU427" s="1599">
        <f t="shared" ref="AU427:AU490" si="252">SUMPRODUCT($AC$40:$AN$40,AI427:AT427)</f>
        <v>0</v>
      </c>
      <c r="AV427" s="1544">
        <f t="shared" si="247"/>
        <v>0</v>
      </c>
      <c r="AW427" s="1452">
        <f t="shared" ref="AW427:AW490" si="253">AI427-V427</f>
        <v>0</v>
      </c>
      <c r="AX427" s="1452">
        <f t="shared" ref="AX427:AX490" si="254">AJ427-W427</f>
        <v>0</v>
      </c>
      <c r="AY427" s="1452">
        <f t="shared" ref="AY427:AY490" si="255">AK427-X427</f>
        <v>0</v>
      </c>
      <c r="AZ427" s="1452">
        <f t="shared" ref="AZ427:AZ490" si="256">AL427-Y427</f>
        <v>0</v>
      </c>
      <c r="BA427" s="1452">
        <f t="shared" ref="BA427:BA490" si="257">AM427-Z427</f>
        <v>0</v>
      </c>
      <c r="BB427" s="1452">
        <f t="shared" ref="BB427:BB490" si="258">AN427-AA427</f>
        <v>0</v>
      </c>
      <c r="BC427" s="1452">
        <f t="shared" ref="BC427:BC490" si="259">AO427-AB427</f>
        <v>0</v>
      </c>
      <c r="BD427" s="1452">
        <f t="shared" ref="BD427:BD490" si="260">AP427-AC427</f>
        <v>0</v>
      </c>
      <c r="BE427" s="1452">
        <f t="shared" ref="BE427:BE490" si="261">AQ427-AD427</f>
        <v>0</v>
      </c>
      <c r="BF427" s="1452">
        <f t="shared" ref="BF427:BF490" si="262">AR427-AE427</f>
        <v>0</v>
      </c>
      <c r="BG427" s="1452">
        <f t="shared" ref="BG427:BG490" si="263">AS427-AF427</f>
        <v>0</v>
      </c>
      <c r="BH427" s="1452">
        <f t="shared" ref="BH427:BH490" si="264">AT427-AG427</f>
        <v>0</v>
      </c>
      <c r="BI427" s="1452">
        <f t="shared" si="248"/>
        <v>0</v>
      </c>
      <c r="BJ427" s="1452" t="str">
        <f t="shared" ref="BJ427:BJ490" si="265">IF(OR(G427&gt;0,I427&gt;0),IF(AND(B427&lt;&gt;"",C427&lt;&gt;"",D427&lt;&gt;"",E427&lt;&gt;"",F427&lt;&gt;"",L427&lt;&gt;"",M427&lt;&gt;"",N427&lt;&gt;"",O427&lt;&gt;"",P427&lt;&gt;"",Q427&lt;&gt;"",R427&lt;&gt;""),"","ERROR"),"")</f>
        <v/>
      </c>
      <c r="BK427" s="1452" t="str">
        <f t="shared" ref="BK427:BK490" si="266">IF(COUNTIF($D$43:$D$1496,D427)&gt;1,"ERROR","")</f>
        <v/>
      </c>
      <c r="BL427" s="1452" t="str">
        <f t="shared" ref="BL427:BL490" si="267">IF(AND(OR(R427=$CQ$1,R427=$CQ$3),S427=""),"ERROR","")</f>
        <v/>
      </c>
      <c r="BM427" s="1452" t="str">
        <f t="shared" ref="BM427:BM490" si="268">IF(AND(OR(R427=$CQ$2),S427&lt;&gt;""),"ERROR","")</f>
        <v/>
      </c>
      <c r="BN427" s="1452" t="str">
        <f t="shared" ref="BN427:BN490" ca="1" si="269">IF(AND(O427=$CA$2,N427&lt;TODAY()),"ERROR","")</f>
        <v/>
      </c>
      <c r="BO427" s="1452" t="str">
        <f t="shared" si="249"/>
        <v/>
      </c>
      <c r="BP427" s="1452" t="str">
        <f t="shared" ref="BP427:BP490" si="270">IF(AND(F427=$BZ$1,G427&gt;H427),"ERROR","")</f>
        <v/>
      </c>
      <c r="BQ427" s="1452" t="str">
        <f t="shared" ref="BQ427:BQ490" si="271">IF(AND(F427=$BZ$1,I427&gt;J427),"ERROR","")</f>
        <v/>
      </c>
      <c r="BR427" s="1452" t="str">
        <f t="shared" ref="BR427:BR490" si="272">IF(AND(F427=$BZ$2,SUM(H427,J427)&gt;0),"ERROR","")</f>
        <v/>
      </c>
      <c r="BS427" s="1452" t="str">
        <f t="shared" ref="BS427:BS490" si="273">IF(AND(I427=0,J427&gt;0),"ERROR","")</f>
        <v/>
      </c>
      <c r="BT427" s="1452" t="str">
        <f t="shared" ref="BT427:BT490" si="274">IF(AND(O427=$CA$1,K427&lt;&gt;0),"ERROR","")</f>
        <v/>
      </c>
      <c r="BU427" s="1452" t="str">
        <f t="shared" ref="BU427:BU490" si="275">IF(AND(O427=$CA$2,I427-AU427-K427&lt;0),"ERROR","")</f>
        <v/>
      </c>
      <c r="BV427" s="1452" t="str">
        <f t="shared" ref="BV427:BV490" si="276">IF(S427="","",VLOOKUP(S427,$CS$1:$CT$14,2,0))</f>
        <v/>
      </c>
      <c r="BW427" s="1558">
        <f t="shared" ca="1" si="250"/>
        <v>0</v>
      </c>
    </row>
    <row r="428" spans="1:75" s="9" customFormat="1" ht="12.5">
      <c r="A428" s="1483" t="str">
        <f t="shared" ref="A428:A491" si="277">$A$1</f>
        <v>Public Health Wales Trust</v>
      </c>
      <c r="B428" s="1583"/>
      <c r="C428" s="1583"/>
      <c r="D428" s="1583"/>
      <c r="E428" s="1581"/>
      <c r="F428" s="1436"/>
      <c r="G428" s="1547">
        <f t="shared" ref="G428:G491" si="278">AH428</f>
        <v>0</v>
      </c>
      <c r="H428" s="1484"/>
      <c r="I428" s="1547">
        <f t="shared" ref="I428:I491" si="279">AV428</f>
        <v>0</v>
      </c>
      <c r="J428" s="1485"/>
      <c r="K428" s="1485"/>
      <c r="L428" s="1436"/>
      <c r="M428" s="1439"/>
      <c r="N428" s="1439"/>
      <c r="O428" s="1485"/>
      <c r="P428" s="1486"/>
      <c r="Q428" s="1486"/>
      <c r="R428" s="1487"/>
      <c r="S428" s="1444"/>
      <c r="T428" s="1444"/>
      <c r="U428" s="1444"/>
      <c r="V428" s="1488"/>
      <c r="W428" s="1488"/>
      <c r="X428" s="1488"/>
      <c r="Y428" s="1488"/>
      <c r="Z428" s="1488"/>
      <c r="AA428" s="1488"/>
      <c r="AB428" s="1488"/>
      <c r="AC428" s="1488"/>
      <c r="AD428" s="1488"/>
      <c r="AE428" s="1488"/>
      <c r="AF428" s="1488"/>
      <c r="AG428" s="1488"/>
      <c r="AH428" s="1451">
        <f t="shared" si="251"/>
        <v>0</v>
      </c>
      <c r="AI428" s="1488"/>
      <c r="AJ428" s="1488"/>
      <c r="AK428" s="1488"/>
      <c r="AL428" s="1488"/>
      <c r="AM428" s="1488"/>
      <c r="AN428" s="1488"/>
      <c r="AO428" s="1488"/>
      <c r="AP428" s="1488"/>
      <c r="AQ428" s="1488"/>
      <c r="AR428" s="1488"/>
      <c r="AS428" s="1488"/>
      <c r="AT428" s="1542"/>
      <c r="AU428" s="1599">
        <f t="shared" si="252"/>
        <v>0</v>
      </c>
      <c r="AV428" s="1544">
        <f t="shared" ref="AV428:AV491" si="280">SUM(AI428:AT428)</f>
        <v>0</v>
      </c>
      <c r="AW428" s="1452">
        <f t="shared" si="253"/>
        <v>0</v>
      </c>
      <c r="AX428" s="1452">
        <f t="shared" si="254"/>
        <v>0</v>
      </c>
      <c r="AY428" s="1452">
        <f t="shared" si="255"/>
        <v>0</v>
      </c>
      <c r="AZ428" s="1452">
        <f t="shared" si="256"/>
        <v>0</v>
      </c>
      <c r="BA428" s="1452">
        <f t="shared" si="257"/>
        <v>0</v>
      </c>
      <c r="BB428" s="1452">
        <f t="shared" si="258"/>
        <v>0</v>
      </c>
      <c r="BC428" s="1452">
        <f t="shared" si="259"/>
        <v>0</v>
      </c>
      <c r="BD428" s="1452">
        <f t="shared" si="260"/>
        <v>0</v>
      </c>
      <c r="BE428" s="1452">
        <f t="shared" si="261"/>
        <v>0</v>
      </c>
      <c r="BF428" s="1452">
        <f t="shared" si="262"/>
        <v>0</v>
      </c>
      <c r="BG428" s="1452">
        <f t="shared" si="263"/>
        <v>0</v>
      </c>
      <c r="BH428" s="1452">
        <f t="shared" si="264"/>
        <v>0</v>
      </c>
      <c r="BI428" s="1452">
        <f t="shared" ref="BI428:BI491" si="281">SUM(AW428:BH428)</f>
        <v>0</v>
      </c>
      <c r="BJ428" s="1452" t="str">
        <f t="shared" si="265"/>
        <v/>
      </c>
      <c r="BK428" s="1452" t="str">
        <f t="shared" si="266"/>
        <v/>
      </c>
      <c r="BL428" s="1452" t="str">
        <f t="shared" si="267"/>
        <v/>
      </c>
      <c r="BM428" s="1452" t="str">
        <f t="shared" si="268"/>
        <v/>
      </c>
      <c r="BN428" s="1452" t="str">
        <f t="shared" ca="1" si="269"/>
        <v/>
      </c>
      <c r="BO428" s="1452" t="str">
        <f t="shared" ref="BO428:BO491" si="282">IF(AND(AV428&gt;0,AH428=0),"ERROR","")</f>
        <v/>
      </c>
      <c r="BP428" s="1452" t="str">
        <f t="shared" si="270"/>
        <v/>
      </c>
      <c r="BQ428" s="1452" t="str">
        <f t="shared" si="271"/>
        <v/>
      </c>
      <c r="BR428" s="1452" t="str">
        <f t="shared" si="272"/>
        <v/>
      </c>
      <c r="BS428" s="1452" t="str">
        <f t="shared" si="273"/>
        <v/>
      </c>
      <c r="BT428" s="1452" t="str">
        <f t="shared" si="274"/>
        <v/>
      </c>
      <c r="BU428" s="1452" t="str">
        <f t="shared" si="275"/>
        <v/>
      </c>
      <c r="BV428" s="1452" t="str">
        <f t="shared" si="276"/>
        <v/>
      </c>
      <c r="BW428" s="1558">
        <f t="shared" ref="BW428:BW491" ca="1" si="283">COUNTIF(BJ428:BU428,"ERROR")</f>
        <v>0</v>
      </c>
    </row>
    <row r="429" spans="1:75" s="9" customFormat="1" ht="12.5">
      <c r="A429" s="1483" t="str">
        <f t="shared" si="277"/>
        <v>Public Health Wales Trust</v>
      </c>
      <c r="B429" s="1583"/>
      <c r="C429" s="1583"/>
      <c r="D429" s="1583"/>
      <c r="E429" s="1581"/>
      <c r="F429" s="1436"/>
      <c r="G429" s="1547">
        <f t="shared" si="278"/>
        <v>0</v>
      </c>
      <c r="H429" s="1484"/>
      <c r="I429" s="1547">
        <f t="shared" si="279"/>
        <v>0</v>
      </c>
      <c r="J429" s="1485"/>
      <c r="K429" s="1485"/>
      <c r="L429" s="1436"/>
      <c r="M429" s="1439"/>
      <c r="N429" s="1439"/>
      <c r="O429" s="1485"/>
      <c r="P429" s="1486"/>
      <c r="Q429" s="1486"/>
      <c r="R429" s="1487"/>
      <c r="S429" s="1444"/>
      <c r="T429" s="1444"/>
      <c r="U429" s="1444"/>
      <c r="V429" s="1488"/>
      <c r="W429" s="1488"/>
      <c r="X429" s="1488"/>
      <c r="Y429" s="1488"/>
      <c r="Z429" s="1488"/>
      <c r="AA429" s="1488"/>
      <c r="AB429" s="1488"/>
      <c r="AC429" s="1488"/>
      <c r="AD429" s="1488"/>
      <c r="AE429" s="1488"/>
      <c r="AF429" s="1488"/>
      <c r="AG429" s="1488"/>
      <c r="AH429" s="1451">
        <f t="shared" si="251"/>
        <v>0</v>
      </c>
      <c r="AI429" s="1488"/>
      <c r="AJ429" s="1488"/>
      <c r="AK429" s="1488"/>
      <c r="AL429" s="1488"/>
      <c r="AM429" s="1488"/>
      <c r="AN429" s="1488"/>
      <c r="AO429" s="1488"/>
      <c r="AP429" s="1488"/>
      <c r="AQ429" s="1488"/>
      <c r="AR429" s="1488"/>
      <c r="AS429" s="1488"/>
      <c r="AT429" s="1542"/>
      <c r="AU429" s="1599">
        <f t="shared" si="252"/>
        <v>0</v>
      </c>
      <c r="AV429" s="1544">
        <f t="shared" si="280"/>
        <v>0</v>
      </c>
      <c r="AW429" s="1452">
        <f t="shared" si="253"/>
        <v>0</v>
      </c>
      <c r="AX429" s="1452">
        <f t="shared" si="254"/>
        <v>0</v>
      </c>
      <c r="AY429" s="1452">
        <f t="shared" si="255"/>
        <v>0</v>
      </c>
      <c r="AZ429" s="1452">
        <f t="shared" si="256"/>
        <v>0</v>
      </c>
      <c r="BA429" s="1452">
        <f t="shared" si="257"/>
        <v>0</v>
      </c>
      <c r="BB429" s="1452">
        <f t="shared" si="258"/>
        <v>0</v>
      </c>
      <c r="BC429" s="1452">
        <f t="shared" si="259"/>
        <v>0</v>
      </c>
      <c r="BD429" s="1452">
        <f t="shared" si="260"/>
        <v>0</v>
      </c>
      <c r="BE429" s="1452">
        <f t="shared" si="261"/>
        <v>0</v>
      </c>
      <c r="BF429" s="1452">
        <f t="shared" si="262"/>
        <v>0</v>
      </c>
      <c r="BG429" s="1452">
        <f t="shared" si="263"/>
        <v>0</v>
      </c>
      <c r="BH429" s="1452">
        <f t="shared" si="264"/>
        <v>0</v>
      </c>
      <c r="BI429" s="1452">
        <f t="shared" si="281"/>
        <v>0</v>
      </c>
      <c r="BJ429" s="1452" t="str">
        <f t="shared" si="265"/>
        <v/>
      </c>
      <c r="BK429" s="1452" t="str">
        <f t="shared" si="266"/>
        <v/>
      </c>
      <c r="BL429" s="1452" t="str">
        <f t="shared" si="267"/>
        <v/>
      </c>
      <c r="BM429" s="1452" t="str">
        <f t="shared" si="268"/>
        <v/>
      </c>
      <c r="BN429" s="1452" t="str">
        <f t="shared" ca="1" si="269"/>
        <v/>
      </c>
      <c r="BO429" s="1452" t="str">
        <f t="shared" si="282"/>
        <v/>
      </c>
      <c r="BP429" s="1452" t="str">
        <f t="shared" si="270"/>
        <v/>
      </c>
      <c r="BQ429" s="1452" t="str">
        <f t="shared" si="271"/>
        <v/>
      </c>
      <c r="BR429" s="1452" t="str">
        <f t="shared" si="272"/>
        <v/>
      </c>
      <c r="BS429" s="1452" t="str">
        <f t="shared" si="273"/>
        <v/>
      </c>
      <c r="BT429" s="1452" t="str">
        <f t="shared" si="274"/>
        <v/>
      </c>
      <c r="BU429" s="1452" t="str">
        <f t="shared" si="275"/>
        <v/>
      </c>
      <c r="BV429" s="1452" t="str">
        <f t="shared" si="276"/>
        <v/>
      </c>
      <c r="BW429" s="1558">
        <f t="shared" ca="1" si="283"/>
        <v>0</v>
      </c>
    </row>
    <row r="430" spans="1:75" s="9" customFormat="1" ht="12.5">
      <c r="A430" s="1483" t="str">
        <f t="shared" si="277"/>
        <v>Public Health Wales Trust</v>
      </c>
      <c r="B430" s="1583"/>
      <c r="C430" s="1583"/>
      <c r="D430" s="1583"/>
      <c r="E430" s="1581"/>
      <c r="F430" s="1436"/>
      <c r="G430" s="1547">
        <f t="shared" si="278"/>
        <v>0</v>
      </c>
      <c r="H430" s="1484"/>
      <c r="I430" s="1547">
        <f t="shared" si="279"/>
        <v>0</v>
      </c>
      <c r="J430" s="1485"/>
      <c r="K430" s="1485"/>
      <c r="L430" s="1436"/>
      <c r="M430" s="1439"/>
      <c r="N430" s="1439"/>
      <c r="O430" s="1485"/>
      <c r="P430" s="1486"/>
      <c r="Q430" s="1486"/>
      <c r="R430" s="1487"/>
      <c r="S430" s="1444"/>
      <c r="T430" s="1444"/>
      <c r="U430" s="1444"/>
      <c r="V430" s="1488"/>
      <c r="W430" s="1488"/>
      <c r="X430" s="1488"/>
      <c r="Y430" s="1488"/>
      <c r="Z430" s="1488"/>
      <c r="AA430" s="1488"/>
      <c r="AB430" s="1488"/>
      <c r="AC430" s="1488"/>
      <c r="AD430" s="1488"/>
      <c r="AE430" s="1488"/>
      <c r="AF430" s="1488"/>
      <c r="AG430" s="1488"/>
      <c r="AH430" s="1451">
        <f t="shared" si="251"/>
        <v>0</v>
      </c>
      <c r="AI430" s="1488"/>
      <c r="AJ430" s="1488"/>
      <c r="AK430" s="1488"/>
      <c r="AL430" s="1488"/>
      <c r="AM430" s="1488"/>
      <c r="AN430" s="1488"/>
      <c r="AO430" s="1488"/>
      <c r="AP430" s="1488"/>
      <c r="AQ430" s="1488"/>
      <c r="AR430" s="1488"/>
      <c r="AS430" s="1488"/>
      <c r="AT430" s="1542"/>
      <c r="AU430" s="1599">
        <f t="shared" si="252"/>
        <v>0</v>
      </c>
      <c r="AV430" s="1544">
        <f t="shared" si="280"/>
        <v>0</v>
      </c>
      <c r="AW430" s="1452">
        <f t="shared" si="253"/>
        <v>0</v>
      </c>
      <c r="AX430" s="1452">
        <f t="shared" si="254"/>
        <v>0</v>
      </c>
      <c r="AY430" s="1452">
        <f t="shared" si="255"/>
        <v>0</v>
      </c>
      <c r="AZ430" s="1452">
        <f t="shared" si="256"/>
        <v>0</v>
      </c>
      <c r="BA430" s="1452">
        <f t="shared" si="257"/>
        <v>0</v>
      </c>
      <c r="BB430" s="1452">
        <f t="shared" si="258"/>
        <v>0</v>
      </c>
      <c r="BC430" s="1452">
        <f t="shared" si="259"/>
        <v>0</v>
      </c>
      <c r="BD430" s="1452">
        <f t="shared" si="260"/>
        <v>0</v>
      </c>
      <c r="BE430" s="1452">
        <f t="shared" si="261"/>
        <v>0</v>
      </c>
      <c r="BF430" s="1452">
        <f t="shared" si="262"/>
        <v>0</v>
      </c>
      <c r="BG430" s="1452">
        <f t="shared" si="263"/>
        <v>0</v>
      </c>
      <c r="BH430" s="1452">
        <f t="shared" si="264"/>
        <v>0</v>
      </c>
      <c r="BI430" s="1452">
        <f t="shared" si="281"/>
        <v>0</v>
      </c>
      <c r="BJ430" s="1452" t="str">
        <f t="shared" si="265"/>
        <v/>
      </c>
      <c r="BK430" s="1452" t="str">
        <f t="shared" si="266"/>
        <v/>
      </c>
      <c r="BL430" s="1452" t="str">
        <f t="shared" si="267"/>
        <v/>
      </c>
      <c r="BM430" s="1452" t="str">
        <f t="shared" si="268"/>
        <v/>
      </c>
      <c r="BN430" s="1452" t="str">
        <f t="shared" ca="1" si="269"/>
        <v/>
      </c>
      <c r="BO430" s="1452" t="str">
        <f t="shared" si="282"/>
        <v/>
      </c>
      <c r="BP430" s="1452" t="str">
        <f t="shared" si="270"/>
        <v/>
      </c>
      <c r="BQ430" s="1452" t="str">
        <f t="shared" si="271"/>
        <v/>
      </c>
      <c r="BR430" s="1452" t="str">
        <f t="shared" si="272"/>
        <v/>
      </c>
      <c r="BS430" s="1452" t="str">
        <f t="shared" si="273"/>
        <v/>
      </c>
      <c r="BT430" s="1452" t="str">
        <f t="shared" si="274"/>
        <v/>
      </c>
      <c r="BU430" s="1452" t="str">
        <f t="shared" si="275"/>
        <v/>
      </c>
      <c r="BV430" s="1452" t="str">
        <f t="shared" si="276"/>
        <v/>
      </c>
      <c r="BW430" s="1558">
        <f t="shared" ca="1" si="283"/>
        <v>0</v>
      </c>
    </row>
    <row r="431" spans="1:75" s="9" customFormat="1" ht="12.5">
      <c r="A431" s="1483" t="str">
        <f t="shared" si="277"/>
        <v>Public Health Wales Trust</v>
      </c>
      <c r="B431" s="1583"/>
      <c r="C431" s="1583"/>
      <c r="D431" s="1583"/>
      <c r="E431" s="1581"/>
      <c r="F431" s="1436"/>
      <c r="G431" s="1547">
        <f t="shared" si="278"/>
        <v>0</v>
      </c>
      <c r="H431" s="1484"/>
      <c r="I431" s="1547">
        <f t="shared" si="279"/>
        <v>0</v>
      </c>
      <c r="J431" s="1485"/>
      <c r="K431" s="1485"/>
      <c r="L431" s="1436"/>
      <c r="M431" s="1439"/>
      <c r="N431" s="1439"/>
      <c r="O431" s="1485"/>
      <c r="P431" s="1486"/>
      <c r="Q431" s="1486"/>
      <c r="R431" s="1487"/>
      <c r="S431" s="1444"/>
      <c r="T431" s="1444"/>
      <c r="U431" s="1444"/>
      <c r="V431" s="1488"/>
      <c r="W431" s="1488"/>
      <c r="X431" s="1488"/>
      <c r="Y431" s="1488"/>
      <c r="Z431" s="1488"/>
      <c r="AA431" s="1488"/>
      <c r="AB431" s="1488"/>
      <c r="AC431" s="1488"/>
      <c r="AD431" s="1488"/>
      <c r="AE431" s="1488"/>
      <c r="AF431" s="1488"/>
      <c r="AG431" s="1488"/>
      <c r="AH431" s="1451">
        <f t="shared" si="251"/>
        <v>0</v>
      </c>
      <c r="AI431" s="1488"/>
      <c r="AJ431" s="1488"/>
      <c r="AK431" s="1488"/>
      <c r="AL431" s="1488"/>
      <c r="AM431" s="1488"/>
      <c r="AN431" s="1488"/>
      <c r="AO431" s="1488"/>
      <c r="AP431" s="1488"/>
      <c r="AQ431" s="1488"/>
      <c r="AR431" s="1488"/>
      <c r="AS431" s="1488"/>
      <c r="AT431" s="1542"/>
      <c r="AU431" s="1599">
        <f t="shared" si="252"/>
        <v>0</v>
      </c>
      <c r="AV431" s="1544">
        <f t="shared" si="280"/>
        <v>0</v>
      </c>
      <c r="AW431" s="1452">
        <f t="shared" si="253"/>
        <v>0</v>
      </c>
      <c r="AX431" s="1452">
        <f t="shared" si="254"/>
        <v>0</v>
      </c>
      <c r="AY431" s="1452">
        <f t="shared" si="255"/>
        <v>0</v>
      </c>
      <c r="AZ431" s="1452">
        <f t="shared" si="256"/>
        <v>0</v>
      </c>
      <c r="BA431" s="1452">
        <f t="shared" si="257"/>
        <v>0</v>
      </c>
      <c r="BB431" s="1452">
        <f t="shared" si="258"/>
        <v>0</v>
      </c>
      <c r="BC431" s="1452">
        <f t="shared" si="259"/>
        <v>0</v>
      </c>
      <c r="BD431" s="1452">
        <f t="shared" si="260"/>
        <v>0</v>
      </c>
      <c r="BE431" s="1452">
        <f t="shared" si="261"/>
        <v>0</v>
      </c>
      <c r="BF431" s="1452">
        <f t="shared" si="262"/>
        <v>0</v>
      </c>
      <c r="BG431" s="1452">
        <f t="shared" si="263"/>
        <v>0</v>
      </c>
      <c r="BH431" s="1452">
        <f t="shared" si="264"/>
        <v>0</v>
      </c>
      <c r="BI431" s="1452">
        <f t="shared" si="281"/>
        <v>0</v>
      </c>
      <c r="BJ431" s="1452" t="str">
        <f t="shared" si="265"/>
        <v/>
      </c>
      <c r="BK431" s="1452" t="str">
        <f t="shared" si="266"/>
        <v/>
      </c>
      <c r="BL431" s="1452" t="str">
        <f t="shared" si="267"/>
        <v/>
      </c>
      <c r="BM431" s="1452" t="str">
        <f t="shared" si="268"/>
        <v/>
      </c>
      <c r="BN431" s="1452" t="str">
        <f t="shared" ca="1" si="269"/>
        <v/>
      </c>
      <c r="BO431" s="1452" t="str">
        <f t="shared" si="282"/>
        <v/>
      </c>
      <c r="BP431" s="1452" t="str">
        <f t="shared" si="270"/>
        <v/>
      </c>
      <c r="BQ431" s="1452" t="str">
        <f t="shared" si="271"/>
        <v/>
      </c>
      <c r="BR431" s="1452" t="str">
        <f t="shared" si="272"/>
        <v/>
      </c>
      <c r="BS431" s="1452" t="str">
        <f t="shared" si="273"/>
        <v/>
      </c>
      <c r="BT431" s="1452" t="str">
        <f t="shared" si="274"/>
        <v/>
      </c>
      <c r="BU431" s="1452" t="str">
        <f t="shared" si="275"/>
        <v/>
      </c>
      <c r="BV431" s="1452" t="str">
        <f t="shared" si="276"/>
        <v/>
      </c>
      <c r="BW431" s="1558">
        <f t="shared" ca="1" si="283"/>
        <v>0</v>
      </c>
    </row>
    <row r="432" spans="1:75" s="9" customFormat="1" ht="12.5">
      <c r="A432" s="1483" t="str">
        <f t="shared" si="277"/>
        <v>Public Health Wales Trust</v>
      </c>
      <c r="B432" s="1583"/>
      <c r="C432" s="1583"/>
      <c r="D432" s="1583"/>
      <c r="E432" s="1581"/>
      <c r="F432" s="1436"/>
      <c r="G432" s="1547">
        <f t="shared" si="278"/>
        <v>0</v>
      </c>
      <c r="H432" s="1484"/>
      <c r="I432" s="1547">
        <f t="shared" si="279"/>
        <v>0</v>
      </c>
      <c r="J432" s="1485"/>
      <c r="K432" s="1485"/>
      <c r="L432" s="1436"/>
      <c r="M432" s="1439"/>
      <c r="N432" s="1439"/>
      <c r="O432" s="1485"/>
      <c r="P432" s="1486"/>
      <c r="Q432" s="1486"/>
      <c r="R432" s="1487"/>
      <c r="S432" s="1444"/>
      <c r="T432" s="1444"/>
      <c r="U432" s="1444"/>
      <c r="V432" s="1488"/>
      <c r="W432" s="1488"/>
      <c r="X432" s="1488"/>
      <c r="Y432" s="1488"/>
      <c r="Z432" s="1488"/>
      <c r="AA432" s="1488"/>
      <c r="AB432" s="1488"/>
      <c r="AC432" s="1488"/>
      <c r="AD432" s="1488"/>
      <c r="AE432" s="1488"/>
      <c r="AF432" s="1488"/>
      <c r="AG432" s="1488"/>
      <c r="AH432" s="1451">
        <f t="shared" si="251"/>
        <v>0</v>
      </c>
      <c r="AI432" s="1488"/>
      <c r="AJ432" s="1488"/>
      <c r="AK432" s="1488"/>
      <c r="AL432" s="1488"/>
      <c r="AM432" s="1488"/>
      <c r="AN432" s="1488"/>
      <c r="AO432" s="1488"/>
      <c r="AP432" s="1488"/>
      <c r="AQ432" s="1488"/>
      <c r="AR432" s="1488"/>
      <c r="AS432" s="1488"/>
      <c r="AT432" s="1542"/>
      <c r="AU432" s="1599">
        <f t="shared" si="252"/>
        <v>0</v>
      </c>
      <c r="AV432" s="1544">
        <f t="shared" si="280"/>
        <v>0</v>
      </c>
      <c r="AW432" s="1452">
        <f t="shared" si="253"/>
        <v>0</v>
      </c>
      <c r="AX432" s="1452">
        <f t="shared" si="254"/>
        <v>0</v>
      </c>
      <c r="AY432" s="1452">
        <f t="shared" si="255"/>
        <v>0</v>
      </c>
      <c r="AZ432" s="1452">
        <f t="shared" si="256"/>
        <v>0</v>
      </c>
      <c r="BA432" s="1452">
        <f t="shared" si="257"/>
        <v>0</v>
      </c>
      <c r="BB432" s="1452">
        <f t="shared" si="258"/>
        <v>0</v>
      </c>
      <c r="BC432" s="1452">
        <f t="shared" si="259"/>
        <v>0</v>
      </c>
      <c r="BD432" s="1452">
        <f t="shared" si="260"/>
        <v>0</v>
      </c>
      <c r="BE432" s="1452">
        <f t="shared" si="261"/>
        <v>0</v>
      </c>
      <c r="BF432" s="1452">
        <f t="shared" si="262"/>
        <v>0</v>
      </c>
      <c r="BG432" s="1452">
        <f t="shared" si="263"/>
        <v>0</v>
      </c>
      <c r="BH432" s="1452">
        <f t="shared" si="264"/>
        <v>0</v>
      </c>
      <c r="BI432" s="1452">
        <f t="shared" si="281"/>
        <v>0</v>
      </c>
      <c r="BJ432" s="1452" t="str">
        <f t="shared" si="265"/>
        <v/>
      </c>
      <c r="BK432" s="1452" t="str">
        <f t="shared" si="266"/>
        <v/>
      </c>
      <c r="BL432" s="1452" t="str">
        <f t="shared" si="267"/>
        <v/>
      </c>
      <c r="BM432" s="1452" t="str">
        <f t="shared" si="268"/>
        <v/>
      </c>
      <c r="BN432" s="1452" t="str">
        <f t="shared" ca="1" si="269"/>
        <v/>
      </c>
      <c r="BO432" s="1452" t="str">
        <f t="shared" si="282"/>
        <v/>
      </c>
      <c r="BP432" s="1452" t="str">
        <f t="shared" si="270"/>
        <v/>
      </c>
      <c r="BQ432" s="1452" t="str">
        <f t="shared" si="271"/>
        <v/>
      </c>
      <c r="BR432" s="1452" t="str">
        <f t="shared" si="272"/>
        <v/>
      </c>
      <c r="BS432" s="1452" t="str">
        <f t="shared" si="273"/>
        <v/>
      </c>
      <c r="BT432" s="1452" t="str">
        <f t="shared" si="274"/>
        <v/>
      </c>
      <c r="BU432" s="1452" t="str">
        <f t="shared" si="275"/>
        <v/>
      </c>
      <c r="BV432" s="1452" t="str">
        <f t="shared" si="276"/>
        <v/>
      </c>
      <c r="BW432" s="1558">
        <f t="shared" ca="1" si="283"/>
        <v>0</v>
      </c>
    </row>
    <row r="433" spans="1:75" s="9" customFormat="1" ht="12.5">
      <c r="A433" s="1483" t="str">
        <f t="shared" si="277"/>
        <v>Public Health Wales Trust</v>
      </c>
      <c r="B433" s="1583"/>
      <c r="C433" s="1583"/>
      <c r="D433" s="1583"/>
      <c r="E433" s="1581"/>
      <c r="F433" s="1436"/>
      <c r="G433" s="1547">
        <f t="shared" si="278"/>
        <v>0</v>
      </c>
      <c r="H433" s="1484"/>
      <c r="I433" s="1547">
        <f t="shared" si="279"/>
        <v>0</v>
      </c>
      <c r="J433" s="1485"/>
      <c r="K433" s="1485"/>
      <c r="L433" s="1436"/>
      <c r="M433" s="1439"/>
      <c r="N433" s="1439"/>
      <c r="O433" s="1485"/>
      <c r="P433" s="1486"/>
      <c r="Q433" s="1486"/>
      <c r="R433" s="1487"/>
      <c r="S433" s="1444"/>
      <c r="T433" s="1444"/>
      <c r="U433" s="1444"/>
      <c r="V433" s="1488"/>
      <c r="W433" s="1488"/>
      <c r="X433" s="1488"/>
      <c r="Y433" s="1488"/>
      <c r="Z433" s="1488"/>
      <c r="AA433" s="1488"/>
      <c r="AB433" s="1488"/>
      <c r="AC433" s="1488"/>
      <c r="AD433" s="1488"/>
      <c r="AE433" s="1488"/>
      <c r="AF433" s="1488"/>
      <c r="AG433" s="1488"/>
      <c r="AH433" s="1451">
        <f t="shared" si="251"/>
        <v>0</v>
      </c>
      <c r="AI433" s="1488"/>
      <c r="AJ433" s="1488"/>
      <c r="AK433" s="1488"/>
      <c r="AL433" s="1488"/>
      <c r="AM433" s="1488"/>
      <c r="AN433" s="1488"/>
      <c r="AO433" s="1488"/>
      <c r="AP433" s="1488"/>
      <c r="AQ433" s="1488"/>
      <c r="AR433" s="1488"/>
      <c r="AS433" s="1488"/>
      <c r="AT433" s="1542"/>
      <c r="AU433" s="1599">
        <f t="shared" si="252"/>
        <v>0</v>
      </c>
      <c r="AV433" s="1544">
        <f t="shared" si="280"/>
        <v>0</v>
      </c>
      <c r="AW433" s="1452">
        <f t="shared" si="253"/>
        <v>0</v>
      </c>
      <c r="AX433" s="1452">
        <f t="shared" si="254"/>
        <v>0</v>
      </c>
      <c r="AY433" s="1452">
        <f t="shared" si="255"/>
        <v>0</v>
      </c>
      <c r="AZ433" s="1452">
        <f t="shared" si="256"/>
        <v>0</v>
      </c>
      <c r="BA433" s="1452">
        <f t="shared" si="257"/>
        <v>0</v>
      </c>
      <c r="BB433" s="1452">
        <f t="shared" si="258"/>
        <v>0</v>
      </c>
      <c r="BC433" s="1452">
        <f t="shared" si="259"/>
        <v>0</v>
      </c>
      <c r="BD433" s="1452">
        <f t="shared" si="260"/>
        <v>0</v>
      </c>
      <c r="BE433" s="1452">
        <f t="shared" si="261"/>
        <v>0</v>
      </c>
      <c r="BF433" s="1452">
        <f t="shared" si="262"/>
        <v>0</v>
      </c>
      <c r="BG433" s="1452">
        <f t="shared" si="263"/>
        <v>0</v>
      </c>
      <c r="BH433" s="1452">
        <f t="shared" si="264"/>
        <v>0</v>
      </c>
      <c r="BI433" s="1452">
        <f t="shared" si="281"/>
        <v>0</v>
      </c>
      <c r="BJ433" s="1452" t="str">
        <f t="shared" si="265"/>
        <v/>
      </c>
      <c r="BK433" s="1452" t="str">
        <f t="shared" si="266"/>
        <v/>
      </c>
      <c r="BL433" s="1452" t="str">
        <f t="shared" si="267"/>
        <v/>
      </c>
      <c r="BM433" s="1452" t="str">
        <f t="shared" si="268"/>
        <v/>
      </c>
      <c r="BN433" s="1452" t="str">
        <f t="shared" ca="1" si="269"/>
        <v/>
      </c>
      <c r="BO433" s="1452" t="str">
        <f t="shared" si="282"/>
        <v/>
      </c>
      <c r="BP433" s="1452" t="str">
        <f t="shared" si="270"/>
        <v/>
      </c>
      <c r="BQ433" s="1452" t="str">
        <f t="shared" si="271"/>
        <v/>
      </c>
      <c r="BR433" s="1452" t="str">
        <f t="shared" si="272"/>
        <v/>
      </c>
      <c r="BS433" s="1452" t="str">
        <f t="shared" si="273"/>
        <v/>
      </c>
      <c r="BT433" s="1452" t="str">
        <f t="shared" si="274"/>
        <v/>
      </c>
      <c r="BU433" s="1452" t="str">
        <f t="shared" si="275"/>
        <v/>
      </c>
      <c r="BV433" s="1452" t="str">
        <f t="shared" si="276"/>
        <v/>
      </c>
      <c r="BW433" s="1558">
        <f t="shared" ca="1" si="283"/>
        <v>0</v>
      </c>
    </row>
    <row r="434" spans="1:75" s="9" customFormat="1" ht="12.5">
      <c r="A434" s="1483" t="str">
        <f t="shared" si="277"/>
        <v>Public Health Wales Trust</v>
      </c>
      <c r="B434" s="1583"/>
      <c r="C434" s="1583"/>
      <c r="D434" s="1583"/>
      <c r="E434" s="1581"/>
      <c r="F434" s="1436"/>
      <c r="G434" s="1547">
        <f t="shared" si="278"/>
        <v>0</v>
      </c>
      <c r="H434" s="1484"/>
      <c r="I434" s="1547">
        <f t="shared" si="279"/>
        <v>0</v>
      </c>
      <c r="J434" s="1485"/>
      <c r="K434" s="1485"/>
      <c r="L434" s="1436"/>
      <c r="M434" s="1439"/>
      <c r="N434" s="1439"/>
      <c r="O434" s="1485"/>
      <c r="P434" s="1486"/>
      <c r="Q434" s="1486"/>
      <c r="R434" s="1487"/>
      <c r="S434" s="1444"/>
      <c r="T434" s="1444"/>
      <c r="U434" s="1444"/>
      <c r="V434" s="1488"/>
      <c r="W434" s="1488"/>
      <c r="X434" s="1488"/>
      <c r="Y434" s="1488"/>
      <c r="Z434" s="1488"/>
      <c r="AA434" s="1488"/>
      <c r="AB434" s="1488"/>
      <c r="AC434" s="1488"/>
      <c r="AD434" s="1488"/>
      <c r="AE434" s="1488"/>
      <c r="AF434" s="1488"/>
      <c r="AG434" s="1488"/>
      <c r="AH434" s="1451">
        <f t="shared" si="251"/>
        <v>0</v>
      </c>
      <c r="AI434" s="1488"/>
      <c r="AJ434" s="1488"/>
      <c r="AK434" s="1488"/>
      <c r="AL434" s="1488"/>
      <c r="AM434" s="1488"/>
      <c r="AN434" s="1488"/>
      <c r="AO434" s="1488"/>
      <c r="AP434" s="1488"/>
      <c r="AQ434" s="1488"/>
      <c r="AR434" s="1488"/>
      <c r="AS434" s="1488"/>
      <c r="AT434" s="1542"/>
      <c r="AU434" s="1599">
        <f t="shared" si="252"/>
        <v>0</v>
      </c>
      <c r="AV434" s="1544">
        <f t="shared" si="280"/>
        <v>0</v>
      </c>
      <c r="AW434" s="1452">
        <f t="shared" si="253"/>
        <v>0</v>
      </c>
      <c r="AX434" s="1452">
        <f t="shared" si="254"/>
        <v>0</v>
      </c>
      <c r="AY434" s="1452">
        <f t="shared" si="255"/>
        <v>0</v>
      </c>
      <c r="AZ434" s="1452">
        <f t="shared" si="256"/>
        <v>0</v>
      </c>
      <c r="BA434" s="1452">
        <f t="shared" si="257"/>
        <v>0</v>
      </c>
      <c r="BB434" s="1452">
        <f t="shared" si="258"/>
        <v>0</v>
      </c>
      <c r="BC434" s="1452">
        <f t="shared" si="259"/>
        <v>0</v>
      </c>
      <c r="BD434" s="1452">
        <f t="shared" si="260"/>
        <v>0</v>
      </c>
      <c r="BE434" s="1452">
        <f t="shared" si="261"/>
        <v>0</v>
      </c>
      <c r="BF434" s="1452">
        <f t="shared" si="262"/>
        <v>0</v>
      </c>
      <c r="BG434" s="1452">
        <f t="shared" si="263"/>
        <v>0</v>
      </c>
      <c r="BH434" s="1452">
        <f t="shared" si="264"/>
        <v>0</v>
      </c>
      <c r="BI434" s="1452">
        <f t="shared" si="281"/>
        <v>0</v>
      </c>
      <c r="BJ434" s="1452" t="str">
        <f t="shared" si="265"/>
        <v/>
      </c>
      <c r="BK434" s="1452" t="str">
        <f t="shared" si="266"/>
        <v/>
      </c>
      <c r="BL434" s="1452" t="str">
        <f t="shared" si="267"/>
        <v/>
      </c>
      <c r="BM434" s="1452" t="str">
        <f t="shared" si="268"/>
        <v/>
      </c>
      <c r="BN434" s="1452" t="str">
        <f t="shared" ca="1" si="269"/>
        <v/>
      </c>
      <c r="BO434" s="1452" t="str">
        <f t="shared" si="282"/>
        <v/>
      </c>
      <c r="BP434" s="1452" t="str">
        <f t="shared" si="270"/>
        <v/>
      </c>
      <c r="BQ434" s="1452" t="str">
        <f t="shared" si="271"/>
        <v/>
      </c>
      <c r="BR434" s="1452" t="str">
        <f t="shared" si="272"/>
        <v/>
      </c>
      <c r="BS434" s="1452" t="str">
        <f t="shared" si="273"/>
        <v/>
      </c>
      <c r="BT434" s="1452" t="str">
        <f t="shared" si="274"/>
        <v/>
      </c>
      <c r="BU434" s="1452" t="str">
        <f t="shared" si="275"/>
        <v/>
      </c>
      <c r="BV434" s="1452" t="str">
        <f t="shared" si="276"/>
        <v/>
      </c>
      <c r="BW434" s="1558">
        <f t="shared" ca="1" si="283"/>
        <v>0</v>
      </c>
    </row>
    <row r="435" spans="1:75" s="9" customFormat="1" ht="12.5">
      <c r="A435" s="1483" t="str">
        <f t="shared" si="277"/>
        <v>Public Health Wales Trust</v>
      </c>
      <c r="B435" s="1583"/>
      <c r="C435" s="1583"/>
      <c r="D435" s="1583"/>
      <c r="E435" s="1581"/>
      <c r="F435" s="1436"/>
      <c r="G435" s="1547">
        <f t="shared" si="278"/>
        <v>0</v>
      </c>
      <c r="H435" s="1484"/>
      <c r="I435" s="1547">
        <f t="shared" si="279"/>
        <v>0</v>
      </c>
      <c r="J435" s="1485"/>
      <c r="K435" s="1485"/>
      <c r="L435" s="1436"/>
      <c r="M435" s="1439"/>
      <c r="N435" s="1439"/>
      <c r="O435" s="1485"/>
      <c r="P435" s="1486"/>
      <c r="Q435" s="1486"/>
      <c r="R435" s="1487"/>
      <c r="S435" s="1444"/>
      <c r="T435" s="1444"/>
      <c r="U435" s="1444"/>
      <c r="V435" s="1488"/>
      <c r="W435" s="1488"/>
      <c r="X435" s="1488"/>
      <c r="Y435" s="1488"/>
      <c r="Z435" s="1488"/>
      <c r="AA435" s="1488"/>
      <c r="AB435" s="1488"/>
      <c r="AC435" s="1488"/>
      <c r="AD435" s="1488"/>
      <c r="AE435" s="1488"/>
      <c r="AF435" s="1488"/>
      <c r="AG435" s="1488"/>
      <c r="AH435" s="1451">
        <f t="shared" si="251"/>
        <v>0</v>
      </c>
      <c r="AI435" s="1488"/>
      <c r="AJ435" s="1488"/>
      <c r="AK435" s="1488"/>
      <c r="AL435" s="1488"/>
      <c r="AM435" s="1488"/>
      <c r="AN435" s="1488"/>
      <c r="AO435" s="1488"/>
      <c r="AP435" s="1488"/>
      <c r="AQ435" s="1488"/>
      <c r="AR435" s="1488"/>
      <c r="AS435" s="1488"/>
      <c r="AT435" s="1542"/>
      <c r="AU435" s="1599">
        <f t="shared" si="252"/>
        <v>0</v>
      </c>
      <c r="AV435" s="1544">
        <f t="shared" si="280"/>
        <v>0</v>
      </c>
      <c r="AW435" s="1452">
        <f t="shared" si="253"/>
        <v>0</v>
      </c>
      <c r="AX435" s="1452">
        <f t="shared" si="254"/>
        <v>0</v>
      </c>
      <c r="AY435" s="1452">
        <f t="shared" si="255"/>
        <v>0</v>
      </c>
      <c r="AZ435" s="1452">
        <f t="shared" si="256"/>
        <v>0</v>
      </c>
      <c r="BA435" s="1452">
        <f t="shared" si="257"/>
        <v>0</v>
      </c>
      <c r="BB435" s="1452">
        <f t="shared" si="258"/>
        <v>0</v>
      </c>
      <c r="BC435" s="1452">
        <f t="shared" si="259"/>
        <v>0</v>
      </c>
      <c r="BD435" s="1452">
        <f t="shared" si="260"/>
        <v>0</v>
      </c>
      <c r="BE435" s="1452">
        <f t="shared" si="261"/>
        <v>0</v>
      </c>
      <c r="BF435" s="1452">
        <f t="shared" si="262"/>
        <v>0</v>
      </c>
      <c r="BG435" s="1452">
        <f t="shared" si="263"/>
        <v>0</v>
      </c>
      <c r="BH435" s="1452">
        <f t="shared" si="264"/>
        <v>0</v>
      </c>
      <c r="BI435" s="1452">
        <f t="shared" si="281"/>
        <v>0</v>
      </c>
      <c r="BJ435" s="1452" t="str">
        <f t="shared" si="265"/>
        <v/>
      </c>
      <c r="BK435" s="1452" t="str">
        <f t="shared" si="266"/>
        <v/>
      </c>
      <c r="BL435" s="1452" t="str">
        <f t="shared" si="267"/>
        <v/>
      </c>
      <c r="BM435" s="1452" t="str">
        <f t="shared" si="268"/>
        <v/>
      </c>
      <c r="BN435" s="1452" t="str">
        <f t="shared" ca="1" si="269"/>
        <v/>
      </c>
      <c r="BO435" s="1452" t="str">
        <f t="shared" si="282"/>
        <v/>
      </c>
      <c r="BP435" s="1452" t="str">
        <f t="shared" si="270"/>
        <v/>
      </c>
      <c r="BQ435" s="1452" t="str">
        <f t="shared" si="271"/>
        <v/>
      </c>
      <c r="BR435" s="1452" t="str">
        <f t="shared" si="272"/>
        <v/>
      </c>
      <c r="BS435" s="1452" t="str">
        <f t="shared" si="273"/>
        <v/>
      </c>
      <c r="BT435" s="1452" t="str">
        <f t="shared" si="274"/>
        <v/>
      </c>
      <c r="BU435" s="1452" t="str">
        <f t="shared" si="275"/>
        <v/>
      </c>
      <c r="BV435" s="1452" t="str">
        <f t="shared" si="276"/>
        <v/>
      </c>
      <c r="BW435" s="1558">
        <f t="shared" ca="1" si="283"/>
        <v>0</v>
      </c>
    </row>
    <row r="436" spans="1:75" s="9" customFormat="1" ht="12.5">
      <c r="A436" s="1483" t="str">
        <f t="shared" si="277"/>
        <v>Public Health Wales Trust</v>
      </c>
      <c r="B436" s="1583"/>
      <c r="C436" s="1583"/>
      <c r="D436" s="1583"/>
      <c r="E436" s="1581"/>
      <c r="F436" s="1436"/>
      <c r="G436" s="1547">
        <f t="shared" si="278"/>
        <v>0</v>
      </c>
      <c r="H436" s="1484"/>
      <c r="I436" s="1547">
        <f t="shared" si="279"/>
        <v>0</v>
      </c>
      <c r="J436" s="1485"/>
      <c r="K436" s="1485"/>
      <c r="L436" s="1436"/>
      <c r="M436" s="1439"/>
      <c r="N436" s="1439"/>
      <c r="O436" s="1485"/>
      <c r="P436" s="1486"/>
      <c r="Q436" s="1486"/>
      <c r="R436" s="1487"/>
      <c r="S436" s="1444"/>
      <c r="T436" s="1444"/>
      <c r="U436" s="1444"/>
      <c r="V436" s="1488"/>
      <c r="W436" s="1488"/>
      <c r="X436" s="1488"/>
      <c r="Y436" s="1488"/>
      <c r="Z436" s="1488"/>
      <c r="AA436" s="1488"/>
      <c r="AB436" s="1488"/>
      <c r="AC436" s="1488"/>
      <c r="AD436" s="1488"/>
      <c r="AE436" s="1488"/>
      <c r="AF436" s="1488"/>
      <c r="AG436" s="1488"/>
      <c r="AH436" s="1451">
        <f t="shared" si="251"/>
        <v>0</v>
      </c>
      <c r="AI436" s="1488"/>
      <c r="AJ436" s="1488"/>
      <c r="AK436" s="1488"/>
      <c r="AL436" s="1488"/>
      <c r="AM436" s="1488"/>
      <c r="AN436" s="1488"/>
      <c r="AO436" s="1488"/>
      <c r="AP436" s="1488"/>
      <c r="AQ436" s="1488"/>
      <c r="AR436" s="1488"/>
      <c r="AS436" s="1488"/>
      <c r="AT436" s="1542"/>
      <c r="AU436" s="1599">
        <f t="shared" si="252"/>
        <v>0</v>
      </c>
      <c r="AV436" s="1544">
        <f t="shared" si="280"/>
        <v>0</v>
      </c>
      <c r="AW436" s="1452">
        <f t="shared" si="253"/>
        <v>0</v>
      </c>
      <c r="AX436" s="1452">
        <f t="shared" si="254"/>
        <v>0</v>
      </c>
      <c r="AY436" s="1452">
        <f t="shared" si="255"/>
        <v>0</v>
      </c>
      <c r="AZ436" s="1452">
        <f t="shared" si="256"/>
        <v>0</v>
      </c>
      <c r="BA436" s="1452">
        <f t="shared" si="257"/>
        <v>0</v>
      </c>
      <c r="BB436" s="1452">
        <f t="shared" si="258"/>
        <v>0</v>
      </c>
      <c r="BC436" s="1452">
        <f t="shared" si="259"/>
        <v>0</v>
      </c>
      <c r="BD436" s="1452">
        <f t="shared" si="260"/>
        <v>0</v>
      </c>
      <c r="BE436" s="1452">
        <f t="shared" si="261"/>
        <v>0</v>
      </c>
      <c r="BF436" s="1452">
        <f t="shared" si="262"/>
        <v>0</v>
      </c>
      <c r="BG436" s="1452">
        <f t="shared" si="263"/>
        <v>0</v>
      </c>
      <c r="BH436" s="1452">
        <f t="shared" si="264"/>
        <v>0</v>
      </c>
      <c r="BI436" s="1452">
        <f t="shared" si="281"/>
        <v>0</v>
      </c>
      <c r="BJ436" s="1452" t="str">
        <f t="shared" si="265"/>
        <v/>
      </c>
      <c r="BK436" s="1452" t="str">
        <f t="shared" si="266"/>
        <v/>
      </c>
      <c r="BL436" s="1452" t="str">
        <f t="shared" si="267"/>
        <v/>
      </c>
      <c r="BM436" s="1452" t="str">
        <f t="shared" si="268"/>
        <v/>
      </c>
      <c r="BN436" s="1452" t="str">
        <f t="shared" ca="1" si="269"/>
        <v/>
      </c>
      <c r="BO436" s="1452" t="str">
        <f t="shared" si="282"/>
        <v/>
      </c>
      <c r="BP436" s="1452" t="str">
        <f t="shared" si="270"/>
        <v/>
      </c>
      <c r="BQ436" s="1452" t="str">
        <f t="shared" si="271"/>
        <v/>
      </c>
      <c r="BR436" s="1452" t="str">
        <f t="shared" si="272"/>
        <v/>
      </c>
      <c r="BS436" s="1452" t="str">
        <f t="shared" si="273"/>
        <v/>
      </c>
      <c r="BT436" s="1452" t="str">
        <f t="shared" si="274"/>
        <v/>
      </c>
      <c r="BU436" s="1452" t="str">
        <f t="shared" si="275"/>
        <v/>
      </c>
      <c r="BV436" s="1452" t="str">
        <f t="shared" si="276"/>
        <v/>
      </c>
      <c r="BW436" s="1558">
        <f t="shared" ca="1" si="283"/>
        <v>0</v>
      </c>
    </row>
    <row r="437" spans="1:75" s="9" customFormat="1" ht="12.5">
      <c r="A437" s="1483" t="str">
        <f t="shared" si="277"/>
        <v>Public Health Wales Trust</v>
      </c>
      <c r="B437" s="1583"/>
      <c r="C437" s="1583"/>
      <c r="D437" s="1583"/>
      <c r="E437" s="1581"/>
      <c r="F437" s="1436"/>
      <c r="G437" s="1547">
        <f t="shared" si="278"/>
        <v>0</v>
      </c>
      <c r="H437" s="1484"/>
      <c r="I437" s="1547">
        <f t="shared" si="279"/>
        <v>0</v>
      </c>
      <c r="J437" s="1485"/>
      <c r="K437" s="1485"/>
      <c r="L437" s="1436"/>
      <c r="M437" s="1439"/>
      <c r="N437" s="1439"/>
      <c r="O437" s="1485"/>
      <c r="P437" s="1486"/>
      <c r="Q437" s="1486"/>
      <c r="R437" s="1487"/>
      <c r="S437" s="1444"/>
      <c r="T437" s="1444"/>
      <c r="U437" s="1444"/>
      <c r="V437" s="1488"/>
      <c r="W437" s="1488"/>
      <c r="X437" s="1488"/>
      <c r="Y437" s="1488"/>
      <c r="Z437" s="1488"/>
      <c r="AA437" s="1488"/>
      <c r="AB437" s="1488"/>
      <c r="AC437" s="1488"/>
      <c r="AD437" s="1488"/>
      <c r="AE437" s="1488"/>
      <c r="AF437" s="1488"/>
      <c r="AG437" s="1488"/>
      <c r="AH437" s="1451">
        <f t="shared" si="251"/>
        <v>0</v>
      </c>
      <c r="AI437" s="1488"/>
      <c r="AJ437" s="1488"/>
      <c r="AK437" s="1488"/>
      <c r="AL437" s="1488"/>
      <c r="AM437" s="1488"/>
      <c r="AN437" s="1488"/>
      <c r="AO437" s="1488"/>
      <c r="AP437" s="1488"/>
      <c r="AQ437" s="1488"/>
      <c r="AR437" s="1488"/>
      <c r="AS437" s="1488"/>
      <c r="AT437" s="1542"/>
      <c r="AU437" s="1599">
        <f t="shared" si="252"/>
        <v>0</v>
      </c>
      <c r="AV437" s="1544">
        <f t="shared" si="280"/>
        <v>0</v>
      </c>
      <c r="AW437" s="1452">
        <f t="shared" si="253"/>
        <v>0</v>
      </c>
      <c r="AX437" s="1452">
        <f t="shared" si="254"/>
        <v>0</v>
      </c>
      <c r="AY437" s="1452">
        <f t="shared" si="255"/>
        <v>0</v>
      </c>
      <c r="AZ437" s="1452">
        <f t="shared" si="256"/>
        <v>0</v>
      </c>
      <c r="BA437" s="1452">
        <f t="shared" si="257"/>
        <v>0</v>
      </c>
      <c r="BB437" s="1452">
        <f t="shared" si="258"/>
        <v>0</v>
      </c>
      <c r="BC437" s="1452">
        <f t="shared" si="259"/>
        <v>0</v>
      </c>
      <c r="BD437" s="1452">
        <f t="shared" si="260"/>
        <v>0</v>
      </c>
      <c r="BE437" s="1452">
        <f t="shared" si="261"/>
        <v>0</v>
      </c>
      <c r="BF437" s="1452">
        <f t="shared" si="262"/>
        <v>0</v>
      </c>
      <c r="BG437" s="1452">
        <f t="shared" si="263"/>
        <v>0</v>
      </c>
      <c r="BH437" s="1452">
        <f t="shared" si="264"/>
        <v>0</v>
      </c>
      <c r="BI437" s="1452">
        <f t="shared" si="281"/>
        <v>0</v>
      </c>
      <c r="BJ437" s="1452" t="str">
        <f t="shared" si="265"/>
        <v/>
      </c>
      <c r="BK437" s="1452" t="str">
        <f t="shared" si="266"/>
        <v/>
      </c>
      <c r="BL437" s="1452" t="str">
        <f t="shared" si="267"/>
        <v/>
      </c>
      <c r="BM437" s="1452" t="str">
        <f t="shared" si="268"/>
        <v/>
      </c>
      <c r="BN437" s="1452" t="str">
        <f t="shared" ca="1" si="269"/>
        <v/>
      </c>
      <c r="BO437" s="1452" t="str">
        <f t="shared" si="282"/>
        <v/>
      </c>
      <c r="BP437" s="1452" t="str">
        <f t="shared" si="270"/>
        <v/>
      </c>
      <c r="BQ437" s="1452" t="str">
        <f t="shared" si="271"/>
        <v/>
      </c>
      <c r="BR437" s="1452" t="str">
        <f t="shared" si="272"/>
        <v/>
      </c>
      <c r="BS437" s="1452" t="str">
        <f t="shared" si="273"/>
        <v/>
      </c>
      <c r="BT437" s="1452" t="str">
        <f t="shared" si="274"/>
        <v/>
      </c>
      <c r="BU437" s="1452" t="str">
        <f t="shared" si="275"/>
        <v/>
      </c>
      <c r="BV437" s="1452" t="str">
        <f t="shared" si="276"/>
        <v/>
      </c>
      <c r="BW437" s="1558">
        <f t="shared" ca="1" si="283"/>
        <v>0</v>
      </c>
    </row>
    <row r="438" spans="1:75" s="9" customFormat="1" ht="12.5">
      <c r="A438" s="1483" t="str">
        <f t="shared" si="277"/>
        <v>Public Health Wales Trust</v>
      </c>
      <c r="B438" s="1583"/>
      <c r="C438" s="1583"/>
      <c r="D438" s="1583"/>
      <c r="E438" s="1581"/>
      <c r="F438" s="1436"/>
      <c r="G438" s="1547">
        <f t="shared" si="278"/>
        <v>0</v>
      </c>
      <c r="H438" s="1484"/>
      <c r="I438" s="1547">
        <f t="shared" si="279"/>
        <v>0</v>
      </c>
      <c r="J438" s="1485"/>
      <c r="K438" s="1485"/>
      <c r="L438" s="1436"/>
      <c r="M438" s="1439"/>
      <c r="N438" s="1439"/>
      <c r="O438" s="1485"/>
      <c r="P438" s="1486"/>
      <c r="Q438" s="1486"/>
      <c r="R438" s="1487"/>
      <c r="S438" s="1444"/>
      <c r="T438" s="1444"/>
      <c r="U438" s="1444"/>
      <c r="V438" s="1488"/>
      <c r="W438" s="1488"/>
      <c r="X438" s="1488"/>
      <c r="Y438" s="1488"/>
      <c r="Z438" s="1488"/>
      <c r="AA438" s="1488"/>
      <c r="AB438" s="1488"/>
      <c r="AC438" s="1488"/>
      <c r="AD438" s="1488"/>
      <c r="AE438" s="1488"/>
      <c r="AF438" s="1488"/>
      <c r="AG438" s="1488"/>
      <c r="AH438" s="1451">
        <f t="shared" si="251"/>
        <v>0</v>
      </c>
      <c r="AI438" s="1488"/>
      <c r="AJ438" s="1488"/>
      <c r="AK438" s="1488"/>
      <c r="AL438" s="1488"/>
      <c r="AM438" s="1488"/>
      <c r="AN438" s="1488"/>
      <c r="AO438" s="1488"/>
      <c r="AP438" s="1488"/>
      <c r="AQ438" s="1488"/>
      <c r="AR438" s="1488"/>
      <c r="AS438" s="1488"/>
      <c r="AT438" s="1542"/>
      <c r="AU438" s="1599">
        <f t="shared" si="252"/>
        <v>0</v>
      </c>
      <c r="AV438" s="1544">
        <f t="shared" si="280"/>
        <v>0</v>
      </c>
      <c r="AW438" s="1452">
        <f t="shared" si="253"/>
        <v>0</v>
      </c>
      <c r="AX438" s="1452">
        <f t="shared" si="254"/>
        <v>0</v>
      </c>
      <c r="AY438" s="1452">
        <f t="shared" si="255"/>
        <v>0</v>
      </c>
      <c r="AZ438" s="1452">
        <f t="shared" si="256"/>
        <v>0</v>
      </c>
      <c r="BA438" s="1452">
        <f t="shared" si="257"/>
        <v>0</v>
      </c>
      <c r="BB438" s="1452">
        <f t="shared" si="258"/>
        <v>0</v>
      </c>
      <c r="BC438" s="1452">
        <f t="shared" si="259"/>
        <v>0</v>
      </c>
      <c r="BD438" s="1452">
        <f t="shared" si="260"/>
        <v>0</v>
      </c>
      <c r="BE438" s="1452">
        <f t="shared" si="261"/>
        <v>0</v>
      </c>
      <c r="BF438" s="1452">
        <f t="shared" si="262"/>
        <v>0</v>
      </c>
      <c r="BG438" s="1452">
        <f t="shared" si="263"/>
        <v>0</v>
      </c>
      <c r="BH438" s="1452">
        <f t="shared" si="264"/>
        <v>0</v>
      </c>
      <c r="BI438" s="1452">
        <f t="shared" si="281"/>
        <v>0</v>
      </c>
      <c r="BJ438" s="1452" t="str">
        <f t="shared" si="265"/>
        <v/>
      </c>
      <c r="BK438" s="1452" t="str">
        <f t="shared" si="266"/>
        <v/>
      </c>
      <c r="BL438" s="1452" t="str">
        <f t="shared" si="267"/>
        <v/>
      </c>
      <c r="BM438" s="1452" t="str">
        <f t="shared" si="268"/>
        <v/>
      </c>
      <c r="BN438" s="1452" t="str">
        <f t="shared" ca="1" si="269"/>
        <v/>
      </c>
      <c r="BO438" s="1452" t="str">
        <f t="shared" si="282"/>
        <v/>
      </c>
      <c r="BP438" s="1452" t="str">
        <f t="shared" si="270"/>
        <v/>
      </c>
      <c r="BQ438" s="1452" t="str">
        <f t="shared" si="271"/>
        <v/>
      </c>
      <c r="BR438" s="1452" t="str">
        <f t="shared" si="272"/>
        <v/>
      </c>
      <c r="BS438" s="1452" t="str">
        <f t="shared" si="273"/>
        <v/>
      </c>
      <c r="BT438" s="1452" t="str">
        <f t="shared" si="274"/>
        <v/>
      </c>
      <c r="BU438" s="1452" t="str">
        <f t="shared" si="275"/>
        <v/>
      </c>
      <c r="BV438" s="1452" t="str">
        <f t="shared" si="276"/>
        <v/>
      </c>
      <c r="BW438" s="1558">
        <f t="shared" ca="1" si="283"/>
        <v>0</v>
      </c>
    </row>
    <row r="439" spans="1:75" s="9" customFormat="1" ht="12.5">
      <c r="A439" s="1483" t="str">
        <f t="shared" si="277"/>
        <v>Public Health Wales Trust</v>
      </c>
      <c r="B439" s="1583"/>
      <c r="C439" s="1583"/>
      <c r="D439" s="1583"/>
      <c r="E439" s="1581"/>
      <c r="F439" s="1436"/>
      <c r="G439" s="1547">
        <f t="shared" si="278"/>
        <v>0</v>
      </c>
      <c r="H439" s="1484"/>
      <c r="I439" s="1547">
        <f t="shared" si="279"/>
        <v>0</v>
      </c>
      <c r="J439" s="1485"/>
      <c r="K439" s="1485"/>
      <c r="L439" s="1436"/>
      <c r="M439" s="1439"/>
      <c r="N439" s="1439"/>
      <c r="O439" s="1485"/>
      <c r="P439" s="1486"/>
      <c r="Q439" s="1486"/>
      <c r="R439" s="1487"/>
      <c r="S439" s="1444"/>
      <c r="T439" s="1444"/>
      <c r="U439" s="1444"/>
      <c r="V439" s="1488"/>
      <c r="W439" s="1488"/>
      <c r="X439" s="1488"/>
      <c r="Y439" s="1488"/>
      <c r="Z439" s="1488"/>
      <c r="AA439" s="1488"/>
      <c r="AB439" s="1488"/>
      <c r="AC439" s="1488"/>
      <c r="AD439" s="1488"/>
      <c r="AE439" s="1488"/>
      <c r="AF439" s="1488"/>
      <c r="AG439" s="1488"/>
      <c r="AH439" s="1451">
        <f t="shared" si="251"/>
        <v>0</v>
      </c>
      <c r="AI439" s="1488"/>
      <c r="AJ439" s="1488"/>
      <c r="AK439" s="1488"/>
      <c r="AL439" s="1488"/>
      <c r="AM439" s="1488"/>
      <c r="AN439" s="1488"/>
      <c r="AO439" s="1488"/>
      <c r="AP439" s="1488"/>
      <c r="AQ439" s="1488"/>
      <c r="AR439" s="1488"/>
      <c r="AS439" s="1488"/>
      <c r="AT439" s="1542"/>
      <c r="AU439" s="1599">
        <f t="shared" si="252"/>
        <v>0</v>
      </c>
      <c r="AV439" s="1544">
        <f t="shared" si="280"/>
        <v>0</v>
      </c>
      <c r="AW439" s="1452">
        <f t="shared" si="253"/>
        <v>0</v>
      </c>
      <c r="AX439" s="1452">
        <f t="shared" si="254"/>
        <v>0</v>
      </c>
      <c r="AY439" s="1452">
        <f t="shared" si="255"/>
        <v>0</v>
      </c>
      <c r="AZ439" s="1452">
        <f t="shared" si="256"/>
        <v>0</v>
      </c>
      <c r="BA439" s="1452">
        <f t="shared" si="257"/>
        <v>0</v>
      </c>
      <c r="BB439" s="1452">
        <f t="shared" si="258"/>
        <v>0</v>
      </c>
      <c r="BC439" s="1452">
        <f t="shared" si="259"/>
        <v>0</v>
      </c>
      <c r="BD439" s="1452">
        <f t="shared" si="260"/>
        <v>0</v>
      </c>
      <c r="BE439" s="1452">
        <f t="shared" si="261"/>
        <v>0</v>
      </c>
      <c r="BF439" s="1452">
        <f t="shared" si="262"/>
        <v>0</v>
      </c>
      <c r="BG439" s="1452">
        <f t="shared" si="263"/>
        <v>0</v>
      </c>
      <c r="BH439" s="1452">
        <f t="shared" si="264"/>
        <v>0</v>
      </c>
      <c r="BI439" s="1452">
        <f t="shared" si="281"/>
        <v>0</v>
      </c>
      <c r="BJ439" s="1452" t="str">
        <f t="shared" si="265"/>
        <v/>
      </c>
      <c r="BK439" s="1452" t="str">
        <f t="shared" si="266"/>
        <v/>
      </c>
      <c r="BL439" s="1452" t="str">
        <f t="shared" si="267"/>
        <v/>
      </c>
      <c r="BM439" s="1452" t="str">
        <f t="shared" si="268"/>
        <v/>
      </c>
      <c r="BN439" s="1452" t="str">
        <f t="shared" ca="1" si="269"/>
        <v/>
      </c>
      <c r="BO439" s="1452" t="str">
        <f t="shared" si="282"/>
        <v/>
      </c>
      <c r="BP439" s="1452" t="str">
        <f t="shared" si="270"/>
        <v/>
      </c>
      <c r="BQ439" s="1452" t="str">
        <f t="shared" si="271"/>
        <v/>
      </c>
      <c r="BR439" s="1452" t="str">
        <f t="shared" si="272"/>
        <v/>
      </c>
      <c r="BS439" s="1452" t="str">
        <f t="shared" si="273"/>
        <v/>
      </c>
      <c r="BT439" s="1452" t="str">
        <f t="shared" si="274"/>
        <v/>
      </c>
      <c r="BU439" s="1452" t="str">
        <f t="shared" si="275"/>
        <v/>
      </c>
      <c r="BV439" s="1452" t="str">
        <f t="shared" si="276"/>
        <v/>
      </c>
      <c r="BW439" s="1558">
        <f t="shared" ca="1" si="283"/>
        <v>0</v>
      </c>
    </row>
    <row r="440" spans="1:75" s="9" customFormat="1" ht="12.5">
      <c r="A440" s="1483" t="str">
        <f t="shared" si="277"/>
        <v>Public Health Wales Trust</v>
      </c>
      <c r="B440" s="1583"/>
      <c r="C440" s="1583"/>
      <c r="D440" s="1583"/>
      <c r="E440" s="1581"/>
      <c r="F440" s="1436"/>
      <c r="G440" s="1547">
        <f t="shared" si="278"/>
        <v>0</v>
      </c>
      <c r="H440" s="1484"/>
      <c r="I440" s="1547">
        <f t="shared" si="279"/>
        <v>0</v>
      </c>
      <c r="J440" s="1485"/>
      <c r="K440" s="1485"/>
      <c r="L440" s="1436"/>
      <c r="M440" s="1439"/>
      <c r="N440" s="1439"/>
      <c r="O440" s="1485"/>
      <c r="P440" s="1486"/>
      <c r="Q440" s="1486"/>
      <c r="R440" s="1487"/>
      <c r="S440" s="1444"/>
      <c r="T440" s="1444"/>
      <c r="U440" s="1444"/>
      <c r="V440" s="1488"/>
      <c r="W440" s="1488"/>
      <c r="X440" s="1488"/>
      <c r="Y440" s="1488"/>
      <c r="Z440" s="1488"/>
      <c r="AA440" s="1488"/>
      <c r="AB440" s="1488"/>
      <c r="AC440" s="1488"/>
      <c r="AD440" s="1488"/>
      <c r="AE440" s="1488"/>
      <c r="AF440" s="1488"/>
      <c r="AG440" s="1488"/>
      <c r="AH440" s="1451">
        <f t="shared" si="251"/>
        <v>0</v>
      </c>
      <c r="AI440" s="1488"/>
      <c r="AJ440" s="1488"/>
      <c r="AK440" s="1488"/>
      <c r="AL440" s="1488"/>
      <c r="AM440" s="1488"/>
      <c r="AN440" s="1488"/>
      <c r="AO440" s="1488"/>
      <c r="AP440" s="1488"/>
      <c r="AQ440" s="1488"/>
      <c r="AR440" s="1488"/>
      <c r="AS440" s="1488"/>
      <c r="AT440" s="1542"/>
      <c r="AU440" s="1599">
        <f t="shared" si="252"/>
        <v>0</v>
      </c>
      <c r="AV440" s="1544">
        <f t="shared" si="280"/>
        <v>0</v>
      </c>
      <c r="AW440" s="1452">
        <f t="shared" si="253"/>
        <v>0</v>
      </c>
      <c r="AX440" s="1452">
        <f t="shared" si="254"/>
        <v>0</v>
      </c>
      <c r="AY440" s="1452">
        <f t="shared" si="255"/>
        <v>0</v>
      </c>
      <c r="AZ440" s="1452">
        <f t="shared" si="256"/>
        <v>0</v>
      </c>
      <c r="BA440" s="1452">
        <f t="shared" si="257"/>
        <v>0</v>
      </c>
      <c r="BB440" s="1452">
        <f t="shared" si="258"/>
        <v>0</v>
      </c>
      <c r="BC440" s="1452">
        <f t="shared" si="259"/>
        <v>0</v>
      </c>
      <c r="BD440" s="1452">
        <f t="shared" si="260"/>
        <v>0</v>
      </c>
      <c r="BE440" s="1452">
        <f t="shared" si="261"/>
        <v>0</v>
      </c>
      <c r="BF440" s="1452">
        <f t="shared" si="262"/>
        <v>0</v>
      </c>
      <c r="BG440" s="1452">
        <f t="shared" si="263"/>
        <v>0</v>
      </c>
      <c r="BH440" s="1452">
        <f t="shared" si="264"/>
        <v>0</v>
      </c>
      <c r="BI440" s="1452">
        <f t="shared" si="281"/>
        <v>0</v>
      </c>
      <c r="BJ440" s="1452" t="str">
        <f t="shared" si="265"/>
        <v/>
      </c>
      <c r="BK440" s="1452" t="str">
        <f t="shared" si="266"/>
        <v/>
      </c>
      <c r="BL440" s="1452" t="str">
        <f t="shared" si="267"/>
        <v/>
      </c>
      <c r="BM440" s="1452" t="str">
        <f t="shared" si="268"/>
        <v/>
      </c>
      <c r="BN440" s="1452" t="str">
        <f t="shared" ca="1" si="269"/>
        <v/>
      </c>
      <c r="BO440" s="1452" t="str">
        <f t="shared" si="282"/>
        <v/>
      </c>
      <c r="BP440" s="1452" t="str">
        <f t="shared" si="270"/>
        <v/>
      </c>
      <c r="BQ440" s="1452" t="str">
        <f t="shared" si="271"/>
        <v/>
      </c>
      <c r="BR440" s="1452" t="str">
        <f t="shared" si="272"/>
        <v/>
      </c>
      <c r="BS440" s="1452" t="str">
        <f t="shared" si="273"/>
        <v/>
      </c>
      <c r="BT440" s="1452" t="str">
        <f t="shared" si="274"/>
        <v/>
      </c>
      <c r="BU440" s="1452" t="str">
        <f t="shared" si="275"/>
        <v/>
      </c>
      <c r="BV440" s="1452" t="str">
        <f t="shared" si="276"/>
        <v/>
      </c>
      <c r="BW440" s="1558">
        <f t="shared" ca="1" si="283"/>
        <v>0</v>
      </c>
    </row>
    <row r="441" spans="1:75" s="9" customFormat="1" ht="12.5">
      <c r="A441" s="1483" t="str">
        <f t="shared" si="277"/>
        <v>Public Health Wales Trust</v>
      </c>
      <c r="B441" s="1583"/>
      <c r="C441" s="1583"/>
      <c r="D441" s="1583"/>
      <c r="E441" s="1581"/>
      <c r="F441" s="1436"/>
      <c r="G441" s="1547">
        <f t="shared" si="278"/>
        <v>0</v>
      </c>
      <c r="H441" s="1484"/>
      <c r="I441" s="1547">
        <f t="shared" si="279"/>
        <v>0</v>
      </c>
      <c r="J441" s="1485"/>
      <c r="K441" s="1485"/>
      <c r="L441" s="1436"/>
      <c r="M441" s="1439"/>
      <c r="N441" s="1439"/>
      <c r="O441" s="1485"/>
      <c r="P441" s="1486"/>
      <c r="Q441" s="1486"/>
      <c r="R441" s="1487"/>
      <c r="S441" s="1444"/>
      <c r="T441" s="1444"/>
      <c r="U441" s="1444"/>
      <c r="V441" s="1488"/>
      <c r="W441" s="1488"/>
      <c r="X441" s="1488"/>
      <c r="Y441" s="1488"/>
      <c r="Z441" s="1488"/>
      <c r="AA441" s="1488"/>
      <c r="AB441" s="1488"/>
      <c r="AC441" s="1488"/>
      <c r="AD441" s="1488"/>
      <c r="AE441" s="1488"/>
      <c r="AF441" s="1488"/>
      <c r="AG441" s="1488"/>
      <c r="AH441" s="1451">
        <f t="shared" si="251"/>
        <v>0</v>
      </c>
      <c r="AI441" s="1488"/>
      <c r="AJ441" s="1488"/>
      <c r="AK441" s="1488"/>
      <c r="AL441" s="1488"/>
      <c r="AM441" s="1488"/>
      <c r="AN441" s="1488"/>
      <c r="AO441" s="1488"/>
      <c r="AP441" s="1488"/>
      <c r="AQ441" s="1488"/>
      <c r="AR441" s="1488"/>
      <c r="AS441" s="1488"/>
      <c r="AT441" s="1542"/>
      <c r="AU441" s="1599">
        <f t="shared" si="252"/>
        <v>0</v>
      </c>
      <c r="AV441" s="1544">
        <f t="shared" si="280"/>
        <v>0</v>
      </c>
      <c r="AW441" s="1452">
        <f t="shared" si="253"/>
        <v>0</v>
      </c>
      <c r="AX441" s="1452">
        <f t="shared" si="254"/>
        <v>0</v>
      </c>
      <c r="AY441" s="1452">
        <f t="shared" si="255"/>
        <v>0</v>
      </c>
      <c r="AZ441" s="1452">
        <f t="shared" si="256"/>
        <v>0</v>
      </c>
      <c r="BA441" s="1452">
        <f t="shared" si="257"/>
        <v>0</v>
      </c>
      <c r="BB441" s="1452">
        <f t="shared" si="258"/>
        <v>0</v>
      </c>
      <c r="BC441" s="1452">
        <f t="shared" si="259"/>
        <v>0</v>
      </c>
      <c r="BD441" s="1452">
        <f t="shared" si="260"/>
        <v>0</v>
      </c>
      <c r="BE441" s="1452">
        <f t="shared" si="261"/>
        <v>0</v>
      </c>
      <c r="BF441" s="1452">
        <f t="shared" si="262"/>
        <v>0</v>
      </c>
      <c r="BG441" s="1452">
        <f t="shared" si="263"/>
        <v>0</v>
      </c>
      <c r="BH441" s="1452">
        <f t="shared" si="264"/>
        <v>0</v>
      </c>
      <c r="BI441" s="1452">
        <f t="shared" si="281"/>
        <v>0</v>
      </c>
      <c r="BJ441" s="1452" t="str">
        <f t="shared" si="265"/>
        <v/>
      </c>
      <c r="BK441" s="1452" t="str">
        <f t="shared" si="266"/>
        <v/>
      </c>
      <c r="BL441" s="1452" t="str">
        <f t="shared" si="267"/>
        <v/>
      </c>
      <c r="BM441" s="1452" t="str">
        <f t="shared" si="268"/>
        <v/>
      </c>
      <c r="BN441" s="1452" t="str">
        <f t="shared" ca="1" si="269"/>
        <v/>
      </c>
      <c r="BO441" s="1452" t="str">
        <f t="shared" si="282"/>
        <v/>
      </c>
      <c r="BP441" s="1452" t="str">
        <f t="shared" si="270"/>
        <v/>
      </c>
      <c r="BQ441" s="1452" t="str">
        <f t="shared" si="271"/>
        <v/>
      </c>
      <c r="BR441" s="1452" t="str">
        <f t="shared" si="272"/>
        <v/>
      </c>
      <c r="BS441" s="1452" t="str">
        <f t="shared" si="273"/>
        <v/>
      </c>
      <c r="BT441" s="1452" t="str">
        <f t="shared" si="274"/>
        <v/>
      </c>
      <c r="BU441" s="1452" t="str">
        <f t="shared" si="275"/>
        <v/>
      </c>
      <c r="BV441" s="1452" t="str">
        <f t="shared" si="276"/>
        <v/>
      </c>
      <c r="BW441" s="1558">
        <f t="shared" ca="1" si="283"/>
        <v>0</v>
      </c>
    </row>
    <row r="442" spans="1:75" s="9" customFormat="1" ht="12.5">
      <c r="A442" s="1483" t="str">
        <f t="shared" si="277"/>
        <v>Public Health Wales Trust</v>
      </c>
      <c r="B442" s="1583"/>
      <c r="C442" s="1583"/>
      <c r="D442" s="1583"/>
      <c r="E442" s="1581"/>
      <c r="F442" s="1436"/>
      <c r="G442" s="1547">
        <f t="shared" si="278"/>
        <v>0</v>
      </c>
      <c r="H442" s="1484"/>
      <c r="I442" s="1547">
        <f t="shared" si="279"/>
        <v>0</v>
      </c>
      <c r="J442" s="1485"/>
      <c r="K442" s="1485"/>
      <c r="L442" s="1436"/>
      <c r="M442" s="1439"/>
      <c r="N442" s="1439"/>
      <c r="O442" s="1485"/>
      <c r="P442" s="1486"/>
      <c r="Q442" s="1486"/>
      <c r="R442" s="1487"/>
      <c r="S442" s="1444"/>
      <c r="T442" s="1444"/>
      <c r="U442" s="1444"/>
      <c r="V442" s="1488"/>
      <c r="W442" s="1488"/>
      <c r="X442" s="1488"/>
      <c r="Y442" s="1488"/>
      <c r="Z442" s="1488"/>
      <c r="AA442" s="1488"/>
      <c r="AB442" s="1488"/>
      <c r="AC442" s="1488"/>
      <c r="AD442" s="1488"/>
      <c r="AE442" s="1488"/>
      <c r="AF442" s="1488"/>
      <c r="AG442" s="1488"/>
      <c r="AH442" s="1451">
        <f t="shared" si="251"/>
        <v>0</v>
      </c>
      <c r="AI442" s="1488"/>
      <c r="AJ442" s="1488"/>
      <c r="AK442" s="1488"/>
      <c r="AL442" s="1488"/>
      <c r="AM442" s="1488"/>
      <c r="AN442" s="1488"/>
      <c r="AO442" s="1488"/>
      <c r="AP442" s="1488"/>
      <c r="AQ442" s="1488"/>
      <c r="AR442" s="1488"/>
      <c r="AS442" s="1488"/>
      <c r="AT442" s="1542"/>
      <c r="AU442" s="1599">
        <f t="shared" si="252"/>
        <v>0</v>
      </c>
      <c r="AV442" s="1544">
        <f t="shared" si="280"/>
        <v>0</v>
      </c>
      <c r="AW442" s="1452">
        <f t="shared" si="253"/>
        <v>0</v>
      </c>
      <c r="AX442" s="1452">
        <f t="shared" si="254"/>
        <v>0</v>
      </c>
      <c r="AY442" s="1452">
        <f t="shared" si="255"/>
        <v>0</v>
      </c>
      <c r="AZ442" s="1452">
        <f t="shared" si="256"/>
        <v>0</v>
      </c>
      <c r="BA442" s="1452">
        <f t="shared" si="257"/>
        <v>0</v>
      </c>
      <c r="BB442" s="1452">
        <f t="shared" si="258"/>
        <v>0</v>
      </c>
      <c r="BC442" s="1452">
        <f t="shared" si="259"/>
        <v>0</v>
      </c>
      <c r="BD442" s="1452">
        <f t="shared" si="260"/>
        <v>0</v>
      </c>
      <c r="BE442" s="1452">
        <f t="shared" si="261"/>
        <v>0</v>
      </c>
      <c r="BF442" s="1452">
        <f t="shared" si="262"/>
        <v>0</v>
      </c>
      <c r="BG442" s="1452">
        <f t="shared" si="263"/>
        <v>0</v>
      </c>
      <c r="BH442" s="1452">
        <f t="shared" si="264"/>
        <v>0</v>
      </c>
      <c r="BI442" s="1452">
        <f t="shared" si="281"/>
        <v>0</v>
      </c>
      <c r="BJ442" s="1452" t="str">
        <f t="shared" si="265"/>
        <v/>
      </c>
      <c r="BK442" s="1452" t="str">
        <f t="shared" si="266"/>
        <v/>
      </c>
      <c r="BL442" s="1452" t="str">
        <f t="shared" si="267"/>
        <v/>
      </c>
      <c r="BM442" s="1452" t="str">
        <f t="shared" si="268"/>
        <v/>
      </c>
      <c r="BN442" s="1452" t="str">
        <f t="shared" ca="1" si="269"/>
        <v/>
      </c>
      <c r="BO442" s="1452" t="str">
        <f t="shared" si="282"/>
        <v/>
      </c>
      <c r="BP442" s="1452" t="str">
        <f t="shared" si="270"/>
        <v/>
      </c>
      <c r="BQ442" s="1452" t="str">
        <f t="shared" si="271"/>
        <v/>
      </c>
      <c r="BR442" s="1452" t="str">
        <f t="shared" si="272"/>
        <v/>
      </c>
      <c r="BS442" s="1452" t="str">
        <f t="shared" si="273"/>
        <v/>
      </c>
      <c r="BT442" s="1452" t="str">
        <f t="shared" si="274"/>
        <v/>
      </c>
      <c r="BU442" s="1452" t="str">
        <f t="shared" si="275"/>
        <v/>
      </c>
      <c r="BV442" s="1452" t="str">
        <f t="shared" si="276"/>
        <v/>
      </c>
      <c r="BW442" s="1558">
        <f t="shared" ca="1" si="283"/>
        <v>0</v>
      </c>
    </row>
    <row r="443" spans="1:75" s="9" customFormat="1" ht="12.5">
      <c r="A443" s="1483" t="str">
        <f t="shared" si="277"/>
        <v>Public Health Wales Trust</v>
      </c>
      <c r="B443" s="1583"/>
      <c r="C443" s="1583"/>
      <c r="D443" s="1583"/>
      <c r="E443" s="1581"/>
      <c r="F443" s="1436"/>
      <c r="G443" s="1547">
        <f t="shared" si="278"/>
        <v>0</v>
      </c>
      <c r="H443" s="1484"/>
      <c r="I443" s="1547">
        <f t="shared" si="279"/>
        <v>0</v>
      </c>
      <c r="J443" s="1485"/>
      <c r="K443" s="1485"/>
      <c r="L443" s="1436"/>
      <c r="M443" s="1439"/>
      <c r="N443" s="1439"/>
      <c r="O443" s="1485"/>
      <c r="P443" s="1486"/>
      <c r="Q443" s="1486"/>
      <c r="R443" s="1487"/>
      <c r="S443" s="1444"/>
      <c r="T443" s="1444"/>
      <c r="U443" s="1444"/>
      <c r="V443" s="1488"/>
      <c r="W443" s="1488"/>
      <c r="X443" s="1488"/>
      <c r="Y443" s="1488"/>
      <c r="Z443" s="1488"/>
      <c r="AA443" s="1488"/>
      <c r="AB443" s="1488"/>
      <c r="AC443" s="1488"/>
      <c r="AD443" s="1488"/>
      <c r="AE443" s="1488"/>
      <c r="AF443" s="1488"/>
      <c r="AG443" s="1488"/>
      <c r="AH443" s="1451">
        <f t="shared" si="251"/>
        <v>0</v>
      </c>
      <c r="AI443" s="1488"/>
      <c r="AJ443" s="1488"/>
      <c r="AK443" s="1488"/>
      <c r="AL443" s="1488"/>
      <c r="AM443" s="1488"/>
      <c r="AN443" s="1488"/>
      <c r="AO443" s="1488"/>
      <c r="AP443" s="1488"/>
      <c r="AQ443" s="1488"/>
      <c r="AR443" s="1488"/>
      <c r="AS443" s="1488"/>
      <c r="AT443" s="1542"/>
      <c r="AU443" s="1599">
        <f t="shared" si="252"/>
        <v>0</v>
      </c>
      <c r="AV443" s="1544">
        <f t="shared" si="280"/>
        <v>0</v>
      </c>
      <c r="AW443" s="1452">
        <f t="shared" si="253"/>
        <v>0</v>
      </c>
      <c r="AX443" s="1452">
        <f t="shared" si="254"/>
        <v>0</v>
      </c>
      <c r="AY443" s="1452">
        <f t="shared" si="255"/>
        <v>0</v>
      </c>
      <c r="AZ443" s="1452">
        <f t="shared" si="256"/>
        <v>0</v>
      </c>
      <c r="BA443" s="1452">
        <f t="shared" si="257"/>
        <v>0</v>
      </c>
      <c r="BB443" s="1452">
        <f t="shared" si="258"/>
        <v>0</v>
      </c>
      <c r="BC443" s="1452">
        <f t="shared" si="259"/>
        <v>0</v>
      </c>
      <c r="BD443" s="1452">
        <f t="shared" si="260"/>
        <v>0</v>
      </c>
      <c r="BE443" s="1452">
        <f t="shared" si="261"/>
        <v>0</v>
      </c>
      <c r="BF443" s="1452">
        <f t="shared" si="262"/>
        <v>0</v>
      </c>
      <c r="BG443" s="1452">
        <f t="shared" si="263"/>
        <v>0</v>
      </c>
      <c r="BH443" s="1452">
        <f t="shared" si="264"/>
        <v>0</v>
      </c>
      <c r="BI443" s="1452">
        <f t="shared" si="281"/>
        <v>0</v>
      </c>
      <c r="BJ443" s="1452" t="str">
        <f t="shared" si="265"/>
        <v/>
      </c>
      <c r="BK443" s="1452" t="str">
        <f t="shared" si="266"/>
        <v/>
      </c>
      <c r="BL443" s="1452" t="str">
        <f t="shared" si="267"/>
        <v/>
      </c>
      <c r="BM443" s="1452" t="str">
        <f t="shared" si="268"/>
        <v/>
      </c>
      <c r="BN443" s="1452" t="str">
        <f t="shared" ca="1" si="269"/>
        <v/>
      </c>
      <c r="BO443" s="1452" t="str">
        <f t="shared" si="282"/>
        <v/>
      </c>
      <c r="BP443" s="1452" t="str">
        <f t="shared" si="270"/>
        <v/>
      </c>
      <c r="BQ443" s="1452" t="str">
        <f t="shared" si="271"/>
        <v/>
      </c>
      <c r="BR443" s="1452" t="str">
        <f t="shared" si="272"/>
        <v/>
      </c>
      <c r="BS443" s="1452" t="str">
        <f t="shared" si="273"/>
        <v/>
      </c>
      <c r="BT443" s="1452" t="str">
        <f t="shared" si="274"/>
        <v/>
      </c>
      <c r="BU443" s="1452" t="str">
        <f t="shared" si="275"/>
        <v/>
      </c>
      <c r="BV443" s="1452" t="str">
        <f t="shared" si="276"/>
        <v/>
      </c>
      <c r="BW443" s="1558">
        <f t="shared" ca="1" si="283"/>
        <v>0</v>
      </c>
    </row>
    <row r="444" spans="1:75" s="9" customFormat="1" ht="12.5">
      <c r="A444" s="1483" t="str">
        <f t="shared" si="277"/>
        <v>Public Health Wales Trust</v>
      </c>
      <c r="B444" s="1583"/>
      <c r="C444" s="1583"/>
      <c r="D444" s="1583"/>
      <c r="E444" s="1581"/>
      <c r="F444" s="1436"/>
      <c r="G444" s="1547">
        <f t="shared" si="278"/>
        <v>0</v>
      </c>
      <c r="H444" s="1484"/>
      <c r="I444" s="1547">
        <f t="shared" si="279"/>
        <v>0</v>
      </c>
      <c r="J444" s="1485"/>
      <c r="K444" s="1485"/>
      <c r="L444" s="1436"/>
      <c r="M444" s="1439"/>
      <c r="N444" s="1439"/>
      <c r="O444" s="1485"/>
      <c r="P444" s="1486"/>
      <c r="Q444" s="1486"/>
      <c r="R444" s="1487"/>
      <c r="S444" s="1444"/>
      <c r="T444" s="1444"/>
      <c r="U444" s="1444"/>
      <c r="V444" s="1488"/>
      <c r="W444" s="1488"/>
      <c r="X444" s="1488"/>
      <c r="Y444" s="1488"/>
      <c r="Z444" s="1488"/>
      <c r="AA444" s="1488"/>
      <c r="AB444" s="1488"/>
      <c r="AC444" s="1488"/>
      <c r="AD444" s="1488"/>
      <c r="AE444" s="1488"/>
      <c r="AF444" s="1488"/>
      <c r="AG444" s="1488"/>
      <c r="AH444" s="1451">
        <f t="shared" si="251"/>
        <v>0</v>
      </c>
      <c r="AI444" s="1488"/>
      <c r="AJ444" s="1488"/>
      <c r="AK444" s="1488"/>
      <c r="AL444" s="1488"/>
      <c r="AM444" s="1488"/>
      <c r="AN444" s="1488"/>
      <c r="AO444" s="1488"/>
      <c r="AP444" s="1488"/>
      <c r="AQ444" s="1488"/>
      <c r="AR444" s="1488"/>
      <c r="AS444" s="1488"/>
      <c r="AT444" s="1542"/>
      <c r="AU444" s="1599">
        <f t="shared" si="252"/>
        <v>0</v>
      </c>
      <c r="AV444" s="1544">
        <f t="shared" si="280"/>
        <v>0</v>
      </c>
      <c r="AW444" s="1452">
        <f t="shared" si="253"/>
        <v>0</v>
      </c>
      <c r="AX444" s="1452">
        <f t="shared" si="254"/>
        <v>0</v>
      </c>
      <c r="AY444" s="1452">
        <f t="shared" si="255"/>
        <v>0</v>
      </c>
      <c r="AZ444" s="1452">
        <f t="shared" si="256"/>
        <v>0</v>
      </c>
      <c r="BA444" s="1452">
        <f t="shared" si="257"/>
        <v>0</v>
      </c>
      <c r="BB444" s="1452">
        <f t="shared" si="258"/>
        <v>0</v>
      </c>
      <c r="BC444" s="1452">
        <f t="shared" si="259"/>
        <v>0</v>
      </c>
      <c r="BD444" s="1452">
        <f t="shared" si="260"/>
        <v>0</v>
      </c>
      <c r="BE444" s="1452">
        <f t="shared" si="261"/>
        <v>0</v>
      </c>
      <c r="BF444" s="1452">
        <f t="shared" si="262"/>
        <v>0</v>
      </c>
      <c r="BG444" s="1452">
        <f t="shared" si="263"/>
        <v>0</v>
      </c>
      <c r="BH444" s="1452">
        <f t="shared" si="264"/>
        <v>0</v>
      </c>
      <c r="BI444" s="1452">
        <f t="shared" si="281"/>
        <v>0</v>
      </c>
      <c r="BJ444" s="1452" t="str">
        <f t="shared" si="265"/>
        <v/>
      </c>
      <c r="BK444" s="1452" t="str">
        <f t="shared" si="266"/>
        <v/>
      </c>
      <c r="BL444" s="1452" t="str">
        <f t="shared" si="267"/>
        <v/>
      </c>
      <c r="BM444" s="1452" t="str">
        <f t="shared" si="268"/>
        <v/>
      </c>
      <c r="BN444" s="1452" t="str">
        <f t="shared" ca="1" si="269"/>
        <v/>
      </c>
      <c r="BO444" s="1452" t="str">
        <f t="shared" si="282"/>
        <v/>
      </c>
      <c r="BP444" s="1452" t="str">
        <f t="shared" si="270"/>
        <v/>
      </c>
      <c r="BQ444" s="1452" t="str">
        <f t="shared" si="271"/>
        <v/>
      </c>
      <c r="BR444" s="1452" t="str">
        <f t="shared" si="272"/>
        <v/>
      </c>
      <c r="BS444" s="1452" t="str">
        <f t="shared" si="273"/>
        <v/>
      </c>
      <c r="BT444" s="1452" t="str">
        <f t="shared" si="274"/>
        <v/>
      </c>
      <c r="BU444" s="1452" t="str">
        <f t="shared" si="275"/>
        <v/>
      </c>
      <c r="BV444" s="1452" t="str">
        <f t="shared" si="276"/>
        <v/>
      </c>
      <c r="BW444" s="1558">
        <f t="shared" ca="1" si="283"/>
        <v>0</v>
      </c>
    </row>
    <row r="445" spans="1:75" s="9" customFormat="1" ht="12.5">
      <c r="A445" s="1483" t="str">
        <f t="shared" si="277"/>
        <v>Public Health Wales Trust</v>
      </c>
      <c r="B445" s="1583"/>
      <c r="C445" s="1583"/>
      <c r="D445" s="1583"/>
      <c r="E445" s="1581"/>
      <c r="F445" s="1436"/>
      <c r="G445" s="1547">
        <f t="shared" si="278"/>
        <v>0</v>
      </c>
      <c r="H445" s="1484"/>
      <c r="I445" s="1547">
        <f t="shared" si="279"/>
        <v>0</v>
      </c>
      <c r="J445" s="1485"/>
      <c r="K445" s="1485"/>
      <c r="L445" s="1436"/>
      <c r="M445" s="1439"/>
      <c r="N445" s="1439"/>
      <c r="O445" s="1485"/>
      <c r="P445" s="1486"/>
      <c r="Q445" s="1486"/>
      <c r="R445" s="1487"/>
      <c r="S445" s="1444"/>
      <c r="T445" s="1444"/>
      <c r="U445" s="1444"/>
      <c r="V445" s="1488"/>
      <c r="W445" s="1488"/>
      <c r="X445" s="1488"/>
      <c r="Y445" s="1488"/>
      <c r="Z445" s="1488"/>
      <c r="AA445" s="1488"/>
      <c r="AB445" s="1488"/>
      <c r="AC445" s="1488"/>
      <c r="AD445" s="1488"/>
      <c r="AE445" s="1488"/>
      <c r="AF445" s="1488"/>
      <c r="AG445" s="1488"/>
      <c r="AH445" s="1451">
        <f t="shared" si="251"/>
        <v>0</v>
      </c>
      <c r="AI445" s="1488"/>
      <c r="AJ445" s="1488"/>
      <c r="AK445" s="1488"/>
      <c r="AL445" s="1488"/>
      <c r="AM445" s="1488"/>
      <c r="AN445" s="1488"/>
      <c r="AO445" s="1488"/>
      <c r="AP445" s="1488"/>
      <c r="AQ445" s="1488"/>
      <c r="AR445" s="1488"/>
      <c r="AS445" s="1488"/>
      <c r="AT445" s="1542"/>
      <c r="AU445" s="1599">
        <f t="shared" si="252"/>
        <v>0</v>
      </c>
      <c r="AV445" s="1544">
        <f t="shared" si="280"/>
        <v>0</v>
      </c>
      <c r="AW445" s="1452">
        <f t="shared" si="253"/>
        <v>0</v>
      </c>
      <c r="AX445" s="1452">
        <f t="shared" si="254"/>
        <v>0</v>
      </c>
      <c r="AY445" s="1452">
        <f t="shared" si="255"/>
        <v>0</v>
      </c>
      <c r="AZ445" s="1452">
        <f t="shared" si="256"/>
        <v>0</v>
      </c>
      <c r="BA445" s="1452">
        <f t="shared" si="257"/>
        <v>0</v>
      </c>
      <c r="BB445" s="1452">
        <f t="shared" si="258"/>
        <v>0</v>
      </c>
      <c r="BC445" s="1452">
        <f t="shared" si="259"/>
        <v>0</v>
      </c>
      <c r="BD445" s="1452">
        <f t="shared" si="260"/>
        <v>0</v>
      </c>
      <c r="BE445" s="1452">
        <f t="shared" si="261"/>
        <v>0</v>
      </c>
      <c r="BF445" s="1452">
        <f t="shared" si="262"/>
        <v>0</v>
      </c>
      <c r="BG445" s="1452">
        <f t="shared" si="263"/>
        <v>0</v>
      </c>
      <c r="BH445" s="1452">
        <f t="shared" si="264"/>
        <v>0</v>
      </c>
      <c r="BI445" s="1452">
        <f t="shared" si="281"/>
        <v>0</v>
      </c>
      <c r="BJ445" s="1452" t="str">
        <f t="shared" si="265"/>
        <v/>
      </c>
      <c r="BK445" s="1452" t="str">
        <f t="shared" si="266"/>
        <v/>
      </c>
      <c r="BL445" s="1452" t="str">
        <f t="shared" si="267"/>
        <v/>
      </c>
      <c r="BM445" s="1452" t="str">
        <f t="shared" si="268"/>
        <v/>
      </c>
      <c r="BN445" s="1452" t="str">
        <f t="shared" ca="1" si="269"/>
        <v/>
      </c>
      <c r="BO445" s="1452" t="str">
        <f t="shared" si="282"/>
        <v/>
      </c>
      <c r="BP445" s="1452" t="str">
        <f t="shared" si="270"/>
        <v/>
      </c>
      <c r="BQ445" s="1452" t="str">
        <f t="shared" si="271"/>
        <v/>
      </c>
      <c r="BR445" s="1452" t="str">
        <f t="shared" si="272"/>
        <v/>
      </c>
      <c r="BS445" s="1452" t="str">
        <f t="shared" si="273"/>
        <v/>
      </c>
      <c r="BT445" s="1452" t="str">
        <f t="shared" si="274"/>
        <v/>
      </c>
      <c r="BU445" s="1452" t="str">
        <f t="shared" si="275"/>
        <v/>
      </c>
      <c r="BV445" s="1452" t="str">
        <f t="shared" si="276"/>
        <v/>
      </c>
      <c r="BW445" s="1558">
        <f t="shared" ca="1" si="283"/>
        <v>0</v>
      </c>
    </row>
    <row r="446" spans="1:75" s="9" customFormat="1" ht="12.5">
      <c r="A446" s="1483" t="str">
        <f t="shared" si="277"/>
        <v>Public Health Wales Trust</v>
      </c>
      <c r="B446" s="1583"/>
      <c r="C446" s="1583"/>
      <c r="D446" s="1583"/>
      <c r="E446" s="1581"/>
      <c r="F446" s="1436"/>
      <c r="G446" s="1547">
        <f t="shared" si="278"/>
        <v>0</v>
      </c>
      <c r="H446" s="1484"/>
      <c r="I446" s="1547">
        <f t="shared" si="279"/>
        <v>0</v>
      </c>
      <c r="J446" s="1485"/>
      <c r="K446" s="1485"/>
      <c r="L446" s="1436"/>
      <c r="M446" s="1439"/>
      <c r="N446" s="1439"/>
      <c r="O446" s="1485"/>
      <c r="P446" s="1486"/>
      <c r="Q446" s="1486"/>
      <c r="R446" s="1487"/>
      <c r="S446" s="1444"/>
      <c r="T446" s="1444"/>
      <c r="U446" s="1444"/>
      <c r="V446" s="1488"/>
      <c r="W446" s="1488"/>
      <c r="X446" s="1488"/>
      <c r="Y446" s="1488"/>
      <c r="Z446" s="1488"/>
      <c r="AA446" s="1488"/>
      <c r="AB446" s="1488"/>
      <c r="AC446" s="1488"/>
      <c r="AD446" s="1488"/>
      <c r="AE446" s="1488"/>
      <c r="AF446" s="1488"/>
      <c r="AG446" s="1488"/>
      <c r="AH446" s="1451">
        <f t="shared" si="251"/>
        <v>0</v>
      </c>
      <c r="AI446" s="1488"/>
      <c r="AJ446" s="1488"/>
      <c r="AK446" s="1488"/>
      <c r="AL446" s="1488"/>
      <c r="AM446" s="1488"/>
      <c r="AN446" s="1488"/>
      <c r="AO446" s="1488"/>
      <c r="AP446" s="1488"/>
      <c r="AQ446" s="1488"/>
      <c r="AR446" s="1488"/>
      <c r="AS446" s="1488"/>
      <c r="AT446" s="1542"/>
      <c r="AU446" s="1599">
        <f t="shared" si="252"/>
        <v>0</v>
      </c>
      <c r="AV446" s="1544">
        <f t="shared" si="280"/>
        <v>0</v>
      </c>
      <c r="AW446" s="1452">
        <f t="shared" si="253"/>
        <v>0</v>
      </c>
      <c r="AX446" s="1452">
        <f t="shared" si="254"/>
        <v>0</v>
      </c>
      <c r="AY446" s="1452">
        <f t="shared" si="255"/>
        <v>0</v>
      </c>
      <c r="AZ446" s="1452">
        <f t="shared" si="256"/>
        <v>0</v>
      </c>
      <c r="BA446" s="1452">
        <f t="shared" si="257"/>
        <v>0</v>
      </c>
      <c r="BB446" s="1452">
        <f t="shared" si="258"/>
        <v>0</v>
      </c>
      <c r="BC446" s="1452">
        <f t="shared" si="259"/>
        <v>0</v>
      </c>
      <c r="BD446" s="1452">
        <f t="shared" si="260"/>
        <v>0</v>
      </c>
      <c r="BE446" s="1452">
        <f t="shared" si="261"/>
        <v>0</v>
      </c>
      <c r="BF446" s="1452">
        <f t="shared" si="262"/>
        <v>0</v>
      </c>
      <c r="BG446" s="1452">
        <f t="shared" si="263"/>
        <v>0</v>
      </c>
      <c r="BH446" s="1452">
        <f t="shared" si="264"/>
        <v>0</v>
      </c>
      <c r="BI446" s="1452">
        <f t="shared" si="281"/>
        <v>0</v>
      </c>
      <c r="BJ446" s="1452" t="str">
        <f t="shared" si="265"/>
        <v/>
      </c>
      <c r="BK446" s="1452" t="str">
        <f t="shared" si="266"/>
        <v/>
      </c>
      <c r="BL446" s="1452" t="str">
        <f t="shared" si="267"/>
        <v/>
      </c>
      <c r="BM446" s="1452" t="str">
        <f t="shared" si="268"/>
        <v/>
      </c>
      <c r="BN446" s="1452" t="str">
        <f t="shared" ca="1" si="269"/>
        <v/>
      </c>
      <c r="BO446" s="1452" t="str">
        <f t="shared" si="282"/>
        <v/>
      </c>
      <c r="BP446" s="1452" t="str">
        <f t="shared" si="270"/>
        <v/>
      </c>
      <c r="BQ446" s="1452" t="str">
        <f t="shared" si="271"/>
        <v/>
      </c>
      <c r="BR446" s="1452" t="str">
        <f t="shared" si="272"/>
        <v/>
      </c>
      <c r="BS446" s="1452" t="str">
        <f t="shared" si="273"/>
        <v/>
      </c>
      <c r="BT446" s="1452" t="str">
        <f t="shared" si="274"/>
        <v/>
      </c>
      <c r="BU446" s="1452" t="str">
        <f t="shared" si="275"/>
        <v/>
      </c>
      <c r="BV446" s="1452" t="str">
        <f t="shared" si="276"/>
        <v/>
      </c>
      <c r="BW446" s="1558">
        <f t="shared" ca="1" si="283"/>
        <v>0</v>
      </c>
    </row>
    <row r="447" spans="1:75" s="9" customFormat="1" ht="12.5">
      <c r="A447" s="1483" t="str">
        <f t="shared" si="277"/>
        <v>Public Health Wales Trust</v>
      </c>
      <c r="B447" s="1583"/>
      <c r="C447" s="1583"/>
      <c r="D447" s="1583"/>
      <c r="E447" s="1581"/>
      <c r="F447" s="1436"/>
      <c r="G447" s="1547">
        <f t="shared" si="278"/>
        <v>0</v>
      </c>
      <c r="H447" s="1484"/>
      <c r="I447" s="1547">
        <f t="shared" si="279"/>
        <v>0</v>
      </c>
      <c r="J447" s="1485"/>
      <c r="K447" s="1485"/>
      <c r="L447" s="1436"/>
      <c r="M447" s="1439"/>
      <c r="N447" s="1439"/>
      <c r="O447" s="1485"/>
      <c r="P447" s="1486"/>
      <c r="Q447" s="1486"/>
      <c r="R447" s="1487"/>
      <c r="S447" s="1444"/>
      <c r="T447" s="1444"/>
      <c r="U447" s="1444"/>
      <c r="V447" s="1488"/>
      <c r="W447" s="1488"/>
      <c r="X447" s="1488"/>
      <c r="Y447" s="1488"/>
      <c r="Z447" s="1488"/>
      <c r="AA447" s="1488"/>
      <c r="AB447" s="1488"/>
      <c r="AC447" s="1488"/>
      <c r="AD447" s="1488"/>
      <c r="AE447" s="1488"/>
      <c r="AF447" s="1488"/>
      <c r="AG447" s="1488"/>
      <c r="AH447" s="1451">
        <f t="shared" si="251"/>
        <v>0</v>
      </c>
      <c r="AI447" s="1488"/>
      <c r="AJ447" s="1488"/>
      <c r="AK447" s="1488"/>
      <c r="AL447" s="1488"/>
      <c r="AM447" s="1488"/>
      <c r="AN447" s="1488"/>
      <c r="AO447" s="1488"/>
      <c r="AP447" s="1488"/>
      <c r="AQ447" s="1488"/>
      <c r="AR447" s="1488"/>
      <c r="AS447" s="1488"/>
      <c r="AT447" s="1542"/>
      <c r="AU447" s="1599">
        <f t="shared" si="252"/>
        <v>0</v>
      </c>
      <c r="AV447" s="1544">
        <f t="shared" si="280"/>
        <v>0</v>
      </c>
      <c r="AW447" s="1452">
        <f t="shared" si="253"/>
        <v>0</v>
      </c>
      <c r="AX447" s="1452">
        <f t="shared" si="254"/>
        <v>0</v>
      </c>
      <c r="AY447" s="1452">
        <f t="shared" si="255"/>
        <v>0</v>
      </c>
      <c r="AZ447" s="1452">
        <f t="shared" si="256"/>
        <v>0</v>
      </c>
      <c r="BA447" s="1452">
        <f t="shared" si="257"/>
        <v>0</v>
      </c>
      <c r="BB447" s="1452">
        <f t="shared" si="258"/>
        <v>0</v>
      </c>
      <c r="BC447" s="1452">
        <f t="shared" si="259"/>
        <v>0</v>
      </c>
      <c r="BD447" s="1452">
        <f t="shared" si="260"/>
        <v>0</v>
      </c>
      <c r="BE447" s="1452">
        <f t="shared" si="261"/>
        <v>0</v>
      </c>
      <c r="BF447" s="1452">
        <f t="shared" si="262"/>
        <v>0</v>
      </c>
      <c r="BG447" s="1452">
        <f t="shared" si="263"/>
        <v>0</v>
      </c>
      <c r="BH447" s="1452">
        <f t="shared" si="264"/>
        <v>0</v>
      </c>
      <c r="BI447" s="1452">
        <f t="shared" si="281"/>
        <v>0</v>
      </c>
      <c r="BJ447" s="1452" t="str">
        <f t="shared" si="265"/>
        <v/>
      </c>
      <c r="BK447" s="1452" t="str">
        <f t="shared" si="266"/>
        <v/>
      </c>
      <c r="BL447" s="1452" t="str">
        <f t="shared" si="267"/>
        <v/>
      </c>
      <c r="BM447" s="1452" t="str">
        <f t="shared" si="268"/>
        <v/>
      </c>
      <c r="BN447" s="1452" t="str">
        <f t="shared" ca="1" si="269"/>
        <v/>
      </c>
      <c r="BO447" s="1452" t="str">
        <f t="shared" si="282"/>
        <v/>
      </c>
      <c r="BP447" s="1452" t="str">
        <f t="shared" si="270"/>
        <v/>
      </c>
      <c r="BQ447" s="1452" t="str">
        <f t="shared" si="271"/>
        <v/>
      </c>
      <c r="BR447" s="1452" t="str">
        <f t="shared" si="272"/>
        <v/>
      </c>
      <c r="BS447" s="1452" t="str">
        <f t="shared" si="273"/>
        <v/>
      </c>
      <c r="BT447" s="1452" t="str">
        <f t="shared" si="274"/>
        <v/>
      </c>
      <c r="BU447" s="1452" t="str">
        <f t="shared" si="275"/>
        <v/>
      </c>
      <c r="BV447" s="1452" t="str">
        <f t="shared" si="276"/>
        <v/>
      </c>
      <c r="BW447" s="1558">
        <f t="shared" ca="1" si="283"/>
        <v>0</v>
      </c>
    </row>
    <row r="448" spans="1:75" s="9" customFormat="1" ht="12.5">
      <c r="A448" s="1483" t="str">
        <f t="shared" si="277"/>
        <v>Public Health Wales Trust</v>
      </c>
      <c r="B448" s="1583"/>
      <c r="C448" s="1583"/>
      <c r="D448" s="1583"/>
      <c r="E448" s="1581"/>
      <c r="F448" s="1436"/>
      <c r="G448" s="1547">
        <f t="shared" si="278"/>
        <v>0</v>
      </c>
      <c r="H448" s="1484"/>
      <c r="I448" s="1547">
        <f t="shared" si="279"/>
        <v>0</v>
      </c>
      <c r="J448" s="1485"/>
      <c r="K448" s="1485"/>
      <c r="L448" s="1436"/>
      <c r="M448" s="1439"/>
      <c r="N448" s="1439"/>
      <c r="O448" s="1485"/>
      <c r="P448" s="1486"/>
      <c r="Q448" s="1486"/>
      <c r="R448" s="1487"/>
      <c r="S448" s="1444"/>
      <c r="T448" s="1444"/>
      <c r="U448" s="1444"/>
      <c r="V448" s="1488"/>
      <c r="W448" s="1488"/>
      <c r="X448" s="1488"/>
      <c r="Y448" s="1488"/>
      <c r="Z448" s="1488"/>
      <c r="AA448" s="1488"/>
      <c r="AB448" s="1488"/>
      <c r="AC448" s="1488"/>
      <c r="AD448" s="1488"/>
      <c r="AE448" s="1488"/>
      <c r="AF448" s="1488"/>
      <c r="AG448" s="1488"/>
      <c r="AH448" s="1451">
        <f t="shared" si="251"/>
        <v>0</v>
      </c>
      <c r="AI448" s="1488"/>
      <c r="AJ448" s="1488"/>
      <c r="AK448" s="1488"/>
      <c r="AL448" s="1488"/>
      <c r="AM448" s="1488"/>
      <c r="AN448" s="1488"/>
      <c r="AO448" s="1488"/>
      <c r="AP448" s="1488"/>
      <c r="AQ448" s="1488"/>
      <c r="AR448" s="1488"/>
      <c r="AS448" s="1488"/>
      <c r="AT448" s="1542"/>
      <c r="AU448" s="1599">
        <f t="shared" si="252"/>
        <v>0</v>
      </c>
      <c r="AV448" s="1544">
        <f t="shared" si="280"/>
        <v>0</v>
      </c>
      <c r="AW448" s="1452">
        <f t="shared" si="253"/>
        <v>0</v>
      </c>
      <c r="AX448" s="1452">
        <f t="shared" si="254"/>
        <v>0</v>
      </c>
      <c r="AY448" s="1452">
        <f t="shared" si="255"/>
        <v>0</v>
      </c>
      <c r="AZ448" s="1452">
        <f t="shared" si="256"/>
        <v>0</v>
      </c>
      <c r="BA448" s="1452">
        <f t="shared" si="257"/>
        <v>0</v>
      </c>
      <c r="BB448" s="1452">
        <f t="shared" si="258"/>
        <v>0</v>
      </c>
      <c r="BC448" s="1452">
        <f t="shared" si="259"/>
        <v>0</v>
      </c>
      <c r="BD448" s="1452">
        <f t="shared" si="260"/>
        <v>0</v>
      </c>
      <c r="BE448" s="1452">
        <f t="shared" si="261"/>
        <v>0</v>
      </c>
      <c r="BF448" s="1452">
        <f t="shared" si="262"/>
        <v>0</v>
      </c>
      <c r="BG448" s="1452">
        <f t="shared" si="263"/>
        <v>0</v>
      </c>
      <c r="BH448" s="1452">
        <f t="shared" si="264"/>
        <v>0</v>
      </c>
      <c r="BI448" s="1452">
        <f t="shared" si="281"/>
        <v>0</v>
      </c>
      <c r="BJ448" s="1452" t="str">
        <f t="shared" si="265"/>
        <v/>
      </c>
      <c r="BK448" s="1452" t="str">
        <f t="shared" si="266"/>
        <v/>
      </c>
      <c r="BL448" s="1452" t="str">
        <f t="shared" si="267"/>
        <v/>
      </c>
      <c r="BM448" s="1452" t="str">
        <f t="shared" si="268"/>
        <v/>
      </c>
      <c r="BN448" s="1452" t="str">
        <f t="shared" ca="1" si="269"/>
        <v/>
      </c>
      <c r="BO448" s="1452" t="str">
        <f t="shared" si="282"/>
        <v/>
      </c>
      <c r="BP448" s="1452" t="str">
        <f t="shared" si="270"/>
        <v/>
      </c>
      <c r="BQ448" s="1452" t="str">
        <f t="shared" si="271"/>
        <v/>
      </c>
      <c r="BR448" s="1452" t="str">
        <f t="shared" si="272"/>
        <v/>
      </c>
      <c r="BS448" s="1452" t="str">
        <f t="shared" si="273"/>
        <v/>
      </c>
      <c r="BT448" s="1452" t="str">
        <f t="shared" si="274"/>
        <v/>
      </c>
      <c r="BU448" s="1452" t="str">
        <f t="shared" si="275"/>
        <v/>
      </c>
      <c r="BV448" s="1452" t="str">
        <f t="shared" si="276"/>
        <v/>
      </c>
      <c r="BW448" s="1558">
        <f t="shared" ca="1" si="283"/>
        <v>0</v>
      </c>
    </row>
    <row r="449" spans="1:75" s="9" customFormat="1" ht="12.5">
      <c r="A449" s="1483" t="str">
        <f t="shared" si="277"/>
        <v>Public Health Wales Trust</v>
      </c>
      <c r="B449" s="1583"/>
      <c r="C449" s="1583"/>
      <c r="D449" s="1583"/>
      <c r="E449" s="1581"/>
      <c r="F449" s="1436"/>
      <c r="G449" s="1547">
        <f t="shared" si="278"/>
        <v>0</v>
      </c>
      <c r="H449" s="1484"/>
      <c r="I449" s="1547">
        <f t="shared" si="279"/>
        <v>0</v>
      </c>
      <c r="J449" s="1485"/>
      <c r="K449" s="1485"/>
      <c r="L449" s="1436"/>
      <c r="M449" s="1439"/>
      <c r="N449" s="1439"/>
      <c r="O449" s="1485"/>
      <c r="P449" s="1486"/>
      <c r="Q449" s="1486"/>
      <c r="R449" s="1487"/>
      <c r="S449" s="1444"/>
      <c r="T449" s="1444"/>
      <c r="U449" s="1444"/>
      <c r="V449" s="1488"/>
      <c r="W449" s="1488"/>
      <c r="X449" s="1488"/>
      <c r="Y449" s="1488"/>
      <c r="Z449" s="1488"/>
      <c r="AA449" s="1488"/>
      <c r="AB449" s="1488"/>
      <c r="AC449" s="1488"/>
      <c r="AD449" s="1488"/>
      <c r="AE449" s="1488"/>
      <c r="AF449" s="1488"/>
      <c r="AG449" s="1488"/>
      <c r="AH449" s="1451">
        <f t="shared" si="251"/>
        <v>0</v>
      </c>
      <c r="AI449" s="1488"/>
      <c r="AJ449" s="1488"/>
      <c r="AK449" s="1488"/>
      <c r="AL449" s="1488"/>
      <c r="AM449" s="1488"/>
      <c r="AN449" s="1488"/>
      <c r="AO449" s="1488"/>
      <c r="AP449" s="1488"/>
      <c r="AQ449" s="1488"/>
      <c r="AR449" s="1488"/>
      <c r="AS449" s="1488"/>
      <c r="AT449" s="1542"/>
      <c r="AU449" s="1599">
        <f t="shared" si="252"/>
        <v>0</v>
      </c>
      <c r="AV449" s="1544">
        <f t="shared" si="280"/>
        <v>0</v>
      </c>
      <c r="AW449" s="1452">
        <f t="shared" si="253"/>
        <v>0</v>
      </c>
      <c r="AX449" s="1452">
        <f t="shared" si="254"/>
        <v>0</v>
      </c>
      <c r="AY449" s="1452">
        <f t="shared" si="255"/>
        <v>0</v>
      </c>
      <c r="AZ449" s="1452">
        <f t="shared" si="256"/>
        <v>0</v>
      </c>
      <c r="BA449" s="1452">
        <f t="shared" si="257"/>
        <v>0</v>
      </c>
      <c r="BB449" s="1452">
        <f t="shared" si="258"/>
        <v>0</v>
      </c>
      <c r="BC449" s="1452">
        <f t="shared" si="259"/>
        <v>0</v>
      </c>
      <c r="BD449" s="1452">
        <f t="shared" si="260"/>
        <v>0</v>
      </c>
      <c r="BE449" s="1452">
        <f t="shared" si="261"/>
        <v>0</v>
      </c>
      <c r="BF449" s="1452">
        <f t="shared" si="262"/>
        <v>0</v>
      </c>
      <c r="BG449" s="1452">
        <f t="shared" si="263"/>
        <v>0</v>
      </c>
      <c r="BH449" s="1452">
        <f t="shared" si="264"/>
        <v>0</v>
      </c>
      <c r="BI449" s="1452">
        <f t="shared" si="281"/>
        <v>0</v>
      </c>
      <c r="BJ449" s="1452" t="str">
        <f t="shared" si="265"/>
        <v/>
      </c>
      <c r="BK449" s="1452" t="str">
        <f t="shared" si="266"/>
        <v/>
      </c>
      <c r="BL449" s="1452" t="str">
        <f t="shared" si="267"/>
        <v/>
      </c>
      <c r="BM449" s="1452" t="str">
        <f t="shared" si="268"/>
        <v/>
      </c>
      <c r="BN449" s="1452" t="str">
        <f t="shared" ca="1" si="269"/>
        <v/>
      </c>
      <c r="BO449" s="1452" t="str">
        <f t="shared" si="282"/>
        <v/>
      </c>
      <c r="BP449" s="1452" t="str">
        <f t="shared" si="270"/>
        <v/>
      </c>
      <c r="BQ449" s="1452" t="str">
        <f t="shared" si="271"/>
        <v/>
      </c>
      <c r="BR449" s="1452" t="str">
        <f t="shared" si="272"/>
        <v/>
      </c>
      <c r="BS449" s="1452" t="str">
        <f t="shared" si="273"/>
        <v/>
      </c>
      <c r="BT449" s="1452" t="str">
        <f t="shared" si="274"/>
        <v/>
      </c>
      <c r="BU449" s="1452" t="str">
        <f t="shared" si="275"/>
        <v/>
      </c>
      <c r="BV449" s="1452" t="str">
        <f t="shared" si="276"/>
        <v/>
      </c>
      <c r="BW449" s="1558">
        <f t="shared" ca="1" si="283"/>
        <v>0</v>
      </c>
    </row>
    <row r="450" spans="1:75" s="9" customFormat="1" ht="12.5">
      <c r="A450" s="1483" t="str">
        <f t="shared" si="277"/>
        <v>Public Health Wales Trust</v>
      </c>
      <c r="B450" s="1583"/>
      <c r="C450" s="1583"/>
      <c r="D450" s="1583"/>
      <c r="E450" s="1581"/>
      <c r="F450" s="1436"/>
      <c r="G450" s="1547">
        <f t="shared" si="278"/>
        <v>0</v>
      </c>
      <c r="H450" s="1484"/>
      <c r="I450" s="1547">
        <f t="shared" si="279"/>
        <v>0</v>
      </c>
      <c r="J450" s="1485"/>
      <c r="K450" s="1485"/>
      <c r="L450" s="1436"/>
      <c r="M450" s="1439"/>
      <c r="N450" s="1439"/>
      <c r="O450" s="1485"/>
      <c r="P450" s="1486"/>
      <c r="Q450" s="1486"/>
      <c r="R450" s="1487"/>
      <c r="S450" s="1444"/>
      <c r="T450" s="1444"/>
      <c r="U450" s="1444"/>
      <c r="V450" s="1488"/>
      <c r="W450" s="1488"/>
      <c r="X450" s="1488"/>
      <c r="Y450" s="1488"/>
      <c r="Z450" s="1488"/>
      <c r="AA450" s="1488"/>
      <c r="AB450" s="1488"/>
      <c r="AC450" s="1488"/>
      <c r="AD450" s="1488"/>
      <c r="AE450" s="1488"/>
      <c r="AF450" s="1488"/>
      <c r="AG450" s="1488"/>
      <c r="AH450" s="1451">
        <f t="shared" si="251"/>
        <v>0</v>
      </c>
      <c r="AI450" s="1488"/>
      <c r="AJ450" s="1488"/>
      <c r="AK450" s="1488"/>
      <c r="AL450" s="1488"/>
      <c r="AM450" s="1488"/>
      <c r="AN450" s="1488"/>
      <c r="AO450" s="1488"/>
      <c r="AP450" s="1488"/>
      <c r="AQ450" s="1488"/>
      <c r="AR450" s="1488"/>
      <c r="AS450" s="1488"/>
      <c r="AT450" s="1542"/>
      <c r="AU450" s="1599">
        <f t="shared" si="252"/>
        <v>0</v>
      </c>
      <c r="AV450" s="1544">
        <f t="shared" si="280"/>
        <v>0</v>
      </c>
      <c r="AW450" s="1452">
        <f t="shared" si="253"/>
        <v>0</v>
      </c>
      <c r="AX450" s="1452">
        <f t="shared" si="254"/>
        <v>0</v>
      </c>
      <c r="AY450" s="1452">
        <f t="shared" si="255"/>
        <v>0</v>
      </c>
      <c r="AZ450" s="1452">
        <f t="shared" si="256"/>
        <v>0</v>
      </c>
      <c r="BA450" s="1452">
        <f t="shared" si="257"/>
        <v>0</v>
      </c>
      <c r="BB450" s="1452">
        <f t="shared" si="258"/>
        <v>0</v>
      </c>
      <c r="BC450" s="1452">
        <f t="shared" si="259"/>
        <v>0</v>
      </c>
      <c r="BD450" s="1452">
        <f t="shared" si="260"/>
        <v>0</v>
      </c>
      <c r="BE450" s="1452">
        <f t="shared" si="261"/>
        <v>0</v>
      </c>
      <c r="BF450" s="1452">
        <f t="shared" si="262"/>
        <v>0</v>
      </c>
      <c r="BG450" s="1452">
        <f t="shared" si="263"/>
        <v>0</v>
      </c>
      <c r="BH450" s="1452">
        <f t="shared" si="264"/>
        <v>0</v>
      </c>
      <c r="BI450" s="1452">
        <f t="shared" si="281"/>
        <v>0</v>
      </c>
      <c r="BJ450" s="1452" t="str">
        <f t="shared" si="265"/>
        <v/>
      </c>
      <c r="BK450" s="1452" t="str">
        <f t="shared" si="266"/>
        <v/>
      </c>
      <c r="BL450" s="1452" t="str">
        <f t="shared" si="267"/>
        <v/>
      </c>
      <c r="BM450" s="1452" t="str">
        <f t="shared" si="268"/>
        <v/>
      </c>
      <c r="BN450" s="1452" t="str">
        <f t="shared" ca="1" si="269"/>
        <v/>
      </c>
      <c r="BO450" s="1452" t="str">
        <f t="shared" si="282"/>
        <v/>
      </c>
      <c r="BP450" s="1452" t="str">
        <f t="shared" si="270"/>
        <v/>
      </c>
      <c r="BQ450" s="1452" t="str">
        <f t="shared" si="271"/>
        <v/>
      </c>
      <c r="BR450" s="1452" t="str">
        <f t="shared" si="272"/>
        <v/>
      </c>
      <c r="BS450" s="1452" t="str">
        <f t="shared" si="273"/>
        <v/>
      </c>
      <c r="BT450" s="1452" t="str">
        <f t="shared" si="274"/>
        <v/>
      </c>
      <c r="BU450" s="1452" t="str">
        <f t="shared" si="275"/>
        <v/>
      </c>
      <c r="BV450" s="1452" t="str">
        <f t="shared" si="276"/>
        <v/>
      </c>
      <c r="BW450" s="1558">
        <f t="shared" ca="1" si="283"/>
        <v>0</v>
      </c>
    </row>
    <row r="451" spans="1:75" s="9" customFormat="1" ht="12.5">
      <c r="A451" s="1483" t="str">
        <f t="shared" si="277"/>
        <v>Public Health Wales Trust</v>
      </c>
      <c r="B451" s="1583"/>
      <c r="C451" s="1583"/>
      <c r="D451" s="1583"/>
      <c r="E451" s="1581"/>
      <c r="F451" s="1436"/>
      <c r="G451" s="1547">
        <f t="shared" si="278"/>
        <v>0</v>
      </c>
      <c r="H451" s="1484"/>
      <c r="I451" s="1547">
        <f t="shared" si="279"/>
        <v>0</v>
      </c>
      <c r="J451" s="1485"/>
      <c r="K451" s="1485"/>
      <c r="L451" s="1436"/>
      <c r="M451" s="1439"/>
      <c r="N451" s="1439"/>
      <c r="O451" s="1485"/>
      <c r="P451" s="1486"/>
      <c r="Q451" s="1486"/>
      <c r="R451" s="1487"/>
      <c r="S451" s="1444"/>
      <c r="T451" s="1444"/>
      <c r="U451" s="1444"/>
      <c r="V451" s="1488"/>
      <c r="W451" s="1488"/>
      <c r="X451" s="1488"/>
      <c r="Y451" s="1488"/>
      <c r="Z451" s="1488"/>
      <c r="AA451" s="1488"/>
      <c r="AB451" s="1488"/>
      <c r="AC451" s="1488"/>
      <c r="AD451" s="1488"/>
      <c r="AE451" s="1488"/>
      <c r="AF451" s="1488"/>
      <c r="AG451" s="1488"/>
      <c r="AH451" s="1451">
        <f t="shared" si="251"/>
        <v>0</v>
      </c>
      <c r="AI451" s="1488"/>
      <c r="AJ451" s="1488"/>
      <c r="AK451" s="1488"/>
      <c r="AL451" s="1488"/>
      <c r="AM451" s="1488"/>
      <c r="AN451" s="1488"/>
      <c r="AO451" s="1488"/>
      <c r="AP451" s="1488"/>
      <c r="AQ451" s="1488"/>
      <c r="AR451" s="1488"/>
      <c r="AS451" s="1488"/>
      <c r="AT451" s="1542"/>
      <c r="AU451" s="1599">
        <f t="shared" si="252"/>
        <v>0</v>
      </c>
      <c r="AV451" s="1544">
        <f t="shared" si="280"/>
        <v>0</v>
      </c>
      <c r="AW451" s="1452">
        <f t="shared" si="253"/>
        <v>0</v>
      </c>
      <c r="AX451" s="1452">
        <f t="shared" si="254"/>
        <v>0</v>
      </c>
      <c r="AY451" s="1452">
        <f t="shared" si="255"/>
        <v>0</v>
      </c>
      <c r="AZ451" s="1452">
        <f t="shared" si="256"/>
        <v>0</v>
      </c>
      <c r="BA451" s="1452">
        <f t="shared" si="257"/>
        <v>0</v>
      </c>
      <c r="BB451" s="1452">
        <f t="shared" si="258"/>
        <v>0</v>
      </c>
      <c r="BC451" s="1452">
        <f t="shared" si="259"/>
        <v>0</v>
      </c>
      <c r="BD451" s="1452">
        <f t="shared" si="260"/>
        <v>0</v>
      </c>
      <c r="BE451" s="1452">
        <f t="shared" si="261"/>
        <v>0</v>
      </c>
      <c r="BF451" s="1452">
        <f t="shared" si="262"/>
        <v>0</v>
      </c>
      <c r="BG451" s="1452">
        <f t="shared" si="263"/>
        <v>0</v>
      </c>
      <c r="BH451" s="1452">
        <f t="shared" si="264"/>
        <v>0</v>
      </c>
      <c r="BI451" s="1452">
        <f t="shared" si="281"/>
        <v>0</v>
      </c>
      <c r="BJ451" s="1452" t="str">
        <f t="shared" si="265"/>
        <v/>
      </c>
      <c r="BK451" s="1452" t="str">
        <f t="shared" si="266"/>
        <v/>
      </c>
      <c r="BL451" s="1452" t="str">
        <f t="shared" si="267"/>
        <v/>
      </c>
      <c r="BM451" s="1452" t="str">
        <f t="shared" si="268"/>
        <v/>
      </c>
      <c r="BN451" s="1452" t="str">
        <f t="shared" ca="1" si="269"/>
        <v/>
      </c>
      <c r="BO451" s="1452" t="str">
        <f t="shared" si="282"/>
        <v/>
      </c>
      <c r="BP451" s="1452" t="str">
        <f t="shared" si="270"/>
        <v/>
      </c>
      <c r="BQ451" s="1452" t="str">
        <f t="shared" si="271"/>
        <v/>
      </c>
      <c r="BR451" s="1452" t="str">
        <f t="shared" si="272"/>
        <v/>
      </c>
      <c r="BS451" s="1452" t="str">
        <f t="shared" si="273"/>
        <v/>
      </c>
      <c r="BT451" s="1452" t="str">
        <f t="shared" si="274"/>
        <v/>
      </c>
      <c r="BU451" s="1452" t="str">
        <f t="shared" si="275"/>
        <v/>
      </c>
      <c r="BV451" s="1452" t="str">
        <f t="shared" si="276"/>
        <v/>
      </c>
      <c r="BW451" s="1558">
        <f t="shared" ca="1" si="283"/>
        <v>0</v>
      </c>
    </row>
    <row r="452" spans="1:75" s="9" customFormat="1" ht="12.5">
      <c r="A452" s="1483" t="str">
        <f t="shared" si="277"/>
        <v>Public Health Wales Trust</v>
      </c>
      <c r="B452" s="1583"/>
      <c r="C452" s="1583"/>
      <c r="D452" s="1583"/>
      <c r="E452" s="1581"/>
      <c r="F452" s="1436"/>
      <c r="G452" s="1547">
        <f t="shared" si="278"/>
        <v>0</v>
      </c>
      <c r="H452" s="1484"/>
      <c r="I452" s="1547">
        <f t="shared" si="279"/>
        <v>0</v>
      </c>
      <c r="J452" s="1485"/>
      <c r="K452" s="1485"/>
      <c r="L452" s="1436"/>
      <c r="M452" s="1439"/>
      <c r="N452" s="1439"/>
      <c r="O452" s="1485"/>
      <c r="P452" s="1486"/>
      <c r="Q452" s="1486"/>
      <c r="R452" s="1487"/>
      <c r="S452" s="1444"/>
      <c r="T452" s="1444"/>
      <c r="U452" s="1444"/>
      <c r="V452" s="1488"/>
      <c r="W452" s="1488"/>
      <c r="X452" s="1488"/>
      <c r="Y452" s="1488"/>
      <c r="Z452" s="1488"/>
      <c r="AA452" s="1488"/>
      <c r="AB452" s="1488"/>
      <c r="AC452" s="1488"/>
      <c r="AD452" s="1488"/>
      <c r="AE452" s="1488"/>
      <c r="AF452" s="1488"/>
      <c r="AG452" s="1488"/>
      <c r="AH452" s="1451">
        <f t="shared" si="251"/>
        <v>0</v>
      </c>
      <c r="AI452" s="1488"/>
      <c r="AJ452" s="1488"/>
      <c r="AK452" s="1488"/>
      <c r="AL452" s="1488"/>
      <c r="AM452" s="1488"/>
      <c r="AN452" s="1488"/>
      <c r="AO452" s="1488"/>
      <c r="AP452" s="1488"/>
      <c r="AQ452" s="1488"/>
      <c r="AR452" s="1488"/>
      <c r="AS452" s="1488"/>
      <c r="AT452" s="1542"/>
      <c r="AU452" s="1599">
        <f t="shared" si="252"/>
        <v>0</v>
      </c>
      <c r="AV452" s="1544">
        <f t="shared" si="280"/>
        <v>0</v>
      </c>
      <c r="AW452" s="1452">
        <f t="shared" si="253"/>
        <v>0</v>
      </c>
      <c r="AX452" s="1452">
        <f t="shared" si="254"/>
        <v>0</v>
      </c>
      <c r="AY452" s="1452">
        <f t="shared" si="255"/>
        <v>0</v>
      </c>
      <c r="AZ452" s="1452">
        <f t="shared" si="256"/>
        <v>0</v>
      </c>
      <c r="BA452" s="1452">
        <f t="shared" si="257"/>
        <v>0</v>
      </c>
      <c r="BB452" s="1452">
        <f t="shared" si="258"/>
        <v>0</v>
      </c>
      <c r="BC452" s="1452">
        <f t="shared" si="259"/>
        <v>0</v>
      </c>
      <c r="BD452" s="1452">
        <f t="shared" si="260"/>
        <v>0</v>
      </c>
      <c r="BE452" s="1452">
        <f t="shared" si="261"/>
        <v>0</v>
      </c>
      <c r="BF452" s="1452">
        <f t="shared" si="262"/>
        <v>0</v>
      </c>
      <c r="BG452" s="1452">
        <f t="shared" si="263"/>
        <v>0</v>
      </c>
      <c r="BH452" s="1452">
        <f t="shared" si="264"/>
        <v>0</v>
      </c>
      <c r="BI452" s="1452">
        <f t="shared" si="281"/>
        <v>0</v>
      </c>
      <c r="BJ452" s="1452" t="str">
        <f t="shared" si="265"/>
        <v/>
      </c>
      <c r="BK452" s="1452" t="str">
        <f t="shared" si="266"/>
        <v/>
      </c>
      <c r="BL452" s="1452" t="str">
        <f t="shared" si="267"/>
        <v/>
      </c>
      <c r="BM452" s="1452" t="str">
        <f t="shared" si="268"/>
        <v/>
      </c>
      <c r="BN452" s="1452" t="str">
        <f t="shared" ca="1" si="269"/>
        <v/>
      </c>
      <c r="BO452" s="1452" t="str">
        <f t="shared" si="282"/>
        <v/>
      </c>
      <c r="BP452" s="1452" t="str">
        <f t="shared" si="270"/>
        <v/>
      </c>
      <c r="BQ452" s="1452" t="str">
        <f t="shared" si="271"/>
        <v/>
      </c>
      <c r="BR452" s="1452" t="str">
        <f t="shared" si="272"/>
        <v/>
      </c>
      <c r="BS452" s="1452" t="str">
        <f t="shared" si="273"/>
        <v/>
      </c>
      <c r="BT452" s="1452" t="str">
        <f t="shared" si="274"/>
        <v/>
      </c>
      <c r="BU452" s="1452" t="str">
        <f t="shared" si="275"/>
        <v/>
      </c>
      <c r="BV452" s="1452" t="str">
        <f t="shared" si="276"/>
        <v/>
      </c>
      <c r="BW452" s="1558">
        <f t="shared" ca="1" si="283"/>
        <v>0</v>
      </c>
    </row>
    <row r="453" spans="1:75" s="9" customFormat="1" ht="12.5">
      <c r="A453" s="1483" t="str">
        <f t="shared" si="277"/>
        <v>Public Health Wales Trust</v>
      </c>
      <c r="B453" s="1583"/>
      <c r="C453" s="1583"/>
      <c r="D453" s="1583"/>
      <c r="E453" s="1581"/>
      <c r="F453" s="1436"/>
      <c r="G453" s="1547">
        <f t="shared" si="278"/>
        <v>0</v>
      </c>
      <c r="H453" s="1484"/>
      <c r="I453" s="1547">
        <f t="shared" si="279"/>
        <v>0</v>
      </c>
      <c r="J453" s="1485"/>
      <c r="K453" s="1485"/>
      <c r="L453" s="1436"/>
      <c r="M453" s="1439"/>
      <c r="N453" s="1439"/>
      <c r="O453" s="1485"/>
      <c r="P453" s="1486"/>
      <c r="Q453" s="1486"/>
      <c r="R453" s="1487"/>
      <c r="S453" s="1444"/>
      <c r="T453" s="1444"/>
      <c r="U453" s="1444"/>
      <c r="V453" s="1488"/>
      <c r="W453" s="1488"/>
      <c r="X453" s="1488"/>
      <c r="Y453" s="1488"/>
      <c r="Z453" s="1488"/>
      <c r="AA453" s="1488"/>
      <c r="AB453" s="1488"/>
      <c r="AC453" s="1488"/>
      <c r="AD453" s="1488"/>
      <c r="AE453" s="1488"/>
      <c r="AF453" s="1488"/>
      <c r="AG453" s="1488"/>
      <c r="AH453" s="1451">
        <f t="shared" si="251"/>
        <v>0</v>
      </c>
      <c r="AI453" s="1488"/>
      <c r="AJ453" s="1488"/>
      <c r="AK453" s="1488"/>
      <c r="AL453" s="1488"/>
      <c r="AM453" s="1488"/>
      <c r="AN453" s="1488"/>
      <c r="AO453" s="1488"/>
      <c r="AP453" s="1488"/>
      <c r="AQ453" s="1488"/>
      <c r="AR453" s="1488"/>
      <c r="AS453" s="1488"/>
      <c r="AT453" s="1542"/>
      <c r="AU453" s="1599">
        <f t="shared" si="252"/>
        <v>0</v>
      </c>
      <c r="AV453" s="1544">
        <f t="shared" si="280"/>
        <v>0</v>
      </c>
      <c r="AW453" s="1452">
        <f t="shared" si="253"/>
        <v>0</v>
      </c>
      <c r="AX453" s="1452">
        <f t="shared" si="254"/>
        <v>0</v>
      </c>
      <c r="AY453" s="1452">
        <f t="shared" si="255"/>
        <v>0</v>
      </c>
      <c r="AZ453" s="1452">
        <f t="shared" si="256"/>
        <v>0</v>
      </c>
      <c r="BA453" s="1452">
        <f t="shared" si="257"/>
        <v>0</v>
      </c>
      <c r="BB453" s="1452">
        <f t="shared" si="258"/>
        <v>0</v>
      </c>
      <c r="BC453" s="1452">
        <f t="shared" si="259"/>
        <v>0</v>
      </c>
      <c r="BD453" s="1452">
        <f t="shared" si="260"/>
        <v>0</v>
      </c>
      <c r="BE453" s="1452">
        <f t="shared" si="261"/>
        <v>0</v>
      </c>
      <c r="BF453" s="1452">
        <f t="shared" si="262"/>
        <v>0</v>
      </c>
      <c r="BG453" s="1452">
        <f t="shared" si="263"/>
        <v>0</v>
      </c>
      <c r="BH453" s="1452">
        <f t="shared" si="264"/>
        <v>0</v>
      </c>
      <c r="BI453" s="1452">
        <f t="shared" si="281"/>
        <v>0</v>
      </c>
      <c r="BJ453" s="1452" t="str">
        <f t="shared" si="265"/>
        <v/>
      </c>
      <c r="BK453" s="1452" t="str">
        <f t="shared" si="266"/>
        <v/>
      </c>
      <c r="BL453" s="1452" t="str">
        <f t="shared" si="267"/>
        <v/>
      </c>
      <c r="BM453" s="1452" t="str">
        <f t="shared" si="268"/>
        <v/>
      </c>
      <c r="BN453" s="1452" t="str">
        <f t="shared" ca="1" si="269"/>
        <v/>
      </c>
      <c r="BO453" s="1452" t="str">
        <f t="shared" si="282"/>
        <v/>
      </c>
      <c r="BP453" s="1452" t="str">
        <f t="shared" si="270"/>
        <v/>
      </c>
      <c r="BQ453" s="1452" t="str">
        <f t="shared" si="271"/>
        <v/>
      </c>
      <c r="BR453" s="1452" t="str">
        <f t="shared" si="272"/>
        <v/>
      </c>
      <c r="BS453" s="1452" t="str">
        <f t="shared" si="273"/>
        <v/>
      </c>
      <c r="BT453" s="1452" t="str">
        <f t="shared" si="274"/>
        <v/>
      </c>
      <c r="BU453" s="1452" t="str">
        <f t="shared" si="275"/>
        <v/>
      </c>
      <c r="BV453" s="1452" t="str">
        <f t="shared" si="276"/>
        <v/>
      </c>
      <c r="BW453" s="1558">
        <f t="shared" ca="1" si="283"/>
        <v>0</v>
      </c>
    </row>
    <row r="454" spans="1:75" s="9" customFormat="1" ht="12.5">
      <c r="A454" s="1483" t="str">
        <f t="shared" si="277"/>
        <v>Public Health Wales Trust</v>
      </c>
      <c r="B454" s="1583"/>
      <c r="C454" s="1583"/>
      <c r="D454" s="1583"/>
      <c r="E454" s="1581"/>
      <c r="F454" s="1436"/>
      <c r="G454" s="1547">
        <f t="shared" si="278"/>
        <v>0</v>
      </c>
      <c r="H454" s="1484"/>
      <c r="I454" s="1547">
        <f t="shared" si="279"/>
        <v>0</v>
      </c>
      <c r="J454" s="1485"/>
      <c r="K454" s="1485"/>
      <c r="L454" s="1436"/>
      <c r="M454" s="1439"/>
      <c r="N454" s="1439"/>
      <c r="O454" s="1485"/>
      <c r="P454" s="1486"/>
      <c r="Q454" s="1486"/>
      <c r="R454" s="1487"/>
      <c r="S454" s="1444"/>
      <c r="T454" s="1444"/>
      <c r="U454" s="1444"/>
      <c r="V454" s="1488"/>
      <c r="W454" s="1488"/>
      <c r="X454" s="1488"/>
      <c r="Y454" s="1488"/>
      <c r="Z454" s="1488"/>
      <c r="AA454" s="1488"/>
      <c r="AB454" s="1488"/>
      <c r="AC454" s="1488"/>
      <c r="AD454" s="1488"/>
      <c r="AE454" s="1488"/>
      <c r="AF454" s="1488"/>
      <c r="AG454" s="1488"/>
      <c r="AH454" s="1451">
        <f t="shared" si="251"/>
        <v>0</v>
      </c>
      <c r="AI454" s="1488"/>
      <c r="AJ454" s="1488"/>
      <c r="AK454" s="1488"/>
      <c r="AL454" s="1488"/>
      <c r="AM454" s="1488"/>
      <c r="AN454" s="1488"/>
      <c r="AO454" s="1488"/>
      <c r="AP454" s="1488"/>
      <c r="AQ454" s="1488"/>
      <c r="AR454" s="1488"/>
      <c r="AS454" s="1488"/>
      <c r="AT454" s="1542"/>
      <c r="AU454" s="1599">
        <f t="shared" si="252"/>
        <v>0</v>
      </c>
      <c r="AV454" s="1544">
        <f t="shared" si="280"/>
        <v>0</v>
      </c>
      <c r="AW454" s="1452">
        <f t="shared" si="253"/>
        <v>0</v>
      </c>
      <c r="AX454" s="1452">
        <f t="shared" si="254"/>
        <v>0</v>
      </c>
      <c r="AY454" s="1452">
        <f t="shared" si="255"/>
        <v>0</v>
      </c>
      <c r="AZ454" s="1452">
        <f t="shared" si="256"/>
        <v>0</v>
      </c>
      <c r="BA454" s="1452">
        <f t="shared" si="257"/>
        <v>0</v>
      </c>
      <c r="BB454" s="1452">
        <f t="shared" si="258"/>
        <v>0</v>
      </c>
      <c r="BC454" s="1452">
        <f t="shared" si="259"/>
        <v>0</v>
      </c>
      <c r="BD454" s="1452">
        <f t="shared" si="260"/>
        <v>0</v>
      </c>
      <c r="BE454" s="1452">
        <f t="shared" si="261"/>
        <v>0</v>
      </c>
      <c r="BF454" s="1452">
        <f t="shared" si="262"/>
        <v>0</v>
      </c>
      <c r="BG454" s="1452">
        <f t="shared" si="263"/>
        <v>0</v>
      </c>
      <c r="BH454" s="1452">
        <f t="shared" si="264"/>
        <v>0</v>
      </c>
      <c r="BI454" s="1452">
        <f t="shared" si="281"/>
        <v>0</v>
      </c>
      <c r="BJ454" s="1452" t="str">
        <f t="shared" si="265"/>
        <v/>
      </c>
      <c r="BK454" s="1452" t="str">
        <f t="shared" si="266"/>
        <v/>
      </c>
      <c r="BL454" s="1452" t="str">
        <f t="shared" si="267"/>
        <v/>
      </c>
      <c r="BM454" s="1452" t="str">
        <f t="shared" si="268"/>
        <v/>
      </c>
      <c r="BN454" s="1452" t="str">
        <f t="shared" ca="1" si="269"/>
        <v/>
      </c>
      <c r="BO454" s="1452" t="str">
        <f t="shared" si="282"/>
        <v/>
      </c>
      <c r="BP454" s="1452" t="str">
        <f t="shared" si="270"/>
        <v/>
      </c>
      <c r="BQ454" s="1452" t="str">
        <f t="shared" si="271"/>
        <v/>
      </c>
      <c r="BR454" s="1452" t="str">
        <f t="shared" si="272"/>
        <v/>
      </c>
      <c r="BS454" s="1452" t="str">
        <f t="shared" si="273"/>
        <v/>
      </c>
      <c r="BT454" s="1452" t="str">
        <f t="shared" si="274"/>
        <v/>
      </c>
      <c r="BU454" s="1452" t="str">
        <f t="shared" si="275"/>
        <v/>
      </c>
      <c r="BV454" s="1452" t="str">
        <f t="shared" si="276"/>
        <v/>
      </c>
      <c r="BW454" s="1558">
        <f t="shared" ca="1" si="283"/>
        <v>0</v>
      </c>
    </row>
    <row r="455" spans="1:75" s="9" customFormat="1" ht="12.5">
      <c r="A455" s="1483" t="str">
        <f t="shared" si="277"/>
        <v>Public Health Wales Trust</v>
      </c>
      <c r="B455" s="1583"/>
      <c r="C455" s="1583"/>
      <c r="D455" s="1583"/>
      <c r="E455" s="1581"/>
      <c r="F455" s="1436"/>
      <c r="G455" s="1547">
        <f t="shared" si="278"/>
        <v>0</v>
      </c>
      <c r="H455" s="1484"/>
      <c r="I455" s="1547">
        <f t="shared" si="279"/>
        <v>0</v>
      </c>
      <c r="J455" s="1485"/>
      <c r="K455" s="1485"/>
      <c r="L455" s="1436"/>
      <c r="M455" s="1439"/>
      <c r="N455" s="1439"/>
      <c r="O455" s="1485"/>
      <c r="P455" s="1486"/>
      <c r="Q455" s="1486"/>
      <c r="R455" s="1487"/>
      <c r="S455" s="1444"/>
      <c r="T455" s="1444"/>
      <c r="U455" s="1444"/>
      <c r="V455" s="1488"/>
      <c r="W455" s="1488"/>
      <c r="X455" s="1488"/>
      <c r="Y455" s="1488"/>
      <c r="Z455" s="1488"/>
      <c r="AA455" s="1488"/>
      <c r="AB455" s="1488"/>
      <c r="AC455" s="1488"/>
      <c r="AD455" s="1488"/>
      <c r="AE455" s="1488"/>
      <c r="AF455" s="1488"/>
      <c r="AG455" s="1488"/>
      <c r="AH455" s="1451">
        <f t="shared" si="251"/>
        <v>0</v>
      </c>
      <c r="AI455" s="1488"/>
      <c r="AJ455" s="1488"/>
      <c r="AK455" s="1488"/>
      <c r="AL455" s="1488"/>
      <c r="AM455" s="1488"/>
      <c r="AN455" s="1488"/>
      <c r="AO455" s="1488"/>
      <c r="AP455" s="1488"/>
      <c r="AQ455" s="1488"/>
      <c r="AR455" s="1488"/>
      <c r="AS455" s="1488"/>
      <c r="AT455" s="1542"/>
      <c r="AU455" s="1599">
        <f t="shared" si="252"/>
        <v>0</v>
      </c>
      <c r="AV455" s="1544">
        <f t="shared" si="280"/>
        <v>0</v>
      </c>
      <c r="AW455" s="1452">
        <f t="shared" si="253"/>
        <v>0</v>
      </c>
      <c r="AX455" s="1452">
        <f t="shared" si="254"/>
        <v>0</v>
      </c>
      <c r="AY455" s="1452">
        <f t="shared" si="255"/>
        <v>0</v>
      </c>
      <c r="AZ455" s="1452">
        <f t="shared" si="256"/>
        <v>0</v>
      </c>
      <c r="BA455" s="1452">
        <f t="shared" si="257"/>
        <v>0</v>
      </c>
      <c r="BB455" s="1452">
        <f t="shared" si="258"/>
        <v>0</v>
      </c>
      <c r="BC455" s="1452">
        <f t="shared" si="259"/>
        <v>0</v>
      </c>
      <c r="BD455" s="1452">
        <f t="shared" si="260"/>
        <v>0</v>
      </c>
      <c r="BE455" s="1452">
        <f t="shared" si="261"/>
        <v>0</v>
      </c>
      <c r="BF455" s="1452">
        <f t="shared" si="262"/>
        <v>0</v>
      </c>
      <c r="BG455" s="1452">
        <f t="shared" si="263"/>
        <v>0</v>
      </c>
      <c r="BH455" s="1452">
        <f t="shared" si="264"/>
        <v>0</v>
      </c>
      <c r="BI455" s="1452">
        <f t="shared" si="281"/>
        <v>0</v>
      </c>
      <c r="BJ455" s="1452" t="str">
        <f t="shared" si="265"/>
        <v/>
      </c>
      <c r="BK455" s="1452" t="str">
        <f t="shared" si="266"/>
        <v/>
      </c>
      <c r="BL455" s="1452" t="str">
        <f t="shared" si="267"/>
        <v/>
      </c>
      <c r="BM455" s="1452" t="str">
        <f t="shared" si="268"/>
        <v/>
      </c>
      <c r="BN455" s="1452" t="str">
        <f t="shared" ca="1" si="269"/>
        <v/>
      </c>
      <c r="BO455" s="1452" t="str">
        <f t="shared" si="282"/>
        <v/>
      </c>
      <c r="BP455" s="1452" t="str">
        <f t="shared" si="270"/>
        <v/>
      </c>
      <c r="BQ455" s="1452" t="str">
        <f t="shared" si="271"/>
        <v/>
      </c>
      <c r="BR455" s="1452" t="str">
        <f t="shared" si="272"/>
        <v/>
      </c>
      <c r="BS455" s="1452" t="str">
        <f t="shared" si="273"/>
        <v/>
      </c>
      <c r="BT455" s="1452" t="str">
        <f t="shared" si="274"/>
        <v/>
      </c>
      <c r="BU455" s="1452" t="str">
        <f t="shared" si="275"/>
        <v/>
      </c>
      <c r="BV455" s="1452" t="str">
        <f t="shared" si="276"/>
        <v/>
      </c>
      <c r="BW455" s="1558">
        <f t="shared" ca="1" si="283"/>
        <v>0</v>
      </c>
    </row>
    <row r="456" spans="1:75" s="9" customFormat="1" ht="12.5">
      <c r="A456" s="1483" t="str">
        <f t="shared" si="277"/>
        <v>Public Health Wales Trust</v>
      </c>
      <c r="B456" s="1583"/>
      <c r="C456" s="1583"/>
      <c r="D456" s="1583"/>
      <c r="E456" s="1581"/>
      <c r="F456" s="1436"/>
      <c r="G456" s="1547">
        <f t="shared" si="278"/>
        <v>0</v>
      </c>
      <c r="H456" s="1484"/>
      <c r="I456" s="1547">
        <f t="shared" si="279"/>
        <v>0</v>
      </c>
      <c r="J456" s="1485"/>
      <c r="K456" s="1485"/>
      <c r="L456" s="1436"/>
      <c r="M456" s="1439"/>
      <c r="N456" s="1439"/>
      <c r="O456" s="1485"/>
      <c r="P456" s="1486"/>
      <c r="Q456" s="1486"/>
      <c r="R456" s="1487"/>
      <c r="S456" s="1444"/>
      <c r="T456" s="1444"/>
      <c r="U456" s="1444"/>
      <c r="V456" s="1488"/>
      <c r="W456" s="1488"/>
      <c r="X456" s="1488"/>
      <c r="Y456" s="1488"/>
      <c r="Z456" s="1488"/>
      <c r="AA456" s="1488"/>
      <c r="AB456" s="1488"/>
      <c r="AC456" s="1488"/>
      <c r="AD456" s="1488"/>
      <c r="AE456" s="1488"/>
      <c r="AF456" s="1488"/>
      <c r="AG456" s="1488"/>
      <c r="AH456" s="1451">
        <f t="shared" si="251"/>
        <v>0</v>
      </c>
      <c r="AI456" s="1488"/>
      <c r="AJ456" s="1488"/>
      <c r="AK456" s="1488"/>
      <c r="AL456" s="1488"/>
      <c r="AM456" s="1488"/>
      <c r="AN456" s="1488"/>
      <c r="AO456" s="1488"/>
      <c r="AP456" s="1488"/>
      <c r="AQ456" s="1488"/>
      <c r="AR456" s="1488"/>
      <c r="AS456" s="1488"/>
      <c r="AT456" s="1542"/>
      <c r="AU456" s="1599">
        <f t="shared" si="252"/>
        <v>0</v>
      </c>
      <c r="AV456" s="1544">
        <f t="shared" si="280"/>
        <v>0</v>
      </c>
      <c r="AW456" s="1452">
        <f t="shared" si="253"/>
        <v>0</v>
      </c>
      <c r="AX456" s="1452">
        <f t="shared" si="254"/>
        <v>0</v>
      </c>
      <c r="AY456" s="1452">
        <f t="shared" si="255"/>
        <v>0</v>
      </c>
      <c r="AZ456" s="1452">
        <f t="shared" si="256"/>
        <v>0</v>
      </c>
      <c r="BA456" s="1452">
        <f t="shared" si="257"/>
        <v>0</v>
      </c>
      <c r="BB456" s="1452">
        <f t="shared" si="258"/>
        <v>0</v>
      </c>
      <c r="BC456" s="1452">
        <f t="shared" si="259"/>
        <v>0</v>
      </c>
      <c r="BD456" s="1452">
        <f t="shared" si="260"/>
        <v>0</v>
      </c>
      <c r="BE456" s="1452">
        <f t="shared" si="261"/>
        <v>0</v>
      </c>
      <c r="BF456" s="1452">
        <f t="shared" si="262"/>
        <v>0</v>
      </c>
      <c r="BG456" s="1452">
        <f t="shared" si="263"/>
        <v>0</v>
      </c>
      <c r="BH456" s="1452">
        <f t="shared" si="264"/>
        <v>0</v>
      </c>
      <c r="BI456" s="1452">
        <f t="shared" si="281"/>
        <v>0</v>
      </c>
      <c r="BJ456" s="1452" t="str">
        <f t="shared" si="265"/>
        <v/>
      </c>
      <c r="BK456" s="1452" t="str">
        <f t="shared" si="266"/>
        <v/>
      </c>
      <c r="BL456" s="1452" t="str">
        <f t="shared" si="267"/>
        <v/>
      </c>
      <c r="BM456" s="1452" t="str">
        <f t="shared" si="268"/>
        <v/>
      </c>
      <c r="BN456" s="1452" t="str">
        <f t="shared" ca="1" si="269"/>
        <v/>
      </c>
      <c r="BO456" s="1452" t="str">
        <f t="shared" si="282"/>
        <v/>
      </c>
      <c r="BP456" s="1452" t="str">
        <f t="shared" si="270"/>
        <v/>
      </c>
      <c r="BQ456" s="1452" t="str">
        <f t="shared" si="271"/>
        <v/>
      </c>
      <c r="BR456" s="1452" t="str">
        <f t="shared" si="272"/>
        <v/>
      </c>
      <c r="BS456" s="1452" t="str">
        <f t="shared" si="273"/>
        <v/>
      </c>
      <c r="BT456" s="1452" t="str">
        <f t="shared" si="274"/>
        <v/>
      </c>
      <c r="BU456" s="1452" t="str">
        <f t="shared" si="275"/>
        <v/>
      </c>
      <c r="BV456" s="1452" t="str">
        <f t="shared" si="276"/>
        <v/>
      </c>
      <c r="BW456" s="1558">
        <f t="shared" ca="1" si="283"/>
        <v>0</v>
      </c>
    </row>
    <row r="457" spans="1:75" s="9" customFormat="1" ht="12.5">
      <c r="A457" s="1483" t="str">
        <f t="shared" si="277"/>
        <v>Public Health Wales Trust</v>
      </c>
      <c r="B457" s="1583"/>
      <c r="C457" s="1583"/>
      <c r="D457" s="1583"/>
      <c r="E457" s="1581"/>
      <c r="F457" s="1436"/>
      <c r="G457" s="1547">
        <f t="shared" si="278"/>
        <v>0</v>
      </c>
      <c r="H457" s="1484"/>
      <c r="I457" s="1547">
        <f t="shared" si="279"/>
        <v>0</v>
      </c>
      <c r="J457" s="1485"/>
      <c r="K457" s="1485"/>
      <c r="L457" s="1436"/>
      <c r="M457" s="1439"/>
      <c r="N457" s="1439"/>
      <c r="O457" s="1485"/>
      <c r="P457" s="1486"/>
      <c r="Q457" s="1486"/>
      <c r="R457" s="1487"/>
      <c r="S457" s="1444"/>
      <c r="T457" s="1444"/>
      <c r="U457" s="1444"/>
      <c r="V457" s="1488"/>
      <c r="W457" s="1488"/>
      <c r="X457" s="1488"/>
      <c r="Y457" s="1488"/>
      <c r="Z457" s="1488"/>
      <c r="AA457" s="1488"/>
      <c r="AB457" s="1488"/>
      <c r="AC457" s="1488"/>
      <c r="AD457" s="1488"/>
      <c r="AE457" s="1488"/>
      <c r="AF457" s="1488"/>
      <c r="AG457" s="1488"/>
      <c r="AH457" s="1451">
        <f t="shared" si="251"/>
        <v>0</v>
      </c>
      <c r="AI457" s="1488"/>
      <c r="AJ457" s="1488"/>
      <c r="AK457" s="1488"/>
      <c r="AL457" s="1488"/>
      <c r="AM457" s="1488"/>
      <c r="AN457" s="1488"/>
      <c r="AO457" s="1488"/>
      <c r="AP457" s="1488"/>
      <c r="AQ457" s="1488"/>
      <c r="AR457" s="1488"/>
      <c r="AS457" s="1488"/>
      <c r="AT457" s="1542"/>
      <c r="AU457" s="1599">
        <f t="shared" si="252"/>
        <v>0</v>
      </c>
      <c r="AV457" s="1544">
        <f t="shared" si="280"/>
        <v>0</v>
      </c>
      <c r="AW457" s="1452">
        <f t="shared" si="253"/>
        <v>0</v>
      </c>
      <c r="AX457" s="1452">
        <f t="shared" si="254"/>
        <v>0</v>
      </c>
      <c r="AY457" s="1452">
        <f t="shared" si="255"/>
        <v>0</v>
      </c>
      <c r="AZ457" s="1452">
        <f t="shared" si="256"/>
        <v>0</v>
      </c>
      <c r="BA457" s="1452">
        <f t="shared" si="257"/>
        <v>0</v>
      </c>
      <c r="BB457" s="1452">
        <f t="shared" si="258"/>
        <v>0</v>
      </c>
      <c r="BC457" s="1452">
        <f t="shared" si="259"/>
        <v>0</v>
      </c>
      <c r="BD457" s="1452">
        <f t="shared" si="260"/>
        <v>0</v>
      </c>
      <c r="BE457" s="1452">
        <f t="shared" si="261"/>
        <v>0</v>
      </c>
      <c r="BF457" s="1452">
        <f t="shared" si="262"/>
        <v>0</v>
      </c>
      <c r="BG457" s="1452">
        <f t="shared" si="263"/>
        <v>0</v>
      </c>
      <c r="BH457" s="1452">
        <f t="shared" si="264"/>
        <v>0</v>
      </c>
      <c r="BI457" s="1452">
        <f t="shared" si="281"/>
        <v>0</v>
      </c>
      <c r="BJ457" s="1452" t="str">
        <f t="shared" si="265"/>
        <v/>
      </c>
      <c r="BK457" s="1452" t="str">
        <f t="shared" si="266"/>
        <v/>
      </c>
      <c r="BL457" s="1452" t="str">
        <f t="shared" si="267"/>
        <v/>
      </c>
      <c r="BM457" s="1452" t="str">
        <f t="shared" si="268"/>
        <v/>
      </c>
      <c r="BN457" s="1452" t="str">
        <f t="shared" ca="1" si="269"/>
        <v/>
      </c>
      <c r="BO457" s="1452" t="str">
        <f t="shared" si="282"/>
        <v/>
      </c>
      <c r="BP457" s="1452" t="str">
        <f t="shared" si="270"/>
        <v/>
      </c>
      <c r="BQ457" s="1452" t="str">
        <f t="shared" si="271"/>
        <v/>
      </c>
      <c r="BR457" s="1452" t="str">
        <f t="shared" si="272"/>
        <v/>
      </c>
      <c r="BS457" s="1452" t="str">
        <f t="shared" si="273"/>
        <v/>
      </c>
      <c r="BT457" s="1452" t="str">
        <f t="shared" si="274"/>
        <v/>
      </c>
      <c r="BU457" s="1452" t="str">
        <f t="shared" si="275"/>
        <v/>
      </c>
      <c r="BV457" s="1452" t="str">
        <f t="shared" si="276"/>
        <v/>
      </c>
      <c r="BW457" s="1558">
        <f t="shared" ca="1" si="283"/>
        <v>0</v>
      </c>
    </row>
    <row r="458" spans="1:75" s="9" customFormat="1" ht="12.5">
      <c r="A458" s="1483" t="str">
        <f t="shared" si="277"/>
        <v>Public Health Wales Trust</v>
      </c>
      <c r="B458" s="1583"/>
      <c r="C458" s="1583"/>
      <c r="D458" s="1583"/>
      <c r="E458" s="1581"/>
      <c r="F458" s="1436"/>
      <c r="G458" s="1547">
        <f t="shared" si="278"/>
        <v>0</v>
      </c>
      <c r="H458" s="1484"/>
      <c r="I458" s="1547">
        <f t="shared" si="279"/>
        <v>0</v>
      </c>
      <c r="J458" s="1485"/>
      <c r="K458" s="1485"/>
      <c r="L458" s="1436"/>
      <c r="M458" s="1439"/>
      <c r="N458" s="1439"/>
      <c r="O458" s="1485"/>
      <c r="P458" s="1486"/>
      <c r="Q458" s="1486"/>
      <c r="R458" s="1487"/>
      <c r="S458" s="1444"/>
      <c r="T458" s="1444"/>
      <c r="U458" s="1444"/>
      <c r="V458" s="1488"/>
      <c r="W458" s="1488"/>
      <c r="X458" s="1488"/>
      <c r="Y458" s="1488"/>
      <c r="Z458" s="1488"/>
      <c r="AA458" s="1488"/>
      <c r="AB458" s="1488"/>
      <c r="AC458" s="1488"/>
      <c r="AD458" s="1488"/>
      <c r="AE458" s="1488"/>
      <c r="AF458" s="1488"/>
      <c r="AG458" s="1488"/>
      <c r="AH458" s="1451">
        <f t="shared" si="251"/>
        <v>0</v>
      </c>
      <c r="AI458" s="1488"/>
      <c r="AJ458" s="1488"/>
      <c r="AK458" s="1488"/>
      <c r="AL458" s="1488"/>
      <c r="AM458" s="1488"/>
      <c r="AN458" s="1488"/>
      <c r="AO458" s="1488"/>
      <c r="AP458" s="1488"/>
      <c r="AQ458" s="1488"/>
      <c r="AR458" s="1488"/>
      <c r="AS458" s="1488"/>
      <c r="AT458" s="1542"/>
      <c r="AU458" s="1599">
        <f t="shared" si="252"/>
        <v>0</v>
      </c>
      <c r="AV458" s="1544">
        <f t="shared" si="280"/>
        <v>0</v>
      </c>
      <c r="AW458" s="1452">
        <f t="shared" si="253"/>
        <v>0</v>
      </c>
      <c r="AX458" s="1452">
        <f t="shared" si="254"/>
        <v>0</v>
      </c>
      <c r="AY458" s="1452">
        <f t="shared" si="255"/>
        <v>0</v>
      </c>
      <c r="AZ458" s="1452">
        <f t="shared" si="256"/>
        <v>0</v>
      </c>
      <c r="BA458" s="1452">
        <f t="shared" si="257"/>
        <v>0</v>
      </c>
      <c r="BB458" s="1452">
        <f t="shared" si="258"/>
        <v>0</v>
      </c>
      <c r="BC458" s="1452">
        <f t="shared" si="259"/>
        <v>0</v>
      </c>
      <c r="BD458" s="1452">
        <f t="shared" si="260"/>
        <v>0</v>
      </c>
      <c r="BE458" s="1452">
        <f t="shared" si="261"/>
        <v>0</v>
      </c>
      <c r="BF458" s="1452">
        <f t="shared" si="262"/>
        <v>0</v>
      </c>
      <c r="BG458" s="1452">
        <f t="shared" si="263"/>
        <v>0</v>
      </c>
      <c r="BH458" s="1452">
        <f t="shared" si="264"/>
        <v>0</v>
      </c>
      <c r="BI458" s="1452">
        <f t="shared" si="281"/>
        <v>0</v>
      </c>
      <c r="BJ458" s="1452" t="str">
        <f t="shared" si="265"/>
        <v/>
      </c>
      <c r="BK458" s="1452" t="str">
        <f t="shared" si="266"/>
        <v/>
      </c>
      <c r="BL458" s="1452" t="str">
        <f t="shared" si="267"/>
        <v/>
      </c>
      <c r="BM458" s="1452" t="str">
        <f t="shared" si="268"/>
        <v/>
      </c>
      <c r="BN458" s="1452" t="str">
        <f t="shared" ca="1" si="269"/>
        <v/>
      </c>
      <c r="BO458" s="1452" t="str">
        <f t="shared" si="282"/>
        <v/>
      </c>
      <c r="BP458" s="1452" t="str">
        <f t="shared" si="270"/>
        <v/>
      </c>
      <c r="BQ458" s="1452" t="str">
        <f t="shared" si="271"/>
        <v/>
      </c>
      <c r="BR458" s="1452" t="str">
        <f t="shared" si="272"/>
        <v/>
      </c>
      <c r="BS458" s="1452" t="str">
        <f t="shared" si="273"/>
        <v/>
      </c>
      <c r="BT458" s="1452" t="str">
        <f t="shared" si="274"/>
        <v/>
      </c>
      <c r="BU458" s="1452" t="str">
        <f t="shared" si="275"/>
        <v/>
      </c>
      <c r="BV458" s="1452" t="str">
        <f t="shared" si="276"/>
        <v/>
      </c>
      <c r="BW458" s="1558">
        <f t="shared" ca="1" si="283"/>
        <v>0</v>
      </c>
    </row>
    <row r="459" spans="1:75" s="9" customFormat="1" ht="12.5">
      <c r="A459" s="1483" t="str">
        <f t="shared" si="277"/>
        <v>Public Health Wales Trust</v>
      </c>
      <c r="B459" s="1583"/>
      <c r="C459" s="1583"/>
      <c r="D459" s="1583"/>
      <c r="E459" s="1581"/>
      <c r="F459" s="1436"/>
      <c r="G459" s="1547">
        <f t="shared" si="278"/>
        <v>0</v>
      </c>
      <c r="H459" s="1484"/>
      <c r="I459" s="1547">
        <f t="shared" si="279"/>
        <v>0</v>
      </c>
      <c r="J459" s="1485"/>
      <c r="K459" s="1485"/>
      <c r="L459" s="1436"/>
      <c r="M459" s="1439"/>
      <c r="N459" s="1439"/>
      <c r="O459" s="1485"/>
      <c r="P459" s="1486"/>
      <c r="Q459" s="1486"/>
      <c r="R459" s="1487"/>
      <c r="S459" s="1444"/>
      <c r="T459" s="1444"/>
      <c r="U459" s="1444"/>
      <c r="V459" s="1488"/>
      <c r="W459" s="1488"/>
      <c r="X459" s="1488"/>
      <c r="Y459" s="1488"/>
      <c r="Z459" s="1488"/>
      <c r="AA459" s="1488"/>
      <c r="AB459" s="1488"/>
      <c r="AC459" s="1488"/>
      <c r="AD459" s="1488"/>
      <c r="AE459" s="1488"/>
      <c r="AF459" s="1488"/>
      <c r="AG459" s="1488"/>
      <c r="AH459" s="1451">
        <f t="shared" si="251"/>
        <v>0</v>
      </c>
      <c r="AI459" s="1488"/>
      <c r="AJ459" s="1488"/>
      <c r="AK459" s="1488"/>
      <c r="AL459" s="1488"/>
      <c r="AM459" s="1488"/>
      <c r="AN459" s="1488"/>
      <c r="AO459" s="1488"/>
      <c r="AP459" s="1488"/>
      <c r="AQ459" s="1488"/>
      <c r="AR459" s="1488"/>
      <c r="AS459" s="1488"/>
      <c r="AT459" s="1542"/>
      <c r="AU459" s="1599">
        <f t="shared" si="252"/>
        <v>0</v>
      </c>
      <c r="AV459" s="1544">
        <f t="shared" si="280"/>
        <v>0</v>
      </c>
      <c r="AW459" s="1452">
        <f t="shared" si="253"/>
        <v>0</v>
      </c>
      <c r="AX459" s="1452">
        <f t="shared" si="254"/>
        <v>0</v>
      </c>
      <c r="AY459" s="1452">
        <f t="shared" si="255"/>
        <v>0</v>
      </c>
      <c r="AZ459" s="1452">
        <f t="shared" si="256"/>
        <v>0</v>
      </c>
      <c r="BA459" s="1452">
        <f t="shared" si="257"/>
        <v>0</v>
      </c>
      <c r="BB459" s="1452">
        <f t="shared" si="258"/>
        <v>0</v>
      </c>
      <c r="BC459" s="1452">
        <f t="shared" si="259"/>
        <v>0</v>
      </c>
      <c r="BD459" s="1452">
        <f t="shared" si="260"/>
        <v>0</v>
      </c>
      <c r="BE459" s="1452">
        <f t="shared" si="261"/>
        <v>0</v>
      </c>
      <c r="BF459" s="1452">
        <f t="shared" si="262"/>
        <v>0</v>
      </c>
      <c r="BG459" s="1452">
        <f t="shared" si="263"/>
        <v>0</v>
      </c>
      <c r="BH459" s="1452">
        <f t="shared" si="264"/>
        <v>0</v>
      </c>
      <c r="BI459" s="1452">
        <f t="shared" si="281"/>
        <v>0</v>
      </c>
      <c r="BJ459" s="1452" t="str">
        <f t="shared" si="265"/>
        <v/>
      </c>
      <c r="BK459" s="1452" t="str">
        <f t="shared" si="266"/>
        <v/>
      </c>
      <c r="BL459" s="1452" t="str">
        <f t="shared" si="267"/>
        <v/>
      </c>
      <c r="BM459" s="1452" t="str">
        <f t="shared" si="268"/>
        <v/>
      </c>
      <c r="BN459" s="1452" t="str">
        <f t="shared" ca="1" si="269"/>
        <v/>
      </c>
      <c r="BO459" s="1452" t="str">
        <f t="shared" si="282"/>
        <v/>
      </c>
      <c r="BP459" s="1452" t="str">
        <f t="shared" si="270"/>
        <v/>
      </c>
      <c r="BQ459" s="1452" t="str">
        <f t="shared" si="271"/>
        <v/>
      </c>
      <c r="BR459" s="1452" t="str">
        <f t="shared" si="272"/>
        <v/>
      </c>
      <c r="BS459" s="1452" t="str">
        <f t="shared" si="273"/>
        <v/>
      </c>
      <c r="BT459" s="1452" t="str">
        <f t="shared" si="274"/>
        <v/>
      </c>
      <c r="BU459" s="1452" t="str">
        <f t="shared" si="275"/>
        <v/>
      </c>
      <c r="BV459" s="1452" t="str">
        <f t="shared" si="276"/>
        <v/>
      </c>
      <c r="BW459" s="1558">
        <f t="shared" ca="1" si="283"/>
        <v>0</v>
      </c>
    </row>
    <row r="460" spans="1:75" s="9" customFormat="1" ht="12.5">
      <c r="A460" s="1483" t="str">
        <f t="shared" si="277"/>
        <v>Public Health Wales Trust</v>
      </c>
      <c r="B460" s="1583"/>
      <c r="C460" s="1583"/>
      <c r="D460" s="1583"/>
      <c r="E460" s="1581"/>
      <c r="F460" s="1436"/>
      <c r="G460" s="1547">
        <f t="shared" si="278"/>
        <v>0</v>
      </c>
      <c r="H460" s="1484"/>
      <c r="I460" s="1547">
        <f t="shared" si="279"/>
        <v>0</v>
      </c>
      <c r="J460" s="1485"/>
      <c r="K460" s="1485"/>
      <c r="L460" s="1436"/>
      <c r="M460" s="1439"/>
      <c r="N460" s="1439"/>
      <c r="O460" s="1485"/>
      <c r="P460" s="1486"/>
      <c r="Q460" s="1486"/>
      <c r="R460" s="1487"/>
      <c r="S460" s="1444"/>
      <c r="T460" s="1444"/>
      <c r="U460" s="1444"/>
      <c r="V460" s="1488"/>
      <c r="W460" s="1488"/>
      <c r="X460" s="1488"/>
      <c r="Y460" s="1488"/>
      <c r="Z460" s="1488"/>
      <c r="AA460" s="1488"/>
      <c r="AB460" s="1488"/>
      <c r="AC460" s="1488"/>
      <c r="AD460" s="1488"/>
      <c r="AE460" s="1488"/>
      <c r="AF460" s="1488"/>
      <c r="AG460" s="1488"/>
      <c r="AH460" s="1451">
        <f t="shared" si="251"/>
        <v>0</v>
      </c>
      <c r="AI460" s="1488"/>
      <c r="AJ460" s="1488"/>
      <c r="AK460" s="1488"/>
      <c r="AL460" s="1488"/>
      <c r="AM460" s="1488"/>
      <c r="AN460" s="1488"/>
      <c r="AO460" s="1488"/>
      <c r="AP460" s="1488"/>
      <c r="AQ460" s="1488"/>
      <c r="AR460" s="1488"/>
      <c r="AS460" s="1488"/>
      <c r="AT460" s="1542"/>
      <c r="AU460" s="1599">
        <f t="shared" si="252"/>
        <v>0</v>
      </c>
      <c r="AV460" s="1544">
        <f t="shared" si="280"/>
        <v>0</v>
      </c>
      <c r="AW460" s="1452">
        <f t="shared" si="253"/>
        <v>0</v>
      </c>
      <c r="AX460" s="1452">
        <f t="shared" si="254"/>
        <v>0</v>
      </c>
      <c r="AY460" s="1452">
        <f t="shared" si="255"/>
        <v>0</v>
      </c>
      <c r="AZ460" s="1452">
        <f t="shared" si="256"/>
        <v>0</v>
      </c>
      <c r="BA460" s="1452">
        <f t="shared" si="257"/>
        <v>0</v>
      </c>
      <c r="BB460" s="1452">
        <f t="shared" si="258"/>
        <v>0</v>
      </c>
      <c r="BC460" s="1452">
        <f t="shared" si="259"/>
        <v>0</v>
      </c>
      <c r="BD460" s="1452">
        <f t="shared" si="260"/>
        <v>0</v>
      </c>
      <c r="BE460" s="1452">
        <f t="shared" si="261"/>
        <v>0</v>
      </c>
      <c r="BF460" s="1452">
        <f t="shared" si="262"/>
        <v>0</v>
      </c>
      <c r="BG460" s="1452">
        <f t="shared" si="263"/>
        <v>0</v>
      </c>
      <c r="BH460" s="1452">
        <f t="shared" si="264"/>
        <v>0</v>
      </c>
      <c r="BI460" s="1452">
        <f t="shared" si="281"/>
        <v>0</v>
      </c>
      <c r="BJ460" s="1452" t="str">
        <f t="shared" si="265"/>
        <v/>
      </c>
      <c r="BK460" s="1452" t="str">
        <f t="shared" si="266"/>
        <v/>
      </c>
      <c r="BL460" s="1452" t="str">
        <f t="shared" si="267"/>
        <v/>
      </c>
      <c r="BM460" s="1452" t="str">
        <f t="shared" si="268"/>
        <v/>
      </c>
      <c r="BN460" s="1452" t="str">
        <f t="shared" ca="1" si="269"/>
        <v/>
      </c>
      <c r="BO460" s="1452" t="str">
        <f t="shared" si="282"/>
        <v/>
      </c>
      <c r="BP460" s="1452" t="str">
        <f t="shared" si="270"/>
        <v/>
      </c>
      <c r="BQ460" s="1452" t="str">
        <f t="shared" si="271"/>
        <v/>
      </c>
      <c r="BR460" s="1452" t="str">
        <f t="shared" si="272"/>
        <v/>
      </c>
      <c r="BS460" s="1452" t="str">
        <f t="shared" si="273"/>
        <v/>
      </c>
      <c r="BT460" s="1452" t="str">
        <f t="shared" si="274"/>
        <v/>
      </c>
      <c r="BU460" s="1452" t="str">
        <f t="shared" si="275"/>
        <v/>
      </c>
      <c r="BV460" s="1452" t="str">
        <f t="shared" si="276"/>
        <v/>
      </c>
      <c r="BW460" s="1558">
        <f t="shared" ca="1" si="283"/>
        <v>0</v>
      </c>
    </row>
    <row r="461" spans="1:75" s="9" customFormat="1" ht="12.5">
      <c r="A461" s="1483" t="str">
        <f t="shared" si="277"/>
        <v>Public Health Wales Trust</v>
      </c>
      <c r="B461" s="1583"/>
      <c r="C461" s="1583"/>
      <c r="D461" s="1583"/>
      <c r="E461" s="1581"/>
      <c r="F461" s="1436"/>
      <c r="G461" s="1547">
        <f t="shared" si="278"/>
        <v>0</v>
      </c>
      <c r="H461" s="1484"/>
      <c r="I461" s="1547">
        <f t="shared" si="279"/>
        <v>0</v>
      </c>
      <c r="J461" s="1485"/>
      <c r="K461" s="1485"/>
      <c r="L461" s="1436"/>
      <c r="M461" s="1439"/>
      <c r="N461" s="1439"/>
      <c r="O461" s="1485"/>
      <c r="P461" s="1486"/>
      <c r="Q461" s="1486"/>
      <c r="R461" s="1487"/>
      <c r="S461" s="1444"/>
      <c r="T461" s="1444"/>
      <c r="U461" s="1444"/>
      <c r="V461" s="1488"/>
      <c r="W461" s="1488"/>
      <c r="X461" s="1488"/>
      <c r="Y461" s="1488"/>
      <c r="Z461" s="1488"/>
      <c r="AA461" s="1488"/>
      <c r="AB461" s="1488"/>
      <c r="AC461" s="1488"/>
      <c r="AD461" s="1488"/>
      <c r="AE461" s="1488"/>
      <c r="AF461" s="1488"/>
      <c r="AG461" s="1488"/>
      <c r="AH461" s="1451">
        <f t="shared" si="251"/>
        <v>0</v>
      </c>
      <c r="AI461" s="1488"/>
      <c r="AJ461" s="1488"/>
      <c r="AK461" s="1488"/>
      <c r="AL461" s="1488"/>
      <c r="AM461" s="1488"/>
      <c r="AN461" s="1488"/>
      <c r="AO461" s="1488"/>
      <c r="AP461" s="1488"/>
      <c r="AQ461" s="1488"/>
      <c r="AR461" s="1488"/>
      <c r="AS461" s="1488"/>
      <c r="AT461" s="1542"/>
      <c r="AU461" s="1599">
        <f t="shared" si="252"/>
        <v>0</v>
      </c>
      <c r="AV461" s="1544">
        <f t="shared" si="280"/>
        <v>0</v>
      </c>
      <c r="AW461" s="1452">
        <f t="shared" si="253"/>
        <v>0</v>
      </c>
      <c r="AX461" s="1452">
        <f t="shared" si="254"/>
        <v>0</v>
      </c>
      <c r="AY461" s="1452">
        <f t="shared" si="255"/>
        <v>0</v>
      </c>
      <c r="AZ461" s="1452">
        <f t="shared" si="256"/>
        <v>0</v>
      </c>
      <c r="BA461" s="1452">
        <f t="shared" si="257"/>
        <v>0</v>
      </c>
      <c r="BB461" s="1452">
        <f t="shared" si="258"/>
        <v>0</v>
      </c>
      <c r="BC461" s="1452">
        <f t="shared" si="259"/>
        <v>0</v>
      </c>
      <c r="BD461" s="1452">
        <f t="shared" si="260"/>
        <v>0</v>
      </c>
      <c r="BE461" s="1452">
        <f t="shared" si="261"/>
        <v>0</v>
      </c>
      <c r="BF461" s="1452">
        <f t="shared" si="262"/>
        <v>0</v>
      </c>
      <c r="BG461" s="1452">
        <f t="shared" si="263"/>
        <v>0</v>
      </c>
      <c r="BH461" s="1452">
        <f t="shared" si="264"/>
        <v>0</v>
      </c>
      <c r="BI461" s="1452">
        <f t="shared" si="281"/>
        <v>0</v>
      </c>
      <c r="BJ461" s="1452" t="str">
        <f t="shared" si="265"/>
        <v/>
      </c>
      <c r="BK461" s="1452" t="str">
        <f t="shared" si="266"/>
        <v/>
      </c>
      <c r="BL461" s="1452" t="str">
        <f t="shared" si="267"/>
        <v/>
      </c>
      <c r="BM461" s="1452" t="str">
        <f t="shared" si="268"/>
        <v/>
      </c>
      <c r="BN461" s="1452" t="str">
        <f t="shared" ca="1" si="269"/>
        <v/>
      </c>
      <c r="BO461" s="1452" t="str">
        <f t="shared" si="282"/>
        <v/>
      </c>
      <c r="BP461" s="1452" t="str">
        <f t="shared" si="270"/>
        <v/>
      </c>
      <c r="BQ461" s="1452" t="str">
        <f t="shared" si="271"/>
        <v/>
      </c>
      <c r="BR461" s="1452" t="str">
        <f t="shared" si="272"/>
        <v/>
      </c>
      <c r="BS461" s="1452" t="str">
        <f t="shared" si="273"/>
        <v/>
      </c>
      <c r="BT461" s="1452" t="str">
        <f t="shared" si="274"/>
        <v/>
      </c>
      <c r="BU461" s="1452" t="str">
        <f t="shared" si="275"/>
        <v/>
      </c>
      <c r="BV461" s="1452" t="str">
        <f t="shared" si="276"/>
        <v/>
      </c>
      <c r="BW461" s="1558">
        <f t="shared" ca="1" si="283"/>
        <v>0</v>
      </c>
    </row>
    <row r="462" spans="1:75" s="9" customFormat="1" ht="12.5">
      <c r="A462" s="1483" t="str">
        <f t="shared" si="277"/>
        <v>Public Health Wales Trust</v>
      </c>
      <c r="B462" s="1583"/>
      <c r="C462" s="1583"/>
      <c r="D462" s="1583"/>
      <c r="E462" s="1581"/>
      <c r="F462" s="1436"/>
      <c r="G462" s="1547">
        <f t="shared" si="278"/>
        <v>0</v>
      </c>
      <c r="H462" s="1484"/>
      <c r="I462" s="1547">
        <f t="shared" si="279"/>
        <v>0</v>
      </c>
      <c r="J462" s="1485"/>
      <c r="K462" s="1485"/>
      <c r="L462" s="1436"/>
      <c r="M462" s="1439"/>
      <c r="N462" s="1439"/>
      <c r="O462" s="1485"/>
      <c r="P462" s="1486"/>
      <c r="Q462" s="1486"/>
      <c r="R462" s="1487"/>
      <c r="S462" s="1444"/>
      <c r="T462" s="1444"/>
      <c r="U462" s="1444"/>
      <c r="V462" s="1488"/>
      <c r="W462" s="1488"/>
      <c r="X462" s="1488"/>
      <c r="Y462" s="1488"/>
      <c r="Z462" s="1488"/>
      <c r="AA462" s="1488"/>
      <c r="AB462" s="1488"/>
      <c r="AC462" s="1488"/>
      <c r="AD462" s="1488"/>
      <c r="AE462" s="1488"/>
      <c r="AF462" s="1488"/>
      <c r="AG462" s="1488"/>
      <c r="AH462" s="1451">
        <f t="shared" si="251"/>
        <v>0</v>
      </c>
      <c r="AI462" s="1488"/>
      <c r="AJ462" s="1488"/>
      <c r="AK462" s="1488"/>
      <c r="AL462" s="1488"/>
      <c r="AM462" s="1488"/>
      <c r="AN462" s="1488"/>
      <c r="AO462" s="1488"/>
      <c r="AP462" s="1488"/>
      <c r="AQ462" s="1488"/>
      <c r="AR462" s="1488"/>
      <c r="AS462" s="1488"/>
      <c r="AT462" s="1542"/>
      <c r="AU462" s="1599">
        <f t="shared" si="252"/>
        <v>0</v>
      </c>
      <c r="AV462" s="1544">
        <f t="shared" si="280"/>
        <v>0</v>
      </c>
      <c r="AW462" s="1452">
        <f t="shared" si="253"/>
        <v>0</v>
      </c>
      <c r="AX462" s="1452">
        <f t="shared" si="254"/>
        <v>0</v>
      </c>
      <c r="AY462" s="1452">
        <f t="shared" si="255"/>
        <v>0</v>
      </c>
      <c r="AZ462" s="1452">
        <f t="shared" si="256"/>
        <v>0</v>
      </c>
      <c r="BA462" s="1452">
        <f t="shared" si="257"/>
        <v>0</v>
      </c>
      <c r="BB462" s="1452">
        <f t="shared" si="258"/>
        <v>0</v>
      </c>
      <c r="BC462" s="1452">
        <f t="shared" si="259"/>
        <v>0</v>
      </c>
      <c r="BD462" s="1452">
        <f t="shared" si="260"/>
        <v>0</v>
      </c>
      <c r="BE462" s="1452">
        <f t="shared" si="261"/>
        <v>0</v>
      </c>
      <c r="BF462" s="1452">
        <f t="shared" si="262"/>
        <v>0</v>
      </c>
      <c r="BG462" s="1452">
        <f t="shared" si="263"/>
        <v>0</v>
      </c>
      <c r="BH462" s="1452">
        <f t="shared" si="264"/>
        <v>0</v>
      </c>
      <c r="BI462" s="1452">
        <f t="shared" si="281"/>
        <v>0</v>
      </c>
      <c r="BJ462" s="1452" t="str">
        <f t="shared" si="265"/>
        <v/>
      </c>
      <c r="BK462" s="1452" t="str">
        <f t="shared" si="266"/>
        <v/>
      </c>
      <c r="BL462" s="1452" t="str">
        <f t="shared" si="267"/>
        <v/>
      </c>
      <c r="BM462" s="1452" t="str">
        <f t="shared" si="268"/>
        <v/>
      </c>
      <c r="BN462" s="1452" t="str">
        <f t="shared" ca="1" si="269"/>
        <v/>
      </c>
      <c r="BO462" s="1452" t="str">
        <f t="shared" si="282"/>
        <v/>
      </c>
      <c r="BP462" s="1452" t="str">
        <f t="shared" si="270"/>
        <v/>
      </c>
      <c r="BQ462" s="1452" t="str">
        <f t="shared" si="271"/>
        <v/>
      </c>
      <c r="BR462" s="1452" t="str">
        <f t="shared" si="272"/>
        <v/>
      </c>
      <c r="BS462" s="1452" t="str">
        <f t="shared" si="273"/>
        <v/>
      </c>
      <c r="BT462" s="1452" t="str">
        <f t="shared" si="274"/>
        <v/>
      </c>
      <c r="BU462" s="1452" t="str">
        <f t="shared" si="275"/>
        <v/>
      </c>
      <c r="BV462" s="1452" t="str">
        <f t="shared" si="276"/>
        <v/>
      </c>
      <c r="BW462" s="1558">
        <f t="shared" ca="1" si="283"/>
        <v>0</v>
      </c>
    </row>
    <row r="463" spans="1:75" s="9" customFormat="1" ht="12.5">
      <c r="A463" s="1483" t="str">
        <f t="shared" si="277"/>
        <v>Public Health Wales Trust</v>
      </c>
      <c r="B463" s="1583"/>
      <c r="C463" s="1583"/>
      <c r="D463" s="1583"/>
      <c r="E463" s="1581"/>
      <c r="F463" s="1436"/>
      <c r="G463" s="1547">
        <f t="shared" si="278"/>
        <v>0</v>
      </c>
      <c r="H463" s="1484"/>
      <c r="I463" s="1547">
        <f t="shared" si="279"/>
        <v>0</v>
      </c>
      <c r="J463" s="1485"/>
      <c r="K463" s="1485"/>
      <c r="L463" s="1436"/>
      <c r="M463" s="1439"/>
      <c r="N463" s="1439"/>
      <c r="O463" s="1485"/>
      <c r="P463" s="1486"/>
      <c r="Q463" s="1486"/>
      <c r="R463" s="1487"/>
      <c r="S463" s="1444"/>
      <c r="T463" s="1444"/>
      <c r="U463" s="1444"/>
      <c r="V463" s="1488"/>
      <c r="W463" s="1488"/>
      <c r="X463" s="1488"/>
      <c r="Y463" s="1488"/>
      <c r="Z463" s="1488"/>
      <c r="AA463" s="1488"/>
      <c r="AB463" s="1488"/>
      <c r="AC463" s="1488"/>
      <c r="AD463" s="1488"/>
      <c r="AE463" s="1488"/>
      <c r="AF463" s="1488"/>
      <c r="AG463" s="1488"/>
      <c r="AH463" s="1451">
        <f t="shared" si="251"/>
        <v>0</v>
      </c>
      <c r="AI463" s="1488"/>
      <c r="AJ463" s="1488"/>
      <c r="AK463" s="1488"/>
      <c r="AL463" s="1488"/>
      <c r="AM463" s="1488"/>
      <c r="AN463" s="1488"/>
      <c r="AO463" s="1488"/>
      <c r="AP463" s="1488"/>
      <c r="AQ463" s="1488"/>
      <c r="AR463" s="1488"/>
      <c r="AS463" s="1488"/>
      <c r="AT463" s="1542"/>
      <c r="AU463" s="1599">
        <f t="shared" si="252"/>
        <v>0</v>
      </c>
      <c r="AV463" s="1544">
        <f t="shared" si="280"/>
        <v>0</v>
      </c>
      <c r="AW463" s="1452">
        <f t="shared" si="253"/>
        <v>0</v>
      </c>
      <c r="AX463" s="1452">
        <f t="shared" si="254"/>
        <v>0</v>
      </c>
      <c r="AY463" s="1452">
        <f t="shared" si="255"/>
        <v>0</v>
      </c>
      <c r="AZ463" s="1452">
        <f t="shared" si="256"/>
        <v>0</v>
      </c>
      <c r="BA463" s="1452">
        <f t="shared" si="257"/>
        <v>0</v>
      </c>
      <c r="BB463" s="1452">
        <f t="shared" si="258"/>
        <v>0</v>
      </c>
      <c r="BC463" s="1452">
        <f t="shared" si="259"/>
        <v>0</v>
      </c>
      <c r="BD463" s="1452">
        <f t="shared" si="260"/>
        <v>0</v>
      </c>
      <c r="BE463" s="1452">
        <f t="shared" si="261"/>
        <v>0</v>
      </c>
      <c r="BF463" s="1452">
        <f t="shared" si="262"/>
        <v>0</v>
      </c>
      <c r="BG463" s="1452">
        <f t="shared" si="263"/>
        <v>0</v>
      </c>
      <c r="BH463" s="1452">
        <f t="shared" si="264"/>
        <v>0</v>
      </c>
      <c r="BI463" s="1452">
        <f t="shared" si="281"/>
        <v>0</v>
      </c>
      <c r="BJ463" s="1452" t="str">
        <f t="shared" si="265"/>
        <v/>
      </c>
      <c r="BK463" s="1452" t="str">
        <f t="shared" si="266"/>
        <v/>
      </c>
      <c r="BL463" s="1452" t="str">
        <f t="shared" si="267"/>
        <v/>
      </c>
      <c r="BM463" s="1452" t="str">
        <f t="shared" si="268"/>
        <v/>
      </c>
      <c r="BN463" s="1452" t="str">
        <f t="shared" ca="1" si="269"/>
        <v/>
      </c>
      <c r="BO463" s="1452" t="str">
        <f t="shared" si="282"/>
        <v/>
      </c>
      <c r="BP463" s="1452" t="str">
        <f t="shared" si="270"/>
        <v/>
      </c>
      <c r="BQ463" s="1452" t="str">
        <f t="shared" si="271"/>
        <v/>
      </c>
      <c r="BR463" s="1452" t="str">
        <f t="shared" si="272"/>
        <v/>
      </c>
      <c r="BS463" s="1452" t="str">
        <f t="shared" si="273"/>
        <v/>
      </c>
      <c r="BT463" s="1452" t="str">
        <f t="shared" si="274"/>
        <v/>
      </c>
      <c r="BU463" s="1452" t="str">
        <f t="shared" si="275"/>
        <v/>
      </c>
      <c r="BV463" s="1452" t="str">
        <f t="shared" si="276"/>
        <v/>
      </c>
      <c r="BW463" s="1558">
        <f t="shared" ca="1" si="283"/>
        <v>0</v>
      </c>
    </row>
    <row r="464" spans="1:75" s="9" customFormat="1" ht="12.5">
      <c r="A464" s="1483" t="str">
        <f t="shared" si="277"/>
        <v>Public Health Wales Trust</v>
      </c>
      <c r="B464" s="1583"/>
      <c r="C464" s="1583"/>
      <c r="D464" s="1583"/>
      <c r="E464" s="1581"/>
      <c r="F464" s="1436"/>
      <c r="G464" s="1547">
        <f t="shared" si="278"/>
        <v>0</v>
      </c>
      <c r="H464" s="1484"/>
      <c r="I464" s="1547">
        <f t="shared" si="279"/>
        <v>0</v>
      </c>
      <c r="J464" s="1485"/>
      <c r="K464" s="1485"/>
      <c r="L464" s="1436"/>
      <c r="M464" s="1439"/>
      <c r="N464" s="1439"/>
      <c r="O464" s="1485"/>
      <c r="P464" s="1486"/>
      <c r="Q464" s="1486"/>
      <c r="R464" s="1487"/>
      <c r="S464" s="1444"/>
      <c r="T464" s="1444"/>
      <c r="U464" s="1444"/>
      <c r="V464" s="1488"/>
      <c r="W464" s="1488"/>
      <c r="X464" s="1488"/>
      <c r="Y464" s="1488"/>
      <c r="Z464" s="1488"/>
      <c r="AA464" s="1488"/>
      <c r="AB464" s="1488"/>
      <c r="AC464" s="1488"/>
      <c r="AD464" s="1488"/>
      <c r="AE464" s="1488"/>
      <c r="AF464" s="1488"/>
      <c r="AG464" s="1488"/>
      <c r="AH464" s="1451">
        <f t="shared" si="251"/>
        <v>0</v>
      </c>
      <c r="AI464" s="1488"/>
      <c r="AJ464" s="1488"/>
      <c r="AK464" s="1488"/>
      <c r="AL464" s="1488"/>
      <c r="AM464" s="1488"/>
      <c r="AN464" s="1488"/>
      <c r="AO464" s="1488"/>
      <c r="AP464" s="1488"/>
      <c r="AQ464" s="1488"/>
      <c r="AR464" s="1488"/>
      <c r="AS464" s="1488"/>
      <c r="AT464" s="1542"/>
      <c r="AU464" s="1599">
        <f t="shared" si="252"/>
        <v>0</v>
      </c>
      <c r="AV464" s="1544">
        <f t="shared" si="280"/>
        <v>0</v>
      </c>
      <c r="AW464" s="1452">
        <f t="shared" si="253"/>
        <v>0</v>
      </c>
      <c r="AX464" s="1452">
        <f t="shared" si="254"/>
        <v>0</v>
      </c>
      <c r="AY464" s="1452">
        <f t="shared" si="255"/>
        <v>0</v>
      </c>
      <c r="AZ464" s="1452">
        <f t="shared" si="256"/>
        <v>0</v>
      </c>
      <c r="BA464" s="1452">
        <f t="shared" si="257"/>
        <v>0</v>
      </c>
      <c r="BB464" s="1452">
        <f t="shared" si="258"/>
        <v>0</v>
      </c>
      <c r="BC464" s="1452">
        <f t="shared" si="259"/>
        <v>0</v>
      </c>
      <c r="BD464" s="1452">
        <f t="shared" si="260"/>
        <v>0</v>
      </c>
      <c r="BE464" s="1452">
        <f t="shared" si="261"/>
        <v>0</v>
      </c>
      <c r="BF464" s="1452">
        <f t="shared" si="262"/>
        <v>0</v>
      </c>
      <c r="BG464" s="1452">
        <f t="shared" si="263"/>
        <v>0</v>
      </c>
      <c r="BH464" s="1452">
        <f t="shared" si="264"/>
        <v>0</v>
      </c>
      <c r="BI464" s="1452">
        <f t="shared" si="281"/>
        <v>0</v>
      </c>
      <c r="BJ464" s="1452" t="str">
        <f t="shared" si="265"/>
        <v/>
      </c>
      <c r="BK464" s="1452" t="str">
        <f t="shared" si="266"/>
        <v/>
      </c>
      <c r="BL464" s="1452" t="str">
        <f t="shared" si="267"/>
        <v/>
      </c>
      <c r="BM464" s="1452" t="str">
        <f t="shared" si="268"/>
        <v/>
      </c>
      <c r="BN464" s="1452" t="str">
        <f t="shared" ca="1" si="269"/>
        <v/>
      </c>
      <c r="BO464" s="1452" t="str">
        <f t="shared" si="282"/>
        <v/>
      </c>
      <c r="BP464" s="1452" t="str">
        <f t="shared" si="270"/>
        <v/>
      </c>
      <c r="BQ464" s="1452" t="str">
        <f t="shared" si="271"/>
        <v/>
      </c>
      <c r="BR464" s="1452" t="str">
        <f t="shared" si="272"/>
        <v/>
      </c>
      <c r="BS464" s="1452" t="str">
        <f t="shared" si="273"/>
        <v/>
      </c>
      <c r="BT464" s="1452" t="str">
        <f t="shared" si="274"/>
        <v/>
      </c>
      <c r="BU464" s="1452" t="str">
        <f t="shared" si="275"/>
        <v/>
      </c>
      <c r="BV464" s="1452" t="str">
        <f t="shared" si="276"/>
        <v/>
      </c>
      <c r="BW464" s="1558">
        <f t="shared" ca="1" si="283"/>
        <v>0</v>
      </c>
    </row>
    <row r="465" spans="1:75" s="9" customFormat="1" ht="12.5">
      <c r="A465" s="1483" t="str">
        <f t="shared" si="277"/>
        <v>Public Health Wales Trust</v>
      </c>
      <c r="B465" s="1583"/>
      <c r="C465" s="1583"/>
      <c r="D465" s="1583"/>
      <c r="E465" s="1581"/>
      <c r="F465" s="1436"/>
      <c r="G465" s="1547">
        <f t="shared" si="278"/>
        <v>0</v>
      </c>
      <c r="H465" s="1484"/>
      <c r="I465" s="1547">
        <f t="shared" si="279"/>
        <v>0</v>
      </c>
      <c r="J465" s="1485"/>
      <c r="K465" s="1485"/>
      <c r="L465" s="1436"/>
      <c r="M465" s="1439"/>
      <c r="N465" s="1439"/>
      <c r="O465" s="1485"/>
      <c r="P465" s="1486"/>
      <c r="Q465" s="1486"/>
      <c r="R465" s="1487"/>
      <c r="S465" s="1444"/>
      <c r="T465" s="1444"/>
      <c r="U465" s="1444"/>
      <c r="V465" s="1488"/>
      <c r="W465" s="1488"/>
      <c r="X465" s="1488"/>
      <c r="Y465" s="1488"/>
      <c r="Z465" s="1488"/>
      <c r="AA465" s="1488"/>
      <c r="AB465" s="1488"/>
      <c r="AC465" s="1488"/>
      <c r="AD465" s="1488"/>
      <c r="AE465" s="1488"/>
      <c r="AF465" s="1488"/>
      <c r="AG465" s="1488"/>
      <c r="AH465" s="1451">
        <f t="shared" si="251"/>
        <v>0</v>
      </c>
      <c r="AI465" s="1488"/>
      <c r="AJ465" s="1488"/>
      <c r="AK465" s="1488"/>
      <c r="AL465" s="1488"/>
      <c r="AM465" s="1488"/>
      <c r="AN465" s="1488"/>
      <c r="AO465" s="1488"/>
      <c r="AP465" s="1488"/>
      <c r="AQ465" s="1488"/>
      <c r="AR465" s="1488"/>
      <c r="AS465" s="1488"/>
      <c r="AT465" s="1542"/>
      <c r="AU465" s="1599">
        <f t="shared" si="252"/>
        <v>0</v>
      </c>
      <c r="AV465" s="1544">
        <f t="shared" si="280"/>
        <v>0</v>
      </c>
      <c r="AW465" s="1452">
        <f t="shared" si="253"/>
        <v>0</v>
      </c>
      <c r="AX465" s="1452">
        <f t="shared" si="254"/>
        <v>0</v>
      </c>
      <c r="AY465" s="1452">
        <f t="shared" si="255"/>
        <v>0</v>
      </c>
      <c r="AZ465" s="1452">
        <f t="shared" si="256"/>
        <v>0</v>
      </c>
      <c r="BA465" s="1452">
        <f t="shared" si="257"/>
        <v>0</v>
      </c>
      <c r="BB465" s="1452">
        <f t="shared" si="258"/>
        <v>0</v>
      </c>
      <c r="BC465" s="1452">
        <f t="shared" si="259"/>
        <v>0</v>
      </c>
      <c r="BD465" s="1452">
        <f t="shared" si="260"/>
        <v>0</v>
      </c>
      <c r="BE465" s="1452">
        <f t="shared" si="261"/>
        <v>0</v>
      </c>
      <c r="BF465" s="1452">
        <f t="shared" si="262"/>
        <v>0</v>
      </c>
      <c r="BG465" s="1452">
        <f t="shared" si="263"/>
        <v>0</v>
      </c>
      <c r="BH465" s="1452">
        <f t="shared" si="264"/>
        <v>0</v>
      </c>
      <c r="BI465" s="1452">
        <f t="shared" si="281"/>
        <v>0</v>
      </c>
      <c r="BJ465" s="1452" t="str">
        <f t="shared" si="265"/>
        <v/>
      </c>
      <c r="BK465" s="1452" t="str">
        <f t="shared" si="266"/>
        <v/>
      </c>
      <c r="BL465" s="1452" t="str">
        <f t="shared" si="267"/>
        <v/>
      </c>
      <c r="BM465" s="1452" t="str">
        <f t="shared" si="268"/>
        <v/>
      </c>
      <c r="BN465" s="1452" t="str">
        <f t="shared" ca="1" si="269"/>
        <v/>
      </c>
      <c r="BO465" s="1452" t="str">
        <f t="shared" si="282"/>
        <v/>
      </c>
      <c r="BP465" s="1452" t="str">
        <f t="shared" si="270"/>
        <v/>
      </c>
      <c r="BQ465" s="1452" t="str">
        <f t="shared" si="271"/>
        <v/>
      </c>
      <c r="BR465" s="1452" t="str">
        <f t="shared" si="272"/>
        <v/>
      </c>
      <c r="BS465" s="1452" t="str">
        <f t="shared" si="273"/>
        <v/>
      </c>
      <c r="BT465" s="1452" t="str">
        <f t="shared" si="274"/>
        <v/>
      </c>
      <c r="BU465" s="1452" t="str">
        <f t="shared" si="275"/>
        <v/>
      </c>
      <c r="BV465" s="1452" t="str">
        <f t="shared" si="276"/>
        <v/>
      </c>
      <c r="BW465" s="1558">
        <f t="shared" ca="1" si="283"/>
        <v>0</v>
      </c>
    </row>
    <row r="466" spans="1:75" s="9" customFormat="1" ht="12.5">
      <c r="A466" s="1483" t="str">
        <f t="shared" si="277"/>
        <v>Public Health Wales Trust</v>
      </c>
      <c r="B466" s="1583"/>
      <c r="C466" s="1583"/>
      <c r="D466" s="1583"/>
      <c r="E466" s="1581"/>
      <c r="F466" s="1436"/>
      <c r="G466" s="1547">
        <f t="shared" si="278"/>
        <v>0</v>
      </c>
      <c r="H466" s="1484"/>
      <c r="I466" s="1547">
        <f t="shared" si="279"/>
        <v>0</v>
      </c>
      <c r="J466" s="1485"/>
      <c r="K466" s="1485"/>
      <c r="L466" s="1436"/>
      <c r="M466" s="1439"/>
      <c r="N466" s="1439"/>
      <c r="O466" s="1485"/>
      <c r="P466" s="1486"/>
      <c r="Q466" s="1486"/>
      <c r="R466" s="1487"/>
      <c r="S466" s="1444"/>
      <c r="T466" s="1444"/>
      <c r="U466" s="1444"/>
      <c r="V466" s="1488"/>
      <c r="W466" s="1488"/>
      <c r="X466" s="1488"/>
      <c r="Y466" s="1488"/>
      <c r="Z466" s="1488"/>
      <c r="AA466" s="1488"/>
      <c r="AB466" s="1488"/>
      <c r="AC466" s="1488"/>
      <c r="AD466" s="1488"/>
      <c r="AE466" s="1488"/>
      <c r="AF466" s="1488"/>
      <c r="AG466" s="1488"/>
      <c r="AH466" s="1451">
        <f t="shared" si="251"/>
        <v>0</v>
      </c>
      <c r="AI466" s="1488"/>
      <c r="AJ466" s="1488"/>
      <c r="AK466" s="1488"/>
      <c r="AL466" s="1488"/>
      <c r="AM466" s="1488"/>
      <c r="AN466" s="1488"/>
      <c r="AO466" s="1488"/>
      <c r="AP466" s="1488"/>
      <c r="AQ466" s="1488"/>
      <c r="AR466" s="1488"/>
      <c r="AS466" s="1488"/>
      <c r="AT466" s="1542"/>
      <c r="AU466" s="1599">
        <f t="shared" si="252"/>
        <v>0</v>
      </c>
      <c r="AV466" s="1544">
        <f t="shared" si="280"/>
        <v>0</v>
      </c>
      <c r="AW466" s="1452">
        <f t="shared" si="253"/>
        <v>0</v>
      </c>
      <c r="AX466" s="1452">
        <f t="shared" si="254"/>
        <v>0</v>
      </c>
      <c r="AY466" s="1452">
        <f t="shared" si="255"/>
        <v>0</v>
      </c>
      <c r="AZ466" s="1452">
        <f t="shared" si="256"/>
        <v>0</v>
      </c>
      <c r="BA466" s="1452">
        <f t="shared" si="257"/>
        <v>0</v>
      </c>
      <c r="BB466" s="1452">
        <f t="shared" si="258"/>
        <v>0</v>
      </c>
      <c r="BC466" s="1452">
        <f t="shared" si="259"/>
        <v>0</v>
      </c>
      <c r="BD466" s="1452">
        <f t="shared" si="260"/>
        <v>0</v>
      </c>
      <c r="BE466" s="1452">
        <f t="shared" si="261"/>
        <v>0</v>
      </c>
      <c r="BF466" s="1452">
        <f t="shared" si="262"/>
        <v>0</v>
      </c>
      <c r="BG466" s="1452">
        <f t="shared" si="263"/>
        <v>0</v>
      </c>
      <c r="BH466" s="1452">
        <f t="shared" si="264"/>
        <v>0</v>
      </c>
      <c r="BI466" s="1452">
        <f t="shared" si="281"/>
        <v>0</v>
      </c>
      <c r="BJ466" s="1452" t="str">
        <f t="shared" si="265"/>
        <v/>
      </c>
      <c r="BK466" s="1452" t="str">
        <f t="shared" si="266"/>
        <v/>
      </c>
      <c r="BL466" s="1452" t="str">
        <f t="shared" si="267"/>
        <v/>
      </c>
      <c r="BM466" s="1452" t="str">
        <f t="shared" si="268"/>
        <v/>
      </c>
      <c r="BN466" s="1452" t="str">
        <f t="shared" ca="1" si="269"/>
        <v/>
      </c>
      <c r="BO466" s="1452" t="str">
        <f t="shared" si="282"/>
        <v/>
      </c>
      <c r="BP466" s="1452" t="str">
        <f t="shared" si="270"/>
        <v/>
      </c>
      <c r="BQ466" s="1452" t="str">
        <f t="shared" si="271"/>
        <v/>
      </c>
      <c r="BR466" s="1452" t="str">
        <f t="shared" si="272"/>
        <v/>
      </c>
      <c r="BS466" s="1452" t="str">
        <f t="shared" si="273"/>
        <v/>
      </c>
      <c r="BT466" s="1452" t="str">
        <f t="shared" si="274"/>
        <v/>
      </c>
      <c r="BU466" s="1452" t="str">
        <f t="shared" si="275"/>
        <v/>
      </c>
      <c r="BV466" s="1452" t="str">
        <f t="shared" si="276"/>
        <v/>
      </c>
      <c r="BW466" s="1558">
        <f t="shared" ca="1" si="283"/>
        <v>0</v>
      </c>
    </row>
    <row r="467" spans="1:75" s="9" customFormat="1" ht="12.5">
      <c r="A467" s="1483" t="str">
        <f t="shared" si="277"/>
        <v>Public Health Wales Trust</v>
      </c>
      <c r="B467" s="1583"/>
      <c r="C467" s="1583"/>
      <c r="D467" s="1583"/>
      <c r="E467" s="1581"/>
      <c r="F467" s="1436"/>
      <c r="G467" s="1547">
        <f t="shared" si="278"/>
        <v>0</v>
      </c>
      <c r="H467" s="1484"/>
      <c r="I467" s="1547">
        <f t="shared" si="279"/>
        <v>0</v>
      </c>
      <c r="J467" s="1485"/>
      <c r="K467" s="1485"/>
      <c r="L467" s="1436"/>
      <c r="M467" s="1439"/>
      <c r="N467" s="1439"/>
      <c r="O467" s="1485"/>
      <c r="P467" s="1486"/>
      <c r="Q467" s="1486"/>
      <c r="R467" s="1487"/>
      <c r="S467" s="1444"/>
      <c r="T467" s="1444"/>
      <c r="U467" s="1444"/>
      <c r="V467" s="1488"/>
      <c r="W467" s="1488"/>
      <c r="X467" s="1488"/>
      <c r="Y467" s="1488"/>
      <c r="Z467" s="1488"/>
      <c r="AA467" s="1488"/>
      <c r="AB467" s="1488"/>
      <c r="AC467" s="1488"/>
      <c r="AD467" s="1488"/>
      <c r="AE467" s="1488"/>
      <c r="AF467" s="1488"/>
      <c r="AG467" s="1488"/>
      <c r="AH467" s="1451">
        <f t="shared" si="251"/>
        <v>0</v>
      </c>
      <c r="AI467" s="1488"/>
      <c r="AJ467" s="1488"/>
      <c r="AK467" s="1488"/>
      <c r="AL467" s="1488"/>
      <c r="AM467" s="1488"/>
      <c r="AN467" s="1488"/>
      <c r="AO467" s="1488"/>
      <c r="AP467" s="1488"/>
      <c r="AQ467" s="1488"/>
      <c r="AR467" s="1488"/>
      <c r="AS467" s="1488"/>
      <c r="AT467" s="1542"/>
      <c r="AU467" s="1599">
        <f t="shared" si="252"/>
        <v>0</v>
      </c>
      <c r="AV467" s="1544">
        <f t="shared" si="280"/>
        <v>0</v>
      </c>
      <c r="AW467" s="1452">
        <f t="shared" si="253"/>
        <v>0</v>
      </c>
      <c r="AX467" s="1452">
        <f t="shared" si="254"/>
        <v>0</v>
      </c>
      <c r="AY467" s="1452">
        <f t="shared" si="255"/>
        <v>0</v>
      </c>
      <c r="AZ467" s="1452">
        <f t="shared" si="256"/>
        <v>0</v>
      </c>
      <c r="BA467" s="1452">
        <f t="shared" si="257"/>
        <v>0</v>
      </c>
      <c r="BB467" s="1452">
        <f t="shared" si="258"/>
        <v>0</v>
      </c>
      <c r="BC467" s="1452">
        <f t="shared" si="259"/>
        <v>0</v>
      </c>
      <c r="BD467" s="1452">
        <f t="shared" si="260"/>
        <v>0</v>
      </c>
      <c r="BE467" s="1452">
        <f t="shared" si="261"/>
        <v>0</v>
      </c>
      <c r="BF467" s="1452">
        <f t="shared" si="262"/>
        <v>0</v>
      </c>
      <c r="BG467" s="1452">
        <f t="shared" si="263"/>
        <v>0</v>
      </c>
      <c r="BH467" s="1452">
        <f t="shared" si="264"/>
        <v>0</v>
      </c>
      <c r="BI467" s="1452">
        <f t="shared" si="281"/>
        <v>0</v>
      </c>
      <c r="BJ467" s="1452" t="str">
        <f t="shared" si="265"/>
        <v/>
      </c>
      <c r="BK467" s="1452" t="str">
        <f t="shared" si="266"/>
        <v/>
      </c>
      <c r="BL467" s="1452" t="str">
        <f t="shared" si="267"/>
        <v/>
      </c>
      <c r="BM467" s="1452" t="str">
        <f t="shared" si="268"/>
        <v/>
      </c>
      <c r="BN467" s="1452" t="str">
        <f t="shared" ca="1" si="269"/>
        <v/>
      </c>
      <c r="BO467" s="1452" t="str">
        <f t="shared" si="282"/>
        <v/>
      </c>
      <c r="BP467" s="1452" t="str">
        <f t="shared" si="270"/>
        <v/>
      </c>
      <c r="BQ467" s="1452" t="str">
        <f t="shared" si="271"/>
        <v/>
      </c>
      <c r="BR467" s="1452" t="str">
        <f t="shared" si="272"/>
        <v/>
      </c>
      <c r="BS467" s="1452" t="str">
        <f t="shared" si="273"/>
        <v/>
      </c>
      <c r="BT467" s="1452" t="str">
        <f t="shared" si="274"/>
        <v/>
      </c>
      <c r="BU467" s="1452" t="str">
        <f t="shared" si="275"/>
        <v/>
      </c>
      <c r="BV467" s="1452" t="str">
        <f t="shared" si="276"/>
        <v/>
      </c>
      <c r="BW467" s="1558">
        <f t="shared" ca="1" si="283"/>
        <v>0</v>
      </c>
    </row>
    <row r="468" spans="1:75" s="9" customFormat="1" ht="12.5">
      <c r="A468" s="1483" t="str">
        <f t="shared" si="277"/>
        <v>Public Health Wales Trust</v>
      </c>
      <c r="B468" s="1583"/>
      <c r="C468" s="1583"/>
      <c r="D468" s="1583"/>
      <c r="E468" s="1581"/>
      <c r="F468" s="1436"/>
      <c r="G468" s="1547">
        <f t="shared" si="278"/>
        <v>0</v>
      </c>
      <c r="H468" s="1484"/>
      <c r="I468" s="1547">
        <f t="shared" si="279"/>
        <v>0</v>
      </c>
      <c r="J468" s="1485"/>
      <c r="K468" s="1485"/>
      <c r="L468" s="1436"/>
      <c r="M468" s="1439"/>
      <c r="N468" s="1439"/>
      <c r="O468" s="1485"/>
      <c r="P468" s="1486"/>
      <c r="Q468" s="1486"/>
      <c r="R468" s="1487"/>
      <c r="S468" s="1444"/>
      <c r="T468" s="1444"/>
      <c r="U468" s="1444"/>
      <c r="V468" s="1488"/>
      <c r="W468" s="1488"/>
      <c r="X468" s="1488"/>
      <c r="Y468" s="1488"/>
      <c r="Z468" s="1488"/>
      <c r="AA468" s="1488"/>
      <c r="AB468" s="1488"/>
      <c r="AC468" s="1488"/>
      <c r="AD468" s="1488"/>
      <c r="AE468" s="1488"/>
      <c r="AF468" s="1488"/>
      <c r="AG468" s="1488"/>
      <c r="AH468" s="1451">
        <f t="shared" si="251"/>
        <v>0</v>
      </c>
      <c r="AI468" s="1488"/>
      <c r="AJ468" s="1488"/>
      <c r="AK468" s="1488"/>
      <c r="AL468" s="1488"/>
      <c r="AM468" s="1488"/>
      <c r="AN468" s="1488"/>
      <c r="AO468" s="1488"/>
      <c r="AP468" s="1488"/>
      <c r="AQ468" s="1488"/>
      <c r="AR468" s="1488"/>
      <c r="AS468" s="1488"/>
      <c r="AT468" s="1542"/>
      <c r="AU468" s="1599">
        <f t="shared" si="252"/>
        <v>0</v>
      </c>
      <c r="AV468" s="1544">
        <f t="shared" si="280"/>
        <v>0</v>
      </c>
      <c r="AW468" s="1452">
        <f t="shared" si="253"/>
        <v>0</v>
      </c>
      <c r="AX468" s="1452">
        <f t="shared" si="254"/>
        <v>0</v>
      </c>
      <c r="AY468" s="1452">
        <f t="shared" si="255"/>
        <v>0</v>
      </c>
      <c r="AZ468" s="1452">
        <f t="shared" si="256"/>
        <v>0</v>
      </c>
      <c r="BA468" s="1452">
        <f t="shared" si="257"/>
        <v>0</v>
      </c>
      <c r="BB468" s="1452">
        <f t="shared" si="258"/>
        <v>0</v>
      </c>
      <c r="BC468" s="1452">
        <f t="shared" si="259"/>
        <v>0</v>
      </c>
      <c r="BD468" s="1452">
        <f t="shared" si="260"/>
        <v>0</v>
      </c>
      <c r="BE468" s="1452">
        <f t="shared" si="261"/>
        <v>0</v>
      </c>
      <c r="BF468" s="1452">
        <f t="shared" si="262"/>
        <v>0</v>
      </c>
      <c r="BG468" s="1452">
        <f t="shared" si="263"/>
        <v>0</v>
      </c>
      <c r="BH468" s="1452">
        <f t="shared" si="264"/>
        <v>0</v>
      </c>
      <c r="BI468" s="1452">
        <f t="shared" si="281"/>
        <v>0</v>
      </c>
      <c r="BJ468" s="1452" t="str">
        <f t="shared" si="265"/>
        <v/>
      </c>
      <c r="BK468" s="1452" t="str">
        <f t="shared" si="266"/>
        <v/>
      </c>
      <c r="BL468" s="1452" t="str">
        <f t="shared" si="267"/>
        <v/>
      </c>
      <c r="BM468" s="1452" t="str">
        <f t="shared" si="268"/>
        <v/>
      </c>
      <c r="BN468" s="1452" t="str">
        <f t="shared" ca="1" si="269"/>
        <v/>
      </c>
      <c r="BO468" s="1452" t="str">
        <f t="shared" si="282"/>
        <v/>
      </c>
      <c r="BP468" s="1452" t="str">
        <f t="shared" si="270"/>
        <v/>
      </c>
      <c r="BQ468" s="1452" t="str">
        <f t="shared" si="271"/>
        <v/>
      </c>
      <c r="BR468" s="1452" t="str">
        <f t="shared" si="272"/>
        <v/>
      </c>
      <c r="BS468" s="1452" t="str">
        <f t="shared" si="273"/>
        <v/>
      </c>
      <c r="BT468" s="1452" t="str">
        <f t="shared" si="274"/>
        <v/>
      </c>
      <c r="BU468" s="1452" t="str">
        <f t="shared" si="275"/>
        <v/>
      </c>
      <c r="BV468" s="1452" t="str">
        <f t="shared" si="276"/>
        <v/>
      </c>
      <c r="BW468" s="1558">
        <f t="shared" ca="1" si="283"/>
        <v>0</v>
      </c>
    </row>
    <row r="469" spans="1:75" s="9" customFormat="1" ht="12.5">
      <c r="A469" s="1483" t="str">
        <f t="shared" si="277"/>
        <v>Public Health Wales Trust</v>
      </c>
      <c r="B469" s="1583"/>
      <c r="C469" s="1583"/>
      <c r="D469" s="1583"/>
      <c r="E469" s="1581"/>
      <c r="F469" s="1436"/>
      <c r="G469" s="1547">
        <f t="shared" si="278"/>
        <v>0</v>
      </c>
      <c r="H469" s="1484"/>
      <c r="I469" s="1547">
        <f t="shared" si="279"/>
        <v>0</v>
      </c>
      <c r="J469" s="1485"/>
      <c r="K469" s="1485"/>
      <c r="L469" s="1436"/>
      <c r="M469" s="1439"/>
      <c r="N469" s="1439"/>
      <c r="O469" s="1485"/>
      <c r="P469" s="1486"/>
      <c r="Q469" s="1486"/>
      <c r="R469" s="1487"/>
      <c r="S469" s="1444"/>
      <c r="T469" s="1444"/>
      <c r="U469" s="1444"/>
      <c r="V469" s="1488"/>
      <c r="W469" s="1488"/>
      <c r="X469" s="1488"/>
      <c r="Y469" s="1488"/>
      <c r="Z469" s="1488"/>
      <c r="AA469" s="1488"/>
      <c r="AB469" s="1488"/>
      <c r="AC469" s="1488"/>
      <c r="AD469" s="1488"/>
      <c r="AE469" s="1488"/>
      <c r="AF469" s="1488"/>
      <c r="AG469" s="1488"/>
      <c r="AH469" s="1451">
        <f t="shared" si="251"/>
        <v>0</v>
      </c>
      <c r="AI469" s="1488"/>
      <c r="AJ469" s="1488"/>
      <c r="AK469" s="1488"/>
      <c r="AL469" s="1488"/>
      <c r="AM469" s="1488"/>
      <c r="AN469" s="1488"/>
      <c r="AO469" s="1488"/>
      <c r="AP469" s="1488"/>
      <c r="AQ469" s="1488"/>
      <c r="AR469" s="1488"/>
      <c r="AS469" s="1488"/>
      <c r="AT469" s="1542"/>
      <c r="AU469" s="1599">
        <f t="shared" si="252"/>
        <v>0</v>
      </c>
      <c r="AV469" s="1544">
        <f t="shared" si="280"/>
        <v>0</v>
      </c>
      <c r="AW469" s="1452">
        <f t="shared" si="253"/>
        <v>0</v>
      </c>
      <c r="AX469" s="1452">
        <f t="shared" si="254"/>
        <v>0</v>
      </c>
      <c r="AY469" s="1452">
        <f t="shared" si="255"/>
        <v>0</v>
      </c>
      <c r="AZ469" s="1452">
        <f t="shared" si="256"/>
        <v>0</v>
      </c>
      <c r="BA469" s="1452">
        <f t="shared" si="257"/>
        <v>0</v>
      </c>
      <c r="BB469" s="1452">
        <f t="shared" si="258"/>
        <v>0</v>
      </c>
      <c r="BC469" s="1452">
        <f t="shared" si="259"/>
        <v>0</v>
      </c>
      <c r="BD469" s="1452">
        <f t="shared" si="260"/>
        <v>0</v>
      </c>
      <c r="BE469" s="1452">
        <f t="shared" si="261"/>
        <v>0</v>
      </c>
      <c r="BF469" s="1452">
        <f t="shared" si="262"/>
        <v>0</v>
      </c>
      <c r="BG469" s="1452">
        <f t="shared" si="263"/>
        <v>0</v>
      </c>
      <c r="BH469" s="1452">
        <f t="shared" si="264"/>
        <v>0</v>
      </c>
      <c r="BI469" s="1452">
        <f t="shared" si="281"/>
        <v>0</v>
      </c>
      <c r="BJ469" s="1452" t="str">
        <f t="shared" si="265"/>
        <v/>
      </c>
      <c r="BK469" s="1452" t="str">
        <f t="shared" si="266"/>
        <v/>
      </c>
      <c r="BL469" s="1452" t="str">
        <f t="shared" si="267"/>
        <v/>
      </c>
      <c r="BM469" s="1452" t="str">
        <f t="shared" si="268"/>
        <v/>
      </c>
      <c r="BN469" s="1452" t="str">
        <f t="shared" ca="1" si="269"/>
        <v/>
      </c>
      <c r="BO469" s="1452" t="str">
        <f t="shared" si="282"/>
        <v/>
      </c>
      <c r="BP469" s="1452" t="str">
        <f t="shared" si="270"/>
        <v/>
      </c>
      <c r="BQ469" s="1452" t="str">
        <f t="shared" si="271"/>
        <v/>
      </c>
      <c r="BR469" s="1452" t="str">
        <f t="shared" si="272"/>
        <v/>
      </c>
      <c r="BS469" s="1452" t="str">
        <f t="shared" si="273"/>
        <v/>
      </c>
      <c r="BT469" s="1452" t="str">
        <f t="shared" si="274"/>
        <v/>
      </c>
      <c r="BU469" s="1452" t="str">
        <f t="shared" si="275"/>
        <v/>
      </c>
      <c r="BV469" s="1452" t="str">
        <f t="shared" si="276"/>
        <v/>
      </c>
      <c r="BW469" s="1558">
        <f t="shared" ca="1" si="283"/>
        <v>0</v>
      </c>
    </row>
    <row r="470" spans="1:75" s="9" customFormat="1" ht="12.5">
      <c r="A470" s="1483" t="str">
        <f t="shared" si="277"/>
        <v>Public Health Wales Trust</v>
      </c>
      <c r="B470" s="1583"/>
      <c r="C470" s="1583"/>
      <c r="D470" s="1583"/>
      <c r="E470" s="1581"/>
      <c r="F470" s="1436"/>
      <c r="G470" s="1547">
        <f t="shared" si="278"/>
        <v>0</v>
      </c>
      <c r="H470" s="1484"/>
      <c r="I470" s="1547">
        <f t="shared" si="279"/>
        <v>0</v>
      </c>
      <c r="J470" s="1485"/>
      <c r="K470" s="1485"/>
      <c r="L470" s="1436"/>
      <c r="M470" s="1439"/>
      <c r="N470" s="1439"/>
      <c r="O470" s="1485"/>
      <c r="P470" s="1486"/>
      <c r="Q470" s="1486"/>
      <c r="R470" s="1487"/>
      <c r="S470" s="1444"/>
      <c r="T470" s="1444"/>
      <c r="U470" s="1444"/>
      <c r="V470" s="1488"/>
      <c r="W470" s="1488"/>
      <c r="X470" s="1488"/>
      <c r="Y470" s="1488"/>
      <c r="Z470" s="1488"/>
      <c r="AA470" s="1488"/>
      <c r="AB470" s="1488"/>
      <c r="AC470" s="1488"/>
      <c r="AD470" s="1488"/>
      <c r="AE470" s="1488"/>
      <c r="AF470" s="1488"/>
      <c r="AG470" s="1488"/>
      <c r="AH470" s="1451">
        <f t="shared" si="251"/>
        <v>0</v>
      </c>
      <c r="AI470" s="1488"/>
      <c r="AJ470" s="1488"/>
      <c r="AK470" s="1488"/>
      <c r="AL470" s="1488"/>
      <c r="AM470" s="1488"/>
      <c r="AN470" s="1488"/>
      <c r="AO470" s="1488"/>
      <c r="AP470" s="1488"/>
      <c r="AQ470" s="1488"/>
      <c r="AR470" s="1488"/>
      <c r="AS470" s="1488"/>
      <c r="AT470" s="1542"/>
      <c r="AU470" s="1599">
        <f t="shared" si="252"/>
        <v>0</v>
      </c>
      <c r="AV470" s="1544">
        <f t="shared" si="280"/>
        <v>0</v>
      </c>
      <c r="AW470" s="1452">
        <f t="shared" si="253"/>
        <v>0</v>
      </c>
      <c r="AX470" s="1452">
        <f t="shared" si="254"/>
        <v>0</v>
      </c>
      <c r="AY470" s="1452">
        <f t="shared" si="255"/>
        <v>0</v>
      </c>
      <c r="AZ470" s="1452">
        <f t="shared" si="256"/>
        <v>0</v>
      </c>
      <c r="BA470" s="1452">
        <f t="shared" si="257"/>
        <v>0</v>
      </c>
      <c r="BB470" s="1452">
        <f t="shared" si="258"/>
        <v>0</v>
      </c>
      <c r="BC470" s="1452">
        <f t="shared" si="259"/>
        <v>0</v>
      </c>
      <c r="BD470" s="1452">
        <f t="shared" si="260"/>
        <v>0</v>
      </c>
      <c r="BE470" s="1452">
        <f t="shared" si="261"/>
        <v>0</v>
      </c>
      <c r="BF470" s="1452">
        <f t="shared" si="262"/>
        <v>0</v>
      </c>
      <c r="BG470" s="1452">
        <f t="shared" si="263"/>
        <v>0</v>
      </c>
      <c r="BH470" s="1452">
        <f t="shared" si="264"/>
        <v>0</v>
      </c>
      <c r="BI470" s="1452">
        <f t="shared" si="281"/>
        <v>0</v>
      </c>
      <c r="BJ470" s="1452" t="str">
        <f t="shared" si="265"/>
        <v/>
      </c>
      <c r="BK470" s="1452" t="str">
        <f t="shared" si="266"/>
        <v/>
      </c>
      <c r="BL470" s="1452" t="str">
        <f t="shared" si="267"/>
        <v/>
      </c>
      <c r="BM470" s="1452" t="str">
        <f t="shared" si="268"/>
        <v/>
      </c>
      <c r="BN470" s="1452" t="str">
        <f t="shared" ca="1" si="269"/>
        <v/>
      </c>
      <c r="BO470" s="1452" t="str">
        <f t="shared" si="282"/>
        <v/>
      </c>
      <c r="BP470" s="1452" t="str">
        <f t="shared" si="270"/>
        <v/>
      </c>
      <c r="BQ470" s="1452" t="str">
        <f t="shared" si="271"/>
        <v/>
      </c>
      <c r="BR470" s="1452" t="str">
        <f t="shared" si="272"/>
        <v/>
      </c>
      <c r="BS470" s="1452" t="str">
        <f t="shared" si="273"/>
        <v/>
      </c>
      <c r="BT470" s="1452" t="str">
        <f t="shared" si="274"/>
        <v/>
      </c>
      <c r="BU470" s="1452" t="str">
        <f t="shared" si="275"/>
        <v/>
      </c>
      <c r="BV470" s="1452" t="str">
        <f t="shared" si="276"/>
        <v/>
      </c>
      <c r="BW470" s="1558">
        <f t="shared" ca="1" si="283"/>
        <v>0</v>
      </c>
    </row>
    <row r="471" spans="1:75" s="9" customFormat="1" ht="12.5">
      <c r="A471" s="1483" t="str">
        <f t="shared" si="277"/>
        <v>Public Health Wales Trust</v>
      </c>
      <c r="B471" s="1583"/>
      <c r="C471" s="1583"/>
      <c r="D471" s="1583"/>
      <c r="E471" s="1581"/>
      <c r="F471" s="1436"/>
      <c r="G471" s="1547">
        <f t="shared" si="278"/>
        <v>0</v>
      </c>
      <c r="H471" s="1484"/>
      <c r="I471" s="1547">
        <f t="shared" si="279"/>
        <v>0</v>
      </c>
      <c r="J471" s="1485"/>
      <c r="K471" s="1485"/>
      <c r="L471" s="1436"/>
      <c r="M471" s="1439"/>
      <c r="N471" s="1439"/>
      <c r="O471" s="1485"/>
      <c r="P471" s="1486"/>
      <c r="Q471" s="1486"/>
      <c r="R471" s="1487"/>
      <c r="S471" s="1444"/>
      <c r="T471" s="1444"/>
      <c r="U471" s="1444"/>
      <c r="V471" s="1488"/>
      <c r="W471" s="1488"/>
      <c r="X471" s="1488"/>
      <c r="Y471" s="1488"/>
      <c r="Z471" s="1488"/>
      <c r="AA471" s="1488"/>
      <c r="AB471" s="1488"/>
      <c r="AC471" s="1488"/>
      <c r="AD471" s="1488"/>
      <c r="AE471" s="1488"/>
      <c r="AF471" s="1488"/>
      <c r="AG471" s="1488"/>
      <c r="AH471" s="1451">
        <f t="shared" si="251"/>
        <v>0</v>
      </c>
      <c r="AI471" s="1488"/>
      <c r="AJ471" s="1488"/>
      <c r="AK471" s="1488"/>
      <c r="AL471" s="1488"/>
      <c r="AM471" s="1488"/>
      <c r="AN471" s="1488"/>
      <c r="AO471" s="1488"/>
      <c r="AP471" s="1488"/>
      <c r="AQ471" s="1488"/>
      <c r="AR471" s="1488"/>
      <c r="AS471" s="1488"/>
      <c r="AT471" s="1542"/>
      <c r="AU471" s="1599">
        <f t="shared" si="252"/>
        <v>0</v>
      </c>
      <c r="AV471" s="1544">
        <f t="shared" si="280"/>
        <v>0</v>
      </c>
      <c r="AW471" s="1452">
        <f t="shared" si="253"/>
        <v>0</v>
      </c>
      <c r="AX471" s="1452">
        <f t="shared" si="254"/>
        <v>0</v>
      </c>
      <c r="AY471" s="1452">
        <f t="shared" si="255"/>
        <v>0</v>
      </c>
      <c r="AZ471" s="1452">
        <f t="shared" si="256"/>
        <v>0</v>
      </c>
      <c r="BA471" s="1452">
        <f t="shared" si="257"/>
        <v>0</v>
      </c>
      <c r="BB471" s="1452">
        <f t="shared" si="258"/>
        <v>0</v>
      </c>
      <c r="BC471" s="1452">
        <f t="shared" si="259"/>
        <v>0</v>
      </c>
      <c r="BD471" s="1452">
        <f t="shared" si="260"/>
        <v>0</v>
      </c>
      <c r="BE471" s="1452">
        <f t="shared" si="261"/>
        <v>0</v>
      </c>
      <c r="BF471" s="1452">
        <f t="shared" si="262"/>
        <v>0</v>
      </c>
      <c r="BG471" s="1452">
        <f t="shared" si="263"/>
        <v>0</v>
      </c>
      <c r="BH471" s="1452">
        <f t="shared" si="264"/>
        <v>0</v>
      </c>
      <c r="BI471" s="1452">
        <f t="shared" si="281"/>
        <v>0</v>
      </c>
      <c r="BJ471" s="1452" t="str">
        <f t="shared" si="265"/>
        <v/>
      </c>
      <c r="BK471" s="1452" t="str">
        <f t="shared" si="266"/>
        <v/>
      </c>
      <c r="BL471" s="1452" t="str">
        <f t="shared" si="267"/>
        <v/>
      </c>
      <c r="BM471" s="1452" t="str">
        <f t="shared" si="268"/>
        <v/>
      </c>
      <c r="BN471" s="1452" t="str">
        <f t="shared" ca="1" si="269"/>
        <v/>
      </c>
      <c r="BO471" s="1452" t="str">
        <f t="shared" si="282"/>
        <v/>
      </c>
      <c r="BP471" s="1452" t="str">
        <f t="shared" si="270"/>
        <v/>
      </c>
      <c r="BQ471" s="1452" t="str">
        <f t="shared" si="271"/>
        <v/>
      </c>
      <c r="BR471" s="1452" t="str">
        <f t="shared" si="272"/>
        <v/>
      </c>
      <c r="BS471" s="1452" t="str">
        <f t="shared" si="273"/>
        <v/>
      </c>
      <c r="BT471" s="1452" t="str">
        <f t="shared" si="274"/>
        <v/>
      </c>
      <c r="BU471" s="1452" t="str">
        <f t="shared" si="275"/>
        <v/>
      </c>
      <c r="BV471" s="1452" t="str">
        <f t="shared" si="276"/>
        <v/>
      </c>
      <c r="BW471" s="1558">
        <f t="shared" ca="1" si="283"/>
        <v>0</v>
      </c>
    </row>
    <row r="472" spans="1:75" s="9" customFormat="1" ht="12.5">
      <c r="A472" s="1483" t="str">
        <f t="shared" si="277"/>
        <v>Public Health Wales Trust</v>
      </c>
      <c r="B472" s="1583"/>
      <c r="C472" s="1583"/>
      <c r="D472" s="1583"/>
      <c r="E472" s="1581"/>
      <c r="F472" s="1436"/>
      <c r="G472" s="1547">
        <f t="shared" si="278"/>
        <v>0</v>
      </c>
      <c r="H472" s="1484"/>
      <c r="I472" s="1547">
        <f t="shared" si="279"/>
        <v>0</v>
      </c>
      <c r="J472" s="1485"/>
      <c r="K472" s="1485"/>
      <c r="L472" s="1436"/>
      <c r="M472" s="1439"/>
      <c r="N472" s="1439"/>
      <c r="O472" s="1485"/>
      <c r="P472" s="1486"/>
      <c r="Q472" s="1486"/>
      <c r="R472" s="1487"/>
      <c r="S472" s="1444"/>
      <c r="T472" s="1444"/>
      <c r="U472" s="1444"/>
      <c r="V472" s="1488"/>
      <c r="W472" s="1488"/>
      <c r="X472" s="1488"/>
      <c r="Y472" s="1488"/>
      <c r="Z472" s="1488"/>
      <c r="AA472" s="1488"/>
      <c r="AB472" s="1488"/>
      <c r="AC472" s="1488"/>
      <c r="AD472" s="1488"/>
      <c r="AE472" s="1488"/>
      <c r="AF472" s="1488"/>
      <c r="AG472" s="1488"/>
      <c r="AH472" s="1451">
        <f t="shared" si="251"/>
        <v>0</v>
      </c>
      <c r="AI472" s="1488"/>
      <c r="AJ472" s="1488"/>
      <c r="AK472" s="1488"/>
      <c r="AL472" s="1488"/>
      <c r="AM472" s="1488"/>
      <c r="AN472" s="1488"/>
      <c r="AO472" s="1488"/>
      <c r="AP472" s="1488"/>
      <c r="AQ472" s="1488"/>
      <c r="AR472" s="1488"/>
      <c r="AS472" s="1488"/>
      <c r="AT472" s="1542"/>
      <c r="AU472" s="1599">
        <f t="shared" si="252"/>
        <v>0</v>
      </c>
      <c r="AV472" s="1544">
        <f t="shared" si="280"/>
        <v>0</v>
      </c>
      <c r="AW472" s="1452">
        <f t="shared" si="253"/>
        <v>0</v>
      </c>
      <c r="AX472" s="1452">
        <f t="shared" si="254"/>
        <v>0</v>
      </c>
      <c r="AY472" s="1452">
        <f t="shared" si="255"/>
        <v>0</v>
      </c>
      <c r="AZ472" s="1452">
        <f t="shared" si="256"/>
        <v>0</v>
      </c>
      <c r="BA472" s="1452">
        <f t="shared" si="257"/>
        <v>0</v>
      </c>
      <c r="BB472" s="1452">
        <f t="shared" si="258"/>
        <v>0</v>
      </c>
      <c r="BC472" s="1452">
        <f t="shared" si="259"/>
        <v>0</v>
      </c>
      <c r="BD472" s="1452">
        <f t="shared" si="260"/>
        <v>0</v>
      </c>
      <c r="BE472" s="1452">
        <f t="shared" si="261"/>
        <v>0</v>
      </c>
      <c r="BF472" s="1452">
        <f t="shared" si="262"/>
        <v>0</v>
      </c>
      <c r="BG472" s="1452">
        <f t="shared" si="263"/>
        <v>0</v>
      </c>
      <c r="BH472" s="1452">
        <f t="shared" si="264"/>
        <v>0</v>
      </c>
      <c r="BI472" s="1452">
        <f t="shared" si="281"/>
        <v>0</v>
      </c>
      <c r="BJ472" s="1452" t="str">
        <f t="shared" si="265"/>
        <v/>
      </c>
      <c r="BK472" s="1452" t="str">
        <f t="shared" si="266"/>
        <v/>
      </c>
      <c r="BL472" s="1452" t="str">
        <f t="shared" si="267"/>
        <v/>
      </c>
      <c r="BM472" s="1452" t="str">
        <f t="shared" si="268"/>
        <v/>
      </c>
      <c r="BN472" s="1452" t="str">
        <f t="shared" ca="1" si="269"/>
        <v/>
      </c>
      <c r="BO472" s="1452" t="str">
        <f t="shared" si="282"/>
        <v/>
      </c>
      <c r="BP472" s="1452" t="str">
        <f t="shared" si="270"/>
        <v/>
      </c>
      <c r="BQ472" s="1452" t="str">
        <f t="shared" si="271"/>
        <v/>
      </c>
      <c r="BR472" s="1452" t="str">
        <f t="shared" si="272"/>
        <v/>
      </c>
      <c r="BS472" s="1452" t="str">
        <f t="shared" si="273"/>
        <v/>
      </c>
      <c r="BT472" s="1452" t="str">
        <f t="shared" si="274"/>
        <v/>
      </c>
      <c r="BU472" s="1452" t="str">
        <f t="shared" si="275"/>
        <v/>
      </c>
      <c r="BV472" s="1452" t="str">
        <f t="shared" si="276"/>
        <v/>
      </c>
      <c r="BW472" s="1558">
        <f t="shared" ca="1" si="283"/>
        <v>0</v>
      </c>
    </row>
    <row r="473" spans="1:75" s="9" customFormat="1" ht="12.5">
      <c r="A473" s="1483" t="str">
        <f t="shared" si="277"/>
        <v>Public Health Wales Trust</v>
      </c>
      <c r="B473" s="1583"/>
      <c r="C473" s="1583"/>
      <c r="D473" s="1583"/>
      <c r="E473" s="1581"/>
      <c r="F473" s="1436"/>
      <c r="G473" s="1547">
        <f t="shared" si="278"/>
        <v>0</v>
      </c>
      <c r="H473" s="1484"/>
      <c r="I473" s="1547">
        <f t="shared" si="279"/>
        <v>0</v>
      </c>
      <c r="J473" s="1485"/>
      <c r="K473" s="1485"/>
      <c r="L473" s="1436"/>
      <c r="M473" s="1439"/>
      <c r="N473" s="1439"/>
      <c r="O473" s="1485"/>
      <c r="P473" s="1486"/>
      <c r="Q473" s="1486"/>
      <c r="R473" s="1487"/>
      <c r="S473" s="1444"/>
      <c r="T473" s="1444"/>
      <c r="U473" s="1444"/>
      <c r="V473" s="1488"/>
      <c r="W473" s="1488"/>
      <c r="X473" s="1488"/>
      <c r="Y473" s="1488"/>
      <c r="Z473" s="1488"/>
      <c r="AA473" s="1488"/>
      <c r="AB473" s="1488"/>
      <c r="AC473" s="1488"/>
      <c r="AD473" s="1488"/>
      <c r="AE473" s="1488"/>
      <c r="AF473" s="1488"/>
      <c r="AG473" s="1488"/>
      <c r="AH473" s="1451">
        <f t="shared" si="251"/>
        <v>0</v>
      </c>
      <c r="AI473" s="1488"/>
      <c r="AJ473" s="1488"/>
      <c r="AK473" s="1488"/>
      <c r="AL473" s="1488"/>
      <c r="AM473" s="1488"/>
      <c r="AN473" s="1488"/>
      <c r="AO473" s="1488"/>
      <c r="AP473" s="1488"/>
      <c r="AQ473" s="1488"/>
      <c r="AR473" s="1488"/>
      <c r="AS473" s="1488"/>
      <c r="AT473" s="1542"/>
      <c r="AU473" s="1599">
        <f t="shared" si="252"/>
        <v>0</v>
      </c>
      <c r="AV473" s="1544">
        <f t="shared" si="280"/>
        <v>0</v>
      </c>
      <c r="AW473" s="1452">
        <f t="shared" si="253"/>
        <v>0</v>
      </c>
      <c r="AX473" s="1452">
        <f t="shared" si="254"/>
        <v>0</v>
      </c>
      <c r="AY473" s="1452">
        <f t="shared" si="255"/>
        <v>0</v>
      </c>
      <c r="AZ473" s="1452">
        <f t="shared" si="256"/>
        <v>0</v>
      </c>
      <c r="BA473" s="1452">
        <f t="shared" si="257"/>
        <v>0</v>
      </c>
      <c r="BB473" s="1452">
        <f t="shared" si="258"/>
        <v>0</v>
      </c>
      <c r="BC473" s="1452">
        <f t="shared" si="259"/>
        <v>0</v>
      </c>
      <c r="BD473" s="1452">
        <f t="shared" si="260"/>
        <v>0</v>
      </c>
      <c r="BE473" s="1452">
        <f t="shared" si="261"/>
        <v>0</v>
      </c>
      <c r="BF473" s="1452">
        <f t="shared" si="262"/>
        <v>0</v>
      </c>
      <c r="BG473" s="1452">
        <f t="shared" si="263"/>
        <v>0</v>
      </c>
      <c r="BH473" s="1452">
        <f t="shared" si="264"/>
        <v>0</v>
      </c>
      <c r="BI473" s="1452">
        <f t="shared" si="281"/>
        <v>0</v>
      </c>
      <c r="BJ473" s="1452" t="str">
        <f t="shared" si="265"/>
        <v/>
      </c>
      <c r="BK473" s="1452" t="str">
        <f t="shared" si="266"/>
        <v/>
      </c>
      <c r="BL473" s="1452" t="str">
        <f t="shared" si="267"/>
        <v/>
      </c>
      <c r="BM473" s="1452" t="str">
        <f t="shared" si="268"/>
        <v/>
      </c>
      <c r="BN473" s="1452" t="str">
        <f t="shared" ca="1" si="269"/>
        <v/>
      </c>
      <c r="BO473" s="1452" t="str">
        <f t="shared" si="282"/>
        <v/>
      </c>
      <c r="BP473" s="1452" t="str">
        <f t="shared" si="270"/>
        <v/>
      </c>
      <c r="BQ473" s="1452" t="str">
        <f t="shared" si="271"/>
        <v/>
      </c>
      <c r="BR473" s="1452" t="str">
        <f t="shared" si="272"/>
        <v/>
      </c>
      <c r="BS473" s="1452" t="str">
        <f t="shared" si="273"/>
        <v/>
      </c>
      <c r="BT473" s="1452" t="str">
        <f t="shared" si="274"/>
        <v/>
      </c>
      <c r="BU473" s="1452" t="str">
        <f t="shared" si="275"/>
        <v/>
      </c>
      <c r="BV473" s="1452" t="str">
        <f t="shared" si="276"/>
        <v/>
      </c>
      <c r="BW473" s="1558">
        <f t="shared" ca="1" si="283"/>
        <v>0</v>
      </c>
    </row>
    <row r="474" spans="1:75" s="9" customFormat="1" ht="12.5">
      <c r="A474" s="1483" t="str">
        <f t="shared" si="277"/>
        <v>Public Health Wales Trust</v>
      </c>
      <c r="B474" s="1583"/>
      <c r="C474" s="1583"/>
      <c r="D474" s="1583"/>
      <c r="E474" s="1581"/>
      <c r="F474" s="1436"/>
      <c r="G474" s="1547">
        <f t="shared" si="278"/>
        <v>0</v>
      </c>
      <c r="H474" s="1484"/>
      <c r="I474" s="1547">
        <f t="shared" si="279"/>
        <v>0</v>
      </c>
      <c r="J474" s="1485"/>
      <c r="K474" s="1485"/>
      <c r="L474" s="1436"/>
      <c r="M474" s="1439"/>
      <c r="N474" s="1439"/>
      <c r="O474" s="1485"/>
      <c r="P474" s="1486"/>
      <c r="Q474" s="1486"/>
      <c r="R474" s="1487"/>
      <c r="S474" s="1444"/>
      <c r="T474" s="1444"/>
      <c r="U474" s="1444"/>
      <c r="V474" s="1488"/>
      <c r="W474" s="1488"/>
      <c r="X474" s="1488"/>
      <c r="Y474" s="1488"/>
      <c r="Z474" s="1488"/>
      <c r="AA474" s="1488"/>
      <c r="AB474" s="1488"/>
      <c r="AC474" s="1488"/>
      <c r="AD474" s="1488"/>
      <c r="AE474" s="1488"/>
      <c r="AF474" s="1488"/>
      <c r="AG474" s="1488"/>
      <c r="AH474" s="1451">
        <f t="shared" si="251"/>
        <v>0</v>
      </c>
      <c r="AI474" s="1488"/>
      <c r="AJ474" s="1488"/>
      <c r="AK474" s="1488"/>
      <c r="AL474" s="1488"/>
      <c r="AM474" s="1488"/>
      <c r="AN474" s="1488"/>
      <c r="AO474" s="1488"/>
      <c r="AP474" s="1488"/>
      <c r="AQ474" s="1488"/>
      <c r="AR474" s="1488"/>
      <c r="AS474" s="1488"/>
      <c r="AT474" s="1542"/>
      <c r="AU474" s="1599">
        <f t="shared" si="252"/>
        <v>0</v>
      </c>
      <c r="AV474" s="1544">
        <f t="shared" si="280"/>
        <v>0</v>
      </c>
      <c r="AW474" s="1452">
        <f t="shared" si="253"/>
        <v>0</v>
      </c>
      <c r="AX474" s="1452">
        <f t="shared" si="254"/>
        <v>0</v>
      </c>
      <c r="AY474" s="1452">
        <f t="shared" si="255"/>
        <v>0</v>
      </c>
      <c r="AZ474" s="1452">
        <f t="shared" si="256"/>
        <v>0</v>
      </c>
      <c r="BA474" s="1452">
        <f t="shared" si="257"/>
        <v>0</v>
      </c>
      <c r="BB474" s="1452">
        <f t="shared" si="258"/>
        <v>0</v>
      </c>
      <c r="BC474" s="1452">
        <f t="shared" si="259"/>
        <v>0</v>
      </c>
      <c r="BD474" s="1452">
        <f t="shared" si="260"/>
        <v>0</v>
      </c>
      <c r="BE474" s="1452">
        <f t="shared" si="261"/>
        <v>0</v>
      </c>
      <c r="BF474" s="1452">
        <f t="shared" si="262"/>
        <v>0</v>
      </c>
      <c r="BG474" s="1452">
        <f t="shared" si="263"/>
        <v>0</v>
      </c>
      <c r="BH474" s="1452">
        <f t="shared" si="264"/>
        <v>0</v>
      </c>
      <c r="BI474" s="1452">
        <f t="shared" si="281"/>
        <v>0</v>
      </c>
      <c r="BJ474" s="1452" t="str">
        <f t="shared" si="265"/>
        <v/>
      </c>
      <c r="BK474" s="1452" t="str">
        <f t="shared" si="266"/>
        <v/>
      </c>
      <c r="BL474" s="1452" t="str">
        <f t="shared" si="267"/>
        <v/>
      </c>
      <c r="BM474" s="1452" t="str">
        <f t="shared" si="268"/>
        <v/>
      </c>
      <c r="BN474" s="1452" t="str">
        <f t="shared" ca="1" si="269"/>
        <v/>
      </c>
      <c r="BO474" s="1452" t="str">
        <f t="shared" si="282"/>
        <v/>
      </c>
      <c r="BP474" s="1452" t="str">
        <f t="shared" si="270"/>
        <v/>
      </c>
      <c r="BQ474" s="1452" t="str">
        <f t="shared" si="271"/>
        <v/>
      </c>
      <c r="BR474" s="1452" t="str">
        <f t="shared" si="272"/>
        <v/>
      </c>
      <c r="BS474" s="1452" t="str">
        <f t="shared" si="273"/>
        <v/>
      </c>
      <c r="BT474" s="1452" t="str">
        <f t="shared" si="274"/>
        <v/>
      </c>
      <c r="BU474" s="1452" t="str">
        <f t="shared" si="275"/>
        <v/>
      </c>
      <c r="BV474" s="1452" t="str">
        <f t="shared" si="276"/>
        <v/>
      </c>
      <c r="BW474" s="1558">
        <f t="shared" ca="1" si="283"/>
        <v>0</v>
      </c>
    </row>
    <row r="475" spans="1:75" s="9" customFormat="1" ht="12.5">
      <c r="A475" s="1483" t="str">
        <f t="shared" si="277"/>
        <v>Public Health Wales Trust</v>
      </c>
      <c r="B475" s="1583"/>
      <c r="C475" s="1583"/>
      <c r="D475" s="1583"/>
      <c r="E475" s="1581"/>
      <c r="F475" s="1436"/>
      <c r="G475" s="1547">
        <f t="shared" si="278"/>
        <v>0</v>
      </c>
      <c r="H475" s="1484"/>
      <c r="I475" s="1547">
        <f t="shared" si="279"/>
        <v>0</v>
      </c>
      <c r="J475" s="1485"/>
      <c r="K475" s="1485"/>
      <c r="L475" s="1436"/>
      <c r="M475" s="1439"/>
      <c r="N475" s="1439"/>
      <c r="O475" s="1485"/>
      <c r="P475" s="1486"/>
      <c r="Q475" s="1486"/>
      <c r="R475" s="1487"/>
      <c r="S475" s="1444"/>
      <c r="T475" s="1444"/>
      <c r="U475" s="1444"/>
      <c r="V475" s="1488"/>
      <c r="W475" s="1488"/>
      <c r="X475" s="1488"/>
      <c r="Y475" s="1488"/>
      <c r="Z475" s="1488"/>
      <c r="AA475" s="1488"/>
      <c r="AB475" s="1488"/>
      <c r="AC475" s="1488"/>
      <c r="AD475" s="1488"/>
      <c r="AE475" s="1488"/>
      <c r="AF475" s="1488"/>
      <c r="AG475" s="1488"/>
      <c r="AH475" s="1451">
        <f t="shared" si="251"/>
        <v>0</v>
      </c>
      <c r="AI475" s="1488"/>
      <c r="AJ475" s="1488"/>
      <c r="AK475" s="1488"/>
      <c r="AL475" s="1488"/>
      <c r="AM475" s="1488"/>
      <c r="AN475" s="1488"/>
      <c r="AO475" s="1488"/>
      <c r="AP475" s="1488"/>
      <c r="AQ475" s="1488"/>
      <c r="AR475" s="1488"/>
      <c r="AS475" s="1488"/>
      <c r="AT475" s="1542"/>
      <c r="AU475" s="1599">
        <f t="shared" si="252"/>
        <v>0</v>
      </c>
      <c r="AV475" s="1544">
        <f t="shared" si="280"/>
        <v>0</v>
      </c>
      <c r="AW475" s="1452">
        <f t="shared" si="253"/>
        <v>0</v>
      </c>
      <c r="AX475" s="1452">
        <f t="shared" si="254"/>
        <v>0</v>
      </c>
      <c r="AY475" s="1452">
        <f t="shared" si="255"/>
        <v>0</v>
      </c>
      <c r="AZ475" s="1452">
        <f t="shared" si="256"/>
        <v>0</v>
      </c>
      <c r="BA475" s="1452">
        <f t="shared" si="257"/>
        <v>0</v>
      </c>
      <c r="BB475" s="1452">
        <f t="shared" si="258"/>
        <v>0</v>
      </c>
      <c r="BC475" s="1452">
        <f t="shared" si="259"/>
        <v>0</v>
      </c>
      <c r="BD475" s="1452">
        <f t="shared" si="260"/>
        <v>0</v>
      </c>
      <c r="BE475" s="1452">
        <f t="shared" si="261"/>
        <v>0</v>
      </c>
      <c r="BF475" s="1452">
        <f t="shared" si="262"/>
        <v>0</v>
      </c>
      <c r="BG475" s="1452">
        <f t="shared" si="263"/>
        <v>0</v>
      </c>
      <c r="BH475" s="1452">
        <f t="shared" si="264"/>
        <v>0</v>
      </c>
      <c r="BI475" s="1452">
        <f t="shared" si="281"/>
        <v>0</v>
      </c>
      <c r="BJ475" s="1452" t="str">
        <f t="shared" si="265"/>
        <v/>
      </c>
      <c r="BK475" s="1452" t="str">
        <f t="shared" si="266"/>
        <v/>
      </c>
      <c r="BL475" s="1452" t="str">
        <f t="shared" si="267"/>
        <v/>
      </c>
      <c r="BM475" s="1452" t="str">
        <f t="shared" si="268"/>
        <v/>
      </c>
      <c r="BN475" s="1452" t="str">
        <f t="shared" ca="1" si="269"/>
        <v/>
      </c>
      <c r="BO475" s="1452" t="str">
        <f t="shared" si="282"/>
        <v/>
      </c>
      <c r="BP475" s="1452" t="str">
        <f t="shared" si="270"/>
        <v/>
      </c>
      <c r="BQ475" s="1452" t="str">
        <f t="shared" si="271"/>
        <v/>
      </c>
      <c r="BR475" s="1452" t="str">
        <f t="shared" si="272"/>
        <v/>
      </c>
      <c r="BS475" s="1452" t="str">
        <f t="shared" si="273"/>
        <v/>
      </c>
      <c r="BT475" s="1452" t="str">
        <f t="shared" si="274"/>
        <v/>
      </c>
      <c r="BU475" s="1452" t="str">
        <f t="shared" si="275"/>
        <v/>
      </c>
      <c r="BV475" s="1452" t="str">
        <f t="shared" si="276"/>
        <v/>
      </c>
      <c r="BW475" s="1558">
        <f t="shared" ca="1" si="283"/>
        <v>0</v>
      </c>
    </row>
    <row r="476" spans="1:75" s="9" customFormat="1" ht="12.5">
      <c r="A476" s="1483" t="str">
        <f t="shared" si="277"/>
        <v>Public Health Wales Trust</v>
      </c>
      <c r="B476" s="1583"/>
      <c r="C476" s="1583"/>
      <c r="D476" s="1583"/>
      <c r="E476" s="1581"/>
      <c r="F476" s="1436"/>
      <c r="G476" s="1547">
        <f t="shared" si="278"/>
        <v>0</v>
      </c>
      <c r="H476" s="1484"/>
      <c r="I476" s="1547">
        <f t="shared" si="279"/>
        <v>0</v>
      </c>
      <c r="J476" s="1485"/>
      <c r="K476" s="1485"/>
      <c r="L476" s="1436"/>
      <c r="M476" s="1439"/>
      <c r="N476" s="1439"/>
      <c r="O476" s="1485"/>
      <c r="P476" s="1486"/>
      <c r="Q476" s="1486"/>
      <c r="R476" s="1487"/>
      <c r="S476" s="1444"/>
      <c r="T476" s="1444"/>
      <c r="U476" s="1444"/>
      <c r="V476" s="1488"/>
      <c r="W476" s="1488"/>
      <c r="X476" s="1488"/>
      <c r="Y476" s="1488"/>
      <c r="Z476" s="1488"/>
      <c r="AA476" s="1488"/>
      <c r="AB476" s="1488"/>
      <c r="AC476" s="1488"/>
      <c r="AD476" s="1488"/>
      <c r="AE476" s="1488"/>
      <c r="AF476" s="1488"/>
      <c r="AG476" s="1488"/>
      <c r="AH476" s="1451">
        <f t="shared" si="251"/>
        <v>0</v>
      </c>
      <c r="AI476" s="1488"/>
      <c r="AJ476" s="1488"/>
      <c r="AK476" s="1488"/>
      <c r="AL476" s="1488"/>
      <c r="AM476" s="1488"/>
      <c r="AN476" s="1488"/>
      <c r="AO476" s="1488"/>
      <c r="AP476" s="1488"/>
      <c r="AQ476" s="1488"/>
      <c r="AR476" s="1488"/>
      <c r="AS476" s="1488"/>
      <c r="AT476" s="1542"/>
      <c r="AU476" s="1599">
        <f t="shared" si="252"/>
        <v>0</v>
      </c>
      <c r="AV476" s="1544">
        <f t="shared" si="280"/>
        <v>0</v>
      </c>
      <c r="AW476" s="1452">
        <f t="shared" si="253"/>
        <v>0</v>
      </c>
      <c r="AX476" s="1452">
        <f t="shared" si="254"/>
        <v>0</v>
      </c>
      <c r="AY476" s="1452">
        <f t="shared" si="255"/>
        <v>0</v>
      </c>
      <c r="AZ476" s="1452">
        <f t="shared" si="256"/>
        <v>0</v>
      </c>
      <c r="BA476" s="1452">
        <f t="shared" si="257"/>
        <v>0</v>
      </c>
      <c r="BB476" s="1452">
        <f t="shared" si="258"/>
        <v>0</v>
      </c>
      <c r="BC476" s="1452">
        <f t="shared" si="259"/>
        <v>0</v>
      </c>
      <c r="BD476" s="1452">
        <f t="shared" si="260"/>
        <v>0</v>
      </c>
      <c r="BE476" s="1452">
        <f t="shared" si="261"/>
        <v>0</v>
      </c>
      <c r="BF476" s="1452">
        <f t="shared" si="262"/>
        <v>0</v>
      </c>
      <c r="BG476" s="1452">
        <f t="shared" si="263"/>
        <v>0</v>
      </c>
      <c r="BH476" s="1452">
        <f t="shared" si="264"/>
        <v>0</v>
      </c>
      <c r="BI476" s="1452">
        <f t="shared" si="281"/>
        <v>0</v>
      </c>
      <c r="BJ476" s="1452" t="str">
        <f t="shared" si="265"/>
        <v/>
      </c>
      <c r="BK476" s="1452" t="str">
        <f t="shared" si="266"/>
        <v/>
      </c>
      <c r="BL476" s="1452" t="str">
        <f t="shared" si="267"/>
        <v/>
      </c>
      <c r="BM476" s="1452" t="str">
        <f t="shared" si="268"/>
        <v/>
      </c>
      <c r="BN476" s="1452" t="str">
        <f t="shared" ca="1" si="269"/>
        <v/>
      </c>
      <c r="BO476" s="1452" t="str">
        <f t="shared" si="282"/>
        <v/>
      </c>
      <c r="BP476" s="1452" t="str">
        <f t="shared" si="270"/>
        <v/>
      </c>
      <c r="BQ476" s="1452" t="str">
        <f t="shared" si="271"/>
        <v/>
      </c>
      <c r="BR476" s="1452" t="str">
        <f t="shared" si="272"/>
        <v/>
      </c>
      <c r="BS476" s="1452" t="str">
        <f t="shared" si="273"/>
        <v/>
      </c>
      <c r="BT476" s="1452" t="str">
        <f t="shared" si="274"/>
        <v/>
      </c>
      <c r="BU476" s="1452" t="str">
        <f t="shared" si="275"/>
        <v/>
      </c>
      <c r="BV476" s="1452" t="str">
        <f t="shared" si="276"/>
        <v/>
      </c>
      <c r="BW476" s="1558">
        <f t="shared" ca="1" si="283"/>
        <v>0</v>
      </c>
    </row>
    <row r="477" spans="1:75" s="9" customFormat="1" ht="12.5">
      <c r="A477" s="1483" t="str">
        <f t="shared" si="277"/>
        <v>Public Health Wales Trust</v>
      </c>
      <c r="B477" s="1583"/>
      <c r="C477" s="1583"/>
      <c r="D477" s="1583"/>
      <c r="E477" s="1581"/>
      <c r="F477" s="1436"/>
      <c r="G477" s="1547">
        <f t="shared" si="278"/>
        <v>0</v>
      </c>
      <c r="H477" s="1484"/>
      <c r="I477" s="1547">
        <f t="shared" si="279"/>
        <v>0</v>
      </c>
      <c r="J477" s="1485"/>
      <c r="K477" s="1485"/>
      <c r="L477" s="1436"/>
      <c r="M477" s="1439"/>
      <c r="N477" s="1439"/>
      <c r="O477" s="1485"/>
      <c r="P477" s="1486"/>
      <c r="Q477" s="1486"/>
      <c r="R477" s="1487"/>
      <c r="S477" s="1444"/>
      <c r="T477" s="1444"/>
      <c r="U477" s="1444"/>
      <c r="V477" s="1488"/>
      <c r="W477" s="1488"/>
      <c r="X477" s="1488"/>
      <c r="Y477" s="1488"/>
      <c r="Z477" s="1488"/>
      <c r="AA477" s="1488"/>
      <c r="AB477" s="1488"/>
      <c r="AC477" s="1488"/>
      <c r="AD477" s="1488"/>
      <c r="AE477" s="1488"/>
      <c r="AF477" s="1488"/>
      <c r="AG477" s="1488"/>
      <c r="AH477" s="1451">
        <f t="shared" si="251"/>
        <v>0</v>
      </c>
      <c r="AI477" s="1488"/>
      <c r="AJ477" s="1488"/>
      <c r="AK477" s="1488"/>
      <c r="AL477" s="1488"/>
      <c r="AM477" s="1488"/>
      <c r="AN477" s="1488"/>
      <c r="AO477" s="1488"/>
      <c r="AP477" s="1488"/>
      <c r="AQ477" s="1488"/>
      <c r="AR477" s="1488"/>
      <c r="AS477" s="1488"/>
      <c r="AT477" s="1542"/>
      <c r="AU477" s="1599">
        <f t="shared" si="252"/>
        <v>0</v>
      </c>
      <c r="AV477" s="1544">
        <f t="shared" si="280"/>
        <v>0</v>
      </c>
      <c r="AW477" s="1452">
        <f t="shared" si="253"/>
        <v>0</v>
      </c>
      <c r="AX477" s="1452">
        <f t="shared" si="254"/>
        <v>0</v>
      </c>
      <c r="AY477" s="1452">
        <f t="shared" si="255"/>
        <v>0</v>
      </c>
      <c r="AZ477" s="1452">
        <f t="shared" si="256"/>
        <v>0</v>
      </c>
      <c r="BA477" s="1452">
        <f t="shared" si="257"/>
        <v>0</v>
      </c>
      <c r="BB477" s="1452">
        <f t="shared" si="258"/>
        <v>0</v>
      </c>
      <c r="BC477" s="1452">
        <f t="shared" si="259"/>
        <v>0</v>
      </c>
      <c r="BD477" s="1452">
        <f t="shared" si="260"/>
        <v>0</v>
      </c>
      <c r="BE477" s="1452">
        <f t="shared" si="261"/>
        <v>0</v>
      </c>
      <c r="BF477" s="1452">
        <f t="shared" si="262"/>
        <v>0</v>
      </c>
      <c r="BG477" s="1452">
        <f t="shared" si="263"/>
        <v>0</v>
      </c>
      <c r="BH477" s="1452">
        <f t="shared" si="264"/>
        <v>0</v>
      </c>
      <c r="BI477" s="1452">
        <f t="shared" si="281"/>
        <v>0</v>
      </c>
      <c r="BJ477" s="1452" t="str">
        <f t="shared" si="265"/>
        <v/>
      </c>
      <c r="BK477" s="1452" t="str">
        <f t="shared" si="266"/>
        <v/>
      </c>
      <c r="BL477" s="1452" t="str">
        <f t="shared" si="267"/>
        <v/>
      </c>
      <c r="BM477" s="1452" t="str">
        <f t="shared" si="268"/>
        <v/>
      </c>
      <c r="BN477" s="1452" t="str">
        <f t="shared" ca="1" si="269"/>
        <v/>
      </c>
      <c r="BO477" s="1452" t="str">
        <f t="shared" si="282"/>
        <v/>
      </c>
      <c r="BP477" s="1452" t="str">
        <f t="shared" si="270"/>
        <v/>
      </c>
      <c r="BQ477" s="1452" t="str">
        <f t="shared" si="271"/>
        <v/>
      </c>
      <c r="BR477" s="1452" t="str">
        <f t="shared" si="272"/>
        <v/>
      </c>
      <c r="BS477" s="1452" t="str">
        <f t="shared" si="273"/>
        <v/>
      </c>
      <c r="BT477" s="1452" t="str">
        <f t="shared" si="274"/>
        <v/>
      </c>
      <c r="BU477" s="1452" t="str">
        <f t="shared" si="275"/>
        <v/>
      </c>
      <c r="BV477" s="1452" t="str">
        <f t="shared" si="276"/>
        <v/>
      </c>
      <c r="BW477" s="1558">
        <f t="shared" ca="1" si="283"/>
        <v>0</v>
      </c>
    </row>
    <row r="478" spans="1:75" s="9" customFormat="1" ht="12.5">
      <c r="A478" s="1483" t="str">
        <f t="shared" si="277"/>
        <v>Public Health Wales Trust</v>
      </c>
      <c r="B478" s="1583"/>
      <c r="C478" s="1583"/>
      <c r="D478" s="1583"/>
      <c r="E478" s="1581"/>
      <c r="F478" s="1436"/>
      <c r="G478" s="1547">
        <f t="shared" si="278"/>
        <v>0</v>
      </c>
      <c r="H478" s="1484"/>
      <c r="I478" s="1547">
        <f t="shared" si="279"/>
        <v>0</v>
      </c>
      <c r="J478" s="1485"/>
      <c r="K478" s="1485"/>
      <c r="L478" s="1436"/>
      <c r="M478" s="1439"/>
      <c r="N478" s="1439"/>
      <c r="O478" s="1485"/>
      <c r="P478" s="1486"/>
      <c r="Q478" s="1486"/>
      <c r="R478" s="1487"/>
      <c r="S478" s="1444"/>
      <c r="T478" s="1444"/>
      <c r="U478" s="1444"/>
      <c r="V478" s="1488"/>
      <c r="W478" s="1488"/>
      <c r="X478" s="1488"/>
      <c r="Y478" s="1488"/>
      <c r="Z478" s="1488"/>
      <c r="AA478" s="1488"/>
      <c r="AB478" s="1488"/>
      <c r="AC478" s="1488"/>
      <c r="AD478" s="1488"/>
      <c r="AE478" s="1488"/>
      <c r="AF478" s="1488"/>
      <c r="AG478" s="1488"/>
      <c r="AH478" s="1451">
        <f t="shared" si="251"/>
        <v>0</v>
      </c>
      <c r="AI478" s="1488"/>
      <c r="AJ478" s="1488"/>
      <c r="AK478" s="1488"/>
      <c r="AL478" s="1488"/>
      <c r="AM478" s="1488"/>
      <c r="AN478" s="1488"/>
      <c r="AO478" s="1488"/>
      <c r="AP478" s="1488"/>
      <c r="AQ478" s="1488"/>
      <c r="AR478" s="1488"/>
      <c r="AS478" s="1488"/>
      <c r="AT478" s="1542"/>
      <c r="AU478" s="1599">
        <f t="shared" si="252"/>
        <v>0</v>
      </c>
      <c r="AV478" s="1544">
        <f t="shared" si="280"/>
        <v>0</v>
      </c>
      <c r="AW478" s="1452">
        <f t="shared" si="253"/>
        <v>0</v>
      </c>
      <c r="AX478" s="1452">
        <f t="shared" si="254"/>
        <v>0</v>
      </c>
      <c r="AY478" s="1452">
        <f t="shared" si="255"/>
        <v>0</v>
      </c>
      <c r="AZ478" s="1452">
        <f t="shared" si="256"/>
        <v>0</v>
      </c>
      <c r="BA478" s="1452">
        <f t="shared" si="257"/>
        <v>0</v>
      </c>
      <c r="BB478" s="1452">
        <f t="shared" si="258"/>
        <v>0</v>
      </c>
      <c r="BC478" s="1452">
        <f t="shared" si="259"/>
        <v>0</v>
      </c>
      <c r="BD478" s="1452">
        <f t="shared" si="260"/>
        <v>0</v>
      </c>
      <c r="BE478" s="1452">
        <f t="shared" si="261"/>
        <v>0</v>
      </c>
      <c r="BF478" s="1452">
        <f t="shared" si="262"/>
        <v>0</v>
      </c>
      <c r="BG478" s="1452">
        <f t="shared" si="263"/>
        <v>0</v>
      </c>
      <c r="BH478" s="1452">
        <f t="shared" si="264"/>
        <v>0</v>
      </c>
      <c r="BI478" s="1452">
        <f t="shared" si="281"/>
        <v>0</v>
      </c>
      <c r="BJ478" s="1452" t="str">
        <f t="shared" si="265"/>
        <v/>
      </c>
      <c r="BK478" s="1452" t="str">
        <f t="shared" si="266"/>
        <v/>
      </c>
      <c r="BL478" s="1452" t="str">
        <f t="shared" si="267"/>
        <v/>
      </c>
      <c r="BM478" s="1452" t="str">
        <f t="shared" si="268"/>
        <v/>
      </c>
      <c r="BN478" s="1452" t="str">
        <f t="shared" ca="1" si="269"/>
        <v/>
      </c>
      <c r="BO478" s="1452" t="str">
        <f t="shared" si="282"/>
        <v/>
      </c>
      <c r="BP478" s="1452" t="str">
        <f t="shared" si="270"/>
        <v/>
      </c>
      <c r="BQ478" s="1452" t="str">
        <f t="shared" si="271"/>
        <v/>
      </c>
      <c r="BR478" s="1452" t="str">
        <f t="shared" si="272"/>
        <v/>
      </c>
      <c r="BS478" s="1452" t="str">
        <f t="shared" si="273"/>
        <v/>
      </c>
      <c r="BT478" s="1452" t="str">
        <f t="shared" si="274"/>
        <v/>
      </c>
      <c r="BU478" s="1452" t="str">
        <f t="shared" si="275"/>
        <v/>
      </c>
      <c r="BV478" s="1452" t="str">
        <f t="shared" si="276"/>
        <v/>
      </c>
      <c r="BW478" s="1558">
        <f t="shared" ca="1" si="283"/>
        <v>0</v>
      </c>
    </row>
    <row r="479" spans="1:75" s="9" customFormat="1" ht="12.5">
      <c r="A479" s="1483" t="str">
        <f t="shared" si="277"/>
        <v>Public Health Wales Trust</v>
      </c>
      <c r="B479" s="1583"/>
      <c r="C479" s="1583"/>
      <c r="D479" s="1583"/>
      <c r="E479" s="1581"/>
      <c r="F479" s="1436"/>
      <c r="G479" s="1547">
        <f t="shared" si="278"/>
        <v>0</v>
      </c>
      <c r="H479" s="1484"/>
      <c r="I479" s="1547">
        <f t="shared" si="279"/>
        <v>0</v>
      </c>
      <c r="J479" s="1485"/>
      <c r="K479" s="1485"/>
      <c r="L479" s="1436"/>
      <c r="M479" s="1439"/>
      <c r="N479" s="1439"/>
      <c r="O479" s="1485"/>
      <c r="P479" s="1486"/>
      <c r="Q479" s="1486"/>
      <c r="R479" s="1487"/>
      <c r="S479" s="1444"/>
      <c r="T479" s="1444"/>
      <c r="U479" s="1444"/>
      <c r="V479" s="1488"/>
      <c r="W479" s="1488"/>
      <c r="X479" s="1488"/>
      <c r="Y479" s="1488"/>
      <c r="Z479" s="1488"/>
      <c r="AA479" s="1488"/>
      <c r="AB479" s="1488"/>
      <c r="AC479" s="1488"/>
      <c r="AD479" s="1488"/>
      <c r="AE479" s="1488"/>
      <c r="AF479" s="1488"/>
      <c r="AG479" s="1488"/>
      <c r="AH479" s="1451">
        <f t="shared" si="251"/>
        <v>0</v>
      </c>
      <c r="AI479" s="1488"/>
      <c r="AJ479" s="1488"/>
      <c r="AK479" s="1488"/>
      <c r="AL479" s="1488"/>
      <c r="AM479" s="1488"/>
      <c r="AN479" s="1488"/>
      <c r="AO479" s="1488"/>
      <c r="AP479" s="1488"/>
      <c r="AQ479" s="1488"/>
      <c r="AR479" s="1488"/>
      <c r="AS479" s="1488"/>
      <c r="AT479" s="1542"/>
      <c r="AU479" s="1599">
        <f t="shared" si="252"/>
        <v>0</v>
      </c>
      <c r="AV479" s="1544">
        <f t="shared" si="280"/>
        <v>0</v>
      </c>
      <c r="AW479" s="1452">
        <f t="shared" si="253"/>
        <v>0</v>
      </c>
      <c r="AX479" s="1452">
        <f t="shared" si="254"/>
        <v>0</v>
      </c>
      <c r="AY479" s="1452">
        <f t="shared" si="255"/>
        <v>0</v>
      </c>
      <c r="AZ479" s="1452">
        <f t="shared" si="256"/>
        <v>0</v>
      </c>
      <c r="BA479" s="1452">
        <f t="shared" si="257"/>
        <v>0</v>
      </c>
      <c r="BB479" s="1452">
        <f t="shared" si="258"/>
        <v>0</v>
      </c>
      <c r="BC479" s="1452">
        <f t="shared" si="259"/>
        <v>0</v>
      </c>
      <c r="BD479" s="1452">
        <f t="shared" si="260"/>
        <v>0</v>
      </c>
      <c r="BE479" s="1452">
        <f t="shared" si="261"/>
        <v>0</v>
      </c>
      <c r="BF479" s="1452">
        <f t="shared" si="262"/>
        <v>0</v>
      </c>
      <c r="BG479" s="1452">
        <f t="shared" si="263"/>
        <v>0</v>
      </c>
      <c r="BH479" s="1452">
        <f t="shared" si="264"/>
        <v>0</v>
      </c>
      <c r="BI479" s="1452">
        <f t="shared" si="281"/>
        <v>0</v>
      </c>
      <c r="BJ479" s="1452" t="str">
        <f t="shared" si="265"/>
        <v/>
      </c>
      <c r="BK479" s="1452" t="str">
        <f t="shared" si="266"/>
        <v/>
      </c>
      <c r="BL479" s="1452" t="str">
        <f t="shared" si="267"/>
        <v/>
      </c>
      <c r="BM479" s="1452" t="str">
        <f t="shared" si="268"/>
        <v/>
      </c>
      <c r="BN479" s="1452" t="str">
        <f t="shared" ca="1" si="269"/>
        <v/>
      </c>
      <c r="BO479" s="1452" t="str">
        <f t="shared" si="282"/>
        <v/>
      </c>
      <c r="BP479" s="1452" t="str">
        <f t="shared" si="270"/>
        <v/>
      </c>
      <c r="BQ479" s="1452" t="str">
        <f t="shared" si="271"/>
        <v/>
      </c>
      <c r="BR479" s="1452" t="str">
        <f t="shared" si="272"/>
        <v/>
      </c>
      <c r="BS479" s="1452" t="str">
        <f t="shared" si="273"/>
        <v/>
      </c>
      <c r="BT479" s="1452" t="str">
        <f t="shared" si="274"/>
        <v/>
      </c>
      <c r="BU479" s="1452" t="str">
        <f t="shared" si="275"/>
        <v/>
      </c>
      <c r="BV479" s="1452" t="str">
        <f t="shared" si="276"/>
        <v/>
      </c>
      <c r="BW479" s="1558">
        <f t="shared" ca="1" si="283"/>
        <v>0</v>
      </c>
    </row>
    <row r="480" spans="1:75" s="9" customFormat="1" ht="12.5">
      <c r="A480" s="1483" t="str">
        <f t="shared" si="277"/>
        <v>Public Health Wales Trust</v>
      </c>
      <c r="B480" s="1583"/>
      <c r="C480" s="1583"/>
      <c r="D480" s="1583"/>
      <c r="E480" s="1581"/>
      <c r="F480" s="1436"/>
      <c r="G480" s="1547">
        <f t="shared" si="278"/>
        <v>0</v>
      </c>
      <c r="H480" s="1484"/>
      <c r="I480" s="1547">
        <f t="shared" si="279"/>
        <v>0</v>
      </c>
      <c r="J480" s="1485"/>
      <c r="K480" s="1485"/>
      <c r="L480" s="1436"/>
      <c r="M480" s="1439"/>
      <c r="N480" s="1439"/>
      <c r="O480" s="1485"/>
      <c r="P480" s="1486"/>
      <c r="Q480" s="1486"/>
      <c r="R480" s="1487"/>
      <c r="S480" s="1444"/>
      <c r="T480" s="1444"/>
      <c r="U480" s="1444"/>
      <c r="V480" s="1488"/>
      <c r="W480" s="1488"/>
      <c r="X480" s="1488"/>
      <c r="Y480" s="1488"/>
      <c r="Z480" s="1488"/>
      <c r="AA480" s="1488"/>
      <c r="AB480" s="1488"/>
      <c r="AC480" s="1488"/>
      <c r="AD480" s="1488"/>
      <c r="AE480" s="1488"/>
      <c r="AF480" s="1488"/>
      <c r="AG480" s="1488"/>
      <c r="AH480" s="1451">
        <f t="shared" si="251"/>
        <v>0</v>
      </c>
      <c r="AI480" s="1488"/>
      <c r="AJ480" s="1488"/>
      <c r="AK480" s="1488"/>
      <c r="AL480" s="1488"/>
      <c r="AM480" s="1488"/>
      <c r="AN480" s="1488"/>
      <c r="AO480" s="1488"/>
      <c r="AP480" s="1488"/>
      <c r="AQ480" s="1488"/>
      <c r="AR480" s="1488"/>
      <c r="AS480" s="1488"/>
      <c r="AT480" s="1542"/>
      <c r="AU480" s="1599">
        <f t="shared" si="252"/>
        <v>0</v>
      </c>
      <c r="AV480" s="1544">
        <f t="shared" si="280"/>
        <v>0</v>
      </c>
      <c r="AW480" s="1452">
        <f t="shared" si="253"/>
        <v>0</v>
      </c>
      <c r="AX480" s="1452">
        <f t="shared" si="254"/>
        <v>0</v>
      </c>
      <c r="AY480" s="1452">
        <f t="shared" si="255"/>
        <v>0</v>
      </c>
      <c r="AZ480" s="1452">
        <f t="shared" si="256"/>
        <v>0</v>
      </c>
      <c r="BA480" s="1452">
        <f t="shared" si="257"/>
        <v>0</v>
      </c>
      <c r="BB480" s="1452">
        <f t="shared" si="258"/>
        <v>0</v>
      </c>
      <c r="BC480" s="1452">
        <f t="shared" si="259"/>
        <v>0</v>
      </c>
      <c r="BD480" s="1452">
        <f t="shared" si="260"/>
        <v>0</v>
      </c>
      <c r="BE480" s="1452">
        <f t="shared" si="261"/>
        <v>0</v>
      </c>
      <c r="BF480" s="1452">
        <f t="shared" si="262"/>
        <v>0</v>
      </c>
      <c r="BG480" s="1452">
        <f t="shared" si="263"/>
        <v>0</v>
      </c>
      <c r="BH480" s="1452">
        <f t="shared" si="264"/>
        <v>0</v>
      </c>
      <c r="BI480" s="1452">
        <f t="shared" si="281"/>
        <v>0</v>
      </c>
      <c r="BJ480" s="1452" t="str">
        <f t="shared" si="265"/>
        <v/>
      </c>
      <c r="BK480" s="1452" t="str">
        <f t="shared" si="266"/>
        <v/>
      </c>
      <c r="BL480" s="1452" t="str">
        <f t="shared" si="267"/>
        <v/>
      </c>
      <c r="BM480" s="1452" t="str">
        <f t="shared" si="268"/>
        <v/>
      </c>
      <c r="BN480" s="1452" t="str">
        <f t="shared" ca="1" si="269"/>
        <v/>
      </c>
      <c r="BO480" s="1452" t="str">
        <f t="shared" si="282"/>
        <v/>
      </c>
      <c r="BP480" s="1452" t="str">
        <f t="shared" si="270"/>
        <v/>
      </c>
      <c r="BQ480" s="1452" t="str">
        <f t="shared" si="271"/>
        <v/>
      </c>
      <c r="BR480" s="1452" t="str">
        <f t="shared" si="272"/>
        <v/>
      </c>
      <c r="BS480" s="1452" t="str">
        <f t="shared" si="273"/>
        <v/>
      </c>
      <c r="BT480" s="1452" t="str">
        <f t="shared" si="274"/>
        <v/>
      </c>
      <c r="BU480" s="1452" t="str">
        <f t="shared" si="275"/>
        <v/>
      </c>
      <c r="BV480" s="1452" t="str">
        <f t="shared" si="276"/>
        <v/>
      </c>
      <c r="BW480" s="1558">
        <f t="shared" ca="1" si="283"/>
        <v>0</v>
      </c>
    </row>
    <row r="481" spans="1:75" s="9" customFormat="1" ht="12.5">
      <c r="A481" s="1483" t="str">
        <f t="shared" si="277"/>
        <v>Public Health Wales Trust</v>
      </c>
      <c r="B481" s="1583"/>
      <c r="C481" s="1583"/>
      <c r="D481" s="1583"/>
      <c r="E481" s="1581"/>
      <c r="F481" s="1436"/>
      <c r="G481" s="1547">
        <f t="shared" si="278"/>
        <v>0</v>
      </c>
      <c r="H481" s="1484"/>
      <c r="I481" s="1547">
        <f t="shared" si="279"/>
        <v>0</v>
      </c>
      <c r="J481" s="1485"/>
      <c r="K481" s="1485"/>
      <c r="L481" s="1436"/>
      <c r="M481" s="1439"/>
      <c r="N481" s="1439"/>
      <c r="O481" s="1485"/>
      <c r="P481" s="1486"/>
      <c r="Q481" s="1486"/>
      <c r="R481" s="1487"/>
      <c r="S481" s="1444"/>
      <c r="T481" s="1444"/>
      <c r="U481" s="1444"/>
      <c r="V481" s="1488"/>
      <c r="W481" s="1488"/>
      <c r="X481" s="1488"/>
      <c r="Y481" s="1488"/>
      <c r="Z481" s="1488"/>
      <c r="AA481" s="1488"/>
      <c r="AB481" s="1488"/>
      <c r="AC481" s="1488"/>
      <c r="AD481" s="1488"/>
      <c r="AE481" s="1488"/>
      <c r="AF481" s="1488"/>
      <c r="AG481" s="1488"/>
      <c r="AH481" s="1451">
        <f t="shared" si="251"/>
        <v>0</v>
      </c>
      <c r="AI481" s="1488"/>
      <c r="AJ481" s="1488"/>
      <c r="AK481" s="1488"/>
      <c r="AL481" s="1488"/>
      <c r="AM481" s="1488"/>
      <c r="AN481" s="1488"/>
      <c r="AO481" s="1488"/>
      <c r="AP481" s="1488"/>
      <c r="AQ481" s="1488"/>
      <c r="AR481" s="1488"/>
      <c r="AS481" s="1488"/>
      <c r="AT481" s="1542"/>
      <c r="AU481" s="1599">
        <f t="shared" si="252"/>
        <v>0</v>
      </c>
      <c r="AV481" s="1544">
        <f t="shared" si="280"/>
        <v>0</v>
      </c>
      <c r="AW481" s="1452">
        <f t="shared" si="253"/>
        <v>0</v>
      </c>
      <c r="AX481" s="1452">
        <f t="shared" si="254"/>
        <v>0</v>
      </c>
      <c r="AY481" s="1452">
        <f t="shared" si="255"/>
        <v>0</v>
      </c>
      <c r="AZ481" s="1452">
        <f t="shared" si="256"/>
        <v>0</v>
      </c>
      <c r="BA481" s="1452">
        <f t="shared" si="257"/>
        <v>0</v>
      </c>
      <c r="BB481" s="1452">
        <f t="shared" si="258"/>
        <v>0</v>
      </c>
      <c r="BC481" s="1452">
        <f t="shared" si="259"/>
        <v>0</v>
      </c>
      <c r="BD481" s="1452">
        <f t="shared" si="260"/>
        <v>0</v>
      </c>
      <c r="BE481" s="1452">
        <f t="shared" si="261"/>
        <v>0</v>
      </c>
      <c r="BF481" s="1452">
        <f t="shared" si="262"/>
        <v>0</v>
      </c>
      <c r="BG481" s="1452">
        <f t="shared" si="263"/>
        <v>0</v>
      </c>
      <c r="BH481" s="1452">
        <f t="shared" si="264"/>
        <v>0</v>
      </c>
      <c r="BI481" s="1452">
        <f t="shared" si="281"/>
        <v>0</v>
      </c>
      <c r="BJ481" s="1452" t="str">
        <f t="shared" si="265"/>
        <v/>
      </c>
      <c r="BK481" s="1452" t="str">
        <f t="shared" si="266"/>
        <v/>
      </c>
      <c r="BL481" s="1452" t="str">
        <f t="shared" si="267"/>
        <v/>
      </c>
      <c r="BM481" s="1452" t="str">
        <f t="shared" si="268"/>
        <v/>
      </c>
      <c r="BN481" s="1452" t="str">
        <f t="shared" ca="1" si="269"/>
        <v/>
      </c>
      <c r="BO481" s="1452" t="str">
        <f t="shared" si="282"/>
        <v/>
      </c>
      <c r="BP481" s="1452" t="str">
        <f t="shared" si="270"/>
        <v/>
      </c>
      <c r="BQ481" s="1452" t="str">
        <f t="shared" si="271"/>
        <v/>
      </c>
      <c r="BR481" s="1452" t="str">
        <f t="shared" si="272"/>
        <v/>
      </c>
      <c r="BS481" s="1452" t="str">
        <f t="shared" si="273"/>
        <v/>
      </c>
      <c r="BT481" s="1452" t="str">
        <f t="shared" si="274"/>
        <v/>
      </c>
      <c r="BU481" s="1452" t="str">
        <f t="shared" si="275"/>
        <v/>
      </c>
      <c r="BV481" s="1452" t="str">
        <f t="shared" si="276"/>
        <v/>
      </c>
      <c r="BW481" s="1558">
        <f t="shared" ca="1" si="283"/>
        <v>0</v>
      </c>
    </row>
    <row r="482" spans="1:75" s="9" customFormat="1" ht="12.5">
      <c r="A482" s="1483" t="str">
        <f t="shared" si="277"/>
        <v>Public Health Wales Trust</v>
      </c>
      <c r="B482" s="1583"/>
      <c r="C482" s="1583"/>
      <c r="D482" s="1583"/>
      <c r="E482" s="1581"/>
      <c r="F482" s="1436"/>
      <c r="G482" s="1547">
        <f t="shared" si="278"/>
        <v>0</v>
      </c>
      <c r="H482" s="1484"/>
      <c r="I482" s="1547">
        <f t="shared" si="279"/>
        <v>0</v>
      </c>
      <c r="J482" s="1485"/>
      <c r="K482" s="1485"/>
      <c r="L482" s="1436"/>
      <c r="M482" s="1439"/>
      <c r="N482" s="1439"/>
      <c r="O482" s="1485"/>
      <c r="P482" s="1486"/>
      <c r="Q482" s="1486"/>
      <c r="R482" s="1487"/>
      <c r="S482" s="1444"/>
      <c r="T482" s="1444"/>
      <c r="U482" s="1444"/>
      <c r="V482" s="1488"/>
      <c r="W482" s="1488"/>
      <c r="X482" s="1488"/>
      <c r="Y482" s="1488"/>
      <c r="Z482" s="1488"/>
      <c r="AA482" s="1488"/>
      <c r="AB482" s="1488"/>
      <c r="AC482" s="1488"/>
      <c r="AD482" s="1488"/>
      <c r="AE482" s="1488"/>
      <c r="AF482" s="1488"/>
      <c r="AG482" s="1488"/>
      <c r="AH482" s="1451">
        <f t="shared" si="251"/>
        <v>0</v>
      </c>
      <c r="AI482" s="1488"/>
      <c r="AJ482" s="1488"/>
      <c r="AK482" s="1488"/>
      <c r="AL482" s="1488"/>
      <c r="AM482" s="1488"/>
      <c r="AN482" s="1488"/>
      <c r="AO482" s="1488"/>
      <c r="AP482" s="1488"/>
      <c r="AQ482" s="1488"/>
      <c r="AR482" s="1488"/>
      <c r="AS482" s="1488"/>
      <c r="AT482" s="1542"/>
      <c r="AU482" s="1599">
        <f t="shared" si="252"/>
        <v>0</v>
      </c>
      <c r="AV482" s="1544">
        <f t="shared" si="280"/>
        <v>0</v>
      </c>
      <c r="AW482" s="1452">
        <f t="shared" si="253"/>
        <v>0</v>
      </c>
      <c r="AX482" s="1452">
        <f t="shared" si="254"/>
        <v>0</v>
      </c>
      <c r="AY482" s="1452">
        <f t="shared" si="255"/>
        <v>0</v>
      </c>
      <c r="AZ482" s="1452">
        <f t="shared" si="256"/>
        <v>0</v>
      </c>
      <c r="BA482" s="1452">
        <f t="shared" si="257"/>
        <v>0</v>
      </c>
      <c r="BB482" s="1452">
        <f t="shared" si="258"/>
        <v>0</v>
      </c>
      <c r="BC482" s="1452">
        <f t="shared" si="259"/>
        <v>0</v>
      </c>
      <c r="BD482" s="1452">
        <f t="shared" si="260"/>
        <v>0</v>
      </c>
      <c r="BE482" s="1452">
        <f t="shared" si="261"/>
        <v>0</v>
      </c>
      <c r="BF482" s="1452">
        <f t="shared" si="262"/>
        <v>0</v>
      </c>
      <c r="BG482" s="1452">
        <f t="shared" si="263"/>
        <v>0</v>
      </c>
      <c r="BH482" s="1452">
        <f t="shared" si="264"/>
        <v>0</v>
      </c>
      <c r="BI482" s="1452">
        <f t="shared" si="281"/>
        <v>0</v>
      </c>
      <c r="BJ482" s="1452" t="str">
        <f t="shared" si="265"/>
        <v/>
      </c>
      <c r="BK482" s="1452" t="str">
        <f t="shared" si="266"/>
        <v/>
      </c>
      <c r="BL482" s="1452" t="str">
        <f t="shared" si="267"/>
        <v/>
      </c>
      <c r="BM482" s="1452" t="str">
        <f t="shared" si="268"/>
        <v/>
      </c>
      <c r="BN482" s="1452" t="str">
        <f t="shared" ca="1" si="269"/>
        <v/>
      </c>
      <c r="BO482" s="1452" t="str">
        <f t="shared" si="282"/>
        <v/>
      </c>
      <c r="BP482" s="1452" t="str">
        <f t="shared" si="270"/>
        <v/>
      </c>
      <c r="BQ482" s="1452" t="str">
        <f t="shared" si="271"/>
        <v/>
      </c>
      <c r="BR482" s="1452" t="str">
        <f t="shared" si="272"/>
        <v/>
      </c>
      <c r="BS482" s="1452" t="str">
        <f t="shared" si="273"/>
        <v/>
      </c>
      <c r="BT482" s="1452" t="str">
        <f t="shared" si="274"/>
        <v/>
      </c>
      <c r="BU482" s="1452" t="str">
        <f t="shared" si="275"/>
        <v/>
      </c>
      <c r="BV482" s="1452" t="str">
        <f t="shared" si="276"/>
        <v/>
      </c>
      <c r="BW482" s="1558">
        <f t="shared" ca="1" si="283"/>
        <v>0</v>
      </c>
    </row>
    <row r="483" spans="1:75" s="9" customFormat="1" ht="12.5">
      <c r="A483" s="1483" t="str">
        <f t="shared" si="277"/>
        <v>Public Health Wales Trust</v>
      </c>
      <c r="B483" s="1583"/>
      <c r="C483" s="1583"/>
      <c r="D483" s="1583"/>
      <c r="E483" s="1581"/>
      <c r="F483" s="1436"/>
      <c r="G483" s="1547">
        <f t="shared" si="278"/>
        <v>0</v>
      </c>
      <c r="H483" s="1484"/>
      <c r="I483" s="1547">
        <f t="shared" si="279"/>
        <v>0</v>
      </c>
      <c r="J483" s="1485"/>
      <c r="K483" s="1485"/>
      <c r="L483" s="1436"/>
      <c r="M483" s="1439"/>
      <c r="N483" s="1439"/>
      <c r="O483" s="1485"/>
      <c r="P483" s="1486"/>
      <c r="Q483" s="1486"/>
      <c r="R483" s="1487"/>
      <c r="S483" s="1444"/>
      <c r="T483" s="1444"/>
      <c r="U483" s="1444"/>
      <c r="V483" s="1488"/>
      <c r="W483" s="1488"/>
      <c r="X483" s="1488"/>
      <c r="Y483" s="1488"/>
      <c r="Z483" s="1488"/>
      <c r="AA483" s="1488"/>
      <c r="AB483" s="1488"/>
      <c r="AC483" s="1488"/>
      <c r="AD483" s="1488"/>
      <c r="AE483" s="1488"/>
      <c r="AF483" s="1488"/>
      <c r="AG483" s="1488"/>
      <c r="AH483" s="1451">
        <f t="shared" si="251"/>
        <v>0</v>
      </c>
      <c r="AI483" s="1488"/>
      <c r="AJ483" s="1488"/>
      <c r="AK483" s="1488"/>
      <c r="AL483" s="1488"/>
      <c r="AM483" s="1488"/>
      <c r="AN483" s="1488"/>
      <c r="AO483" s="1488"/>
      <c r="AP483" s="1488"/>
      <c r="AQ483" s="1488"/>
      <c r="AR483" s="1488"/>
      <c r="AS483" s="1488"/>
      <c r="AT483" s="1542"/>
      <c r="AU483" s="1599">
        <f t="shared" si="252"/>
        <v>0</v>
      </c>
      <c r="AV483" s="1544">
        <f t="shared" si="280"/>
        <v>0</v>
      </c>
      <c r="AW483" s="1452">
        <f t="shared" si="253"/>
        <v>0</v>
      </c>
      <c r="AX483" s="1452">
        <f t="shared" si="254"/>
        <v>0</v>
      </c>
      <c r="AY483" s="1452">
        <f t="shared" si="255"/>
        <v>0</v>
      </c>
      <c r="AZ483" s="1452">
        <f t="shared" si="256"/>
        <v>0</v>
      </c>
      <c r="BA483" s="1452">
        <f t="shared" si="257"/>
        <v>0</v>
      </c>
      <c r="BB483" s="1452">
        <f t="shared" si="258"/>
        <v>0</v>
      </c>
      <c r="BC483" s="1452">
        <f t="shared" si="259"/>
        <v>0</v>
      </c>
      <c r="BD483" s="1452">
        <f t="shared" si="260"/>
        <v>0</v>
      </c>
      <c r="BE483" s="1452">
        <f t="shared" si="261"/>
        <v>0</v>
      </c>
      <c r="BF483" s="1452">
        <f t="shared" si="262"/>
        <v>0</v>
      </c>
      <c r="BG483" s="1452">
        <f t="shared" si="263"/>
        <v>0</v>
      </c>
      <c r="BH483" s="1452">
        <f t="shared" si="264"/>
        <v>0</v>
      </c>
      <c r="BI483" s="1452">
        <f t="shared" si="281"/>
        <v>0</v>
      </c>
      <c r="BJ483" s="1452" t="str">
        <f t="shared" si="265"/>
        <v/>
      </c>
      <c r="BK483" s="1452" t="str">
        <f t="shared" si="266"/>
        <v/>
      </c>
      <c r="BL483" s="1452" t="str">
        <f t="shared" si="267"/>
        <v/>
      </c>
      <c r="BM483" s="1452" t="str">
        <f t="shared" si="268"/>
        <v/>
      </c>
      <c r="BN483" s="1452" t="str">
        <f t="shared" ca="1" si="269"/>
        <v/>
      </c>
      <c r="BO483" s="1452" t="str">
        <f t="shared" si="282"/>
        <v/>
      </c>
      <c r="BP483" s="1452" t="str">
        <f t="shared" si="270"/>
        <v/>
      </c>
      <c r="BQ483" s="1452" t="str">
        <f t="shared" si="271"/>
        <v/>
      </c>
      <c r="BR483" s="1452" t="str">
        <f t="shared" si="272"/>
        <v/>
      </c>
      <c r="BS483" s="1452" t="str">
        <f t="shared" si="273"/>
        <v/>
      </c>
      <c r="BT483" s="1452" t="str">
        <f t="shared" si="274"/>
        <v/>
      </c>
      <c r="BU483" s="1452" t="str">
        <f t="shared" si="275"/>
        <v/>
      </c>
      <c r="BV483" s="1452" t="str">
        <f t="shared" si="276"/>
        <v/>
      </c>
      <c r="BW483" s="1558">
        <f t="shared" ca="1" si="283"/>
        <v>0</v>
      </c>
    </row>
    <row r="484" spans="1:75" s="9" customFormat="1" ht="12.5">
      <c r="A484" s="1483" t="str">
        <f t="shared" si="277"/>
        <v>Public Health Wales Trust</v>
      </c>
      <c r="B484" s="1583"/>
      <c r="C484" s="1583"/>
      <c r="D484" s="1583"/>
      <c r="E484" s="1581"/>
      <c r="F484" s="1436"/>
      <c r="G484" s="1547">
        <f t="shared" si="278"/>
        <v>0</v>
      </c>
      <c r="H484" s="1484"/>
      <c r="I484" s="1547">
        <f t="shared" si="279"/>
        <v>0</v>
      </c>
      <c r="J484" s="1485"/>
      <c r="K484" s="1485"/>
      <c r="L484" s="1436"/>
      <c r="M484" s="1439"/>
      <c r="N484" s="1439"/>
      <c r="O484" s="1485"/>
      <c r="P484" s="1486"/>
      <c r="Q484" s="1486"/>
      <c r="R484" s="1487"/>
      <c r="S484" s="1444"/>
      <c r="T484" s="1444"/>
      <c r="U484" s="1444"/>
      <c r="V484" s="1488"/>
      <c r="W484" s="1488"/>
      <c r="X484" s="1488"/>
      <c r="Y484" s="1488"/>
      <c r="Z484" s="1488"/>
      <c r="AA484" s="1488"/>
      <c r="AB484" s="1488"/>
      <c r="AC484" s="1488"/>
      <c r="AD484" s="1488"/>
      <c r="AE484" s="1488"/>
      <c r="AF484" s="1488"/>
      <c r="AG484" s="1488"/>
      <c r="AH484" s="1451">
        <f t="shared" si="251"/>
        <v>0</v>
      </c>
      <c r="AI484" s="1488"/>
      <c r="AJ484" s="1488"/>
      <c r="AK484" s="1488"/>
      <c r="AL484" s="1488"/>
      <c r="AM484" s="1488"/>
      <c r="AN484" s="1488"/>
      <c r="AO484" s="1488"/>
      <c r="AP484" s="1488"/>
      <c r="AQ484" s="1488"/>
      <c r="AR484" s="1488"/>
      <c r="AS484" s="1488"/>
      <c r="AT484" s="1542"/>
      <c r="AU484" s="1599">
        <f t="shared" si="252"/>
        <v>0</v>
      </c>
      <c r="AV484" s="1544">
        <f t="shared" si="280"/>
        <v>0</v>
      </c>
      <c r="AW484" s="1452">
        <f t="shared" si="253"/>
        <v>0</v>
      </c>
      <c r="AX484" s="1452">
        <f t="shared" si="254"/>
        <v>0</v>
      </c>
      <c r="AY484" s="1452">
        <f t="shared" si="255"/>
        <v>0</v>
      </c>
      <c r="AZ484" s="1452">
        <f t="shared" si="256"/>
        <v>0</v>
      </c>
      <c r="BA484" s="1452">
        <f t="shared" si="257"/>
        <v>0</v>
      </c>
      <c r="BB484" s="1452">
        <f t="shared" si="258"/>
        <v>0</v>
      </c>
      <c r="BC484" s="1452">
        <f t="shared" si="259"/>
        <v>0</v>
      </c>
      <c r="BD484" s="1452">
        <f t="shared" si="260"/>
        <v>0</v>
      </c>
      <c r="BE484" s="1452">
        <f t="shared" si="261"/>
        <v>0</v>
      </c>
      <c r="BF484" s="1452">
        <f t="shared" si="262"/>
        <v>0</v>
      </c>
      <c r="BG484" s="1452">
        <f t="shared" si="263"/>
        <v>0</v>
      </c>
      <c r="BH484" s="1452">
        <f t="shared" si="264"/>
        <v>0</v>
      </c>
      <c r="BI484" s="1452">
        <f t="shared" si="281"/>
        <v>0</v>
      </c>
      <c r="BJ484" s="1452" t="str">
        <f t="shared" si="265"/>
        <v/>
      </c>
      <c r="BK484" s="1452" t="str">
        <f t="shared" si="266"/>
        <v/>
      </c>
      <c r="BL484" s="1452" t="str">
        <f t="shared" si="267"/>
        <v/>
      </c>
      <c r="BM484" s="1452" t="str">
        <f t="shared" si="268"/>
        <v/>
      </c>
      <c r="BN484" s="1452" t="str">
        <f t="shared" ca="1" si="269"/>
        <v/>
      </c>
      <c r="BO484" s="1452" t="str">
        <f t="shared" si="282"/>
        <v/>
      </c>
      <c r="BP484" s="1452" t="str">
        <f t="shared" si="270"/>
        <v/>
      </c>
      <c r="BQ484" s="1452" t="str">
        <f t="shared" si="271"/>
        <v/>
      </c>
      <c r="BR484" s="1452" t="str">
        <f t="shared" si="272"/>
        <v/>
      </c>
      <c r="BS484" s="1452" t="str">
        <f t="shared" si="273"/>
        <v/>
      </c>
      <c r="BT484" s="1452" t="str">
        <f t="shared" si="274"/>
        <v/>
      </c>
      <c r="BU484" s="1452" t="str">
        <f t="shared" si="275"/>
        <v/>
      </c>
      <c r="BV484" s="1452" t="str">
        <f t="shared" si="276"/>
        <v/>
      </c>
      <c r="BW484" s="1558">
        <f t="shared" ca="1" si="283"/>
        <v>0</v>
      </c>
    </row>
    <row r="485" spans="1:75" s="9" customFormat="1" ht="12.5">
      <c r="A485" s="1483" t="str">
        <f t="shared" si="277"/>
        <v>Public Health Wales Trust</v>
      </c>
      <c r="B485" s="1583"/>
      <c r="C485" s="1583"/>
      <c r="D485" s="1583"/>
      <c r="E485" s="1581"/>
      <c r="F485" s="1436"/>
      <c r="G485" s="1547">
        <f t="shared" si="278"/>
        <v>0</v>
      </c>
      <c r="H485" s="1484"/>
      <c r="I485" s="1547">
        <f t="shared" si="279"/>
        <v>0</v>
      </c>
      <c r="J485" s="1485"/>
      <c r="K485" s="1485"/>
      <c r="L485" s="1436"/>
      <c r="M485" s="1439"/>
      <c r="N485" s="1439"/>
      <c r="O485" s="1485"/>
      <c r="P485" s="1486"/>
      <c r="Q485" s="1486"/>
      <c r="R485" s="1487"/>
      <c r="S485" s="1444"/>
      <c r="T485" s="1444"/>
      <c r="U485" s="1444"/>
      <c r="V485" s="1488"/>
      <c r="W485" s="1488"/>
      <c r="X485" s="1488"/>
      <c r="Y485" s="1488"/>
      <c r="Z485" s="1488"/>
      <c r="AA485" s="1488"/>
      <c r="AB485" s="1488"/>
      <c r="AC485" s="1488"/>
      <c r="AD485" s="1488"/>
      <c r="AE485" s="1488"/>
      <c r="AF485" s="1488"/>
      <c r="AG485" s="1488"/>
      <c r="AH485" s="1451">
        <f t="shared" si="251"/>
        <v>0</v>
      </c>
      <c r="AI485" s="1488"/>
      <c r="AJ485" s="1488"/>
      <c r="AK485" s="1488"/>
      <c r="AL485" s="1488"/>
      <c r="AM485" s="1488"/>
      <c r="AN485" s="1488"/>
      <c r="AO485" s="1488"/>
      <c r="AP485" s="1488"/>
      <c r="AQ485" s="1488"/>
      <c r="AR485" s="1488"/>
      <c r="AS485" s="1488"/>
      <c r="AT485" s="1542"/>
      <c r="AU485" s="1599">
        <f t="shared" si="252"/>
        <v>0</v>
      </c>
      <c r="AV485" s="1544">
        <f t="shared" si="280"/>
        <v>0</v>
      </c>
      <c r="AW485" s="1452">
        <f t="shared" si="253"/>
        <v>0</v>
      </c>
      <c r="AX485" s="1452">
        <f t="shared" si="254"/>
        <v>0</v>
      </c>
      <c r="AY485" s="1452">
        <f t="shared" si="255"/>
        <v>0</v>
      </c>
      <c r="AZ485" s="1452">
        <f t="shared" si="256"/>
        <v>0</v>
      </c>
      <c r="BA485" s="1452">
        <f t="shared" si="257"/>
        <v>0</v>
      </c>
      <c r="BB485" s="1452">
        <f t="shared" si="258"/>
        <v>0</v>
      </c>
      <c r="BC485" s="1452">
        <f t="shared" si="259"/>
        <v>0</v>
      </c>
      <c r="BD485" s="1452">
        <f t="shared" si="260"/>
        <v>0</v>
      </c>
      <c r="BE485" s="1452">
        <f t="shared" si="261"/>
        <v>0</v>
      </c>
      <c r="BF485" s="1452">
        <f t="shared" si="262"/>
        <v>0</v>
      </c>
      <c r="BG485" s="1452">
        <f t="shared" si="263"/>
        <v>0</v>
      </c>
      <c r="BH485" s="1452">
        <f t="shared" si="264"/>
        <v>0</v>
      </c>
      <c r="BI485" s="1452">
        <f t="shared" si="281"/>
        <v>0</v>
      </c>
      <c r="BJ485" s="1452" t="str">
        <f t="shared" si="265"/>
        <v/>
      </c>
      <c r="BK485" s="1452" t="str">
        <f t="shared" si="266"/>
        <v/>
      </c>
      <c r="BL485" s="1452" t="str">
        <f t="shared" si="267"/>
        <v/>
      </c>
      <c r="BM485" s="1452" t="str">
        <f t="shared" si="268"/>
        <v/>
      </c>
      <c r="BN485" s="1452" t="str">
        <f t="shared" ca="1" si="269"/>
        <v/>
      </c>
      <c r="BO485" s="1452" t="str">
        <f t="shared" si="282"/>
        <v/>
      </c>
      <c r="BP485" s="1452" t="str">
        <f t="shared" si="270"/>
        <v/>
      </c>
      <c r="BQ485" s="1452" t="str">
        <f t="shared" si="271"/>
        <v/>
      </c>
      <c r="BR485" s="1452" t="str">
        <f t="shared" si="272"/>
        <v/>
      </c>
      <c r="BS485" s="1452" t="str">
        <f t="shared" si="273"/>
        <v/>
      </c>
      <c r="BT485" s="1452" t="str">
        <f t="shared" si="274"/>
        <v/>
      </c>
      <c r="BU485" s="1452" t="str">
        <f t="shared" si="275"/>
        <v/>
      </c>
      <c r="BV485" s="1452" t="str">
        <f t="shared" si="276"/>
        <v/>
      </c>
      <c r="BW485" s="1558">
        <f t="shared" ca="1" si="283"/>
        <v>0</v>
      </c>
    </row>
    <row r="486" spans="1:75" s="9" customFormat="1" ht="12.5">
      <c r="A486" s="1483" t="str">
        <f t="shared" si="277"/>
        <v>Public Health Wales Trust</v>
      </c>
      <c r="B486" s="1583"/>
      <c r="C486" s="1583"/>
      <c r="D486" s="1583"/>
      <c r="E486" s="1581"/>
      <c r="F486" s="1436"/>
      <c r="G486" s="1547">
        <f t="shared" si="278"/>
        <v>0</v>
      </c>
      <c r="H486" s="1484"/>
      <c r="I486" s="1547">
        <f t="shared" si="279"/>
        <v>0</v>
      </c>
      <c r="J486" s="1485"/>
      <c r="K486" s="1485"/>
      <c r="L486" s="1436"/>
      <c r="M486" s="1439"/>
      <c r="N486" s="1439"/>
      <c r="O486" s="1485"/>
      <c r="P486" s="1486"/>
      <c r="Q486" s="1486"/>
      <c r="R486" s="1487"/>
      <c r="S486" s="1444"/>
      <c r="T486" s="1444"/>
      <c r="U486" s="1444"/>
      <c r="V486" s="1488"/>
      <c r="W486" s="1488"/>
      <c r="X486" s="1488"/>
      <c r="Y486" s="1488"/>
      <c r="Z486" s="1488"/>
      <c r="AA486" s="1488"/>
      <c r="AB486" s="1488"/>
      <c r="AC486" s="1488"/>
      <c r="AD486" s="1488"/>
      <c r="AE486" s="1488"/>
      <c r="AF486" s="1488"/>
      <c r="AG486" s="1488"/>
      <c r="AH486" s="1451">
        <f t="shared" si="251"/>
        <v>0</v>
      </c>
      <c r="AI486" s="1488"/>
      <c r="AJ486" s="1488"/>
      <c r="AK486" s="1488"/>
      <c r="AL486" s="1488"/>
      <c r="AM486" s="1488"/>
      <c r="AN486" s="1488"/>
      <c r="AO486" s="1488"/>
      <c r="AP486" s="1488"/>
      <c r="AQ486" s="1488"/>
      <c r="AR486" s="1488"/>
      <c r="AS486" s="1488"/>
      <c r="AT486" s="1542"/>
      <c r="AU486" s="1599">
        <f t="shared" si="252"/>
        <v>0</v>
      </c>
      <c r="AV486" s="1544">
        <f t="shared" si="280"/>
        <v>0</v>
      </c>
      <c r="AW486" s="1452">
        <f t="shared" si="253"/>
        <v>0</v>
      </c>
      <c r="AX486" s="1452">
        <f t="shared" si="254"/>
        <v>0</v>
      </c>
      <c r="AY486" s="1452">
        <f t="shared" si="255"/>
        <v>0</v>
      </c>
      <c r="AZ486" s="1452">
        <f t="shared" si="256"/>
        <v>0</v>
      </c>
      <c r="BA486" s="1452">
        <f t="shared" si="257"/>
        <v>0</v>
      </c>
      <c r="BB486" s="1452">
        <f t="shared" si="258"/>
        <v>0</v>
      </c>
      <c r="BC486" s="1452">
        <f t="shared" si="259"/>
        <v>0</v>
      </c>
      <c r="BD486" s="1452">
        <f t="shared" si="260"/>
        <v>0</v>
      </c>
      <c r="BE486" s="1452">
        <f t="shared" si="261"/>
        <v>0</v>
      </c>
      <c r="BF486" s="1452">
        <f t="shared" si="262"/>
        <v>0</v>
      </c>
      <c r="BG486" s="1452">
        <f t="shared" si="263"/>
        <v>0</v>
      </c>
      <c r="BH486" s="1452">
        <f t="shared" si="264"/>
        <v>0</v>
      </c>
      <c r="BI486" s="1452">
        <f t="shared" si="281"/>
        <v>0</v>
      </c>
      <c r="BJ486" s="1452" t="str">
        <f t="shared" si="265"/>
        <v/>
      </c>
      <c r="BK486" s="1452" t="str">
        <f t="shared" si="266"/>
        <v/>
      </c>
      <c r="BL486" s="1452" t="str">
        <f t="shared" si="267"/>
        <v/>
      </c>
      <c r="BM486" s="1452" t="str">
        <f t="shared" si="268"/>
        <v/>
      </c>
      <c r="BN486" s="1452" t="str">
        <f t="shared" ca="1" si="269"/>
        <v/>
      </c>
      <c r="BO486" s="1452" t="str">
        <f t="shared" si="282"/>
        <v/>
      </c>
      <c r="BP486" s="1452" t="str">
        <f t="shared" si="270"/>
        <v/>
      </c>
      <c r="BQ486" s="1452" t="str">
        <f t="shared" si="271"/>
        <v/>
      </c>
      <c r="BR486" s="1452" t="str">
        <f t="shared" si="272"/>
        <v/>
      </c>
      <c r="BS486" s="1452" t="str">
        <f t="shared" si="273"/>
        <v/>
      </c>
      <c r="BT486" s="1452" t="str">
        <f t="shared" si="274"/>
        <v/>
      </c>
      <c r="BU486" s="1452" t="str">
        <f t="shared" si="275"/>
        <v/>
      </c>
      <c r="BV486" s="1452" t="str">
        <f t="shared" si="276"/>
        <v/>
      </c>
      <c r="BW486" s="1558">
        <f t="shared" ca="1" si="283"/>
        <v>0</v>
      </c>
    </row>
    <row r="487" spans="1:75" s="9" customFormat="1" ht="12.5">
      <c r="A487" s="1483" t="str">
        <f t="shared" si="277"/>
        <v>Public Health Wales Trust</v>
      </c>
      <c r="B487" s="1583"/>
      <c r="C487" s="1583"/>
      <c r="D487" s="1583"/>
      <c r="E487" s="1581"/>
      <c r="F487" s="1436"/>
      <c r="G487" s="1547">
        <f t="shared" si="278"/>
        <v>0</v>
      </c>
      <c r="H487" s="1484"/>
      <c r="I487" s="1547">
        <f t="shared" si="279"/>
        <v>0</v>
      </c>
      <c r="J487" s="1485"/>
      <c r="K487" s="1485"/>
      <c r="L487" s="1436"/>
      <c r="M487" s="1439"/>
      <c r="N487" s="1439"/>
      <c r="O487" s="1485"/>
      <c r="P487" s="1486"/>
      <c r="Q487" s="1486"/>
      <c r="R487" s="1487"/>
      <c r="S487" s="1444"/>
      <c r="T487" s="1444"/>
      <c r="U487" s="1444"/>
      <c r="V487" s="1488"/>
      <c r="W487" s="1488"/>
      <c r="X487" s="1488"/>
      <c r="Y487" s="1488"/>
      <c r="Z487" s="1488"/>
      <c r="AA487" s="1488"/>
      <c r="AB487" s="1488"/>
      <c r="AC487" s="1488"/>
      <c r="AD487" s="1488"/>
      <c r="AE487" s="1488"/>
      <c r="AF487" s="1488"/>
      <c r="AG487" s="1488"/>
      <c r="AH487" s="1451">
        <f t="shared" si="251"/>
        <v>0</v>
      </c>
      <c r="AI487" s="1488"/>
      <c r="AJ487" s="1488"/>
      <c r="AK487" s="1488"/>
      <c r="AL487" s="1488"/>
      <c r="AM487" s="1488"/>
      <c r="AN487" s="1488"/>
      <c r="AO487" s="1488"/>
      <c r="AP487" s="1488"/>
      <c r="AQ487" s="1488"/>
      <c r="AR487" s="1488"/>
      <c r="AS487" s="1488"/>
      <c r="AT487" s="1542"/>
      <c r="AU487" s="1599">
        <f t="shared" si="252"/>
        <v>0</v>
      </c>
      <c r="AV487" s="1544">
        <f t="shared" si="280"/>
        <v>0</v>
      </c>
      <c r="AW487" s="1452">
        <f t="shared" si="253"/>
        <v>0</v>
      </c>
      <c r="AX487" s="1452">
        <f t="shared" si="254"/>
        <v>0</v>
      </c>
      <c r="AY487" s="1452">
        <f t="shared" si="255"/>
        <v>0</v>
      </c>
      <c r="AZ487" s="1452">
        <f t="shared" si="256"/>
        <v>0</v>
      </c>
      <c r="BA487" s="1452">
        <f t="shared" si="257"/>
        <v>0</v>
      </c>
      <c r="BB487" s="1452">
        <f t="shared" si="258"/>
        <v>0</v>
      </c>
      <c r="BC487" s="1452">
        <f t="shared" si="259"/>
        <v>0</v>
      </c>
      <c r="BD487" s="1452">
        <f t="shared" si="260"/>
        <v>0</v>
      </c>
      <c r="BE487" s="1452">
        <f t="shared" si="261"/>
        <v>0</v>
      </c>
      <c r="BF487" s="1452">
        <f t="shared" si="262"/>
        <v>0</v>
      </c>
      <c r="BG487" s="1452">
        <f t="shared" si="263"/>
        <v>0</v>
      </c>
      <c r="BH487" s="1452">
        <f t="shared" si="264"/>
        <v>0</v>
      </c>
      <c r="BI487" s="1452">
        <f t="shared" si="281"/>
        <v>0</v>
      </c>
      <c r="BJ487" s="1452" t="str">
        <f t="shared" si="265"/>
        <v/>
      </c>
      <c r="BK487" s="1452" t="str">
        <f t="shared" si="266"/>
        <v/>
      </c>
      <c r="BL487" s="1452" t="str">
        <f t="shared" si="267"/>
        <v/>
      </c>
      <c r="BM487" s="1452" t="str">
        <f t="shared" si="268"/>
        <v/>
      </c>
      <c r="BN487" s="1452" t="str">
        <f t="shared" ca="1" si="269"/>
        <v/>
      </c>
      <c r="BO487" s="1452" t="str">
        <f t="shared" si="282"/>
        <v/>
      </c>
      <c r="BP487" s="1452" t="str">
        <f t="shared" si="270"/>
        <v/>
      </c>
      <c r="BQ487" s="1452" t="str">
        <f t="shared" si="271"/>
        <v/>
      </c>
      <c r="BR487" s="1452" t="str">
        <f t="shared" si="272"/>
        <v/>
      </c>
      <c r="BS487" s="1452" t="str">
        <f t="shared" si="273"/>
        <v/>
      </c>
      <c r="BT487" s="1452" t="str">
        <f t="shared" si="274"/>
        <v/>
      </c>
      <c r="BU487" s="1452" t="str">
        <f t="shared" si="275"/>
        <v/>
      </c>
      <c r="BV487" s="1452" t="str">
        <f t="shared" si="276"/>
        <v/>
      </c>
      <c r="BW487" s="1558">
        <f t="shared" ca="1" si="283"/>
        <v>0</v>
      </c>
    </row>
    <row r="488" spans="1:75" s="9" customFormat="1" ht="12.5">
      <c r="A488" s="1483" t="str">
        <f t="shared" si="277"/>
        <v>Public Health Wales Trust</v>
      </c>
      <c r="B488" s="1583"/>
      <c r="C488" s="1583"/>
      <c r="D488" s="1583"/>
      <c r="E488" s="1581"/>
      <c r="F488" s="1436"/>
      <c r="G488" s="1547">
        <f t="shared" si="278"/>
        <v>0</v>
      </c>
      <c r="H488" s="1484"/>
      <c r="I488" s="1547">
        <f t="shared" si="279"/>
        <v>0</v>
      </c>
      <c r="J488" s="1485"/>
      <c r="K488" s="1485"/>
      <c r="L488" s="1436"/>
      <c r="M488" s="1439"/>
      <c r="N488" s="1439"/>
      <c r="O488" s="1485"/>
      <c r="P488" s="1486"/>
      <c r="Q488" s="1486"/>
      <c r="R488" s="1487"/>
      <c r="S488" s="1444"/>
      <c r="T488" s="1444"/>
      <c r="U488" s="1444"/>
      <c r="V488" s="1488"/>
      <c r="W488" s="1488"/>
      <c r="X488" s="1488"/>
      <c r="Y488" s="1488"/>
      <c r="Z488" s="1488"/>
      <c r="AA488" s="1488"/>
      <c r="AB488" s="1488"/>
      <c r="AC488" s="1488"/>
      <c r="AD488" s="1488"/>
      <c r="AE488" s="1488"/>
      <c r="AF488" s="1488"/>
      <c r="AG488" s="1488"/>
      <c r="AH488" s="1451">
        <f t="shared" si="251"/>
        <v>0</v>
      </c>
      <c r="AI488" s="1488"/>
      <c r="AJ488" s="1488"/>
      <c r="AK488" s="1488"/>
      <c r="AL488" s="1488"/>
      <c r="AM488" s="1488"/>
      <c r="AN488" s="1488"/>
      <c r="AO488" s="1488"/>
      <c r="AP488" s="1488"/>
      <c r="AQ488" s="1488"/>
      <c r="AR488" s="1488"/>
      <c r="AS488" s="1488"/>
      <c r="AT488" s="1542"/>
      <c r="AU488" s="1599">
        <f t="shared" si="252"/>
        <v>0</v>
      </c>
      <c r="AV488" s="1544">
        <f t="shared" si="280"/>
        <v>0</v>
      </c>
      <c r="AW488" s="1452">
        <f t="shared" si="253"/>
        <v>0</v>
      </c>
      <c r="AX488" s="1452">
        <f t="shared" si="254"/>
        <v>0</v>
      </c>
      <c r="AY488" s="1452">
        <f t="shared" si="255"/>
        <v>0</v>
      </c>
      <c r="AZ488" s="1452">
        <f t="shared" si="256"/>
        <v>0</v>
      </c>
      <c r="BA488" s="1452">
        <f t="shared" si="257"/>
        <v>0</v>
      </c>
      <c r="BB488" s="1452">
        <f t="shared" si="258"/>
        <v>0</v>
      </c>
      <c r="BC488" s="1452">
        <f t="shared" si="259"/>
        <v>0</v>
      </c>
      <c r="BD488" s="1452">
        <f t="shared" si="260"/>
        <v>0</v>
      </c>
      <c r="BE488" s="1452">
        <f t="shared" si="261"/>
        <v>0</v>
      </c>
      <c r="BF488" s="1452">
        <f t="shared" si="262"/>
        <v>0</v>
      </c>
      <c r="BG488" s="1452">
        <f t="shared" si="263"/>
        <v>0</v>
      </c>
      <c r="BH488" s="1452">
        <f t="shared" si="264"/>
        <v>0</v>
      </c>
      <c r="BI488" s="1452">
        <f t="shared" si="281"/>
        <v>0</v>
      </c>
      <c r="BJ488" s="1452" t="str">
        <f t="shared" si="265"/>
        <v/>
      </c>
      <c r="BK488" s="1452" t="str">
        <f t="shared" si="266"/>
        <v/>
      </c>
      <c r="BL488" s="1452" t="str">
        <f t="shared" si="267"/>
        <v/>
      </c>
      <c r="BM488" s="1452" t="str">
        <f t="shared" si="268"/>
        <v/>
      </c>
      <c r="BN488" s="1452" t="str">
        <f t="shared" ca="1" si="269"/>
        <v/>
      </c>
      <c r="BO488" s="1452" t="str">
        <f t="shared" si="282"/>
        <v/>
      </c>
      <c r="BP488" s="1452" t="str">
        <f t="shared" si="270"/>
        <v/>
      </c>
      <c r="BQ488" s="1452" t="str">
        <f t="shared" si="271"/>
        <v/>
      </c>
      <c r="BR488" s="1452" t="str">
        <f t="shared" si="272"/>
        <v/>
      </c>
      <c r="BS488" s="1452" t="str">
        <f t="shared" si="273"/>
        <v/>
      </c>
      <c r="BT488" s="1452" t="str">
        <f t="shared" si="274"/>
        <v/>
      </c>
      <c r="BU488" s="1452" t="str">
        <f t="shared" si="275"/>
        <v/>
      </c>
      <c r="BV488" s="1452" t="str">
        <f t="shared" si="276"/>
        <v/>
      </c>
      <c r="BW488" s="1558">
        <f t="shared" ca="1" si="283"/>
        <v>0</v>
      </c>
    </row>
    <row r="489" spans="1:75" s="9" customFormat="1" ht="12.5">
      <c r="A489" s="1483" t="str">
        <f t="shared" si="277"/>
        <v>Public Health Wales Trust</v>
      </c>
      <c r="B489" s="1583"/>
      <c r="C489" s="1583"/>
      <c r="D489" s="1583"/>
      <c r="E489" s="1581"/>
      <c r="F489" s="1436"/>
      <c r="G489" s="1547">
        <f t="shared" si="278"/>
        <v>0</v>
      </c>
      <c r="H489" s="1484"/>
      <c r="I489" s="1547">
        <f t="shared" si="279"/>
        <v>0</v>
      </c>
      <c r="J489" s="1485"/>
      <c r="K489" s="1485"/>
      <c r="L489" s="1436"/>
      <c r="M489" s="1439"/>
      <c r="N489" s="1439"/>
      <c r="O489" s="1485"/>
      <c r="P489" s="1486"/>
      <c r="Q489" s="1486"/>
      <c r="R489" s="1487"/>
      <c r="S489" s="1444"/>
      <c r="T489" s="1444"/>
      <c r="U489" s="1444"/>
      <c r="V489" s="1488"/>
      <c r="W489" s="1488"/>
      <c r="X489" s="1488"/>
      <c r="Y489" s="1488"/>
      <c r="Z489" s="1488"/>
      <c r="AA489" s="1488"/>
      <c r="AB489" s="1488"/>
      <c r="AC489" s="1488"/>
      <c r="AD489" s="1488"/>
      <c r="AE489" s="1488"/>
      <c r="AF489" s="1488"/>
      <c r="AG489" s="1488"/>
      <c r="AH489" s="1451">
        <f t="shared" si="251"/>
        <v>0</v>
      </c>
      <c r="AI489" s="1488"/>
      <c r="AJ489" s="1488"/>
      <c r="AK489" s="1488"/>
      <c r="AL489" s="1488"/>
      <c r="AM489" s="1488"/>
      <c r="AN489" s="1488"/>
      <c r="AO489" s="1488"/>
      <c r="AP489" s="1488"/>
      <c r="AQ489" s="1488"/>
      <c r="AR489" s="1488"/>
      <c r="AS489" s="1488"/>
      <c r="AT489" s="1542"/>
      <c r="AU489" s="1599">
        <f t="shared" si="252"/>
        <v>0</v>
      </c>
      <c r="AV489" s="1544">
        <f t="shared" si="280"/>
        <v>0</v>
      </c>
      <c r="AW489" s="1452">
        <f t="shared" si="253"/>
        <v>0</v>
      </c>
      <c r="AX489" s="1452">
        <f t="shared" si="254"/>
        <v>0</v>
      </c>
      <c r="AY489" s="1452">
        <f t="shared" si="255"/>
        <v>0</v>
      </c>
      <c r="AZ489" s="1452">
        <f t="shared" si="256"/>
        <v>0</v>
      </c>
      <c r="BA489" s="1452">
        <f t="shared" si="257"/>
        <v>0</v>
      </c>
      <c r="BB489" s="1452">
        <f t="shared" si="258"/>
        <v>0</v>
      </c>
      <c r="BC489" s="1452">
        <f t="shared" si="259"/>
        <v>0</v>
      </c>
      <c r="BD489" s="1452">
        <f t="shared" si="260"/>
        <v>0</v>
      </c>
      <c r="BE489" s="1452">
        <f t="shared" si="261"/>
        <v>0</v>
      </c>
      <c r="BF489" s="1452">
        <f t="shared" si="262"/>
        <v>0</v>
      </c>
      <c r="BG489" s="1452">
        <f t="shared" si="263"/>
        <v>0</v>
      </c>
      <c r="BH489" s="1452">
        <f t="shared" si="264"/>
        <v>0</v>
      </c>
      <c r="BI489" s="1452">
        <f t="shared" si="281"/>
        <v>0</v>
      </c>
      <c r="BJ489" s="1452" t="str">
        <f t="shared" si="265"/>
        <v/>
      </c>
      <c r="BK489" s="1452" t="str">
        <f t="shared" si="266"/>
        <v/>
      </c>
      <c r="BL489" s="1452" t="str">
        <f t="shared" si="267"/>
        <v/>
      </c>
      <c r="BM489" s="1452" t="str">
        <f t="shared" si="268"/>
        <v/>
      </c>
      <c r="BN489" s="1452" t="str">
        <f t="shared" ca="1" si="269"/>
        <v/>
      </c>
      <c r="BO489" s="1452" t="str">
        <f t="shared" si="282"/>
        <v/>
      </c>
      <c r="BP489" s="1452" t="str">
        <f t="shared" si="270"/>
        <v/>
      </c>
      <c r="BQ489" s="1452" t="str">
        <f t="shared" si="271"/>
        <v/>
      </c>
      <c r="BR489" s="1452" t="str">
        <f t="shared" si="272"/>
        <v/>
      </c>
      <c r="BS489" s="1452" t="str">
        <f t="shared" si="273"/>
        <v/>
      </c>
      <c r="BT489" s="1452" t="str">
        <f t="shared" si="274"/>
        <v/>
      </c>
      <c r="BU489" s="1452" t="str">
        <f t="shared" si="275"/>
        <v/>
      </c>
      <c r="BV489" s="1452" t="str">
        <f t="shared" si="276"/>
        <v/>
      </c>
      <c r="BW489" s="1558">
        <f t="shared" ca="1" si="283"/>
        <v>0</v>
      </c>
    </row>
    <row r="490" spans="1:75" s="9" customFormat="1" ht="12.5">
      <c r="A490" s="1483" t="str">
        <f t="shared" si="277"/>
        <v>Public Health Wales Trust</v>
      </c>
      <c r="B490" s="1583"/>
      <c r="C490" s="1583"/>
      <c r="D490" s="1583"/>
      <c r="E490" s="1581"/>
      <c r="F490" s="1436"/>
      <c r="G490" s="1547">
        <f t="shared" si="278"/>
        <v>0</v>
      </c>
      <c r="H490" s="1484"/>
      <c r="I490" s="1547">
        <f t="shared" si="279"/>
        <v>0</v>
      </c>
      <c r="J490" s="1485"/>
      <c r="K490" s="1485"/>
      <c r="L490" s="1436"/>
      <c r="M490" s="1439"/>
      <c r="N490" s="1439"/>
      <c r="O490" s="1485"/>
      <c r="P490" s="1486"/>
      <c r="Q490" s="1486"/>
      <c r="R490" s="1487"/>
      <c r="S490" s="1444"/>
      <c r="T490" s="1444"/>
      <c r="U490" s="1444"/>
      <c r="V490" s="1488"/>
      <c r="W490" s="1488"/>
      <c r="X490" s="1488"/>
      <c r="Y490" s="1488"/>
      <c r="Z490" s="1488"/>
      <c r="AA490" s="1488"/>
      <c r="AB490" s="1488"/>
      <c r="AC490" s="1488"/>
      <c r="AD490" s="1488"/>
      <c r="AE490" s="1488"/>
      <c r="AF490" s="1488"/>
      <c r="AG490" s="1488"/>
      <c r="AH490" s="1451">
        <f t="shared" si="251"/>
        <v>0</v>
      </c>
      <c r="AI490" s="1488"/>
      <c r="AJ490" s="1488"/>
      <c r="AK490" s="1488"/>
      <c r="AL490" s="1488"/>
      <c r="AM490" s="1488"/>
      <c r="AN490" s="1488"/>
      <c r="AO490" s="1488"/>
      <c r="AP490" s="1488"/>
      <c r="AQ490" s="1488"/>
      <c r="AR490" s="1488"/>
      <c r="AS490" s="1488"/>
      <c r="AT490" s="1542"/>
      <c r="AU490" s="1599">
        <f t="shared" si="252"/>
        <v>0</v>
      </c>
      <c r="AV490" s="1544">
        <f t="shared" si="280"/>
        <v>0</v>
      </c>
      <c r="AW490" s="1452">
        <f t="shared" si="253"/>
        <v>0</v>
      </c>
      <c r="AX490" s="1452">
        <f t="shared" si="254"/>
        <v>0</v>
      </c>
      <c r="AY490" s="1452">
        <f t="shared" si="255"/>
        <v>0</v>
      </c>
      <c r="AZ490" s="1452">
        <f t="shared" si="256"/>
        <v>0</v>
      </c>
      <c r="BA490" s="1452">
        <f t="shared" si="257"/>
        <v>0</v>
      </c>
      <c r="BB490" s="1452">
        <f t="shared" si="258"/>
        <v>0</v>
      </c>
      <c r="BC490" s="1452">
        <f t="shared" si="259"/>
        <v>0</v>
      </c>
      <c r="BD490" s="1452">
        <f t="shared" si="260"/>
        <v>0</v>
      </c>
      <c r="BE490" s="1452">
        <f t="shared" si="261"/>
        <v>0</v>
      </c>
      <c r="BF490" s="1452">
        <f t="shared" si="262"/>
        <v>0</v>
      </c>
      <c r="BG490" s="1452">
        <f t="shared" si="263"/>
        <v>0</v>
      </c>
      <c r="BH490" s="1452">
        <f t="shared" si="264"/>
        <v>0</v>
      </c>
      <c r="BI490" s="1452">
        <f t="shared" si="281"/>
        <v>0</v>
      </c>
      <c r="BJ490" s="1452" t="str">
        <f t="shared" si="265"/>
        <v/>
      </c>
      <c r="BK490" s="1452" t="str">
        <f t="shared" si="266"/>
        <v/>
      </c>
      <c r="BL490" s="1452" t="str">
        <f t="shared" si="267"/>
        <v/>
      </c>
      <c r="BM490" s="1452" t="str">
        <f t="shared" si="268"/>
        <v/>
      </c>
      <c r="BN490" s="1452" t="str">
        <f t="shared" ca="1" si="269"/>
        <v/>
      </c>
      <c r="BO490" s="1452" t="str">
        <f t="shared" si="282"/>
        <v/>
      </c>
      <c r="BP490" s="1452" t="str">
        <f t="shared" si="270"/>
        <v/>
      </c>
      <c r="BQ490" s="1452" t="str">
        <f t="shared" si="271"/>
        <v/>
      </c>
      <c r="BR490" s="1452" t="str">
        <f t="shared" si="272"/>
        <v/>
      </c>
      <c r="BS490" s="1452" t="str">
        <f t="shared" si="273"/>
        <v/>
      </c>
      <c r="BT490" s="1452" t="str">
        <f t="shared" si="274"/>
        <v/>
      </c>
      <c r="BU490" s="1452" t="str">
        <f t="shared" si="275"/>
        <v/>
      </c>
      <c r="BV490" s="1452" t="str">
        <f t="shared" si="276"/>
        <v/>
      </c>
      <c r="BW490" s="1558">
        <f t="shared" ca="1" si="283"/>
        <v>0</v>
      </c>
    </row>
    <row r="491" spans="1:75" s="9" customFormat="1" ht="12.5">
      <c r="A491" s="1483" t="str">
        <f t="shared" si="277"/>
        <v>Public Health Wales Trust</v>
      </c>
      <c r="B491" s="1583"/>
      <c r="C491" s="1583"/>
      <c r="D491" s="1583"/>
      <c r="E491" s="1581"/>
      <c r="F491" s="1436"/>
      <c r="G491" s="1547">
        <f t="shared" si="278"/>
        <v>0</v>
      </c>
      <c r="H491" s="1484"/>
      <c r="I491" s="1547">
        <f t="shared" si="279"/>
        <v>0</v>
      </c>
      <c r="J491" s="1485"/>
      <c r="K491" s="1485"/>
      <c r="L491" s="1436"/>
      <c r="M491" s="1439"/>
      <c r="N491" s="1439"/>
      <c r="O491" s="1485"/>
      <c r="P491" s="1486"/>
      <c r="Q491" s="1486"/>
      <c r="R491" s="1487"/>
      <c r="S491" s="1444"/>
      <c r="T491" s="1444"/>
      <c r="U491" s="1444"/>
      <c r="V491" s="1488"/>
      <c r="W491" s="1488"/>
      <c r="X491" s="1488"/>
      <c r="Y491" s="1488"/>
      <c r="Z491" s="1488"/>
      <c r="AA491" s="1488"/>
      <c r="AB491" s="1488"/>
      <c r="AC491" s="1488"/>
      <c r="AD491" s="1488"/>
      <c r="AE491" s="1488"/>
      <c r="AF491" s="1488"/>
      <c r="AG491" s="1488"/>
      <c r="AH491" s="1451">
        <f t="shared" ref="AH491:AH554" si="284">SUM(V491:AG491)</f>
        <v>0</v>
      </c>
      <c r="AI491" s="1488"/>
      <c r="AJ491" s="1488"/>
      <c r="AK491" s="1488"/>
      <c r="AL491" s="1488"/>
      <c r="AM491" s="1488"/>
      <c r="AN491" s="1488"/>
      <c r="AO491" s="1488"/>
      <c r="AP491" s="1488"/>
      <c r="AQ491" s="1488"/>
      <c r="AR491" s="1488"/>
      <c r="AS491" s="1488"/>
      <c r="AT491" s="1542"/>
      <c r="AU491" s="1599">
        <f t="shared" ref="AU491:AU554" si="285">SUMPRODUCT($AC$40:$AN$40,AI491:AT491)</f>
        <v>0</v>
      </c>
      <c r="AV491" s="1544">
        <f t="shared" si="280"/>
        <v>0</v>
      </c>
      <c r="AW491" s="1452">
        <f t="shared" ref="AW491:AW554" si="286">AI491-V491</f>
        <v>0</v>
      </c>
      <c r="AX491" s="1452">
        <f t="shared" ref="AX491:AX554" si="287">AJ491-W491</f>
        <v>0</v>
      </c>
      <c r="AY491" s="1452">
        <f t="shared" ref="AY491:AY554" si="288">AK491-X491</f>
        <v>0</v>
      </c>
      <c r="AZ491" s="1452">
        <f t="shared" ref="AZ491:AZ554" si="289">AL491-Y491</f>
        <v>0</v>
      </c>
      <c r="BA491" s="1452">
        <f t="shared" ref="BA491:BA554" si="290">AM491-Z491</f>
        <v>0</v>
      </c>
      <c r="BB491" s="1452">
        <f t="shared" ref="BB491:BB554" si="291">AN491-AA491</f>
        <v>0</v>
      </c>
      <c r="BC491" s="1452">
        <f t="shared" ref="BC491:BC554" si="292">AO491-AB491</f>
        <v>0</v>
      </c>
      <c r="BD491" s="1452">
        <f t="shared" ref="BD491:BD554" si="293">AP491-AC491</f>
        <v>0</v>
      </c>
      <c r="BE491" s="1452">
        <f t="shared" ref="BE491:BE554" si="294">AQ491-AD491</f>
        <v>0</v>
      </c>
      <c r="BF491" s="1452">
        <f t="shared" ref="BF491:BF554" si="295">AR491-AE491</f>
        <v>0</v>
      </c>
      <c r="BG491" s="1452">
        <f t="shared" ref="BG491:BG554" si="296">AS491-AF491</f>
        <v>0</v>
      </c>
      <c r="BH491" s="1452">
        <f t="shared" ref="BH491:BH554" si="297">AT491-AG491</f>
        <v>0</v>
      </c>
      <c r="BI491" s="1452">
        <f t="shared" si="281"/>
        <v>0</v>
      </c>
      <c r="BJ491" s="1452" t="str">
        <f t="shared" ref="BJ491:BJ554" si="298">IF(OR(G491&gt;0,I491&gt;0),IF(AND(B491&lt;&gt;"",C491&lt;&gt;"",D491&lt;&gt;"",E491&lt;&gt;"",F491&lt;&gt;"",L491&lt;&gt;"",M491&lt;&gt;"",N491&lt;&gt;"",O491&lt;&gt;"",P491&lt;&gt;"",Q491&lt;&gt;"",R491&lt;&gt;""),"","ERROR"),"")</f>
        <v/>
      </c>
      <c r="BK491" s="1452" t="str">
        <f t="shared" ref="BK491:BK554" si="299">IF(COUNTIF($D$43:$D$1496,D491)&gt;1,"ERROR","")</f>
        <v/>
      </c>
      <c r="BL491" s="1452" t="str">
        <f t="shared" ref="BL491:BL554" si="300">IF(AND(OR(R491=$CQ$1,R491=$CQ$3),S491=""),"ERROR","")</f>
        <v/>
      </c>
      <c r="BM491" s="1452" t="str">
        <f t="shared" ref="BM491:BM554" si="301">IF(AND(OR(R491=$CQ$2),S491&lt;&gt;""),"ERROR","")</f>
        <v/>
      </c>
      <c r="BN491" s="1452" t="str">
        <f t="shared" ref="BN491:BN554" ca="1" si="302">IF(AND(O491=$CA$2,N491&lt;TODAY()),"ERROR","")</f>
        <v/>
      </c>
      <c r="BO491" s="1452" t="str">
        <f t="shared" si="282"/>
        <v/>
      </c>
      <c r="BP491" s="1452" t="str">
        <f t="shared" ref="BP491:BP554" si="303">IF(AND(F491=$BZ$1,G491&gt;H491),"ERROR","")</f>
        <v/>
      </c>
      <c r="BQ491" s="1452" t="str">
        <f t="shared" ref="BQ491:BQ554" si="304">IF(AND(F491=$BZ$1,I491&gt;J491),"ERROR","")</f>
        <v/>
      </c>
      <c r="BR491" s="1452" t="str">
        <f t="shared" ref="BR491:BR554" si="305">IF(AND(F491=$BZ$2,SUM(H491,J491)&gt;0),"ERROR","")</f>
        <v/>
      </c>
      <c r="BS491" s="1452" t="str">
        <f t="shared" ref="BS491:BS554" si="306">IF(AND(I491=0,J491&gt;0),"ERROR","")</f>
        <v/>
      </c>
      <c r="BT491" s="1452" t="str">
        <f t="shared" ref="BT491:BT554" si="307">IF(AND(O491=$CA$1,K491&lt;&gt;0),"ERROR","")</f>
        <v/>
      </c>
      <c r="BU491" s="1452" t="str">
        <f t="shared" ref="BU491:BU554" si="308">IF(AND(O491=$CA$2,I491-AU491-K491&lt;0),"ERROR","")</f>
        <v/>
      </c>
      <c r="BV491" s="1452" t="str">
        <f t="shared" ref="BV491:BV554" si="309">IF(S491="","",VLOOKUP(S491,$CS$1:$CT$14,2,0))</f>
        <v/>
      </c>
      <c r="BW491" s="1558">
        <f t="shared" ca="1" si="283"/>
        <v>0</v>
      </c>
    </row>
    <row r="492" spans="1:75" s="9" customFormat="1" ht="12.5">
      <c r="A492" s="1483" t="str">
        <f t="shared" ref="A492:A555" si="310">$A$1</f>
        <v>Public Health Wales Trust</v>
      </c>
      <c r="B492" s="1583"/>
      <c r="C492" s="1583"/>
      <c r="D492" s="1583"/>
      <c r="E492" s="1581"/>
      <c r="F492" s="1436"/>
      <c r="G492" s="1547">
        <f t="shared" ref="G492:G555" si="311">AH492</f>
        <v>0</v>
      </c>
      <c r="H492" s="1484"/>
      <c r="I492" s="1547">
        <f t="shared" ref="I492:I555" si="312">AV492</f>
        <v>0</v>
      </c>
      <c r="J492" s="1485"/>
      <c r="K492" s="1485"/>
      <c r="L492" s="1436"/>
      <c r="M492" s="1439"/>
      <c r="N492" s="1439"/>
      <c r="O492" s="1485"/>
      <c r="P492" s="1486"/>
      <c r="Q492" s="1486"/>
      <c r="R492" s="1487"/>
      <c r="S492" s="1444"/>
      <c r="T492" s="1444"/>
      <c r="U492" s="1444"/>
      <c r="V492" s="1488"/>
      <c r="W492" s="1488"/>
      <c r="X492" s="1488"/>
      <c r="Y492" s="1488"/>
      <c r="Z492" s="1488"/>
      <c r="AA492" s="1488"/>
      <c r="AB492" s="1488"/>
      <c r="AC492" s="1488"/>
      <c r="AD492" s="1488"/>
      <c r="AE492" s="1488"/>
      <c r="AF492" s="1488"/>
      <c r="AG492" s="1488"/>
      <c r="AH492" s="1451">
        <f t="shared" si="284"/>
        <v>0</v>
      </c>
      <c r="AI492" s="1488"/>
      <c r="AJ492" s="1488"/>
      <c r="AK492" s="1488"/>
      <c r="AL492" s="1488"/>
      <c r="AM492" s="1488"/>
      <c r="AN492" s="1488"/>
      <c r="AO492" s="1488"/>
      <c r="AP492" s="1488"/>
      <c r="AQ492" s="1488"/>
      <c r="AR492" s="1488"/>
      <c r="AS492" s="1488"/>
      <c r="AT492" s="1542"/>
      <c r="AU492" s="1599">
        <f t="shared" si="285"/>
        <v>0</v>
      </c>
      <c r="AV492" s="1544">
        <f t="shared" ref="AV492:AV555" si="313">SUM(AI492:AT492)</f>
        <v>0</v>
      </c>
      <c r="AW492" s="1452">
        <f t="shared" si="286"/>
        <v>0</v>
      </c>
      <c r="AX492" s="1452">
        <f t="shared" si="287"/>
        <v>0</v>
      </c>
      <c r="AY492" s="1452">
        <f t="shared" si="288"/>
        <v>0</v>
      </c>
      <c r="AZ492" s="1452">
        <f t="shared" si="289"/>
        <v>0</v>
      </c>
      <c r="BA492" s="1452">
        <f t="shared" si="290"/>
        <v>0</v>
      </c>
      <c r="BB492" s="1452">
        <f t="shared" si="291"/>
        <v>0</v>
      </c>
      <c r="BC492" s="1452">
        <f t="shared" si="292"/>
        <v>0</v>
      </c>
      <c r="BD492" s="1452">
        <f t="shared" si="293"/>
        <v>0</v>
      </c>
      <c r="BE492" s="1452">
        <f t="shared" si="294"/>
        <v>0</v>
      </c>
      <c r="BF492" s="1452">
        <f t="shared" si="295"/>
        <v>0</v>
      </c>
      <c r="BG492" s="1452">
        <f t="shared" si="296"/>
        <v>0</v>
      </c>
      <c r="BH492" s="1452">
        <f t="shared" si="297"/>
        <v>0</v>
      </c>
      <c r="BI492" s="1452">
        <f t="shared" ref="BI492:BI555" si="314">SUM(AW492:BH492)</f>
        <v>0</v>
      </c>
      <c r="BJ492" s="1452" t="str">
        <f t="shared" si="298"/>
        <v/>
      </c>
      <c r="BK492" s="1452" t="str">
        <f t="shared" si="299"/>
        <v/>
      </c>
      <c r="BL492" s="1452" t="str">
        <f t="shared" si="300"/>
        <v/>
      </c>
      <c r="BM492" s="1452" t="str">
        <f t="shared" si="301"/>
        <v/>
      </c>
      <c r="BN492" s="1452" t="str">
        <f t="shared" ca="1" si="302"/>
        <v/>
      </c>
      <c r="BO492" s="1452" t="str">
        <f t="shared" ref="BO492:BO555" si="315">IF(AND(AV492&gt;0,AH492=0),"ERROR","")</f>
        <v/>
      </c>
      <c r="BP492" s="1452" t="str">
        <f t="shared" si="303"/>
        <v/>
      </c>
      <c r="BQ492" s="1452" t="str">
        <f t="shared" si="304"/>
        <v/>
      </c>
      <c r="BR492" s="1452" t="str">
        <f t="shared" si="305"/>
        <v/>
      </c>
      <c r="BS492" s="1452" t="str">
        <f t="shared" si="306"/>
        <v/>
      </c>
      <c r="BT492" s="1452" t="str">
        <f t="shared" si="307"/>
        <v/>
      </c>
      <c r="BU492" s="1452" t="str">
        <f t="shared" si="308"/>
        <v/>
      </c>
      <c r="BV492" s="1452" t="str">
        <f t="shared" si="309"/>
        <v/>
      </c>
      <c r="BW492" s="1558">
        <f t="shared" ref="BW492:BW555" ca="1" si="316">COUNTIF(BJ492:BU492,"ERROR")</f>
        <v>0</v>
      </c>
    </row>
    <row r="493" spans="1:75" s="9" customFormat="1" ht="12.5">
      <c r="A493" s="1483" t="str">
        <f t="shared" si="310"/>
        <v>Public Health Wales Trust</v>
      </c>
      <c r="B493" s="1583"/>
      <c r="C493" s="1583"/>
      <c r="D493" s="1583"/>
      <c r="E493" s="1581"/>
      <c r="F493" s="1436"/>
      <c r="G493" s="1547">
        <f t="shared" si="311"/>
        <v>0</v>
      </c>
      <c r="H493" s="1484"/>
      <c r="I493" s="1547">
        <f t="shared" si="312"/>
        <v>0</v>
      </c>
      <c r="J493" s="1485"/>
      <c r="K493" s="1485"/>
      <c r="L493" s="1436"/>
      <c r="M493" s="1439"/>
      <c r="N493" s="1439"/>
      <c r="O493" s="1485"/>
      <c r="P493" s="1486"/>
      <c r="Q493" s="1486"/>
      <c r="R493" s="1487"/>
      <c r="S493" s="1444"/>
      <c r="T493" s="1444"/>
      <c r="U493" s="1444"/>
      <c r="V493" s="1488"/>
      <c r="W493" s="1488"/>
      <c r="X493" s="1488"/>
      <c r="Y493" s="1488"/>
      <c r="Z493" s="1488"/>
      <c r="AA493" s="1488"/>
      <c r="AB493" s="1488"/>
      <c r="AC493" s="1488"/>
      <c r="AD493" s="1488"/>
      <c r="AE493" s="1488"/>
      <c r="AF493" s="1488"/>
      <c r="AG493" s="1488"/>
      <c r="AH493" s="1451">
        <f t="shared" si="284"/>
        <v>0</v>
      </c>
      <c r="AI493" s="1488"/>
      <c r="AJ493" s="1488"/>
      <c r="AK493" s="1488"/>
      <c r="AL493" s="1488"/>
      <c r="AM493" s="1488"/>
      <c r="AN493" s="1488"/>
      <c r="AO493" s="1488"/>
      <c r="AP493" s="1488"/>
      <c r="AQ493" s="1488"/>
      <c r="AR493" s="1488"/>
      <c r="AS493" s="1488"/>
      <c r="AT493" s="1542"/>
      <c r="AU493" s="1599">
        <f t="shared" si="285"/>
        <v>0</v>
      </c>
      <c r="AV493" s="1544">
        <f t="shared" si="313"/>
        <v>0</v>
      </c>
      <c r="AW493" s="1452">
        <f t="shared" si="286"/>
        <v>0</v>
      </c>
      <c r="AX493" s="1452">
        <f t="shared" si="287"/>
        <v>0</v>
      </c>
      <c r="AY493" s="1452">
        <f t="shared" si="288"/>
        <v>0</v>
      </c>
      <c r="AZ493" s="1452">
        <f t="shared" si="289"/>
        <v>0</v>
      </c>
      <c r="BA493" s="1452">
        <f t="shared" si="290"/>
        <v>0</v>
      </c>
      <c r="BB493" s="1452">
        <f t="shared" si="291"/>
        <v>0</v>
      </c>
      <c r="BC493" s="1452">
        <f t="shared" si="292"/>
        <v>0</v>
      </c>
      <c r="BD493" s="1452">
        <f t="shared" si="293"/>
        <v>0</v>
      </c>
      <c r="BE493" s="1452">
        <f t="shared" si="294"/>
        <v>0</v>
      </c>
      <c r="BF493" s="1452">
        <f t="shared" si="295"/>
        <v>0</v>
      </c>
      <c r="BG493" s="1452">
        <f t="shared" si="296"/>
        <v>0</v>
      </c>
      <c r="BH493" s="1452">
        <f t="shared" si="297"/>
        <v>0</v>
      </c>
      <c r="BI493" s="1452">
        <f t="shared" si="314"/>
        <v>0</v>
      </c>
      <c r="BJ493" s="1452" t="str">
        <f t="shared" si="298"/>
        <v/>
      </c>
      <c r="BK493" s="1452" t="str">
        <f t="shared" si="299"/>
        <v/>
      </c>
      <c r="BL493" s="1452" t="str">
        <f t="shared" si="300"/>
        <v/>
      </c>
      <c r="BM493" s="1452" t="str">
        <f t="shared" si="301"/>
        <v/>
      </c>
      <c r="BN493" s="1452" t="str">
        <f t="shared" ca="1" si="302"/>
        <v/>
      </c>
      <c r="BO493" s="1452" t="str">
        <f t="shared" si="315"/>
        <v/>
      </c>
      <c r="BP493" s="1452" t="str">
        <f t="shared" si="303"/>
        <v/>
      </c>
      <c r="BQ493" s="1452" t="str">
        <f t="shared" si="304"/>
        <v/>
      </c>
      <c r="BR493" s="1452" t="str">
        <f t="shared" si="305"/>
        <v/>
      </c>
      <c r="BS493" s="1452" t="str">
        <f t="shared" si="306"/>
        <v/>
      </c>
      <c r="BT493" s="1452" t="str">
        <f t="shared" si="307"/>
        <v/>
      </c>
      <c r="BU493" s="1452" t="str">
        <f t="shared" si="308"/>
        <v/>
      </c>
      <c r="BV493" s="1452" t="str">
        <f t="shared" si="309"/>
        <v/>
      </c>
      <c r="BW493" s="1558">
        <f t="shared" ca="1" si="316"/>
        <v>0</v>
      </c>
    </row>
    <row r="494" spans="1:75" s="9" customFormat="1" ht="12.5">
      <c r="A494" s="1483" t="str">
        <f t="shared" si="310"/>
        <v>Public Health Wales Trust</v>
      </c>
      <c r="B494" s="1583"/>
      <c r="C494" s="1583"/>
      <c r="D494" s="1583"/>
      <c r="E494" s="1581"/>
      <c r="F494" s="1436"/>
      <c r="G494" s="1547">
        <f t="shared" si="311"/>
        <v>0</v>
      </c>
      <c r="H494" s="1484"/>
      <c r="I494" s="1547">
        <f t="shared" si="312"/>
        <v>0</v>
      </c>
      <c r="J494" s="1485"/>
      <c r="K494" s="1485"/>
      <c r="L494" s="1436"/>
      <c r="M494" s="1439"/>
      <c r="N494" s="1439"/>
      <c r="O494" s="1485"/>
      <c r="P494" s="1486"/>
      <c r="Q494" s="1486"/>
      <c r="R494" s="1487"/>
      <c r="S494" s="1444"/>
      <c r="T494" s="1444"/>
      <c r="U494" s="1444"/>
      <c r="V494" s="1488"/>
      <c r="W494" s="1488"/>
      <c r="X494" s="1488"/>
      <c r="Y494" s="1488"/>
      <c r="Z494" s="1488"/>
      <c r="AA494" s="1488"/>
      <c r="AB494" s="1488"/>
      <c r="AC494" s="1488"/>
      <c r="AD494" s="1488"/>
      <c r="AE494" s="1488"/>
      <c r="AF494" s="1488"/>
      <c r="AG494" s="1488"/>
      <c r="AH494" s="1451">
        <f t="shared" si="284"/>
        <v>0</v>
      </c>
      <c r="AI494" s="1488"/>
      <c r="AJ494" s="1488"/>
      <c r="AK494" s="1488"/>
      <c r="AL494" s="1488"/>
      <c r="AM494" s="1488"/>
      <c r="AN494" s="1488"/>
      <c r="AO494" s="1488"/>
      <c r="AP494" s="1488"/>
      <c r="AQ494" s="1488"/>
      <c r="AR494" s="1488"/>
      <c r="AS494" s="1488"/>
      <c r="AT494" s="1542"/>
      <c r="AU494" s="1599">
        <f t="shared" si="285"/>
        <v>0</v>
      </c>
      <c r="AV494" s="1544">
        <f t="shared" si="313"/>
        <v>0</v>
      </c>
      <c r="AW494" s="1452">
        <f t="shared" si="286"/>
        <v>0</v>
      </c>
      <c r="AX494" s="1452">
        <f t="shared" si="287"/>
        <v>0</v>
      </c>
      <c r="AY494" s="1452">
        <f t="shared" si="288"/>
        <v>0</v>
      </c>
      <c r="AZ494" s="1452">
        <f t="shared" si="289"/>
        <v>0</v>
      </c>
      <c r="BA494" s="1452">
        <f t="shared" si="290"/>
        <v>0</v>
      </c>
      <c r="BB494" s="1452">
        <f t="shared" si="291"/>
        <v>0</v>
      </c>
      <c r="BC494" s="1452">
        <f t="shared" si="292"/>
        <v>0</v>
      </c>
      <c r="BD494" s="1452">
        <f t="shared" si="293"/>
        <v>0</v>
      </c>
      <c r="BE494" s="1452">
        <f t="shared" si="294"/>
        <v>0</v>
      </c>
      <c r="BF494" s="1452">
        <f t="shared" si="295"/>
        <v>0</v>
      </c>
      <c r="BG494" s="1452">
        <f t="shared" si="296"/>
        <v>0</v>
      </c>
      <c r="BH494" s="1452">
        <f t="shared" si="297"/>
        <v>0</v>
      </c>
      <c r="BI494" s="1452">
        <f t="shared" si="314"/>
        <v>0</v>
      </c>
      <c r="BJ494" s="1452" t="str">
        <f t="shared" si="298"/>
        <v/>
      </c>
      <c r="BK494" s="1452" t="str">
        <f t="shared" si="299"/>
        <v/>
      </c>
      <c r="BL494" s="1452" t="str">
        <f t="shared" si="300"/>
        <v/>
      </c>
      <c r="BM494" s="1452" t="str">
        <f t="shared" si="301"/>
        <v/>
      </c>
      <c r="BN494" s="1452" t="str">
        <f t="shared" ca="1" si="302"/>
        <v/>
      </c>
      <c r="BO494" s="1452" t="str">
        <f t="shared" si="315"/>
        <v/>
      </c>
      <c r="BP494" s="1452" t="str">
        <f t="shared" si="303"/>
        <v/>
      </c>
      <c r="BQ494" s="1452" t="str">
        <f t="shared" si="304"/>
        <v/>
      </c>
      <c r="BR494" s="1452" t="str">
        <f t="shared" si="305"/>
        <v/>
      </c>
      <c r="BS494" s="1452" t="str">
        <f t="shared" si="306"/>
        <v/>
      </c>
      <c r="BT494" s="1452" t="str">
        <f t="shared" si="307"/>
        <v/>
      </c>
      <c r="BU494" s="1452" t="str">
        <f t="shared" si="308"/>
        <v/>
      </c>
      <c r="BV494" s="1452" t="str">
        <f t="shared" si="309"/>
        <v/>
      </c>
      <c r="BW494" s="1558">
        <f t="shared" ca="1" si="316"/>
        <v>0</v>
      </c>
    </row>
    <row r="495" spans="1:75" s="9" customFormat="1" ht="12.5">
      <c r="A495" s="1483" t="str">
        <f t="shared" si="310"/>
        <v>Public Health Wales Trust</v>
      </c>
      <c r="B495" s="1583"/>
      <c r="C495" s="1583"/>
      <c r="D495" s="1583"/>
      <c r="E495" s="1581"/>
      <c r="F495" s="1436"/>
      <c r="G495" s="1547">
        <f t="shared" si="311"/>
        <v>0</v>
      </c>
      <c r="H495" s="1484"/>
      <c r="I495" s="1547">
        <f t="shared" si="312"/>
        <v>0</v>
      </c>
      <c r="J495" s="1485"/>
      <c r="K495" s="1485"/>
      <c r="L495" s="1436"/>
      <c r="M495" s="1439"/>
      <c r="N495" s="1439"/>
      <c r="O495" s="1485"/>
      <c r="P495" s="1486"/>
      <c r="Q495" s="1486"/>
      <c r="R495" s="1487"/>
      <c r="S495" s="1444"/>
      <c r="T495" s="1444"/>
      <c r="U495" s="1444"/>
      <c r="V495" s="1488"/>
      <c r="W495" s="1488"/>
      <c r="X495" s="1488"/>
      <c r="Y495" s="1488"/>
      <c r="Z495" s="1488"/>
      <c r="AA495" s="1488"/>
      <c r="AB495" s="1488"/>
      <c r="AC495" s="1488"/>
      <c r="AD495" s="1488"/>
      <c r="AE495" s="1488"/>
      <c r="AF495" s="1488"/>
      <c r="AG495" s="1488"/>
      <c r="AH495" s="1451">
        <f t="shared" si="284"/>
        <v>0</v>
      </c>
      <c r="AI495" s="1488"/>
      <c r="AJ495" s="1488"/>
      <c r="AK495" s="1488"/>
      <c r="AL495" s="1488"/>
      <c r="AM495" s="1488"/>
      <c r="AN495" s="1488"/>
      <c r="AO495" s="1488"/>
      <c r="AP495" s="1488"/>
      <c r="AQ495" s="1488"/>
      <c r="AR495" s="1488"/>
      <c r="AS495" s="1488"/>
      <c r="AT495" s="1542"/>
      <c r="AU495" s="1599">
        <f t="shared" si="285"/>
        <v>0</v>
      </c>
      <c r="AV495" s="1544">
        <f t="shared" si="313"/>
        <v>0</v>
      </c>
      <c r="AW495" s="1452">
        <f t="shared" si="286"/>
        <v>0</v>
      </c>
      <c r="AX495" s="1452">
        <f t="shared" si="287"/>
        <v>0</v>
      </c>
      <c r="AY495" s="1452">
        <f t="shared" si="288"/>
        <v>0</v>
      </c>
      <c r="AZ495" s="1452">
        <f t="shared" si="289"/>
        <v>0</v>
      </c>
      <c r="BA495" s="1452">
        <f t="shared" si="290"/>
        <v>0</v>
      </c>
      <c r="BB495" s="1452">
        <f t="shared" si="291"/>
        <v>0</v>
      </c>
      <c r="BC495" s="1452">
        <f t="shared" si="292"/>
        <v>0</v>
      </c>
      <c r="BD495" s="1452">
        <f t="shared" si="293"/>
        <v>0</v>
      </c>
      <c r="BE495" s="1452">
        <f t="shared" si="294"/>
        <v>0</v>
      </c>
      <c r="BF495" s="1452">
        <f t="shared" si="295"/>
        <v>0</v>
      </c>
      <c r="BG495" s="1452">
        <f t="shared" si="296"/>
        <v>0</v>
      </c>
      <c r="BH495" s="1452">
        <f t="shared" si="297"/>
        <v>0</v>
      </c>
      <c r="BI495" s="1452">
        <f t="shared" si="314"/>
        <v>0</v>
      </c>
      <c r="BJ495" s="1452" t="str">
        <f t="shared" si="298"/>
        <v/>
      </c>
      <c r="BK495" s="1452" t="str">
        <f t="shared" si="299"/>
        <v/>
      </c>
      <c r="BL495" s="1452" t="str">
        <f t="shared" si="300"/>
        <v/>
      </c>
      <c r="BM495" s="1452" t="str">
        <f t="shared" si="301"/>
        <v/>
      </c>
      <c r="BN495" s="1452" t="str">
        <f t="shared" ca="1" si="302"/>
        <v/>
      </c>
      <c r="BO495" s="1452" t="str">
        <f t="shared" si="315"/>
        <v/>
      </c>
      <c r="BP495" s="1452" t="str">
        <f t="shared" si="303"/>
        <v/>
      </c>
      <c r="BQ495" s="1452" t="str">
        <f t="shared" si="304"/>
        <v/>
      </c>
      <c r="BR495" s="1452" t="str">
        <f t="shared" si="305"/>
        <v/>
      </c>
      <c r="BS495" s="1452" t="str">
        <f t="shared" si="306"/>
        <v/>
      </c>
      <c r="BT495" s="1452" t="str">
        <f t="shared" si="307"/>
        <v/>
      </c>
      <c r="BU495" s="1452" t="str">
        <f t="shared" si="308"/>
        <v/>
      </c>
      <c r="BV495" s="1452" t="str">
        <f t="shared" si="309"/>
        <v/>
      </c>
      <c r="BW495" s="1558">
        <f t="shared" ca="1" si="316"/>
        <v>0</v>
      </c>
    </row>
    <row r="496" spans="1:75" s="9" customFormat="1" ht="12.5">
      <c r="A496" s="1483" t="str">
        <f t="shared" si="310"/>
        <v>Public Health Wales Trust</v>
      </c>
      <c r="B496" s="1583"/>
      <c r="C496" s="1583"/>
      <c r="D496" s="1583"/>
      <c r="E496" s="1581"/>
      <c r="F496" s="1436"/>
      <c r="G496" s="1547">
        <f t="shared" si="311"/>
        <v>0</v>
      </c>
      <c r="H496" s="1484"/>
      <c r="I496" s="1547">
        <f t="shared" si="312"/>
        <v>0</v>
      </c>
      <c r="J496" s="1485"/>
      <c r="K496" s="1485"/>
      <c r="L496" s="1436"/>
      <c r="M496" s="1439"/>
      <c r="N496" s="1439"/>
      <c r="O496" s="1485"/>
      <c r="P496" s="1486"/>
      <c r="Q496" s="1486"/>
      <c r="R496" s="1487"/>
      <c r="S496" s="1444"/>
      <c r="T496" s="1444"/>
      <c r="U496" s="1444"/>
      <c r="V496" s="1488"/>
      <c r="W496" s="1488"/>
      <c r="X496" s="1488"/>
      <c r="Y496" s="1488"/>
      <c r="Z496" s="1488"/>
      <c r="AA496" s="1488"/>
      <c r="AB496" s="1488"/>
      <c r="AC496" s="1488"/>
      <c r="AD496" s="1488"/>
      <c r="AE496" s="1488"/>
      <c r="AF496" s="1488"/>
      <c r="AG496" s="1488"/>
      <c r="AH496" s="1451">
        <f t="shared" si="284"/>
        <v>0</v>
      </c>
      <c r="AI496" s="1488"/>
      <c r="AJ496" s="1488"/>
      <c r="AK496" s="1488"/>
      <c r="AL496" s="1488"/>
      <c r="AM496" s="1488"/>
      <c r="AN496" s="1488"/>
      <c r="AO496" s="1488"/>
      <c r="AP496" s="1488"/>
      <c r="AQ496" s="1488"/>
      <c r="AR496" s="1488"/>
      <c r="AS496" s="1488"/>
      <c r="AT496" s="1542"/>
      <c r="AU496" s="1599">
        <f t="shared" si="285"/>
        <v>0</v>
      </c>
      <c r="AV496" s="1544">
        <f t="shared" si="313"/>
        <v>0</v>
      </c>
      <c r="AW496" s="1452">
        <f t="shared" si="286"/>
        <v>0</v>
      </c>
      <c r="AX496" s="1452">
        <f t="shared" si="287"/>
        <v>0</v>
      </c>
      <c r="AY496" s="1452">
        <f t="shared" si="288"/>
        <v>0</v>
      </c>
      <c r="AZ496" s="1452">
        <f t="shared" si="289"/>
        <v>0</v>
      </c>
      <c r="BA496" s="1452">
        <f t="shared" si="290"/>
        <v>0</v>
      </c>
      <c r="BB496" s="1452">
        <f t="shared" si="291"/>
        <v>0</v>
      </c>
      <c r="BC496" s="1452">
        <f t="shared" si="292"/>
        <v>0</v>
      </c>
      <c r="BD496" s="1452">
        <f t="shared" si="293"/>
        <v>0</v>
      </c>
      <c r="BE496" s="1452">
        <f t="shared" si="294"/>
        <v>0</v>
      </c>
      <c r="BF496" s="1452">
        <f t="shared" si="295"/>
        <v>0</v>
      </c>
      <c r="BG496" s="1452">
        <f t="shared" si="296"/>
        <v>0</v>
      </c>
      <c r="BH496" s="1452">
        <f t="shared" si="297"/>
        <v>0</v>
      </c>
      <c r="BI496" s="1452">
        <f t="shared" si="314"/>
        <v>0</v>
      </c>
      <c r="BJ496" s="1452" t="str">
        <f t="shared" si="298"/>
        <v/>
      </c>
      <c r="BK496" s="1452" t="str">
        <f t="shared" si="299"/>
        <v/>
      </c>
      <c r="BL496" s="1452" t="str">
        <f t="shared" si="300"/>
        <v/>
      </c>
      <c r="BM496" s="1452" t="str">
        <f t="shared" si="301"/>
        <v/>
      </c>
      <c r="BN496" s="1452" t="str">
        <f t="shared" ca="1" si="302"/>
        <v/>
      </c>
      <c r="BO496" s="1452" t="str">
        <f t="shared" si="315"/>
        <v/>
      </c>
      <c r="BP496" s="1452" t="str">
        <f t="shared" si="303"/>
        <v/>
      </c>
      <c r="BQ496" s="1452" t="str">
        <f t="shared" si="304"/>
        <v/>
      </c>
      <c r="BR496" s="1452" t="str">
        <f t="shared" si="305"/>
        <v/>
      </c>
      <c r="BS496" s="1452" t="str">
        <f t="shared" si="306"/>
        <v/>
      </c>
      <c r="BT496" s="1452" t="str">
        <f t="shared" si="307"/>
        <v/>
      </c>
      <c r="BU496" s="1452" t="str">
        <f t="shared" si="308"/>
        <v/>
      </c>
      <c r="BV496" s="1452" t="str">
        <f t="shared" si="309"/>
        <v/>
      </c>
      <c r="BW496" s="1558">
        <f t="shared" ca="1" si="316"/>
        <v>0</v>
      </c>
    </row>
    <row r="497" spans="1:75" s="9" customFormat="1" ht="12.5">
      <c r="A497" s="1483" t="str">
        <f t="shared" si="310"/>
        <v>Public Health Wales Trust</v>
      </c>
      <c r="B497" s="1583"/>
      <c r="C497" s="1583"/>
      <c r="D497" s="1583"/>
      <c r="E497" s="1581"/>
      <c r="F497" s="1436"/>
      <c r="G497" s="1547">
        <f t="shared" si="311"/>
        <v>0</v>
      </c>
      <c r="H497" s="1484"/>
      <c r="I497" s="1547">
        <f t="shared" si="312"/>
        <v>0</v>
      </c>
      <c r="J497" s="1485"/>
      <c r="K497" s="1485"/>
      <c r="L497" s="1436"/>
      <c r="M497" s="1439"/>
      <c r="N497" s="1439"/>
      <c r="O497" s="1485"/>
      <c r="P497" s="1486"/>
      <c r="Q497" s="1486"/>
      <c r="R497" s="1487"/>
      <c r="S497" s="1444"/>
      <c r="T497" s="1444"/>
      <c r="U497" s="1444"/>
      <c r="V497" s="1488"/>
      <c r="W497" s="1488"/>
      <c r="X497" s="1488"/>
      <c r="Y497" s="1488"/>
      <c r="Z497" s="1488"/>
      <c r="AA497" s="1488"/>
      <c r="AB497" s="1488"/>
      <c r="AC497" s="1488"/>
      <c r="AD497" s="1488"/>
      <c r="AE497" s="1488"/>
      <c r="AF497" s="1488"/>
      <c r="AG497" s="1488"/>
      <c r="AH497" s="1451">
        <f t="shared" si="284"/>
        <v>0</v>
      </c>
      <c r="AI497" s="1488"/>
      <c r="AJ497" s="1488"/>
      <c r="AK497" s="1488"/>
      <c r="AL497" s="1488"/>
      <c r="AM497" s="1488"/>
      <c r="AN497" s="1488"/>
      <c r="AO497" s="1488"/>
      <c r="AP497" s="1488"/>
      <c r="AQ497" s="1488"/>
      <c r="AR497" s="1488"/>
      <c r="AS497" s="1488"/>
      <c r="AT497" s="1542"/>
      <c r="AU497" s="1599">
        <f t="shared" si="285"/>
        <v>0</v>
      </c>
      <c r="AV497" s="1544">
        <f t="shared" si="313"/>
        <v>0</v>
      </c>
      <c r="AW497" s="1452">
        <f t="shared" si="286"/>
        <v>0</v>
      </c>
      <c r="AX497" s="1452">
        <f t="shared" si="287"/>
        <v>0</v>
      </c>
      <c r="AY497" s="1452">
        <f t="shared" si="288"/>
        <v>0</v>
      </c>
      <c r="AZ497" s="1452">
        <f t="shared" si="289"/>
        <v>0</v>
      </c>
      <c r="BA497" s="1452">
        <f t="shared" si="290"/>
        <v>0</v>
      </c>
      <c r="BB497" s="1452">
        <f t="shared" si="291"/>
        <v>0</v>
      </c>
      <c r="BC497" s="1452">
        <f t="shared" si="292"/>
        <v>0</v>
      </c>
      <c r="BD497" s="1452">
        <f t="shared" si="293"/>
        <v>0</v>
      </c>
      <c r="BE497" s="1452">
        <f t="shared" si="294"/>
        <v>0</v>
      </c>
      <c r="BF497" s="1452">
        <f t="shared" si="295"/>
        <v>0</v>
      </c>
      <c r="BG497" s="1452">
        <f t="shared" si="296"/>
        <v>0</v>
      </c>
      <c r="BH497" s="1452">
        <f t="shared" si="297"/>
        <v>0</v>
      </c>
      <c r="BI497" s="1452">
        <f t="shared" si="314"/>
        <v>0</v>
      </c>
      <c r="BJ497" s="1452" t="str">
        <f t="shared" si="298"/>
        <v/>
      </c>
      <c r="BK497" s="1452" t="str">
        <f t="shared" si="299"/>
        <v/>
      </c>
      <c r="BL497" s="1452" t="str">
        <f t="shared" si="300"/>
        <v/>
      </c>
      <c r="BM497" s="1452" t="str">
        <f t="shared" si="301"/>
        <v/>
      </c>
      <c r="BN497" s="1452" t="str">
        <f t="shared" ca="1" si="302"/>
        <v/>
      </c>
      <c r="BO497" s="1452" t="str">
        <f t="shared" si="315"/>
        <v/>
      </c>
      <c r="BP497" s="1452" t="str">
        <f t="shared" si="303"/>
        <v/>
      </c>
      <c r="BQ497" s="1452" t="str">
        <f t="shared" si="304"/>
        <v/>
      </c>
      <c r="BR497" s="1452" t="str">
        <f t="shared" si="305"/>
        <v/>
      </c>
      <c r="BS497" s="1452" t="str">
        <f t="shared" si="306"/>
        <v/>
      </c>
      <c r="BT497" s="1452" t="str">
        <f t="shared" si="307"/>
        <v/>
      </c>
      <c r="BU497" s="1452" t="str">
        <f t="shared" si="308"/>
        <v/>
      </c>
      <c r="BV497" s="1452" t="str">
        <f t="shared" si="309"/>
        <v/>
      </c>
      <c r="BW497" s="1558">
        <f t="shared" ca="1" si="316"/>
        <v>0</v>
      </c>
    </row>
    <row r="498" spans="1:75" s="9" customFormat="1" ht="12.5">
      <c r="A498" s="1483" t="str">
        <f t="shared" si="310"/>
        <v>Public Health Wales Trust</v>
      </c>
      <c r="B498" s="1583"/>
      <c r="C498" s="1583"/>
      <c r="D498" s="1583"/>
      <c r="E498" s="1581"/>
      <c r="F498" s="1436"/>
      <c r="G498" s="1547">
        <f t="shared" si="311"/>
        <v>0</v>
      </c>
      <c r="H498" s="1484"/>
      <c r="I498" s="1547">
        <f t="shared" si="312"/>
        <v>0</v>
      </c>
      <c r="J498" s="1485"/>
      <c r="K498" s="1485"/>
      <c r="L498" s="1436"/>
      <c r="M498" s="1439"/>
      <c r="N498" s="1439"/>
      <c r="O498" s="1485"/>
      <c r="P498" s="1486"/>
      <c r="Q498" s="1486"/>
      <c r="R498" s="1487"/>
      <c r="S498" s="1444"/>
      <c r="T498" s="1444"/>
      <c r="U498" s="1444"/>
      <c r="V498" s="1488"/>
      <c r="W498" s="1488"/>
      <c r="X498" s="1488"/>
      <c r="Y498" s="1488"/>
      <c r="Z498" s="1488"/>
      <c r="AA498" s="1488"/>
      <c r="AB498" s="1488"/>
      <c r="AC498" s="1488"/>
      <c r="AD498" s="1488"/>
      <c r="AE498" s="1488"/>
      <c r="AF498" s="1488"/>
      <c r="AG498" s="1488"/>
      <c r="AH498" s="1451">
        <f t="shared" si="284"/>
        <v>0</v>
      </c>
      <c r="AI498" s="1488"/>
      <c r="AJ498" s="1488"/>
      <c r="AK498" s="1488"/>
      <c r="AL498" s="1488"/>
      <c r="AM498" s="1488"/>
      <c r="AN498" s="1488"/>
      <c r="AO498" s="1488"/>
      <c r="AP498" s="1488"/>
      <c r="AQ498" s="1488"/>
      <c r="AR498" s="1488"/>
      <c r="AS498" s="1488"/>
      <c r="AT498" s="1542"/>
      <c r="AU498" s="1599">
        <f t="shared" si="285"/>
        <v>0</v>
      </c>
      <c r="AV498" s="1544">
        <f t="shared" si="313"/>
        <v>0</v>
      </c>
      <c r="AW498" s="1452">
        <f t="shared" si="286"/>
        <v>0</v>
      </c>
      <c r="AX498" s="1452">
        <f t="shared" si="287"/>
        <v>0</v>
      </c>
      <c r="AY498" s="1452">
        <f t="shared" si="288"/>
        <v>0</v>
      </c>
      <c r="AZ498" s="1452">
        <f t="shared" si="289"/>
        <v>0</v>
      </c>
      <c r="BA498" s="1452">
        <f t="shared" si="290"/>
        <v>0</v>
      </c>
      <c r="BB498" s="1452">
        <f t="shared" si="291"/>
        <v>0</v>
      </c>
      <c r="BC498" s="1452">
        <f t="shared" si="292"/>
        <v>0</v>
      </c>
      <c r="BD498" s="1452">
        <f t="shared" si="293"/>
        <v>0</v>
      </c>
      <c r="BE498" s="1452">
        <f t="shared" si="294"/>
        <v>0</v>
      </c>
      <c r="BF498" s="1452">
        <f t="shared" si="295"/>
        <v>0</v>
      </c>
      <c r="BG498" s="1452">
        <f t="shared" si="296"/>
        <v>0</v>
      </c>
      <c r="BH498" s="1452">
        <f t="shared" si="297"/>
        <v>0</v>
      </c>
      <c r="BI498" s="1452">
        <f t="shared" si="314"/>
        <v>0</v>
      </c>
      <c r="BJ498" s="1452" t="str">
        <f t="shared" si="298"/>
        <v/>
      </c>
      <c r="BK498" s="1452" t="str">
        <f t="shared" si="299"/>
        <v/>
      </c>
      <c r="BL498" s="1452" t="str">
        <f t="shared" si="300"/>
        <v/>
      </c>
      <c r="BM498" s="1452" t="str">
        <f t="shared" si="301"/>
        <v/>
      </c>
      <c r="BN498" s="1452" t="str">
        <f t="shared" ca="1" si="302"/>
        <v/>
      </c>
      <c r="BO498" s="1452" t="str">
        <f t="shared" si="315"/>
        <v/>
      </c>
      <c r="BP498" s="1452" t="str">
        <f t="shared" si="303"/>
        <v/>
      </c>
      <c r="BQ498" s="1452" t="str">
        <f t="shared" si="304"/>
        <v/>
      </c>
      <c r="BR498" s="1452" t="str">
        <f t="shared" si="305"/>
        <v/>
      </c>
      <c r="BS498" s="1452" t="str">
        <f t="shared" si="306"/>
        <v/>
      </c>
      <c r="BT498" s="1452" t="str">
        <f t="shared" si="307"/>
        <v/>
      </c>
      <c r="BU498" s="1452" t="str">
        <f t="shared" si="308"/>
        <v/>
      </c>
      <c r="BV498" s="1452" t="str">
        <f t="shared" si="309"/>
        <v/>
      </c>
      <c r="BW498" s="1558">
        <f t="shared" ca="1" si="316"/>
        <v>0</v>
      </c>
    </row>
    <row r="499" spans="1:75" s="9" customFormat="1" ht="12.5">
      <c r="A499" s="1483" t="str">
        <f t="shared" si="310"/>
        <v>Public Health Wales Trust</v>
      </c>
      <c r="B499" s="1583"/>
      <c r="C499" s="1583"/>
      <c r="D499" s="1583"/>
      <c r="E499" s="1581"/>
      <c r="F499" s="1436"/>
      <c r="G499" s="1547">
        <f t="shared" si="311"/>
        <v>0</v>
      </c>
      <c r="H499" s="1484"/>
      <c r="I499" s="1547">
        <f t="shared" si="312"/>
        <v>0</v>
      </c>
      <c r="J499" s="1485"/>
      <c r="K499" s="1485"/>
      <c r="L499" s="1436"/>
      <c r="M499" s="1439"/>
      <c r="N499" s="1439"/>
      <c r="O499" s="1485"/>
      <c r="P499" s="1486"/>
      <c r="Q499" s="1486"/>
      <c r="R499" s="1487"/>
      <c r="S499" s="1444"/>
      <c r="T499" s="1444"/>
      <c r="U499" s="1444"/>
      <c r="V499" s="1488"/>
      <c r="W499" s="1488"/>
      <c r="X499" s="1488"/>
      <c r="Y499" s="1488"/>
      <c r="Z499" s="1488"/>
      <c r="AA499" s="1488"/>
      <c r="AB499" s="1488"/>
      <c r="AC499" s="1488"/>
      <c r="AD499" s="1488"/>
      <c r="AE499" s="1488"/>
      <c r="AF499" s="1488"/>
      <c r="AG499" s="1488"/>
      <c r="AH499" s="1451">
        <f t="shared" si="284"/>
        <v>0</v>
      </c>
      <c r="AI499" s="1488"/>
      <c r="AJ499" s="1488"/>
      <c r="AK499" s="1488"/>
      <c r="AL499" s="1488"/>
      <c r="AM499" s="1488"/>
      <c r="AN499" s="1488"/>
      <c r="AO499" s="1488"/>
      <c r="AP499" s="1488"/>
      <c r="AQ499" s="1488"/>
      <c r="AR499" s="1488"/>
      <c r="AS499" s="1488"/>
      <c r="AT499" s="1542"/>
      <c r="AU499" s="1599">
        <f t="shared" si="285"/>
        <v>0</v>
      </c>
      <c r="AV499" s="1544">
        <f t="shared" si="313"/>
        <v>0</v>
      </c>
      <c r="AW499" s="1452">
        <f t="shared" si="286"/>
        <v>0</v>
      </c>
      <c r="AX499" s="1452">
        <f t="shared" si="287"/>
        <v>0</v>
      </c>
      <c r="AY499" s="1452">
        <f t="shared" si="288"/>
        <v>0</v>
      </c>
      <c r="AZ499" s="1452">
        <f t="shared" si="289"/>
        <v>0</v>
      </c>
      <c r="BA499" s="1452">
        <f t="shared" si="290"/>
        <v>0</v>
      </c>
      <c r="BB499" s="1452">
        <f t="shared" si="291"/>
        <v>0</v>
      </c>
      <c r="BC499" s="1452">
        <f t="shared" si="292"/>
        <v>0</v>
      </c>
      <c r="BD499" s="1452">
        <f t="shared" si="293"/>
        <v>0</v>
      </c>
      <c r="BE499" s="1452">
        <f t="shared" si="294"/>
        <v>0</v>
      </c>
      <c r="BF499" s="1452">
        <f t="shared" si="295"/>
        <v>0</v>
      </c>
      <c r="BG499" s="1452">
        <f t="shared" si="296"/>
        <v>0</v>
      </c>
      <c r="BH499" s="1452">
        <f t="shared" si="297"/>
        <v>0</v>
      </c>
      <c r="BI499" s="1452">
        <f t="shared" si="314"/>
        <v>0</v>
      </c>
      <c r="BJ499" s="1452" t="str">
        <f t="shared" si="298"/>
        <v/>
      </c>
      <c r="BK499" s="1452" t="str">
        <f t="shared" si="299"/>
        <v/>
      </c>
      <c r="BL499" s="1452" t="str">
        <f t="shared" si="300"/>
        <v/>
      </c>
      <c r="BM499" s="1452" t="str">
        <f t="shared" si="301"/>
        <v/>
      </c>
      <c r="BN499" s="1452" t="str">
        <f t="shared" ca="1" si="302"/>
        <v/>
      </c>
      <c r="BO499" s="1452" t="str">
        <f t="shared" si="315"/>
        <v/>
      </c>
      <c r="BP499" s="1452" t="str">
        <f t="shared" si="303"/>
        <v/>
      </c>
      <c r="BQ499" s="1452" t="str">
        <f t="shared" si="304"/>
        <v/>
      </c>
      <c r="BR499" s="1452" t="str">
        <f t="shared" si="305"/>
        <v/>
      </c>
      <c r="BS499" s="1452" t="str">
        <f t="shared" si="306"/>
        <v/>
      </c>
      <c r="BT499" s="1452" t="str">
        <f t="shared" si="307"/>
        <v/>
      </c>
      <c r="BU499" s="1452" t="str">
        <f t="shared" si="308"/>
        <v/>
      </c>
      <c r="BV499" s="1452" t="str">
        <f t="shared" si="309"/>
        <v/>
      </c>
      <c r="BW499" s="1558">
        <f t="shared" ca="1" si="316"/>
        <v>0</v>
      </c>
    </row>
    <row r="500" spans="1:75" s="9" customFormat="1" ht="12.5">
      <c r="A500" s="1483" t="str">
        <f t="shared" si="310"/>
        <v>Public Health Wales Trust</v>
      </c>
      <c r="B500" s="1583"/>
      <c r="C500" s="1583"/>
      <c r="D500" s="1583"/>
      <c r="E500" s="1581"/>
      <c r="F500" s="1436"/>
      <c r="G500" s="1547">
        <f t="shared" si="311"/>
        <v>0</v>
      </c>
      <c r="H500" s="1484"/>
      <c r="I500" s="1547">
        <f t="shared" si="312"/>
        <v>0</v>
      </c>
      <c r="J500" s="1485"/>
      <c r="K500" s="1485"/>
      <c r="L500" s="1436"/>
      <c r="M500" s="1439"/>
      <c r="N500" s="1439"/>
      <c r="O500" s="1485"/>
      <c r="P500" s="1486"/>
      <c r="Q500" s="1486"/>
      <c r="R500" s="1487"/>
      <c r="S500" s="1444"/>
      <c r="T500" s="1444"/>
      <c r="U500" s="1444"/>
      <c r="V500" s="1488"/>
      <c r="W500" s="1488"/>
      <c r="X500" s="1488"/>
      <c r="Y500" s="1488"/>
      <c r="Z500" s="1488"/>
      <c r="AA500" s="1488"/>
      <c r="AB500" s="1488"/>
      <c r="AC500" s="1488"/>
      <c r="AD500" s="1488"/>
      <c r="AE500" s="1488"/>
      <c r="AF500" s="1488"/>
      <c r="AG500" s="1488"/>
      <c r="AH500" s="1451">
        <f t="shared" si="284"/>
        <v>0</v>
      </c>
      <c r="AI500" s="1488"/>
      <c r="AJ500" s="1488"/>
      <c r="AK500" s="1488"/>
      <c r="AL500" s="1488"/>
      <c r="AM500" s="1488"/>
      <c r="AN500" s="1488"/>
      <c r="AO500" s="1488"/>
      <c r="AP500" s="1488"/>
      <c r="AQ500" s="1488"/>
      <c r="AR500" s="1488"/>
      <c r="AS500" s="1488"/>
      <c r="AT500" s="1542"/>
      <c r="AU500" s="1599">
        <f t="shared" si="285"/>
        <v>0</v>
      </c>
      <c r="AV500" s="1544">
        <f t="shared" si="313"/>
        <v>0</v>
      </c>
      <c r="AW500" s="1452">
        <f t="shared" si="286"/>
        <v>0</v>
      </c>
      <c r="AX500" s="1452">
        <f t="shared" si="287"/>
        <v>0</v>
      </c>
      <c r="AY500" s="1452">
        <f t="shared" si="288"/>
        <v>0</v>
      </c>
      <c r="AZ500" s="1452">
        <f t="shared" si="289"/>
        <v>0</v>
      </c>
      <c r="BA500" s="1452">
        <f t="shared" si="290"/>
        <v>0</v>
      </c>
      <c r="BB500" s="1452">
        <f t="shared" si="291"/>
        <v>0</v>
      </c>
      <c r="BC500" s="1452">
        <f t="shared" si="292"/>
        <v>0</v>
      </c>
      <c r="BD500" s="1452">
        <f t="shared" si="293"/>
        <v>0</v>
      </c>
      <c r="BE500" s="1452">
        <f t="shared" si="294"/>
        <v>0</v>
      </c>
      <c r="BF500" s="1452">
        <f t="shared" si="295"/>
        <v>0</v>
      </c>
      <c r="BG500" s="1452">
        <f t="shared" si="296"/>
        <v>0</v>
      </c>
      <c r="BH500" s="1452">
        <f t="shared" si="297"/>
        <v>0</v>
      </c>
      <c r="BI500" s="1452">
        <f t="shared" si="314"/>
        <v>0</v>
      </c>
      <c r="BJ500" s="1452" t="str">
        <f t="shared" si="298"/>
        <v/>
      </c>
      <c r="BK500" s="1452" t="str">
        <f t="shared" si="299"/>
        <v/>
      </c>
      <c r="BL500" s="1452" t="str">
        <f t="shared" si="300"/>
        <v/>
      </c>
      <c r="BM500" s="1452" t="str">
        <f t="shared" si="301"/>
        <v/>
      </c>
      <c r="BN500" s="1452" t="str">
        <f t="shared" ca="1" si="302"/>
        <v/>
      </c>
      <c r="BO500" s="1452" t="str">
        <f t="shared" si="315"/>
        <v/>
      </c>
      <c r="BP500" s="1452" t="str">
        <f t="shared" si="303"/>
        <v/>
      </c>
      <c r="BQ500" s="1452" t="str">
        <f t="shared" si="304"/>
        <v/>
      </c>
      <c r="BR500" s="1452" t="str">
        <f t="shared" si="305"/>
        <v/>
      </c>
      <c r="BS500" s="1452" t="str">
        <f t="shared" si="306"/>
        <v/>
      </c>
      <c r="BT500" s="1452" t="str">
        <f t="shared" si="307"/>
        <v/>
      </c>
      <c r="BU500" s="1452" t="str">
        <f t="shared" si="308"/>
        <v/>
      </c>
      <c r="BV500" s="1452" t="str">
        <f t="shared" si="309"/>
        <v/>
      </c>
      <c r="BW500" s="1558">
        <f t="shared" ca="1" si="316"/>
        <v>0</v>
      </c>
    </row>
    <row r="501" spans="1:75" s="9" customFormat="1" ht="12.5">
      <c r="A501" s="1483" t="str">
        <f t="shared" si="310"/>
        <v>Public Health Wales Trust</v>
      </c>
      <c r="B501" s="1583"/>
      <c r="C501" s="1583"/>
      <c r="D501" s="1583"/>
      <c r="E501" s="1581"/>
      <c r="F501" s="1436"/>
      <c r="G501" s="1547">
        <f t="shared" si="311"/>
        <v>0</v>
      </c>
      <c r="H501" s="1484"/>
      <c r="I501" s="1547">
        <f t="shared" si="312"/>
        <v>0</v>
      </c>
      <c r="J501" s="1485"/>
      <c r="K501" s="1485"/>
      <c r="L501" s="1436"/>
      <c r="M501" s="1439"/>
      <c r="N501" s="1439"/>
      <c r="O501" s="1485"/>
      <c r="P501" s="1486"/>
      <c r="Q501" s="1486"/>
      <c r="R501" s="1487"/>
      <c r="S501" s="1444"/>
      <c r="T501" s="1444"/>
      <c r="U501" s="1444"/>
      <c r="V501" s="1488"/>
      <c r="W501" s="1488"/>
      <c r="X501" s="1488"/>
      <c r="Y501" s="1488"/>
      <c r="Z501" s="1488"/>
      <c r="AA501" s="1488"/>
      <c r="AB501" s="1488"/>
      <c r="AC501" s="1488"/>
      <c r="AD501" s="1488"/>
      <c r="AE501" s="1488"/>
      <c r="AF501" s="1488"/>
      <c r="AG501" s="1488"/>
      <c r="AH501" s="1451">
        <f t="shared" si="284"/>
        <v>0</v>
      </c>
      <c r="AI501" s="1488"/>
      <c r="AJ501" s="1488"/>
      <c r="AK501" s="1488"/>
      <c r="AL501" s="1488"/>
      <c r="AM501" s="1488"/>
      <c r="AN501" s="1488"/>
      <c r="AO501" s="1488"/>
      <c r="AP501" s="1488"/>
      <c r="AQ501" s="1488"/>
      <c r="AR501" s="1488"/>
      <c r="AS501" s="1488"/>
      <c r="AT501" s="1542"/>
      <c r="AU501" s="1599">
        <f t="shared" si="285"/>
        <v>0</v>
      </c>
      <c r="AV501" s="1544">
        <f t="shared" si="313"/>
        <v>0</v>
      </c>
      <c r="AW501" s="1452">
        <f t="shared" si="286"/>
        <v>0</v>
      </c>
      <c r="AX501" s="1452">
        <f t="shared" si="287"/>
        <v>0</v>
      </c>
      <c r="AY501" s="1452">
        <f t="shared" si="288"/>
        <v>0</v>
      </c>
      <c r="AZ501" s="1452">
        <f t="shared" si="289"/>
        <v>0</v>
      </c>
      <c r="BA501" s="1452">
        <f t="shared" si="290"/>
        <v>0</v>
      </c>
      <c r="BB501" s="1452">
        <f t="shared" si="291"/>
        <v>0</v>
      </c>
      <c r="BC501" s="1452">
        <f t="shared" si="292"/>
        <v>0</v>
      </c>
      <c r="BD501" s="1452">
        <f t="shared" si="293"/>
        <v>0</v>
      </c>
      <c r="BE501" s="1452">
        <f t="shared" si="294"/>
        <v>0</v>
      </c>
      <c r="BF501" s="1452">
        <f t="shared" si="295"/>
        <v>0</v>
      </c>
      <c r="BG501" s="1452">
        <f t="shared" si="296"/>
        <v>0</v>
      </c>
      <c r="BH501" s="1452">
        <f t="shared" si="297"/>
        <v>0</v>
      </c>
      <c r="BI501" s="1452">
        <f t="shared" si="314"/>
        <v>0</v>
      </c>
      <c r="BJ501" s="1452" t="str">
        <f t="shared" si="298"/>
        <v/>
      </c>
      <c r="BK501" s="1452" t="str">
        <f t="shared" si="299"/>
        <v/>
      </c>
      <c r="BL501" s="1452" t="str">
        <f t="shared" si="300"/>
        <v/>
      </c>
      <c r="BM501" s="1452" t="str">
        <f t="shared" si="301"/>
        <v/>
      </c>
      <c r="BN501" s="1452" t="str">
        <f t="shared" ca="1" si="302"/>
        <v/>
      </c>
      <c r="BO501" s="1452" t="str">
        <f t="shared" si="315"/>
        <v/>
      </c>
      <c r="BP501" s="1452" t="str">
        <f t="shared" si="303"/>
        <v/>
      </c>
      <c r="BQ501" s="1452" t="str">
        <f t="shared" si="304"/>
        <v/>
      </c>
      <c r="BR501" s="1452" t="str">
        <f t="shared" si="305"/>
        <v/>
      </c>
      <c r="BS501" s="1452" t="str">
        <f t="shared" si="306"/>
        <v/>
      </c>
      <c r="BT501" s="1452" t="str">
        <f t="shared" si="307"/>
        <v/>
      </c>
      <c r="BU501" s="1452" t="str">
        <f t="shared" si="308"/>
        <v/>
      </c>
      <c r="BV501" s="1452" t="str">
        <f t="shared" si="309"/>
        <v/>
      </c>
      <c r="BW501" s="1558">
        <f t="shared" ca="1" si="316"/>
        <v>0</v>
      </c>
    </row>
    <row r="502" spans="1:75" s="9" customFormat="1" ht="12.5">
      <c r="A502" s="1483" t="str">
        <f t="shared" si="310"/>
        <v>Public Health Wales Trust</v>
      </c>
      <c r="B502" s="1583"/>
      <c r="C502" s="1583"/>
      <c r="D502" s="1583"/>
      <c r="E502" s="1581"/>
      <c r="F502" s="1436"/>
      <c r="G502" s="1547">
        <f t="shared" si="311"/>
        <v>0</v>
      </c>
      <c r="H502" s="1484"/>
      <c r="I502" s="1547">
        <f t="shared" si="312"/>
        <v>0</v>
      </c>
      <c r="J502" s="1485"/>
      <c r="K502" s="1485"/>
      <c r="L502" s="1436"/>
      <c r="M502" s="1439"/>
      <c r="N502" s="1439"/>
      <c r="O502" s="1485"/>
      <c r="P502" s="1486"/>
      <c r="Q502" s="1486"/>
      <c r="R502" s="1487"/>
      <c r="S502" s="1444"/>
      <c r="T502" s="1444"/>
      <c r="U502" s="1444"/>
      <c r="V502" s="1488"/>
      <c r="W502" s="1488"/>
      <c r="X502" s="1488"/>
      <c r="Y502" s="1488"/>
      <c r="Z502" s="1488"/>
      <c r="AA502" s="1488"/>
      <c r="AB502" s="1488"/>
      <c r="AC502" s="1488"/>
      <c r="AD502" s="1488"/>
      <c r="AE502" s="1488"/>
      <c r="AF502" s="1488"/>
      <c r="AG502" s="1488"/>
      <c r="AH502" s="1451">
        <f t="shared" si="284"/>
        <v>0</v>
      </c>
      <c r="AI502" s="1488"/>
      <c r="AJ502" s="1488"/>
      <c r="AK502" s="1488"/>
      <c r="AL502" s="1488"/>
      <c r="AM502" s="1488"/>
      <c r="AN502" s="1488"/>
      <c r="AO502" s="1488"/>
      <c r="AP502" s="1488"/>
      <c r="AQ502" s="1488"/>
      <c r="AR502" s="1488"/>
      <c r="AS502" s="1488"/>
      <c r="AT502" s="1542"/>
      <c r="AU502" s="1599">
        <f t="shared" si="285"/>
        <v>0</v>
      </c>
      <c r="AV502" s="1544">
        <f t="shared" si="313"/>
        <v>0</v>
      </c>
      <c r="AW502" s="1452">
        <f t="shared" si="286"/>
        <v>0</v>
      </c>
      <c r="AX502" s="1452">
        <f t="shared" si="287"/>
        <v>0</v>
      </c>
      <c r="AY502" s="1452">
        <f t="shared" si="288"/>
        <v>0</v>
      </c>
      <c r="AZ502" s="1452">
        <f t="shared" si="289"/>
        <v>0</v>
      </c>
      <c r="BA502" s="1452">
        <f t="shared" si="290"/>
        <v>0</v>
      </c>
      <c r="BB502" s="1452">
        <f t="shared" si="291"/>
        <v>0</v>
      </c>
      <c r="BC502" s="1452">
        <f t="shared" si="292"/>
        <v>0</v>
      </c>
      <c r="BD502" s="1452">
        <f t="shared" si="293"/>
        <v>0</v>
      </c>
      <c r="BE502" s="1452">
        <f t="shared" si="294"/>
        <v>0</v>
      </c>
      <c r="BF502" s="1452">
        <f t="shared" si="295"/>
        <v>0</v>
      </c>
      <c r="BG502" s="1452">
        <f t="shared" si="296"/>
        <v>0</v>
      </c>
      <c r="BH502" s="1452">
        <f t="shared" si="297"/>
        <v>0</v>
      </c>
      <c r="BI502" s="1452">
        <f t="shared" si="314"/>
        <v>0</v>
      </c>
      <c r="BJ502" s="1452" t="str">
        <f t="shared" si="298"/>
        <v/>
      </c>
      <c r="BK502" s="1452" t="str">
        <f t="shared" si="299"/>
        <v/>
      </c>
      <c r="BL502" s="1452" t="str">
        <f t="shared" si="300"/>
        <v/>
      </c>
      <c r="BM502" s="1452" t="str">
        <f t="shared" si="301"/>
        <v/>
      </c>
      <c r="BN502" s="1452" t="str">
        <f t="shared" ca="1" si="302"/>
        <v/>
      </c>
      <c r="BO502" s="1452" t="str">
        <f t="shared" si="315"/>
        <v/>
      </c>
      <c r="BP502" s="1452" t="str">
        <f t="shared" si="303"/>
        <v/>
      </c>
      <c r="BQ502" s="1452" t="str">
        <f t="shared" si="304"/>
        <v/>
      </c>
      <c r="BR502" s="1452" t="str">
        <f t="shared" si="305"/>
        <v/>
      </c>
      <c r="BS502" s="1452" t="str">
        <f t="shared" si="306"/>
        <v/>
      </c>
      <c r="BT502" s="1452" t="str">
        <f t="shared" si="307"/>
        <v/>
      </c>
      <c r="BU502" s="1452" t="str">
        <f t="shared" si="308"/>
        <v/>
      </c>
      <c r="BV502" s="1452" t="str">
        <f t="shared" si="309"/>
        <v/>
      </c>
      <c r="BW502" s="1558">
        <f t="shared" ca="1" si="316"/>
        <v>0</v>
      </c>
    </row>
    <row r="503" spans="1:75" s="9" customFormat="1" ht="12.5">
      <c r="A503" s="1483" t="str">
        <f t="shared" si="310"/>
        <v>Public Health Wales Trust</v>
      </c>
      <c r="B503" s="1583"/>
      <c r="C503" s="1583"/>
      <c r="D503" s="1583"/>
      <c r="E503" s="1581"/>
      <c r="F503" s="1436"/>
      <c r="G503" s="1547">
        <f t="shared" si="311"/>
        <v>0</v>
      </c>
      <c r="H503" s="1484"/>
      <c r="I503" s="1547">
        <f t="shared" si="312"/>
        <v>0</v>
      </c>
      <c r="J503" s="1485"/>
      <c r="K503" s="1485"/>
      <c r="L503" s="1436"/>
      <c r="M503" s="1439"/>
      <c r="N503" s="1439"/>
      <c r="O503" s="1485"/>
      <c r="P503" s="1486"/>
      <c r="Q503" s="1486"/>
      <c r="R503" s="1487"/>
      <c r="S503" s="1444"/>
      <c r="T503" s="1444"/>
      <c r="U503" s="1444"/>
      <c r="V503" s="1488"/>
      <c r="W503" s="1488"/>
      <c r="X503" s="1488"/>
      <c r="Y503" s="1488"/>
      <c r="Z503" s="1488"/>
      <c r="AA503" s="1488"/>
      <c r="AB503" s="1488"/>
      <c r="AC503" s="1488"/>
      <c r="AD503" s="1488"/>
      <c r="AE503" s="1488"/>
      <c r="AF503" s="1488"/>
      <c r="AG503" s="1488"/>
      <c r="AH503" s="1451">
        <f t="shared" si="284"/>
        <v>0</v>
      </c>
      <c r="AI503" s="1488"/>
      <c r="AJ503" s="1488"/>
      <c r="AK503" s="1488"/>
      <c r="AL503" s="1488"/>
      <c r="AM503" s="1488"/>
      <c r="AN503" s="1488"/>
      <c r="AO503" s="1488"/>
      <c r="AP503" s="1488"/>
      <c r="AQ503" s="1488"/>
      <c r="AR503" s="1488"/>
      <c r="AS503" s="1488"/>
      <c r="AT503" s="1542"/>
      <c r="AU503" s="1599">
        <f t="shared" si="285"/>
        <v>0</v>
      </c>
      <c r="AV503" s="1544">
        <f t="shared" si="313"/>
        <v>0</v>
      </c>
      <c r="AW503" s="1452">
        <f t="shared" si="286"/>
        <v>0</v>
      </c>
      <c r="AX503" s="1452">
        <f t="shared" si="287"/>
        <v>0</v>
      </c>
      <c r="AY503" s="1452">
        <f t="shared" si="288"/>
        <v>0</v>
      </c>
      <c r="AZ503" s="1452">
        <f t="shared" si="289"/>
        <v>0</v>
      </c>
      <c r="BA503" s="1452">
        <f t="shared" si="290"/>
        <v>0</v>
      </c>
      <c r="BB503" s="1452">
        <f t="shared" si="291"/>
        <v>0</v>
      </c>
      <c r="BC503" s="1452">
        <f t="shared" si="292"/>
        <v>0</v>
      </c>
      <c r="BD503" s="1452">
        <f t="shared" si="293"/>
        <v>0</v>
      </c>
      <c r="BE503" s="1452">
        <f t="shared" si="294"/>
        <v>0</v>
      </c>
      <c r="BF503" s="1452">
        <f t="shared" si="295"/>
        <v>0</v>
      </c>
      <c r="BG503" s="1452">
        <f t="shared" si="296"/>
        <v>0</v>
      </c>
      <c r="BH503" s="1452">
        <f t="shared" si="297"/>
        <v>0</v>
      </c>
      <c r="BI503" s="1452">
        <f t="shared" si="314"/>
        <v>0</v>
      </c>
      <c r="BJ503" s="1452" t="str">
        <f t="shared" si="298"/>
        <v/>
      </c>
      <c r="BK503" s="1452" t="str">
        <f t="shared" si="299"/>
        <v/>
      </c>
      <c r="BL503" s="1452" t="str">
        <f t="shared" si="300"/>
        <v/>
      </c>
      <c r="BM503" s="1452" t="str">
        <f t="shared" si="301"/>
        <v/>
      </c>
      <c r="BN503" s="1452" t="str">
        <f t="shared" ca="1" si="302"/>
        <v/>
      </c>
      <c r="BO503" s="1452" t="str">
        <f t="shared" si="315"/>
        <v/>
      </c>
      <c r="BP503" s="1452" t="str">
        <f t="shared" si="303"/>
        <v/>
      </c>
      <c r="BQ503" s="1452" t="str">
        <f t="shared" si="304"/>
        <v/>
      </c>
      <c r="BR503" s="1452" t="str">
        <f t="shared" si="305"/>
        <v/>
      </c>
      <c r="BS503" s="1452" t="str">
        <f t="shared" si="306"/>
        <v/>
      </c>
      <c r="BT503" s="1452" t="str">
        <f t="shared" si="307"/>
        <v/>
      </c>
      <c r="BU503" s="1452" t="str">
        <f t="shared" si="308"/>
        <v/>
      </c>
      <c r="BV503" s="1452" t="str">
        <f t="shared" si="309"/>
        <v/>
      </c>
      <c r="BW503" s="1558">
        <f t="shared" ca="1" si="316"/>
        <v>0</v>
      </c>
    </row>
    <row r="504" spans="1:75" s="9" customFormat="1" ht="12.5">
      <c r="A504" s="1483" t="str">
        <f t="shared" si="310"/>
        <v>Public Health Wales Trust</v>
      </c>
      <c r="B504" s="1583"/>
      <c r="C504" s="1583"/>
      <c r="D504" s="1583"/>
      <c r="E504" s="1581"/>
      <c r="F504" s="1436"/>
      <c r="G504" s="1547">
        <f t="shared" si="311"/>
        <v>0</v>
      </c>
      <c r="H504" s="1484"/>
      <c r="I504" s="1547">
        <f t="shared" si="312"/>
        <v>0</v>
      </c>
      <c r="J504" s="1485"/>
      <c r="K504" s="1485"/>
      <c r="L504" s="1436"/>
      <c r="M504" s="1439"/>
      <c r="N504" s="1439"/>
      <c r="O504" s="1485"/>
      <c r="P504" s="1486"/>
      <c r="Q504" s="1486"/>
      <c r="R504" s="1487"/>
      <c r="S504" s="1444"/>
      <c r="T504" s="1444"/>
      <c r="U504" s="1444"/>
      <c r="V504" s="1488"/>
      <c r="W504" s="1488"/>
      <c r="X504" s="1488"/>
      <c r="Y504" s="1488"/>
      <c r="Z504" s="1488"/>
      <c r="AA504" s="1488"/>
      <c r="AB504" s="1488"/>
      <c r="AC504" s="1488"/>
      <c r="AD504" s="1488"/>
      <c r="AE504" s="1488"/>
      <c r="AF504" s="1488"/>
      <c r="AG504" s="1488"/>
      <c r="AH504" s="1451">
        <f t="shared" si="284"/>
        <v>0</v>
      </c>
      <c r="AI504" s="1488"/>
      <c r="AJ504" s="1488"/>
      <c r="AK504" s="1488"/>
      <c r="AL504" s="1488"/>
      <c r="AM504" s="1488"/>
      <c r="AN504" s="1488"/>
      <c r="AO504" s="1488"/>
      <c r="AP504" s="1488"/>
      <c r="AQ504" s="1488"/>
      <c r="AR504" s="1488"/>
      <c r="AS504" s="1488"/>
      <c r="AT504" s="1542"/>
      <c r="AU504" s="1599">
        <f t="shared" si="285"/>
        <v>0</v>
      </c>
      <c r="AV504" s="1544">
        <f t="shared" si="313"/>
        <v>0</v>
      </c>
      <c r="AW504" s="1452">
        <f t="shared" si="286"/>
        <v>0</v>
      </c>
      <c r="AX504" s="1452">
        <f t="shared" si="287"/>
        <v>0</v>
      </c>
      <c r="AY504" s="1452">
        <f t="shared" si="288"/>
        <v>0</v>
      </c>
      <c r="AZ504" s="1452">
        <f t="shared" si="289"/>
        <v>0</v>
      </c>
      <c r="BA504" s="1452">
        <f t="shared" si="290"/>
        <v>0</v>
      </c>
      <c r="BB504" s="1452">
        <f t="shared" si="291"/>
        <v>0</v>
      </c>
      <c r="BC504" s="1452">
        <f t="shared" si="292"/>
        <v>0</v>
      </c>
      <c r="BD504" s="1452">
        <f t="shared" si="293"/>
        <v>0</v>
      </c>
      <c r="BE504" s="1452">
        <f t="shared" si="294"/>
        <v>0</v>
      </c>
      <c r="BF504" s="1452">
        <f t="shared" si="295"/>
        <v>0</v>
      </c>
      <c r="BG504" s="1452">
        <f t="shared" si="296"/>
        <v>0</v>
      </c>
      <c r="BH504" s="1452">
        <f t="shared" si="297"/>
        <v>0</v>
      </c>
      <c r="BI504" s="1452">
        <f t="shared" si="314"/>
        <v>0</v>
      </c>
      <c r="BJ504" s="1452" t="str">
        <f t="shared" si="298"/>
        <v/>
      </c>
      <c r="BK504" s="1452" t="str">
        <f t="shared" si="299"/>
        <v/>
      </c>
      <c r="BL504" s="1452" t="str">
        <f t="shared" si="300"/>
        <v/>
      </c>
      <c r="BM504" s="1452" t="str">
        <f t="shared" si="301"/>
        <v/>
      </c>
      <c r="BN504" s="1452" t="str">
        <f t="shared" ca="1" si="302"/>
        <v/>
      </c>
      <c r="BO504" s="1452" t="str">
        <f t="shared" si="315"/>
        <v/>
      </c>
      <c r="BP504" s="1452" t="str">
        <f t="shared" si="303"/>
        <v/>
      </c>
      <c r="BQ504" s="1452" t="str">
        <f t="shared" si="304"/>
        <v/>
      </c>
      <c r="BR504" s="1452" t="str">
        <f t="shared" si="305"/>
        <v/>
      </c>
      <c r="BS504" s="1452" t="str">
        <f t="shared" si="306"/>
        <v/>
      </c>
      <c r="BT504" s="1452" t="str">
        <f t="shared" si="307"/>
        <v/>
      </c>
      <c r="BU504" s="1452" t="str">
        <f t="shared" si="308"/>
        <v/>
      </c>
      <c r="BV504" s="1452" t="str">
        <f t="shared" si="309"/>
        <v/>
      </c>
      <c r="BW504" s="1558">
        <f t="shared" ca="1" si="316"/>
        <v>0</v>
      </c>
    </row>
    <row r="505" spans="1:75" s="9" customFormat="1" ht="12.5">
      <c r="A505" s="1483" t="str">
        <f t="shared" si="310"/>
        <v>Public Health Wales Trust</v>
      </c>
      <c r="B505" s="1583"/>
      <c r="C505" s="1583"/>
      <c r="D505" s="1583"/>
      <c r="E505" s="1581"/>
      <c r="F505" s="1436"/>
      <c r="G505" s="1547">
        <f t="shared" si="311"/>
        <v>0</v>
      </c>
      <c r="H505" s="1484"/>
      <c r="I505" s="1547">
        <f t="shared" si="312"/>
        <v>0</v>
      </c>
      <c r="J505" s="1485"/>
      <c r="K505" s="1485"/>
      <c r="L505" s="1436"/>
      <c r="M505" s="1439"/>
      <c r="N505" s="1439"/>
      <c r="O505" s="1485"/>
      <c r="P505" s="1486"/>
      <c r="Q505" s="1486"/>
      <c r="R505" s="1487"/>
      <c r="S505" s="1444"/>
      <c r="T505" s="1444"/>
      <c r="U505" s="1444"/>
      <c r="V505" s="1488"/>
      <c r="W505" s="1488"/>
      <c r="X505" s="1488"/>
      <c r="Y505" s="1488"/>
      <c r="Z505" s="1488"/>
      <c r="AA505" s="1488"/>
      <c r="AB505" s="1488"/>
      <c r="AC505" s="1488"/>
      <c r="AD505" s="1488"/>
      <c r="AE505" s="1488"/>
      <c r="AF505" s="1488"/>
      <c r="AG505" s="1488"/>
      <c r="AH505" s="1451">
        <f t="shared" si="284"/>
        <v>0</v>
      </c>
      <c r="AI505" s="1488"/>
      <c r="AJ505" s="1488"/>
      <c r="AK505" s="1488"/>
      <c r="AL505" s="1488"/>
      <c r="AM505" s="1488"/>
      <c r="AN505" s="1488"/>
      <c r="AO505" s="1488"/>
      <c r="AP505" s="1488"/>
      <c r="AQ505" s="1488"/>
      <c r="AR505" s="1488"/>
      <c r="AS505" s="1488"/>
      <c r="AT505" s="1542"/>
      <c r="AU505" s="1599">
        <f t="shared" si="285"/>
        <v>0</v>
      </c>
      <c r="AV505" s="1544">
        <f t="shared" si="313"/>
        <v>0</v>
      </c>
      <c r="AW505" s="1452">
        <f t="shared" si="286"/>
        <v>0</v>
      </c>
      <c r="AX505" s="1452">
        <f t="shared" si="287"/>
        <v>0</v>
      </c>
      <c r="AY505" s="1452">
        <f t="shared" si="288"/>
        <v>0</v>
      </c>
      <c r="AZ505" s="1452">
        <f t="shared" si="289"/>
        <v>0</v>
      </c>
      <c r="BA505" s="1452">
        <f t="shared" si="290"/>
        <v>0</v>
      </c>
      <c r="BB505" s="1452">
        <f t="shared" si="291"/>
        <v>0</v>
      </c>
      <c r="BC505" s="1452">
        <f t="shared" si="292"/>
        <v>0</v>
      </c>
      <c r="BD505" s="1452">
        <f t="shared" si="293"/>
        <v>0</v>
      </c>
      <c r="BE505" s="1452">
        <f t="shared" si="294"/>
        <v>0</v>
      </c>
      <c r="BF505" s="1452">
        <f t="shared" si="295"/>
        <v>0</v>
      </c>
      <c r="BG505" s="1452">
        <f t="shared" si="296"/>
        <v>0</v>
      </c>
      <c r="BH505" s="1452">
        <f t="shared" si="297"/>
        <v>0</v>
      </c>
      <c r="BI505" s="1452">
        <f t="shared" si="314"/>
        <v>0</v>
      </c>
      <c r="BJ505" s="1452" t="str">
        <f t="shared" si="298"/>
        <v/>
      </c>
      <c r="BK505" s="1452" t="str">
        <f t="shared" si="299"/>
        <v/>
      </c>
      <c r="BL505" s="1452" t="str">
        <f t="shared" si="300"/>
        <v/>
      </c>
      <c r="BM505" s="1452" t="str">
        <f t="shared" si="301"/>
        <v/>
      </c>
      <c r="BN505" s="1452" t="str">
        <f t="shared" ca="1" si="302"/>
        <v/>
      </c>
      <c r="BO505" s="1452" t="str">
        <f t="shared" si="315"/>
        <v/>
      </c>
      <c r="BP505" s="1452" t="str">
        <f t="shared" si="303"/>
        <v/>
      </c>
      <c r="BQ505" s="1452" t="str">
        <f t="shared" si="304"/>
        <v/>
      </c>
      <c r="BR505" s="1452" t="str">
        <f t="shared" si="305"/>
        <v/>
      </c>
      <c r="BS505" s="1452" t="str">
        <f t="shared" si="306"/>
        <v/>
      </c>
      <c r="BT505" s="1452" t="str">
        <f t="shared" si="307"/>
        <v/>
      </c>
      <c r="BU505" s="1452" t="str">
        <f t="shared" si="308"/>
        <v/>
      </c>
      <c r="BV505" s="1452" t="str">
        <f t="shared" si="309"/>
        <v/>
      </c>
      <c r="BW505" s="1558">
        <f t="shared" ca="1" si="316"/>
        <v>0</v>
      </c>
    </row>
    <row r="506" spans="1:75" s="9" customFormat="1" ht="12.5">
      <c r="A506" s="1483" t="str">
        <f t="shared" si="310"/>
        <v>Public Health Wales Trust</v>
      </c>
      <c r="B506" s="1583"/>
      <c r="C506" s="1583"/>
      <c r="D506" s="1583"/>
      <c r="E506" s="1581"/>
      <c r="F506" s="1436"/>
      <c r="G506" s="1547">
        <f t="shared" si="311"/>
        <v>0</v>
      </c>
      <c r="H506" s="1484"/>
      <c r="I506" s="1547">
        <f t="shared" si="312"/>
        <v>0</v>
      </c>
      <c r="J506" s="1485"/>
      <c r="K506" s="1485"/>
      <c r="L506" s="1436"/>
      <c r="M506" s="1439"/>
      <c r="N506" s="1439"/>
      <c r="O506" s="1485"/>
      <c r="P506" s="1486"/>
      <c r="Q506" s="1486"/>
      <c r="R506" s="1487"/>
      <c r="S506" s="1444"/>
      <c r="T506" s="1444"/>
      <c r="U506" s="1444"/>
      <c r="V506" s="1488"/>
      <c r="W506" s="1488"/>
      <c r="X506" s="1488"/>
      <c r="Y506" s="1488"/>
      <c r="Z506" s="1488"/>
      <c r="AA506" s="1488"/>
      <c r="AB506" s="1488"/>
      <c r="AC506" s="1488"/>
      <c r="AD506" s="1488"/>
      <c r="AE506" s="1488"/>
      <c r="AF506" s="1488"/>
      <c r="AG506" s="1488"/>
      <c r="AH506" s="1451">
        <f t="shared" si="284"/>
        <v>0</v>
      </c>
      <c r="AI506" s="1488"/>
      <c r="AJ506" s="1488"/>
      <c r="AK506" s="1488"/>
      <c r="AL506" s="1488"/>
      <c r="AM506" s="1488"/>
      <c r="AN506" s="1488"/>
      <c r="AO506" s="1488"/>
      <c r="AP506" s="1488"/>
      <c r="AQ506" s="1488"/>
      <c r="AR506" s="1488"/>
      <c r="AS506" s="1488"/>
      <c r="AT506" s="1542"/>
      <c r="AU506" s="1599">
        <f t="shared" si="285"/>
        <v>0</v>
      </c>
      <c r="AV506" s="1544">
        <f t="shared" si="313"/>
        <v>0</v>
      </c>
      <c r="AW506" s="1452">
        <f t="shared" si="286"/>
        <v>0</v>
      </c>
      <c r="AX506" s="1452">
        <f t="shared" si="287"/>
        <v>0</v>
      </c>
      <c r="AY506" s="1452">
        <f t="shared" si="288"/>
        <v>0</v>
      </c>
      <c r="AZ506" s="1452">
        <f t="shared" si="289"/>
        <v>0</v>
      </c>
      <c r="BA506" s="1452">
        <f t="shared" si="290"/>
        <v>0</v>
      </c>
      <c r="BB506" s="1452">
        <f t="shared" si="291"/>
        <v>0</v>
      </c>
      <c r="BC506" s="1452">
        <f t="shared" si="292"/>
        <v>0</v>
      </c>
      <c r="BD506" s="1452">
        <f t="shared" si="293"/>
        <v>0</v>
      </c>
      <c r="BE506" s="1452">
        <f t="shared" si="294"/>
        <v>0</v>
      </c>
      <c r="BF506" s="1452">
        <f t="shared" si="295"/>
        <v>0</v>
      </c>
      <c r="BG506" s="1452">
        <f t="shared" si="296"/>
        <v>0</v>
      </c>
      <c r="BH506" s="1452">
        <f t="shared" si="297"/>
        <v>0</v>
      </c>
      <c r="BI506" s="1452">
        <f t="shared" si="314"/>
        <v>0</v>
      </c>
      <c r="BJ506" s="1452" t="str">
        <f t="shared" si="298"/>
        <v/>
      </c>
      <c r="BK506" s="1452" t="str">
        <f t="shared" si="299"/>
        <v/>
      </c>
      <c r="BL506" s="1452" t="str">
        <f t="shared" si="300"/>
        <v/>
      </c>
      <c r="BM506" s="1452" t="str">
        <f t="shared" si="301"/>
        <v/>
      </c>
      <c r="BN506" s="1452" t="str">
        <f t="shared" ca="1" si="302"/>
        <v/>
      </c>
      <c r="BO506" s="1452" t="str">
        <f t="shared" si="315"/>
        <v/>
      </c>
      <c r="BP506" s="1452" t="str">
        <f t="shared" si="303"/>
        <v/>
      </c>
      <c r="BQ506" s="1452" t="str">
        <f t="shared" si="304"/>
        <v/>
      </c>
      <c r="BR506" s="1452" t="str">
        <f t="shared" si="305"/>
        <v/>
      </c>
      <c r="BS506" s="1452" t="str">
        <f t="shared" si="306"/>
        <v/>
      </c>
      <c r="BT506" s="1452" t="str">
        <f t="shared" si="307"/>
        <v/>
      </c>
      <c r="BU506" s="1452" t="str">
        <f t="shared" si="308"/>
        <v/>
      </c>
      <c r="BV506" s="1452" t="str">
        <f t="shared" si="309"/>
        <v/>
      </c>
      <c r="BW506" s="1558">
        <f t="shared" ca="1" si="316"/>
        <v>0</v>
      </c>
    </row>
    <row r="507" spans="1:75" s="9" customFormat="1" ht="12.5">
      <c r="A507" s="1483" t="str">
        <f t="shared" si="310"/>
        <v>Public Health Wales Trust</v>
      </c>
      <c r="B507" s="1583"/>
      <c r="C507" s="1583"/>
      <c r="D507" s="1583"/>
      <c r="E507" s="1581"/>
      <c r="F507" s="1436"/>
      <c r="G507" s="1547">
        <f t="shared" si="311"/>
        <v>0</v>
      </c>
      <c r="H507" s="1484"/>
      <c r="I507" s="1547">
        <f t="shared" si="312"/>
        <v>0</v>
      </c>
      <c r="J507" s="1485"/>
      <c r="K507" s="1485"/>
      <c r="L507" s="1436"/>
      <c r="M507" s="1439"/>
      <c r="N507" s="1439"/>
      <c r="O507" s="1485"/>
      <c r="P507" s="1486"/>
      <c r="Q507" s="1486"/>
      <c r="R507" s="1487"/>
      <c r="S507" s="1444"/>
      <c r="T507" s="1444"/>
      <c r="U507" s="1444"/>
      <c r="V507" s="1488"/>
      <c r="W507" s="1488"/>
      <c r="X507" s="1488"/>
      <c r="Y507" s="1488"/>
      <c r="Z507" s="1488"/>
      <c r="AA507" s="1488"/>
      <c r="AB507" s="1488"/>
      <c r="AC507" s="1488"/>
      <c r="AD507" s="1488"/>
      <c r="AE507" s="1488"/>
      <c r="AF507" s="1488"/>
      <c r="AG507" s="1488"/>
      <c r="AH507" s="1451">
        <f t="shared" si="284"/>
        <v>0</v>
      </c>
      <c r="AI507" s="1488"/>
      <c r="AJ507" s="1488"/>
      <c r="AK507" s="1488"/>
      <c r="AL507" s="1488"/>
      <c r="AM507" s="1488"/>
      <c r="AN507" s="1488"/>
      <c r="AO507" s="1488"/>
      <c r="AP507" s="1488"/>
      <c r="AQ507" s="1488"/>
      <c r="AR507" s="1488"/>
      <c r="AS507" s="1488"/>
      <c r="AT507" s="1542"/>
      <c r="AU507" s="1599">
        <f t="shared" si="285"/>
        <v>0</v>
      </c>
      <c r="AV507" s="1544">
        <f t="shared" si="313"/>
        <v>0</v>
      </c>
      <c r="AW507" s="1452">
        <f t="shared" si="286"/>
        <v>0</v>
      </c>
      <c r="AX507" s="1452">
        <f t="shared" si="287"/>
        <v>0</v>
      </c>
      <c r="AY507" s="1452">
        <f t="shared" si="288"/>
        <v>0</v>
      </c>
      <c r="AZ507" s="1452">
        <f t="shared" si="289"/>
        <v>0</v>
      </c>
      <c r="BA507" s="1452">
        <f t="shared" si="290"/>
        <v>0</v>
      </c>
      <c r="BB507" s="1452">
        <f t="shared" si="291"/>
        <v>0</v>
      </c>
      <c r="BC507" s="1452">
        <f t="shared" si="292"/>
        <v>0</v>
      </c>
      <c r="BD507" s="1452">
        <f t="shared" si="293"/>
        <v>0</v>
      </c>
      <c r="BE507" s="1452">
        <f t="shared" si="294"/>
        <v>0</v>
      </c>
      <c r="BF507" s="1452">
        <f t="shared" si="295"/>
        <v>0</v>
      </c>
      <c r="BG507" s="1452">
        <f t="shared" si="296"/>
        <v>0</v>
      </c>
      <c r="BH507" s="1452">
        <f t="shared" si="297"/>
        <v>0</v>
      </c>
      <c r="BI507" s="1452">
        <f t="shared" si="314"/>
        <v>0</v>
      </c>
      <c r="BJ507" s="1452" t="str">
        <f t="shared" si="298"/>
        <v/>
      </c>
      <c r="BK507" s="1452" t="str">
        <f t="shared" si="299"/>
        <v/>
      </c>
      <c r="BL507" s="1452" t="str">
        <f t="shared" si="300"/>
        <v/>
      </c>
      <c r="BM507" s="1452" t="str">
        <f t="shared" si="301"/>
        <v/>
      </c>
      <c r="BN507" s="1452" t="str">
        <f t="shared" ca="1" si="302"/>
        <v/>
      </c>
      <c r="BO507" s="1452" t="str">
        <f t="shared" si="315"/>
        <v/>
      </c>
      <c r="BP507" s="1452" t="str">
        <f t="shared" si="303"/>
        <v/>
      </c>
      <c r="BQ507" s="1452" t="str">
        <f t="shared" si="304"/>
        <v/>
      </c>
      <c r="BR507" s="1452" t="str">
        <f t="shared" si="305"/>
        <v/>
      </c>
      <c r="BS507" s="1452" t="str">
        <f t="shared" si="306"/>
        <v/>
      </c>
      <c r="BT507" s="1452" t="str">
        <f t="shared" si="307"/>
        <v/>
      </c>
      <c r="BU507" s="1452" t="str">
        <f t="shared" si="308"/>
        <v/>
      </c>
      <c r="BV507" s="1452" t="str">
        <f t="shared" si="309"/>
        <v/>
      </c>
      <c r="BW507" s="1558">
        <f t="shared" ca="1" si="316"/>
        <v>0</v>
      </c>
    </row>
    <row r="508" spans="1:75" s="9" customFormat="1" ht="12.5">
      <c r="A508" s="1483" t="str">
        <f t="shared" si="310"/>
        <v>Public Health Wales Trust</v>
      </c>
      <c r="B508" s="1583"/>
      <c r="C508" s="1583"/>
      <c r="D508" s="1583"/>
      <c r="E508" s="1581"/>
      <c r="F508" s="1436"/>
      <c r="G508" s="1547">
        <f t="shared" si="311"/>
        <v>0</v>
      </c>
      <c r="H508" s="1484"/>
      <c r="I508" s="1547">
        <f t="shared" si="312"/>
        <v>0</v>
      </c>
      <c r="J508" s="1485"/>
      <c r="K508" s="1485"/>
      <c r="L508" s="1436"/>
      <c r="M508" s="1439"/>
      <c r="N508" s="1439"/>
      <c r="O508" s="1485"/>
      <c r="P508" s="1486"/>
      <c r="Q508" s="1486"/>
      <c r="R508" s="1487"/>
      <c r="S508" s="1444"/>
      <c r="T508" s="1444"/>
      <c r="U508" s="1444"/>
      <c r="V508" s="1488"/>
      <c r="W508" s="1488"/>
      <c r="X508" s="1488"/>
      <c r="Y508" s="1488"/>
      <c r="Z508" s="1488"/>
      <c r="AA508" s="1488"/>
      <c r="AB508" s="1488"/>
      <c r="AC508" s="1488"/>
      <c r="AD508" s="1488"/>
      <c r="AE508" s="1488"/>
      <c r="AF508" s="1488"/>
      <c r="AG508" s="1488"/>
      <c r="AH508" s="1451">
        <f t="shared" si="284"/>
        <v>0</v>
      </c>
      <c r="AI508" s="1488"/>
      <c r="AJ508" s="1488"/>
      <c r="AK508" s="1488"/>
      <c r="AL508" s="1488"/>
      <c r="AM508" s="1488"/>
      <c r="AN508" s="1488"/>
      <c r="AO508" s="1488"/>
      <c r="AP508" s="1488"/>
      <c r="AQ508" s="1488"/>
      <c r="AR508" s="1488"/>
      <c r="AS508" s="1488"/>
      <c r="AT508" s="1542"/>
      <c r="AU508" s="1599">
        <f t="shared" si="285"/>
        <v>0</v>
      </c>
      <c r="AV508" s="1544">
        <f t="shared" si="313"/>
        <v>0</v>
      </c>
      <c r="AW508" s="1452">
        <f t="shared" si="286"/>
        <v>0</v>
      </c>
      <c r="AX508" s="1452">
        <f t="shared" si="287"/>
        <v>0</v>
      </c>
      <c r="AY508" s="1452">
        <f t="shared" si="288"/>
        <v>0</v>
      </c>
      <c r="AZ508" s="1452">
        <f t="shared" si="289"/>
        <v>0</v>
      </c>
      <c r="BA508" s="1452">
        <f t="shared" si="290"/>
        <v>0</v>
      </c>
      <c r="BB508" s="1452">
        <f t="shared" si="291"/>
        <v>0</v>
      </c>
      <c r="BC508" s="1452">
        <f t="shared" si="292"/>
        <v>0</v>
      </c>
      <c r="BD508" s="1452">
        <f t="shared" si="293"/>
        <v>0</v>
      </c>
      <c r="BE508" s="1452">
        <f t="shared" si="294"/>
        <v>0</v>
      </c>
      <c r="BF508" s="1452">
        <f t="shared" si="295"/>
        <v>0</v>
      </c>
      <c r="BG508" s="1452">
        <f t="shared" si="296"/>
        <v>0</v>
      </c>
      <c r="BH508" s="1452">
        <f t="shared" si="297"/>
        <v>0</v>
      </c>
      <c r="BI508" s="1452">
        <f t="shared" si="314"/>
        <v>0</v>
      </c>
      <c r="BJ508" s="1452" t="str">
        <f t="shared" si="298"/>
        <v/>
      </c>
      <c r="BK508" s="1452" t="str">
        <f t="shared" si="299"/>
        <v/>
      </c>
      <c r="BL508" s="1452" t="str">
        <f t="shared" si="300"/>
        <v/>
      </c>
      <c r="BM508" s="1452" t="str">
        <f t="shared" si="301"/>
        <v/>
      </c>
      <c r="BN508" s="1452" t="str">
        <f t="shared" ca="1" si="302"/>
        <v/>
      </c>
      <c r="BO508" s="1452" t="str">
        <f t="shared" si="315"/>
        <v/>
      </c>
      <c r="BP508" s="1452" t="str">
        <f t="shared" si="303"/>
        <v/>
      </c>
      <c r="BQ508" s="1452" t="str">
        <f t="shared" si="304"/>
        <v/>
      </c>
      <c r="BR508" s="1452" t="str">
        <f t="shared" si="305"/>
        <v/>
      </c>
      <c r="BS508" s="1452" t="str">
        <f t="shared" si="306"/>
        <v/>
      </c>
      <c r="BT508" s="1452" t="str">
        <f t="shared" si="307"/>
        <v/>
      </c>
      <c r="BU508" s="1452" t="str">
        <f t="shared" si="308"/>
        <v/>
      </c>
      <c r="BV508" s="1452" t="str">
        <f t="shared" si="309"/>
        <v/>
      </c>
      <c r="BW508" s="1558">
        <f t="shared" ca="1" si="316"/>
        <v>0</v>
      </c>
    </row>
    <row r="509" spans="1:75" s="9" customFormat="1" ht="12.5">
      <c r="A509" s="1483" t="str">
        <f t="shared" si="310"/>
        <v>Public Health Wales Trust</v>
      </c>
      <c r="B509" s="1583"/>
      <c r="C509" s="1583"/>
      <c r="D509" s="1583"/>
      <c r="E509" s="1581"/>
      <c r="F509" s="1436"/>
      <c r="G509" s="1547">
        <f t="shared" si="311"/>
        <v>0</v>
      </c>
      <c r="H509" s="1484"/>
      <c r="I509" s="1547">
        <f t="shared" si="312"/>
        <v>0</v>
      </c>
      <c r="J509" s="1485"/>
      <c r="K509" s="1485"/>
      <c r="L509" s="1436"/>
      <c r="M509" s="1439"/>
      <c r="N509" s="1439"/>
      <c r="O509" s="1485"/>
      <c r="P509" s="1486"/>
      <c r="Q509" s="1486"/>
      <c r="R509" s="1487"/>
      <c r="S509" s="1444"/>
      <c r="T509" s="1444"/>
      <c r="U509" s="1444"/>
      <c r="V509" s="1488"/>
      <c r="W509" s="1488"/>
      <c r="X509" s="1488"/>
      <c r="Y509" s="1488"/>
      <c r="Z509" s="1488"/>
      <c r="AA509" s="1488"/>
      <c r="AB509" s="1488"/>
      <c r="AC509" s="1488"/>
      <c r="AD509" s="1488"/>
      <c r="AE509" s="1488"/>
      <c r="AF509" s="1488"/>
      <c r="AG509" s="1488"/>
      <c r="AH509" s="1451">
        <f t="shared" si="284"/>
        <v>0</v>
      </c>
      <c r="AI509" s="1488"/>
      <c r="AJ509" s="1488"/>
      <c r="AK509" s="1488"/>
      <c r="AL509" s="1488"/>
      <c r="AM509" s="1488"/>
      <c r="AN509" s="1488"/>
      <c r="AO509" s="1488"/>
      <c r="AP509" s="1488"/>
      <c r="AQ509" s="1488"/>
      <c r="AR509" s="1488"/>
      <c r="AS509" s="1488"/>
      <c r="AT509" s="1542"/>
      <c r="AU509" s="1599">
        <f t="shared" si="285"/>
        <v>0</v>
      </c>
      <c r="AV509" s="1544">
        <f t="shared" si="313"/>
        <v>0</v>
      </c>
      <c r="AW509" s="1452">
        <f t="shared" si="286"/>
        <v>0</v>
      </c>
      <c r="AX509" s="1452">
        <f t="shared" si="287"/>
        <v>0</v>
      </c>
      <c r="AY509" s="1452">
        <f t="shared" si="288"/>
        <v>0</v>
      </c>
      <c r="AZ509" s="1452">
        <f t="shared" si="289"/>
        <v>0</v>
      </c>
      <c r="BA509" s="1452">
        <f t="shared" si="290"/>
        <v>0</v>
      </c>
      <c r="BB509" s="1452">
        <f t="shared" si="291"/>
        <v>0</v>
      </c>
      <c r="BC509" s="1452">
        <f t="shared" si="292"/>
        <v>0</v>
      </c>
      <c r="BD509" s="1452">
        <f t="shared" si="293"/>
        <v>0</v>
      </c>
      <c r="BE509" s="1452">
        <f t="shared" si="294"/>
        <v>0</v>
      </c>
      <c r="BF509" s="1452">
        <f t="shared" si="295"/>
        <v>0</v>
      </c>
      <c r="BG509" s="1452">
        <f t="shared" si="296"/>
        <v>0</v>
      </c>
      <c r="BH509" s="1452">
        <f t="shared" si="297"/>
        <v>0</v>
      </c>
      <c r="BI509" s="1452">
        <f t="shared" si="314"/>
        <v>0</v>
      </c>
      <c r="BJ509" s="1452" t="str">
        <f t="shared" si="298"/>
        <v/>
      </c>
      <c r="BK509" s="1452" t="str">
        <f t="shared" si="299"/>
        <v/>
      </c>
      <c r="BL509" s="1452" t="str">
        <f t="shared" si="300"/>
        <v/>
      </c>
      <c r="BM509" s="1452" t="str">
        <f t="shared" si="301"/>
        <v/>
      </c>
      <c r="BN509" s="1452" t="str">
        <f t="shared" ca="1" si="302"/>
        <v/>
      </c>
      <c r="BO509" s="1452" t="str">
        <f t="shared" si="315"/>
        <v/>
      </c>
      <c r="BP509" s="1452" t="str">
        <f t="shared" si="303"/>
        <v/>
      </c>
      <c r="BQ509" s="1452" t="str">
        <f t="shared" si="304"/>
        <v/>
      </c>
      <c r="BR509" s="1452" t="str">
        <f t="shared" si="305"/>
        <v/>
      </c>
      <c r="BS509" s="1452" t="str">
        <f t="shared" si="306"/>
        <v/>
      </c>
      <c r="BT509" s="1452" t="str">
        <f t="shared" si="307"/>
        <v/>
      </c>
      <c r="BU509" s="1452" t="str">
        <f t="shared" si="308"/>
        <v/>
      </c>
      <c r="BV509" s="1452" t="str">
        <f t="shared" si="309"/>
        <v/>
      </c>
      <c r="BW509" s="1558">
        <f t="shared" ca="1" si="316"/>
        <v>0</v>
      </c>
    </row>
    <row r="510" spans="1:75" s="9" customFormat="1" ht="12.5">
      <c r="A510" s="1483" t="str">
        <f t="shared" si="310"/>
        <v>Public Health Wales Trust</v>
      </c>
      <c r="B510" s="1583"/>
      <c r="C510" s="1583"/>
      <c r="D510" s="1583"/>
      <c r="E510" s="1581"/>
      <c r="F510" s="1436"/>
      <c r="G510" s="1547">
        <f t="shared" si="311"/>
        <v>0</v>
      </c>
      <c r="H510" s="1484"/>
      <c r="I510" s="1547">
        <f t="shared" si="312"/>
        <v>0</v>
      </c>
      <c r="J510" s="1485"/>
      <c r="K510" s="1485"/>
      <c r="L510" s="1436"/>
      <c r="M510" s="1439"/>
      <c r="N510" s="1439"/>
      <c r="O510" s="1485"/>
      <c r="P510" s="1486"/>
      <c r="Q510" s="1486"/>
      <c r="R510" s="1487"/>
      <c r="S510" s="1444"/>
      <c r="T510" s="1444"/>
      <c r="U510" s="1444"/>
      <c r="V510" s="1488"/>
      <c r="W510" s="1488"/>
      <c r="X510" s="1488"/>
      <c r="Y510" s="1488"/>
      <c r="Z510" s="1488"/>
      <c r="AA510" s="1488"/>
      <c r="AB510" s="1488"/>
      <c r="AC510" s="1488"/>
      <c r="AD510" s="1488"/>
      <c r="AE510" s="1488"/>
      <c r="AF510" s="1488"/>
      <c r="AG510" s="1488"/>
      <c r="AH510" s="1451">
        <f t="shared" si="284"/>
        <v>0</v>
      </c>
      <c r="AI510" s="1488"/>
      <c r="AJ510" s="1488"/>
      <c r="AK510" s="1488"/>
      <c r="AL510" s="1488"/>
      <c r="AM510" s="1488"/>
      <c r="AN510" s="1488"/>
      <c r="AO510" s="1488"/>
      <c r="AP510" s="1488"/>
      <c r="AQ510" s="1488"/>
      <c r="AR510" s="1488"/>
      <c r="AS510" s="1488"/>
      <c r="AT510" s="1542"/>
      <c r="AU510" s="1599">
        <f t="shared" si="285"/>
        <v>0</v>
      </c>
      <c r="AV510" s="1544">
        <f t="shared" si="313"/>
        <v>0</v>
      </c>
      <c r="AW510" s="1452">
        <f t="shared" si="286"/>
        <v>0</v>
      </c>
      <c r="AX510" s="1452">
        <f t="shared" si="287"/>
        <v>0</v>
      </c>
      <c r="AY510" s="1452">
        <f t="shared" si="288"/>
        <v>0</v>
      </c>
      <c r="AZ510" s="1452">
        <f t="shared" si="289"/>
        <v>0</v>
      </c>
      <c r="BA510" s="1452">
        <f t="shared" si="290"/>
        <v>0</v>
      </c>
      <c r="BB510" s="1452">
        <f t="shared" si="291"/>
        <v>0</v>
      </c>
      <c r="BC510" s="1452">
        <f t="shared" si="292"/>
        <v>0</v>
      </c>
      <c r="BD510" s="1452">
        <f t="shared" si="293"/>
        <v>0</v>
      </c>
      <c r="BE510" s="1452">
        <f t="shared" si="294"/>
        <v>0</v>
      </c>
      <c r="BF510" s="1452">
        <f t="shared" si="295"/>
        <v>0</v>
      </c>
      <c r="BG510" s="1452">
        <f t="shared" si="296"/>
        <v>0</v>
      </c>
      <c r="BH510" s="1452">
        <f t="shared" si="297"/>
        <v>0</v>
      </c>
      <c r="BI510" s="1452">
        <f t="shared" si="314"/>
        <v>0</v>
      </c>
      <c r="BJ510" s="1452" t="str">
        <f t="shared" si="298"/>
        <v/>
      </c>
      <c r="BK510" s="1452" t="str">
        <f t="shared" si="299"/>
        <v/>
      </c>
      <c r="BL510" s="1452" t="str">
        <f t="shared" si="300"/>
        <v/>
      </c>
      <c r="BM510" s="1452" t="str">
        <f t="shared" si="301"/>
        <v/>
      </c>
      <c r="BN510" s="1452" t="str">
        <f t="shared" ca="1" si="302"/>
        <v/>
      </c>
      <c r="BO510" s="1452" t="str">
        <f t="shared" si="315"/>
        <v/>
      </c>
      <c r="BP510" s="1452" t="str">
        <f t="shared" si="303"/>
        <v/>
      </c>
      <c r="BQ510" s="1452" t="str">
        <f t="shared" si="304"/>
        <v/>
      </c>
      <c r="BR510" s="1452" t="str">
        <f t="shared" si="305"/>
        <v/>
      </c>
      <c r="BS510" s="1452" t="str">
        <f t="shared" si="306"/>
        <v/>
      </c>
      <c r="BT510" s="1452" t="str">
        <f t="shared" si="307"/>
        <v/>
      </c>
      <c r="BU510" s="1452" t="str">
        <f t="shared" si="308"/>
        <v/>
      </c>
      <c r="BV510" s="1452" t="str">
        <f t="shared" si="309"/>
        <v/>
      </c>
      <c r="BW510" s="1558">
        <f t="shared" ca="1" si="316"/>
        <v>0</v>
      </c>
    </row>
    <row r="511" spans="1:75" s="9" customFormat="1" ht="12.5">
      <c r="A511" s="1483" t="str">
        <f t="shared" si="310"/>
        <v>Public Health Wales Trust</v>
      </c>
      <c r="B511" s="1583"/>
      <c r="C511" s="1583"/>
      <c r="D511" s="1583"/>
      <c r="E511" s="1581"/>
      <c r="F511" s="1436"/>
      <c r="G511" s="1547">
        <f t="shared" si="311"/>
        <v>0</v>
      </c>
      <c r="H511" s="1484"/>
      <c r="I511" s="1547">
        <f t="shared" si="312"/>
        <v>0</v>
      </c>
      <c r="J511" s="1485"/>
      <c r="K511" s="1485"/>
      <c r="L511" s="1436"/>
      <c r="M511" s="1439"/>
      <c r="N511" s="1439"/>
      <c r="O511" s="1485"/>
      <c r="P511" s="1486"/>
      <c r="Q511" s="1486"/>
      <c r="R511" s="1487"/>
      <c r="S511" s="1444"/>
      <c r="T511" s="1444"/>
      <c r="U511" s="1444"/>
      <c r="V511" s="1488"/>
      <c r="W511" s="1488"/>
      <c r="X511" s="1488"/>
      <c r="Y511" s="1488"/>
      <c r="Z511" s="1488"/>
      <c r="AA511" s="1488"/>
      <c r="AB511" s="1488"/>
      <c r="AC511" s="1488"/>
      <c r="AD511" s="1488"/>
      <c r="AE511" s="1488"/>
      <c r="AF511" s="1488"/>
      <c r="AG511" s="1488"/>
      <c r="AH511" s="1451">
        <f t="shared" si="284"/>
        <v>0</v>
      </c>
      <c r="AI511" s="1488"/>
      <c r="AJ511" s="1488"/>
      <c r="AK511" s="1488"/>
      <c r="AL511" s="1488"/>
      <c r="AM511" s="1488"/>
      <c r="AN511" s="1488"/>
      <c r="AO511" s="1488"/>
      <c r="AP511" s="1488"/>
      <c r="AQ511" s="1488"/>
      <c r="AR511" s="1488"/>
      <c r="AS511" s="1488"/>
      <c r="AT511" s="1542"/>
      <c r="AU511" s="1599">
        <f t="shared" si="285"/>
        <v>0</v>
      </c>
      <c r="AV511" s="1544">
        <f t="shared" si="313"/>
        <v>0</v>
      </c>
      <c r="AW511" s="1452">
        <f t="shared" si="286"/>
        <v>0</v>
      </c>
      <c r="AX511" s="1452">
        <f t="shared" si="287"/>
        <v>0</v>
      </c>
      <c r="AY511" s="1452">
        <f t="shared" si="288"/>
        <v>0</v>
      </c>
      <c r="AZ511" s="1452">
        <f t="shared" si="289"/>
        <v>0</v>
      </c>
      <c r="BA511" s="1452">
        <f t="shared" si="290"/>
        <v>0</v>
      </c>
      <c r="BB511" s="1452">
        <f t="shared" si="291"/>
        <v>0</v>
      </c>
      <c r="BC511" s="1452">
        <f t="shared" si="292"/>
        <v>0</v>
      </c>
      <c r="BD511" s="1452">
        <f t="shared" si="293"/>
        <v>0</v>
      </c>
      <c r="BE511" s="1452">
        <f t="shared" si="294"/>
        <v>0</v>
      </c>
      <c r="BF511" s="1452">
        <f t="shared" si="295"/>
        <v>0</v>
      </c>
      <c r="BG511" s="1452">
        <f t="shared" si="296"/>
        <v>0</v>
      </c>
      <c r="BH511" s="1452">
        <f t="shared" si="297"/>
        <v>0</v>
      </c>
      <c r="BI511" s="1452">
        <f t="shared" si="314"/>
        <v>0</v>
      </c>
      <c r="BJ511" s="1452" t="str">
        <f t="shared" si="298"/>
        <v/>
      </c>
      <c r="BK511" s="1452" t="str">
        <f t="shared" si="299"/>
        <v/>
      </c>
      <c r="BL511" s="1452" t="str">
        <f t="shared" si="300"/>
        <v/>
      </c>
      <c r="BM511" s="1452" t="str">
        <f t="shared" si="301"/>
        <v/>
      </c>
      <c r="BN511" s="1452" t="str">
        <f t="shared" ca="1" si="302"/>
        <v/>
      </c>
      <c r="BO511" s="1452" t="str">
        <f t="shared" si="315"/>
        <v/>
      </c>
      <c r="BP511" s="1452" t="str">
        <f t="shared" si="303"/>
        <v/>
      </c>
      <c r="BQ511" s="1452" t="str">
        <f t="shared" si="304"/>
        <v/>
      </c>
      <c r="BR511" s="1452" t="str">
        <f t="shared" si="305"/>
        <v/>
      </c>
      <c r="BS511" s="1452" t="str">
        <f t="shared" si="306"/>
        <v/>
      </c>
      <c r="BT511" s="1452" t="str">
        <f t="shared" si="307"/>
        <v/>
      </c>
      <c r="BU511" s="1452" t="str">
        <f t="shared" si="308"/>
        <v/>
      </c>
      <c r="BV511" s="1452" t="str">
        <f t="shared" si="309"/>
        <v/>
      </c>
      <c r="BW511" s="1558">
        <f t="shared" ca="1" si="316"/>
        <v>0</v>
      </c>
    </row>
    <row r="512" spans="1:75" s="9" customFormat="1" ht="12.5">
      <c r="A512" s="1483" t="str">
        <f t="shared" si="310"/>
        <v>Public Health Wales Trust</v>
      </c>
      <c r="B512" s="1583"/>
      <c r="C512" s="1583"/>
      <c r="D512" s="1583"/>
      <c r="E512" s="1581"/>
      <c r="F512" s="1436"/>
      <c r="G512" s="1547">
        <f t="shared" si="311"/>
        <v>0</v>
      </c>
      <c r="H512" s="1484"/>
      <c r="I512" s="1547">
        <f t="shared" si="312"/>
        <v>0</v>
      </c>
      <c r="J512" s="1485"/>
      <c r="K512" s="1485"/>
      <c r="L512" s="1436"/>
      <c r="M512" s="1439"/>
      <c r="N512" s="1439"/>
      <c r="O512" s="1485"/>
      <c r="P512" s="1486"/>
      <c r="Q512" s="1486"/>
      <c r="R512" s="1487"/>
      <c r="S512" s="1444"/>
      <c r="T512" s="1444"/>
      <c r="U512" s="1444"/>
      <c r="V512" s="1488"/>
      <c r="W512" s="1488"/>
      <c r="X512" s="1488"/>
      <c r="Y512" s="1488"/>
      <c r="Z512" s="1488"/>
      <c r="AA512" s="1488"/>
      <c r="AB512" s="1488"/>
      <c r="AC512" s="1488"/>
      <c r="AD512" s="1488"/>
      <c r="AE512" s="1488"/>
      <c r="AF512" s="1488"/>
      <c r="AG512" s="1488"/>
      <c r="AH512" s="1451">
        <f t="shared" si="284"/>
        <v>0</v>
      </c>
      <c r="AI512" s="1488"/>
      <c r="AJ512" s="1488"/>
      <c r="AK512" s="1488"/>
      <c r="AL512" s="1488"/>
      <c r="AM512" s="1488"/>
      <c r="AN512" s="1488"/>
      <c r="AO512" s="1488"/>
      <c r="AP512" s="1488"/>
      <c r="AQ512" s="1488"/>
      <c r="AR512" s="1488"/>
      <c r="AS512" s="1488"/>
      <c r="AT512" s="1542"/>
      <c r="AU512" s="1599">
        <f t="shared" si="285"/>
        <v>0</v>
      </c>
      <c r="AV512" s="1544">
        <f t="shared" si="313"/>
        <v>0</v>
      </c>
      <c r="AW512" s="1452">
        <f t="shared" si="286"/>
        <v>0</v>
      </c>
      <c r="AX512" s="1452">
        <f t="shared" si="287"/>
        <v>0</v>
      </c>
      <c r="AY512" s="1452">
        <f t="shared" si="288"/>
        <v>0</v>
      </c>
      <c r="AZ512" s="1452">
        <f t="shared" si="289"/>
        <v>0</v>
      </c>
      <c r="BA512" s="1452">
        <f t="shared" si="290"/>
        <v>0</v>
      </c>
      <c r="BB512" s="1452">
        <f t="shared" si="291"/>
        <v>0</v>
      </c>
      <c r="BC512" s="1452">
        <f t="shared" si="292"/>
        <v>0</v>
      </c>
      <c r="BD512" s="1452">
        <f t="shared" si="293"/>
        <v>0</v>
      </c>
      <c r="BE512" s="1452">
        <f t="shared" si="294"/>
        <v>0</v>
      </c>
      <c r="BF512" s="1452">
        <f t="shared" si="295"/>
        <v>0</v>
      </c>
      <c r="BG512" s="1452">
        <f t="shared" si="296"/>
        <v>0</v>
      </c>
      <c r="BH512" s="1452">
        <f t="shared" si="297"/>
        <v>0</v>
      </c>
      <c r="BI512" s="1452">
        <f t="shared" si="314"/>
        <v>0</v>
      </c>
      <c r="BJ512" s="1452" t="str">
        <f t="shared" si="298"/>
        <v/>
      </c>
      <c r="BK512" s="1452" t="str">
        <f t="shared" si="299"/>
        <v/>
      </c>
      <c r="BL512" s="1452" t="str">
        <f t="shared" si="300"/>
        <v/>
      </c>
      <c r="BM512" s="1452" t="str">
        <f t="shared" si="301"/>
        <v/>
      </c>
      <c r="BN512" s="1452" t="str">
        <f t="shared" ca="1" si="302"/>
        <v/>
      </c>
      <c r="BO512" s="1452" t="str">
        <f t="shared" si="315"/>
        <v/>
      </c>
      <c r="BP512" s="1452" t="str">
        <f t="shared" si="303"/>
        <v/>
      </c>
      <c r="BQ512" s="1452" t="str">
        <f t="shared" si="304"/>
        <v/>
      </c>
      <c r="BR512" s="1452" t="str">
        <f t="shared" si="305"/>
        <v/>
      </c>
      <c r="BS512" s="1452" t="str">
        <f t="shared" si="306"/>
        <v/>
      </c>
      <c r="BT512" s="1452" t="str">
        <f t="shared" si="307"/>
        <v/>
      </c>
      <c r="BU512" s="1452" t="str">
        <f t="shared" si="308"/>
        <v/>
      </c>
      <c r="BV512" s="1452" t="str">
        <f t="shared" si="309"/>
        <v/>
      </c>
      <c r="BW512" s="1558">
        <f t="shared" ca="1" si="316"/>
        <v>0</v>
      </c>
    </row>
    <row r="513" spans="1:75" s="9" customFormat="1" ht="12.5">
      <c r="A513" s="1483" t="str">
        <f t="shared" si="310"/>
        <v>Public Health Wales Trust</v>
      </c>
      <c r="B513" s="1583"/>
      <c r="C513" s="1583"/>
      <c r="D513" s="1583"/>
      <c r="E513" s="1581"/>
      <c r="F513" s="1436"/>
      <c r="G513" s="1547">
        <f t="shared" si="311"/>
        <v>0</v>
      </c>
      <c r="H513" s="1484"/>
      <c r="I513" s="1547">
        <f t="shared" si="312"/>
        <v>0</v>
      </c>
      <c r="J513" s="1485"/>
      <c r="K513" s="1485"/>
      <c r="L513" s="1436"/>
      <c r="M513" s="1439"/>
      <c r="N513" s="1439"/>
      <c r="O513" s="1485"/>
      <c r="P513" s="1486"/>
      <c r="Q513" s="1486"/>
      <c r="R513" s="1487"/>
      <c r="S513" s="1444"/>
      <c r="T513" s="1444"/>
      <c r="U513" s="1444"/>
      <c r="V513" s="1488"/>
      <c r="W513" s="1488"/>
      <c r="X513" s="1488"/>
      <c r="Y513" s="1488"/>
      <c r="Z513" s="1488"/>
      <c r="AA513" s="1488"/>
      <c r="AB513" s="1488"/>
      <c r="AC513" s="1488"/>
      <c r="AD513" s="1488"/>
      <c r="AE513" s="1488"/>
      <c r="AF513" s="1488"/>
      <c r="AG513" s="1488"/>
      <c r="AH513" s="1451">
        <f t="shared" si="284"/>
        <v>0</v>
      </c>
      <c r="AI513" s="1488"/>
      <c r="AJ513" s="1488"/>
      <c r="AK513" s="1488"/>
      <c r="AL513" s="1488"/>
      <c r="AM513" s="1488"/>
      <c r="AN513" s="1488"/>
      <c r="AO513" s="1488"/>
      <c r="AP513" s="1488"/>
      <c r="AQ513" s="1488"/>
      <c r="AR513" s="1488"/>
      <c r="AS513" s="1488"/>
      <c r="AT513" s="1542"/>
      <c r="AU513" s="1599">
        <f t="shared" si="285"/>
        <v>0</v>
      </c>
      <c r="AV513" s="1544">
        <f t="shared" si="313"/>
        <v>0</v>
      </c>
      <c r="AW513" s="1452">
        <f t="shared" si="286"/>
        <v>0</v>
      </c>
      <c r="AX513" s="1452">
        <f t="shared" si="287"/>
        <v>0</v>
      </c>
      <c r="AY513" s="1452">
        <f t="shared" si="288"/>
        <v>0</v>
      </c>
      <c r="AZ513" s="1452">
        <f t="shared" si="289"/>
        <v>0</v>
      </c>
      <c r="BA513" s="1452">
        <f t="shared" si="290"/>
        <v>0</v>
      </c>
      <c r="BB513" s="1452">
        <f t="shared" si="291"/>
        <v>0</v>
      </c>
      <c r="BC513" s="1452">
        <f t="shared" si="292"/>
        <v>0</v>
      </c>
      <c r="BD513" s="1452">
        <f t="shared" si="293"/>
        <v>0</v>
      </c>
      <c r="BE513" s="1452">
        <f t="shared" si="294"/>
        <v>0</v>
      </c>
      <c r="BF513" s="1452">
        <f t="shared" si="295"/>
        <v>0</v>
      </c>
      <c r="BG513" s="1452">
        <f t="shared" si="296"/>
        <v>0</v>
      </c>
      <c r="BH513" s="1452">
        <f t="shared" si="297"/>
        <v>0</v>
      </c>
      <c r="BI513" s="1452">
        <f t="shared" si="314"/>
        <v>0</v>
      </c>
      <c r="BJ513" s="1452" t="str">
        <f t="shared" si="298"/>
        <v/>
      </c>
      <c r="BK513" s="1452" t="str">
        <f t="shared" si="299"/>
        <v/>
      </c>
      <c r="BL513" s="1452" t="str">
        <f t="shared" si="300"/>
        <v/>
      </c>
      <c r="BM513" s="1452" t="str">
        <f t="shared" si="301"/>
        <v/>
      </c>
      <c r="BN513" s="1452" t="str">
        <f t="shared" ca="1" si="302"/>
        <v/>
      </c>
      <c r="BO513" s="1452" t="str">
        <f t="shared" si="315"/>
        <v/>
      </c>
      <c r="BP513" s="1452" t="str">
        <f t="shared" si="303"/>
        <v/>
      </c>
      <c r="BQ513" s="1452" t="str">
        <f t="shared" si="304"/>
        <v/>
      </c>
      <c r="BR513" s="1452" t="str">
        <f t="shared" si="305"/>
        <v/>
      </c>
      <c r="BS513" s="1452" t="str">
        <f t="shared" si="306"/>
        <v/>
      </c>
      <c r="BT513" s="1452" t="str">
        <f t="shared" si="307"/>
        <v/>
      </c>
      <c r="BU513" s="1452" t="str">
        <f t="shared" si="308"/>
        <v/>
      </c>
      <c r="BV513" s="1452" t="str">
        <f t="shared" si="309"/>
        <v/>
      </c>
      <c r="BW513" s="1558">
        <f t="shared" ca="1" si="316"/>
        <v>0</v>
      </c>
    </row>
    <row r="514" spans="1:75" s="9" customFormat="1" ht="12.5">
      <c r="A514" s="1483" t="str">
        <f t="shared" si="310"/>
        <v>Public Health Wales Trust</v>
      </c>
      <c r="B514" s="1583"/>
      <c r="C514" s="1583"/>
      <c r="D514" s="1583"/>
      <c r="E514" s="1581"/>
      <c r="F514" s="1436"/>
      <c r="G514" s="1547">
        <f t="shared" si="311"/>
        <v>0</v>
      </c>
      <c r="H514" s="1484"/>
      <c r="I514" s="1547">
        <f t="shared" si="312"/>
        <v>0</v>
      </c>
      <c r="J514" s="1485"/>
      <c r="K514" s="1485"/>
      <c r="L514" s="1436"/>
      <c r="M514" s="1439"/>
      <c r="N514" s="1439"/>
      <c r="O514" s="1485"/>
      <c r="P514" s="1486"/>
      <c r="Q514" s="1486"/>
      <c r="R514" s="1487"/>
      <c r="S514" s="1444"/>
      <c r="T514" s="1444"/>
      <c r="U514" s="1444"/>
      <c r="V514" s="1488"/>
      <c r="W514" s="1488"/>
      <c r="X514" s="1488"/>
      <c r="Y514" s="1488"/>
      <c r="Z514" s="1488"/>
      <c r="AA514" s="1488"/>
      <c r="AB514" s="1488"/>
      <c r="AC514" s="1488"/>
      <c r="AD514" s="1488"/>
      <c r="AE514" s="1488"/>
      <c r="AF514" s="1488"/>
      <c r="AG514" s="1488"/>
      <c r="AH514" s="1451">
        <f t="shared" si="284"/>
        <v>0</v>
      </c>
      <c r="AI514" s="1488"/>
      <c r="AJ514" s="1488"/>
      <c r="AK514" s="1488"/>
      <c r="AL514" s="1488"/>
      <c r="AM514" s="1488"/>
      <c r="AN514" s="1488"/>
      <c r="AO514" s="1488"/>
      <c r="AP514" s="1488"/>
      <c r="AQ514" s="1488"/>
      <c r="AR514" s="1488"/>
      <c r="AS514" s="1488"/>
      <c r="AT514" s="1542"/>
      <c r="AU514" s="1599">
        <f t="shared" si="285"/>
        <v>0</v>
      </c>
      <c r="AV514" s="1544">
        <f t="shared" si="313"/>
        <v>0</v>
      </c>
      <c r="AW514" s="1452">
        <f t="shared" si="286"/>
        <v>0</v>
      </c>
      <c r="AX514" s="1452">
        <f t="shared" si="287"/>
        <v>0</v>
      </c>
      <c r="AY514" s="1452">
        <f t="shared" si="288"/>
        <v>0</v>
      </c>
      <c r="AZ514" s="1452">
        <f t="shared" si="289"/>
        <v>0</v>
      </c>
      <c r="BA514" s="1452">
        <f t="shared" si="290"/>
        <v>0</v>
      </c>
      <c r="BB514" s="1452">
        <f t="shared" si="291"/>
        <v>0</v>
      </c>
      <c r="BC514" s="1452">
        <f t="shared" si="292"/>
        <v>0</v>
      </c>
      <c r="BD514" s="1452">
        <f t="shared" si="293"/>
        <v>0</v>
      </c>
      <c r="BE514" s="1452">
        <f t="shared" si="294"/>
        <v>0</v>
      </c>
      <c r="BF514" s="1452">
        <f t="shared" si="295"/>
        <v>0</v>
      </c>
      <c r="BG514" s="1452">
        <f t="shared" si="296"/>
        <v>0</v>
      </c>
      <c r="BH514" s="1452">
        <f t="shared" si="297"/>
        <v>0</v>
      </c>
      <c r="BI514" s="1452">
        <f t="shared" si="314"/>
        <v>0</v>
      </c>
      <c r="BJ514" s="1452" t="str">
        <f t="shared" si="298"/>
        <v/>
      </c>
      <c r="BK514" s="1452" t="str">
        <f t="shared" si="299"/>
        <v/>
      </c>
      <c r="BL514" s="1452" t="str">
        <f t="shared" si="300"/>
        <v/>
      </c>
      <c r="BM514" s="1452" t="str">
        <f t="shared" si="301"/>
        <v/>
      </c>
      <c r="BN514" s="1452" t="str">
        <f t="shared" ca="1" si="302"/>
        <v/>
      </c>
      <c r="BO514" s="1452" t="str">
        <f t="shared" si="315"/>
        <v/>
      </c>
      <c r="BP514" s="1452" t="str">
        <f t="shared" si="303"/>
        <v/>
      </c>
      <c r="BQ514" s="1452" t="str">
        <f t="shared" si="304"/>
        <v/>
      </c>
      <c r="BR514" s="1452" t="str">
        <f t="shared" si="305"/>
        <v/>
      </c>
      <c r="BS514" s="1452" t="str">
        <f t="shared" si="306"/>
        <v/>
      </c>
      <c r="BT514" s="1452" t="str">
        <f t="shared" si="307"/>
        <v/>
      </c>
      <c r="BU514" s="1452" t="str">
        <f t="shared" si="308"/>
        <v/>
      </c>
      <c r="BV514" s="1452" t="str">
        <f t="shared" si="309"/>
        <v/>
      </c>
      <c r="BW514" s="1558">
        <f t="shared" ca="1" si="316"/>
        <v>0</v>
      </c>
    </row>
    <row r="515" spans="1:75" s="9" customFormat="1" ht="12.5">
      <c r="A515" s="1483" t="str">
        <f t="shared" si="310"/>
        <v>Public Health Wales Trust</v>
      </c>
      <c r="B515" s="1583"/>
      <c r="C515" s="1583"/>
      <c r="D515" s="1583"/>
      <c r="E515" s="1581"/>
      <c r="F515" s="1436"/>
      <c r="G515" s="1547">
        <f t="shared" si="311"/>
        <v>0</v>
      </c>
      <c r="H515" s="1484"/>
      <c r="I515" s="1547">
        <f t="shared" si="312"/>
        <v>0</v>
      </c>
      <c r="J515" s="1485"/>
      <c r="K515" s="1485"/>
      <c r="L515" s="1436"/>
      <c r="M515" s="1439"/>
      <c r="N515" s="1439"/>
      <c r="O515" s="1485"/>
      <c r="P515" s="1486"/>
      <c r="Q515" s="1486"/>
      <c r="R515" s="1487"/>
      <c r="S515" s="1444"/>
      <c r="T515" s="1444"/>
      <c r="U515" s="1444"/>
      <c r="V515" s="1488"/>
      <c r="W515" s="1488"/>
      <c r="X515" s="1488"/>
      <c r="Y515" s="1488"/>
      <c r="Z515" s="1488"/>
      <c r="AA515" s="1488"/>
      <c r="AB515" s="1488"/>
      <c r="AC515" s="1488"/>
      <c r="AD515" s="1488"/>
      <c r="AE515" s="1488"/>
      <c r="AF515" s="1488"/>
      <c r="AG515" s="1488"/>
      <c r="AH515" s="1451">
        <f t="shared" si="284"/>
        <v>0</v>
      </c>
      <c r="AI515" s="1488"/>
      <c r="AJ515" s="1488"/>
      <c r="AK515" s="1488"/>
      <c r="AL515" s="1488"/>
      <c r="AM515" s="1488"/>
      <c r="AN515" s="1488"/>
      <c r="AO515" s="1488"/>
      <c r="AP515" s="1488"/>
      <c r="AQ515" s="1488"/>
      <c r="AR515" s="1488"/>
      <c r="AS515" s="1488"/>
      <c r="AT515" s="1542"/>
      <c r="AU515" s="1599">
        <f t="shared" si="285"/>
        <v>0</v>
      </c>
      <c r="AV515" s="1544">
        <f t="shared" si="313"/>
        <v>0</v>
      </c>
      <c r="AW515" s="1452">
        <f t="shared" si="286"/>
        <v>0</v>
      </c>
      <c r="AX515" s="1452">
        <f t="shared" si="287"/>
        <v>0</v>
      </c>
      <c r="AY515" s="1452">
        <f t="shared" si="288"/>
        <v>0</v>
      </c>
      <c r="AZ515" s="1452">
        <f t="shared" si="289"/>
        <v>0</v>
      </c>
      <c r="BA515" s="1452">
        <f t="shared" si="290"/>
        <v>0</v>
      </c>
      <c r="BB515" s="1452">
        <f t="shared" si="291"/>
        <v>0</v>
      </c>
      <c r="BC515" s="1452">
        <f t="shared" si="292"/>
        <v>0</v>
      </c>
      <c r="BD515" s="1452">
        <f t="shared" si="293"/>
        <v>0</v>
      </c>
      <c r="BE515" s="1452">
        <f t="shared" si="294"/>
        <v>0</v>
      </c>
      <c r="BF515" s="1452">
        <f t="shared" si="295"/>
        <v>0</v>
      </c>
      <c r="BG515" s="1452">
        <f t="shared" si="296"/>
        <v>0</v>
      </c>
      <c r="BH515" s="1452">
        <f t="shared" si="297"/>
        <v>0</v>
      </c>
      <c r="BI515" s="1452">
        <f t="shared" si="314"/>
        <v>0</v>
      </c>
      <c r="BJ515" s="1452" t="str">
        <f t="shared" si="298"/>
        <v/>
      </c>
      <c r="BK515" s="1452" t="str">
        <f t="shared" si="299"/>
        <v/>
      </c>
      <c r="BL515" s="1452" t="str">
        <f t="shared" si="300"/>
        <v/>
      </c>
      <c r="BM515" s="1452" t="str">
        <f t="shared" si="301"/>
        <v/>
      </c>
      <c r="BN515" s="1452" t="str">
        <f t="shared" ca="1" si="302"/>
        <v/>
      </c>
      <c r="BO515" s="1452" t="str">
        <f t="shared" si="315"/>
        <v/>
      </c>
      <c r="BP515" s="1452" t="str">
        <f t="shared" si="303"/>
        <v/>
      </c>
      <c r="BQ515" s="1452" t="str">
        <f t="shared" si="304"/>
        <v/>
      </c>
      <c r="BR515" s="1452" t="str">
        <f t="shared" si="305"/>
        <v/>
      </c>
      <c r="BS515" s="1452" t="str">
        <f t="shared" si="306"/>
        <v/>
      </c>
      <c r="BT515" s="1452" t="str">
        <f t="shared" si="307"/>
        <v/>
      </c>
      <c r="BU515" s="1452" t="str">
        <f t="shared" si="308"/>
        <v/>
      </c>
      <c r="BV515" s="1452" t="str">
        <f t="shared" si="309"/>
        <v/>
      </c>
      <c r="BW515" s="1558">
        <f t="shared" ca="1" si="316"/>
        <v>0</v>
      </c>
    </row>
    <row r="516" spans="1:75" s="9" customFormat="1" ht="12.5">
      <c r="A516" s="1483" t="str">
        <f t="shared" si="310"/>
        <v>Public Health Wales Trust</v>
      </c>
      <c r="B516" s="1583"/>
      <c r="C516" s="1583"/>
      <c r="D516" s="1583"/>
      <c r="E516" s="1581"/>
      <c r="F516" s="1436"/>
      <c r="G516" s="1547">
        <f t="shared" si="311"/>
        <v>0</v>
      </c>
      <c r="H516" s="1484"/>
      <c r="I516" s="1547">
        <f t="shared" si="312"/>
        <v>0</v>
      </c>
      <c r="J516" s="1485"/>
      <c r="K516" s="1485"/>
      <c r="L516" s="1436"/>
      <c r="M516" s="1439"/>
      <c r="N516" s="1439"/>
      <c r="O516" s="1485"/>
      <c r="P516" s="1486"/>
      <c r="Q516" s="1486"/>
      <c r="R516" s="1487"/>
      <c r="S516" s="1444"/>
      <c r="T516" s="1444"/>
      <c r="U516" s="1444"/>
      <c r="V516" s="1488"/>
      <c r="W516" s="1488"/>
      <c r="X516" s="1488"/>
      <c r="Y516" s="1488"/>
      <c r="Z516" s="1488"/>
      <c r="AA516" s="1488"/>
      <c r="AB516" s="1488"/>
      <c r="AC516" s="1488"/>
      <c r="AD516" s="1488"/>
      <c r="AE516" s="1488"/>
      <c r="AF516" s="1488"/>
      <c r="AG516" s="1488"/>
      <c r="AH516" s="1451">
        <f t="shared" si="284"/>
        <v>0</v>
      </c>
      <c r="AI516" s="1488"/>
      <c r="AJ516" s="1488"/>
      <c r="AK516" s="1488"/>
      <c r="AL516" s="1488"/>
      <c r="AM516" s="1488"/>
      <c r="AN516" s="1488"/>
      <c r="AO516" s="1488"/>
      <c r="AP516" s="1488"/>
      <c r="AQ516" s="1488"/>
      <c r="AR516" s="1488"/>
      <c r="AS516" s="1488"/>
      <c r="AT516" s="1542"/>
      <c r="AU516" s="1599">
        <f t="shared" si="285"/>
        <v>0</v>
      </c>
      <c r="AV516" s="1544">
        <f t="shared" si="313"/>
        <v>0</v>
      </c>
      <c r="AW516" s="1452">
        <f t="shared" si="286"/>
        <v>0</v>
      </c>
      <c r="AX516" s="1452">
        <f t="shared" si="287"/>
        <v>0</v>
      </c>
      <c r="AY516" s="1452">
        <f t="shared" si="288"/>
        <v>0</v>
      </c>
      <c r="AZ516" s="1452">
        <f t="shared" si="289"/>
        <v>0</v>
      </c>
      <c r="BA516" s="1452">
        <f t="shared" si="290"/>
        <v>0</v>
      </c>
      <c r="BB516" s="1452">
        <f t="shared" si="291"/>
        <v>0</v>
      </c>
      <c r="BC516" s="1452">
        <f t="shared" si="292"/>
        <v>0</v>
      </c>
      <c r="BD516" s="1452">
        <f t="shared" si="293"/>
        <v>0</v>
      </c>
      <c r="BE516" s="1452">
        <f t="shared" si="294"/>
        <v>0</v>
      </c>
      <c r="BF516" s="1452">
        <f t="shared" si="295"/>
        <v>0</v>
      </c>
      <c r="BG516" s="1452">
        <f t="shared" si="296"/>
        <v>0</v>
      </c>
      <c r="BH516" s="1452">
        <f t="shared" si="297"/>
        <v>0</v>
      </c>
      <c r="BI516" s="1452">
        <f t="shared" si="314"/>
        <v>0</v>
      </c>
      <c r="BJ516" s="1452" t="str">
        <f t="shared" si="298"/>
        <v/>
      </c>
      <c r="BK516" s="1452" t="str">
        <f t="shared" si="299"/>
        <v/>
      </c>
      <c r="BL516" s="1452" t="str">
        <f t="shared" si="300"/>
        <v/>
      </c>
      <c r="BM516" s="1452" t="str">
        <f t="shared" si="301"/>
        <v/>
      </c>
      <c r="BN516" s="1452" t="str">
        <f t="shared" ca="1" si="302"/>
        <v/>
      </c>
      <c r="BO516" s="1452" t="str">
        <f t="shared" si="315"/>
        <v/>
      </c>
      <c r="BP516" s="1452" t="str">
        <f t="shared" si="303"/>
        <v/>
      </c>
      <c r="BQ516" s="1452" t="str">
        <f t="shared" si="304"/>
        <v/>
      </c>
      <c r="BR516" s="1452" t="str">
        <f t="shared" si="305"/>
        <v/>
      </c>
      <c r="BS516" s="1452" t="str">
        <f t="shared" si="306"/>
        <v/>
      </c>
      <c r="BT516" s="1452" t="str">
        <f t="shared" si="307"/>
        <v/>
      </c>
      <c r="BU516" s="1452" t="str">
        <f t="shared" si="308"/>
        <v/>
      </c>
      <c r="BV516" s="1452" t="str">
        <f t="shared" si="309"/>
        <v/>
      </c>
      <c r="BW516" s="1558">
        <f t="shared" ca="1" si="316"/>
        <v>0</v>
      </c>
    </row>
    <row r="517" spans="1:75" s="9" customFormat="1" ht="12.5">
      <c r="A517" s="1483" t="str">
        <f t="shared" si="310"/>
        <v>Public Health Wales Trust</v>
      </c>
      <c r="B517" s="1583"/>
      <c r="C517" s="1583"/>
      <c r="D517" s="1583"/>
      <c r="E517" s="1581"/>
      <c r="F517" s="1436"/>
      <c r="G517" s="1547">
        <f t="shared" si="311"/>
        <v>0</v>
      </c>
      <c r="H517" s="1484"/>
      <c r="I517" s="1547">
        <f t="shared" si="312"/>
        <v>0</v>
      </c>
      <c r="J517" s="1485"/>
      <c r="K517" s="1485"/>
      <c r="L517" s="1436"/>
      <c r="M517" s="1439"/>
      <c r="N517" s="1439"/>
      <c r="O517" s="1485"/>
      <c r="P517" s="1486"/>
      <c r="Q517" s="1486"/>
      <c r="R517" s="1487"/>
      <c r="S517" s="1444"/>
      <c r="T517" s="1444"/>
      <c r="U517" s="1444"/>
      <c r="V517" s="1488"/>
      <c r="W517" s="1488"/>
      <c r="X517" s="1488"/>
      <c r="Y517" s="1488"/>
      <c r="Z517" s="1488"/>
      <c r="AA517" s="1488"/>
      <c r="AB517" s="1488"/>
      <c r="AC517" s="1488"/>
      <c r="AD517" s="1488"/>
      <c r="AE517" s="1488"/>
      <c r="AF517" s="1488"/>
      <c r="AG517" s="1488"/>
      <c r="AH517" s="1451">
        <f t="shared" si="284"/>
        <v>0</v>
      </c>
      <c r="AI517" s="1488"/>
      <c r="AJ517" s="1488"/>
      <c r="AK517" s="1488"/>
      <c r="AL517" s="1488"/>
      <c r="AM517" s="1488"/>
      <c r="AN517" s="1488"/>
      <c r="AO517" s="1488"/>
      <c r="AP517" s="1488"/>
      <c r="AQ517" s="1488"/>
      <c r="AR517" s="1488"/>
      <c r="AS517" s="1488"/>
      <c r="AT517" s="1542"/>
      <c r="AU517" s="1599">
        <f t="shared" si="285"/>
        <v>0</v>
      </c>
      <c r="AV517" s="1544">
        <f t="shared" si="313"/>
        <v>0</v>
      </c>
      <c r="AW517" s="1452">
        <f t="shared" si="286"/>
        <v>0</v>
      </c>
      <c r="AX517" s="1452">
        <f t="shared" si="287"/>
        <v>0</v>
      </c>
      <c r="AY517" s="1452">
        <f t="shared" si="288"/>
        <v>0</v>
      </c>
      <c r="AZ517" s="1452">
        <f t="shared" si="289"/>
        <v>0</v>
      </c>
      <c r="BA517" s="1452">
        <f t="shared" si="290"/>
        <v>0</v>
      </c>
      <c r="BB517" s="1452">
        <f t="shared" si="291"/>
        <v>0</v>
      </c>
      <c r="BC517" s="1452">
        <f t="shared" si="292"/>
        <v>0</v>
      </c>
      <c r="BD517" s="1452">
        <f t="shared" si="293"/>
        <v>0</v>
      </c>
      <c r="BE517" s="1452">
        <f t="shared" si="294"/>
        <v>0</v>
      </c>
      <c r="BF517" s="1452">
        <f t="shared" si="295"/>
        <v>0</v>
      </c>
      <c r="BG517" s="1452">
        <f t="shared" si="296"/>
        <v>0</v>
      </c>
      <c r="BH517" s="1452">
        <f t="shared" si="297"/>
        <v>0</v>
      </c>
      <c r="BI517" s="1452">
        <f t="shared" si="314"/>
        <v>0</v>
      </c>
      <c r="BJ517" s="1452" t="str">
        <f t="shared" si="298"/>
        <v/>
      </c>
      <c r="BK517" s="1452" t="str">
        <f t="shared" si="299"/>
        <v/>
      </c>
      <c r="BL517" s="1452" t="str">
        <f t="shared" si="300"/>
        <v/>
      </c>
      <c r="BM517" s="1452" t="str">
        <f t="shared" si="301"/>
        <v/>
      </c>
      <c r="BN517" s="1452" t="str">
        <f t="shared" ca="1" si="302"/>
        <v/>
      </c>
      <c r="BO517" s="1452" t="str">
        <f t="shared" si="315"/>
        <v/>
      </c>
      <c r="BP517" s="1452" t="str">
        <f t="shared" si="303"/>
        <v/>
      </c>
      <c r="BQ517" s="1452" t="str">
        <f t="shared" si="304"/>
        <v/>
      </c>
      <c r="BR517" s="1452" t="str">
        <f t="shared" si="305"/>
        <v/>
      </c>
      <c r="BS517" s="1452" t="str">
        <f t="shared" si="306"/>
        <v/>
      </c>
      <c r="BT517" s="1452" t="str">
        <f t="shared" si="307"/>
        <v/>
      </c>
      <c r="BU517" s="1452" t="str">
        <f t="shared" si="308"/>
        <v/>
      </c>
      <c r="BV517" s="1452" t="str">
        <f t="shared" si="309"/>
        <v/>
      </c>
      <c r="BW517" s="1558">
        <f t="shared" ca="1" si="316"/>
        <v>0</v>
      </c>
    </row>
    <row r="518" spans="1:75" s="9" customFormat="1" ht="12.5">
      <c r="A518" s="1483" t="str">
        <f t="shared" si="310"/>
        <v>Public Health Wales Trust</v>
      </c>
      <c r="B518" s="1583"/>
      <c r="C518" s="1583"/>
      <c r="D518" s="1583"/>
      <c r="E518" s="1581"/>
      <c r="F518" s="1436"/>
      <c r="G518" s="1547">
        <f t="shared" si="311"/>
        <v>0</v>
      </c>
      <c r="H518" s="1484"/>
      <c r="I518" s="1547">
        <f t="shared" si="312"/>
        <v>0</v>
      </c>
      <c r="J518" s="1485"/>
      <c r="K518" s="1485"/>
      <c r="L518" s="1436"/>
      <c r="M518" s="1439"/>
      <c r="N518" s="1439"/>
      <c r="O518" s="1485"/>
      <c r="P518" s="1486"/>
      <c r="Q518" s="1486"/>
      <c r="R518" s="1487"/>
      <c r="S518" s="1444"/>
      <c r="T518" s="1444"/>
      <c r="U518" s="1444"/>
      <c r="V518" s="1488"/>
      <c r="W518" s="1488"/>
      <c r="X518" s="1488"/>
      <c r="Y518" s="1488"/>
      <c r="Z518" s="1488"/>
      <c r="AA518" s="1488"/>
      <c r="AB518" s="1488"/>
      <c r="AC518" s="1488"/>
      <c r="AD518" s="1488"/>
      <c r="AE518" s="1488"/>
      <c r="AF518" s="1488"/>
      <c r="AG518" s="1488"/>
      <c r="AH518" s="1451">
        <f t="shared" si="284"/>
        <v>0</v>
      </c>
      <c r="AI518" s="1488"/>
      <c r="AJ518" s="1488"/>
      <c r="AK518" s="1488"/>
      <c r="AL518" s="1488"/>
      <c r="AM518" s="1488"/>
      <c r="AN518" s="1488"/>
      <c r="AO518" s="1488"/>
      <c r="AP518" s="1488"/>
      <c r="AQ518" s="1488"/>
      <c r="AR518" s="1488"/>
      <c r="AS518" s="1488"/>
      <c r="AT518" s="1542"/>
      <c r="AU518" s="1599">
        <f t="shared" si="285"/>
        <v>0</v>
      </c>
      <c r="AV518" s="1544">
        <f t="shared" si="313"/>
        <v>0</v>
      </c>
      <c r="AW518" s="1452">
        <f t="shared" si="286"/>
        <v>0</v>
      </c>
      <c r="AX518" s="1452">
        <f t="shared" si="287"/>
        <v>0</v>
      </c>
      <c r="AY518" s="1452">
        <f t="shared" si="288"/>
        <v>0</v>
      </c>
      <c r="AZ518" s="1452">
        <f t="shared" si="289"/>
        <v>0</v>
      </c>
      <c r="BA518" s="1452">
        <f t="shared" si="290"/>
        <v>0</v>
      </c>
      <c r="BB518" s="1452">
        <f t="shared" si="291"/>
        <v>0</v>
      </c>
      <c r="BC518" s="1452">
        <f t="shared" si="292"/>
        <v>0</v>
      </c>
      <c r="BD518" s="1452">
        <f t="shared" si="293"/>
        <v>0</v>
      </c>
      <c r="BE518" s="1452">
        <f t="shared" si="294"/>
        <v>0</v>
      </c>
      <c r="BF518" s="1452">
        <f t="shared" si="295"/>
        <v>0</v>
      </c>
      <c r="BG518" s="1452">
        <f t="shared" si="296"/>
        <v>0</v>
      </c>
      <c r="BH518" s="1452">
        <f t="shared" si="297"/>
        <v>0</v>
      </c>
      <c r="BI518" s="1452">
        <f t="shared" si="314"/>
        <v>0</v>
      </c>
      <c r="BJ518" s="1452" t="str">
        <f t="shared" si="298"/>
        <v/>
      </c>
      <c r="BK518" s="1452" t="str">
        <f t="shared" si="299"/>
        <v/>
      </c>
      <c r="BL518" s="1452" t="str">
        <f t="shared" si="300"/>
        <v/>
      </c>
      <c r="BM518" s="1452" t="str">
        <f t="shared" si="301"/>
        <v/>
      </c>
      <c r="BN518" s="1452" t="str">
        <f t="shared" ca="1" si="302"/>
        <v/>
      </c>
      <c r="BO518" s="1452" t="str">
        <f t="shared" si="315"/>
        <v/>
      </c>
      <c r="BP518" s="1452" t="str">
        <f t="shared" si="303"/>
        <v/>
      </c>
      <c r="BQ518" s="1452" t="str">
        <f t="shared" si="304"/>
        <v/>
      </c>
      <c r="BR518" s="1452" t="str">
        <f t="shared" si="305"/>
        <v/>
      </c>
      <c r="BS518" s="1452" t="str">
        <f t="shared" si="306"/>
        <v/>
      </c>
      <c r="BT518" s="1452" t="str">
        <f t="shared" si="307"/>
        <v/>
      </c>
      <c r="BU518" s="1452" t="str">
        <f t="shared" si="308"/>
        <v/>
      </c>
      <c r="BV518" s="1452" t="str">
        <f t="shared" si="309"/>
        <v/>
      </c>
      <c r="BW518" s="1558">
        <f t="shared" ca="1" si="316"/>
        <v>0</v>
      </c>
    </row>
    <row r="519" spans="1:75" s="9" customFormat="1" ht="12.5">
      <c r="A519" s="1483" t="str">
        <f t="shared" si="310"/>
        <v>Public Health Wales Trust</v>
      </c>
      <c r="B519" s="1583"/>
      <c r="C519" s="1583"/>
      <c r="D519" s="1583"/>
      <c r="E519" s="1581"/>
      <c r="F519" s="1436"/>
      <c r="G519" s="1547">
        <f t="shared" si="311"/>
        <v>0</v>
      </c>
      <c r="H519" s="1484"/>
      <c r="I519" s="1547">
        <f t="shared" si="312"/>
        <v>0</v>
      </c>
      <c r="J519" s="1485"/>
      <c r="K519" s="1485"/>
      <c r="L519" s="1436"/>
      <c r="M519" s="1439"/>
      <c r="N519" s="1439"/>
      <c r="O519" s="1485"/>
      <c r="P519" s="1486"/>
      <c r="Q519" s="1486"/>
      <c r="R519" s="1487"/>
      <c r="S519" s="1444"/>
      <c r="T519" s="1444"/>
      <c r="U519" s="1444"/>
      <c r="V519" s="1488"/>
      <c r="W519" s="1488"/>
      <c r="X519" s="1488"/>
      <c r="Y519" s="1488"/>
      <c r="Z519" s="1488"/>
      <c r="AA519" s="1488"/>
      <c r="AB519" s="1488"/>
      <c r="AC519" s="1488"/>
      <c r="AD519" s="1488"/>
      <c r="AE519" s="1488"/>
      <c r="AF519" s="1488"/>
      <c r="AG519" s="1488"/>
      <c r="AH519" s="1451">
        <f t="shared" si="284"/>
        <v>0</v>
      </c>
      <c r="AI519" s="1488"/>
      <c r="AJ519" s="1488"/>
      <c r="AK519" s="1488"/>
      <c r="AL519" s="1488"/>
      <c r="AM519" s="1488"/>
      <c r="AN519" s="1488"/>
      <c r="AO519" s="1488"/>
      <c r="AP519" s="1488"/>
      <c r="AQ519" s="1488"/>
      <c r="AR519" s="1488"/>
      <c r="AS519" s="1488"/>
      <c r="AT519" s="1542"/>
      <c r="AU519" s="1599">
        <f t="shared" si="285"/>
        <v>0</v>
      </c>
      <c r="AV519" s="1544">
        <f t="shared" si="313"/>
        <v>0</v>
      </c>
      <c r="AW519" s="1452">
        <f t="shared" si="286"/>
        <v>0</v>
      </c>
      <c r="AX519" s="1452">
        <f t="shared" si="287"/>
        <v>0</v>
      </c>
      <c r="AY519" s="1452">
        <f t="shared" si="288"/>
        <v>0</v>
      </c>
      <c r="AZ519" s="1452">
        <f t="shared" si="289"/>
        <v>0</v>
      </c>
      <c r="BA519" s="1452">
        <f t="shared" si="290"/>
        <v>0</v>
      </c>
      <c r="BB519" s="1452">
        <f t="shared" si="291"/>
        <v>0</v>
      </c>
      <c r="BC519" s="1452">
        <f t="shared" si="292"/>
        <v>0</v>
      </c>
      <c r="BD519" s="1452">
        <f t="shared" si="293"/>
        <v>0</v>
      </c>
      <c r="BE519" s="1452">
        <f t="shared" si="294"/>
        <v>0</v>
      </c>
      <c r="BF519" s="1452">
        <f t="shared" si="295"/>
        <v>0</v>
      </c>
      <c r="BG519" s="1452">
        <f t="shared" si="296"/>
        <v>0</v>
      </c>
      <c r="BH519" s="1452">
        <f t="shared" si="297"/>
        <v>0</v>
      </c>
      <c r="BI519" s="1452">
        <f t="shared" si="314"/>
        <v>0</v>
      </c>
      <c r="BJ519" s="1452" t="str">
        <f t="shared" si="298"/>
        <v/>
      </c>
      <c r="BK519" s="1452" t="str">
        <f t="shared" si="299"/>
        <v/>
      </c>
      <c r="BL519" s="1452" t="str">
        <f t="shared" si="300"/>
        <v/>
      </c>
      <c r="BM519" s="1452" t="str">
        <f t="shared" si="301"/>
        <v/>
      </c>
      <c r="BN519" s="1452" t="str">
        <f t="shared" ca="1" si="302"/>
        <v/>
      </c>
      <c r="BO519" s="1452" t="str">
        <f t="shared" si="315"/>
        <v/>
      </c>
      <c r="BP519" s="1452" t="str">
        <f t="shared" si="303"/>
        <v/>
      </c>
      <c r="BQ519" s="1452" t="str">
        <f t="shared" si="304"/>
        <v/>
      </c>
      <c r="BR519" s="1452" t="str">
        <f t="shared" si="305"/>
        <v/>
      </c>
      <c r="BS519" s="1452" t="str">
        <f t="shared" si="306"/>
        <v/>
      </c>
      <c r="BT519" s="1452" t="str">
        <f t="shared" si="307"/>
        <v/>
      </c>
      <c r="BU519" s="1452" t="str">
        <f t="shared" si="308"/>
        <v/>
      </c>
      <c r="BV519" s="1452" t="str">
        <f t="shared" si="309"/>
        <v/>
      </c>
      <c r="BW519" s="1558">
        <f t="shared" ca="1" si="316"/>
        <v>0</v>
      </c>
    </row>
    <row r="520" spans="1:75" s="9" customFormat="1" ht="12.5">
      <c r="A520" s="1483" t="str">
        <f t="shared" si="310"/>
        <v>Public Health Wales Trust</v>
      </c>
      <c r="B520" s="1583"/>
      <c r="C520" s="1583"/>
      <c r="D520" s="1583"/>
      <c r="E520" s="1581"/>
      <c r="F520" s="1436"/>
      <c r="G520" s="1547">
        <f t="shared" si="311"/>
        <v>0</v>
      </c>
      <c r="H520" s="1484"/>
      <c r="I520" s="1547">
        <f t="shared" si="312"/>
        <v>0</v>
      </c>
      <c r="J520" s="1485"/>
      <c r="K520" s="1485"/>
      <c r="L520" s="1436"/>
      <c r="M520" s="1439"/>
      <c r="N520" s="1439"/>
      <c r="O520" s="1485"/>
      <c r="P520" s="1486"/>
      <c r="Q520" s="1486"/>
      <c r="R520" s="1487"/>
      <c r="S520" s="1444"/>
      <c r="T520" s="1444"/>
      <c r="U520" s="1444"/>
      <c r="V520" s="1488"/>
      <c r="W520" s="1488"/>
      <c r="X520" s="1488"/>
      <c r="Y520" s="1488"/>
      <c r="Z520" s="1488"/>
      <c r="AA520" s="1488"/>
      <c r="AB520" s="1488"/>
      <c r="AC520" s="1488"/>
      <c r="AD520" s="1488"/>
      <c r="AE520" s="1488"/>
      <c r="AF520" s="1488"/>
      <c r="AG520" s="1488"/>
      <c r="AH520" s="1451">
        <f t="shared" si="284"/>
        <v>0</v>
      </c>
      <c r="AI520" s="1488"/>
      <c r="AJ520" s="1488"/>
      <c r="AK520" s="1488"/>
      <c r="AL520" s="1488"/>
      <c r="AM520" s="1488"/>
      <c r="AN520" s="1488"/>
      <c r="AO520" s="1488"/>
      <c r="AP520" s="1488"/>
      <c r="AQ520" s="1488"/>
      <c r="AR520" s="1488"/>
      <c r="AS520" s="1488"/>
      <c r="AT520" s="1542"/>
      <c r="AU520" s="1599">
        <f t="shared" si="285"/>
        <v>0</v>
      </c>
      <c r="AV520" s="1544">
        <f t="shared" si="313"/>
        <v>0</v>
      </c>
      <c r="AW520" s="1452">
        <f t="shared" si="286"/>
        <v>0</v>
      </c>
      <c r="AX520" s="1452">
        <f t="shared" si="287"/>
        <v>0</v>
      </c>
      <c r="AY520" s="1452">
        <f t="shared" si="288"/>
        <v>0</v>
      </c>
      <c r="AZ520" s="1452">
        <f t="shared" si="289"/>
        <v>0</v>
      </c>
      <c r="BA520" s="1452">
        <f t="shared" si="290"/>
        <v>0</v>
      </c>
      <c r="BB520" s="1452">
        <f t="shared" si="291"/>
        <v>0</v>
      </c>
      <c r="BC520" s="1452">
        <f t="shared" si="292"/>
        <v>0</v>
      </c>
      <c r="BD520" s="1452">
        <f t="shared" si="293"/>
        <v>0</v>
      </c>
      <c r="BE520" s="1452">
        <f t="shared" si="294"/>
        <v>0</v>
      </c>
      <c r="BF520" s="1452">
        <f t="shared" si="295"/>
        <v>0</v>
      </c>
      <c r="BG520" s="1452">
        <f t="shared" si="296"/>
        <v>0</v>
      </c>
      <c r="BH520" s="1452">
        <f t="shared" si="297"/>
        <v>0</v>
      </c>
      <c r="BI520" s="1452">
        <f t="shared" si="314"/>
        <v>0</v>
      </c>
      <c r="BJ520" s="1452" t="str">
        <f t="shared" si="298"/>
        <v/>
      </c>
      <c r="BK520" s="1452" t="str">
        <f t="shared" si="299"/>
        <v/>
      </c>
      <c r="BL520" s="1452" t="str">
        <f t="shared" si="300"/>
        <v/>
      </c>
      <c r="BM520" s="1452" t="str">
        <f t="shared" si="301"/>
        <v/>
      </c>
      <c r="BN520" s="1452" t="str">
        <f t="shared" ca="1" si="302"/>
        <v/>
      </c>
      <c r="BO520" s="1452" t="str">
        <f t="shared" si="315"/>
        <v/>
      </c>
      <c r="BP520" s="1452" t="str">
        <f t="shared" si="303"/>
        <v/>
      </c>
      <c r="BQ520" s="1452" t="str">
        <f t="shared" si="304"/>
        <v/>
      </c>
      <c r="BR520" s="1452" t="str">
        <f t="shared" si="305"/>
        <v/>
      </c>
      <c r="BS520" s="1452" t="str">
        <f t="shared" si="306"/>
        <v/>
      </c>
      <c r="BT520" s="1452" t="str">
        <f t="shared" si="307"/>
        <v/>
      </c>
      <c r="BU520" s="1452" t="str">
        <f t="shared" si="308"/>
        <v/>
      </c>
      <c r="BV520" s="1452" t="str">
        <f t="shared" si="309"/>
        <v/>
      </c>
      <c r="BW520" s="1558">
        <f t="shared" ca="1" si="316"/>
        <v>0</v>
      </c>
    </row>
    <row r="521" spans="1:75" s="9" customFormat="1" ht="12.5">
      <c r="A521" s="1483" t="str">
        <f t="shared" si="310"/>
        <v>Public Health Wales Trust</v>
      </c>
      <c r="B521" s="1583"/>
      <c r="C521" s="1583"/>
      <c r="D521" s="1583"/>
      <c r="E521" s="1581"/>
      <c r="F521" s="1436"/>
      <c r="G521" s="1547">
        <f t="shared" si="311"/>
        <v>0</v>
      </c>
      <c r="H521" s="1484"/>
      <c r="I521" s="1547">
        <f t="shared" si="312"/>
        <v>0</v>
      </c>
      <c r="J521" s="1485"/>
      <c r="K521" s="1485"/>
      <c r="L521" s="1436"/>
      <c r="M521" s="1439"/>
      <c r="N521" s="1439"/>
      <c r="O521" s="1485"/>
      <c r="P521" s="1486"/>
      <c r="Q521" s="1486"/>
      <c r="R521" s="1487"/>
      <c r="S521" s="1444"/>
      <c r="T521" s="1444"/>
      <c r="U521" s="1444"/>
      <c r="V521" s="1488"/>
      <c r="W521" s="1488"/>
      <c r="X521" s="1488"/>
      <c r="Y521" s="1488"/>
      <c r="Z521" s="1488"/>
      <c r="AA521" s="1488"/>
      <c r="AB521" s="1488"/>
      <c r="AC521" s="1488"/>
      <c r="AD521" s="1488"/>
      <c r="AE521" s="1488"/>
      <c r="AF521" s="1488"/>
      <c r="AG521" s="1488"/>
      <c r="AH521" s="1451">
        <f t="shared" si="284"/>
        <v>0</v>
      </c>
      <c r="AI521" s="1488"/>
      <c r="AJ521" s="1488"/>
      <c r="AK521" s="1488"/>
      <c r="AL521" s="1488"/>
      <c r="AM521" s="1488"/>
      <c r="AN521" s="1488"/>
      <c r="AO521" s="1488"/>
      <c r="AP521" s="1488"/>
      <c r="AQ521" s="1488"/>
      <c r="AR521" s="1488"/>
      <c r="AS521" s="1488"/>
      <c r="AT521" s="1542"/>
      <c r="AU521" s="1599">
        <f t="shared" si="285"/>
        <v>0</v>
      </c>
      <c r="AV521" s="1544">
        <f t="shared" si="313"/>
        <v>0</v>
      </c>
      <c r="AW521" s="1452">
        <f t="shared" si="286"/>
        <v>0</v>
      </c>
      <c r="AX521" s="1452">
        <f t="shared" si="287"/>
        <v>0</v>
      </c>
      <c r="AY521" s="1452">
        <f t="shared" si="288"/>
        <v>0</v>
      </c>
      <c r="AZ521" s="1452">
        <f t="shared" si="289"/>
        <v>0</v>
      </c>
      <c r="BA521" s="1452">
        <f t="shared" si="290"/>
        <v>0</v>
      </c>
      <c r="BB521" s="1452">
        <f t="shared" si="291"/>
        <v>0</v>
      </c>
      <c r="BC521" s="1452">
        <f t="shared" si="292"/>
        <v>0</v>
      </c>
      <c r="BD521" s="1452">
        <f t="shared" si="293"/>
        <v>0</v>
      </c>
      <c r="BE521" s="1452">
        <f t="shared" si="294"/>
        <v>0</v>
      </c>
      <c r="BF521" s="1452">
        <f t="shared" si="295"/>
        <v>0</v>
      </c>
      <c r="BG521" s="1452">
        <f t="shared" si="296"/>
        <v>0</v>
      </c>
      <c r="BH521" s="1452">
        <f t="shared" si="297"/>
        <v>0</v>
      </c>
      <c r="BI521" s="1452">
        <f t="shared" si="314"/>
        <v>0</v>
      </c>
      <c r="BJ521" s="1452" t="str">
        <f t="shared" si="298"/>
        <v/>
      </c>
      <c r="BK521" s="1452" t="str">
        <f t="shared" si="299"/>
        <v/>
      </c>
      <c r="BL521" s="1452" t="str">
        <f t="shared" si="300"/>
        <v/>
      </c>
      <c r="BM521" s="1452" t="str">
        <f t="shared" si="301"/>
        <v/>
      </c>
      <c r="BN521" s="1452" t="str">
        <f t="shared" ca="1" si="302"/>
        <v/>
      </c>
      <c r="BO521" s="1452" t="str">
        <f t="shared" si="315"/>
        <v/>
      </c>
      <c r="BP521" s="1452" t="str">
        <f t="shared" si="303"/>
        <v/>
      </c>
      <c r="BQ521" s="1452" t="str">
        <f t="shared" si="304"/>
        <v/>
      </c>
      <c r="BR521" s="1452" t="str">
        <f t="shared" si="305"/>
        <v/>
      </c>
      <c r="BS521" s="1452" t="str">
        <f t="shared" si="306"/>
        <v/>
      </c>
      <c r="BT521" s="1452" t="str">
        <f t="shared" si="307"/>
        <v/>
      </c>
      <c r="BU521" s="1452" t="str">
        <f t="shared" si="308"/>
        <v/>
      </c>
      <c r="BV521" s="1452" t="str">
        <f t="shared" si="309"/>
        <v/>
      </c>
      <c r="BW521" s="1558">
        <f t="shared" ca="1" si="316"/>
        <v>0</v>
      </c>
    </row>
    <row r="522" spans="1:75" s="9" customFormat="1" ht="12.5">
      <c r="A522" s="1483" t="str">
        <f t="shared" si="310"/>
        <v>Public Health Wales Trust</v>
      </c>
      <c r="B522" s="1583"/>
      <c r="C522" s="1583"/>
      <c r="D522" s="1583"/>
      <c r="E522" s="1581"/>
      <c r="F522" s="1436"/>
      <c r="G522" s="1547">
        <f t="shared" si="311"/>
        <v>0</v>
      </c>
      <c r="H522" s="1484"/>
      <c r="I522" s="1547">
        <f t="shared" si="312"/>
        <v>0</v>
      </c>
      <c r="J522" s="1485"/>
      <c r="K522" s="1485"/>
      <c r="L522" s="1436"/>
      <c r="M522" s="1439"/>
      <c r="N522" s="1439"/>
      <c r="O522" s="1485"/>
      <c r="P522" s="1486"/>
      <c r="Q522" s="1486"/>
      <c r="R522" s="1487"/>
      <c r="S522" s="1444"/>
      <c r="T522" s="1444"/>
      <c r="U522" s="1444"/>
      <c r="V522" s="1488"/>
      <c r="W522" s="1488"/>
      <c r="X522" s="1488"/>
      <c r="Y522" s="1488"/>
      <c r="Z522" s="1488"/>
      <c r="AA522" s="1488"/>
      <c r="AB522" s="1488"/>
      <c r="AC522" s="1488"/>
      <c r="AD522" s="1488"/>
      <c r="AE522" s="1488"/>
      <c r="AF522" s="1488"/>
      <c r="AG522" s="1488"/>
      <c r="AH522" s="1451">
        <f t="shared" si="284"/>
        <v>0</v>
      </c>
      <c r="AI522" s="1488"/>
      <c r="AJ522" s="1488"/>
      <c r="AK522" s="1488"/>
      <c r="AL522" s="1488"/>
      <c r="AM522" s="1488"/>
      <c r="AN522" s="1488"/>
      <c r="AO522" s="1488"/>
      <c r="AP522" s="1488"/>
      <c r="AQ522" s="1488"/>
      <c r="AR522" s="1488"/>
      <c r="AS522" s="1488"/>
      <c r="AT522" s="1542"/>
      <c r="AU522" s="1599">
        <f t="shared" si="285"/>
        <v>0</v>
      </c>
      <c r="AV522" s="1544">
        <f t="shared" si="313"/>
        <v>0</v>
      </c>
      <c r="AW522" s="1452">
        <f t="shared" si="286"/>
        <v>0</v>
      </c>
      <c r="AX522" s="1452">
        <f t="shared" si="287"/>
        <v>0</v>
      </c>
      <c r="AY522" s="1452">
        <f t="shared" si="288"/>
        <v>0</v>
      </c>
      <c r="AZ522" s="1452">
        <f t="shared" si="289"/>
        <v>0</v>
      </c>
      <c r="BA522" s="1452">
        <f t="shared" si="290"/>
        <v>0</v>
      </c>
      <c r="BB522" s="1452">
        <f t="shared" si="291"/>
        <v>0</v>
      </c>
      <c r="BC522" s="1452">
        <f t="shared" si="292"/>
        <v>0</v>
      </c>
      <c r="BD522" s="1452">
        <f t="shared" si="293"/>
        <v>0</v>
      </c>
      <c r="BE522" s="1452">
        <f t="shared" si="294"/>
        <v>0</v>
      </c>
      <c r="BF522" s="1452">
        <f t="shared" si="295"/>
        <v>0</v>
      </c>
      <c r="BG522" s="1452">
        <f t="shared" si="296"/>
        <v>0</v>
      </c>
      <c r="BH522" s="1452">
        <f t="shared" si="297"/>
        <v>0</v>
      </c>
      <c r="BI522" s="1452">
        <f t="shared" si="314"/>
        <v>0</v>
      </c>
      <c r="BJ522" s="1452" t="str">
        <f t="shared" si="298"/>
        <v/>
      </c>
      <c r="BK522" s="1452" t="str">
        <f t="shared" si="299"/>
        <v/>
      </c>
      <c r="BL522" s="1452" t="str">
        <f t="shared" si="300"/>
        <v/>
      </c>
      <c r="BM522" s="1452" t="str">
        <f t="shared" si="301"/>
        <v/>
      </c>
      <c r="BN522" s="1452" t="str">
        <f t="shared" ca="1" si="302"/>
        <v/>
      </c>
      <c r="BO522" s="1452" t="str">
        <f t="shared" si="315"/>
        <v/>
      </c>
      <c r="BP522" s="1452" t="str">
        <f t="shared" si="303"/>
        <v/>
      </c>
      <c r="BQ522" s="1452" t="str">
        <f t="shared" si="304"/>
        <v/>
      </c>
      <c r="BR522" s="1452" t="str">
        <f t="shared" si="305"/>
        <v/>
      </c>
      <c r="BS522" s="1452" t="str">
        <f t="shared" si="306"/>
        <v/>
      </c>
      <c r="BT522" s="1452" t="str">
        <f t="shared" si="307"/>
        <v/>
      </c>
      <c r="BU522" s="1452" t="str">
        <f t="shared" si="308"/>
        <v/>
      </c>
      <c r="BV522" s="1452" t="str">
        <f t="shared" si="309"/>
        <v/>
      </c>
      <c r="BW522" s="1558">
        <f t="shared" ca="1" si="316"/>
        <v>0</v>
      </c>
    </row>
    <row r="523" spans="1:75" s="9" customFormat="1" ht="12.5">
      <c r="A523" s="1483" t="str">
        <f t="shared" si="310"/>
        <v>Public Health Wales Trust</v>
      </c>
      <c r="B523" s="1583"/>
      <c r="C523" s="1583"/>
      <c r="D523" s="1583"/>
      <c r="E523" s="1581"/>
      <c r="F523" s="1436"/>
      <c r="G523" s="1547">
        <f t="shared" si="311"/>
        <v>0</v>
      </c>
      <c r="H523" s="1484"/>
      <c r="I523" s="1547">
        <f t="shared" si="312"/>
        <v>0</v>
      </c>
      <c r="J523" s="1485"/>
      <c r="K523" s="1485"/>
      <c r="L523" s="1436"/>
      <c r="M523" s="1439"/>
      <c r="N523" s="1439"/>
      <c r="O523" s="1485"/>
      <c r="P523" s="1486"/>
      <c r="Q523" s="1486"/>
      <c r="R523" s="1487"/>
      <c r="S523" s="1444"/>
      <c r="T523" s="1444"/>
      <c r="U523" s="1444"/>
      <c r="V523" s="1488"/>
      <c r="W523" s="1488"/>
      <c r="X523" s="1488"/>
      <c r="Y523" s="1488"/>
      <c r="Z523" s="1488"/>
      <c r="AA523" s="1488"/>
      <c r="AB523" s="1488"/>
      <c r="AC523" s="1488"/>
      <c r="AD523" s="1488"/>
      <c r="AE523" s="1488"/>
      <c r="AF523" s="1488"/>
      <c r="AG523" s="1488"/>
      <c r="AH523" s="1451">
        <f t="shared" si="284"/>
        <v>0</v>
      </c>
      <c r="AI523" s="1488"/>
      <c r="AJ523" s="1488"/>
      <c r="AK523" s="1488"/>
      <c r="AL523" s="1488"/>
      <c r="AM523" s="1488"/>
      <c r="AN523" s="1488"/>
      <c r="AO523" s="1488"/>
      <c r="AP523" s="1488"/>
      <c r="AQ523" s="1488"/>
      <c r="AR523" s="1488"/>
      <c r="AS523" s="1488"/>
      <c r="AT523" s="1542"/>
      <c r="AU523" s="1599">
        <f t="shared" si="285"/>
        <v>0</v>
      </c>
      <c r="AV523" s="1544">
        <f t="shared" si="313"/>
        <v>0</v>
      </c>
      <c r="AW523" s="1452">
        <f t="shared" si="286"/>
        <v>0</v>
      </c>
      <c r="AX523" s="1452">
        <f t="shared" si="287"/>
        <v>0</v>
      </c>
      <c r="AY523" s="1452">
        <f t="shared" si="288"/>
        <v>0</v>
      </c>
      <c r="AZ523" s="1452">
        <f t="shared" si="289"/>
        <v>0</v>
      </c>
      <c r="BA523" s="1452">
        <f t="shared" si="290"/>
        <v>0</v>
      </c>
      <c r="BB523" s="1452">
        <f t="shared" si="291"/>
        <v>0</v>
      </c>
      <c r="BC523" s="1452">
        <f t="shared" si="292"/>
        <v>0</v>
      </c>
      <c r="BD523" s="1452">
        <f t="shared" si="293"/>
        <v>0</v>
      </c>
      <c r="BE523" s="1452">
        <f t="shared" si="294"/>
        <v>0</v>
      </c>
      <c r="BF523" s="1452">
        <f t="shared" si="295"/>
        <v>0</v>
      </c>
      <c r="BG523" s="1452">
        <f t="shared" si="296"/>
        <v>0</v>
      </c>
      <c r="BH523" s="1452">
        <f t="shared" si="297"/>
        <v>0</v>
      </c>
      <c r="BI523" s="1452">
        <f t="shared" si="314"/>
        <v>0</v>
      </c>
      <c r="BJ523" s="1452" t="str">
        <f t="shared" si="298"/>
        <v/>
      </c>
      <c r="BK523" s="1452" t="str">
        <f t="shared" si="299"/>
        <v/>
      </c>
      <c r="BL523" s="1452" t="str">
        <f t="shared" si="300"/>
        <v/>
      </c>
      <c r="BM523" s="1452" t="str">
        <f t="shared" si="301"/>
        <v/>
      </c>
      <c r="BN523" s="1452" t="str">
        <f t="shared" ca="1" si="302"/>
        <v/>
      </c>
      <c r="BO523" s="1452" t="str">
        <f t="shared" si="315"/>
        <v/>
      </c>
      <c r="BP523" s="1452" t="str">
        <f t="shared" si="303"/>
        <v/>
      </c>
      <c r="BQ523" s="1452" t="str">
        <f t="shared" si="304"/>
        <v/>
      </c>
      <c r="BR523" s="1452" t="str">
        <f t="shared" si="305"/>
        <v/>
      </c>
      <c r="BS523" s="1452" t="str">
        <f t="shared" si="306"/>
        <v/>
      </c>
      <c r="BT523" s="1452" t="str">
        <f t="shared" si="307"/>
        <v/>
      </c>
      <c r="BU523" s="1452" t="str">
        <f t="shared" si="308"/>
        <v/>
      </c>
      <c r="BV523" s="1452" t="str">
        <f t="shared" si="309"/>
        <v/>
      </c>
      <c r="BW523" s="1558">
        <f t="shared" ca="1" si="316"/>
        <v>0</v>
      </c>
    </row>
    <row r="524" spans="1:75" s="9" customFormat="1" ht="12.5">
      <c r="A524" s="1483" t="str">
        <f t="shared" si="310"/>
        <v>Public Health Wales Trust</v>
      </c>
      <c r="B524" s="1583"/>
      <c r="C524" s="1583"/>
      <c r="D524" s="1583"/>
      <c r="E524" s="1510"/>
      <c r="F524" s="1436"/>
      <c r="G524" s="1547">
        <f t="shared" si="311"/>
        <v>0</v>
      </c>
      <c r="H524" s="1484"/>
      <c r="I524" s="1547">
        <f t="shared" si="312"/>
        <v>0</v>
      </c>
      <c r="J524" s="1485"/>
      <c r="K524" s="1485"/>
      <c r="L524" s="1436"/>
      <c r="M524" s="1439"/>
      <c r="N524" s="1439"/>
      <c r="O524" s="1485"/>
      <c r="P524" s="1486"/>
      <c r="Q524" s="1486"/>
      <c r="R524" s="1487"/>
      <c r="S524" s="1444"/>
      <c r="T524" s="1444"/>
      <c r="U524" s="1444"/>
      <c r="V524" s="1488"/>
      <c r="W524" s="1488"/>
      <c r="X524" s="1488"/>
      <c r="Y524" s="1488"/>
      <c r="Z524" s="1488"/>
      <c r="AA524" s="1488"/>
      <c r="AB524" s="1488"/>
      <c r="AC524" s="1488"/>
      <c r="AD524" s="1488"/>
      <c r="AE524" s="1488"/>
      <c r="AF524" s="1488"/>
      <c r="AG524" s="1488"/>
      <c r="AH524" s="1451">
        <f t="shared" si="284"/>
        <v>0</v>
      </c>
      <c r="AI524" s="1488"/>
      <c r="AJ524" s="1488"/>
      <c r="AK524" s="1488"/>
      <c r="AL524" s="1488"/>
      <c r="AM524" s="1488"/>
      <c r="AN524" s="1488"/>
      <c r="AO524" s="1488"/>
      <c r="AP524" s="1488"/>
      <c r="AQ524" s="1488"/>
      <c r="AR524" s="1488"/>
      <c r="AS524" s="1488"/>
      <c r="AT524" s="1542"/>
      <c r="AU524" s="1599">
        <f t="shared" si="285"/>
        <v>0</v>
      </c>
      <c r="AV524" s="1544">
        <f t="shared" si="313"/>
        <v>0</v>
      </c>
      <c r="AW524" s="1452">
        <f t="shared" si="286"/>
        <v>0</v>
      </c>
      <c r="AX524" s="1452">
        <f t="shared" si="287"/>
        <v>0</v>
      </c>
      <c r="AY524" s="1452">
        <f t="shared" si="288"/>
        <v>0</v>
      </c>
      <c r="AZ524" s="1452">
        <f t="shared" si="289"/>
        <v>0</v>
      </c>
      <c r="BA524" s="1452">
        <f t="shared" si="290"/>
        <v>0</v>
      </c>
      <c r="BB524" s="1452">
        <f t="shared" si="291"/>
        <v>0</v>
      </c>
      <c r="BC524" s="1452">
        <f t="shared" si="292"/>
        <v>0</v>
      </c>
      <c r="BD524" s="1452">
        <f t="shared" si="293"/>
        <v>0</v>
      </c>
      <c r="BE524" s="1452">
        <f t="shared" si="294"/>
        <v>0</v>
      </c>
      <c r="BF524" s="1452">
        <f t="shared" si="295"/>
        <v>0</v>
      </c>
      <c r="BG524" s="1452">
        <f t="shared" si="296"/>
        <v>0</v>
      </c>
      <c r="BH524" s="1452">
        <f t="shared" si="297"/>
        <v>0</v>
      </c>
      <c r="BI524" s="1452">
        <f t="shared" si="314"/>
        <v>0</v>
      </c>
      <c r="BJ524" s="1452" t="str">
        <f t="shared" si="298"/>
        <v/>
      </c>
      <c r="BK524" s="1452" t="str">
        <f t="shared" si="299"/>
        <v/>
      </c>
      <c r="BL524" s="1452" t="str">
        <f t="shared" si="300"/>
        <v/>
      </c>
      <c r="BM524" s="1452" t="str">
        <f t="shared" si="301"/>
        <v/>
      </c>
      <c r="BN524" s="1452" t="str">
        <f t="shared" ca="1" si="302"/>
        <v/>
      </c>
      <c r="BO524" s="1452" t="str">
        <f t="shared" si="315"/>
        <v/>
      </c>
      <c r="BP524" s="1452" t="str">
        <f t="shared" si="303"/>
        <v/>
      </c>
      <c r="BQ524" s="1452" t="str">
        <f t="shared" si="304"/>
        <v/>
      </c>
      <c r="BR524" s="1452" t="str">
        <f t="shared" si="305"/>
        <v/>
      </c>
      <c r="BS524" s="1452" t="str">
        <f t="shared" si="306"/>
        <v/>
      </c>
      <c r="BT524" s="1452" t="str">
        <f t="shared" si="307"/>
        <v/>
      </c>
      <c r="BU524" s="1452" t="str">
        <f t="shared" si="308"/>
        <v/>
      </c>
      <c r="BV524" s="1452" t="str">
        <f t="shared" si="309"/>
        <v/>
      </c>
      <c r="BW524" s="1558">
        <f t="shared" ca="1" si="316"/>
        <v>0</v>
      </c>
    </row>
    <row r="525" spans="1:75" s="9" customFormat="1" ht="12.5">
      <c r="A525" s="1483" t="str">
        <f t="shared" si="310"/>
        <v>Public Health Wales Trust</v>
      </c>
      <c r="B525" s="1583"/>
      <c r="C525" s="1583"/>
      <c r="D525" s="1583"/>
      <c r="E525" s="1510"/>
      <c r="F525" s="1436"/>
      <c r="G525" s="1547">
        <f t="shared" si="311"/>
        <v>0</v>
      </c>
      <c r="H525" s="1484"/>
      <c r="I525" s="1547">
        <f t="shared" si="312"/>
        <v>0</v>
      </c>
      <c r="J525" s="1485"/>
      <c r="K525" s="1485"/>
      <c r="L525" s="1436"/>
      <c r="M525" s="1439"/>
      <c r="N525" s="1439"/>
      <c r="O525" s="1485"/>
      <c r="P525" s="1486"/>
      <c r="Q525" s="1486"/>
      <c r="R525" s="1487"/>
      <c r="S525" s="1444"/>
      <c r="T525" s="1444"/>
      <c r="U525" s="1444"/>
      <c r="V525" s="1488"/>
      <c r="W525" s="1488"/>
      <c r="X525" s="1488"/>
      <c r="Y525" s="1488"/>
      <c r="Z525" s="1488"/>
      <c r="AA525" s="1488"/>
      <c r="AB525" s="1488"/>
      <c r="AC525" s="1488"/>
      <c r="AD525" s="1488"/>
      <c r="AE525" s="1488"/>
      <c r="AF525" s="1488"/>
      <c r="AG525" s="1488"/>
      <c r="AH525" s="1451">
        <f t="shared" si="284"/>
        <v>0</v>
      </c>
      <c r="AI525" s="1488"/>
      <c r="AJ525" s="1488"/>
      <c r="AK525" s="1488"/>
      <c r="AL525" s="1488"/>
      <c r="AM525" s="1488"/>
      <c r="AN525" s="1488"/>
      <c r="AO525" s="1488"/>
      <c r="AP525" s="1488"/>
      <c r="AQ525" s="1488"/>
      <c r="AR525" s="1488"/>
      <c r="AS525" s="1488"/>
      <c r="AT525" s="1542"/>
      <c r="AU525" s="1599">
        <f t="shared" si="285"/>
        <v>0</v>
      </c>
      <c r="AV525" s="1544">
        <f t="shared" si="313"/>
        <v>0</v>
      </c>
      <c r="AW525" s="1452">
        <f t="shared" si="286"/>
        <v>0</v>
      </c>
      <c r="AX525" s="1452">
        <f t="shared" si="287"/>
        <v>0</v>
      </c>
      <c r="AY525" s="1452">
        <f t="shared" si="288"/>
        <v>0</v>
      </c>
      <c r="AZ525" s="1452">
        <f t="shared" si="289"/>
        <v>0</v>
      </c>
      <c r="BA525" s="1452">
        <f t="shared" si="290"/>
        <v>0</v>
      </c>
      <c r="BB525" s="1452">
        <f t="shared" si="291"/>
        <v>0</v>
      </c>
      <c r="BC525" s="1452">
        <f t="shared" si="292"/>
        <v>0</v>
      </c>
      <c r="BD525" s="1452">
        <f t="shared" si="293"/>
        <v>0</v>
      </c>
      <c r="BE525" s="1452">
        <f t="shared" si="294"/>
        <v>0</v>
      </c>
      <c r="BF525" s="1452">
        <f t="shared" si="295"/>
        <v>0</v>
      </c>
      <c r="BG525" s="1452">
        <f t="shared" si="296"/>
        <v>0</v>
      </c>
      <c r="BH525" s="1452">
        <f t="shared" si="297"/>
        <v>0</v>
      </c>
      <c r="BI525" s="1452">
        <f t="shared" si="314"/>
        <v>0</v>
      </c>
      <c r="BJ525" s="1452" t="str">
        <f t="shared" si="298"/>
        <v/>
      </c>
      <c r="BK525" s="1452" t="str">
        <f t="shared" si="299"/>
        <v/>
      </c>
      <c r="BL525" s="1452" t="str">
        <f t="shared" si="300"/>
        <v/>
      </c>
      <c r="BM525" s="1452" t="str">
        <f t="shared" si="301"/>
        <v/>
      </c>
      <c r="BN525" s="1452" t="str">
        <f t="shared" ca="1" si="302"/>
        <v/>
      </c>
      <c r="BO525" s="1452" t="str">
        <f t="shared" si="315"/>
        <v/>
      </c>
      <c r="BP525" s="1452" t="str">
        <f t="shared" si="303"/>
        <v/>
      </c>
      <c r="BQ525" s="1452" t="str">
        <f t="shared" si="304"/>
        <v/>
      </c>
      <c r="BR525" s="1452" t="str">
        <f t="shared" si="305"/>
        <v/>
      </c>
      <c r="BS525" s="1452" t="str">
        <f t="shared" si="306"/>
        <v/>
      </c>
      <c r="BT525" s="1452" t="str">
        <f t="shared" si="307"/>
        <v/>
      </c>
      <c r="BU525" s="1452" t="str">
        <f t="shared" si="308"/>
        <v/>
      </c>
      <c r="BV525" s="1452" t="str">
        <f t="shared" si="309"/>
        <v/>
      </c>
      <c r="BW525" s="1558">
        <f t="shared" ca="1" si="316"/>
        <v>0</v>
      </c>
    </row>
    <row r="526" spans="1:75" s="9" customFormat="1" ht="12.5">
      <c r="A526" s="1483" t="str">
        <f t="shared" si="310"/>
        <v>Public Health Wales Trust</v>
      </c>
      <c r="B526" s="1583"/>
      <c r="C526" s="1583"/>
      <c r="D526" s="1583"/>
      <c r="E526" s="1510"/>
      <c r="F526" s="1436"/>
      <c r="G526" s="1547">
        <f t="shared" si="311"/>
        <v>0</v>
      </c>
      <c r="H526" s="1484"/>
      <c r="I526" s="1547">
        <f t="shared" si="312"/>
        <v>0</v>
      </c>
      <c r="J526" s="1485"/>
      <c r="K526" s="1485"/>
      <c r="L526" s="1436"/>
      <c r="M526" s="1439"/>
      <c r="N526" s="1439"/>
      <c r="O526" s="1485"/>
      <c r="P526" s="1486"/>
      <c r="Q526" s="1486"/>
      <c r="R526" s="1487"/>
      <c r="S526" s="1444"/>
      <c r="T526" s="1444"/>
      <c r="U526" s="1444"/>
      <c r="V526" s="1488"/>
      <c r="W526" s="1488"/>
      <c r="X526" s="1488"/>
      <c r="Y526" s="1488"/>
      <c r="Z526" s="1488"/>
      <c r="AA526" s="1488"/>
      <c r="AB526" s="1488"/>
      <c r="AC526" s="1488"/>
      <c r="AD526" s="1488"/>
      <c r="AE526" s="1488"/>
      <c r="AF526" s="1488"/>
      <c r="AG526" s="1488"/>
      <c r="AH526" s="1451">
        <f t="shared" si="284"/>
        <v>0</v>
      </c>
      <c r="AI526" s="1488"/>
      <c r="AJ526" s="1488"/>
      <c r="AK526" s="1488"/>
      <c r="AL526" s="1488"/>
      <c r="AM526" s="1488"/>
      <c r="AN526" s="1488"/>
      <c r="AO526" s="1488"/>
      <c r="AP526" s="1488"/>
      <c r="AQ526" s="1488"/>
      <c r="AR526" s="1488"/>
      <c r="AS526" s="1488"/>
      <c r="AT526" s="1542"/>
      <c r="AU526" s="1599">
        <f t="shared" si="285"/>
        <v>0</v>
      </c>
      <c r="AV526" s="1544">
        <f t="shared" si="313"/>
        <v>0</v>
      </c>
      <c r="AW526" s="1452">
        <f t="shared" si="286"/>
        <v>0</v>
      </c>
      <c r="AX526" s="1452">
        <f t="shared" si="287"/>
        <v>0</v>
      </c>
      <c r="AY526" s="1452">
        <f t="shared" si="288"/>
        <v>0</v>
      </c>
      <c r="AZ526" s="1452">
        <f t="shared" si="289"/>
        <v>0</v>
      </c>
      <c r="BA526" s="1452">
        <f t="shared" si="290"/>
        <v>0</v>
      </c>
      <c r="BB526" s="1452">
        <f t="shared" si="291"/>
        <v>0</v>
      </c>
      <c r="BC526" s="1452">
        <f t="shared" si="292"/>
        <v>0</v>
      </c>
      <c r="BD526" s="1452">
        <f t="shared" si="293"/>
        <v>0</v>
      </c>
      <c r="BE526" s="1452">
        <f t="shared" si="294"/>
        <v>0</v>
      </c>
      <c r="BF526" s="1452">
        <f t="shared" si="295"/>
        <v>0</v>
      </c>
      <c r="BG526" s="1452">
        <f t="shared" si="296"/>
        <v>0</v>
      </c>
      <c r="BH526" s="1452">
        <f t="shared" si="297"/>
        <v>0</v>
      </c>
      <c r="BI526" s="1452">
        <f t="shared" si="314"/>
        <v>0</v>
      </c>
      <c r="BJ526" s="1452" t="str">
        <f t="shared" si="298"/>
        <v/>
      </c>
      <c r="BK526" s="1452" t="str">
        <f t="shared" si="299"/>
        <v/>
      </c>
      <c r="BL526" s="1452" t="str">
        <f t="shared" si="300"/>
        <v/>
      </c>
      <c r="BM526" s="1452" t="str">
        <f t="shared" si="301"/>
        <v/>
      </c>
      <c r="BN526" s="1452" t="str">
        <f t="shared" ca="1" si="302"/>
        <v/>
      </c>
      <c r="BO526" s="1452" t="str">
        <f t="shared" si="315"/>
        <v/>
      </c>
      <c r="BP526" s="1452" t="str">
        <f t="shared" si="303"/>
        <v/>
      </c>
      <c r="BQ526" s="1452" t="str">
        <f t="shared" si="304"/>
        <v/>
      </c>
      <c r="BR526" s="1452" t="str">
        <f t="shared" si="305"/>
        <v/>
      </c>
      <c r="BS526" s="1452" t="str">
        <f t="shared" si="306"/>
        <v/>
      </c>
      <c r="BT526" s="1452" t="str">
        <f t="shared" si="307"/>
        <v/>
      </c>
      <c r="BU526" s="1452" t="str">
        <f t="shared" si="308"/>
        <v/>
      </c>
      <c r="BV526" s="1452" t="str">
        <f t="shared" si="309"/>
        <v/>
      </c>
      <c r="BW526" s="1558">
        <f t="shared" ca="1" si="316"/>
        <v>0</v>
      </c>
    </row>
    <row r="527" spans="1:75" s="9" customFormat="1" ht="12.5">
      <c r="A527" s="1483" t="str">
        <f t="shared" si="310"/>
        <v>Public Health Wales Trust</v>
      </c>
      <c r="B527" s="1583"/>
      <c r="C527" s="1583"/>
      <c r="D527" s="1583"/>
      <c r="E527" s="1510"/>
      <c r="F527" s="1436"/>
      <c r="G527" s="1547">
        <f t="shared" si="311"/>
        <v>0</v>
      </c>
      <c r="H527" s="1484"/>
      <c r="I527" s="1547">
        <f t="shared" si="312"/>
        <v>0</v>
      </c>
      <c r="J527" s="1485"/>
      <c r="K527" s="1485"/>
      <c r="L527" s="1436"/>
      <c r="M527" s="1439"/>
      <c r="N527" s="1439"/>
      <c r="O527" s="1485"/>
      <c r="P527" s="1486"/>
      <c r="Q527" s="1486"/>
      <c r="R527" s="1487"/>
      <c r="S527" s="1444"/>
      <c r="T527" s="1444"/>
      <c r="U527" s="1444"/>
      <c r="V527" s="1488"/>
      <c r="W527" s="1488"/>
      <c r="X527" s="1488"/>
      <c r="Y527" s="1488"/>
      <c r="Z527" s="1488"/>
      <c r="AA527" s="1488"/>
      <c r="AB527" s="1488"/>
      <c r="AC527" s="1488"/>
      <c r="AD527" s="1488"/>
      <c r="AE527" s="1488"/>
      <c r="AF527" s="1488"/>
      <c r="AG527" s="1488"/>
      <c r="AH527" s="1451">
        <f t="shared" si="284"/>
        <v>0</v>
      </c>
      <c r="AI527" s="1488"/>
      <c r="AJ527" s="1488"/>
      <c r="AK527" s="1488"/>
      <c r="AL527" s="1488"/>
      <c r="AM527" s="1488"/>
      <c r="AN527" s="1488"/>
      <c r="AO527" s="1488"/>
      <c r="AP527" s="1488"/>
      <c r="AQ527" s="1488"/>
      <c r="AR527" s="1488"/>
      <c r="AS527" s="1488"/>
      <c r="AT527" s="1542"/>
      <c r="AU527" s="1599">
        <f t="shared" si="285"/>
        <v>0</v>
      </c>
      <c r="AV527" s="1544">
        <f t="shared" si="313"/>
        <v>0</v>
      </c>
      <c r="AW527" s="1452">
        <f t="shared" si="286"/>
        <v>0</v>
      </c>
      <c r="AX527" s="1452">
        <f t="shared" si="287"/>
        <v>0</v>
      </c>
      <c r="AY527" s="1452">
        <f t="shared" si="288"/>
        <v>0</v>
      </c>
      <c r="AZ527" s="1452">
        <f t="shared" si="289"/>
        <v>0</v>
      </c>
      <c r="BA527" s="1452">
        <f t="shared" si="290"/>
        <v>0</v>
      </c>
      <c r="BB527" s="1452">
        <f t="shared" si="291"/>
        <v>0</v>
      </c>
      <c r="BC527" s="1452">
        <f t="shared" si="292"/>
        <v>0</v>
      </c>
      <c r="BD527" s="1452">
        <f t="shared" si="293"/>
        <v>0</v>
      </c>
      <c r="BE527" s="1452">
        <f t="shared" si="294"/>
        <v>0</v>
      </c>
      <c r="BF527" s="1452">
        <f t="shared" si="295"/>
        <v>0</v>
      </c>
      <c r="BG527" s="1452">
        <f t="shared" si="296"/>
        <v>0</v>
      </c>
      <c r="BH527" s="1452">
        <f t="shared" si="297"/>
        <v>0</v>
      </c>
      <c r="BI527" s="1452">
        <f t="shared" si="314"/>
        <v>0</v>
      </c>
      <c r="BJ527" s="1452" t="str">
        <f t="shared" si="298"/>
        <v/>
      </c>
      <c r="BK527" s="1452" t="str">
        <f t="shared" si="299"/>
        <v/>
      </c>
      <c r="BL527" s="1452" t="str">
        <f t="shared" si="300"/>
        <v/>
      </c>
      <c r="BM527" s="1452" t="str">
        <f t="shared" si="301"/>
        <v/>
      </c>
      <c r="BN527" s="1452" t="str">
        <f t="shared" ca="1" si="302"/>
        <v/>
      </c>
      <c r="BO527" s="1452" t="str">
        <f t="shared" si="315"/>
        <v/>
      </c>
      <c r="BP527" s="1452" t="str">
        <f t="shared" si="303"/>
        <v/>
      </c>
      <c r="BQ527" s="1452" t="str">
        <f t="shared" si="304"/>
        <v/>
      </c>
      <c r="BR527" s="1452" t="str">
        <f t="shared" si="305"/>
        <v/>
      </c>
      <c r="BS527" s="1452" t="str">
        <f t="shared" si="306"/>
        <v/>
      </c>
      <c r="BT527" s="1452" t="str">
        <f t="shared" si="307"/>
        <v/>
      </c>
      <c r="BU527" s="1452" t="str">
        <f t="shared" si="308"/>
        <v/>
      </c>
      <c r="BV527" s="1452" t="str">
        <f t="shared" si="309"/>
        <v/>
      </c>
      <c r="BW527" s="1558">
        <f t="shared" ca="1" si="316"/>
        <v>0</v>
      </c>
    </row>
    <row r="528" spans="1:75" s="9" customFormat="1" ht="12.5">
      <c r="A528" s="1483" t="str">
        <f t="shared" si="310"/>
        <v>Public Health Wales Trust</v>
      </c>
      <c r="B528" s="1583"/>
      <c r="C528" s="1583"/>
      <c r="D528" s="1583"/>
      <c r="E528" s="1510"/>
      <c r="F528" s="1436"/>
      <c r="G528" s="1547">
        <f t="shared" si="311"/>
        <v>0</v>
      </c>
      <c r="H528" s="1484"/>
      <c r="I528" s="1547">
        <f t="shared" si="312"/>
        <v>0</v>
      </c>
      <c r="J528" s="1485"/>
      <c r="K528" s="1485"/>
      <c r="L528" s="1436"/>
      <c r="M528" s="1439"/>
      <c r="N528" s="1439"/>
      <c r="O528" s="1485"/>
      <c r="P528" s="1486"/>
      <c r="Q528" s="1486"/>
      <c r="R528" s="1487"/>
      <c r="S528" s="1444"/>
      <c r="T528" s="1444"/>
      <c r="U528" s="1444"/>
      <c r="V528" s="1488"/>
      <c r="W528" s="1488"/>
      <c r="X528" s="1488"/>
      <c r="Y528" s="1488"/>
      <c r="Z528" s="1488"/>
      <c r="AA528" s="1488"/>
      <c r="AB528" s="1488"/>
      <c r="AC528" s="1488"/>
      <c r="AD528" s="1488"/>
      <c r="AE528" s="1488"/>
      <c r="AF528" s="1488"/>
      <c r="AG528" s="1488"/>
      <c r="AH528" s="1451">
        <f t="shared" si="284"/>
        <v>0</v>
      </c>
      <c r="AI528" s="1488"/>
      <c r="AJ528" s="1488"/>
      <c r="AK528" s="1488"/>
      <c r="AL528" s="1488"/>
      <c r="AM528" s="1488"/>
      <c r="AN528" s="1488"/>
      <c r="AO528" s="1488"/>
      <c r="AP528" s="1488"/>
      <c r="AQ528" s="1488"/>
      <c r="AR528" s="1488"/>
      <c r="AS528" s="1488"/>
      <c r="AT528" s="1542"/>
      <c r="AU528" s="1599">
        <f t="shared" si="285"/>
        <v>0</v>
      </c>
      <c r="AV528" s="1544">
        <f t="shared" si="313"/>
        <v>0</v>
      </c>
      <c r="AW528" s="1452">
        <f t="shared" si="286"/>
        <v>0</v>
      </c>
      <c r="AX528" s="1452">
        <f t="shared" si="287"/>
        <v>0</v>
      </c>
      <c r="AY528" s="1452">
        <f t="shared" si="288"/>
        <v>0</v>
      </c>
      <c r="AZ528" s="1452">
        <f t="shared" si="289"/>
        <v>0</v>
      </c>
      <c r="BA528" s="1452">
        <f t="shared" si="290"/>
        <v>0</v>
      </c>
      <c r="BB528" s="1452">
        <f t="shared" si="291"/>
        <v>0</v>
      </c>
      <c r="BC528" s="1452">
        <f t="shared" si="292"/>
        <v>0</v>
      </c>
      <c r="BD528" s="1452">
        <f t="shared" si="293"/>
        <v>0</v>
      </c>
      <c r="BE528" s="1452">
        <f t="shared" si="294"/>
        <v>0</v>
      </c>
      <c r="BF528" s="1452">
        <f t="shared" si="295"/>
        <v>0</v>
      </c>
      <c r="BG528" s="1452">
        <f t="shared" si="296"/>
        <v>0</v>
      </c>
      <c r="BH528" s="1452">
        <f t="shared" si="297"/>
        <v>0</v>
      </c>
      <c r="BI528" s="1452">
        <f t="shared" si="314"/>
        <v>0</v>
      </c>
      <c r="BJ528" s="1452" t="str">
        <f t="shared" si="298"/>
        <v/>
      </c>
      <c r="BK528" s="1452" t="str">
        <f t="shared" si="299"/>
        <v/>
      </c>
      <c r="BL528" s="1452" t="str">
        <f t="shared" si="300"/>
        <v/>
      </c>
      <c r="BM528" s="1452" t="str">
        <f t="shared" si="301"/>
        <v/>
      </c>
      <c r="BN528" s="1452" t="str">
        <f t="shared" ca="1" si="302"/>
        <v/>
      </c>
      <c r="BO528" s="1452" t="str">
        <f t="shared" si="315"/>
        <v/>
      </c>
      <c r="BP528" s="1452" t="str">
        <f t="shared" si="303"/>
        <v/>
      </c>
      <c r="BQ528" s="1452" t="str">
        <f t="shared" si="304"/>
        <v/>
      </c>
      <c r="BR528" s="1452" t="str">
        <f t="shared" si="305"/>
        <v/>
      </c>
      <c r="BS528" s="1452" t="str">
        <f t="shared" si="306"/>
        <v/>
      </c>
      <c r="BT528" s="1452" t="str">
        <f t="shared" si="307"/>
        <v/>
      </c>
      <c r="BU528" s="1452" t="str">
        <f t="shared" si="308"/>
        <v/>
      </c>
      <c r="BV528" s="1452" t="str">
        <f t="shared" si="309"/>
        <v/>
      </c>
      <c r="BW528" s="1558">
        <f t="shared" ca="1" si="316"/>
        <v>0</v>
      </c>
    </row>
    <row r="529" spans="1:75" s="9" customFormat="1" ht="12.5">
      <c r="A529" s="1483" t="str">
        <f t="shared" si="310"/>
        <v>Public Health Wales Trust</v>
      </c>
      <c r="B529" s="1583"/>
      <c r="C529" s="1583"/>
      <c r="D529" s="1583"/>
      <c r="E529" s="1510"/>
      <c r="F529" s="1436"/>
      <c r="G529" s="1547">
        <f t="shared" si="311"/>
        <v>0</v>
      </c>
      <c r="H529" s="1484"/>
      <c r="I529" s="1547">
        <f t="shared" si="312"/>
        <v>0</v>
      </c>
      <c r="J529" s="1485"/>
      <c r="K529" s="1485"/>
      <c r="L529" s="1436"/>
      <c r="M529" s="1439"/>
      <c r="N529" s="1439"/>
      <c r="O529" s="1485"/>
      <c r="P529" s="1486"/>
      <c r="Q529" s="1486"/>
      <c r="R529" s="1487"/>
      <c r="S529" s="1444"/>
      <c r="T529" s="1444"/>
      <c r="U529" s="1444"/>
      <c r="V529" s="1488"/>
      <c r="W529" s="1488"/>
      <c r="X529" s="1488"/>
      <c r="Y529" s="1488"/>
      <c r="Z529" s="1488"/>
      <c r="AA529" s="1488"/>
      <c r="AB529" s="1488"/>
      <c r="AC529" s="1488"/>
      <c r="AD529" s="1488"/>
      <c r="AE529" s="1488"/>
      <c r="AF529" s="1488"/>
      <c r="AG529" s="1488"/>
      <c r="AH529" s="1451">
        <f t="shared" si="284"/>
        <v>0</v>
      </c>
      <c r="AI529" s="1488"/>
      <c r="AJ529" s="1488"/>
      <c r="AK529" s="1488"/>
      <c r="AL529" s="1488"/>
      <c r="AM529" s="1488"/>
      <c r="AN529" s="1488"/>
      <c r="AO529" s="1488"/>
      <c r="AP529" s="1488"/>
      <c r="AQ529" s="1488"/>
      <c r="AR529" s="1488"/>
      <c r="AS529" s="1488"/>
      <c r="AT529" s="1542"/>
      <c r="AU529" s="1599">
        <f t="shared" si="285"/>
        <v>0</v>
      </c>
      <c r="AV529" s="1544">
        <f t="shared" si="313"/>
        <v>0</v>
      </c>
      <c r="AW529" s="1452">
        <f t="shared" si="286"/>
        <v>0</v>
      </c>
      <c r="AX529" s="1452">
        <f t="shared" si="287"/>
        <v>0</v>
      </c>
      <c r="AY529" s="1452">
        <f t="shared" si="288"/>
        <v>0</v>
      </c>
      <c r="AZ529" s="1452">
        <f t="shared" si="289"/>
        <v>0</v>
      </c>
      <c r="BA529" s="1452">
        <f t="shared" si="290"/>
        <v>0</v>
      </c>
      <c r="BB529" s="1452">
        <f t="shared" si="291"/>
        <v>0</v>
      </c>
      <c r="BC529" s="1452">
        <f t="shared" si="292"/>
        <v>0</v>
      </c>
      <c r="BD529" s="1452">
        <f t="shared" si="293"/>
        <v>0</v>
      </c>
      <c r="BE529" s="1452">
        <f t="shared" si="294"/>
        <v>0</v>
      </c>
      <c r="BF529" s="1452">
        <f t="shared" si="295"/>
        <v>0</v>
      </c>
      <c r="BG529" s="1452">
        <f t="shared" si="296"/>
        <v>0</v>
      </c>
      <c r="BH529" s="1452">
        <f t="shared" si="297"/>
        <v>0</v>
      </c>
      <c r="BI529" s="1452">
        <f t="shared" si="314"/>
        <v>0</v>
      </c>
      <c r="BJ529" s="1452" t="str">
        <f t="shared" si="298"/>
        <v/>
      </c>
      <c r="BK529" s="1452" t="str">
        <f t="shared" si="299"/>
        <v/>
      </c>
      <c r="BL529" s="1452" t="str">
        <f t="shared" si="300"/>
        <v/>
      </c>
      <c r="BM529" s="1452" t="str">
        <f t="shared" si="301"/>
        <v/>
      </c>
      <c r="BN529" s="1452" t="str">
        <f t="shared" ca="1" si="302"/>
        <v/>
      </c>
      <c r="BO529" s="1452" t="str">
        <f t="shared" si="315"/>
        <v/>
      </c>
      <c r="BP529" s="1452" t="str">
        <f t="shared" si="303"/>
        <v/>
      </c>
      <c r="BQ529" s="1452" t="str">
        <f t="shared" si="304"/>
        <v/>
      </c>
      <c r="BR529" s="1452" t="str">
        <f t="shared" si="305"/>
        <v/>
      </c>
      <c r="BS529" s="1452" t="str">
        <f t="shared" si="306"/>
        <v/>
      </c>
      <c r="BT529" s="1452" t="str">
        <f t="shared" si="307"/>
        <v/>
      </c>
      <c r="BU529" s="1452" t="str">
        <f t="shared" si="308"/>
        <v/>
      </c>
      <c r="BV529" s="1452" t="str">
        <f t="shared" si="309"/>
        <v/>
      </c>
      <c r="BW529" s="1558">
        <f t="shared" ca="1" si="316"/>
        <v>0</v>
      </c>
    </row>
    <row r="530" spans="1:75" s="9" customFormat="1" ht="12.5">
      <c r="A530" s="1483" t="str">
        <f t="shared" si="310"/>
        <v>Public Health Wales Trust</v>
      </c>
      <c r="B530" s="1583"/>
      <c r="C530" s="1583"/>
      <c r="D530" s="1583"/>
      <c r="E530" s="1510"/>
      <c r="F530" s="1436"/>
      <c r="G530" s="1547">
        <f t="shared" si="311"/>
        <v>0</v>
      </c>
      <c r="H530" s="1484"/>
      <c r="I530" s="1547">
        <f t="shared" si="312"/>
        <v>0</v>
      </c>
      <c r="J530" s="1485"/>
      <c r="K530" s="1485"/>
      <c r="L530" s="1436"/>
      <c r="M530" s="1439"/>
      <c r="N530" s="1439"/>
      <c r="O530" s="1485"/>
      <c r="P530" s="1486"/>
      <c r="Q530" s="1486"/>
      <c r="R530" s="1487"/>
      <c r="S530" s="1444"/>
      <c r="T530" s="1444"/>
      <c r="U530" s="1444"/>
      <c r="V530" s="1488"/>
      <c r="W530" s="1488"/>
      <c r="X530" s="1488"/>
      <c r="Y530" s="1488"/>
      <c r="Z530" s="1488"/>
      <c r="AA530" s="1488"/>
      <c r="AB530" s="1488"/>
      <c r="AC530" s="1488"/>
      <c r="AD530" s="1488"/>
      <c r="AE530" s="1488"/>
      <c r="AF530" s="1488"/>
      <c r="AG530" s="1488"/>
      <c r="AH530" s="1451">
        <f t="shared" si="284"/>
        <v>0</v>
      </c>
      <c r="AI530" s="1488"/>
      <c r="AJ530" s="1488"/>
      <c r="AK530" s="1488"/>
      <c r="AL530" s="1488"/>
      <c r="AM530" s="1488"/>
      <c r="AN530" s="1488"/>
      <c r="AO530" s="1488"/>
      <c r="AP530" s="1488"/>
      <c r="AQ530" s="1488"/>
      <c r="AR530" s="1488"/>
      <c r="AS530" s="1488"/>
      <c r="AT530" s="1542"/>
      <c r="AU530" s="1599">
        <f t="shared" si="285"/>
        <v>0</v>
      </c>
      <c r="AV530" s="1544">
        <f t="shared" si="313"/>
        <v>0</v>
      </c>
      <c r="AW530" s="1452">
        <f t="shared" si="286"/>
        <v>0</v>
      </c>
      <c r="AX530" s="1452">
        <f t="shared" si="287"/>
        <v>0</v>
      </c>
      <c r="AY530" s="1452">
        <f t="shared" si="288"/>
        <v>0</v>
      </c>
      <c r="AZ530" s="1452">
        <f t="shared" si="289"/>
        <v>0</v>
      </c>
      <c r="BA530" s="1452">
        <f t="shared" si="290"/>
        <v>0</v>
      </c>
      <c r="BB530" s="1452">
        <f t="shared" si="291"/>
        <v>0</v>
      </c>
      <c r="BC530" s="1452">
        <f t="shared" si="292"/>
        <v>0</v>
      </c>
      <c r="BD530" s="1452">
        <f t="shared" si="293"/>
        <v>0</v>
      </c>
      <c r="BE530" s="1452">
        <f t="shared" si="294"/>
        <v>0</v>
      </c>
      <c r="BF530" s="1452">
        <f t="shared" si="295"/>
        <v>0</v>
      </c>
      <c r="BG530" s="1452">
        <f t="shared" si="296"/>
        <v>0</v>
      </c>
      <c r="BH530" s="1452">
        <f t="shared" si="297"/>
        <v>0</v>
      </c>
      <c r="BI530" s="1452">
        <f t="shared" si="314"/>
        <v>0</v>
      </c>
      <c r="BJ530" s="1452" t="str">
        <f t="shared" si="298"/>
        <v/>
      </c>
      <c r="BK530" s="1452" t="str">
        <f t="shared" si="299"/>
        <v/>
      </c>
      <c r="BL530" s="1452" t="str">
        <f t="shared" si="300"/>
        <v/>
      </c>
      <c r="BM530" s="1452" t="str">
        <f t="shared" si="301"/>
        <v/>
      </c>
      <c r="BN530" s="1452" t="str">
        <f t="shared" ca="1" si="302"/>
        <v/>
      </c>
      <c r="BO530" s="1452" t="str">
        <f t="shared" si="315"/>
        <v/>
      </c>
      <c r="BP530" s="1452" t="str">
        <f t="shared" si="303"/>
        <v/>
      </c>
      <c r="BQ530" s="1452" t="str">
        <f t="shared" si="304"/>
        <v/>
      </c>
      <c r="BR530" s="1452" t="str">
        <f t="shared" si="305"/>
        <v/>
      </c>
      <c r="BS530" s="1452" t="str">
        <f t="shared" si="306"/>
        <v/>
      </c>
      <c r="BT530" s="1452" t="str">
        <f t="shared" si="307"/>
        <v/>
      </c>
      <c r="BU530" s="1452" t="str">
        <f t="shared" si="308"/>
        <v/>
      </c>
      <c r="BV530" s="1452" t="str">
        <f t="shared" si="309"/>
        <v/>
      </c>
      <c r="BW530" s="1558">
        <f t="shared" ca="1" si="316"/>
        <v>0</v>
      </c>
    </row>
    <row r="531" spans="1:75" s="9" customFormat="1" ht="12.5">
      <c r="A531" s="1483" t="str">
        <f t="shared" si="310"/>
        <v>Public Health Wales Trust</v>
      </c>
      <c r="B531" s="1583"/>
      <c r="C531" s="1583"/>
      <c r="D531" s="1583"/>
      <c r="E531" s="1510"/>
      <c r="F531" s="1436"/>
      <c r="G531" s="1547">
        <f t="shared" si="311"/>
        <v>0</v>
      </c>
      <c r="H531" s="1484"/>
      <c r="I531" s="1547">
        <f t="shared" si="312"/>
        <v>0</v>
      </c>
      <c r="J531" s="1485"/>
      <c r="K531" s="1485"/>
      <c r="L531" s="1436"/>
      <c r="M531" s="1439"/>
      <c r="N531" s="1439"/>
      <c r="O531" s="1485"/>
      <c r="P531" s="1486"/>
      <c r="Q531" s="1486"/>
      <c r="R531" s="1487"/>
      <c r="S531" s="1444"/>
      <c r="T531" s="1444"/>
      <c r="U531" s="1444"/>
      <c r="V531" s="1488"/>
      <c r="W531" s="1488"/>
      <c r="X531" s="1488"/>
      <c r="Y531" s="1488"/>
      <c r="Z531" s="1488"/>
      <c r="AA531" s="1488"/>
      <c r="AB531" s="1488"/>
      <c r="AC531" s="1488"/>
      <c r="AD531" s="1488"/>
      <c r="AE531" s="1488"/>
      <c r="AF531" s="1488"/>
      <c r="AG531" s="1488"/>
      <c r="AH531" s="1451">
        <f t="shared" si="284"/>
        <v>0</v>
      </c>
      <c r="AI531" s="1488"/>
      <c r="AJ531" s="1488"/>
      <c r="AK531" s="1488"/>
      <c r="AL531" s="1488"/>
      <c r="AM531" s="1488"/>
      <c r="AN531" s="1488"/>
      <c r="AO531" s="1488"/>
      <c r="AP531" s="1488"/>
      <c r="AQ531" s="1488"/>
      <c r="AR531" s="1488"/>
      <c r="AS531" s="1488"/>
      <c r="AT531" s="1542"/>
      <c r="AU531" s="1599">
        <f t="shared" si="285"/>
        <v>0</v>
      </c>
      <c r="AV531" s="1544">
        <f t="shared" si="313"/>
        <v>0</v>
      </c>
      <c r="AW531" s="1452">
        <f t="shared" si="286"/>
        <v>0</v>
      </c>
      <c r="AX531" s="1452">
        <f t="shared" si="287"/>
        <v>0</v>
      </c>
      <c r="AY531" s="1452">
        <f t="shared" si="288"/>
        <v>0</v>
      </c>
      <c r="AZ531" s="1452">
        <f t="shared" si="289"/>
        <v>0</v>
      </c>
      <c r="BA531" s="1452">
        <f t="shared" si="290"/>
        <v>0</v>
      </c>
      <c r="BB531" s="1452">
        <f t="shared" si="291"/>
        <v>0</v>
      </c>
      <c r="BC531" s="1452">
        <f t="shared" si="292"/>
        <v>0</v>
      </c>
      <c r="BD531" s="1452">
        <f t="shared" si="293"/>
        <v>0</v>
      </c>
      <c r="BE531" s="1452">
        <f t="shared" si="294"/>
        <v>0</v>
      </c>
      <c r="BF531" s="1452">
        <f t="shared" si="295"/>
        <v>0</v>
      </c>
      <c r="BG531" s="1452">
        <f t="shared" si="296"/>
        <v>0</v>
      </c>
      <c r="BH531" s="1452">
        <f t="shared" si="297"/>
        <v>0</v>
      </c>
      <c r="BI531" s="1452">
        <f t="shared" si="314"/>
        <v>0</v>
      </c>
      <c r="BJ531" s="1452" t="str">
        <f t="shared" si="298"/>
        <v/>
      </c>
      <c r="BK531" s="1452" t="str">
        <f t="shared" si="299"/>
        <v/>
      </c>
      <c r="BL531" s="1452" t="str">
        <f t="shared" si="300"/>
        <v/>
      </c>
      <c r="BM531" s="1452" t="str">
        <f t="shared" si="301"/>
        <v/>
      </c>
      <c r="BN531" s="1452" t="str">
        <f t="shared" ca="1" si="302"/>
        <v/>
      </c>
      <c r="BO531" s="1452" t="str">
        <f t="shared" si="315"/>
        <v/>
      </c>
      <c r="BP531" s="1452" t="str">
        <f t="shared" si="303"/>
        <v/>
      </c>
      <c r="BQ531" s="1452" t="str">
        <f t="shared" si="304"/>
        <v/>
      </c>
      <c r="BR531" s="1452" t="str">
        <f t="shared" si="305"/>
        <v/>
      </c>
      <c r="BS531" s="1452" t="str">
        <f t="shared" si="306"/>
        <v/>
      </c>
      <c r="BT531" s="1452" t="str">
        <f t="shared" si="307"/>
        <v/>
      </c>
      <c r="BU531" s="1452" t="str">
        <f t="shared" si="308"/>
        <v/>
      </c>
      <c r="BV531" s="1452" t="str">
        <f t="shared" si="309"/>
        <v/>
      </c>
      <c r="BW531" s="1558">
        <f t="shared" ca="1" si="316"/>
        <v>0</v>
      </c>
    </row>
    <row r="532" spans="1:75" s="9" customFormat="1" ht="12.5">
      <c r="A532" s="1483" t="str">
        <f t="shared" si="310"/>
        <v>Public Health Wales Trust</v>
      </c>
      <c r="B532" s="1583"/>
      <c r="C532" s="1583"/>
      <c r="D532" s="1583"/>
      <c r="E532" s="1510"/>
      <c r="F532" s="1436"/>
      <c r="G532" s="1547">
        <f t="shared" si="311"/>
        <v>0</v>
      </c>
      <c r="H532" s="1484"/>
      <c r="I532" s="1547">
        <f t="shared" si="312"/>
        <v>0</v>
      </c>
      <c r="J532" s="1485"/>
      <c r="K532" s="1485"/>
      <c r="L532" s="1436"/>
      <c r="M532" s="1439"/>
      <c r="N532" s="1439"/>
      <c r="O532" s="1485"/>
      <c r="P532" s="1486"/>
      <c r="Q532" s="1486"/>
      <c r="R532" s="1487"/>
      <c r="S532" s="1444"/>
      <c r="T532" s="1444"/>
      <c r="U532" s="1444"/>
      <c r="V532" s="1488"/>
      <c r="W532" s="1488"/>
      <c r="X532" s="1488"/>
      <c r="Y532" s="1488"/>
      <c r="Z532" s="1488"/>
      <c r="AA532" s="1488"/>
      <c r="AB532" s="1488"/>
      <c r="AC532" s="1488"/>
      <c r="AD532" s="1488"/>
      <c r="AE532" s="1488"/>
      <c r="AF532" s="1488"/>
      <c r="AG532" s="1488"/>
      <c r="AH532" s="1451">
        <f t="shared" si="284"/>
        <v>0</v>
      </c>
      <c r="AI532" s="1488"/>
      <c r="AJ532" s="1488"/>
      <c r="AK532" s="1488"/>
      <c r="AL532" s="1488"/>
      <c r="AM532" s="1488"/>
      <c r="AN532" s="1488"/>
      <c r="AO532" s="1488"/>
      <c r="AP532" s="1488"/>
      <c r="AQ532" s="1488"/>
      <c r="AR532" s="1488"/>
      <c r="AS532" s="1488"/>
      <c r="AT532" s="1542"/>
      <c r="AU532" s="1599">
        <f t="shared" si="285"/>
        <v>0</v>
      </c>
      <c r="AV532" s="1544">
        <f t="shared" si="313"/>
        <v>0</v>
      </c>
      <c r="AW532" s="1452">
        <f t="shared" si="286"/>
        <v>0</v>
      </c>
      <c r="AX532" s="1452">
        <f t="shared" si="287"/>
        <v>0</v>
      </c>
      <c r="AY532" s="1452">
        <f t="shared" si="288"/>
        <v>0</v>
      </c>
      <c r="AZ532" s="1452">
        <f t="shared" si="289"/>
        <v>0</v>
      </c>
      <c r="BA532" s="1452">
        <f t="shared" si="290"/>
        <v>0</v>
      </c>
      <c r="BB532" s="1452">
        <f t="shared" si="291"/>
        <v>0</v>
      </c>
      <c r="BC532" s="1452">
        <f t="shared" si="292"/>
        <v>0</v>
      </c>
      <c r="BD532" s="1452">
        <f t="shared" si="293"/>
        <v>0</v>
      </c>
      <c r="BE532" s="1452">
        <f t="shared" si="294"/>
        <v>0</v>
      </c>
      <c r="BF532" s="1452">
        <f t="shared" si="295"/>
        <v>0</v>
      </c>
      <c r="BG532" s="1452">
        <f t="shared" si="296"/>
        <v>0</v>
      </c>
      <c r="BH532" s="1452">
        <f t="shared" si="297"/>
        <v>0</v>
      </c>
      <c r="BI532" s="1452">
        <f t="shared" si="314"/>
        <v>0</v>
      </c>
      <c r="BJ532" s="1452" t="str">
        <f t="shared" si="298"/>
        <v/>
      </c>
      <c r="BK532" s="1452" t="str">
        <f t="shared" si="299"/>
        <v/>
      </c>
      <c r="BL532" s="1452" t="str">
        <f t="shared" si="300"/>
        <v/>
      </c>
      <c r="BM532" s="1452" t="str">
        <f t="shared" si="301"/>
        <v/>
      </c>
      <c r="BN532" s="1452" t="str">
        <f t="shared" ca="1" si="302"/>
        <v/>
      </c>
      <c r="BO532" s="1452" t="str">
        <f t="shared" si="315"/>
        <v/>
      </c>
      <c r="BP532" s="1452" t="str">
        <f t="shared" si="303"/>
        <v/>
      </c>
      <c r="BQ532" s="1452" t="str">
        <f t="shared" si="304"/>
        <v/>
      </c>
      <c r="BR532" s="1452" t="str">
        <f t="shared" si="305"/>
        <v/>
      </c>
      <c r="BS532" s="1452" t="str">
        <f t="shared" si="306"/>
        <v/>
      </c>
      <c r="BT532" s="1452" t="str">
        <f t="shared" si="307"/>
        <v/>
      </c>
      <c r="BU532" s="1452" t="str">
        <f t="shared" si="308"/>
        <v/>
      </c>
      <c r="BV532" s="1452" t="str">
        <f t="shared" si="309"/>
        <v/>
      </c>
      <c r="BW532" s="1558">
        <f t="shared" ca="1" si="316"/>
        <v>0</v>
      </c>
    </row>
    <row r="533" spans="1:75" s="9" customFormat="1" ht="12.5">
      <c r="A533" s="1483" t="str">
        <f t="shared" si="310"/>
        <v>Public Health Wales Trust</v>
      </c>
      <c r="B533" s="1583"/>
      <c r="C533" s="1583"/>
      <c r="D533" s="1583"/>
      <c r="E533" s="1510"/>
      <c r="F533" s="1436"/>
      <c r="G533" s="1547">
        <f t="shared" si="311"/>
        <v>0</v>
      </c>
      <c r="H533" s="1484"/>
      <c r="I533" s="1547">
        <f t="shared" si="312"/>
        <v>0</v>
      </c>
      <c r="J533" s="1485"/>
      <c r="K533" s="1485"/>
      <c r="L533" s="1436"/>
      <c r="M533" s="1439"/>
      <c r="N533" s="1439"/>
      <c r="O533" s="1485"/>
      <c r="P533" s="1486"/>
      <c r="Q533" s="1486"/>
      <c r="R533" s="1487"/>
      <c r="S533" s="1444"/>
      <c r="T533" s="1444"/>
      <c r="U533" s="1444"/>
      <c r="V533" s="1488"/>
      <c r="W533" s="1488"/>
      <c r="X533" s="1488"/>
      <c r="Y533" s="1488"/>
      <c r="Z533" s="1488"/>
      <c r="AA533" s="1488"/>
      <c r="AB533" s="1488"/>
      <c r="AC533" s="1488"/>
      <c r="AD533" s="1488"/>
      <c r="AE533" s="1488"/>
      <c r="AF533" s="1488"/>
      <c r="AG533" s="1488"/>
      <c r="AH533" s="1451">
        <f t="shared" si="284"/>
        <v>0</v>
      </c>
      <c r="AI533" s="1488"/>
      <c r="AJ533" s="1488"/>
      <c r="AK533" s="1488"/>
      <c r="AL533" s="1488"/>
      <c r="AM533" s="1488"/>
      <c r="AN533" s="1488"/>
      <c r="AO533" s="1488"/>
      <c r="AP533" s="1488"/>
      <c r="AQ533" s="1488"/>
      <c r="AR533" s="1488"/>
      <c r="AS533" s="1488"/>
      <c r="AT533" s="1542"/>
      <c r="AU533" s="1599">
        <f t="shared" si="285"/>
        <v>0</v>
      </c>
      <c r="AV533" s="1544">
        <f t="shared" si="313"/>
        <v>0</v>
      </c>
      <c r="AW533" s="1452">
        <f t="shared" si="286"/>
        <v>0</v>
      </c>
      <c r="AX533" s="1452">
        <f t="shared" si="287"/>
        <v>0</v>
      </c>
      <c r="AY533" s="1452">
        <f t="shared" si="288"/>
        <v>0</v>
      </c>
      <c r="AZ533" s="1452">
        <f t="shared" si="289"/>
        <v>0</v>
      </c>
      <c r="BA533" s="1452">
        <f t="shared" si="290"/>
        <v>0</v>
      </c>
      <c r="BB533" s="1452">
        <f t="shared" si="291"/>
        <v>0</v>
      </c>
      <c r="BC533" s="1452">
        <f t="shared" si="292"/>
        <v>0</v>
      </c>
      <c r="BD533" s="1452">
        <f t="shared" si="293"/>
        <v>0</v>
      </c>
      <c r="BE533" s="1452">
        <f t="shared" si="294"/>
        <v>0</v>
      </c>
      <c r="BF533" s="1452">
        <f t="shared" si="295"/>
        <v>0</v>
      </c>
      <c r="BG533" s="1452">
        <f t="shared" si="296"/>
        <v>0</v>
      </c>
      <c r="BH533" s="1452">
        <f t="shared" si="297"/>
        <v>0</v>
      </c>
      <c r="BI533" s="1452">
        <f t="shared" si="314"/>
        <v>0</v>
      </c>
      <c r="BJ533" s="1452" t="str">
        <f t="shared" si="298"/>
        <v/>
      </c>
      <c r="BK533" s="1452" t="str">
        <f t="shared" si="299"/>
        <v/>
      </c>
      <c r="BL533" s="1452" t="str">
        <f t="shared" si="300"/>
        <v/>
      </c>
      <c r="BM533" s="1452" t="str">
        <f t="shared" si="301"/>
        <v/>
      </c>
      <c r="BN533" s="1452" t="str">
        <f t="shared" ca="1" si="302"/>
        <v/>
      </c>
      <c r="BO533" s="1452" t="str">
        <f t="shared" si="315"/>
        <v/>
      </c>
      <c r="BP533" s="1452" t="str">
        <f t="shared" si="303"/>
        <v/>
      </c>
      <c r="BQ533" s="1452" t="str">
        <f t="shared" si="304"/>
        <v/>
      </c>
      <c r="BR533" s="1452" t="str">
        <f t="shared" si="305"/>
        <v/>
      </c>
      <c r="BS533" s="1452" t="str">
        <f t="shared" si="306"/>
        <v/>
      </c>
      <c r="BT533" s="1452" t="str">
        <f t="shared" si="307"/>
        <v/>
      </c>
      <c r="BU533" s="1452" t="str">
        <f t="shared" si="308"/>
        <v/>
      </c>
      <c r="BV533" s="1452" t="str">
        <f t="shared" si="309"/>
        <v/>
      </c>
      <c r="BW533" s="1558">
        <f t="shared" ca="1" si="316"/>
        <v>0</v>
      </c>
    </row>
    <row r="534" spans="1:75" s="9" customFormat="1" ht="12.5">
      <c r="A534" s="1483" t="str">
        <f t="shared" si="310"/>
        <v>Public Health Wales Trust</v>
      </c>
      <c r="B534" s="1583"/>
      <c r="C534" s="1583"/>
      <c r="D534" s="1583"/>
      <c r="E534" s="1510"/>
      <c r="F534" s="1436"/>
      <c r="G534" s="1547">
        <f t="shared" si="311"/>
        <v>0</v>
      </c>
      <c r="H534" s="1484"/>
      <c r="I534" s="1547">
        <f t="shared" si="312"/>
        <v>0</v>
      </c>
      <c r="J534" s="1485"/>
      <c r="K534" s="1485"/>
      <c r="L534" s="1436"/>
      <c r="M534" s="1439"/>
      <c r="N534" s="1439"/>
      <c r="O534" s="1485"/>
      <c r="P534" s="1486"/>
      <c r="Q534" s="1486"/>
      <c r="R534" s="1487"/>
      <c r="S534" s="1444"/>
      <c r="T534" s="1444"/>
      <c r="U534" s="1444"/>
      <c r="V534" s="1488"/>
      <c r="W534" s="1488"/>
      <c r="X534" s="1488"/>
      <c r="Y534" s="1488"/>
      <c r="Z534" s="1488"/>
      <c r="AA534" s="1488"/>
      <c r="AB534" s="1488"/>
      <c r="AC534" s="1488"/>
      <c r="AD534" s="1488"/>
      <c r="AE534" s="1488"/>
      <c r="AF534" s="1488"/>
      <c r="AG534" s="1488"/>
      <c r="AH534" s="1451">
        <f t="shared" si="284"/>
        <v>0</v>
      </c>
      <c r="AI534" s="1488"/>
      <c r="AJ534" s="1488"/>
      <c r="AK534" s="1488"/>
      <c r="AL534" s="1488"/>
      <c r="AM534" s="1488"/>
      <c r="AN534" s="1488"/>
      <c r="AO534" s="1488"/>
      <c r="AP534" s="1488"/>
      <c r="AQ534" s="1488"/>
      <c r="AR534" s="1488"/>
      <c r="AS534" s="1488"/>
      <c r="AT534" s="1542"/>
      <c r="AU534" s="1599">
        <f t="shared" si="285"/>
        <v>0</v>
      </c>
      <c r="AV534" s="1544">
        <f t="shared" si="313"/>
        <v>0</v>
      </c>
      <c r="AW534" s="1452">
        <f t="shared" si="286"/>
        <v>0</v>
      </c>
      <c r="AX534" s="1452">
        <f t="shared" si="287"/>
        <v>0</v>
      </c>
      <c r="AY534" s="1452">
        <f t="shared" si="288"/>
        <v>0</v>
      </c>
      <c r="AZ534" s="1452">
        <f t="shared" si="289"/>
        <v>0</v>
      </c>
      <c r="BA534" s="1452">
        <f t="shared" si="290"/>
        <v>0</v>
      </c>
      <c r="BB534" s="1452">
        <f t="shared" si="291"/>
        <v>0</v>
      </c>
      <c r="BC534" s="1452">
        <f t="shared" si="292"/>
        <v>0</v>
      </c>
      <c r="BD534" s="1452">
        <f t="shared" si="293"/>
        <v>0</v>
      </c>
      <c r="BE534" s="1452">
        <f t="shared" si="294"/>
        <v>0</v>
      </c>
      <c r="BF534" s="1452">
        <f t="shared" si="295"/>
        <v>0</v>
      </c>
      <c r="BG534" s="1452">
        <f t="shared" si="296"/>
        <v>0</v>
      </c>
      <c r="BH534" s="1452">
        <f t="shared" si="297"/>
        <v>0</v>
      </c>
      <c r="BI534" s="1452">
        <f t="shared" si="314"/>
        <v>0</v>
      </c>
      <c r="BJ534" s="1452" t="str">
        <f t="shared" si="298"/>
        <v/>
      </c>
      <c r="BK534" s="1452" t="str">
        <f t="shared" si="299"/>
        <v/>
      </c>
      <c r="BL534" s="1452" t="str">
        <f t="shared" si="300"/>
        <v/>
      </c>
      <c r="BM534" s="1452" t="str">
        <f t="shared" si="301"/>
        <v/>
      </c>
      <c r="BN534" s="1452" t="str">
        <f t="shared" ca="1" si="302"/>
        <v/>
      </c>
      <c r="BO534" s="1452" t="str">
        <f t="shared" si="315"/>
        <v/>
      </c>
      <c r="BP534" s="1452" t="str">
        <f t="shared" si="303"/>
        <v/>
      </c>
      <c r="BQ534" s="1452" t="str">
        <f t="shared" si="304"/>
        <v/>
      </c>
      <c r="BR534" s="1452" t="str">
        <f t="shared" si="305"/>
        <v/>
      </c>
      <c r="BS534" s="1452" t="str">
        <f t="shared" si="306"/>
        <v/>
      </c>
      <c r="BT534" s="1452" t="str">
        <f t="shared" si="307"/>
        <v/>
      </c>
      <c r="BU534" s="1452" t="str">
        <f t="shared" si="308"/>
        <v/>
      </c>
      <c r="BV534" s="1452" t="str">
        <f t="shared" si="309"/>
        <v/>
      </c>
      <c r="BW534" s="1558">
        <f t="shared" ca="1" si="316"/>
        <v>0</v>
      </c>
    </row>
    <row r="535" spans="1:75" s="9" customFormat="1" ht="12.5">
      <c r="A535" s="1483" t="str">
        <f t="shared" si="310"/>
        <v>Public Health Wales Trust</v>
      </c>
      <c r="B535" s="1583"/>
      <c r="C535" s="1583"/>
      <c r="D535" s="1583"/>
      <c r="E535" s="1510"/>
      <c r="F535" s="1436"/>
      <c r="G535" s="1547">
        <f t="shared" si="311"/>
        <v>0</v>
      </c>
      <c r="H535" s="1484"/>
      <c r="I535" s="1547">
        <f t="shared" si="312"/>
        <v>0</v>
      </c>
      <c r="J535" s="1485"/>
      <c r="K535" s="1485"/>
      <c r="L535" s="1436"/>
      <c r="M535" s="1439"/>
      <c r="N535" s="1439"/>
      <c r="O535" s="1485"/>
      <c r="P535" s="1486"/>
      <c r="Q535" s="1486"/>
      <c r="R535" s="1487"/>
      <c r="S535" s="1444"/>
      <c r="T535" s="1444"/>
      <c r="U535" s="1444"/>
      <c r="V535" s="1488"/>
      <c r="W535" s="1488"/>
      <c r="X535" s="1488"/>
      <c r="Y535" s="1488"/>
      <c r="Z535" s="1488"/>
      <c r="AA535" s="1488"/>
      <c r="AB535" s="1488"/>
      <c r="AC535" s="1488"/>
      <c r="AD535" s="1488"/>
      <c r="AE535" s="1488"/>
      <c r="AF535" s="1488"/>
      <c r="AG535" s="1488"/>
      <c r="AH535" s="1451">
        <f t="shared" si="284"/>
        <v>0</v>
      </c>
      <c r="AI535" s="1488"/>
      <c r="AJ535" s="1488"/>
      <c r="AK535" s="1488"/>
      <c r="AL535" s="1488"/>
      <c r="AM535" s="1488"/>
      <c r="AN535" s="1488"/>
      <c r="AO535" s="1488"/>
      <c r="AP535" s="1488"/>
      <c r="AQ535" s="1488"/>
      <c r="AR535" s="1488"/>
      <c r="AS535" s="1488"/>
      <c r="AT535" s="1542"/>
      <c r="AU535" s="1599">
        <f t="shared" si="285"/>
        <v>0</v>
      </c>
      <c r="AV535" s="1544">
        <f t="shared" si="313"/>
        <v>0</v>
      </c>
      <c r="AW535" s="1452">
        <f t="shared" si="286"/>
        <v>0</v>
      </c>
      <c r="AX535" s="1452">
        <f t="shared" si="287"/>
        <v>0</v>
      </c>
      <c r="AY535" s="1452">
        <f t="shared" si="288"/>
        <v>0</v>
      </c>
      <c r="AZ535" s="1452">
        <f t="shared" si="289"/>
        <v>0</v>
      </c>
      <c r="BA535" s="1452">
        <f t="shared" si="290"/>
        <v>0</v>
      </c>
      <c r="BB535" s="1452">
        <f t="shared" si="291"/>
        <v>0</v>
      </c>
      <c r="BC535" s="1452">
        <f t="shared" si="292"/>
        <v>0</v>
      </c>
      <c r="BD535" s="1452">
        <f t="shared" si="293"/>
        <v>0</v>
      </c>
      <c r="BE535" s="1452">
        <f t="shared" si="294"/>
        <v>0</v>
      </c>
      <c r="BF535" s="1452">
        <f t="shared" si="295"/>
        <v>0</v>
      </c>
      <c r="BG535" s="1452">
        <f t="shared" si="296"/>
        <v>0</v>
      </c>
      <c r="BH535" s="1452">
        <f t="shared" si="297"/>
        <v>0</v>
      </c>
      <c r="BI535" s="1452">
        <f t="shared" si="314"/>
        <v>0</v>
      </c>
      <c r="BJ535" s="1452" t="str">
        <f t="shared" si="298"/>
        <v/>
      </c>
      <c r="BK535" s="1452" t="str">
        <f t="shared" si="299"/>
        <v/>
      </c>
      <c r="BL535" s="1452" t="str">
        <f t="shared" si="300"/>
        <v/>
      </c>
      <c r="BM535" s="1452" t="str">
        <f t="shared" si="301"/>
        <v/>
      </c>
      <c r="BN535" s="1452" t="str">
        <f t="shared" ca="1" si="302"/>
        <v/>
      </c>
      <c r="BO535" s="1452" t="str">
        <f t="shared" si="315"/>
        <v/>
      </c>
      <c r="BP535" s="1452" t="str">
        <f t="shared" si="303"/>
        <v/>
      </c>
      <c r="BQ535" s="1452" t="str">
        <f t="shared" si="304"/>
        <v/>
      </c>
      <c r="BR535" s="1452" t="str">
        <f t="shared" si="305"/>
        <v/>
      </c>
      <c r="BS535" s="1452" t="str">
        <f t="shared" si="306"/>
        <v/>
      </c>
      <c r="BT535" s="1452" t="str">
        <f t="shared" si="307"/>
        <v/>
      </c>
      <c r="BU535" s="1452" t="str">
        <f t="shared" si="308"/>
        <v/>
      </c>
      <c r="BV535" s="1452" t="str">
        <f t="shared" si="309"/>
        <v/>
      </c>
      <c r="BW535" s="1558">
        <f t="shared" ca="1" si="316"/>
        <v>0</v>
      </c>
    </row>
    <row r="536" spans="1:75" s="9" customFormat="1" ht="12.5">
      <c r="A536" s="1483" t="str">
        <f t="shared" si="310"/>
        <v>Public Health Wales Trust</v>
      </c>
      <c r="B536" s="1583"/>
      <c r="C536" s="1583"/>
      <c r="D536" s="1583"/>
      <c r="E536" s="1510"/>
      <c r="F536" s="1436"/>
      <c r="G536" s="1547">
        <f t="shared" si="311"/>
        <v>0</v>
      </c>
      <c r="H536" s="1484"/>
      <c r="I536" s="1547">
        <f t="shared" si="312"/>
        <v>0</v>
      </c>
      <c r="J536" s="1485"/>
      <c r="K536" s="1485"/>
      <c r="L536" s="1436"/>
      <c r="M536" s="1439"/>
      <c r="N536" s="1439"/>
      <c r="O536" s="1485"/>
      <c r="P536" s="1486"/>
      <c r="Q536" s="1486"/>
      <c r="R536" s="1487"/>
      <c r="S536" s="1444"/>
      <c r="T536" s="1444"/>
      <c r="U536" s="1444"/>
      <c r="V536" s="1488"/>
      <c r="W536" s="1488"/>
      <c r="X536" s="1488"/>
      <c r="Y536" s="1488"/>
      <c r="Z536" s="1488"/>
      <c r="AA536" s="1488"/>
      <c r="AB536" s="1488"/>
      <c r="AC536" s="1488"/>
      <c r="AD536" s="1488"/>
      <c r="AE536" s="1488"/>
      <c r="AF536" s="1488"/>
      <c r="AG536" s="1488"/>
      <c r="AH536" s="1451">
        <f t="shared" si="284"/>
        <v>0</v>
      </c>
      <c r="AI536" s="1488"/>
      <c r="AJ536" s="1488"/>
      <c r="AK536" s="1488"/>
      <c r="AL536" s="1488"/>
      <c r="AM536" s="1488"/>
      <c r="AN536" s="1488"/>
      <c r="AO536" s="1488"/>
      <c r="AP536" s="1488"/>
      <c r="AQ536" s="1488"/>
      <c r="AR536" s="1488"/>
      <c r="AS536" s="1488"/>
      <c r="AT536" s="1542"/>
      <c r="AU536" s="1599">
        <f t="shared" si="285"/>
        <v>0</v>
      </c>
      <c r="AV536" s="1544">
        <f t="shared" si="313"/>
        <v>0</v>
      </c>
      <c r="AW536" s="1452">
        <f t="shared" si="286"/>
        <v>0</v>
      </c>
      <c r="AX536" s="1452">
        <f t="shared" si="287"/>
        <v>0</v>
      </c>
      <c r="AY536" s="1452">
        <f t="shared" si="288"/>
        <v>0</v>
      </c>
      <c r="AZ536" s="1452">
        <f t="shared" si="289"/>
        <v>0</v>
      </c>
      <c r="BA536" s="1452">
        <f t="shared" si="290"/>
        <v>0</v>
      </c>
      <c r="BB536" s="1452">
        <f t="shared" si="291"/>
        <v>0</v>
      </c>
      <c r="BC536" s="1452">
        <f t="shared" si="292"/>
        <v>0</v>
      </c>
      <c r="BD536" s="1452">
        <f t="shared" si="293"/>
        <v>0</v>
      </c>
      <c r="BE536" s="1452">
        <f t="shared" si="294"/>
        <v>0</v>
      </c>
      <c r="BF536" s="1452">
        <f t="shared" si="295"/>
        <v>0</v>
      </c>
      <c r="BG536" s="1452">
        <f t="shared" si="296"/>
        <v>0</v>
      </c>
      <c r="BH536" s="1452">
        <f t="shared" si="297"/>
        <v>0</v>
      </c>
      <c r="BI536" s="1452">
        <f t="shared" si="314"/>
        <v>0</v>
      </c>
      <c r="BJ536" s="1452" t="str">
        <f t="shared" si="298"/>
        <v/>
      </c>
      <c r="BK536" s="1452" t="str">
        <f t="shared" si="299"/>
        <v/>
      </c>
      <c r="BL536" s="1452" t="str">
        <f t="shared" si="300"/>
        <v/>
      </c>
      <c r="BM536" s="1452" t="str">
        <f t="shared" si="301"/>
        <v/>
      </c>
      <c r="BN536" s="1452" t="str">
        <f t="shared" ca="1" si="302"/>
        <v/>
      </c>
      <c r="BO536" s="1452" t="str">
        <f t="shared" si="315"/>
        <v/>
      </c>
      <c r="BP536" s="1452" t="str">
        <f t="shared" si="303"/>
        <v/>
      </c>
      <c r="BQ536" s="1452" t="str">
        <f t="shared" si="304"/>
        <v/>
      </c>
      <c r="BR536" s="1452" t="str">
        <f t="shared" si="305"/>
        <v/>
      </c>
      <c r="BS536" s="1452" t="str">
        <f t="shared" si="306"/>
        <v/>
      </c>
      <c r="BT536" s="1452" t="str">
        <f t="shared" si="307"/>
        <v/>
      </c>
      <c r="BU536" s="1452" t="str">
        <f t="shared" si="308"/>
        <v/>
      </c>
      <c r="BV536" s="1452" t="str">
        <f t="shared" si="309"/>
        <v/>
      </c>
      <c r="BW536" s="1558">
        <f t="shared" ca="1" si="316"/>
        <v>0</v>
      </c>
    </row>
    <row r="537" spans="1:75" s="9" customFormat="1" ht="12.5">
      <c r="A537" s="1483" t="str">
        <f t="shared" si="310"/>
        <v>Public Health Wales Trust</v>
      </c>
      <c r="B537" s="1583"/>
      <c r="C537" s="1583"/>
      <c r="D537" s="1583"/>
      <c r="E537" s="1510"/>
      <c r="F537" s="1436"/>
      <c r="G537" s="1547">
        <f t="shared" si="311"/>
        <v>0</v>
      </c>
      <c r="H537" s="1484"/>
      <c r="I537" s="1547">
        <f t="shared" si="312"/>
        <v>0</v>
      </c>
      <c r="J537" s="1485"/>
      <c r="K537" s="1485"/>
      <c r="L537" s="1436"/>
      <c r="M537" s="1439"/>
      <c r="N537" s="1439"/>
      <c r="O537" s="1485"/>
      <c r="P537" s="1486"/>
      <c r="Q537" s="1486"/>
      <c r="R537" s="1487"/>
      <c r="S537" s="1444"/>
      <c r="T537" s="1444"/>
      <c r="U537" s="1444"/>
      <c r="V537" s="1488"/>
      <c r="W537" s="1488"/>
      <c r="X537" s="1488"/>
      <c r="Y537" s="1488"/>
      <c r="Z537" s="1488"/>
      <c r="AA537" s="1488"/>
      <c r="AB537" s="1488"/>
      <c r="AC537" s="1488"/>
      <c r="AD537" s="1488"/>
      <c r="AE537" s="1488"/>
      <c r="AF537" s="1488"/>
      <c r="AG537" s="1488"/>
      <c r="AH537" s="1451">
        <f t="shared" si="284"/>
        <v>0</v>
      </c>
      <c r="AI537" s="1488"/>
      <c r="AJ537" s="1488"/>
      <c r="AK537" s="1488"/>
      <c r="AL537" s="1488"/>
      <c r="AM537" s="1488"/>
      <c r="AN537" s="1488"/>
      <c r="AO537" s="1488"/>
      <c r="AP537" s="1488"/>
      <c r="AQ537" s="1488"/>
      <c r="AR537" s="1488"/>
      <c r="AS537" s="1488"/>
      <c r="AT537" s="1542"/>
      <c r="AU537" s="1599">
        <f t="shared" si="285"/>
        <v>0</v>
      </c>
      <c r="AV537" s="1544">
        <f t="shared" si="313"/>
        <v>0</v>
      </c>
      <c r="AW537" s="1452">
        <f t="shared" si="286"/>
        <v>0</v>
      </c>
      <c r="AX537" s="1452">
        <f t="shared" si="287"/>
        <v>0</v>
      </c>
      <c r="AY537" s="1452">
        <f t="shared" si="288"/>
        <v>0</v>
      </c>
      <c r="AZ537" s="1452">
        <f t="shared" si="289"/>
        <v>0</v>
      </c>
      <c r="BA537" s="1452">
        <f t="shared" si="290"/>
        <v>0</v>
      </c>
      <c r="BB537" s="1452">
        <f t="shared" si="291"/>
        <v>0</v>
      </c>
      <c r="BC537" s="1452">
        <f t="shared" si="292"/>
        <v>0</v>
      </c>
      <c r="BD537" s="1452">
        <f t="shared" si="293"/>
        <v>0</v>
      </c>
      <c r="BE537" s="1452">
        <f t="shared" si="294"/>
        <v>0</v>
      </c>
      <c r="BF537" s="1452">
        <f t="shared" si="295"/>
        <v>0</v>
      </c>
      <c r="BG537" s="1452">
        <f t="shared" si="296"/>
        <v>0</v>
      </c>
      <c r="BH537" s="1452">
        <f t="shared" si="297"/>
        <v>0</v>
      </c>
      <c r="BI537" s="1452">
        <f t="shared" si="314"/>
        <v>0</v>
      </c>
      <c r="BJ537" s="1452" t="str">
        <f t="shared" si="298"/>
        <v/>
      </c>
      <c r="BK537" s="1452" t="str">
        <f t="shared" si="299"/>
        <v/>
      </c>
      <c r="BL537" s="1452" t="str">
        <f t="shared" si="300"/>
        <v/>
      </c>
      <c r="BM537" s="1452" t="str">
        <f t="shared" si="301"/>
        <v/>
      </c>
      <c r="BN537" s="1452" t="str">
        <f t="shared" ca="1" si="302"/>
        <v/>
      </c>
      <c r="BO537" s="1452" t="str">
        <f t="shared" si="315"/>
        <v/>
      </c>
      <c r="BP537" s="1452" t="str">
        <f t="shared" si="303"/>
        <v/>
      </c>
      <c r="BQ537" s="1452" t="str">
        <f t="shared" si="304"/>
        <v/>
      </c>
      <c r="BR537" s="1452" t="str">
        <f t="shared" si="305"/>
        <v/>
      </c>
      <c r="BS537" s="1452" t="str">
        <f t="shared" si="306"/>
        <v/>
      </c>
      <c r="BT537" s="1452" t="str">
        <f t="shared" si="307"/>
        <v/>
      </c>
      <c r="BU537" s="1452" t="str">
        <f t="shared" si="308"/>
        <v/>
      </c>
      <c r="BV537" s="1452" t="str">
        <f t="shared" si="309"/>
        <v/>
      </c>
      <c r="BW537" s="1558">
        <f t="shared" ca="1" si="316"/>
        <v>0</v>
      </c>
    </row>
    <row r="538" spans="1:75" s="9" customFormat="1" ht="12.5">
      <c r="A538" s="1483" t="str">
        <f t="shared" si="310"/>
        <v>Public Health Wales Trust</v>
      </c>
      <c r="B538" s="1583"/>
      <c r="C538" s="1583"/>
      <c r="D538" s="1583"/>
      <c r="E538" s="1510"/>
      <c r="F538" s="1436"/>
      <c r="G538" s="1547">
        <f t="shared" si="311"/>
        <v>0</v>
      </c>
      <c r="H538" s="1484"/>
      <c r="I538" s="1547">
        <f t="shared" si="312"/>
        <v>0</v>
      </c>
      <c r="J538" s="1485"/>
      <c r="K538" s="1485"/>
      <c r="L538" s="1436"/>
      <c r="M538" s="1439"/>
      <c r="N538" s="1439"/>
      <c r="O538" s="1485"/>
      <c r="P538" s="1486"/>
      <c r="Q538" s="1486"/>
      <c r="R538" s="1487"/>
      <c r="S538" s="1444"/>
      <c r="T538" s="1444"/>
      <c r="U538" s="1444"/>
      <c r="V538" s="1488"/>
      <c r="W538" s="1488"/>
      <c r="X538" s="1488"/>
      <c r="Y538" s="1488"/>
      <c r="Z538" s="1488"/>
      <c r="AA538" s="1488"/>
      <c r="AB538" s="1488"/>
      <c r="AC538" s="1488"/>
      <c r="AD538" s="1488"/>
      <c r="AE538" s="1488"/>
      <c r="AF538" s="1488"/>
      <c r="AG538" s="1488"/>
      <c r="AH538" s="1451">
        <f t="shared" si="284"/>
        <v>0</v>
      </c>
      <c r="AI538" s="1488"/>
      <c r="AJ538" s="1488"/>
      <c r="AK538" s="1488"/>
      <c r="AL538" s="1488"/>
      <c r="AM538" s="1488"/>
      <c r="AN538" s="1488"/>
      <c r="AO538" s="1488"/>
      <c r="AP538" s="1488"/>
      <c r="AQ538" s="1488"/>
      <c r="AR538" s="1488"/>
      <c r="AS538" s="1488"/>
      <c r="AT538" s="1542"/>
      <c r="AU538" s="1599">
        <f t="shared" si="285"/>
        <v>0</v>
      </c>
      <c r="AV538" s="1544">
        <f t="shared" si="313"/>
        <v>0</v>
      </c>
      <c r="AW538" s="1452">
        <f t="shared" si="286"/>
        <v>0</v>
      </c>
      <c r="AX538" s="1452">
        <f t="shared" si="287"/>
        <v>0</v>
      </c>
      <c r="AY538" s="1452">
        <f t="shared" si="288"/>
        <v>0</v>
      </c>
      <c r="AZ538" s="1452">
        <f t="shared" si="289"/>
        <v>0</v>
      </c>
      <c r="BA538" s="1452">
        <f t="shared" si="290"/>
        <v>0</v>
      </c>
      <c r="BB538" s="1452">
        <f t="shared" si="291"/>
        <v>0</v>
      </c>
      <c r="BC538" s="1452">
        <f t="shared" si="292"/>
        <v>0</v>
      </c>
      <c r="BD538" s="1452">
        <f t="shared" si="293"/>
        <v>0</v>
      </c>
      <c r="BE538" s="1452">
        <f t="shared" si="294"/>
        <v>0</v>
      </c>
      <c r="BF538" s="1452">
        <f t="shared" si="295"/>
        <v>0</v>
      </c>
      <c r="BG538" s="1452">
        <f t="shared" si="296"/>
        <v>0</v>
      </c>
      <c r="BH538" s="1452">
        <f t="shared" si="297"/>
        <v>0</v>
      </c>
      <c r="BI538" s="1452">
        <f t="shared" si="314"/>
        <v>0</v>
      </c>
      <c r="BJ538" s="1452" t="str">
        <f t="shared" si="298"/>
        <v/>
      </c>
      <c r="BK538" s="1452" t="str">
        <f t="shared" si="299"/>
        <v/>
      </c>
      <c r="BL538" s="1452" t="str">
        <f t="shared" si="300"/>
        <v/>
      </c>
      <c r="BM538" s="1452" t="str">
        <f t="shared" si="301"/>
        <v/>
      </c>
      <c r="BN538" s="1452" t="str">
        <f t="shared" ca="1" si="302"/>
        <v/>
      </c>
      <c r="BO538" s="1452" t="str">
        <f t="shared" si="315"/>
        <v/>
      </c>
      <c r="BP538" s="1452" t="str">
        <f t="shared" si="303"/>
        <v/>
      </c>
      <c r="BQ538" s="1452" t="str">
        <f t="shared" si="304"/>
        <v/>
      </c>
      <c r="BR538" s="1452" t="str">
        <f t="shared" si="305"/>
        <v/>
      </c>
      <c r="BS538" s="1452" t="str">
        <f t="shared" si="306"/>
        <v/>
      </c>
      <c r="BT538" s="1452" t="str">
        <f t="shared" si="307"/>
        <v/>
      </c>
      <c r="BU538" s="1452" t="str">
        <f t="shared" si="308"/>
        <v/>
      </c>
      <c r="BV538" s="1452" t="str">
        <f t="shared" si="309"/>
        <v/>
      </c>
      <c r="BW538" s="1558">
        <f t="shared" ca="1" si="316"/>
        <v>0</v>
      </c>
    </row>
    <row r="539" spans="1:75" s="9" customFormat="1" ht="12.5">
      <c r="A539" s="1483" t="str">
        <f t="shared" si="310"/>
        <v>Public Health Wales Trust</v>
      </c>
      <c r="B539" s="1583"/>
      <c r="C539" s="1583"/>
      <c r="D539" s="1583"/>
      <c r="E539" s="1510"/>
      <c r="F539" s="1436"/>
      <c r="G539" s="1547">
        <f t="shared" si="311"/>
        <v>0</v>
      </c>
      <c r="H539" s="1484"/>
      <c r="I539" s="1547">
        <f t="shared" si="312"/>
        <v>0</v>
      </c>
      <c r="J539" s="1485"/>
      <c r="K539" s="1485"/>
      <c r="L539" s="1436"/>
      <c r="M539" s="1439"/>
      <c r="N539" s="1439"/>
      <c r="O539" s="1485"/>
      <c r="P539" s="1486"/>
      <c r="Q539" s="1486"/>
      <c r="R539" s="1487"/>
      <c r="S539" s="1444"/>
      <c r="T539" s="1444"/>
      <c r="U539" s="1444"/>
      <c r="V539" s="1488"/>
      <c r="W539" s="1488"/>
      <c r="X539" s="1488"/>
      <c r="Y539" s="1488"/>
      <c r="Z539" s="1488"/>
      <c r="AA539" s="1488"/>
      <c r="AB539" s="1488"/>
      <c r="AC539" s="1488"/>
      <c r="AD539" s="1488"/>
      <c r="AE539" s="1488"/>
      <c r="AF539" s="1488"/>
      <c r="AG539" s="1488"/>
      <c r="AH539" s="1451">
        <f t="shared" si="284"/>
        <v>0</v>
      </c>
      <c r="AI539" s="1488"/>
      <c r="AJ539" s="1488"/>
      <c r="AK539" s="1488"/>
      <c r="AL539" s="1488"/>
      <c r="AM539" s="1488"/>
      <c r="AN539" s="1488"/>
      <c r="AO539" s="1488"/>
      <c r="AP539" s="1488"/>
      <c r="AQ539" s="1488"/>
      <c r="AR539" s="1488"/>
      <c r="AS539" s="1488"/>
      <c r="AT539" s="1542"/>
      <c r="AU539" s="1599">
        <f t="shared" si="285"/>
        <v>0</v>
      </c>
      <c r="AV539" s="1544">
        <f t="shared" si="313"/>
        <v>0</v>
      </c>
      <c r="AW539" s="1452">
        <f t="shared" si="286"/>
        <v>0</v>
      </c>
      <c r="AX539" s="1452">
        <f t="shared" si="287"/>
        <v>0</v>
      </c>
      <c r="AY539" s="1452">
        <f t="shared" si="288"/>
        <v>0</v>
      </c>
      <c r="AZ539" s="1452">
        <f t="shared" si="289"/>
        <v>0</v>
      </c>
      <c r="BA539" s="1452">
        <f t="shared" si="290"/>
        <v>0</v>
      </c>
      <c r="BB539" s="1452">
        <f t="shared" si="291"/>
        <v>0</v>
      </c>
      <c r="BC539" s="1452">
        <f t="shared" si="292"/>
        <v>0</v>
      </c>
      <c r="BD539" s="1452">
        <f t="shared" si="293"/>
        <v>0</v>
      </c>
      <c r="BE539" s="1452">
        <f t="shared" si="294"/>
        <v>0</v>
      </c>
      <c r="BF539" s="1452">
        <f t="shared" si="295"/>
        <v>0</v>
      </c>
      <c r="BG539" s="1452">
        <f t="shared" si="296"/>
        <v>0</v>
      </c>
      <c r="BH539" s="1452">
        <f t="shared" si="297"/>
        <v>0</v>
      </c>
      <c r="BI539" s="1452">
        <f t="shared" si="314"/>
        <v>0</v>
      </c>
      <c r="BJ539" s="1452" t="str">
        <f t="shared" si="298"/>
        <v/>
      </c>
      <c r="BK539" s="1452" t="str">
        <f t="shared" si="299"/>
        <v/>
      </c>
      <c r="BL539" s="1452" t="str">
        <f t="shared" si="300"/>
        <v/>
      </c>
      <c r="BM539" s="1452" t="str">
        <f t="shared" si="301"/>
        <v/>
      </c>
      <c r="BN539" s="1452" t="str">
        <f t="shared" ca="1" si="302"/>
        <v/>
      </c>
      <c r="BO539" s="1452" t="str">
        <f t="shared" si="315"/>
        <v/>
      </c>
      <c r="BP539" s="1452" t="str">
        <f t="shared" si="303"/>
        <v/>
      </c>
      <c r="BQ539" s="1452" t="str">
        <f t="shared" si="304"/>
        <v/>
      </c>
      <c r="BR539" s="1452" t="str">
        <f t="shared" si="305"/>
        <v/>
      </c>
      <c r="BS539" s="1452" t="str">
        <f t="shared" si="306"/>
        <v/>
      </c>
      <c r="BT539" s="1452" t="str">
        <f t="shared" si="307"/>
        <v/>
      </c>
      <c r="BU539" s="1452" t="str">
        <f t="shared" si="308"/>
        <v/>
      </c>
      <c r="BV539" s="1452" t="str">
        <f t="shared" si="309"/>
        <v/>
      </c>
      <c r="BW539" s="1558">
        <f t="shared" ca="1" si="316"/>
        <v>0</v>
      </c>
    </row>
    <row r="540" spans="1:75" s="9" customFormat="1" ht="12.5">
      <c r="A540" s="1483" t="str">
        <f t="shared" si="310"/>
        <v>Public Health Wales Trust</v>
      </c>
      <c r="B540" s="1583"/>
      <c r="C540" s="1583"/>
      <c r="D540" s="1583"/>
      <c r="E540" s="1510"/>
      <c r="F540" s="1436"/>
      <c r="G540" s="1547">
        <f t="shared" si="311"/>
        <v>0</v>
      </c>
      <c r="H540" s="1484"/>
      <c r="I540" s="1547">
        <f t="shared" si="312"/>
        <v>0</v>
      </c>
      <c r="J540" s="1485"/>
      <c r="K540" s="1485"/>
      <c r="L540" s="1436"/>
      <c r="M540" s="1439"/>
      <c r="N540" s="1439"/>
      <c r="O540" s="1485"/>
      <c r="P540" s="1486"/>
      <c r="Q540" s="1486"/>
      <c r="R540" s="1487"/>
      <c r="S540" s="1444"/>
      <c r="T540" s="1444"/>
      <c r="U540" s="1444"/>
      <c r="V540" s="1488"/>
      <c r="W540" s="1488"/>
      <c r="X540" s="1488"/>
      <c r="Y540" s="1488"/>
      <c r="Z540" s="1488"/>
      <c r="AA540" s="1488"/>
      <c r="AB540" s="1488"/>
      <c r="AC540" s="1488"/>
      <c r="AD540" s="1488"/>
      <c r="AE540" s="1488"/>
      <c r="AF540" s="1488"/>
      <c r="AG540" s="1488"/>
      <c r="AH540" s="1451">
        <f t="shared" si="284"/>
        <v>0</v>
      </c>
      <c r="AI540" s="1488"/>
      <c r="AJ540" s="1488"/>
      <c r="AK540" s="1488"/>
      <c r="AL540" s="1488"/>
      <c r="AM540" s="1488"/>
      <c r="AN540" s="1488"/>
      <c r="AO540" s="1488"/>
      <c r="AP540" s="1488"/>
      <c r="AQ540" s="1488"/>
      <c r="AR540" s="1488"/>
      <c r="AS540" s="1488"/>
      <c r="AT540" s="1542"/>
      <c r="AU540" s="1599">
        <f t="shared" si="285"/>
        <v>0</v>
      </c>
      <c r="AV540" s="1544">
        <f t="shared" si="313"/>
        <v>0</v>
      </c>
      <c r="AW540" s="1452">
        <f t="shared" si="286"/>
        <v>0</v>
      </c>
      <c r="AX540" s="1452">
        <f t="shared" si="287"/>
        <v>0</v>
      </c>
      <c r="AY540" s="1452">
        <f t="shared" si="288"/>
        <v>0</v>
      </c>
      <c r="AZ540" s="1452">
        <f t="shared" si="289"/>
        <v>0</v>
      </c>
      <c r="BA540" s="1452">
        <f t="shared" si="290"/>
        <v>0</v>
      </c>
      <c r="BB540" s="1452">
        <f t="shared" si="291"/>
        <v>0</v>
      </c>
      <c r="BC540" s="1452">
        <f t="shared" si="292"/>
        <v>0</v>
      </c>
      <c r="BD540" s="1452">
        <f t="shared" si="293"/>
        <v>0</v>
      </c>
      <c r="BE540" s="1452">
        <f t="shared" si="294"/>
        <v>0</v>
      </c>
      <c r="BF540" s="1452">
        <f t="shared" si="295"/>
        <v>0</v>
      </c>
      <c r="BG540" s="1452">
        <f t="shared" si="296"/>
        <v>0</v>
      </c>
      <c r="BH540" s="1452">
        <f t="shared" si="297"/>
        <v>0</v>
      </c>
      <c r="BI540" s="1452">
        <f t="shared" si="314"/>
        <v>0</v>
      </c>
      <c r="BJ540" s="1452" t="str">
        <f t="shared" si="298"/>
        <v/>
      </c>
      <c r="BK540" s="1452" t="str">
        <f t="shared" si="299"/>
        <v/>
      </c>
      <c r="BL540" s="1452" t="str">
        <f t="shared" si="300"/>
        <v/>
      </c>
      <c r="BM540" s="1452" t="str">
        <f t="shared" si="301"/>
        <v/>
      </c>
      <c r="BN540" s="1452" t="str">
        <f t="shared" ca="1" si="302"/>
        <v/>
      </c>
      <c r="BO540" s="1452" t="str">
        <f t="shared" si="315"/>
        <v/>
      </c>
      <c r="BP540" s="1452" t="str">
        <f t="shared" si="303"/>
        <v/>
      </c>
      <c r="BQ540" s="1452" t="str">
        <f t="shared" si="304"/>
        <v/>
      </c>
      <c r="BR540" s="1452" t="str">
        <f t="shared" si="305"/>
        <v/>
      </c>
      <c r="BS540" s="1452" t="str">
        <f t="shared" si="306"/>
        <v/>
      </c>
      <c r="BT540" s="1452" t="str">
        <f t="shared" si="307"/>
        <v/>
      </c>
      <c r="BU540" s="1452" t="str">
        <f t="shared" si="308"/>
        <v/>
      </c>
      <c r="BV540" s="1452" t="str">
        <f t="shared" si="309"/>
        <v/>
      </c>
      <c r="BW540" s="1558">
        <f t="shared" ca="1" si="316"/>
        <v>0</v>
      </c>
    </row>
    <row r="541" spans="1:75" s="9" customFormat="1" ht="12.5">
      <c r="A541" s="1483" t="str">
        <f t="shared" si="310"/>
        <v>Public Health Wales Trust</v>
      </c>
      <c r="B541" s="1583"/>
      <c r="C541" s="1583"/>
      <c r="D541" s="1583"/>
      <c r="E541" s="1510"/>
      <c r="F541" s="1436"/>
      <c r="G541" s="1547">
        <f t="shared" si="311"/>
        <v>0</v>
      </c>
      <c r="H541" s="1484"/>
      <c r="I541" s="1547">
        <f t="shared" si="312"/>
        <v>0</v>
      </c>
      <c r="J541" s="1485"/>
      <c r="K541" s="1485"/>
      <c r="L541" s="1436"/>
      <c r="M541" s="1439"/>
      <c r="N541" s="1439"/>
      <c r="O541" s="1485"/>
      <c r="P541" s="1486"/>
      <c r="Q541" s="1486"/>
      <c r="R541" s="1487"/>
      <c r="S541" s="1444"/>
      <c r="T541" s="1444"/>
      <c r="U541" s="1444"/>
      <c r="V541" s="1488"/>
      <c r="W541" s="1488"/>
      <c r="X541" s="1488"/>
      <c r="Y541" s="1488"/>
      <c r="Z541" s="1488"/>
      <c r="AA541" s="1488"/>
      <c r="AB541" s="1488"/>
      <c r="AC541" s="1488"/>
      <c r="AD541" s="1488"/>
      <c r="AE541" s="1488"/>
      <c r="AF541" s="1488"/>
      <c r="AG541" s="1488"/>
      <c r="AH541" s="1451">
        <f t="shared" si="284"/>
        <v>0</v>
      </c>
      <c r="AI541" s="1488"/>
      <c r="AJ541" s="1488"/>
      <c r="AK541" s="1488"/>
      <c r="AL541" s="1488"/>
      <c r="AM541" s="1488"/>
      <c r="AN541" s="1488"/>
      <c r="AO541" s="1488"/>
      <c r="AP541" s="1488"/>
      <c r="AQ541" s="1488"/>
      <c r="AR541" s="1488"/>
      <c r="AS541" s="1488"/>
      <c r="AT541" s="1542"/>
      <c r="AU541" s="1599">
        <f t="shared" si="285"/>
        <v>0</v>
      </c>
      <c r="AV541" s="1544">
        <f t="shared" si="313"/>
        <v>0</v>
      </c>
      <c r="AW541" s="1452">
        <f t="shared" si="286"/>
        <v>0</v>
      </c>
      <c r="AX541" s="1452">
        <f t="shared" si="287"/>
        <v>0</v>
      </c>
      <c r="AY541" s="1452">
        <f t="shared" si="288"/>
        <v>0</v>
      </c>
      <c r="AZ541" s="1452">
        <f t="shared" si="289"/>
        <v>0</v>
      </c>
      <c r="BA541" s="1452">
        <f t="shared" si="290"/>
        <v>0</v>
      </c>
      <c r="BB541" s="1452">
        <f t="shared" si="291"/>
        <v>0</v>
      </c>
      <c r="BC541" s="1452">
        <f t="shared" si="292"/>
        <v>0</v>
      </c>
      <c r="BD541" s="1452">
        <f t="shared" si="293"/>
        <v>0</v>
      </c>
      <c r="BE541" s="1452">
        <f t="shared" si="294"/>
        <v>0</v>
      </c>
      <c r="BF541" s="1452">
        <f t="shared" si="295"/>
        <v>0</v>
      </c>
      <c r="BG541" s="1452">
        <f t="shared" si="296"/>
        <v>0</v>
      </c>
      <c r="BH541" s="1452">
        <f t="shared" si="297"/>
        <v>0</v>
      </c>
      <c r="BI541" s="1452">
        <f t="shared" si="314"/>
        <v>0</v>
      </c>
      <c r="BJ541" s="1452" t="str">
        <f t="shared" si="298"/>
        <v/>
      </c>
      <c r="BK541" s="1452" t="str">
        <f t="shared" si="299"/>
        <v/>
      </c>
      <c r="BL541" s="1452" t="str">
        <f t="shared" si="300"/>
        <v/>
      </c>
      <c r="BM541" s="1452" t="str">
        <f t="shared" si="301"/>
        <v/>
      </c>
      <c r="BN541" s="1452" t="str">
        <f t="shared" ca="1" si="302"/>
        <v/>
      </c>
      <c r="BO541" s="1452" t="str">
        <f t="shared" si="315"/>
        <v/>
      </c>
      <c r="BP541" s="1452" t="str">
        <f t="shared" si="303"/>
        <v/>
      </c>
      <c r="BQ541" s="1452" t="str">
        <f t="shared" si="304"/>
        <v/>
      </c>
      <c r="BR541" s="1452" t="str">
        <f t="shared" si="305"/>
        <v/>
      </c>
      <c r="BS541" s="1452" t="str">
        <f t="shared" si="306"/>
        <v/>
      </c>
      <c r="BT541" s="1452" t="str">
        <f t="shared" si="307"/>
        <v/>
      </c>
      <c r="BU541" s="1452" t="str">
        <f t="shared" si="308"/>
        <v/>
      </c>
      <c r="BV541" s="1452" t="str">
        <f t="shared" si="309"/>
        <v/>
      </c>
      <c r="BW541" s="1558">
        <f t="shared" ca="1" si="316"/>
        <v>0</v>
      </c>
    </row>
    <row r="542" spans="1:75" s="9" customFormat="1" ht="12.5">
      <c r="A542" s="1483" t="str">
        <f t="shared" si="310"/>
        <v>Public Health Wales Trust</v>
      </c>
      <c r="B542" s="1583"/>
      <c r="C542" s="1583"/>
      <c r="D542" s="1583"/>
      <c r="E542" s="1510"/>
      <c r="F542" s="1436"/>
      <c r="G542" s="1547">
        <f t="shared" si="311"/>
        <v>0</v>
      </c>
      <c r="H542" s="1484"/>
      <c r="I542" s="1547">
        <f t="shared" si="312"/>
        <v>0</v>
      </c>
      <c r="J542" s="1485"/>
      <c r="K542" s="1485"/>
      <c r="L542" s="1436"/>
      <c r="M542" s="1439"/>
      <c r="N542" s="1439"/>
      <c r="O542" s="1485"/>
      <c r="P542" s="1486"/>
      <c r="Q542" s="1486"/>
      <c r="R542" s="1487"/>
      <c r="S542" s="1444"/>
      <c r="T542" s="1444"/>
      <c r="U542" s="1444"/>
      <c r="V542" s="1488"/>
      <c r="W542" s="1488"/>
      <c r="X542" s="1488"/>
      <c r="Y542" s="1488"/>
      <c r="Z542" s="1488"/>
      <c r="AA542" s="1488"/>
      <c r="AB542" s="1488"/>
      <c r="AC542" s="1488"/>
      <c r="AD542" s="1488"/>
      <c r="AE542" s="1488"/>
      <c r="AF542" s="1488"/>
      <c r="AG542" s="1488"/>
      <c r="AH542" s="1451">
        <f t="shared" si="284"/>
        <v>0</v>
      </c>
      <c r="AI542" s="1488"/>
      <c r="AJ542" s="1488"/>
      <c r="AK542" s="1488"/>
      <c r="AL542" s="1488"/>
      <c r="AM542" s="1488"/>
      <c r="AN542" s="1488"/>
      <c r="AO542" s="1488"/>
      <c r="AP542" s="1488"/>
      <c r="AQ542" s="1488"/>
      <c r="AR542" s="1488"/>
      <c r="AS542" s="1488"/>
      <c r="AT542" s="1542"/>
      <c r="AU542" s="1599">
        <f t="shared" si="285"/>
        <v>0</v>
      </c>
      <c r="AV542" s="1544">
        <f t="shared" si="313"/>
        <v>0</v>
      </c>
      <c r="AW542" s="1452">
        <f t="shared" si="286"/>
        <v>0</v>
      </c>
      <c r="AX542" s="1452">
        <f t="shared" si="287"/>
        <v>0</v>
      </c>
      <c r="AY542" s="1452">
        <f t="shared" si="288"/>
        <v>0</v>
      </c>
      <c r="AZ542" s="1452">
        <f t="shared" si="289"/>
        <v>0</v>
      </c>
      <c r="BA542" s="1452">
        <f t="shared" si="290"/>
        <v>0</v>
      </c>
      <c r="BB542" s="1452">
        <f t="shared" si="291"/>
        <v>0</v>
      </c>
      <c r="BC542" s="1452">
        <f t="shared" si="292"/>
        <v>0</v>
      </c>
      <c r="BD542" s="1452">
        <f t="shared" si="293"/>
        <v>0</v>
      </c>
      <c r="BE542" s="1452">
        <f t="shared" si="294"/>
        <v>0</v>
      </c>
      <c r="BF542" s="1452">
        <f t="shared" si="295"/>
        <v>0</v>
      </c>
      <c r="BG542" s="1452">
        <f t="shared" si="296"/>
        <v>0</v>
      </c>
      <c r="BH542" s="1452">
        <f t="shared" si="297"/>
        <v>0</v>
      </c>
      <c r="BI542" s="1452">
        <f t="shared" si="314"/>
        <v>0</v>
      </c>
      <c r="BJ542" s="1452" t="str">
        <f t="shared" si="298"/>
        <v/>
      </c>
      <c r="BK542" s="1452" t="str">
        <f t="shared" si="299"/>
        <v/>
      </c>
      <c r="BL542" s="1452" t="str">
        <f t="shared" si="300"/>
        <v/>
      </c>
      <c r="BM542" s="1452" t="str">
        <f t="shared" si="301"/>
        <v/>
      </c>
      <c r="BN542" s="1452" t="str">
        <f t="shared" ca="1" si="302"/>
        <v/>
      </c>
      <c r="BO542" s="1452" t="str">
        <f t="shared" si="315"/>
        <v/>
      </c>
      <c r="BP542" s="1452" t="str">
        <f t="shared" si="303"/>
        <v/>
      </c>
      <c r="BQ542" s="1452" t="str">
        <f t="shared" si="304"/>
        <v/>
      </c>
      <c r="BR542" s="1452" t="str">
        <f t="shared" si="305"/>
        <v/>
      </c>
      <c r="BS542" s="1452" t="str">
        <f t="shared" si="306"/>
        <v/>
      </c>
      <c r="BT542" s="1452" t="str">
        <f t="shared" si="307"/>
        <v/>
      </c>
      <c r="BU542" s="1452" t="str">
        <f t="shared" si="308"/>
        <v/>
      </c>
      <c r="BV542" s="1452" t="str">
        <f t="shared" si="309"/>
        <v/>
      </c>
      <c r="BW542" s="1558">
        <f t="shared" ca="1" si="316"/>
        <v>0</v>
      </c>
    </row>
    <row r="543" spans="1:75" s="9" customFormat="1" ht="12.5">
      <c r="A543" s="1483" t="str">
        <f t="shared" si="310"/>
        <v>Public Health Wales Trust</v>
      </c>
      <c r="B543" s="1583"/>
      <c r="C543" s="1583"/>
      <c r="D543" s="1583"/>
      <c r="E543" s="1510"/>
      <c r="F543" s="1436"/>
      <c r="G543" s="1547">
        <f t="shared" si="311"/>
        <v>0</v>
      </c>
      <c r="H543" s="1484"/>
      <c r="I543" s="1547">
        <f t="shared" si="312"/>
        <v>0</v>
      </c>
      <c r="J543" s="1485"/>
      <c r="K543" s="1485"/>
      <c r="L543" s="1436"/>
      <c r="M543" s="1439"/>
      <c r="N543" s="1439"/>
      <c r="O543" s="1485"/>
      <c r="P543" s="1486"/>
      <c r="Q543" s="1486"/>
      <c r="R543" s="1487"/>
      <c r="S543" s="1444"/>
      <c r="T543" s="1444"/>
      <c r="U543" s="1444"/>
      <c r="V543" s="1488"/>
      <c r="W543" s="1488"/>
      <c r="X543" s="1488"/>
      <c r="Y543" s="1488"/>
      <c r="Z543" s="1488"/>
      <c r="AA543" s="1488"/>
      <c r="AB543" s="1488"/>
      <c r="AC543" s="1488"/>
      <c r="AD543" s="1488"/>
      <c r="AE543" s="1488"/>
      <c r="AF543" s="1488"/>
      <c r="AG543" s="1488"/>
      <c r="AH543" s="1451">
        <f t="shared" si="284"/>
        <v>0</v>
      </c>
      <c r="AI543" s="1488"/>
      <c r="AJ543" s="1488"/>
      <c r="AK543" s="1488"/>
      <c r="AL543" s="1488"/>
      <c r="AM543" s="1488"/>
      <c r="AN543" s="1488"/>
      <c r="AO543" s="1488"/>
      <c r="AP543" s="1488"/>
      <c r="AQ543" s="1488"/>
      <c r="AR543" s="1488"/>
      <c r="AS543" s="1488"/>
      <c r="AT543" s="1542"/>
      <c r="AU543" s="1599">
        <f t="shared" si="285"/>
        <v>0</v>
      </c>
      <c r="AV543" s="1544">
        <f t="shared" si="313"/>
        <v>0</v>
      </c>
      <c r="AW543" s="1452">
        <f t="shared" si="286"/>
        <v>0</v>
      </c>
      <c r="AX543" s="1452">
        <f t="shared" si="287"/>
        <v>0</v>
      </c>
      <c r="AY543" s="1452">
        <f t="shared" si="288"/>
        <v>0</v>
      </c>
      <c r="AZ543" s="1452">
        <f t="shared" si="289"/>
        <v>0</v>
      </c>
      <c r="BA543" s="1452">
        <f t="shared" si="290"/>
        <v>0</v>
      </c>
      <c r="BB543" s="1452">
        <f t="shared" si="291"/>
        <v>0</v>
      </c>
      <c r="BC543" s="1452">
        <f t="shared" si="292"/>
        <v>0</v>
      </c>
      <c r="BD543" s="1452">
        <f t="shared" si="293"/>
        <v>0</v>
      </c>
      <c r="BE543" s="1452">
        <f t="shared" si="294"/>
        <v>0</v>
      </c>
      <c r="BF543" s="1452">
        <f t="shared" si="295"/>
        <v>0</v>
      </c>
      <c r="BG543" s="1452">
        <f t="shared" si="296"/>
        <v>0</v>
      </c>
      <c r="BH543" s="1452">
        <f t="shared" si="297"/>
        <v>0</v>
      </c>
      <c r="BI543" s="1452">
        <f t="shared" si="314"/>
        <v>0</v>
      </c>
      <c r="BJ543" s="1452" t="str">
        <f t="shared" si="298"/>
        <v/>
      </c>
      <c r="BK543" s="1452" t="str">
        <f t="shared" si="299"/>
        <v/>
      </c>
      <c r="BL543" s="1452" t="str">
        <f t="shared" si="300"/>
        <v/>
      </c>
      <c r="BM543" s="1452" t="str">
        <f t="shared" si="301"/>
        <v/>
      </c>
      <c r="BN543" s="1452" t="str">
        <f t="shared" ca="1" si="302"/>
        <v/>
      </c>
      <c r="BO543" s="1452" t="str">
        <f t="shared" si="315"/>
        <v/>
      </c>
      <c r="BP543" s="1452" t="str">
        <f t="shared" si="303"/>
        <v/>
      </c>
      <c r="BQ543" s="1452" t="str">
        <f t="shared" si="304"/>
        <v/>
      </c>
      <c r="BR543" s="1452" t="str">
        <f t="shared" si="305"/>
        <v/>
      </c>
      <c r="BS543" s="1452" t="str">
        <f t="shared" si="306"/>
        <v/>
      </c>
      <c r="BT543" s="1452" t="str">
        <f t="shared" si="307"/>
        <v/>
      </c>
      <c r="BU543" s="1452" t="str">
        <f t="shared" si="308"/>
        <v/>
      </c>
      <c r="BV543" s="1452" t="str">
        <f t="shared" si="309"/>
        <v/>
      </c>
      <c r="BW543" s="1558">
        <f t="shared" ca="1" si="316"/>
        <v>0</v>
      </c>
    </row>
    <row r="544" spans="1:75" s="9" customFormat="1" ht="12.5">
      <c r="A544" s="1483" t="str">
        <f t="shared" si="310"/>
        <v>Public Health Wales Trust</v>
      </c>
      <c r="B544" s="1583"/>
      <c r="C544" s="1583"/>
      <c r="D544" s="1583"/>
      <c r="E544" s="1510"/>
      <c r="F544" s="1436"/>
      <c r="G544" s="1547">
        <f t="shared" si="311"/>
        <v>0</v>
      </c>
      <c r="H544" s="1484"/>
      <c r="I544" s="1547">
        <f t="shared" si="312"/>
        <v>0</v>
      </c>
      <c r="J544" s="1485"/>
      <c r="K544" s="1485"/>
      <c r="L544" s="1436"/>
      <c r="M544" s="1439"/>
      <c r="N544" s="1439"/>
      <c r="O544" s="1485"/>
      <c r="P544" s="1486"/>
      <c r="Q544" s="1486"/>
      <c r="R544" s="1487"/>
      <c r="S544" s="1444"/>
      <c r="T544" s="1444"/>
      <c r="U544" s="1444"/>
      <c r="V544" s="1488"/>
      <c r="W544" s="1488"/>
      <c r="X544" s="1488"/>
      <c r="Y544" s="1488"/>
      <c r="Z544" s="1488"/>
      <c r="AA544" s="1488"/>
      <c r="AB544" s="1488"/>
      <c r="AC544" s="1488"/>
      <c r="AD544" s="1488"/>
      <c r="AE544" s="1488"/>
      <c r="AF544" s="1488"/>
      <c r="AG544" s="1488"/>
      <c r="AH544" s="1451">
        <f t="shared" si="284"/>
        <v>0</v>
      </c>
      <c r="AI544" s="1488"/>
      <c r="AJ544" s="1488"/>
      <c r="AK544" s="1488"/>
      <c r="AL544" s="1488"/>
      <c r="AM544" s="1488"/>
      <c r="AN544" s="1488"/>
      <c r="AO544" s="1488"/>
      <c r="AP544" s="1488"/>
      <c r="AQ544" s="1488"/>
      <c r="AR544" s="1488"/>
      <c r="AS544" s="1488"/>
      <c r="AT544" s="1542"/>
      <c r="AU544" s="1599">
        <f t="shared" si="285"/>
        <v>0</v>
      </c>
      <c r="AV544" s="1544">
        <f t="shared" si="313"/>
        <v>0</v>
      </c>
      <c r="AW544" s="1452">
        <f t="shared" si="286"/>
        <v>0</v>
      </c>
      <c r="AX544" s="1452">
        <f t="shared" si="287"/>
        <v>0</v>
      </c>
      <c r="AY544" s="1452">
        <f t="shared" si="288"/>
        <v>0</v>
      </c>
      <c r="AZ544" s="1452">
        <f t="shared" si="289"/>
        <v>0</v>
      </c>
      <c r="BA544" s="1452">
        <f t="shared" si="290"/>
        <v>0</v>
      </c>
      <c r="BB544" s="1452">
        <f t="shared" si="291"/>
        <v>0</v>
      </c>
      <c r="BC544" s="1452">
        <f t="shared" si="292"/>
        <v>0</v>
      </c>
      <c r="BD544" s="1452">
        <f t="shared" si="293"/>
        <v>0</v>
      </c>
      <c r="BE544" s="1452">
        <f t="shared" si="294"/>
        <v>0</v>
      </c>
      <c r="BF544" s="1452">
        <f t="shared" si="295"/>
        <v>0</v>
      </c>
      <c r="BG544" s="1452">
        <f t="shared" si="296"/>
        <v>0</v>
      </c>
      <c r="BH544" s="1452">
        <f t="shared" si="297"/>
        <v>0</v>
      </c>
      <c r="BI544" s="1452">
        <f t="shared" si="314"/>
        <v>0</v>
      </c>
      <c r="BJ544" s="1452" t="str">
        <f t="shared" si="298"/>
        <v/>
      </c>
      <c r="BK544" s="1452" t="str">
        <f t="shared" si="299"/>
        <v/>
      </c>
      <c r="BL544" s="1452" t="str">
        <f t="shared" si="300"/>
        <v/>
      </c>
      <c r="BM544" s="1452" t="str">
        <f t="shared" si="301"/>
        <v/>
      </c>
      <c r="BN544" s="1452" t="str">
        <f t="shared" ca="1" si="302"/>
        <v/>
      </c>
      <c r="BO544" s="1452" t="str">
        <f t="shared" si="315"/>
        <v/>
      </c>
      <c r="BP544" s="1452" t="str">
        <f t="shared" si="303"/>
        <v/>
      </c>
      <c r="BQ544" s="1452" t="str">
        <f t="shared" si="304"/>
        <v/>
      </c>
      <c r="BR544" s="1452" t="str">
        <f t="shared" si="305"/>
        <v/>
      </c>
      <c r="BS544" s="1452" t="str">
        <f t="shared" si="306"/>
        <v/>
      </c>
      <c r="BT544" s="1452" t="str">
        <f t="shared" si="307"/>
        <v/>
      </c>
      <c r="BU544" s="1452" t="str">
        <f t="shared" si="308"/>
        <v/>
      </c>
      <c r="BV544" s="1452" t="str">
        <f t="shared" si="309"/>
        <v/>
      </c>
      <c r="BW544" s="1558">
        <f t="shared" ca="1" si="316"/>
        <v>0</v>
      </c>
    </row>
    <row r="545" spans="1:75" s="9" customFormat="1" ht="12.5">
      <c r="A545" s="1483" t="str">
        <f t="shared" si="310"/>
        <v>Public Health Wales Trust</v>
      </c>
      <c r="B545" s="1583"/>
      <c r="C545" s="1583"/>
      <c r="D545" s="1583"/>
      <c r="E545" s="1510"/>
      <c r="F545" s="1436"/>
      <c r="G545" s="1547">
        <f t="shared" si="311"/>
        <v>0</v>
      </c>
      <c r="H545" s="1484"/>
      <c r="I545" s="1547">
        <f t="shared" si="312"/>
        <v>0</v>
      </c>
      <c r="J545" s="1485"/>
      <c r="K545" s="1485"/>
      <c r="L545" s="1436"/>
      <c r="M545" s="1439"/>
      <c r="N545" s="1439"/>
      <c r="O545" s="1485"/>
      <c r="P545" s="1486"/>
      <c r="Q545" s="1486"/>
      <c r="R545" s="1487"/>
      <c r="S545" s="1444"/>
      <c r="T545" s="1444"/>
      <c r="U545" s="1444"/>
      <c r="V545" s="1488"/>
      <c r="W545" s="1488"/>
      <c r="X545" s="1488"/>
      <c r="Y545" s="1488"/>
      <c r="Z545" s="1488"/>
      <c r="AA545" s="1488"/>
      <c r="AB545" s="1488"/>
      <c r="AC545" s="1488"/>
      <c r="AD545" s="1488"/>
      <c r="AE545" s="1488"/>
      <c r="AF545" s="1488"/>
      <c r="AG545" s="1488"/>
      <c r="AH545" s="1451">
        <f t="shared" si="284"/>
        <v>0</v>
      </c>
      <c r="AI545" s="1488"/>
      <c r="AJ545" s="1488"/>
      <c r="AK545" s="1488"/>
      <c r="AL545" s="1488"/>
      <c r="AM545" s="1488"/>
      <c r="AN545" s="1488"/>
      <c r="AO545" s="1488"/>
      <c r="AP545" s="1488"/>
      <c r="AQ545" s="1488"/>
      <c r="AR545" s="1488"/>
      <c r="AS545" s="1488"/>
      <c r="AT545" s="1542"/>
      <c r="AU545" s="1599">
        <f t="shared" si="285"/>
        <v>0</v>
      </c>
      <c r="AV545" s="1544">
        <f t="shared" si="313"/>
        <v>0</v>
      </c>
      <c r="AW545" s="1452">
        <f t="shared" si="286"/>
        <v>0</v>
      </c>
      <c r="AX545" s="1452">
        <f t="shared" si="287"/>
        <v>0</v>
      </c>
      <c r="AY545" s="1452">
        <f t="shared" si="288"/>
        <v>0</v>
      </c>
      <c r="AZ545" s="1452">
        <f t="shared" si="289"/>
        <v>0</v>
      </c>
      <c r="BA545" s="1452">
        <f t="shared" si="290"/>
        <v>0</v>
      </c>
      <c r="BB545" s="1452">
        <f t="shared" si="291"/>
        <v>0</v>
      </c>
      <c r="BC545" s="1452">
        <f t="shared" si="292"/>
        <v>0</v>
      </c>
      <c r="BD545" s="1452">
        <f t="shared" si="293"/>
        <v>0</v>
      </c>
      <c r="BE545" s="1452">
        <f t="shared" si="294"/>
        <v>0</v>
      </c>
      <c r="BF545" s="1452">
        <f t="shared" si="295"/>
        <v>0</v>
      </c>
      <c r="BG545" s="1452">
        <f t="shared" si="296"/>
        <v>0</v>
      </c>
      <c r="BH545" s="1452">
        <f t="shared" si="297"/>
        <v>0</v>
      </c>
      <c r="BI545" s="1452">
        <f t="shared" si="314"/>
        <v>0</v>
      </c>
      <c r="BJ545" s="1452" t="str">
        <f t="shared" si="298"/>
        <v/>
      </c>
      <c r="BK545" s="1452" t="str">
        <f t="shared" si="299"/>
        <v/>
      </c>
      <c r="BL545" s="1452" t="str">
        <f t="shared" si="300"/>
        <v/>
      </c>
      <c r="BM545" s="1452" t="str">
        <f t="shared" si="301"/>
        <v/>
      </c>
      <c r="BN545" s="1452" t="str">
        <f t="shared" ca="1" si="302"/>
        <v/>
      </c>
      <c r="BO545" s="1452" t="str">
        <f t="shared" si="315"/>
        <v/>
      </c>
      <c r="BP545" s="1452" t="str">
        <f t="shared" si="303"/>
        <v/>
      </c>
      <c r="BQ545" s="1452" t="str">
        <f t="shared" si="304"/>
        <v/>
      </c>
      <c r="BR545" s="1452" t="str">
        <f t="shared" si="305"/>
        <v/>
      </c>
      <c r="BS545" s="1452" t="str">
        <f t="shared" si="306"/>
        <v/>
      </c>
      <c r="BT545" s="1452" t="str">
        <f t="shared" si="307"/>
        <v/>
      </c>
      <c r="BU545" s="1452" t="str">
        <f t="shared" si="308"/>
        <v/>
      </c>
      <c r="BV545" s="1452" t="str">
        <f t="shared" si="309"/>
        <v/>
      </c>
      <c r="BW545" s="1558">
        <f t="shared" ca="1" si="316"/>
        <v>0</v>
      </c>
    </row>
    <row r="546" spans="1:75" s="9" customFormat="1" ht="12.5">
      <c r="A546" s="1483" t="str">
        <f t="shared" si="310"/>
        <v>Public Health Wales Trust</v>
      </c>
      <c r="B546" s="1583"/>
      <c r="C546" s="1583"/>
      <c r="D546" s="1583"/>
      <c r="E546" s="1510"/>
      <c r="F546" s="1436"/>
      <c r="G546" s="1547">
        <f t="shared" si="311"/>
        <v>0</v>
      </c>
      <c r="H546" s="1484"/>
      <c r="I546" s="1547">
        <f t="shared" si="312"/>
        <v>0</v>
      </c>
      <c r="J546" s="1485"/>
      <c r="K546" s="1485"/>
      <c r="L546" s="1436"/>
      <c r="M546" s="1439"/>
      <c r="N546" s="1439"/>
      <c r="O546" s="1485"/>
      <c r="P546" s="1486"/>
      <c r="Q546" s="1486"/>
      <c r="R546" s="1487"/>
      <c r="S546" s="1444"/>
      <c r="T546" s="1444"/>
      <c r="U546" s="1444"/>
      <c r="V546" s="1488"/>
      <c r="W546" s="1488"/>
      <c r="X546" s="1488"/>
      <c r="Y546" s="1488"/>
      <c r="Z546" s="1488"/>
      <c r="AA546" s="1488"/>
      <c r="AB546" s="1488"/>
      <c r="AC546" s="1488"/>
      <c r="AD546" s="1488"/>
      <c r="AE546" s="1488"/>
      <c r="AF546" s="1488"/>
      <c r="AG546" s="1488"/>
      <c r="AH546" s="1451">
        <f t="shared" si="284"/>
        <v>0</v>
      </c>
      <c r="AI546" s="1488"/>
      <c r="AJ546" s="1488"/>
      <c r="AK546" s="1488"/>
      <c r="AL546" s="1488"/>
      <c r="AM546" s="1488"/>
      <c r="AN546" s="1488"/>
      <c r="AO546" s="1488"/>
      <c r="AP546" s="1488"/>
      <c r="AQ546" s="1488"/>
      <c r="AR546" s="1488"/>
      <c r="AS546" s="1488"/>
      <c r="AT546" s="1542"/>
      <c r="AU546" s="1599">
        <f t="shared" si="285"/>
        <v>0</v>
      </c>
      <c r="AV546" s="1544">
        <f t="shared" si="313"/>
        <v>0</v>
      </c>
      <c r="AW546" s="1452">
        <f t="shared" si="286"/>
        <v>0</v>
      </c>
      <c r="AX546" s="1452">
        <f t="shared" si="287"/>
        <v>0</v>
      </c>
      <c r="AY546" s="1452">
        <f t="shared" si="288"/>
        <v>0</v>
      </c>
      <c r="AZ546" s="1452">
        <f t="shared" si="289"/>
        <v>0</v>
      </c>
      <c r="BA546" s="1452">
        <f t="shared" si="290"/>
        <v>0</v>
      </c>
      <c r="BB546" s="1452">
        <f t="shared" si="291"/>
        <v>0</v>
      </c>
      <c r="BC546" s="1452">
        <f t="shared" si="292"/>
        <v>0</v>
      </c>
      <c r="BD546" s="1452">
        <f t="shared" si="293"/>
        <v>0</v>
      </c>
      <c r="BE546" s="1452">
        <f t="shared" si="294"/>
        <v>0</v>
      </c>
      <c r="BF546" s="1452">
        <f t="shared" si="295"/>
        <v>0</v>
      </c>
      <c r="BG546" s="1452">
        <f t="shared" si="296"/>
        <v>0</v>
      </c>
      <c r="BH546" s="1452">
        <f t="shared" si="297"/>
        <v>0</v>
      </c>
      <c r="BI546" s="1452">
        <f t="shared" si="314"/>
        <v>0</v>
      </c>
      <c r="BJ546" s="1452" t="str">
        <f t="shared" si="298"/>
        <v/>
      </c>
      <c r="BK546" s="1452" t="str">
        <f t="shared" si="299"/>
        <v/>
      </c>
      <c r="BL546" s="1452" t="str">
        <f t="shared" si="300"/>
        <v/>
      </c>
      <c r="BM546" s="1452" t="str">
        <f t="shared" si="301"/>
        <v/>
      </c>
      <c r="BN546" s="1452" t="str">
        <f t="shared" ca="1" si="302"/>
        <v/>
      </c>
      <c r="BO546" s="1452" t="str">
        <f t="shared" si="315"/>
        <v/>
      </c>
      <c r="BP546" s="1452" t="str">
        <f t="shared" si="303"/>
        <v/>
      </c>
      <c r="BQ546" s="1452" t="str">
        <f t="shared" si="304"/>
        <v/>
      </c>
      <c r="BR546" s="1452" t="str">
        <f t="shared" si="305"/>
        <v/>
      </c>
      <c r="BS546" s="1452" t="str">
        <f t="shared" si="306"/>
        <v/>
      </c>
      <c r="BT546" s="1452" t="str">
        <f t="shared" si="307"/>
        <v/>
      </c>
      <c r="BU546" s="1452" t="str">
        <f t="shared" si="308"/>
        <v/>
      </c>
      <c r="BV546" s="1452" t="str">
        <f t="shared" si="309"/>
        <v/>
      </c>
      <c r="BW546" s="1558">
        <f t="shared" ca="1" si="316"/>
        <v>0</v>
      </c>
    </row>
    <row r="547" spans="1:75" s="9" customFormat="1" ht="12.5">
      <c r="A547" s="1483" t="str">
        <f t="shared" si="310"/>
        <v>Public Health Wales Trust</v>
      </c>
      <c r="B547" s="1583"/>
      <c r="C547" s="1583"/>
      <c r="D547" s="1583"/>
      <c r="E547" s="1510"/>
      <c r="F547" s="1436"/>
      <c r="G547" s="1547">
        <f t="shared" si="311"/>
        <v>0</v>
      </c>
      <c r="H547" s="1484"/>
      <c r="I547" s="1547">
        <f t="shared" si="312"/>
        <v>0</v>
      </c>
      <c r="J547" s="1485"/>
      <c r="K547" s="1485"/>
      <c r="L547" s="1436"/>
      <c r="M547" s="1439"/>
      <c r="N547" s="1439"/>
      <c r="O547" s="1485"/>
      <c r="P547" s="1486"/>
      <c r="Q547" s="1486"/>
      <c r="R547" s="1487"/>
      <c r="S547" s="1444"/>
      <c r="T547" s="1444"/>
      <c r="U547" s="1444"/>
      <c r="V547" s="1488"/>
      <c r="W547" s="1488"/>
      <c r="X547" s="1488"/>
      <c r="Y547" s="1488"/>
      <c r="Z547" s="1488"/>
      <c r="AA547" s="1488"/>
      <c r="AB547" s="1488"/>
      <c r="AC547" s="1488"/>
      <c r="AD547" s="1488"/>
      <c r="AE547" s="1488"/>
      <c r="AF547" s="1488"/>
      <c r="AG547" s="1488"/>
      <c r="AH547" s="1451">
        <f t="shared" si="284"/>
        <v>0</v>
      </c>
      <c r="AI547" s="1488"/>
      <c r="AJ547" s="1488"/>
      <c r="AK547" s="1488"/>
      <c r="AL547" s="1488"/>
      <c r="AM547" s="1488"/>
      <c r="AN547" s="1488"/>
      <c r="AO547" s="1488"/>
      <c r="AP547" s="1488"/>
      <c r="AQ547" s="1488"/>
      <c r="AR547" s="1488"/>
      <c r="AS547" s="1488"/>
      <c r="AT547" s="1542"/>
      <c r="AU547" s="1599">
        <f t="shared" si="285"/>
        <v>0</v>
      </c>
      <c r="AV547" s="1544">
        <f t="shared" si="313"/>
        <v>0</v>
      </c>
      <c r="AW547" s="1452">
        <f t="shared" si="286"/>
        <v>0</v>
      </c>
      <c r="AX547" s="1452">
        <f t="shared" si="287"/>
        <v>0</v>
      </c>
      <c r="AY547" s="1452">
        <f t="shared" si="288"/>
        <v>0</v>
      </c>
      <c r="AZ547" s="1452">
        <f t="shared" si="289"/>
        <v>0</v>
      </c>
      <c r="BA547" s="1452">
        <f t="shared" si="290"/>
        <v>0</v>
      </c>
      <c r="BB547" s="1452">
        <f t="shared" si="291"/>
        <v>0</v>
      </c>
      <c r="BC547" s="1452">
        <f t="shared" si="292"/>
        <v>0</v>
      </c>
      <c r="BD547" s="1452">
        <f t="shared" si="293"/>
        <v>0</v>
      </c>
      <c r="BE547" s="1452">
        <f t="shared" si="294"/>
        <v>0</v>
      </c>
      <c r="BF547" s="1452">
        <f t="shared" si="295"/>
        <v>0</v>
      </c>
      <c r="BG547" s="1452">
        <f t="shared" si="296"/>
        <v>0</v>
      </c>
      <c r="BH547" s="1452">
        <f t="shared" si="297"/>
        <v>0</v>
      </c>
      <c r="BI547" s="1452">
        <f t="shared" si="314"/>
        <v>0</v>
      </c>
      <c r="BJ547" s="1452" t="str">
        <f t="shared" si="298"/>
        <v/>
      </c>
      <c r="BK547" s="1452" t="str">
        <f t="shared" si="299"/>
        <v/>
      </c>
      <c r="BL547" s="1452" t="str">
        <f t="shared" si="300"/>
        <v/>
      </c>
      <c r="BM547" s="1452" t="str">
        <f t="shared" si="301"/>
        <v/>
      </c>
      <c r="BN547" s="1452" t="str">
        <f t="shared" ca="1" si="302"/>
        <v/>
      </c>
      <c r="BO547" s="1452" t="str">
        <f t="shared" si="315"/>
        <v/>
      </c>
      <c r="BP547" s="1452" t="str">
        <f t="shared" si="303"/>
        <v/>
      </c>
      <c r="BQ547" s="1452" t="str">
        <f t="shared" si="304"/>
        <v/>
      </c>
      <c r="BR547" s="1452" t="str">
        <f t="shared" si="305"/>
        <v/>
      </c>
      <c r="BS547" s="1452" t="str">
        <f t="shared" si="306"/>
        <v/>
      </c>
      <c r="BT547" s="1452" t="str">
        <f t="shared" si="307"/>
        <v/>
      </c>
      <c r="BU547" s="1452" t="str">
        <f t="shared" si="308"/>
        <v/>
      </c>
      <c r="BV547" s="1452" t="str">
        <f t="shared" si="309"/>
        <v/>
      </c>
      <c r="BW547" s="1558">
        <f t="shared" ca="1" si="316"/>
        <v>0</v>
      </c>
    </row>
    <row r="548" spans="1:75" s="9" customFormat="1" ht="12.5">
      <c r="A548" s="1483" t="str">
        <f t="shared" si="310"/>
        <v>Public Health Wales Trust</v>
      </c>
      <c r="B548" s="1583"/>
      <c r="C548" s="1583"/>
      <c r="D548" s="1583"/>
      <c r="E548" s="1510"/>
      <c r="F548" s="1436"/>
      <c r="G548" s="1547">
        <f t="shared" si="311"/>
        <v>0</v>
      </c>
      <c r="H548" s="1484"/>
      <c r="I548" s="1547">
        <f t="shared" si="312"/>
        <v>0</v>
      </c>
      <c r="J548" s="1485"/>
      <c r="K548" s="1485"/>
      <c r="L548" s="1436"/>
      <c r="M548" s="1439"/>
      <c r="N548" s="1439"/>
      <c r="O548" s="1485"/>
      <c r="P548" s="1486"/>
      <c r="Q548" s="1486"/>
      <c r="R548" s="1487"/>
      <c r="S548" s="1444"/>
      <c r="T548" s="1444"/>
      <c r="U548" s="1444"/>
      <c r="V548" s="1488"/>
      <c r="W548" s="1488"/>
      <c r="X548" s="1488"/>
      <c r="Y548" s="1488"/>
      <c r="Z548" s="1488"/>
      <c r="AA548" s="1488"/>
      <c r="AB548" s="1488"/>
      <c r="AC548" s="1488"/>
      <c r="AD548" s="1488"/>
      <c r="AE548" s="1488"/>
      <c r="AF548" s="1488"/>
      <c r="AG548" s="1488"/>
      <c r="AH548" s="1451">
        <f t="shared" si="284"/>
        <v>0</v>
      </c>
      <c r="AI548" s="1488"/>
      <c r="AJ548" s="1488"/>
      <c r="AK548" s="1488"/>
      <c r="AL548" s="1488"/>
      <c r="AM548" s="1488"/>
      <c r="AN548" s="1488"/>
      <c r="AO548" s="1488"/>
      <c r="AP548" s="1488"/>
      <c r="AQ548" s="1488"/>
      <c r="AR548" s="1488"/>
      <c r="AS548" s="1488"/>
      <c r="AT548" s="1542"/>
      <c r="AU548" s="1599">
        <f t="shared" si="285"/>
        <v>0</v>
      </c>
      <c r="AV548" s="1544">
        <f t="shared" si="313"/>
        <v>0</v>
      </c>
      <c r="AW548" s="1452">
        <f t="shared" si="286"/>
        <v>0</v>
      </c>
      <c r="AX548" s="1452">
        <f t="shared" si="287"/>
        <v>0</v>
      </c>
      <c r="AY548" s="1452">
        <f t="shared" si="288"/>
        <v>0</v>
      </c>
      <c r="AZ548" s="1452">
        <f t="shared" si="289"/>
        <v>0</v>
      </c>
      <c r="BA548" s="1452">
        <f t="shared" si="290"/>
        <v>0</v>
      </c>
      <c r="BB548" s="1452">
        <f t="shared" si="291"/>
        <v>0</v>
      </c>
      <c r="BC548" s="1452">
        <f t="shared" si="292"/>
        <v>0</v>
      </c>
      <c r="BD548" s="1452">
        <f t="shared" si="293"/>
        <v>0</v>
      </c>
      <c r="BE548" s="1452">
        <f t="shared" si="294"/>
        <v>0</v>
      </c>
      <c r="BF548" s="1452">
        <f t="shared" si="295"/>
        <v>0</v>
      </c>
      <c r="BG548" s="1452">
        <f t="shared" si="296"/>
        <v>0</v>
      </c>
      <c r="BH548" s="1452">
        <f t="shared" si="297"/>
        <v>0</v>
      </c>
      <c r="BI548" s="1452">
        <f t="shared" si="314"/>
        <v>0</v>
      </c>
      <c r="BJ548" s="1452" t="str">
        <f t="shared" si="298"/>
        <v/>
      </c>
      <c r="BK548" s="1452" t="str">
        <f t="shared" si="299"/>
        <v/>
      </c>
      <c r="BL548" s="1452" t="str">
        <f t="shared" si="300"/>
        <v/>
      </c>
      <c r="BM548" s="1452" t="str">
        <f t="shared" si="301"/>
        <v/>
      </c>
      <c r="BN548" s="1452" t="str">
        <f t="shared" ca="1" si="302"/>
        <v/>
      </c>
      <c r="BO548" s="1452" t="str">
        <f t="shared" si="315"/>
        <v/>
      </c>
      <c r="BP548" s="1452" t="str">
        <f t="shared" si="303"/>
        <v/>
      </c>
      <c r="BQ548" s="1452" t="str">
        <f t="shared" si="304"/>
        <v/>
      </c>
      <c r="BR548" s="1452" t="str">
        <f t="shared" si="305"/>
        <v/>
      </c>
      <c r="BS548" s="1452" t="str">
        <f t="shared" si="306"/>
        <v/>
      </c>
      <c r="BT548" s="1452" t="str">
        <f t="shared" si="307"/>
        <v/>
      </c>
      <c r="BU548" s="1452" t="str">
        <f t="shared" si="308"/>
        <v/>
      </c>
      <c r="BV548" s="1452" t="str">
        <f t="shared" si="309"/>
        <v/>
      </c>
      <c r="BW548" s="1558">
        <f t="shared" ca="1" si="316"/>
        <v>0</v>
      </c>
    </row>
    <row r="549" spans="1:75" s="9" customFormat="1" ht="12.5">
      <c r="A549" s="1483" t="str">
        <f t="shared" si="310"/>
        <v>Public Health Wales Trust</v>
      </c>
      <c r="B549" s="1583"/>
      <c r="C549" s="1583"/>
      <c r="D549" s="1583"/>
      <c r="E549" s="1510"/>
      <c r="F549" s="1436"/>
      <c r="G549" s="1547">
        <f t="shared" si="311"/>
        <v>0</v>
      </c>
      <c r="H549" s="1484"/>
      <c r="I549" s="1547">
        <f t="shared" si="312"/>
        <v>0</v>
      </c>
      <c r="J549" s="1485"/>
      <c r="K549" s="1485"/>
      <c r="L549" s="1436"/>
      <c r="M549" s="1439"/>
      <c r="N549" s="1439"/>
      <c r="O549" s="1485"/>
      <c r="P549" s="1486"/>
      <c r="Q549" s="1486"/>
      <c r="R549" s="1487"/>
      <c r="S549" s="1444"/>
      <c r="T549" s="1444"/>
      <c r="U549" s="1444"/>
      <c r="V549" s="1488"/>
      <c r="W549" s="1488"/>
      <c r="X549" s="1488"/>
      <c r="Y549" s="1488"/>
      <c r="Z549" s="1488"/>
      <c r="AA549" s="1488"/>
      <c r="AB549" s="1488"/>
      <c r="AC549" s="1488"/>
      <c r="AD549" s="1488"/>
      <c r="AE549" s="1488"/>
      <c r="AF549" s="1488"/>
      <c r="AG549" s="1488"/>
      <c r="AH549" s="1451">
        <f t="shared" si="284"/>
        <v>0</v>
      </c>
      <c r="AI549" s="1488"/>
      <c r="AJ549" s="1488"/>
      <c r="AK549" s="1488"/>
      <c r="AL549" s="1488"/>
      <c r="AM549" s="1488"/>
      <c r="AN549" s="1488"/>
      <c r="AO549" s="1488"/>
      <c r="AP549" s="1488"/>
      <c r="AQ549" s="1488"/>
      <c r="AR549" s="1488"/>
      <c r="AS549" s="1488"/>
      <c r="AT549" s="1542"/>
      <c r="AU549" s="1599">
        <f t="shared" si="285"/>
        <v>0</v>
      </c>
      <c r="AV549" s="1544">
        <f t="shared" si="313"/>
        <v>0</v>
      </c>
      <c r="AW549" s="1452">
        <f t="shared" si="286"/>
        <v>0</v>
      </c>
      <c r="AX549" s="1452">
        <f t="shared" si="287"/>
        <v>0</v>
      </c>
      <c r="AY549" s="1452">
        <f t="shared" si="288"/>
        <v>0</v>
      </c>
      <c r="AZ549" s="1452">
        <f t="shared" si="289"/>
        <v>0</v>
      </c>
      <c r="BA549" s="1452">
        <f t="shared" si="290"/>
        <v>0</v>
      </c>
      <c r="BB549" s="1452">
        <f t="shared" si="291"/>
        <v>0</v>
      </c>
      <c r="BC549" s="1452">
        <f t="shared" si="292"/>
        <v>0</v>
      </c>
      <c r="BD549" s="1452">
        <f t="shared" si="293"/>
        <v>0</v>
      </c>
      <c r="BE549" s="1452">
        <f t="shared" si="294"/>
        <v>0</v>
      </c>
      <c r="BF549" s="1452">
        <f t="shared" si="295"/>
        <v>0</v>
      </c>
      <c r="BG549" s="1452">
        <f t="shared" si="296"/>
        <v>0</v>
      </c>
      <c r="BH549" s="1452">
        <f t="shared" si="297"/>
        <v>0</v>
      </c>
      <c r="BI549" s="1452">
        <f t="shared" si="314"/>
        <v>0</v>
      </c>
      <c r="BJ549" s="1452" t="str">
        <f t="shared" si="298"/>
        <v/>
      </c>
      <c r="BK549" s="1452" t="str">
        <f t="shared" si="299"/>
        <v/>
      </c>
      <c r="BL549" s="1452" t="str">
        <f t="shared" si="300"/>
        <v/>
      </c>
      <c r="BM549" s="1452" t="str">
        <f t="shared" si="301"/>
        <v/>
      </c>
      <c r="BN549" s="1452" t="str">
        <f t="shared" ca="1" si="302"/>
        <v/>
      </c>
      <c r="BO549" s="1452" t="str">
        <f t="shared" si="315"/>
        <v/>
      </c>
      <c r="BP549" s="1452" t="str">
        <f t="shared" si="303"/>
        <v/>
      </c>
      <c r="BQ549" s="1452" t="str">
        <f t="shared" si="304"/>
        <v/>
      </c>
      <c r="BR549" s="1452" t="str">
        <f t="shared" si="305"/>
        <v/>
      </c>
      <c r="BS549" s="1452" t="str">
        <f t="shared" si="306"/>
        <v/>
      </c>
      <c r="BT549" s="1452" t="str">
        <f t="shared" si="307"/>
        <v/>
      </c>
      <c r="BU549" s="1452" t="str">
        <f t="shared" si="308"/>
        <v/>
      </c>
      <c r="BV549" s="1452" t="str">
        <f t="shared" si="309"/>
        <v/>
      </c>
      <c r="BW549" s="1558">
        <f t="shared" ca="1" si="316"/>
        <v>0</v>
      </c>
    </row>
    <row r="550" spans="1:75" s="9" customFormat="1" ht="12.5">
      <c r="A550" s="1483" t="str">
        <f t="shared" si="310"/>
        <v>Public Health Wales Trust</v>
      </c>
      <c r="B550" s="1583"/>
      <c r="C550" s="1583"/>
      <c r="D550" s="1583"/>
      <c r="E550" s="1510"/>
      <c r="F550" s="1436"/>
      <c r="G550" s="1547">
        <f t="shared" si="311"/>
        <v>0</v>
      </c>
      <c r="H550" s="1484"/>
      <c r="I550" s="1547">
        <f t="shared" si="312"/>
        <v>0</v>
      </c>
      <c r="J550" s="1485"/>
      <c r="K550" s="1485"/>
      <c r="L550" s="1436"/>
      <c r="M550" s="1439"/>
      <c r="N550" s="1439"/>
      <c r="O550" s="1485"/>
      <c r="P550" s="1486"/>
      <c r="Q550" s="1486"/>
      <c r="R550" s="1487"/>
      <c r="S550" s="1444"/>
      <c r="T550" s="1444"/>
      <c r="U550" s="1444"/>
      <c r="V550" s="1488"/>
      <c r="W550" s="1488"/>
      <c r="X550" s="1488"/>
      <c r="Y550" s="1488"/>
      <c r="Z550" s="1488"/>
      <c r="AA550" s="1488"/>
      <c r="AB550" s="1488"/>
      <c r="AC550" s="1488"/>
      <c r="AD550" s="1488"/>
      <c r="AE550" s="1488"/>
      <c r="AF550" s="1488"/>
      <c r="AG550" s="1488"/>
      <c r="AH550" s="1451">
        <f t="shared" si="284"/>
        <v>0</v>
      </c>
      <c r="AI550" s="1488"/>
      <c r="AJ550" s="1488"/>
      <c r="AK550" s="1488"/>
      <c r="AL550" s="1488"/>
      <c r="AM550" s="1488"/>
      <c r="AN550" s="1488"/>
      <c r="AO550" s="1488"/>
      <c r="AP550" s="1488"/>
      <c r="AQ550" s="1488"/>
      <c r="AR550" s="1488"/>
      <c r="AS550" s="1488"/>
      <c r="AT550" s="1542"/>
      <c r="AU550" s="1599">
        <f t="shared" si="285"/>
        <v>0</v>
      </c>
      <c r="AV550" s="1544">
        <f t="shared" si="313"/>
        <v>0</v>
      </c>
      <c r="AW550" s="1452">
        <f t="shared" si="286"/>
        <v>0</v>
      </c>
      <c r="AX550" s="1452">
        <f t="shared" si="287"/>
        <v>0</v>
      </c>
      <c r="AY550" s="1452">
        <f t="shared" si="288"/>
        <v>0</v>
      </c>
      <c r="AZ550" s="1452">
        <f t="shared" si="289"/>
        <v>0</v>
      </c>
      <c r="BA550" s="1452">
        <f t="shared" si="290"/>
        <v>0</v>
      </c>
      <c r="BB550" s="1452">
        <f t="shared" si="291"/>
        <v>0</v>
      </c>
      <c r="BC550" s="1452">
        <f t="shared" si="292"/>
        <v>0</v>
      </c>
      <c r="BD550" s="1452">
        <f t="shared" si="293"/>
        <v>0</v>
      </c>
      <c r="BE550" s="1452">
        <f t="shared" si="294"/>
        <v>0</v>
      </c>
      <c r="BF550" s="1452">
        <f t="shared" si="295"/>
        <v>0</v>
      </c>
      <c r="BG550" s="1452">
        <f t="shared" si="296"/>
        <v>0</v>
      </c>
      <c r="BH550" s="1452">
        <f t="shared" si="297"/>
        <v>0</v>
      </c>
      <c r="BI550" s="1452">
        <f t="shared" si="314"/>
        <v>0</v>
      </c>
      <c r="BJ550" s="1452" t="str">
        <f t="shared" si="298"/>
        <v/>
      </c>
      <c r="BK550" s="1452" t="str">
        <f t="shared" si="299"/>
        <v/>
      </c>
      <c r="BL550" s="1452" t="str">
        <f t="shared" si="300"/>
        <v/>
      </c>
      <c r="BM550" s="1452" t="str">
        <f t="shared" si="301"/>
        <v/>
      </c>
      <c r="BN550" s="1452" t="str">
        <f t="shared" ca="1" si="302"/>
        <v/>
      </c>
      <c r="BO550" s="1452" t="str">
        <f t="shared" si="315"/>
        <v/>
      </c>
      <c r="BP550" s="1452" t="str">
        <f t="shared" si="303"/>
        <v/>
      </c>
      <c r="BQ550" s="1452" t="str">
        <f t="shared" si="304"/>
        <v/>
      </c>
      <c r="BR550" s="1452" t="str">
        <f t="shared" si="305"/>
        <v/>
      </c>
      <c r="BS550" s="1452" t="str">
        <f t="shared" si="306"/>
        <v/>
      </c>
      <c r="BT550" s="1452" t="str">
        <f t="shared" si="307"/>
        <v/>
      </c>
      <c r="BU550" s="1452" t="str">
        <f t="shared" si="308"/>
        <v/>
      </c>
      <c r="BV550" s="1452" t="str">
        <f t="shared" si="309"/>
        <v/>
      </c>
      <c r="BW550" s="1558">
        <f t="shared" ca="1" si="316"/>
        <v>0</v>
      </c>
    </row>
    <row r="551" spans="1:75" s="9" customFormat="1" ht="12.5">
      <c r="A551" s="1483" t="str">
        <f t="shared" si="310"/>
        <v>Public Health Wales Trust</v>
      </c>
      <c r="B551" s="1583"/>
      <c r="C551" s="1583"/>
      <c r="D551" s="1583"/>
      <c r="E551" s="1510"/>
      <c r="F551" s="1436"/>
      <c r="G551" s="1547">
        <f t="shared" si="311"/>
        <v>0</v>
      </c>
      <c r="H551" s="1484"/>
      <c r="I551" s="1547">
        <f t="shared" si="312"/>
        <v>0</v>
      </c>
      <c r="J551" s="1485"/>
      <c r="K551" s="1485"/>
      <c r="L551" s="1436"/>
      <c r="M551" s="1439"/>
      <c r="N551" s="1439"/>
      <c r="O551" s="1485"/>
      <c r="P551" s="1486"/>
      <c r="Q551" s="1486"/>
      <c r="R551" s="1487"/>
      <c r="S551" s="1444"/>
      <c r="T551" s="1444"/>
      <c r="U551" s="1444"/>
      <c r="V551" s="1488"/>
      <c r="W551" s="1488"/>
      <c r="X551" s="1488"/>
      <c r="Y551" s="1488"/>
      <c r="Z551" s="1488"/>
      <c r="AA551" s="1488"/>
      <c r="AB551" s="1488"/>
      <c r="AC551" s="1488"/>
      <c r="AD551" s="1488"/>
      <c r="AE551" s="1488"/>
      <c r="AF551" s="1488"/>
      <c r="AG551" s="1488"/>
      <c r="AH551" s="1451">
        <f t="shared" si="284"/>
        <v>0</v>
      </c>
      <c r="AI551" s="1488"/>
      <c r="AJ551" s="1488"/>
      <c r="AK551" s="1488"/>
      <c r="AL551" s="1488"/>
      <c r="AM551" s="1488"/>
      <c r="AN551" s="1488"/>
      <c r="AO551" s="1488"/>
      <c r="AP551" s="1488"/>
      <c r="AQ551" s="1488"/>
      <c r="AR551" s="1488"/>
      <c r="AS551" s="1488"/>
      <c r="AT551" s="1542"/>
      <c r="AU551" s="1599">
        <f t="shared" si="285"/>
        <v>0</v>
      </c>
      <c r="AV551" s="1544">
        <f t="shared" si="313"/>
        <v>0</v>
      </c>
      <c r="AW551" s="1452">
        <f t="shared" si="286"/>
        <v>0</v>
      </c>
      <c r="AX551" s="1452">
        <f t="shared" si="287"/>
        <v>0</v>
      </c>
      <c r="AY551" s="1452">
        <f t="shared" si="288"/>
        <v>0</v>
      </c>
      <c r="AZ551" s="1452">
        <f t="shared" si="289"/>
        <v>0</v>
      </c>
      <c r="BA551" s="1452">
        <f t="shared" si="290"/>
        <v>0</v>
      </c>
      <c r="BB551" s="1452">
        <f t="shared" si="291"/>
        <v>0</v>
      </c>
      <c r="BC551" s="1452">
        <f t="shared" si="292"/>
        <v>0</v>
      </c>
      <c r="BD551" s="1452">
        <f t="shared" si="293"/>
        <v>0</v>
      </c>
      <c r="BE551" s="1452">
        <f t="shared" si="294"/>
        <v>0</v>
      </c>
      <c r="BF551" s="1452">
        <f t="shared" si="295"/>
        <v>0</v>
      </c>
      <c r="BG551" s="1452">
        <f t="shared" si="296"/>
        <v>0</v>
      </c>
      <c r="BH551" s="1452">
        <f t="shared" si="297"/>
        <v>0</v>
      </c>
      <c r="BI551" s="1452">
        <f t="shared" si="314"/>
        <v>0</v>
      </c>
      <c r="BJ551" s="1452" t="str">
        <f t="shared" si="298"/>
        <v/>
      </c>
      <c r="BK551" s="1452" t="str">
        <f t="shared" si="299"/>
        <v/>
      </c>
      <c r="BL551" s="1452" t="str">
        <f t="shared" si="300"/>
        <v/>
      </c>
      <c r="BM551" s="1452" t="str">
        <f t="shared" si="301"/>
        <v/>
      </c>
      <c r="BN551" s="1452" t="str">
        <f t="shared" ca="1" si="302"/>
        <v/>
      </c>
      <c r="BO551" s="1452" t="str">
        <f t="shared" si="315"/>
        <v/>
      </c>
      <c r="BP551" s="1452" t="str">
        <f t="shared" si="303"/>
        <v/>
      </c>
      <c r="BQ551" s="1452" t="str">
        <f t="shared" si="304"/>
        <v/>
      </c>
      <c r="BR551" s="1452" t="str">
        <f t="shared" si="305"/>
        <v/>
      </c>
      <c r="BS551" s="1452" t="str">
        <f t="shared" si="306"/>
        <v/>
      </c>
      <c r="BT551" s="1452" t="str">
        <f t="shared" si="307"/>
        <v/>
      </c>
      <c r="BU551" s="1452" t="str">
        <f t="shared" si="308"/>
        <v/>
      </c>
      <c r="BV551" s="1452" t="str">
        <f t="shared" si="309"/>
        <v/>
      </c>
      <c r="BW551" s="1558">
        <f t="shared" ca="1" si="316"/>
        <v>0</v>
      </c>
    </row>
    <row r="552" spans="1:75" s="9" customFormat="1" ht="12.5">
      <c r="A552" s="1483" t="str">
        <f t="shared" si="310"/>
        <v>Public Health Wales Trust</v>
      </c>
      <c r="B552" s="1583"/>
      <c r="C552" s="1583"/>
      <c r="D552" s="1583"/>
      <c r="E552" s="1510"/>
      <c r="F552" s="1436"/>
      <c r="G552" s="1547">
        <f t="shared" si="311"/>
        <v>0</v>
      </c>
      <c r="H552" s="1484"/>
      <c r="I552" s="1547">
        <f t="shared" si="312"/>
        <v>0</v>
      </c>
      <c r="J552" s="1485"/>
      <c r="K552" s="1485"/>
      <c r="L552" s="1436"/>
      <c r="M552" s="1439"/>
      <c r="N552" s="1439"/>
      <c r="O552" s="1485"/>
      <c r="P552" s="1486"/>
      <c r="Q552" s="1486"/>
      <c r="R552" s="1487"/>
      <c r="S552" s="1444"/>
      <c r="T552" s="1444"/>
      <c r="U552" s="1444"/>
      <c r="V552" s="1488"/>
      <c r="W552" s="1488"/>
      <c r="X552" s="1488"/>
      <c r="Y552" s="1488"/>
      <c r="Z552" s="1488"/>
      <c r="AA552" s="1488"/>
      <c r="AB552" s="1488"/>
      <c r="AC552" s="1488"/>
      <c r="AD552" s="1488"/>
      <c r="AE552" s="1488"/>
      <c r="AF552" s="1488"/>
      <c r="AG552" s="1488"/>
      <c r="AH552" s="1451">
        <f t="shared" si="284"/>
        <v>0</v>
      </c>
      <c r="AI552" s="1488"/>
      <c r="AJ552" s="1488"/>
      <c r="AK552" s="1488"/>
      <c r="AL552" s="1488"/>
      <c r="AM552" s="1488"/>
      <c r="AN552" s="1488"/>
      <c r="AO552" s="1488"/>
      <c r="AP552" s="1488"/>
      <c r="AQ552" s="1488"/>
      <c r="AR552" s="1488"/>
      <c r="AS552" s="1488"/>
      <c r="AT552" s="1542"/>
      <c r="AU552" s="1599">
        <f t="shared" si="285"/>
        <v>0</v>
      </c>
      <c r="AV552" s="1544">
        <f t="shared" si="313"/>
        <v>0</v>
      </c>
      <c r="AW552" s="1452">
        <f t="shared" si="286"/>
        <v>0</v>
      </c>
      <c r="AX552" s="1452">
        <f t="shared" si="287"/>
        <v>0</v>
      </c>
      <c r="AY552" s="1452">
        <f t="shared" si="288"/>
        <v>0</v>
      </c>
      <c r="AZ552" s="1452">
        <f t="shared" si="289"/>
        <v>0</v>
      </c>
      <c r="BA552" s="1452">
        <f t="shared" si="290"/>
        <v>0</v>
      </c>
      <c r="BB552" s="1452">
        <f t="shared" si="291"/>
        <v>0</v>
      </c>
      <c r="BC552" s="1452">
        <f t="shared" si="292"/>
        <v>0</v>
      </c>
      <c r="BD552" s="1452">
        <f t="shared" si="293"/>
        <v>0</v>
      </c>
      <c r="BE552" s="1452">
        <f t="shared" si="294"/>
        <v>0</v>
      </c>
      <c r="BF552" s="1452">
        <f t="shared" si="295"/>
        <v>0</v>
      </c>
      <c r="BG552" s="1452">
        <f t="shared" si="296"/>
        <v>0</v>
      </c>
      <c r="BH552" s="1452">
        <f t="shared" si="297"/>
        <v>0</v>
      </c>
      <c r="BI552" s="1452">
        <f t="shared" si="314"/>
        <v>0</v>
      </c>
      <c r="BJ552" s="1452" t="str">
        <f t="shared" si="298"/>
        <v/>
      </c>
      <c r="BK552" s="1452" t="str">
        <f t="shared" si="299"/>
        <v/>
      </c>
      <c r="BL552" s="1452" t="str">
        <f t="shared" si="300"/>
        <v/>
      </c>
      <c r="BM552" s="1452" t="str">
        <f t="shared" si="301"/>
        <v/>
      </c>
      <c r="BN552" s="1452" t="str">
        <f t="shared" ca="1" si="302"/>
        <v/>
      </c>
      <c r="BO552" s="1452" t="str">
        <f t="shared" si="315"/>
        <v/>
      </c>
      <c r="BP552" s="1452" t="str">
        <f t="shared" si="303"/>
        <v/>
      </c>
      <c r="BQ552" s="1452" t="str">
        <f t="shared" si="304"/>
        <v/>
      </c>
      <c r="BR552" s="1452" t="str">
        <f t="shared" si="305"/>
        <v/>
      </c>
      <c r="BS552" s="1452" t="str">
        <f t="shared" si="306"/>
        <v/>
      </c>
      <c r="BT552" s="1452" t="str">
        <f t="shared" si="307"/>
        <v/>
      </c>
      <c r="BU552" s="1452" t="str">
        <f t="shared" si="308"/>
        <v/>
      </c>
      <c r="BV552" s="1452" t="str">
        <f t="shared" si="309"/>
        <v/>
      </c>
      <c r="BW552" s="1558">
        <f t="shared" ca="1" si="316"/>
        <v>0</v>
      </c>
    </row>
    <row r="553" spans="1:75" s="9" customFormat="1" ht="12.5">
      <c r="A553" s="1483" t="str">
        <f t="shared" si="310"/>
        <v>Public Health Wales Trust</v>
      </c>
      <c r="B553" s="1583"/>
      <c r="C553" s="1583"/>
      <c r="D553" s="1583"/>
      <c r="E553" s="1510"/>
      <c r="F553" s="1436"/>
      <c r="G553" s="1547">
        <f t="shared" si="311"/>
        <v>0</v>
      </c>
      <c r="H553" s="1484"/>
      <c r="I553" s="1547">
        <f t="shared" si="312"/>
        <v>0</v>
      </c>
      <c r="J553" s="1485"/>
      <c r="K553" s="1485"/>
      <c r="L553" s="1436"/>
      <c r="M553" s="1439"/>
      <c r="N553" s="1439"/>
      <c r="O553" s="1485"/>
      <c r="P553" s="1486"/>
      <c r="Q553" s="1486"/>
      <c r="R553" s="1487"/>
      <c r="S553" s="1444"/>
      <c r="T553" s="1444"/>
      <c r="U553" s="1444"/>
      <c r="V553" s="1488"/>
      <c r="W553" s="1488"/>
      <c r="X553" s="1488"/>
      <c r="Y553" s="1488"/>
      <c r="Z553" s="1488"/>
      <c r="AA553" s="1488"/>
      <c r="AB553" s="1488"/>
      <c r="AC553" s="1488"/>
      <c r="AD553" s="1488"/>
      <c r="AE553" s="1488"/>
      <c r="AF553" s="1488"/>
      <c r="AG553" s="1488"/>
      <c r="AH553" s="1451">
        <f t="shared" si="284"/>
        <v>0</v>
      </c>
      <c r="AI553" s="1488"/>
      <c r="AJ553" s="1488"/>
      <c r="AK553" s="1488"/>
      <c r="AL553" s="1488"/>
      <c r="AM553" s="1488"/>
      <c r="AN553" s="1488"/>
      <c r="AO553" s="1488"/>
      <c r="AP553" s="1488"/>
      <c r="AQ553" s="1488"/>
      <c r="AR553" s="1488"/>
      <c r="AS553" s="1488"/>
      <c r="AT553" s="1542"/>
      <c r="AU553" s="1599">
        <f t="shared" si="285"/>
        <v>0</v>
      </c>
      <c r="AV553" s="1544">
        <f t="shared" si="313"/>
        <v>0</v>
      </c>
      <c r="AW553" s="1452">
        <f t="shared" si="286"/>
        <v>0</v>
      </c>
      <c r="AX553" s="1452">
        <f t="shared" si="287"/>
        <v>0</v>
      </c>
      <c r="AY553" s="1452">
        <f t="shared" si="288"/>
        <v>0</v>
      </c>
      <c r="AZ553" s="1452">
        <f t="shared" si="289"/>
        <v>0</v>
      </c>
      <c r="BA553" s="1452">
        <f t="shared" si="290"/>
        <v>0</v>
      </c>
      <c r="BB553" s="1452">
        <f t="shared" si="291"/>
        <v>0</v>
      </c>
      <c r="BC553" s="1452">
        <f t="shared" si="292"/>
        <v>0</v>
      </c>
      <c r="BD553" s="1452">
        <f t="shared" si="293"/>
        <v>0</v>
      </c>
      <c r="BE553" s="1452">
        <f t="shared" si="294"/>
        <v>0</v>
      </c>
      <c r="BF553" s="1452">
        <f t="shared" si="295"/>
        <v>0</v>
      </c>
      <c r="BG553" s="1452">
        <f t="shared" si="296"/>
        <v>0</v>
      </c>
      <c r="BH553" s="1452">
        <f t="shared" si="297"/>
        <v>0</v>
      </c>
      <c r="BI553" s="1452">
        <f t="shared" si="314"/>
        <v>0</v>
      </c>
      <c r="BJ553" s="1452" t="str">
        <f t="shared" si="298"/>
        <v/>
      </c>
      <c r="BK553" s="1452" t="str">
        <f t="shared" si="299"/>
        <v/>
      </c>
      <c r="BL553" s="1452" t="str">
        <f t="shared" si="300"/>
        <v/>
      </c>
      <c r="BM553" s="1452" t="str">
        <f t="shared" si="301"/>
        <v/>
      </c>
      <c r="BN553" s="1452" t="str">
        <f t="shared" ca="1" si="302"/>
        <v/>
      </c>
      <c r="BO553" s="1452" t="str">
        <f t="shared" si="315"/>
        <v/>
      </c>
      <c r="BP553" s="1452" t="str">
        <f t="shared" si="303"/>
        <v/>
      </c>
      <c r="BQ553" s="1452" t="str">
        <f t="shared" si="304"/>
        <v/>
      </c>
      <c r="BR553" s="1452" t="str">
        <f t="shared" si="305"/>
        <v/>
      </c>
      <c r="BS553" s="1452" t="str">
        <f t="shared" si="306"/>
        <v/>
      </c>
      <c r="BT553" s="1452" t="str">
        <f t="shared" si="307"/>
        <v/>
      </c>
      <c r="BU553" s="1452" t="str">
        <f t="shared" si="308"/>
        <v/>
      </c>
      <c r="BV553" s="1452" t="str">
        <f t="shared" si="309"/>
        <v/>
      </c>
      <c r="BW553" s="1558">
        <f t="shared" ca="1" si="316"/>
        <v>0</v>
      </c>
    </row>
    <row r="554" spans="1:75" s="9" customFormat="1" ht="12.5">
      <c r="A554" s="1483" t="str">
        <f t="shared" si="310"/>
        <v>Public Health Wales Trust</v>
      </c>
      <c r="B554" s="1583"/>
      <c r="C554" s="1583"/>
      <c r="D554" s="1583"/>
      <c r="E554" s="1510"/>
      <c r="F554" s="1436"/>
      <c r="G554" s="1547">
        <f t="shared" si="311"/>
        <v>0</v>
      </c>
      <c r="H554" s="1484"/>
      <c r="I554" s="1547">
        <f t="shared" si="312"/>
        <v>0</v>
      </c>
      <c r="J554" s="1485"/>
      <c r="K554" s="1485"/>
      <c r="L554" s="1436"/>
      <c r="M554" s="1439"/>
      <c r="N554" s="1439"/>
      <c r="O554" s="1485"/>
      <c r="P554" s="1486"/>
      <c r="Q554" s="1486"/>
      <c r="R554" s="1487"/>
      <c r="S554" s="1444"/>
      <c r="T554" s="1444"/>
      <c r="U554" s="1444"/>
      <c r="V554" s="1488"/>
      <c r="W554" s="1488"/>
      <c r="X554" s="1488"/>
      <c r="Y554" s="1488"/>
      <c r="Z554" s="1488"/>
      <c r="AA554" s="1488"/>
      <c r="AB554" s="1488"/>
      <c r="AC554" s="1488"/>
      <c r="AD554" s="1488"/>
      <c r="AE554" s="1488"/>
      <c r="AF554" s="1488"/>
      <c r="AG554" s="1488"/>
      <c r="AH554" s="1451">
        <f t="shared" si="284"/>
        <v>0</v>
      </c>
      <c r="AI554" s="1488"/>
      <c r="AJ554" s="1488"/>
      <c r="AK554" s="1488"/>
      <c r="AL554" s="1488"/>
      <c r="AM554" s="1488"/>
      <c r="AN554" s="1488"/>
      <c r="AO554" s="1488"/>
      <c r="AP554" s="1488"/>
      <c r="AQ554" s="1488"/>
      <c r="AR554" s="1488"/>
      <c r="AS554" s="1488"/>
      <c r="AT554" s="1542"/>
      <c r="AU554" s="1599">
        <f t="shared" si="285"/>
        <v>0</v>
      </c>
      <c r="AV554" s="1544">
        <f t="shared" si="313"/>
        <v>0</v>
      </c>
      <c r="AW554" s="1452">
        <f t="shared" si="286"/>
        <v>0</v>
      </c>
      <c r="AX554" s="1452">
        <f t="shared" si="287"/>
        <v>0</v>
      </c>
      <c r="AY554" s="1452">
        <f t="shared" si="288"/>
        <v>0</v>
      </c>
      <c r="AZ554" s="1452">
        <f t="shared" si="289"/>
        <v>0</v>
      </c>
      <c r="BA554" s="1452">
        <f t="shared" si="290"/>
        <v>0</v>
      </c>
      <c r="BB554" s="1452">
        <f t="shared" si="291"/>
        <v>0</v>
      </c>
      <c r="BC554" s="1452">
        <f t="shared" si="292"/>
        <v>0</v>
      </c>
      <c r="BD554" s="1452">
        <f t="shared" si="293"/>
        <v>0</v>
      </c>
      <c r="BE554" s="1452">
        <f t="shared" si="294"/>
        <v>0</v>
      </c>
      <c r="BF554" s="1452">
        <f t="shared" si="295"/>
        <v>0</v>
      </c>
      <c r="BG554" s="1452">
        <f t="shared" si="296"/>
        <v>0</v>
      </c>
      <c r="BH554" s="1452">
        <f t="shared" si="297"/>
        <v>0</v>
      </c>
      <c r="BI554" s="1452">
        <f t="shared" si="314"/>
        <v>0</v>
      </c>
      <c r="BJ554" s="1452" t="str">
        <f t="shared" si="298"/>
        <v/>
      </c>
      <c r="BK554" s="1452" t="str">
        <f t="shared" si="299"/>
        <v/>
      </c>
      <c r="BL554" s="1452" t="str">
        <f t="shared" si="300"/>
        <v/>
      </c>
      <c r="BM554" s="1452" t="str">
        <f t="shared" si="301"/>
        <v/>
      </c>
      <c r="BN554" s="1452" t="str">
        <f t="shared" ca="1" si="302"/>
        <v/>
      </c>
      <c r="BO554" s="1452" t="str">
        <f t="shared" si="315"/>
        <v/>
      </c>
      <c r="BP554" s="1452" t="str">
        <f t="shared" si="303"/>
        <v/>
      </c>
      <c r="BQ554" s="1452" t="str">
        <f t="shared" si="304"/>
        <v/>
      </c>
      <c r="BR554" s="1452" t="str">
        <f t="shared" si="305"/>
        <v/>
      </c>
      <c r="BS554" s="1452" t="str">
        <f t="shared" si="306"/>
        <v/>
      </c>
      <c r="BT554" s="1452" t="str">
        <f t="shared" si="307"/>
        <v/>
      </c>
      <c r="BU554" s="1452" t="str">
        <f t="shared" si="308"/>
        <v/>
      </c>
      <c r="BV554" s="1452" t="str">
        <f t="shared" si="309"/>
        <v/>
      </c>
      <c r="BW554" s="1558">
        <f t="shared" ca="1" si="316"/>
        <v>0</v>
      </c>
    </row>
    <row r="555" spans="1:75" s="9" customFormat="1" ht="12.5">
      <c r="A555" s="1483" t="str">
        <f t="shared" si="310"/>
        <v>Public Health Wales Trust</v>
      </c>
      <c r="B555" s="1583"/>
      <c r="C555" s="1583"/>
      <c r="D555" s="1583"/>
      <c r="E555" s="1510"/>
      <c r="F555" s="1436"/>
      <c r="G555" s="1547">
        <f t="shared" si="311"/>
        <v>0</v>
      </c>
      <c r="H555" s="1484"/>
      <c r="I555" s="1547">
        <f t="shared" si="312"/>
        <v>0</v>
      </c>
      <c r="J555" s="1485"/>
      <c r="K555" s="1485"/>
      <c r="L555" s="1436"/>
      <c r="M555" s="1439"/>
      <c r="N555" s="1439"/>
      <c r="O555" s="1485"/>
      <c r="P555" s="1486"/>
      <c r="Q555" s="1486"/>
      <c r="R555" s="1487"/>
      <c r="S555" s="1444"/>
      <c r="T555" s="1444"/>
      <c r="U555" s="1444"/>
      <c r="V555" s="1488"/>
      <c r="W555" s="1488"/>
      <c r="X555" s="1488"/>
      <c r="Y555" s="1488"/>
      <c r="Z555" s="1488"/>
      <c r="AA555" s="1488"/>
      <c r="AB555" s="1488"/>
      <c r="AC555" s="1488"/>
      <c r="AD555" s="1488"/>
      <c r="AE555" s="1488"/>
      <c r="AF555" s="1488"/>
      <c r="AG555" s="1488"/>
      <c r="AH555" s="1451">
        <f t="shared" ref="AH555:AH618" si="317">SUM(V555:AG555)</f>
        <v>0</v>
      </c>
      <c r="AI555" s="1488"/>
      <c r="AJ555" s="1488"/>
      <c r="AK555" s="1488"/>
      <c r="AL555" s="1488"/>
      <c r="AM555" s="1488"/>
      <c r="AN555" s="1488"/>
      <c r="AO555" s="1488"/>
      <c r="AP555" s="1488"/>
      <c r="AQ555" s="1488"/>
      <c r="AR555" s="1488"/>
      <c r="AS555" s="1488"/>
      <c r="AT555" s="1542"/>
      <c r="AU555" s="1599">
        <f t="shared" ref="AU555:AU618" si="318">SUMPRODUCT($AC$40:$AN$40,AI555:AT555)</f>
        <v>0</v>
      </c>
      <c r="AV555" s="1544">
        <f t="shared" si="313"/>
        <v>0</v>
      </c>
      <c r="AW555" s="1452">
        <f t="shared" ref="AW555:AW618" si="319">AI555-V555</f>
        <v>0</v>
      </c>
      <c r="AX555" s="1452">
        <f t="shared" ref="AX555:AX618" si="320">AJ555-W555</f>
        <v>0</v>
      </c>
      <c r="AY555" s="1452">
        <f t="shared" ref="AY555:AY618" si="321">AK555-X555</f>
        <v>0</v>
      </c>
      <c r="AZ555" s="1452">
        <f t="shared" ref="AZ555:AZ618" si="322">AL555-Y555</f>
        <v>0</v>
      </c>
      <c r="BA555" s="1452">
        <f t="shared" ref="BA555:BA618" si="323">AM555-Z555</f>
        <v>0</v>
      </c>
      <c r="BB555" s="1452">
        <f t="shared" ref="BB555:BB618" si="324">AN555-AA555</f>
        <v>0</v>
      </c>
      <c r="BC555" s="1452">
        <f t="shared" ref="BC555:BC618" si="325">AO555-AB555</f>
        <v>0</v>
      </c>
      <c r="BD555" s="1452">
        <f t="shared" ref="BD555:BD618" si="326">AP555-AC555</f>
        <v>0</v>
      </c>
      <c r="BE555" s="1452">
        <f t="shared" ref="BE555:BE618" si="327">AQ555-AD555</f>
        <v>0</v>
      </c>
      <c r="BF555" s="1452">
        <f t="shared" ref="BF555:BF618" si="328">AR555-AE555</f>
        <v>0</v>
      </c>
      <c r="BG555" s="1452">
        <f t="shared" ref="BG555:BG618" si="329">AS555-AF555</f>
        <v>0</v>
      </c>
      <c r="BH555" s="1452">
        <f t="shared" ref="BH555:BH618" si="330">AT555-AG555</f>
        <v>0</v>
      </c>
      <c r="BI555" s="1452">
        <f t="shared" si="314"/>
        <v>0</v>
      </c>
      <c r="BJ555" s="1452" t="str">
        <f t="shared" ref="BJ555:BJ618" si="331">IF(OR(G555&gt;0,I555&gt;0),IF(AND(B555&lt;&gt;"",C555&lt;&gt;"",D555&lt;&gt;"",E555&lt;&gt;"",F555&lt;&gt;"",L555&lt;&gt;"",M555&lt;&gt;"",N555&lt;&gt;"",O555&lt;&gt;"",P555&lt;&gt;"",Q555&lt;&gt;"",R555&lt;&gt;""),"","ERROR"),"")</f>
        <v/>
      </c>
      <c r="BK555" s="1452" t="str">
        <f t="shared" ref="BK555:BK618" si="332">IF(COUNTIF($D$43:$D$1496,D555)&gt;1,"ERROR","")</f>
        <v/>
      </c>
      <c r="BL555" s="1452" t="str">
        <f t="shared" ref="BL555:BL618" si="333">IF(AND(OR(R555=$CQ$1,R555=$CQ$3),S555=""),"ERROR","")</f>
        <v/>
      </c>
      <c r="BM555" s="1452" t="str">
        <f t="shared" ref="BM555:BM618" si="334">IF(AND(OR(R555=$CQ$2),S555&lt;&gt;""),"ERROR","")</f>
        <v/>
      </c>
      <c r="BN555" s="1452" t="str">
        <f t="shared" ref="BN555:BN618" ca="1" si="335">IF(AND(O555=$CA$2,N555&lt;TODAY()),"ERROR","")</f>
        <v/>
      </c>
      <c r="BO555" s="1452" t="str">
        <f t="shared" si="315"/>
        <v/>
      </c>
      <c r="BP555" s="1452" t="str">
        <f t="shared" ref="BP555:BP618" si="336">IF(AND(F555=$BZ$1,G555&gt;H555),"ERROR","")</f>
        <v/>
      </c>
      <c r="BQ555" s="1452" t="str">
        <f t="shared" ref="BQ555:BQ618" si="337">IF(AND(F555=$BZ$1,I555&gt;J555),"ERROR","")</f>
        <v/>
      </c>
      <c r="BR555" s="1452" t="str">
        <f t="shared" ref="BR555:BR618" si="338">IF(AND(F555=$BZ$2,SUM(H555,J555)&gt;0),"ERROR","")</f>
        <v/>
      </c>
      <c r="BS555" s="1452" t="str">
        <f t="shared" ref="BS555:BS618" si="339">IF(AND(I555=0,J555&gt;0),"ERROR","")</f>
        <v/>
      </c>
      <c r="BT555" s="1452" t="str">
        <f t="shared" ref="BT555:BT618" si="340">IF(AND(O555=$CA$1,K555&lt;&gt;0),"ERROR","")</f>
        <v/>
      </c>
      <c r="BU555" s="1452" t="str">
        <f t="shared" ref="BU555:BU618" si="341">IF(AND(O555=$CA$2,I555-AU555-K555&lt;0),"ERROR","")</f>
        <v/>
      </c>
      <c r="BV555" s="1452" t="str">
        <f t="shared" ref="BV555:BV618" si="342">IF(S555="","",VLOOKUP(S555,$CS$1:$CT$14,2,0))</f>
        <v/>
      </c>
      <c r="BW555" s="1558">
        <f t="shared" ca="1" si="316"/>
        <v>0</v>
      </c>
    </row>
    <row r="556" spans="1:75" s="9" customFormat="1" ht="12.5">
      <c r="A556" s="1483" t="str">
        <f t="shared" ref="A556:A619" si="343">$A$1</f>
        <v>Public Health Wales Trust</v>
      </c>
      <c r="B556" s="1583"/>
      <c r="C556" s="1583"/>
      <c r="D556" s="1583"/>
      <c r="E556" s="1510"/>
      <c r="F556" s="1436"/>
      <c r="G556" s="1547">
        <f t="shared" ref="G556:G619" si="344">AH556</f>
        <v>0</v>
      </c>
      <c r="H556" s="1484"/>
      <c r="I556" s="1547">
        <f t="shared" ref="I556:I619" si="345">AV556</f>
        <v>0</v>
      </c>
      <c r="J556" s="1485"/>
      <c r="K556" s="1485"/>
      <c r="L556" s="1436"/>
      <c r="M556" s="1439"/>
      <c r="N556" s="1439"/>
      <c r="O556" s="1485"/>
      <c r="P556" s="1486"/>
      <c r="Q556" s="1486"/>
      <c r="R556" s="1487"/>
      <c r="S556" s="1444"/>
      <c r="T556" s="1444"/>
      <c r="U556" s="1444"/>
      <c r="V556" s="1488"/>
      <c r="W556" s="1488"/>
      <c r="X556" s="1488"/>
      <c r="Y556" s="1488"/>
      <c r="Z556" s="1488"/>
      <c r="AA556" s="1488"/>
      <c r="AB556" s="1488"/>
      <c r="AC556" s="1488"/>
      <c r="AD556" s="1488"/>
      <c r="AE556" s="1488"/>
      <c r="AF556" s="1488"/>
      <c r="AG556" s="1488"/>
      <c r="AH556" s="1451">
        <f t="shared" si="317"/>
        <v>0</v>
      </c>
      <c r="AI556" s="1488"/>
      <c r="AJ556" s="1488"/>
      <c r="AK556" s="1488"/>
      <c r="AL556" s="1488"/>
      <c r="AM556" s="1488"/>
      <c r="AN556" s="1488"/>
      <c r="AO556" s="1488"/>
      <c r="AP556" s="1488"/>
      <c r="AQ556" s="1488"/>
      <c r="AR556" s="1488"/>
      <c r="AS556" s="1488"/>
      <c r="AT556" s="1542"/>
      <c r="AU556" s="1599">
        <f t="shared" si="318"/>
        <v>0</v>
      </c>
      <c r="AV556" s="1544">
        <f t="shared" ref="AV556:AV619" si="346">SUM(AI556:AT556)</f>
        <v>0</v>
      </c>
      <c r="AW556" s="1452">
        <f t="shared" si="319"/>
        <v>0</v>
      </c>
      <c r="AX556" s="1452">
        <f t="shared" si="320"/>
        <v>0</v>
      </c>
      <c r="AY556" s="1452">
        <f t="shared" si="321"/>
        <v>0</v>
      </c>
      <c r="AZ556" s="1452">
        <f t="shared" si="322"/>
        <v>0</v>
      </c>
      <c r="BA556" s="1452">
        <f t="shared" si="323"/>
        <v>0</v>
      </c>
      <c r="BB556" s="1452">
        <f t="shared" si="324"/>
        <v>0</v>
      </c>
      <c r="BC556" s="1452">
        <f t="shared" si="325"/>
        <v>0</v>
      </c>
      <c r="BD556" s="1452">
        <f t="shared" si="326"/>
        <v>0</v>
      </c>
      <c r="BE556" s="1452">
        <f t="shared" si="327"/>
        <v>0</v>
      </c>
      <c r="BF556" s="1452">
        <f t="shared" si="328"/>
        <v>0</v>
      </c>
      <c r="BG556" s="1452">
        <f t="shared" si="329"/>
        <v>0</v>
      </c>
      <c r="BH556" s="1452">
        <f t="shared" si="330"/>
        <v>0</v>
      </c>
      <c r="BI556" s="1452">
        <f t="shared" ref="BI556:BI619" si="347">SUM(AW556:BH556)</f>
        <v>0</v>
      </c>
      <c r="BJ556" s="1452" t="str">
        <f t="shared" si="331"/>
        <v/>
      </c>
      <c r="BK556" s="1452" t="str">
        <f t="shared" si="332"/>
        <v/>
      </c>
      <c r="BL556" s="1452" t="str">
        <f t="shared" si="333"/>
        <v/>
      </c>
      <c r="BM556" s="1452" t="str">
        <f t="shared" si="334"/>
        <v/>
      </c>
      <c r="BN556" s="1452" t="str">
        <f t="shared" ca="1" si="335"/>
        <v/>
      </c>
      <c r="BO556" s="1452" t="str">
        <f t="shared" ref="BO556:BO619" si="348">IF(AND(AV556&gt;0,AH556=0),"ERROR","")</f>
        <v/>
      </c>
      <c r="BP556" s="1452" t="str">
        <f t="shared" si="336"/>
        <v/>
      </c>
      <c r="BQ556" s="1452" t="str">
        <f t="shared" si="337"/>
        <v/>
      </c>
      <c r="BR556" s="1452" t="str">
        <f t="shared" si="338"/>
        <v/>
      </c>
      <c r="BS556" s="1452" t="str">
        <f t="shared" si="339"/>
        <v/>
      </c>
      <c r="BT556" s="1452" t="str">
        <f t="shared" si="340"/>
        <v/>
      </c>
      <c r="BU556" s="1452" t="str">
        <f t="shared" si="341"/>
        <v/>
      </c>
      <c r="BV556" s="1452" t="str">
        <f t="shared" si="342"/>
        <v/>
      </c>
      <c r="BW556" s="1558">
        <f t="shared" ref="BW556:BW619" ca="1" si="349">COUNTIF(BJ556:BU556,"ERROR")</f>
        <v>0</v>
      </c>
    </row>
    <row r="557" spans="1:75" s="9" customFormat="1" ht="12.5">
      <c r="A557" s="1483" t="str">
        <f t="shared" si="343"/>
        <v>Public Health Wales Trust</v>
      </c>
      <c r="B557" s="1583"/>
      <c r="C557" s="1583"/>
      <c r="D557" s="1583"/>
      <c r="E557" s="1510"/>
      <c r="F557" s="1436"/>
      <c r="G557" s="1547">
        <f t="shared" si="344"/>
        <v>0</v>
      </c>
      <c r="H557" s="1484"/>
      <c r="I557" s="1547">
        <f t="shared" si="345"/>
        <v>0</v>
      </c>
      <c r="J557" s="1485"/>
      <c r="K557" s="1485"/>
      <c r="L557" s="1436"/>
      <c r="M557" s="1439"/>
      <c r="N557" s="1439"/>
      <c r="O557" s="1485"/>
      <c r="P557" s="1486"/>
      <c r="Q557" s="1486"/>
      <c r="R557" s="1487"/>
      <c r="S557" s="1444"/>
      <c r="T557" s="1444"/>
      <c r="U557" s="1444"/>
      <c r="V557" s="1488"/>
      <c r="W557" s="1488"/>
      <c r="X557" s="1488"/>
      <c r="Y557" s="1488"/>
      <c r="Z557" s="1488"/>
      <c r="AA557" s="1488"/>
      <c r="AB557" s="1488"/>
      <c r="AC557" s="1488"/>
      <c r="AD557" s="1488"/>
      <c r="AE557" s="1488"/>
      <c r="AF557" s="1488"/>
      <c r="AG557" s="1488"/>
      <c r="AH557" s="1451">
        <f t="shared" si="317"/>
        <v>0</v>
      </c>
      <c r="AI557" s="1488"/>
      <c r="AJ557" s="1488"/>
      <c r="AK557" s="1488"/>
      <c r="AL557" s="1488"/>
      <c r="AM557" s="1488"/>
      <c r="AN557" s="1488"/>
      <c r="AO557" s="1488"/>
      <c r="AP557" s="1488"/>
      <c r="AQ557" s="1488"/>
      <c r="AR557" s="1488"/>
      <c r="AS557" s="1488"/>
      <c r="AT557" s="1542"/>
      <c r="AU557" s="1599">
        <f t="shared" si="318"/>
        <v>0</v>
      </c>
      <c r="AV557" s="1544">
        <f t="shared" si="346"/>
        <v>0</v>
      </c>
      <c r="AW557" s="1452">
        <f t="shared" si="319"/>
        <v>0</v>
      </c>
      <c r="AX557" s="1452">
        <f t="shared" si="320"/>
        <v>0</v>
      </c>
      <c r="AY557" s="1452">
        <f t="shared" si="321"/>
        <v>0</v>
      </c>
      <c r="AZ557" s="1452">
        <f t="shared" si="322"/>
        <v>0</v>
      </c>
      <c r="BA557" s="1452">
        <f t="shared" si="323"/>
        <v>0</v>
      </c>
      <c r="BB557" s="1452">
        <f t="shared" si="324"/>
        <v>0</v>
      </c>
      <c r="BC557" s="1452">
        <f t="shared" si="325"/>
        <v>0</v>
      </c>
      <c r="BD557" s="1452">
        <f t="shared" si="326"/>
        <v>0</v>
      </c>
      <c r="BE557" s="1452">
        <f t="shared" si="327"/>
        <v>0</v>
      </c>
      <c r="BF557" s="1452">
        <f t="shared" si="328"/>
        <v>0</v>
      </c>
      <c r="BG557" s="1452">
        <f t="shared" si="329"/>
        <v>0</v>
      </c>
      <c r="BH557" s="1452">
        <f t="shared" si="330"/>
        <v>0</v>
      </c>
      <c r="BI557" s="1452">
        <f t="shared" si="347"/>
        <v>0</v>
      </c>
      <c r="BJ557" s="1452" t="str">
        <f t="shared" si="331"/>
        <v/>
      </c>
      <c r="BK557" s="1452" t="str">
        <f t="shared" si="332"/>
        <v/>
      </c>
      <c r="BL557" s="1452" t="str">
        <f t="shared" si="333"/>
        <v/>
      </c>
      <c r="BM557" s="1452" t="str">
        <f t="shared" si="334"/>
        <v/>
      </c>
      <c r="BN557" s="1452" t="str">
        <f t="shared" ca="1" si="335"/>
        <v/>
      </c>
      <c r="BO557" s="1452" t="str">
        <f t="shared" si="348"/>
        <v/>
      </c>
      <c r="BP557" s="1452" t="str">
        <f t="shared" si="336"/>
        <v/>
      </c>
      <c r="BQ557" s="1452" t="str">
        <f t="shared" si="337"/>
        <v/>
      </c>
      <c r="BR557" s="1452" t="str">
        <f t="shared" si="338"/>
        <v/>
      </c>
      <c r="BS557" s="1452" t="str">
        <f t="shared" si="339"/>
        <v/>
      </c>
      <c r="BT557" s="1452" t="str">
        <f t="shared" si="340"/>
        <v/>
      </c>
      <c r="BU557" s="1452" t="str">
        <f t="shared" si="341"/>
        <v/>
      </c>
      <c r="BV557" s="1452" t="str">
        <f t="shared" si="342"/>
        <v/>
      </c>
      <c r="BW557" s="1558">
        <f t="shared" ca="1" si="349"/>
        <v>0</v>
      </c>
    </row>
    <row r="558" spans="1:75" s="9" customFormat="1" ht="12.5">
      <c r="A558" s="1483" t="str">
        <f t="shared" si="343"/>
        <v>Public Health Wales Trust</v>
      </c>
      <c r="B558" s="1583"/>
      <c r="C558" s="1583"/>
      <c r="D558" s="1583"/>
      <c r="E558" s="1510"/>
      <c r="F558" s="1436"/>
      <c r="G558" s="1547">
        <f t="shared" si="344"/>
        <v>0</v>
      </c>
      <c r="H558" s="1484"/>
      <c r="I558" s="1547">
        <f t="shared" si="345"/>
        <v>0</v>
      </c>
      <c r="J558" s="1485"/>
      <c r="K558" s="1485"/>
      <c r="L558" s="1436"/>
      <c r="M558" s="1439"/>
      <c r="N558" s="1439"/>
      <c r="O558" s="1485"/>
      <c r="P558" s="1486"/>
      <c r="Q558" s="1486"/>
      <c r="R558" s="1487"/>
      <c r="S558" s="1444"/>
      <c r="T558" s="1444"/>
      <c r="U558" s="1444"/>
      <c r="V558" s="1488"/>
      <c r="W558" s="1488"/>
      <c r="X558" s="1488"/>
      <c r="Y558" s="1488"/>
      <c r="Z558" s="1488"/>
      <c r="AA558" s="1488"/>
      <c r="AB558" s="1488"/>
      <c r="AC558" s="1488"/>
      <c r="AD558" s="1488"/>
      <c r="AE558" s="1488"/>
      <c r="AF558" s="1488"/>
      <c r="AG558" s="1488"/>
      <c r="AH558" s="1451">
        <f t="shared" si="317"/>
        <v>0</v>
      </c>
      <c r="AI558" s="1488"/>
      <c r="AJ558" s="1488"/>
      <c r="AK558" s="1488"/>
      <c r="AL558" s="1488"/>
      <c r="AM558" s="1488"/>
      <c r="AN558" s="1488"/>
      <c r="AO558" s="1488"/>
      <c r="AP558" s="1488"/>
      <c r="AQ558" s="1488"/>
      <c r="AR558" s="1488"/>
      <c r="AS558" s="1488"/>
      <c r="AT558" s="1542"/>
      <c r="AU558" s="1599">
        <f t="shared" si="318"/>
        <v>0</v>
      </c>
      <c r="AV558" s="1544">
        <f t="shared" si="346"/>
        <v>0</v>
      </c>
      <c r="AW558" s="1452">
        <f t="shared" si="319"/>
        <v>0</v>
      </c>
      <c r="AX558" s="1452">
        <f t="shared" si="320"/>
        <v>0</v>
      </c>
      <c r="AY558" s="1452">
        <f t="shared" si="321"/>
        <v>0</v>
      </c>
      <c r="AZ558" s="1452">
        <f t="shared" si="322"/>
        <v>0</v>
      </c>
      <c r="BA558" s="1452">
        <f t="shared" si="323"/>
        <v>0</v>
      </c>
      <c r="BB558" s="1452">
        <f t="shared" si="324"/>
        <v>0</v>
      </c>
      <c r="BC558" s="1452">
        <f t="shared" si="325"/>
        <v>0</v>
      </c>
      <c r="BD558" s="1452">
        <f t="shared" si="326"/>
        <v>0</v>
      </c>
      <c r="BE558" s="1452">
        <f t="shared" si="327"/>
        <v>0</v>
      </c>
      <c r="BF558" s="1452">
        <f t="shared" si="328"/>
        <v>0</v>
      </c>
      <c r="BG558" s="1452">
        <f t="shared" si="329"/>
        <v>0</v>
      </c>
      <c r="BH558" s="1452">
        <f t="shared" si="330"/>
        <v>0</v>
      </c>
      <c r="BI558" s="1452">
        <f t="shared" si="347"/>
        <v>0</v>
      </c>
      <c r="BJ558" s="1452" t="str">
        <f t="shared" si="331"/>
        <v/>
      </c>
      <c r="BK558" s="1452" t="str">
        <f t="shared" si="332"/>
        <v/>
      </c>
      <c r="BL558" s="1452" t="str">
        <f t="shared" si="333"/>
        <v/>
      </c>
      <c r="BM558" s="1452" t="str">
        <f t="shared" si="334"/>
        <v/>
      </c>
      <c r="BN558" s="1452" t="str">
        <f t="shared" ca="1" si="335"/>
        <v/>
      </c>
      <c r="BO558" s="1452" t="str">
        <f t="shared" si="348"/>
        <v/>
      </c>
      <c r="BP558" s="1452" t="str">
        <f t="shared" si="336"/>
        <v/>
      </c>
      <c r="BQ558" s="1452" t="str">
        <f t="shared" si="337"/>
        <v/>
      </c>
      <c r="BR558" s="1452" t="str">
        <f t="shared" si="338"/>
        <v/>
      </c>
      <c r="BS558" s="1452" t="str">
        <f t="shared" si="339"/>
        <v/>
      </c>
      <c r="BT558" s="1452" t="str">
        <f t="shared" si="340"/>
        <v/>
      </c>
      <c r="BU558" s="1452" t="str">
        <f t="shared" si="341"/>
        <v/>
      </c>
      <c r="BV558" s="1452" t="str">
        <f t="shared" si="342"/>
        <v/>
      </c>
      <c r="BW558" s="1558">
        <f t="shared" ca="1" si="349"/>
        <v>0</v>
      </c>
    </row>
    <row r="559" spans="1:75" s="9" customFormat="1" ht="12.5">
      <c r="A559" s="1483" t="str">
        <f t="shared" si="343"/>
        <v>Public Health Wales Trust</v>
      </c>
      <c r="B559" s="1583"/>
      <c r="C559" s="1583"/>
      <c r="D559" s="1583"/>
      <c r="E559" s="1510"/>
      <c r="F559" s="1436"/>
      <c r="G559" s="1547">
        <f t="shared" si="344"/>
        <v>0</v>
      </c>
      <c r="H559" s="1484"/>
      <c r="I559" s="1547">
        <f t="shared" si="345"/>
        <v>0</v>
      </c>
      <c r="J559" s="1485"/>
      <c r="K559" s="1485"/>
      <c r="L559" s="1436"/>
      <c r="M559" s="1439"/>
      <c r="N559" s="1439"/>
      <c r="O559" s="1485"/>
      <c r="P559" s="1486"/>
      <c r="Q559" s="1486"/>
      <c r="R559" s="1487"/>
      <c r="S559" s="1444"/>
      <c r="T559" s="1444"/>
      <c r="U559" s="1444"/>
      <c r="V559" s="1488"/>
      <c r="W559" s="1488"/>
      <c r="X559" s="1488"/>
      <c r="Y559" s="1488"/>
      <c r="Z559" s="1488"/>
      <c r="AA559" s="1488"/>
      <c r="AB559" s="1488"/>
      <c r="AC559" s="1488"/>
      <c r="AD559" s="1488"/>
      <c r="AE559" s="1488"/>
      <c r="AF559" s="1488"/>
      <c r="AG559" s="1488"/>
      <c r="AH559" s="1451">
        <f t="shared" si="317"/>
        <v>0</v>
      </c>
      <c r="AI559" s="1488"/>
      <c r="AJ559" s="1488"/>
      <c r="AK559" s="1488"/>
      <c r="AL559" s="1488"/>
      <c r="AM559" s="1488"/>
      <c r="AN559" s="1488"/>
      <c r="AO559" s="1488"/>
      <c r="AP559" s="1488"/>
      <c r="AQ559" s="1488"/>
      <c r="AR559" s="1488"/>
      <c r="AS559" s="1488"/>
      <c r="AT559" s="1542"/>
      <c r="AU559" s="1599">
        <f t="shared" si="318"/>
        <v>0</v>
      </c>
      <c r="AV559" s="1544">
        <f t="shared" si="346"/>
        <v>0</v>
      </c>
      <c r="AW559" s="1452">
        <f t="shared" si="319"/>
        <v>0</v>
      </c>
      <c r="AX559" s="1452">
        <f t="shared" si="320"/>
        <v>0</v>
      </c>
      <c r="AY559" s="1452">
        <f t="shared" si="321"/>
        <v>0</v>
      </c>
      <c r="AZ559" s="1452">
        <f t="shared" si="322"/>
        <v>0</v>
      </c>
      <c r="BA559" s="1452">
        <f t="shared" si="323"/>
        <v>0</v>
      </c>
      <c r="BB559" s="1452">
        <f t="shared" si="324"/>
        <v>0</v>
      </c>
      <c r="BC559" s="1452">
        <f t="shared" si="325"/>
        <v>0</v>
      </c>
      <c r="BD559" s="1452">
        <f t="shared" si="326"/>
        <v>0</v>
      </c>
      <c r="BE559" s="1452">
        <f t="shared" si="327"/>
        <v>0</v>
      </c>
      <c r="BF559" s="1452">
        <f t="shared" si="328"/>
        <v>0</v>
      </c>
      <c r="BG559" s="1452">
        <f t="shared" si="329"/>
        <v>0</v>
      </c>
      <c r="BH559" s="1452">
        <f t="shared" si="330"/>
        <v>0</v>
      </c>
      <c r="BI559" s="1452">
        <f t="shared" si="347"/>
        <v>0</v>
      </c>
      <c r="BJ559" s="1452" t="str">
        <f t="shared" si="331"/>
        <v/>
      </c>
      <c r="BK559" s="1452" t="str">
        <f t="shared" si="332"/>
        <v/>
      </c>
      <c r="BL559" s="1452" t="str">
        <f t="shared" si="333"/>
        <v/>
      </c>
      <c r="BM559" s="1452" t="str">
        <f t="shared" si="334"/>
        <v/>
      </c>
      <c r="BN559" s="1452" t="str">
        <f t="shared" ca="1" si="335"/>
        <v/>
      </c>
      <c r="BO559" s="1452" t="str">
        <f t="shared" si="348"/>
        <v/>
      </c>
      <c r="BP559" s="1452" t="str">
        <f t="shared" si="336"/>
        <v/>
      </c>
      <c r="BQ559" s="1452" t="str">
        <f t="shared" si="337"/>
        <v/>
      </c>
      <c r="BR559" s="1452" t="str">
        <f t="shared" si="338"/>
        <v/>
      </c>
      <c r="BS559" s="1452" t="str">
        <f t="shared" si="339"/>
        <v/>
      </c>
      <c r="BT559" s="1452" t="str">
        <f t="shared" si="340"/>
        <v/>
      </c>
      <c r="BU559" s="1452" t="str">
        <f t="shared" si="341"/>
        <v/>
      </c>
      <c r="BV559" s="1452" t="str">
        <f t="shared" si="342"/>
        <v/>
      </c>
      <c r="BW559" s="1558">
        <f t="shared" ca="1" si="349"/>
        <v>0</v>
      </c>
    </row>
    <row r="560" spans="1:75" s="9" customFormat="1" ht="12.5">
      <c r="A560" s="1483" t="str">
        <f t="shared" si="343"/>
        <v>Public Health Wales Trust</v>
      </c>
      <c r="B560" s="1583"/>
      <c r="C560" s="1583"/>
      <c r="D560" s="1583"/>
      <c r="E560" s="1510"/>
      <c r="F560" s="1436"/>
      <c r="G560" s="1547">
        <f t="shared" si="344"/>
        <v>0</v>
      </c>
      <c r="H560" s="1484"/>
      <c r="I560" s="1547">
        <f t="shared" si="345"/>
        <v>0</v>
      </c>
      <c r="J560" s="1485"/>
      <c r="K560" s="1485"/>
      <c r="L560" s="1436"/>
      <c r="M560" s="1439"/>
      <c r="N560" s="1439"/>
      <c r="O560" s="1485"/>
      <c r="P560" s="1486"/>
      <c r="Q560" s="1486"/>
      <c r="R560" s="1487"/>
      <c r="S560" s="1444"/>
      <c r="T560" s="1444"/>
      <c r="U560" s="1444"/>
      <c r="V560" s="1488"/>
      <c r="W560" s="1488"/>
      <c r="X560" s="1488"/>
      <c r="Y560" s="1488"/>
      <c r="Z560" s="1488"/>
      <c r="AA560" s="1488"/>
      <c r="AB560" s="1488"/>
      <c r="AC560" s="1488"/>
      <c r="AD560" s="1488"/>
      <c r="AE560" s="1488"/>
      <c r="AF560" s="1488"/>
      <c r="AG560" s="1488"/>
      <c r="AH560" s="1451">
        <f t="shared" si="317"/>
        <v>0</v>
      </c>
      <c r="AI560" s="1488"/>
      <c r="AJ560" s="1488"/>
      <c r="AK560" s="1488"/>
      <c r="AL560" s="1488"/>
      <c r="AM560" s="1488"/>
      <c r="AN560" s="1488"/>
      <c r="AO560" s="1488"/>
      <c r="AP560" s="1488"/>
      <c r="AQ560" s="1488"/>
      <c r="AR560" s="1488"/>
      <c r="AS560" s="1488"/>
      <c r="AT560" s="1542"/>
      <c r="AU560" s="1599">
        <f t="shared" si="318"/>
        <v>0</v>
      </c>
      <c r="AV560" s="1544">
        <f t="shared" si="346"/>
        <v>0</v>
      </c>
      <c r="AW560" s="1452">
        <f t="shared" si="319"/>
        <v>0</v>
      </c>
      <c r="AX560" s="1452">
        <f t="shared" si="320"/>
        <v>0</v>
      </c>
      <c r="AY560" s="1452">
        <f t="shared" si="321"/>
        <v>0</v>
      </c>
      <c r="AZ560" s="1452">
        <f t="shared" si="322"/>
        <v>0</v>
      </c>
      <c r="BA560" s="1452">
        <f t="shared" si="323"/>
        <v>0</v>
      </c>
      <c r="BB560" s="1452">
        <f t="shared" si="324"/>
        <v>0</v>
      </c>
      <c r="BC560" s="1452">
        <f t="shared" si="325"/>
        <v>0</v>
      </c>
      <c r="BD560" s="1452">
        <f t="shared" si="326"/>
        <v>0</v>
      </c>
      <c r="BE560" s="1452">
        <f t="shared" si="327"/>
        <v>0</v>
      </c>
      <c r="BF560" s="1452">
        <f t="shared" si="328"/>
        <v>0</v>
      </c>
      <c r="BG560" s="1452">
        <f t="shared" si="329"/>
        <v>0</v>
      </c>
      <c r="BH560" s="1452">
        <f t="shared" si="330"/>
        <v>0</v>
      </c>
      <c r="BI560" s="1452">
        <f t="shared" si="347"/>
        <v>0</v>
      </c>
      <c r="BJ560" s="1452" t="str">
        <f t="shared" si="331"/>
        <v/>
      </c>
      <c r="BK560" s="1452" t="str">
        <f t="shared" si="332"/>
        <v/>
      </c>
      <c r="BL560" s="1452" t="str">
        <f t="shared" si="333"/>
        <v/>
      </c>
      <c r="BM560" s="1452" t="str">
        <f t="shared" si="334"/>
        <v/>
      </c>
      <c r="BN560" s="1452" t="str">
        <f t="shared" ca="1" si="335"/>
        <v/>
      </c>
      <c r="BO560" s="1452" t="str">
        <f t="shared" si="348"/>
        <v/>
      </c>
      <c r="BP560" s="1452" t="str">
        <f t="shared" si="336"/>
        <v/>
      </c>
      <c r="BQ560" s="1452" t="str">
        <f t="shared" si="337"/>
        <v/>
      </c>
      <c r="BR560" s="1452" t="str">
        <f t="shared" si="338"/>
        <v/>
      </c>
      <c r="BS560" s="1452" t="str">
        <f t="shared" si="339"/>
        <v/>
      </c>
      <c r="BT560" s="1452" t="str">
        <f t="shared" si="340"/>
        <v/>
      </c>
      <c r="BU560" s="1452" t="str">
        <f t="shared" si="341"/>
        <v/>
      </c>
      <c r="BV560" s="1452" t="str">
        <f t="shared" si="342"/>
        <v/>
      </c>
      <c r="BW560" s="1558">
        <f t="shared" ca="1" si="349"/>
        <v>0</v>
      </c>
    </row>
    <row r="561" spans="1:75" s="9" customFormat="1" ht="12.5">
      <c r="A561" s="1483" t="str">
        <f t="shared" si="343"/>
        <v>Public Health Wales Trust</v>
      </c>
      <c r="B561" s="1583"/>
      <c r="C561" s="1583"/>
      <c r="D561" s="1583"/>
      <c r="E561" s="1510"/>
      <c r="F561" s="1436"/>
      <c r="G561" s="1547">
        <f t="shared" si="344"/>
        <v>0</v>
      </c>
      <c r="H561" s="1484"/>
      <c r="I561" s="1547">
        <f t="shared" si="345"/>
        <v>0</v>
      </c>
      <c r="J561" s="1485"/>
      <c r="K561" s="1485"/>
      <c r="L561" s="1436"/>
      <c r="M561" s="1439"/>
      <c r="N561" s="1439"/>
      <c r="O561" s="1485"/>
      <c r="P561" s="1486"/>
      <c r="Q561" s="1486"/>
      <c r="R561" s="1487"/>
      <c r="S561" s="1444"/>
      <c r="T561" s="1444"/>
      <c r="U561" s="1444"/>
      <c r="V561" s="1488"/>
      <c r="W561" s="1488"/>
      <c r="X561" s="1488"/>
      <c r="Y561" s="1488"/>
      <c r="Z561" s="1488"/>
      <c r="AA561" s="1488"/>
      <c r="AB561" s="1488"/>
      <c r="AC561" s="1488"/>
      <c r="AD561" s="1488"/>
      <c r="AE561" s="1488"/>
      <c r="AF561" s="1488"/>
      <c r="AG561" s="1488"/>
      <c r="AH561" s="1451">
        <f t="shared" si="317"/>
        <v>0</v>
      </c>
      <c r="AI561" s="1488"/>
      <c r="AJ561" s="1488"/>
      <c r="AK561" s="1488"/>
      <c r="AL561" s="1488"/>
      <c r="AM561" s="1488"/>
      <c r="AN561" s="1488"/>
      <c r="AO561" s="1488"/>
      <c r="AP561" s="1488"/>
      <c r="AQ561" s="1488"/>
      <c r="AR561" s="1488"/>
      <c r="AS561" s="1488"/>
      <c r="AT561" s="1542"/>
      <c r="AU561" s="1599">
        <f t="shared" si="318"/>
        <v>0</v>
      </c>
      <c r="AV561" s="1544">
        <f t="shared" si="346"/>
        <v>0</v>
      </c>
      <c r="AW561" s="1452">
        <f t="shared" si="319"/>
        <v>0</v>
      </c>
      <c r="AX561" s="1452">
        <f t="shared" si="320"/>
        <v>0</v>
      </c>
      <c r="AY561" s="1452">
        <f t="shared" si="321"/>
        <v>0</v>
      </c>
      <c r="AZ561" s="1452">
        <f t="shared" si="322"/>
        <v>0</v>
      </c>
      <c r="BA561" s="1452">
        <f t="shared" si="323"/>
        <v>0</v>
      </c>
      <c r="BB561" s="1452">
        <f t="shared" si="324"/>
        <v>0</v>
      </c>
      <c r="BC561" s="1452">
        <f t="shared" si="325"/>
        <v>0</v>
      </c>
      <c r="BD561" s="1452">
        <f t="shared" si="326"/>
        <v>0</v>
      </c>
      <c r="BE561" s="1452">
        <f t="shared" si="327"/>
        <v>0</v>
      </c>
      <c r="BF561" s="1452">
        <f t="shared" si="328"/>
        <v>0</v>
      </c>
      <c r="BG561" s="1452">
        <f t="shared" si="329"/>
        <v>0</v>
      </c>
      <c r="BH561" s="1452">
        <f t="shared" si="330"/>
        <v>0</v>
      </c>
      <c r="BI561" s="1452">
        <f t="shared" si="347"/>
        <v>0</v>
      </c>
      <c r="BJ561" s="1452" t="str">
        <f t="shared" si="331"/>
        <v/>
      </c>
      <c r="BK561" s="1452" t="str">
        <f t="shared" si="332"/>
        <v/>
      </c>
      <c r="BL561" s="1452" t="str">
        <f t="shared" si="333"/>
        <v/>
      </c>
      <c r="BM561" s="1452" t="str">
        <f t="shared" si="334"/>
        <v/>
      </c>
      <c r="BN561" s="1452" t="str">
        <f t="shared" ca="1" si="335"/>
        <v/>
      </c>
      <c r="BO561" s="1452" t="str">
        <f t="shared" si="348"/>
        <v/>
      </c>
      <c r="BP561" s="1452" t="str">
        <f t="shared" si="336"/>
        <v/>
      </c>
      <c r="BQ561" s="1452" t="str">
        <f t="shared" si="337"/>
        <v/>
      </c>
      <c r="BR561" s="1452" t="str">
        <f t="shared" si="338"/>
        <v/>
      </c>
      <c r="BS561" s="1452" t="str">
        <f t="shared" si="339"/>
        <v/>
      </c>
      <c r="BT561" s="1452" t="str">
        <f t="shared" si="340"/>
        <v/>
      </c>
      <c r="BU561" s="1452" t="str">
        <f t="shared" si="341"/>
        <v/>
      </c>
      <c r="BV561" s="1452" t="str">
        <f t="shared" si="342"/>
        <v/>
      </c>
      <c r="BW561" s="1558">
        <f t="shared" ca="1" si="349"/>
        <v>0</v>
      </c>
    </row>
    <row r="562" spans="1:75" s="9" customFormat="1" ht="12.5">
      <c r="A562" s="1483" t="str">
        <f t="shared" si="343"/>
        <v>Public Health Wales Trust</v>
      </c>
      <c r="B562" s="1583"/>
      <c r="C562" s="1583"/>
      <c r="D562" s="1583"/>
      <c r="E562" s="1510"/>
      <c r="F562" s="1436"/>
      <c r="G562" s="1547">
        <f t="shared" si="344"/>
        <v>0</v>
      </c>
      <c r="H562" s="1484"/>
      <c r="I562" s="1547">
        <f t="shared" si="345"/>
        <v>0</v>
      </c>
      <c r="J562" s="1485"/>
      <c r="K562" s="1485"/>
      <c r="L562" s="1436"/>
      <c r="M562" s="1439"/>
      <c r="N562" s="1439"/>
      <c r="O562" s="1485"/>
      <c r="P562" s="1486"/>
      <c r="Q562" s="1486"/>
      <c r="R562" s="1487"/>
      <c r="S562" s="1444"/>
      <c r="T562" s="1444"/>
      <c r="U562" s="1444"/>
      <c r="V562" s="1488"/>
      <c r="W562" s="1488"/>
      <c r="X562" s="1488"/>
      <c r="Y562" s="1488"/>
      <c r="Z562" s="1488"/>
      <c r="AA562" s="1488"/>
      <c r="AB562" s="1488"/>
      <c r="AC562" s="1488"/>
      <c r="AD562" s="1488"/>
      <c r="AE562" s="1488"/>
      <c r="AF562" s="1488"/>
      <c r="AG562" s="1488"/>
      <c r="AH562" s="1451">
        <f t="shared" si="317"/>
        <v>0</v>
      </c>
      <c r="AI562" s="1488"/>
      <c r="AJ562" s="1488"/>
      <c r="AK562" s="1488"/>
      <c r="AL562" s="1488"/>
      <c r="AM562" s="1488"/>
      <c r="AN562" s="1488"/>
      <c r="AO562" s="1488"/>
      <c r="AP562" s="1488"/>
      <c r="AQ562" s="1488"/>
      <c r="AR562" s="1488"/>
      <c r="AS562" s="1488"/>
      <c r="AT562" s="1542"/>
      <c r="AU562" s="1599">
        <f t="shared" si="318"/>
        <v>0</v>
      </c>
      <c r="AV562" s="1544">
        <f t="shared" si="346"/>
        <v>0</v>
      </c>
      <c r="AW562" s="1452">
        <f t="shared" si="319"/>
        <v>0</v>
      </c>
      <c r="AX562" s="1452">
        <f t="shared" si="320"/>
        <v>0</v>
      </c>
      <c r="AY562" s="1452">
        <f t="shared" si="321"/>
        <v>0</v>
      </c>
      <c r="AZ562" s="1452">
        <f t="shared" si="322"/>
        <v>0</v>
      </c>
      <c r="BA562" s="1452">
        <f t="shared" si="323"/>
        <v>0</v>
      </c>
      <c r="BB562" s="1452">
        <f t="shared" si="324"/>
        <v>0</v>
      </c>
      <c r="BC562" s="1452">
        <f t="shared" si="325"/>
        <v>0</v>
      </c>
      <c r="BD562" s="1452">
        <f t="shared" si="326"/>
        <v>0</v>
      </c>
      <c r="BE562" s="1452">
        <f t="shared" si="327"/>
        <v>0</v>
      </c>
      <c r="BF562" s="1452">
        <f t="shared" si="328"/>
        <v>0</v>
      </c>
      <c r="BG562" s="1452">
        <f t="shared" si="329"/>
        <v>0</v>
      </c>
      <c r="BH562" s="1452">
        <f t="shared" si="330"/>
        <v>0</v>
      </c>
      <c r="BI562" s="1452">
        <f t="shared" si="347"/>
        <v>0</v>
      </c>
      <c r="BJ562" s="1452" t="str">
        <f t="shared" si="331"/>
        <v/>
      </c>
      <c r="BK562" s="1452" t="str">
        <f t="shared" si="332"/>
        <v/>
      </c>
      <c r="BL562" s="1452" t="str">
        <f t="shared" si="333"/>
        <v/>
      </c>
      <c r="BM562" s="1452" t="str">
        <f t="shared" si="334"/>
        <v/>
      </c>
      <c r="BN562" s="1452" t="str">
        <f t="shared" ca="1" si="335"/>
        <v/>
      </c>
      <c r="BO562" s="1452" t="str">
        <f t="shared" si="348"/>
        <v/>
      </c>
      <c r="BP562" s="1452" t="str">
        <f t="shared" si="336"/>
        <v/>
      </c>
      <c r="BQ562" s="1452" t="str">
        <f t="shared" si="337"/>
        <v/>
      </c>
      <c r="BR562" s="1452" t="str">
        <f t="shared" si="338"/>
        <v/>
      </c>
      <c r="BS562" s="1452" t="str">
        <f t="shared" si="339"/>
        <v/>
      </c>
      <c r="BT562" s="1452" t="str">
        <f t="shared" si="340"/>
        <v/>
      </c>
      <c r="BU562" s="1452" t="str">
        <f t="shared" si="341"/>
        <v/>
      </c>
      <c r="BV562" s="1452" t="str">
        <f t="shared" si="342"/>
        <v/>
      </c>
      <c r="BW562" s="1558">
        <f t="shared" ca="1" si="349"/>
        <v>0</v>
      </c>
    </row>
    <row r="563" spans="1:75" s="9" customFormat="1" ht="12.5">
      <c r="A563" s="1483" t="str">
        <f t="shared" si="343"/>
        <v>Public Health Wales Trust</v>
      </c>
      <c r="B563" s="1583"/>
      <c r="C563" s="1583"/>
      <c r="D563" s="1583"/>
      <c r="E563" s="1510"/>
      <c r="F563" s="1436"/>
      <c r="G563" s="1547">
        <f t="shared" si="344"/>
        <v>0</v>
      </c>
      <c r="H563" s="1484"/>
      <c r="I563" s="1547">
        <f t="shared" si="345"/>
        <v>0</v>
      </c>
      <c r="J563" s="1485"/>
      <c r="K563" s="1485"/>
      <c r="L563" s="1436"/>
      <c r="M563" s="1439"/>
      <c r="N563" s="1439"/>
      <c r="O563" s="1485"/>
      <c r="P563" s="1486"/>
      <c r="Q563" s="1486"/>
      <c r="R563" s="1487"/>
      <c r="S563" s="1444"/>
      <c r="T563" s="1444"/>
      <c r="U563" s="1444"/>
      <c r="V563" s="1488"/>
      <c r="W563" s="1488"/>
      <c r="X563" s="1488"/>
      <c r="Y563" s="1488"/>
      <c r="Z563" s="1488"/>
      <c r="AA563" s="1488"/>
      <c r="AB563" s="1488"/>
      <c r="AC563" s="1488"/>
      <c r="AD563" s="1488"/>
      <c r="AE563" s="1488"/>
      <c r="AF563" s="1488"/>
      <c r="AG563" s="1488"/>
      <c r="AH563" s="1451">
        <f t="shared" si="317"/>
        <v>0</v>
      </c>
      <c r="AI563" s="1488"/>
      <c r="AJ563" s="1488"/>
      <c r="AK563" s="1488"/>
      <c r="AL563" s="1488"/>
      <c r="AM563" s="1488"/>
      <c r="AN563" s="1488"/>
      <c r="AO563" s="1488"/>
      <c r="AP563" s="1488"/>
      <c r="AQ563" s="1488"/>
      <c r="AR563" s="1488"/>
      <c r="AS563" s="1488"/>
      <c r="AT563" s="1542"/>
      <c r="AU563" s="1599">
        <f t="shared" si="318"/>
        <v>0</v>
      </c>
      <c r="AV563" s="1544">
        <f t="shared" si="346"/>
        <v>0</v>
      </c>
      <c r="AW563" s="1452">
        <f t="shared" si="319"/>
        <v>0</v>
      </c>
      <c r="AX563" s="1452">
        <f t="shared" si="320"/>
        <v>0</v>
      </c>
      <c r="AY563" s="1452">
        <f t="shared" si="321"/>
        <v>0</v>
      </c>
      <c r="AZ563" s="1452">
        <f t="shared" si="322"/>
        <v>0</v>
      </c>
      <c r="BA563" s="1452">
        <f t="shared" si="323"/>
        <v>0</v>
      </c>
      <c r="BB563" s="1452">
        <f t="shared" si="324"/>
        <v>0</v>
      </c>
      <c r="BC563" s="1452">
        <f t="shared" si="325"/>
        <v>0</v>
      </c>
      <c r="BD563" s="1452">
        <f t="shared" si="326"/>
        <v>0</v>
      </c>
      <c r="BE563" s="1452">
        <f t="shared" si="327"/>
        <v>0</v>
      </c>
      <c r="BF563" s="1452">
        <f t="shared" si="328"/>
        <v>0</v>
      </c>
      <c r="BG563" s="1452">
        <f t="shared" si="329"/>
        <v>0</v>
      </c>
      <c r="BH563" s="1452">
        <f t="shared" si="330"/>
        <v>0</v>
      </c>
      <c r="BI563" s="1452">
        <f t="shared" si="347"/>
        <v>0</v>
      </c>
      <c r="BJ563" s="1452" t="str">
        <f t="shared" si="331"/>
        <v/>
      </c>
      <c r="BK563" s="1452" t="str">
        <f t="shared" si="332"/>
        <v/>
      </c>
      <c r="BL563" s="1452" t="str">
        <f t="shared" si="333"/>
        <v/>
      </c>
      <c r="BM563" s="1452" t="str">
        <f t="shared" si="334"/>
        <v/>
      </c>
      <c r="BN563" s="1452" t="str">
        <f t="shared" ca="1" si="335"/>
        <v/>
      </c>
      <c r="BO563" s="1452" t="str">
        <f t="shared" si="348"/>
        <v/>
      </c>
      <c r="BP563" s="1452" t="str">
        <f t="shared" si="336"/>
        <v/>
      </c>
      <c r="BQ563" s="1452" t="str">
        <f t="shared" si="337"/>
        <v/>
      </c>
      <c r="BR563" s="1452" t="str">
        <f t="shared" si="338"/>
        <v/>
      </c>
      <c r="BS563" s="1452" t="str">
        <f t="shared" si="339"/>
        <v/>
      </c>
      <c r="BT563" s="1452" t="str">
        <f t="shared" si="340"/>
        <v/>
      </c>
      <c r="BU563" s="1452" t="str">
        <f t="shared" si="341"/>
        <v/>
      </c>
      <c r="BV563" s="1452" t="str">
        <f t="shared" si="342"/>
        <v/>
      </c>
      <c r="BW563" s="1558">
        <f t="shared" ca="1" si="349"/>
        <v>0</v>
      </c>
    </row>
    <row r="564" spans="1:75" s="9" customFormat="1" ht="12.5">
      <c r="A564" s="1483" t="str">
        <f t="shared" si="343"/>
        <v>Public Health Wales Trust</v>
      </c>
      <c r="B564" s="1583"/>
      <c r="C564" s="1583"/>
      <c r="D564" s="1583"/>
      <c r="E564" s="1510"/>
      <c r="F564" s="1436"/>
      <c r="G564" s="1547">
        <f t="shared" si="344"/>
        <v>0</v>
      </c>
      <c r="H564" s="1484"/>
      <c r="I564" s="1547">
        <f t="shared" si="345"/>
        <v>0</v>
      </c>
      <c r="J564" s="1485"/>
      <c r="K564" s="1485"/>
      <c r="L564" s="1436"/>
      <c r="M564" s="1439"/>
      <c r="N564" s="1439"/>
      <c r="O564" s="1485"/>
      <c r="P564" s="1486"/>
      <c r="Q564" s="1486"/>
      <c r="R564" s="1487"/>
      <c r="S564" s="1444"/>
      <c r="T564" s="1444"/>
      <c r="U564" s="1444"/>
      <c r="V564" s="1488"/>
      <c r="W564" s="1488"/>
      <c r="X564" s="1488"/>
      <c r="Y564" s="1488"/>
      <c r="Z564" s="1488"/>
      <c r="AA564" s="1488"/>
      <c r="AB564" s="1488"/>
      <c r="AC564" s="1488"/>
      <c r="AD564" s="1488"/>
      <c r="AE564" s="1488"/>
      <c r="AF564" s="1488"/>
      <c r="AG564" s="1488"/>
      <c r="AH564" s="1451">
        <f t="shared" si="317"/>
        <v>0</v>
      </c>
      <c r="AI564" s="1488"/>
      <c r="AJ564" s="1488"/>
      <c r="AK564" s="1488"/>
      <c r="AL564" s="1488"/>
      <c r="AM564" s="1488"/>
      <c r="AN564" s="1488"/>
      <c r="AO564" s="1488"/>
      <c r="AP564" s="1488"/>
      <c r="AQ564" s="1488"/>
      <c r="AR564" s="1488"/>
      <c r="AS564" s="1488"/>
      <c r="AT564" s="1542"/>
      <c r="AU564" s="1599">
        <f t="shared" si="318"/>
        <v>0</v>
      </c>
      <c r="AV564" s="1544">
        <f t="shared" si="346"/>
        <v>0</v>
      </c>
      <c r="AW564" s="1452">
        <f t="shared" si="319"/>
        <v>0</v>
      </c>
      <c r="AX564" s="1452">
        <f t="shared" si="320"/>
        <v>0</v>
      </c>
      <c r="AY564" s="1452">
        <f t="shared" si="321"/>
        <v>0</v>
      </c>
      <c r="AZ564" s="1452">
        <f t="shared" si="322"/>
        <v>0</v>
      </c>
      <c r="BA564" s="1452">
        <f t="shared" si="323"/>
        <v>0</v>
      </c>
      <c r="BB564" s="1452">
        <f t="shared" si="324"/>
        <v>0</v>
      </c>
      <c r="BC564" s="1452">
        <f t="shared" si="325"/>
        <v>0</v>
      </c>
      <c r="BD564" s="1452">
        <f t="shared" si="326"/>
        <v>0</v>
      </c>
      <c r="BE564" s="1452">
        <f t="shared" si="327"/>
        <v>0</v>
      </c>
      <c r="BF564" s="1452">
        <f t="shared" si="328"/>
        <v>0</v>
      </c>
      <c r="BG564" s="1452">
        <f t="shared" si="329"/>
        <v>0</v>
      </c>
      <c r="BH564" s="1452">
        <f t="shared" si="330"/>
        <v>0</v>
      </c>
      <c r="BI564" s="1452">
        <f t="shared" si="347"/>
        <v>0</v>
      </c>
      <c r="BJ564" s="1452" t="str">
        <f t="shared" si="331"/>
        <v/>
      </c>
      <c r="BK564" s="1452" t="str">
        <f t="shared" si="332"/>
        <v/>
      </c>
      <c r="BL564" s="1452" t="str">
        <f t="shared" si="333"/>
        <v/>
      </c>
      <c r="BM564" s="1452" t="str">
        <f t="shared" si="334"/>
        <v/>
      </c>
      <c r="BN564" s="1452" t="str">
        <f t="shared" ca="1" si="335"/>
        <v/>
      </c>
      <c r="BO564" s="1452" t="str">
        <f t="shared" si="348"/>
        <v/>
      </c>
      <c r="BP564" s="1452" t="str">
        <f t="shared" si="336"/>
        <v/>
      </c>
      <c r="BQ564" s="1452" t="str">
        <f t="shared" si="337"/>
        <v/>
      </c>
      <c r="BR564" s="1452" t="str">
        <f t="shared" si="338"/>
        <v/>
      </c>
      <c r="BS564" s="1452" t="str">
        <f t="shared" si="339"/>
        <v/>
      </c>
      <c r="BT564" s="1452" t="str">
        <f t="shared" si="340"/>
        <v/>
      </c>
      <c r="BU564" s="1452" t="str">
        <f t="shared" si="341"/>
        <v/>
      </c>
      <c r="BV564" s="1452" t="str">
        <f t="shared" si="342"/>
        <v/>
      </c>
      <c r="BW564" s="1558">
        <f t="shared" ca="1" si="349"/>
        <v>0</v>
      </c>
    </row>
    <row r="565" spans="1:75" s="9" customFormat="1" ht="12.5">
      <c r="A565" s="1483" t="str">
        <f t="shared" si="343"/>
        <v>Public Health Wales Trust</v>
      </c>
      <c r="B565" s="1583"/>
      <c r="C565" s="1583"/>
      <c r="D565" s="1583"/>
      <c r="E565" s="1510"/>
      <c r="F565" s="1436"/>
      <c r="G565" s="1547">
        <f t="shared" si="344"/>
        <v>0</v>
      </c>
      <c r="H565" s="1484"/>
      <c r="I565" s="1547">
        <f t="shared" si="345"/>
        <v>0</v>
      </c>
      <c r="J565" s="1485"/>
      <c r="K565" s="1485"/>
      <c r="L565" s="1436"/>
      <c r="M565" s="1439"/>
      <c r="N565" s="1439"/>
      <c r="O565" s="1485"/>
      <c r="P565" s="1486"/>
      <c r="Q565" s="1486"/>
      <c r="R565" s="1487"/>
      <c r="S565" s="1444"/>
      <c r="T565" s="1444"/>
      <c r="U565" s="1444"/>
      <c r="V565" s="1488"/>
      <c r="W565" s="1488"/>
      <c r="X565" s="1488"/>
      <c r="Y565" s="1488"/>
      <c r="Z565" s="1488"/>
      <c r="AA565" s="1488"/>
      <c r="AB565" s="1488"/>
      <c r="AC565" s="1488"/>
      <c r="AD565" s="1488"/>
      <c r="AE565" s="1488"/>
      <c r="AF565" s="1488"/>
      <c r="AG565" s="1488"/>
      <c r="AH565" s="1451">
        <f t="shared" si="317"/>
        <v>0</v>
      </c>
      <c r="AI565" s="1488"/>
      <c r="AJ565" s="1488"/>
      <c r="AK565" s="1488"/>
      <c r="AL565" s="1488"/>
      <c r="AM565" s="1488"/>
      <c r="AN565" s="1488"/>
      <c r="AO565" s="1488"/>
      <c r="AP565" s="1488"/>
      <c r="AQ565" s="1488"/>
      <c r="AR565" s="1488"/>
      <c r="AS565" s="1488"/>
      <c r="AT565" s="1542"/>
      <c r="AU565" s="1599">
        <f t="shared" si="318"/>
        <v>0</v>
      </c>
      <c r="AV565" s="1544">
        <f t="shared" si="346"/>
        <v>0</v>
      </c>
      <c r="AW565" s="1452">
        <f t="shared" si="319"/>
        <v>0</v>
      </c>
      <c r="AX565" s="1452">
        <f t="shared" si="320"/>
        <v>0</v>
      </c>
      <c r="AY565" s="1452">
        <f t="shared" si="321"/>
        <v>0</v>
      </c>
      <c r="AZ565" s="1452">
        <f t="shared" si="322"/>
        <v>0</v>
      </c>
      <c r="BA565" s="1452">
        <f t="shared" si="323"/>
        <v>0</v>
      </c>
      <c r="BB565" s="1452">
        <f t="shared" si="324"/>
        <v>0</v>
      </c>
      <c r="BC565" s="1452">
        <f t="shared" si="325"/>
        <v>0</v>
      </c>
      <c r="BD565" s="1452">
        <f t="shared" si="326"/>
        <v>0</v>
      </c>
      <c r="BE565" s="1452">
        <f t="shared" si="327"/>
        <v>0</v>
      </c>
      <c r="BF565" s="1452">
        <f t="shared" si="328"/>
        <v>0</v>
      </c>
      <c r="BG565" s="1452">
        <f t="shared" si="329"/>
        <v>0</v>
      </c>
      <c r="BH565" s="1452">
        <f t="shared" si="330"/>
        <v>0</v>
      </c>
      <c r="BI565" s="1452">
        <f t="shared" si="347"/>
        <v>0</v>
      </c>
      <c r="BJ565" s="1452" t="str">
        <f t="shared" si="331"/>
        <v/>
      </c>
      <c r="BK565" s="1452" t="str">
        <f t="shared" si="332"/>
        <v/>
      </c>
      <c r="BL565" s="1452" t="str">
        <f t="shared" si="333"/>
        <v/>
      </c>
      <c r="BM565" s="1452" t="str">
        <f t="shared" si="334"/>
        <v/>
      </c>
      <c r="BN565" s="1452" t="str">
        <f t="shared" ca="1" si="335"/>
        <v/>
      </c>
      <c r="BO565" s="1452" t="str">
        <f t="shared" si="348"/>
        <v/>
      </c>
      <c r="BP565" s="1452" t="str">
        <f t="shared" si="336"/>
        <v/>
      </c>
      <c r="BQ565" s="1452" t="str">
        <f t="shared" si="337"/>
        <v/>
      </c>
      <c r="BR565" s="1452" t="str">
        <f t="shared" si="338"/>
        <v/>
      </c>
      <c r="BS565" s="1452" t="str">
        <f t="shared" si="339"/>
        <v/>
      </c>
      <c r="BT565" s="1452" t="str">
        <f t="shared" si="340"/>
        <v/>
      </c>
      <c r="BU565" s="1452" t="str">
        <f t="shared" si="341"/>
        <v/>
      </c>
      <c r="BV565" s="1452" t="str">
        <f t="shared" si="342"/>
        <v/>
      </c>
      <c r="BW565" s="1558">
        <f t="shared" ca="1" si="349"/>
        <v>0</v>
      </c>
    </row>
    <row r="566" spans="1:75" s="9" customFormat="1" ht="12.5">
      <c r="A566" s="1483" t="str">
        <f t="shared" si="343"/>
        <v>Public Health Wales Trust</v>
      </c>
      <c r="B566" s="1583"/>
      <c r="C566" s="1583"/>
      <c r="D566" s="1583"/>
      <c r="E566" s="1510"/>
      <c r="F566" s="1436"/>
      <c r="G566" s="1547">
        <f t="shared" si="344"/>
        <v>0</v>
      </c>
      <c r="H566" s="1484"/>
      <c r="I566" s="1547">
        <f t="shared" si="345"/>
        <v>0</v>
      </c>
      <c r="J566" s="1485"/>
      <c r="K566" s="1485"/>
      <c r="L566" s="1436"/>
      <c r="M566" s="1439"/>
      <c r="N566" s="1439"/>
      <c r="O566" s="1485"/>
      <c r="P566" s="1486"/>
      <c r="Q566" s="1486"/>
      <c r="R566" s="1487"/>
      <c r="S566" s="1444"/>
      <c r="T566" s="1444"/>
      <c r="U566" s="1444"/>
      <c r="V566" s="1488"/>
      <c r="W566" s="1488"/>
      <c r="X566" s="1488"/>
      <c r="Y566" s="1488"/>
      <c r="Z566" s="1488"/>
      <c r="AA566" s="1488"/>
      <c r="AB566" s="1488"/>
      <c r="AC566" s="1488"/>
      <c r="AD566" s="1488"/>
      <c r="AE566" s="1488"/>
      <c r="AF566" s="1488"/>
      <c r="AG566" s="1488"/>
      <c r="AH566" s="1451">
        <f t="shared" si="317"/>
        <v>0</v>
      </c>
      <c r="AI566" s="1488"/>
      <c r="AJ566" s="1488"/>
      <c r="AK566" s="1488"/>
      <c r="AL566" s="1488"/>
      <c r="AM566" s="1488"/>
      <c r="AN566" s="1488"/>
      <c r="AO566" s="1488"/>
      <c r="AP566" s="1488"/>
      <c r="AQ566" s="1488"/>
      <c r="AR566" s="1488"/>
      <c r="AS566" s="1488"/>
      <c r="AT566" s="1542"/>
      <c r="AU566" s="1599">
        <f t="shared" si="318"/>
        <v>0</v>
      </c>
      <c r="AV566" s="1544">
        <f t="shared" si="346"/>
        <v>0</v>
      </c>
      <c r="AW566" s="1452">
        <f t="shared" si="319"/>
        <v>0</v>
      </c>
      <c r="AX566" s="1452">
        <f t="shared" si="320"/>
        <v>0</v>
      </c>
      <c r="AY566" s="1452">
        <f t="shared" si="321"/>
        <v>0</v>
      </c>
      <c r="AZ566" s="1452">
        <f t="shared" si="322"/>
        <v>0</v>
      </c>
      <c r="BA566" s="1452">
        <f t="shared" si="323"/>
        <v>0</v>
      </c>
      <c r="BB566" s="1452">
        <f t="shared" si="324"/>
        <v>0</v>
      </c>
      <c r="BC566" s="1452">
        <f t="shared" si="325"/>
        <v>0</v>
      </c>
      <c r="BD566" s="1452">
        <f t="shared" si="326"/>
        <v>0</v>
      </c>
      <c r="BE566" s="1452">
        <f t="shared" si="327"/>
        <v>0</v>
      </c>
      <c r="BF566" s="1452">
        <f t="shared" si="328"/>
        <v>0</v>
      </c>
      <c r="BG566" s="1452">
        <f t="shared" si="329"/>
        <v>0</v>
      </c>
      <c r="BH566" s="1452">
        <f t="shared" si="330"/>
        <v>0</v>
      </c>
      <c r="BI566" s="1452">
        <f t="shared" si="347"/>
        <v>0</v>
      </c>
      <c r="BJ566" s="1452" t="str">
        <f t="shared" si="331"/>
        <v/>
      </c>
      <c r="BK566" s="1452" t="str">
        <f t="shared" si="332"/>
        <v/>
      </c>
      <c r="BL566" s="1452" t="str">
        <f t="shared" si="333"/>
        <v/>
      </c>
      <c r="BM566" s="1452" t="str">
        <f t="shared" si="334"/>
        <v/>
      </c>
      <c r="BN566" s="1452" t="str">
        <f t="shared" ca="1" si="335"/>
        <v/>
      </c>
      <c r="BO566" s="1452" t="str">
        <f t="shared" si="348"/>
        <v/>
      </c>
      <c r="BP566" s="1452" t="str">
        <f t="shared" si="336"/>
        <v/>
      </c>
      <c r="BQ566" s="1452" t="str">
        <f t="shared" si="337"/>
        <v/>
      </c>
      <c r="BR566" s="1452" t="str">
        <f t="shared" si="338"/>
        <v/>
      </c>
      <c r="BS566" s="1452" t="str">
        <f t="shared" si="339"/>
        <v/>
      </c>
      <c r="BT566" s="1452" t="str">
        <f t="shared" si="340"/>
        <v/>
      </c>
      <c r="BU566" s="1452" t="str">
        <f t="shared" si="341"/>
        <v/>
      </c>
      <c r="BV566" s="1452" t="str">
        <f t="shared" si="342"/>
        <v/>
      </c>
      <c r="BW566" s="1558">
        <f t="shared" ca="1" si="349"/>
        <v>0</v>
      </c>
    </row>
    <row r="567" spans="1:75" s="9" customFormat="1" ht="12.5">
      <c r="A567" s="1483" t="str">
        <f t="shared" si="343"/>
        <v>Public Health Wales Trust</v>
      </c>
      <c r="B567" s="1583"/>
      <c r="C567" s="1583"/>
      <c r="D567" s="1583"/>
      <c r="E567" s="1510"/>
      <c r="F567" s="1436"/>
      <c r="G567" s="1547">
        <f t="shared" si="344"/>
        <v>0</v>
      </c>
      <c r="H567" s="1484"/>
      <c r="I567" s="1547">
        <f t="shared" si="345"/>
        <v>0</v>
      </c>
      <c r="J567" s="1485"/>
      <c r="K567" s="1485"/>
      <c r="L567" s="1436"/>
      <c r="M567" s="1439"/>
      <c r="N567" s="1439"/>
      <c r="O567" s="1485"/>
      <c r="P567" s="1486"/>
      <c r="Q567" s="1486"/>
      <c r="R567" s="1487"/>
      <c r="S567" s="1444"/>
      <c r="T567" s="1444"/>
      <c r="U567" s="1444"/>
      <c r="V567" s="1488"/>
      <c r="W567" s="1488"/>
      <c r="X567" s="1488"/>
      <c r="Y567" s="1488"/>
      <c r="Z567" s="1488"/>
      <c r="AA567" s="1488"/>
      <c r="AB567" s="1488"/>
      <c r="AC567" s="1488"/>
      <c r="AD567" s="1488"/>
      <c r="AE567" s="1488"/>
      <c r="AF567" s="1488"/>
      <c r="AG567" s="1488"/>
      <c r="AH567" s="1451">
        <f t="shared" si="317"/>
        <v>0</v>
      </c>
      <c r="AI567" s="1488"/>
      <c r="AJ567" s="1488"/>
      <c r="AK567" s="1488"/>
      <c r="AL567" s="1488"/>
      <c r="AM567" s="1488"/>
      <c r="AN567" s="1488"/>
      <c r="AO567" s="1488"/>
      <c r="AP567" s="1488"/>
      <c r="AQ567" s="1488"/>
      <c r="AR567" s="1488"/>
      <c r="AS567" s="1488"/>
      <c r="AT567" s="1542"/>
      <c r="AU567" s="1599">
        <f t="shared" si="318"/>
        <v>0</v>
      </c>
      <c r="AV567" s="1544">
        <f t="shared" si="346"/>
        <v>0</v>
      </c>
      <c r="AW567" s="1452">
        <f t="shared" si="319"/>
        <v>0</v>
      </c>
      <c r="AX567" s="1452">
        <f t="shared" si="320"/>
        <v>0</v>
      </c>
      <c r="AY567" s="1452">
        <f t="shared" si="321"/>
        <v>0</v>
      </c>
      <c r="AZ567" s="1452">
        <f t="shared" si="322"/>
        <v>0</v>
      </c>
      <c r="BA567" s="1452">
        <f t="shared" si="323"/>
        <v>0</v>
      </c>
      <c r="BB567" s="1452">
        <f t="shared" si="324"/>
        <v>0</v>
      </c>
      <c r="BC567" s="1452">
        <f t="shared" si="325"/>
        <v>0</v>
      </c>
      <c r="BD567" s="1452">
        <f t="shared" si="326"/>
        <v>0</v>
      </c>
      <c r="BE567" s="1452">
        <f t="shared" si="327"/>
        <v>0</v>
      </c>
      <c r="BF567" s="1452">
        <f t="shared" si="328"/>
        <v>0</v>
      </c>
      <c r="BG567" s="1452">
        <f t="shared" si="329"/>
        <v>0</v>
      </c>
      <c r="BH567" s="1452">
        <f t="shared" si="330"/>
        <v>0</v>
      </c>
      <c r="BI567" s="1452">
        <f t="shared" si="347"/>
        <v>0</v>
      </c>
      <c r="BJ567" s="1452" t="str">
        <f t="shared" si="331"/>
        <v/>
      </c>
      <c r="BK567" s="1452" t="str">
        <f t="shared" si="332"/>
        <v/>
      </c>
      <c r="BL567" s="1452" t="str">
        <f t="shared" si="333"/>
        <v/>
      </c>
      <c r="BM567" s="1452" t="str">
        <f t="shared" si="334"/>
        <v/>
      </c>
      <c r="BN567" s="1452" t="str">
        <f t="shared" ca="1" si="335"/>
        <v/>
      </c>
      <c r="BO567" s="1452" t="str">
        <f t="shared" si="348"/>
        <v/>
      </c>
      <c r="BP567" s="1452" t="str">
        <f t="shared" si="336"/>
        <v/>
      </c>
      <c r="BQ567" s="1452" t="str">
        <f t="shared" si="337"/>
        <v/>
      </c>
      <c r="BR567" s="1452" t="str">
        <f t="shared" si="338"/>
        <v/>
      </c>
      <c r="BS567" s="1452" t="str">
        <f t="shared" si="339"/>
        <v/>
      </c>
      <c r="BT567" s="1452" t="str">
        <f t="shared" si="340"/>
        <v/>
      </c>
      <c r="BU567" s="1452" t="str">
        <f t="shared" si="341"/>
        <v/>
      </c>
      <c r="BV567" s="1452" t="str">
        <f t="shared" si="342"/>
        <v/>
      </c>
      <c r="BW567" s="1558">
        <f t="shared" ca="1" si="349"/>
        <v>0</v>
      </c>
    </row>
    <row r="568" spans="1:75" s="9" customFormat="1" ht="12.5">
      <c r="A568" s="1483" t="str">
        <f t="shared" si="343"/>
        <v>Public Health Wales Trust</v>
      </c>
      <c r="B568" s="1583"/>
      <c r="C568" s="1583"/>
      <c r="D568" s="1583"/>
      <c r="E568" s="1510"/>
      <c r="F568" s="1436"/>
      <c r="G568" s="1547">
        <f t="shared" si="344"/>
        <v>0</v>
      </c>
      <c r="H568" s="1484"/>
      <c r="I568" s="1547">
        <f t="shared" si="345"/>
        <v>0</v>
      </c>
      <c r="J568" s="1485"/>
      <c r="K568" s="1485"/>
      <c r="L568" s="1436"/>
      <c r="M568" s="1439"/>
      <c r="N568" s="1439"/>
      <c r="O568" s="1485"/>
      <c r="P568" s="1486"/>
      <c r="Q568" s="1486"/>
      <c r="R568" s="1487"/>
      <c r="S568" s="1444"/>
      <c r="T568" s="1444"/>
      <c r="U568" s="1444"/>
      <c r="V568" s="1488"/>
      <c r="W568" s="1488"/>
      <c r="X568" s="1488"/>
      <c r="Y568" s="1488"/>
      <c r="Z568" s="1488"/>
      <c r="AA568" s="1488"/>
      <c r="AB568" s="1488"/>
      <c r="AC568" s="1488"/>
      <c r="AD568" s="1488"/>
      <c r="AE568" s="1488"/>
      <c r="AF568" s="1488"/>
      <c r="AG568" s="1488"/>
      <c r="AH568" s="1451">
        <f t="shared" si="317"/>
        <v>0</v>
      </c>
      <c r="AI568" s="1488"/>
      <c r="AJ568" s="1488"/>
      <c r="AK568" s="1488"/>
      <c r="AL568" s="1488"/>
      <c r="AM568" s="1488"/>
      <c r="AN568" s="1488"/>
      <c r="AO568" s="1488"/>
      <c r="AP568" s="1488"/>
      <c r="AQ568" s="1488"/>
      <c r="AR568" s="1488"/>
      <c r="AS568" s="1488"/>
      <c r="AT568" s="1542"/>
      <c r="AU568" s="1599">
        <f t="shared" si="318"/>
        <v>0</v>
      </c>
      <c r="AV568" s="1544">
        <f t="shared" si="346"/>
        <v>0</v>
      </c>
      <c r="AW568" s="1452">
        <f t="shared" si="319"/>
        <v>0</v>
      </c>
      <c r="AX568" s="1452">
        <f t="shared" si="320"/>
        <v>0</v>
      </c>
      <c r="AY568" s="1452">
        <f t="shared" si="321"/>
        <v>0</v>
      </c>
      <c r="AZ568" s="1452">
        <f t="shared" si="322"/>
        <v>0</v>
      </c>
      <c r="BA568" s="1452">
        <f t="shared" si="323"/>
        <v>0</v>
      </c>
      <c r="BB568" s="1452">
        <f t="shared" si="324"/>
        <v>0</v>
      </c>
      <c r="BC568" s="1452">
        <f t="shared" si="325"/>
        <v>0</v>
      </c>
      <c r="BD568" s="1452">
        <f t="shared" si="326"/>
        <v>0</v>
      </c>
      <c r="BE568" s="1452">
        <f t="shared" si="327"/>
        <v>0</v>
      </c>
      <c r="BF568" s="1452">
        <f t="shared" si="328"/>
        <v>0</v>
      </c>
      <c r="BG568" s="1452">
        <f t="shared" si="329"/>
        <v>0</v>
      </c>
      <c r="BH568" s="1452">
        <f t="shared" si="330"/>
        <v>0</v>
      </c>
      <c r="BI568" s="1452">
        <f t="shared" si="347"/>
        <v>0</v>
      </c>
      <c r="BJ568" s="1452" t="str">
        <f t="shared" si="331"/>
        <v/>
      </c>
      <c r="BK568" s="1452" t="str">
        <f t="shared" si="332"/>
        <v/>
      </c>
      <c r="BL568" s="1452" t="str">
        <f t="shared" si="333"/>
        <v/>
      </c>
      <c r="BM568" s="1452" t="str">
        <f t="shared" si="334"/>
        <v/>
      </c>
      <c r="BN568" s="1452" t="str">
        <f t="shared" ca="1" si="335"/>
        <v/>
      </c>
      <c r="BO568" s="1452" t="str">
        <f t="shared" si="348"/>
        <v/>
      </c>
      <c r="BP568" s="1452" t="str">
        <f t="shared" si="336"/>
        <v/>
      </c>
      <c r="BQ568" s="1452" t="str">
        <f t="shared" si="337"/>
        <v/>
      </c>
      <c r="BR568" s="1452" t="str">
        <f t="shared" si="338"/>
        <v/>
      </c>
      <c r="BS568" s="1452" t="str">
        <f t="shared" si="339"/>
        <v/>
      </c>
      <c r="BT568" s="1452" t="str">
        <f t="shared" si="340"/>
        <v/>
      </c>
      <c r="BU568" s="1452" t="str">
        <f t="shared" si="341"/>
        <v/>
      </c>
      <c r="BV568" s="1452" t="str">
        <f t="shared" si="342"/>
        <v/>
      </c>
      <c r="BW568" s="1558">
        <f t="shared" ca="1" si="349"/>
        <v>0</v>
      </c>
    </row>
    <row r="569" spans="1:75" s="9" customFormat="1" ht="12.5">
      <c r="A569" s="1483" t="str">
        <f t="shared" si="343"/>
        <v>Public Health Wales Trust</v>
      </c>
      <c r="B569" s="1583"/>
      <c r="C569" s="1583"/>
      <c r="D569" s="1583"/>
      <c r="E569" s="1585"/>
      <c r="F569" s="1436"/>
      <c r="G569" s="1547">
        <f t="shared" si="344"/>
        <v>0</v>
      </c>
      <c r="H569" s="1484"/>
      <c r="I569" s="1547">
        <f t="shared" si="345"/>
        <v>0</v>
      </c>
      <c r="J569" s="1485"/>
      <c r="K569" s="1485"/>
      <c r="L569" s="1436"/>
      <c r="M569" s="1439"/>
      <c r="N569" s="1439"/>
      <c r="O569" s="1485"/>
      <c r="P569" s="1486"/>
      <c r="Q569" s="1486"/>
      <c r="R569" s="1487"/>
      <c r="S569" s="1444"/>
      <c r="T569" s="1444"/>
      <c r="U569" s="1444"/>
      <c r="V569" s="1488"/>
      <c r="W569" s="1488"/>
      <c r="X569" s="1488"/>
      <c r="Y569" s="1488"/>
      <c r="Z569" s="1488"/>
      <c r="AA569" s="1488"/>
      <c r="AB569" s="1488"/>
      <c r="AC569" s="1488"/>
      <c r="AD569" s="1488"/>
      <c r="AE569" s="1488"/>
      <c r="AF569" s="1488"/>
      <c r="AG569" s="1488"/>
      <c r="AH569" s="1451">
        <f t="shared" si="317"/>
        <v>0</v>
      </c>
      <c r="AI569" s="1488"/>
      <c r="AJ569" s="1488"/>
      <c r="AK569" s="1488"/>
      <c r="AL569" s="1488"/>
      <c r="AM569" s="1488"/>
      <c r="AN569" s="1488"/>
      <c r="AO569" s="1488"/>
      <c r="AP569" s="1488"/>
      <c r="AQ569" s="1488"/>
      <c r="AR569" s="1488"/>
      <c r="AS569" s="1488"/>
      <c r="AT569" s="1542"/>
      <c r="AU569" s="1599">
        <f t="shared" si="318"/>
        <v>0</v>
      </c>
      <c r="AV569" s="1544">
        <f t="shared" si="346"/>
        <v>0</v>
      </c>
      <c r="AW569" s="1452">
        <f t="shared" si="319"/>
        <v>0</v>
      </c>
      <c r="AX569" s="1452">
        <f t="shared" si="320"/>
        <v>0</v>
      </c>
      <c r="AY569" s="1452">
        <f t="shared" si="321"/>
        <v>0</v>
      </c>
      <c r="AZ569" s="1452">
        <f t="shared" si="322"/>
        <v>0</v>
      </c>
      <c r="BA569" s="1452">
        <f t="shared" si="323"/>
        <v>0</v>
      </c>
      <c r="BB569" s="1452">
        <f t="shared" si="324"/>
        <v>0</v>
      </c>
      <c r="BC569" s="1452">
        <f t="shared" si="325"/>
        <v>0</v>
      </c>
      <c r="BD569" s="1452">
        <f t="shared" si="326"/>
        <v>0</v>
      </c>
      <c r="BE569" s="1452">
        <f t="shared" si="327"/>
        <v>0</v>
      </c>
      <c r="BF569" s="1452">
        <f t="shared" si="328"/>
        <v>0</v>
      </c>
      <c r="BG569" s="1452">
        <f t="shared" si="329"/>
        <v>0</v>
      </c>
      <c r="BH569" s="1452">
        <f t="shared" si="330"/>
        <v>0</v>
      </c>
      <c r="BI569" s="1452">
        <f t="shared" si="347"/>
        <v>0</v>
      </c>
      <c r="BJ569" s="1452" t="str">
        <f t="shared" si="331"/>
        <v/>
      </c>
      <c r="BK569" s="1452" t="str">
        <f t="shared" si="332"/>
        <v/>
      </c>
      <c r="BL569" s="1452" t="str">
        <f t="shared" si="333"/>
        <v/>
      </c>
      <c r="BM569" s="1452" t="str">
        <f t="shared" si="334"/>
        <v/>
      </c>
      <c r="BN569" s="1452" t="str">
        <f t="shared" ca="1" si="335"/>
        <v/>
      </c>
      <c r="BO569" s="1452" t="str">
        <f t="shared" si="348"/>
        <v/>
      </c>
      <c r="BP569" s="1452" t="str">
        <f t="shared" si="336"/>
        <v/>
      </c>
      <c r="BQ569" s="1452" t="str">
        <f t="shared" si="337"/>
        <v/>
      </c>
      <c r="BR569" s="1452" t="str">
        <f t="shared" si="338"/>
        <v/>
      </c>
      <c r="BS569" s="1452" t="str">
        <f t="shared" si="339"/>
        <v/>
      </c>
      <c r="BT569" s="1452" t="str">
        <f t="shared" si="340"/>
        <v/>
      </c>
      <c r="BU569" s="1452" t="str">
        <f t="shared" si="341"/>
        <v/>
      </c>
      <c r="BV569" s="1452" t="str">
        <f t="shared" si="342"/>
        <v/>
      </c>
      <c r="BW569" s="1558">
        <f t="shared" ca="1" si="349"/>
        <v>0</v>
      </c>
    </row>
    <row r="570" spans="1:75" s="9" customFormat="1" ht="12.5">
      <c r="A570" s="1483" t="str">
        <f t="shared" si="343"/>
        <v>Public Health Wales Trust</v>
      </c>
      <c r="B570" s="1583"/>
      <c r="C570" s="1583"/>
      <c r="D570" s="1583"/>
      <c r="E570" s="1585"/>
      <c r="F570" s="1436"/>
      <c r="G570" s="1547">
        <f t="shared" si="344"/>
        <v>0</v>
      </c>
      <c r="H570" s="1484"/>
      <c r="I570" s="1547">
        <f t="shared" si="345"/>
        <v>0</v>
      </c>
      <c r="J570" s="1485"/>
      <c r="K570" s="1485"/>
      <c r="L570" s="1436"/>
      <c r="M570" s="1439"/>
      <c r="N570" s="1439"/>
      <c r="O570" s="1485"/>
      <c r="P570" s="1486"/>
      <c r="Q570" s="1486"/>
      <c r="R570" s="1487"/>
      <c r="S570" s="1444"/>
      <c r="T570" s="1444"/>
      <c r="U570" s="1444"/>
      <c r="V570" s="1488"/>
      <c r="W570" s="1488"/>
      <c r="X570" s="1488"/>
      <c r="Y570" s="1488"/>
      <c r="Z570" s="1488"/>
      <c r="AA570" s="1488"/>
      <c r="AB570" s="1488"/>
      <c r="AC570" s="1488"/>
      <c r="AD570" s="1488"/>
      <c r="AE570" s="1488"/>
      <c r="AF570" s="1488"/>
      <c r="AG570" s="1488"/>
      <c r="AH570" s="1451">
        <f t="shared" si="317"/>
        <v>0</v>
      </c>
      <c r="AI570" s="1488"/>
      <c r="AJ570" s="1488"/>
      <c r="AK570" s="1488"/>
      <c r="AL570" s="1488"/>
      <c r="AM570" s="1488"/>
      <c r="AN570" s="1488"/>
      <c r="AO570" s="1488"/>
      <c r="AP570" s="1488"/>
      <c r="AQ570" s="1488"/>
      <c r="AR570" s="1488"/>
      <c r="AS570" s="1488"/>
      <c r="AT570" s="1542"/>
      <c r="AU570" s="1599">
        <f t="shared" si="318"/>
        <v>0</v>
      </c>
      <c r="AV570" s="1544">
        <f t="shared" si="346"/>
        <v>0</v>
      </c>
      <c r="AW570" s="1452">
        <f t="shared" si="319"/>
        <v>0</v>
      </c>
      <c r="AX570" s="1452">
        <f t="shared" si="320"/>
        <v>0</v>
      </c>
      <c r="AY570" s="1452">
        <f t="shared" si="321"/>
        <v>0</v>
      </c>
      <c r="AZ570" s="1452">
        <f t="shared" si="322"/>
        <v>0</v>
      </c>
      <c r="BA570" s="1452">
        <f t="shared" si="323"/>
        <v>0</v>
      </c>
      <c r="BB570" s="1452">
        <f t="shared" si="324"/>
        <v>0</v>
      </c>
      <c r="BC570" s="1452">
        <f t="shared" si="325"/>
        <v>0</v>
      </c>
      <c r="BD570" s="1452">
        <f t="shared" si="326"/>
        <v>0</v>
      </c>
      <c r="BE570" s="1452">
        <f t="shared" si="327"/>
        <v>0</v>
      </c>
      <c r="BF570" s="1452">
        <f t="shared" si="328"/>
        <v>0</v>
      </c>
      <c r="BG570" s="1452">
        <f t="shared" si="329"/>
        <v>0</v>
      </c>
      <c r="BH570" s="1452">
        <f t="shared" si="330"/>
        <v>0</v>
      </c>
      <c r="BI570" s="1452">
        <f t="shared" si="347"/>
        <v>0</v>
      </c>
      <c r="BJ570" s="1452" t="str">
        <f t="shared" si="331"/>
        <v/>
      </c>
      <c r="BK570" s="1452" t="str">
        <f t="shared" si="332"/>
        <v/>
      </c>
      <c r="BL570" s="1452" t="str">
        <f t="shared" si="333"/>
        <v/>
      </c>
      <c r="BM570" s="1452" t="str">
        <f t="shared" si="334"/>
        <v/>
      </c>
      <c r="BN570" s="1452" t="str">
        <f t="shared" ca="1" si="335"/>
        <v/>
      </c>
      <c r="BO570" s="1452" t="str">
        <f t="shared" si="348"/>
        <v/>
      </c>
      <c r="BP570" s="1452" t="str">
        <f t="shared" si="336"/>
        <v/>
      </c>
      <c r="BQ570" s="1452" t="str">
        <f t="shared" si="337"/>
        <v/>
      </c>
      <c r="BR570" s="1452" t="str">
        <f t="shared" si="338"/>
        <v/>
      </c>
      <c r="BS570" s="1452" t="str">
        <f t="shared" si="339"/>
        <v/>
      </c>
      <c r="BT570" s="1452" t="str">
        <f t="shared" si="340"/>
        <v/>
      </c>
      <c r="BU570" s="1452" t="str">
        <f t="shared" si="341"/>
        <v/>
      </c>
      <c r="BV570" s="1452" t="str">
        <f t="shared" si="342"/>
        <v/>
      </c>
      <c r="BW570" s="1558">
        <f t="shared" ca="1" si="349"/>
        <v>0</v>
      </c>
    </row>
    <row r="571" spans="1:75" s="9" customFormat="1" ht="12.5">
      <c r="A571" s="1483" t="str">
        <f t="shared" si="343"/>
        <v>Public Health Wales Trust</v>
      </c>
      <c r="B571" s="1583"/>
      <c r="C571" s="1583"/>
      <c r="D571" s="1583"/>
      <c r="E571" s="1585"/>
      <c r="F571" s="1436"/>
      <c r="G571" s="1547">
        <f t="shared" si="344"/>
        <v>0</v>
      </c>
      <c r="H571" s="1484"/>
      <c r="I571" s="1547">
        <f t="shared" si="345"/>
        <v>0</v>
      </c>
      <c r="J571" s="1485"/>
      <c r="K571" s="1485"/>
      <c r="L571" s="1436"/>
      <c r="M571" s="1439"/>
      <c r="N571" s="1439"/>
      <c r="O571" s="1485"/>
      <c r="P571" s="1486"/>
      <c r="Q571" s="1486"/>
      <c r="R571" s="1487"/>
      <c r="S571" s="1444"/>
      <c r="T571" s="1444"/>
      <c r="U571" s="1444"/>
      <c r="V571" s="1488"/>
      <c r="W571" s="1488"/>
      <c r="X571" s="1488"/>
      <c r="Y571" s="1488"/>
      <c r="Z571" s="1488"/>
      <c r="AA571" s="1488"/>
      <c r="AB571" s="1488"/>
      <c r="AC571" s="1488"/>
      <c r="AD571" s="1488"/>
      <c r="AE571" s="1488"/>
      <c r="AF571" s="1488"/>
      <c r="AG571" s="1488"/>
      <c r="AH571" s="1451">
        <f t="shared" si="317"/>
        <v>0</v>
      </c>
      <c r="AI571" s="1488"/>
      <c r="AJ571" s="1488"/>
      <c r="AK571" s="1488"/>
      <c r="AL571" s="1488"/>
      <c r="AM571" s="1488"/>
      <c r="AN571" s="1488"/>
      <c r="AO571" s="1488"/>
      <c r="AP571" s="1488"/>
      <c r="AQ571" s="1488"/>
      <c r="AR571" s="1488"/>
      <c r="AS571" s="1488"/>
      <c r="AT571" s="1542"/>
      <c r="AU571" s="1599">
        <f t="shared" si="318"/>
        <v>0</v>
      </c>
      <c r="AV571" s="1544">
        <f t="shared" si="346"/>
        <v>0</v>
      </c>
      <c r="AW571" s="1452">
        <f t="shared" si="319"/>
        <v>0</v>
      </c>
      <c r="AX571" s="1452">
        <f t="shared" si="320"/>
        <v>0</v>
      </c>
      <c r="AY571" s="1452">
        <f t="shared" si="321"/>
        <v>0</v>
      </c>
      <c r="AZ571" s="1452">
        <f t="shared" si="322"/>
        <v>0</v>
      </c>
      <c r="BA571" s="1452">
        <f t="shared" si="323"/>
        <v>0</v>
      </c>
      <c r="BB571" s="1452">
        <f t="shared" si="324"/>
        <v>0</v>
      </c>
      <c r="BC571" s="1452">
        <f t="shared" si="325"/>
        <v>0</v>
      </c>
      <c r="BD571" s="1452">
        <f t="shared" si="326"/>
        <v>0</v>
      </c>
      <c r="BE571" s="1452">
        <f t="shared" si="327"/>
        <v>0</v>
      </c>
      <c r="BF571" s="1452">
        <f t="shared" si="328"/>
        <v>0</v>
      </c>
      <c r="BG571" s="1452">
        <f t="shared" si="329"/>
        <v>0</v>
      </c>
      <c r="BH571" s="1452">
        <f t="shared" si="330"/>
        <v>0</v>
      </c>
      <c r="BI571" s="1452">
        <f t="shared" si="347"/>
        <v>0</v>
      </c>
      <c r="BJ571" s="1452" t="str">
        <f t="shared" si="331"/>
        <v/>
      </c>
      <c r="BK571" s="1452" t="str">
        <f t="shared" si="332"/>
        <v/>
      </c>
      <c r="BL571" s="1452" t="str">
        <f t="shared" si="333"/>
        <v/>
      </c>
      <c r="BM571" s="1452" t="str">
        <f t="shared" si="334"/>
        <v/>
      </c>
      <c r="BN571" s="1452" t="str">
        <f t="shared" ca="1" si="335"/>
        <v/>
      </c>
      <c r="BO571" s="1452" t="str">
        <f t="shared" si="348"/>
        <v/>
      </c>
      <c r="BP571" s="1452" t="str">
        <f t="shared" si="336"/>
        <v/>
      </c>
      <c r="BQ571" s="1452" t="str">
        <f t="shared" si="337"/>
        <v/>
      </c>
      <c r="BR571" s="1452" t="str">
        <f t="shared" si="338"/>
        <v/>
      </c>
      <c r="BS571" s="1452" t="str">
        <f t="shared" si="339"/>
        <v/>
      </c>
      <c r="BT571" s="1452" t="str">
        <f t="shared" si="340"/>
        <v/>
      </c>
      <c r="BU571" s="1452" t="str">
        <f t="shared" si="341"/>
        <v/>
      </c>
      <c r="BV571" s="1452" t="str">
        <f t="shared" si="342"/>
        <v/>
      </c>
      <c r="BW571" s="1558">
        <f t="shared" ca="1" si="349"/>
        <v>0</v>
      </c>
    </row>
    <row r="572" spans="1:75" s="9" customFormat="1" ht="12.5">
      <c r="A572" s="1483" t="str">
        <f t="shared" si="343"/>
        <v>Public Health Wales Trust</v>
      </c>
      <c r="B572" s="1583"/>
      <c r="C572" s="1583"/>
      <c r="D572" s="1583"/>
      <c r="E572" s="1585"/>
      <c r="F572" s="1436"/>
      <c r="G572" s="1547">
        <f t="shared" si="344"/>
        <v>0</v>
      </c>
      <c r="H572" s="1484"/>
      <c r="I572" s="1547">
        <f t="shared" si="345"/>
        <v>0</v>
      </c>
      <c r="J572" s="1485"/>
      <c r="K572" s="1485"/>
      <c r="L572" s="1436"/>
      <c r="M572" s="1439"/>
      <c r="N572" s="1439"/>
      <c r="O572" s="1485"/>
      <c r="P572" s="1486"/>
      <c r="Q572" s="1486"/>
      <c r="R572" s="1487"/>
      <c r="S572" s="1444"/>
      <c r="T572" s="1444"/>
      <c r="U572" s="1444"/>
      <c r="V572" s="1488"/>
      <c r="W572" s="1488"/>
      <c r="X572" s="1488"/>
      <c r="Y572" s="1488"/>
      <c r="Z572" s="1488"/>
      <c r="AA572" s="1488"/>
      <c r="AB572" s="1488"/>
      <c r="AC572" s="1488"/>
      <c r="AD572" s="1488"/>
      <c r="AE572" s="1488"/>
      <c r="AF572" s="1488"/>
      <c r="AG572" s="1488"/>
      <c r="AH572" s="1451">
        <f t="shared" si="317"/>
        <v>0</v>
      </c>
      <c r="AI572" s="1488"/>
      <c r="AJ572" s="1488"/>
      <c r="AK572" s="1488"/>
      <c r="AL572" s="1488"/>
      <c r="AM572" s="1488"/>
      <c r="AN572" s="1488"/>
      <c r="AO572" s="1488"/>
      <c r="AP572" s="1488"/>
      <c r="AQ572" s="1488"/>
      <c r="AR572" s="1488"/>
      <c r="AS572" s="1488"/>
      <c r="AT572" s="1542"/>
      <c r="AU572" s="1599">
        <f t="shared" si="318"/>
        <v>0</v>
      </c>
      <c r="AV572" s="1544">
        <f t="shared" si="346"/>
        <v>0</v>
      </c>
      <c r="AW572" s="1452">
        <f t="shared" si="319"/>
        <v>0</v>
      </c>
      <c r="AX572" s="1452">
        <f t="shared" si="320"/>
        <v>0</v>
      </c>
      <c r="AY572" s="1452">
        <f t="shared" si="321"/>
        <v>0</v>
      </c>
      <c r="AZ572" s="1452">
        <f t="shared" si="322"/>
        <v>0</v>
      </c>
      <c r="BA572" s="1452">
        <f t="shared" si="323"/>
        <v>0</v>
      </c>
      <c r="BB572" s="1452">
        <f t="shared" si="324"/>
        <v>0</v>
      </c>
      <c r="BC572" s="1452">
        <f t="shared" si="325"/>
        <v>0</v>
      </c>
      <c r="BD572" s="1452">
        <f t="shared" si="326"/>
        <v>0</v>
      </c>
      <c r="BE572" s="1452">
        <f t="shared" si="327"/>
        <v>0</v>
      </c>
      <c r="BF572" s="1452">
        <f t="shared" si="328"/>
        <v>0</v>
      </c>
      <c r="BG572" s="1452">
        <f t="shared" si="329"/>
        <v>0</v>
      </c>
      <c r="BH572" s="1452">
        <f t="shared" si="330"/>
        <v>0</v>
      </c>
      <c r="BI572" s="1452">
        <f t="shared" si="347"/>
        <v>0</v>
      </c>
      <c r="BJ572" s="1452" t="str">
        <f t="shared" si="331"/>
        <v/>
      </c>
      <c r="BK572" s="1452" t="str">
        <f t="shared" si="332"/>
        <v/>
      </c>
      <c r="BL572" s="1452" t="str">
        <f t="shared" si="333"/>
        <v/>
      </c>
      <c r="BM572" s="1452" t="str">
        <f t="shared" si="334"/>
        <v/>
      </c>
      <c r="BN572" s="1452" t="str">
        <f t="shared" ca="1" si="335"/>
        <v/>
      </c>
      <c r="BO572" s="1452" t="str">
        <f t="shared" si="348"/>
        <v/>
      </c>
      <c r="BP572" s="1452" t="str">
        <f t="shared" si="336"/>
        <v/>
      </c>
      <c r="BQ572" s="1452" t="str">
        <f t="shared" si="337"/>
        <v/>
      </c>
      <c r="BR572" s="1452" t="str">
        <f t="shared" si="338"/>
        <v/>
      </c>
      <c r="BS572" s="1452" t="str">
        <f t="shared" si="339"/>
        <v/>
      </c>
      <c r="BT572" s="1452" t="str">
        <f t="shared" si="340"/>
        <v/>
      </c>
      <c r="BU572" s="1452" t="str">
        <f t="shared" si="341"/>
        <v/>
      </c>
      <c r="BV572" s="1452" t="str">
        <f t="shared" si="342"/>
        <v/>
      </c>
      <c r="BW572" s="1558">
        <f t="shared" ca="1" si="349"/>
        <v>0</v>
      </c>
    </row>
    <row r="573" spans="1:75" s="9" customFormat="1" ht="12.5">
      <c r="A573" s="1483" t="str">
        <f t="shared" si="343"/>
        <v>Public Health Wales Trust</v>
      </c>
      <c r="B573" s="1583"/>
      <c r="C573" s="1583"/>
      <c r="D573" s="1583"/>
      <c r="E573" s="1585"/>
      <c r="F573" s="1436"/>
      <c r="G573" s="1547">
        <f t="shared" si="344"/>
        <v>0</v>
      </c>
      <c r="H573" s="1484"/>
      <c r="I573" s="1547">
        <f t="shared" si="345"/>
        <v>0</v>
      </c>
      <c r="J573" s="1485"/>
      <c r="K573" s="1485"/>
      <c r="L573" s="1436"/>
      <c r="M573" s="1439"/>
      <c r="N573" s="1439"/>
      <c r="O573" s="1485"/>
      <c r="P573" s="1486"/>
      <c r="Q573" s="1486"/>
      <c r="R573" s="1487"/>
      <c r="S573" s="1444"/>
      <c r="T573" s="1444"/>
      <c r="U573" s="1444"/>
      <c r="V573" s="1488"/>
      <c r="W573" s="1488"/>
      <c r="X573" s="1488"/>
      <c r="Y573" s="1488"/>
      <c r="Z573" s="1488"/>
      <c r="AA573" s="1488"/>
      <c r="AB573" s="1488"/>
      <c r="AC573" s="1488"/>
      <c r="AD573" s="1488"/>
      <c r="AE573" s="1488"/>
      <c r="AF573" s="1488"/>
      <c r="AG573" s="1488"/>
      <c r="AH573" s="1451">
        <f t="shared" si="317"/>
        <v>0</v>
      </c>
      <c r="AI573" s="1488"/>
      <c r="AJ573" s="1488"/>
      <c r="AK573" s="1488"/>
      <c r="AL573" s="1488"/>
      <c r="AM573" s="1488"/>
      <c r="AN573" s="1488"/>
      <c r="AO573" s="1488"/>
      <c r="AP573" s="1488"/>
      <c r="AQ573" s="1488"/>
      <c r="AR573" s="1488"/>
      <c r="AS573" s="1488"/>
      <c r="AT573" s="1542"/>
      <c r="AU573" s="1599">
        <f t="shared" si="318"/>
        <v>0</v>
      </c>
      <c r="AV573" s="1544">
        <f t="shared" si="346"/>
        <v>0</v>
      </c>
      <c r="AW573" s="1452">
        <f t="shared" si="319"/>
        <v>0</v>
      </c>
      <c r="AX573" s="1452">
        <f t="shared" si="320"/>
        <v>0</v>
      </c>
      <c r="AY573" s="1452">
        <f t="shared" si="321"/>
        <v>0</v>
      </c>
      <c r="AZ573" s="1452">
        <f t="shared" si="322"/>
        <v>0</v>
      </c>
      <c r="BA573" s="1452">
        <f t="shared" si="323"/>
        <v>0</v>
      </c>
      <c r="BB573" s="1452">
        <f t="shared" si="324"/>
        <v>0</v>
      </c>
      <c r="BC573" s="1452">
        <f t="shared" si="325"/>
        <v>0</v>
      </c>
      <c r="BD573" s="1452">
        <f t="shared" si="326"/>
        <v>0</v>
      </c>
      <c r="BE573" s="1452">
        <f t="shared" si="327"/>
        <v>0</v>
      </c>
      <c r="BF573" s="1452">
        <f t="shared" si="328"/>
        <v>0</v>
      </c>
      <c r="BG573" s="1452">
        <f t="shared" si="329"/>
        <v>0</v>
      </c>
      <c r="BH573" s="1452">
        <f t="shared" si="330"/>
        <v>0</v>
      </c>
      <c r="BI573" s="1452">
        <f t="shared" si="347"/>
        <v>0</v>
      </c>
      <c r="BJ573" s="1452" t="str">
        <f t="shared" si="331"/>
        <v/>
      </c>
      <c r="BK573" s="1452" t="str">
        <f t="shared" si="332"/>
        <v/>
      </c>
      <c r="BL573" s="1452" t="str">
        <f t="shared" si="333"/>
        <v/>
      </c>
      <c r="BM573" s="1452" t="str">
        <f t="shared" si="334"/>
        <v/>
      </c>
      <c r="BN573" s="1452" t="str">
        <f t="shared" ca="1" si="335"/>
        <v/>
      </c>
      <c r="BO573" s="1452" t="str">
        <f t="shared" si="348"/>
        <v/>
      </c>
      <c r="BP573" s="1452" t="str">
        <f t="shared" si="336"/>
        <v/>
      </c>
      <c r="BQ573" s="1452" t="str">
        <f t="shared" si="337"/>
        <v/>
      </c>
      <c r="BR573" s="1452" t="str">
        <f t="shared" si="338"/>
        <v/>
      </c>
      <c r="BS573" s="1452" t="str">
        <f t="shared" si="339"/>
        <v/>
      </c>
      <c r="BT573" s="1452" t="str">
        <f t="shared" si="340"/>
        <v/>
      </c>
      <c r="BU573" s="1452" t="str">
        <f t="shared" si="341"/>
        <v/>
      </c>
      <c r="BV573" s="1452" t="str">
        <f t="shared" si="342"/>
        <v/>
      </c>
      <c r="BW573" s="1558">
        <f t="shared" ca="1" si="349"/>
        <v>0</v>
      </c>
    </row>
    <row r="574" spans="1:75" s="9" customFormat="1" ht="12.5">
      <c r="A574" s="1483" t="str">
        <f t="shared" si="343"/>
        <v>Public Health Wales Trust</v>
      </c>
      <c r="B574" s="1583"/>
      <c r="C574" s="1583"/>
      <c r="D574" s="1583"/>
      <c r="E574" s="1585"/>
      <c r="F574" s="1436"/>
      <c r="G574" s="1547">
        <f t="shared" si="344"/>
        <v>0</v>
      </c>
      <c r="H574" s="1484"/>
      <c r="I574" s="1547">
        <f t="shared" si="345"/>
        <v>0</v>
      </c>
      <c r="J574" s="1485"/>
      <c r="K574" s="1485"/>
      <c r="L574" s="1436"/>
      <c r="M574" s="1439"/>
      <c r="N574" s="1439"/>
      <c r="O574" s="1485"/>
      <c r="P574" s="1486"/>
      <c r="Q574" s="1486"/>
      <c r="R574" s="1487"/>
      <c r="S574" s="1444"/>
      <c r="T574" s="1444"/>
      <c r="U574" s="1444"/>
      <c r="V574" s="1488"/>
      <c r="W574" s="1488"/>
      <c r="X574" s="1488"/>
      <c r="Y574" s="1488"/>
      <c r="Z574" s="1488"/>
      <c r="AA574" s="1488"/>
      <c r="AB574" s="1488"/>
      <c r="AC574" s="1488"/>
      <c r="AD574" s="1488"/>
      <c r="AE574" s="1488"/>
      <c r="AF574" s="1488"/>
      <c r="AG574" s="1488"/>
      <c r="AH574" s="1451">
        <f t="shared" si="317"/>
        <v>0</v>
      </c>
      <c r="AI574" s="1488"/>
      <c r="AJ574" s="1488"/>
      <c r="AK574" s="1488"/>
      <c r="AL574" s="1488"/>
      <c r="AM574" s="1488"/>
      <c r="AN574" s="1488"/>
      <c r="AO574" s="1488"/>
      <c r="AP574" s="1488"/>
      <c r="AQ574" s="1488"/>
      <c r="AR574" s="1488"/>
      <c r="AS574" s="1488"/>
      <c r="AT574" s="1542"/>
      <c r="AU574" s="1599">
        <f t="shared" si="318"/>
        <v>0</v>
      </c>
      <c r="AV574" s="1544">
        <f t="shared" si="346"/>
        <v>0</v>
      </c>
      <c r="AW574" s="1452">
        <f t="shared" si="319"/>
        <v>0</v>
      </c>
      <c r="AX574" s="1452">
        <f t="shared" si="320"/>
        <v>0</v>
      </c>
      <c r="AY574" s="1452">
        <f t="shared" si="321"/>
        <v>0</v>
      </c>
      <c r="AZ574" s="1452">
        <f t="shared" si="322"/>
        <v>0</v>
      </c>
      <c r="BA574" s="1452">
        <f t="shared" si="323"/>
        <v>0</v>
      </c>
      <c r="BB574" s="1452">
        <f t="shared" si="324"/>
        <v>0</v>
      </c>
      <c r="BC574" s="1452">
        <f t="shared" si="325"/>
        <v>0</v>
      </c>
      <c r="BD574" s="1452">
        <f t="shared" si="326"/>
        <v>0</v>
      </c>
      <c r="BE574" s="1452">
        <f t="shared" si="327"/>
        <v>0</v>
      </c>
      <c r="BF574" s="1452">
        <f t="shared" si="328"/>
        <v>0</v>
      </c>
      <c r="BG574" s="1452">
        <f t="shared" si="329"/>
        <v>0</v>
      </c>
      <c r="BH574" s="1452">
        <f t="shared" si="330"/>
        <v>0</v>
      </c>
      <c r="BI574" s="1452">
        <f t="shared" si="347"/>
        <v>0</v>
      </c>
      <c r="BJ574" s="1452" t="str">
        <f t="shared" si="331"/>
        <v/>
      </c>
      <c r="BK574" s="1452" t="str">
        <f t="shared" si="332"/>
        <v/>
      </c>
      <c r="BL574" s="1452" t="str">
        <f t="shared" si="333"/>
        <v/>
      </c>
      <c r="BM574" s="1452" t="str">
        <f t="shared" si="334"/>
        <v/>
      </c>
      <c r="BN574" s="1452" t="str">
        <f t="shared" ca="1" si="335"/>
        <v/>
      </c>
      <c r="BO574" s="1452" t="str">
        <f t="shared" si="348"/>
        <v/>
      </c>
      <c r="BP574" s="1452" t="str">
        <f t="shared" si="336"/>
        <v/>
      </c>
      <c r="BQ574" s="1452" t="str">
        <f t="shared" si="337"/>
        <v/>
      </c>
      <c r="BR574" s="1452" t="str">
        <f t="shared" si="338"/>
        <v/>
      </c>
      <c r="BS574" s="1452" t="str">
        <f t="shared" si="339"/>
        <v/>
      </c>
      <c r="BT574" s="1452" t="str">
        <f t="shared" si="340"/>
        <v/>
      </c>
      <c r="BU574" s="1452" t="str">
        <f t="shared" si="341"/>
        <v/>
      </c>
      <c r="BV574" s="1452" t="str">
        <f t="shared" si="342"/>
        <v/>
      </c>
      <c r="BW574" s="1558">
        <f t="shared" ca="1" si="349"/>
        <v>0</v>
      </c>
    </row>
    <row r="575" spans="1:75" s="9" customFormat="1" ht="12.5">
      <c r="A575" s="1483" t="str">
        <f t="shared" si="343"/>
        <v>Public Health Wales Trust</v>
      </c>
      <c r="B575" s="1583"/>
      <c r="C575" s="1583"/>
      <c r="D575" s="1583"/>
      <c r="E575" s="1585"/>
      <c r="F575" s="1436"/>
      <c r="G575" s="1547">
        <f t="shared" si="344"/>
        <v>0</v>
      </c>
      <c r="H575" s="1484"/>
      <c r="I575" s="1547">
        <f t="shared" si="345"/>
        <v>0</v>
      </c>
      <c r="J575" s="1485"/>
      <c r="K575" s="1485"/>
      <c r="L575" s="1436"/>
      <c r="M575" s="1439"/>
      <c r="N575" s="1439"/>
      <c r="O575" s="1485"/>
      <c r="P575" s="1486"/>
      <c r="Q575" s="1486"/>
      <c r="R575" s="1487"/>
      <c r="S575" s="1444"/>
      <c r="T575" s="1444"/>
      <c r="U575" s="1444"/>
      <c r="V575" s="1488"/>
      <c r="W575" s="1488"/>
      <c r="X575" s="1488"/>
      <c r="Y575" s="1488"/>
      <c r="Z575" s="1488"/>
      <c r="AA575" s="1488"/>
      <c r="AB575" s="1488"/>
      <c r="AC575" s="1488"/>
      <c r="AD575" s="1488"/>
      <c r="AE575" s="1488"/>
      <c r="AF575" s="1488"/>
      <c r="AG575" s="1488"/>
      <c r="AH575" s="1451">
        <f t="shared" si="317"/>
        <v>0</v>
      </c>
      <c r="AI575" s="1488"/>
      <c r="AJ575" s="1488"/>
      <c r="AK575" s="1488"/>
      <c r="AL575" s="1488"/>
      <c r="AM575" s="1488"/>
      <c r="AN575" s="1488"/>
      <c r="AO575" s="1488"/>
      <c r="AP575" s="1488"/>
      <c r="AQ575" s="1488"/>
      <c r="AR575" s="1488"/>
      <c r="AS575" s="1488"/>
      <c r="AT575" s="1542"/>
      <c r="AU575" s="1599">
        <f t="shared" si="318"/>
        <v>0</v>
      </c>
      <c r="AV575" s="1544">
        <f t="shared" si="346"/>
        <v>0</v>
      </c>
      <c r="AW575" s="1452">
        <f t="shared" si="319"/>
        <v>0</v>
      </c>
      <c r="AX575" s="1452">
        <f t="shared" si="320"/>
        <v>0</v>
      </c>
      <c r="AY575" s="1452">
        <f t="shared" si="321"/>
        <v>0</v>
      </c>
      <c r="AZ575" s="1452">
        <f t="shared" si="322"/>
        <v>0</v>
      </c>
      <c r="BA575" s="1452">
        <f t="shared" si="323"/>
        <v>0</v>
      </c>
      <c r="BB575" s="1452">
        <f t="shared" si="324"/>
        <v>0</v>
      </c>
      <c r="BC575" s="1452">
        <f t="shared" si="325"/>
        <v>0</v>
      </c>
      <c r="BD575" s="1452">
        <f t="shared" si="326"/>
        <v>0</v>
      </c>
      <c r="BE575" s="1452">
        <f t="shared" si="327"/>
        <v>0</v>
      </c>
      <c r="BF575" s="1452">
        <f t="shared" si="328"/>
        <v>0</v>
      </c>
      <c r="BG575" s="1452">
        <f t="shared" si="329"/>
        <v>0</v>
      </c>
      <c r="BH575" s="1452">
        <f t="shared" si="330"/>
        <v>0</v>
      </c>
      <c r="BI575" s="1452">
        <f t="shared" si="347"/>
        <v>0</v>
      </c>
      <c r="BJ575" s="1452" t="str">
        <f t="shared" si="331"/>
        <v/>
      </c>
      <c r="BK575" s="1452" t="str">
        <f t="shared" si="332"/>
        <v/>
      </c>
      <c r="BL575" s="1452" t="str">
        <f t="shared" si="333"/>
        <v/>
      </c>
      <c r="BM575" s="1452" t="str">
        <f t="shared" si="334"/>
        <v/>
      </c>
      <c r="BN575" s="1452" t="str">
        <f t="shared" ca="1" si="335"/>
        <v/>
      </c>
      <c r="BO575" s="1452" t="str">
        <f t="shared" si="348"/>
        <v/>
      </c>
      <c r="BP575" s="1452" t="str">
        <f t="shared" si="336"/>
        <v/>
      </c>
      <c r="BQ575" s="1452" t="str">
        <f t="shared" si="337"/>
        <v/>
      </c>
      <c r="BR575" s="1452" t="str">
        <f t="shared" si="338"/>
        <v/>
      </c>
      <c r="BS575" s="1452" t="str">
        <f t="shared" si="339"/>
        <v/>
      </c>
      <c r="BT575" s="1452" t="str">
        <f t="shared" si="340"/>
        <v/>
      </c>
      <c r="BU575" s="1452" t="str">
        <f t="shared" si="341"/>
        <v/>
      </c>
      <c r="BV575" s="1452" t="str">
        <f t="shared" si="342"/>
        <v/>
      </c>
      <c r="BW575" s="1558">
        <f t="shared" ca="1" si="349"/>
        <v>0</v>
      </c>
    </row>
    <row r="576" spans="1:75" s="9" customFormat="1" ht="12.5">
      <c r="A576" s="1483" t="str">
        <f t="shared" si="343"/>
        <v>Public Health Wales Trust</v>
      </c>
      <c r="B576" s="1583"/>
      <c r="C576" s="1583"/>
      <c r="D576" s="1583"/>
      <c r="E576" s="1585"/>
      <c r="F576" s="1436"/>
      <c r="G576" s="1547">
        <f t="shared" si="344"/>
        <v>0</v>
      </c>
      <c r="H576" s="1484"/>
      <c r="I576" s="1547">
        <f t="shared" si="345"/>
        <v>0</v>
      </c>
      <c r="J576" s="1485"/>
      <c r="K576" s="1485"/>
      <c r="L576" s="1436"/>
      <c r="M576" s="1439"/>
      <c r="N576" s="1439"/>
      <c r="O576" s="1485"/>
      <c r="P576" s="1486"/>
      <c r="Q576" s="1486"/>
      <c r="R576" s="1487"/>
      <c r="S576" s="1444"/>
      <c r="T576" s="1444"/>
      <c r="U576" s="1444"/>
      <c r="V576" s="1488"/>
      <c r="W576" s="1488"/>
      <c r="X576" s="1488"/>
      <c r="Y576" s="1488"/>
      <c r="Z576" s="1488"/>
      <c r="AA576" s="1488"/>
      <c r="AB576" s="1488"/>
      <c r="AC576" s="1488"/>
      <c r="AD576" s="1488"/>
      <c r="AE576" s="1488"/>
      <c r="AF576" s="1488"/>
      <c r="AG576" s="1488"/>
      <c r="AH576" s="1451">
        <f t="shared" si="317"/>
        <v>0</v>
      </c>
      <c r="AI576" s="1488"/>
      <c r="AJ576" s="1488"/>
      <c r="AK576" s="1488"/>
      <c r="AL576" s="1488"/>
      <c r="AM576" s="1488"/>
      <c r="AN576" s="1488"/>
      <c r="AO576" s="1488"/>
      <c r="AP576" s="1488"/>
      <c r="AQ576" s="1488"/>
      <c r="AR576" s="1488"/>
      <c r="AS576" s="1488"/>
      <c r="AT576" s="1542"/>
      <c r="AU576" s="1599">
        <f t="shared" si="318"/>
        <v>0</v>
      </c>
      <c r="AV576" s="1544">
        <f t="shared" si="346"/>
        <v>0</v>
      </c>
      <c r="AW576" s="1452">
        <f t="shared" si="319"/>
        <v>0</v>
      </c>
      <c r="AX576" s="1452">
        <f t="shared" si="320"/>
        <v>0</v>
      </c>
      <c r="AY576" s="1452">
        <f t="shared" si="321"/>
        <v>0</v>
      </c>
      <c r="AZ576" s="1452">
        <f t="shared" si="322"/>
        <v>0</v>
      </c>
      <c r="BA576" s="1452">
        <f t="shared" si="323"/>
        <v>0</v>
      </c>
      <c r="BB576" s="1452">
        <f t="shared" si="324"/>
        <v>0</v>
      </c>
      <c r="BC576" s="1452">
        <f t="shared" si="325"/>
        <v>0</v>
      </c>
      <c r="BD576" s="1452">
        <f t="shared" si="326"/>
        <v>0</v>
      </c>
      <c r="BE576" s="1452">
        <f t="shared" si="327"/>
        <v>0</v>
      </c>
      <c r="BF576" s="1452">
        <f t="shared" si="328"/>
        <v>0</v>
      </c>
      <c r="BG576" s="1452">
        <f t="shared" si="329"/>
        <v>0</v>
      </c>
      <c r="BH576" s="1452">
        <f t="shared" si="330"/>
        <v>0</v>
      </c>
      <c r="BI576" s="1452">
        <f t="shared" si="347"/>
        <v>0</v>
      </c>
      <c r="BJ576" s="1452" t="str">
        <f t="shared" si="331"/>
        <v/>
      </c>
      <c r="BK576" s="1452" t="str">
        <f t="shared" si="332"/>
        <v/>
      </c>
      <c r="BL576" s="1452" t="str">
        <f t="shared" si="333"/>
        <v/>
      </c>
      <c r="BM576" s="1452" t="str">
        <f t="shared" si="334"/>
        <v/>
      </c>
      <c r="BN576" s="1452" t="str">
        <f t="shared" ca="1" si="335"/>
        <v/>
      </c>
      <c r="BO576" s="1452" t="str">
        <f t="shared" si="348"/>
        <v/>
      </c>
      <c r="BP576" s="1452" t="str">
        <f t="shared" si="336"/>
        <v/>
      </c>
      <c r="BQ576" s="1452" t="str">
        <f t="shared" si="337"/>
        <v/>
      </c>
      <c r="BR576" s="1452" t="str">
        <f t="shared" si="338"/>
        <v/>
      </c>
      <c r="BS576" s="1452" t="str">
        <f t="shared" si="339"/>
        <v/>
      </c>
      <c r="BT576" s="1452" t="str">
        <f t="shared" si="340"/>
        <v/>
      </c>
      <c r="BU576" s="1452" t="str">
        <f t="shared" si="341"/>
        <v/>
      </c>
      <c r="BV576" s="1452" t="str">
        <f t="shared" si="342"/>
        <v/>
      </c>
      <c r="BW576" s="1558">
        <f t="shared" ca="1" si="349"/>
        <v>0</v>
      </c>
    </row>
    <row r="577" spans="1:75" s="9" customFormat="1" ht="12.5">
      <c r="A577" s="1483" t="str">
        <f t="shared" si="343"/>
        <v>Public Health Wales Trust</v>
      </c>
      <c r="B577" s="1583"/>
      <c r="C577" s="1583"/>
      <c r="D577" s="1583"/>
      <c r="E577" s="1585"/>
      <c r="F577" s="1436"/>
      <c r="G577" s="1547">
        <f t="shared" si="344"/>
        <v>0</v>
      </c>
      <c r="H577" s="1484"/>
      <c r="I577" s="1547">
        <f t="shared" si="345"/>
        <v>0</v>
      </c>
      <c r="J577" s="1485"/>
      <c r="K577" s="1485"/>
      <c r="L577" s="1436"/>
      <c r="M577" s="1439"/>
      <c r="N577" s="1439"/>
      <c r="O577" s="1485"/>
      <c r="P577" s="1486"/>
      <c r="Q577" s="1486"/>
      <c r="R577" s="1487"/>
      <c r="S577" s="1444"/>
      <c r="T577" s="1444"/>
      <c r="U577" s="1444"/>
      <c r="V577" s="1488"/>
      <c r="W577" s="1488"/>
      <c r="X577" s="1488"/>
      <c r="Y577" s="1488"/>
      <c r="Z577" s="1488"/>
      <c r="AA577" s="1488"/>
      <c r="AB577" s="1488"/>
      <c r="AC577" s="1488"/>
      <c r="AD577" s="1488"/>
      <c r="AE577" s="1488"/>
      <c r="AF577" s="1488"/>
      <c r="AG577" s="1488"/>
      <c r="AH577" s="1451">
        <f t="shared" si="317"/>
        <v>0</v>
      </c>
      <c r="AI577" s="1488"/>
      <c r="AJ577" s="1488"/>
      <c r="AK577" s="1488"/>
      <c r="AL577" s="1488"/>
      <c r="AM577" s="1488"/>
      <c r="AN577" s="1488"/>
      <c r="AO577" s="1488"/>
      <c r="AP577" s="1488"/>
      <c r="AQ577" s="1488"/>
      <c r="AR577" s="1488"/>
      <c r="AS577" s="1488"/>
      <c r="AT577" s="1542"/>
      <c r="AU577" s="1599">
        <f t="shared" si="318"/>
        <v>0</v>
      </c>
      <c r="AV577" s="1544">
        <f t="shared" si="346"/>
        <v>0</v>
      </c>
      <c r="AW577" s="1452">
        <f t="shared" si="319"/>
        <v>0</v>
      </c>
      <c r="AX577" s="1452">
        <f t="shared" si="320"/>
        <v>0</v>
      </c>
      <c r="AY577" s="1452">
        <f t="shared" si="321"/>
        <v>0</v>
      </c>
      <c r="AZ577" s="1452">
        <f t="shared" si="322"/>
        <v>0</v>
      </c>
      <c r="BA577" s="1452">
        <f t="shared" si="323"/>
        <v>0</v>
      </c>
      <c r="BB577" s="1452">
        <f t="shared" si="324"/>
        <v>0</v>
      </c>
      <c r="BC577" s="1452">
        <f t="shared" si="325"/>
        <v>0</v>
      </c>
      <c r="BD577" s="1452">
        <f t="shared" si="326"/>
        <v>0</v>
      </c>
      <c r="BE577" s="1452">
        <f t="shared" si="327"/>
        <v>0</v>
      </c>
      <c r="BF577" s="1452">
        <f t="shared" si="328"/>
        <v>0</v>
      </c>
      <c r="BG577" s="1452">
        <f t="shared" si="329"/>
        <v>0</v>
      </c>
      <c r="BH577" s="1452">
        <f t="shared" si="330"/>
        <v>0</v>
      </c>
      <c r="BI577" s="1452">
        <f t="shared" si="347"/>
        <v>0</v>
      </c>
      <c r="BJ577" s="1452" t="str">
        <f t="shared" si="331"/>
        <v/>
      </c>
      <c r="BK577" s="1452" t="str">
        <f t="shared" si="332"/>
        <v/>
      </c>
      <c r="BL577" s="1452" t="str">
        <f t="shared" si="333"/>
        <v/>
      </c>
      <c r="BM577" s="1452" t="str">
        <f t="shared" si="334"/>
        <v/>
      </c>
      <c r="BN577" s="1452" t="str">
        <f t="shared" ca="1" si="335"/>
        <v/>
      </c>
      <c r="BO577" s="1452" t="str">
        <f t="shared" si="348"/>
        <v/>
      </c>
      <c r="BP577" s="1452" t="str">
        <f t="shared" si="336"/>
        <v/>
      </c>
      <c r="BQ577" s="1452" t="str">
        <f t="shared" si="337"/>
        <v/>
      </c>
      <c r="BR577" s="1452" t="str">
        <f t="shared" si="338"/>
        <v/>
      </c>
      <c r="BS577" s="1452" t="str">
        <f t="shared" si="339"/>
        <v/>
      </c>
      <c r="BT577" s="1452" t="str">
        <f t="shared" si="340"/>
        <v/>
      </c>
      <c r="BU577" s="1452" t="str">
        <f t="shared" si="341"/>
        <v/>
      </c>
      <c r="BV577" s="1452" t="str">
        <f t="shared" si="342"/>
        <v/>
      </c>
      <c r="BW577" s="1558">
        <f t="shared" ca="1" si="349"/>
        <v>0</v>
      </c>
    </row>
    <row r="578" spans="1:75" s="9" customFormat="1" ht="12.5">
      <c r="A578" s="1483" t="str">
        <f t="shared" si="343"/>
        <v>Public Health Wales Trust</v>
      </c>
      <c r="B578" s="1583"/>
      <c r="C578" s="1583"/>
      <c r="D578" s="1583"/>
      <c r="E578" s="1585"/>
      <c r="F578" s="1436"/>
      <c r="G578" s="1547">
        <f t="shared" si="344"/>
        <v>0</v>
      </c>
      <c r="H578" s="1484"/>
      <c r="I578" s="1547">
        <f t="shared" si="345"/>
        <v>0</v>
      </c>
      <c r="J578" s="1485"/>
      <c r="K578" s="1485"/>
      <c r="L578" s="1436"/>
      <c r="M578" s="1439"/>
      <c r="N578" s="1439"/>
      <c r="O578" s="1485"/>
      <c r="P578" s="1486"/>
      <c r="Q578" s="1486"/>
      <c r="R578" s="1487"/>
      <c r="S578" s="1444"/>
      <c r="T578" s="1444"/>
      <c r="U578" s="1444"/>
      <c r="V578" s="1488"/>
      <c r="W578" s="1488"/>
      <c r="X578" s="1488"/>
      <c r="Y578" s="1488"/>
      <c r="Z578" s="1488"/>
      <c r="AA578" s="1488"/>
      <c r="AB578" s="1488"/>
      <c r="AC578" s="1488"/>
      <c r="AD578" s="1488"/>
      <c r="AE578" s="1488"/>
      <c r="AF578" s="1488"/>
      <c r="AG578" s="1488"/>
      <c r="AH578" s="1451">
        <f t="shared" si="317"/>
        <v>0</v>
      </c>
      <c r="AI578" s="1488"/>
      <c r="AJ578" s="1488"/>
      <c r="AK578" s="1488"/>
      <c r="AL578" s="1488"/>
      <c r="AM578" s="1488"/>
      <c r="AN578" s="1488"/>
      <c r="AO578" s="1488"/>
      <c r="AP578" s="1488"/>
      <c r="AQ578" s="1488"/>
      <c r="AR578" s="1488"/>
      <c r="AS578" s="1488"/>
      <c r="AT578" s="1542"/>
      <c r="AU578" s="1599">
        <f t="shared" si="318"/>
        <v>0</v>
      </c>
      <c r="AV578" s="1544">
        <f t="shared" si="346"/>
        <v>0</v>
      </c>
      <c r="AW578" s="1452">
        <f t="shared" si="319"/>
        <v>0</v>
      </c>
      <c r="AX578" s="1452">
        <f t="shared" si="320"/>
        <v>0</v>
      </c>
      <c r="AY578" s="1452">
        <f t="shared" si="321"/>
        <v>0</v>
      </c>
      <c r="AZ578" s="1452">
        <f t="shared" si="322"/>
        <v>0</v>
      </c>
      <c r="BA578" s="1452">
        <f t="shared" si="323"/>
        <v>0</v>
      </c>
      <c r="BB578" s="1452">
        <f t="shared" si="324"/>
        <v>0</v>
      </c>
      <c r="BC578" s="1452">
        <f t="shared" si="325"/>
        <v>0</v>
      </c>
      <c r="BD578" s="1452">
        <f t="shared" si="326"/>
        <v>0</v>
      </c>
      <c r="BE578" s="1452">
        <f t="shared" si="327"/>
        <v>0</v>
      </c>
      <c r="BF578" s="1452">
        <f t="shared" si="328"/>
        <v>0</v>
      </c>
      <c r="BG578" s="1452">
        <f t="shared" si="329"/>
        <v>0</v>
      </c>
      <c r="BH578" s="1452">
        <f t="shared" si="330"/>
        <v>0</v>
      </c>
      <c r="BI578" s="1452">
        <f t="shared" si="347"/>
        <v>0</v>
      </c>
      <c r="BJ578" s="1452" t="str">
        <f t="shared" si="331"/>
        <v/>
      </c>
      <c r="BK578" s="1452" t="str">
        <f t="shared" si="332"/>
        <v/>
      </c>
      <c r="BL578" s="1452" t="str">
        <f t="shared" si="333"/>
        <v/>
      </c>
      <c r="BM578" s="1452" t="str">
        <f t="shared" si="334"/>
        <v/>
      </c>
      <c r="BN578" s="1452" t="str">
        <f t="shared" ca="1" si="335"/>
        <v/>
      </c>
      <c r="BO578" s="1452" t="str">
        <f t="shared" si="348"/>
        <v/>
      </c>
      <c r="BP578" s="1452" t="str">
        <f t="shared" si="336"/>
        <v/>
      </c>
      <c r="BQ578" s="1452" t="str">
        <f t="shared" si="337"/>
        <v/>
      </c>
      <c r="BR578" s="1452" t="str">
        <f t="shared" si="338"/>
        <v/>
      </c>
      <c r="BS578" s="1452" t="str">
        <f t="shared" si="339"/>
        <v/>
      </c>
      <c r="BT578" s="1452" t="str">
        <f t="shared" si="340"/>
        <v/>
      </c>
      <c r="BU578" s="1452" t="str">
        <f t="shared" si="341"/>
        <v/>
      </c>
      <c r="BV578" s="1452" t="str">
        <f t="shared" si="342"/>
        <v/>
      </c>
      <c r="BW578" s="1558">
        <f t="shared" ca="1" si="349"/>
        <v>0</v>
      </c>
    </row>
    <row r="579" spans="1:75" s="9" customFormat="1" ht="12.5">
      <c r="A579" s="1483" t="str">
        <f t="shared" si="343"/>
        <v>Public Health Wales Trust</v>
      </c>
      <c r="B579" s="1583"/>
      <c r="C579" s="1583"/>
      <c r="D579" s="1583"/>
      <c r="E579" s="1585"/>
      <c r="F579" s="1436"/>
      <c r="G579" s="1547">
        <f t="shared" si="344"/>
        <v>0</v>
      </c>
      <c r="H579" s="1484"/>
      <c r="I579" s="1547">
        <f t="shared" si="345"/>
        <v>0</v>
      </c>
      <c r="J579" s="1485"/>
      <c r="K579" s="1485"/>
      <c r="L579" s="1436"/>
      <c r="M579" s="1439"/>
      <c r="N579" s="1439"/>
      <c r="O579" s="1485"/>
      <c r="P579" s="1486"/>
      <c r="Q579" s="1486"/>
      <c r="R579" s="1487"/>
      <c r="S579" s="1444"/>
      <c r="T579" s="1444"/>
      <c r="U579" s="1444"/>
      <c r="V579" s="1488"/>
      <c r="W579" s="1488"/>
      <c r="X579" s="1488"/>
      <c r="Y579" s="1488"/>
      <c r="Z579" s="1488"/>
      <c r="AA579" s="1488"/>
      <c r="AB579" s="1488"/>
      <c r="AC579" s="1488"/>
      <c r="AD579" s="1488"/>
      <c r="AE579" s="1488"/>
      <c r="AF579" s="1488"/>
      <c r="AG579" s="1488"/>
      <c r="AH579" s="1451">
        <f t="shared" si="317"/>
        <v>0</v>
      </c>
      <c r="AI579" s="1488"/>
      <c r="AJ579" s="1488"/>
      <c r="AK579" s="1488"/>
      <c r="AL579" s="1488"/>
      <c r="AM579" s="1488"/>
      <c r="AN579" s="1488"/>
      <c r="AO579" s="1488"/>
      <c r="AP579" s="1488"/>
      <c r="AQ579" s="1488"/>
      <c r="AR579" s="1488"/>
      <c r="AS579" s="1488"/>
      <c r="AT579" s="1542"/>
      <c r="AU579" s="1599">
        <f t="shared" si="318"/>
        <v>0</v>
      </c>
      <c r="AV579" s="1544">
        <f t="shared" si="346"/>
        <v>0</v>
      </c>
      <c r="AW579" s="1452">
        <f t="shared" si="319"/>
        <v>0</v>
      </c>
      <c r="AX579" s="1452">
        <f t="shared" si="320"/>
        <v>0</v>
      </c>
      <c r="AY579" s="1452">
        <f t="shared" si="321"/>
        <v>0</v>
      </c>
      <c r="AZ579" s="1452">
        <f t="shared" si="322"/>
        <v>0</v>
      </c>
      <c r="BA579" s="1452">
        <f t="shared" si="323"/>
        <v>0</v>
      </c>
      <c r="BB579" s="1452">
        <f t="shared" si="324"/>
        <v>0</v>
      </c>
      <c r="BC579" s="1452">
        <f t="shared" si="325"/>
        <v>0</v>
      </c>
      <c r="BD579" s="1452">
        <f t="shared" si="326"/>
        <v>0</v>
      </c>
      <c r="BE579" s="1452">
        <f t="shared" si="327"/>
        <v>0</v>
      </c>
      <c r="BF579" s="1452">
        <f t="shared" si="328"/>
        <v>0</v>
      </c>
      <c r="BG579" s="1452">
        <f t="shared" si="329"/>
        <v>0</v>
      </c>
      <c r="BH579" s="1452">
        <f t="shared" si="330"/>
        <v>0</v>
      </c>
      <c r="BI579" s="1452">
        <f t="shared" si="347"/>
        <v>0</v>
      </c>
      <c r="BJ579" s="1452" t="str">
        <f t="shared" si="331"/>
        <v/>
      </c>
      <c r="BK579" s="1452" t="str">
        <f t="shared" si="332"/>
        <v/>
      </c>
      <c r="BL579" s="1452" t="str">
        <f t="shared" si="333"/>
        <v/>
      </c>
      <c r="BM579" s="1452" t="str">
        <f t="shared" si="334"/>
        <v/>
      </c>
      <c r="BN579" s="1452" t="str">
        <f t="shared" ca="1" si="335"/>
        <v/>
      </c>
      <c r="BO579" s="1452" t="str">
        <f t="shared" si="348"/>
        <v/>
      </c>
      <c r="BP579" s="1452" t="str">
        <f t="shared" si="336"/>
        <v/>
      </c>
      <c r="BQ579" s="1452" t="str">
        <f t="shared" si="337"/>
        <v/>
      </c>
      <c r="BR579" s="1452" t="str">
        <f t="shared" si="338"/>
        <v/>
      </c>
      <c r="BS579" s="1452" t="str">
        <f t="shared" si="339"/>
        <v/>
      </c>
      <c r="BT579" s="1452" t="str">
        <f t="shared" si="340"/>
        <v/>
      </c>
      <c r="BU579" s="1452" t="str">
        <f t="shared" si="341"/>
        <v/>
      </c>
      <c r="BV579" s="1452" t="str">
        <f t="shared" si="342"/>
        <v/>
      </c>
      <c r="BW579" s="1558">
        <f t="shared" ca="1" si="349"/>
        <v>0</v>
      </c>
    </row>
    <row r="580" spans="1:75" s="9" customFormat="1" ht="12.5">
      <c r="A580" s="1483" t="str">
        <f t="shared" si="343"/>
        <v>Public Health Wales Trust</v>
      </c>
      <c r="B580" s="1583"/>
      <c r="C580" s="1583"/>
      <c r="D580" s="1583"/>
      <c r="E580" s="1585"/>
      <c r="F580" s="1436"/>
      <c r="G580" s="1547">
        <f t="shared" si="344"/>
        <v>0</v>
      </c>
      <c r="H580" s="1484"/>
      <c r="I580" s="1547">
        <f t="shared" si="345"/>
        <v>0</v>
      </c>
      <c r="J580" s="1485"/>
      <c r="K580" s="1485"/>
      <c r="L580" s="1436"/>
      <c r="M580" s="1439"/>
      <c r="N580" s="1439"/>
      <c r="O580" s="1485"/>
      <c r="P580" s="1486"/>
      <c r="Q580" s="1486"/>
      <c r="R580" s="1487"/>
      <c r="S580" s="1444"/>
      <c r="T580" s="1444"/>
      <c r="U580" s="1444"/>
      <c r="V580" s="1488"/>
      <c r="W580" s="1488"/>
      <c r="X580" s="1488"/>
      <c r="Y580" s="1488"/>
      <c r="Z580" s="1488"/>
      <c r="AA580" s="1488"/>
      <c r="AB580" s="1488"/>
      <c r="AC580" s="1488"/>
      <c r="AD580" s="1488"/>
      <c r="AE580" s="1488"/>
      <c r="AF580" s="1488"/>
      <c r="AG580" s="1488"/>
      <c r="AH580" s="1451">
        <f t="shared" si="317"/>
        <v>0</v>
      </c>
      <c r="AI580" s="1488"/>
      <c r="AJ580" s="1488"/>
      <c r="AK580" s="1488"/>
      <c r="AL580" s="1488"/>
      <c r="AM580" s="1488"/>
      <c r="AN580" s="1488"/>
      <c r="AO580" s="1488"/>
      <c r="AP580" s="1488"/>
      <c r="AQ580" s="1488"/>
      <c r="AR580" s="1488"/>
      <c r="AS580" s="1488"/>
      <c r="AT580" s="1542"/>
      <c r="AU580" s="1599">
        <f t="shared" si="318"/>
        <v>0</v>
      </c>
      <c r="AV580" s="1544">
        <f t="shared" si="346"/>
        <v>0</v>
      </c>
      <c r="AW580" s="1452">
        <f t="shared" si="319"/>
        <v>0</v>
      </c>
      <c r="AX580" s="1452">
        <f t="shared" si="320"/>
        <v>0</v>
      </c>
      <c r="AY580" s="1452">
        <f t="shared" si="321"/>
        <v>0</v>
      </c>
      <c r="AZ580" s="1452">
        <f t="shared" si="322"/>
        <v>0</v>
      </c>
      <c r="BA580" s="1452">
        <f t="shared" si="323"/>
        <v>0</v>
      </c>
      <c r="BB580" s="1452">
        <f t="shared" si="324"/>
        <v>0</v>
      </c>
      <c r="BC580" s="1452">
        <f t="shared" si="325"/>
        <v>0</v>
      </c>
      <c r="BD580" s="1452">
        <f t="shared" si="326"/>
        <v>0</v>
      </c>
      <c r="BE580" s="1452">
        <f t="shared" si="327"/>
        <v>0</v>
      </c>
      <c r="BF580" s="1452">
        <f t="shared" si="328"/>
        <v>0</v>
      </c>
      <c r="BG580" s="1452">
        <f t="shared" si="329"/>
        <v>0</v>
      </c>
      <c r="BH580" s="1452">
        <f t="shared" si="330"/>
        <v>0</v>
      </c>
      <c r="BI580" s="1452">
        <f t="shared" si="347"/>
        <v>0</v>
      </c>
      <c r="BJ580" s="1452" t="str">
        <f t="shared" si="331"/>
        <v/>
      </c>
      <c r="BK580" s="1452" t="str">
        <f t="shared" si="332"/>
        <v/>
      </c>
      <c r="BL580" s="1452" t="str">
        <f t="shared" si="333"/>
        <v/>
      </c>
      <c r="BM580" s="1452" t="str">
        <f t="shared" si="334"/>
        <v/>
      </c>
      <c r="BN580" s="1452" t="str">
        <f t="shared" ca="1" si="335"/>
        <v/>
      </c>
      <c r="BO580" s="1452" t="str">
        <f t="shared" si="348"/>
        <v/>
      </c>
      <c r="BP580" s="1452" t="str">
        <f t="shared" si="336"/>
        <v/>
      </c>
      <c r="BQ580" s="1452" t="str">
        <f t="shared" si="337"/>
        <v/>
      </c>
      <c r="BR580" s="1452" t="str">
        <f t="shared" si="338"/>
        <v/>
      </c>
      <c r="BS580" s="1452" t="str">
        <f t="shared" si="339"/>
        <v/>
      </c>
      <c r="BT580" s="1452" t="str">
        <f t="shared" si="340"/>
        <v/>
      </c>
      <c r="BU580" s="1452" t="str">
        <f t="shared" si="341"/>
        <v/>
      </c>
      <c r="BV580" s="1452" t="str">
        <f t="shared" si="342"/>
        <v/>
      </c>
      <c r="BW580" s="1558">
        <f t="shared" ca="1" si="349"/>
        <v>0</v>
      </c>
    </row>
    <row r="581" spans="1:75" s="9" customFormat="1" ht="12.5">
      <c r="A581" s="1483" t="str">
        <f t="shared" si="343"/>
        <v>Public Health Wales Trust</v>
      </c>
      <c r="B581" s="1583"/>
      <c r="C581" s="1583"/>
      <c r="D581" s="1583"/>
      <c r="E581" s="1585"/>
      <c r="F581" s="1436"/>
      <c r="G581" s="1547">
        <f t="shared" si="344"/>
        <v>0</v>
      </c>
      <c r="H581" s="1484"/>
      <c r="I581" s="1547">
        <f t="shared" si="345"/>
        <v>0</v>
      </c>
      <c r="J581" s="1485"/>
      <c r="K581" s="1485"/>
      <c r="L581" s="1436"/>
      <c r="M581" s="1439"/>
      <c r="N581" s="1439"/>
      <c r="O581" s="1485"/>
      <c r="P581" s="1486"/>
      <c r="Q581" s="1486"/>
      <c r="R581" s="1487"/>
      <c r="S581" s="1444"/>
      <c r="T581" s="1444"/>
      <c r="U581" s="1444"/>
      <c r="V581" s="1488"/>
      <c r="W581" s="1488"/>
      <c r="X581" s="1488"/>
      <c r="Y581" s="1488"/>
      <c r="Z581" s="1488"/>
      <c r="AA581" s="1488"/>
      <c r="AB581" s="1488"/>
      <c r="AC581" s="1488"/>
      <c r="AD581" s="1488"/>
      <c r="AE581" s="1488"/>
      <c r="AF581" s="1488"/>
      <c r="AG581" s="1488"/>
      <c r="AH581" s="1451">
        <f t="shared" si="317"/>
        <v>0</v>
      </c>
      <c r="AI581" s="1488"/>
      <c r="AJ581" s="1488"/>
      <c r="AK581" s="1488"/>
      <c r="AL581" s="1488"/>
      <c r="AM581" s="1488"/>
      <c r="AN581" s="1488"/>
      <c r="AO581" s="1488"/>
      <c r="AP581" s="1488"/>
      <c r="AQ581" s="1488"/>
      <c r="AR581" s="1488"/>
      <c r="AS581" s="1488"/>
      <c r="AT581" s="1542"/>
      <c r="AU581" s="1599">
        <f t="shared" si="318"/>
        <v>0</v>
      </c>
      <c r="AV581" s="1544">
        <f t="shared" si="346"/>
        <v>0</v>
      </c>
      <c r="AW581" s="1452">
        <f t="shared" si="319"/>
        <v>0</v>
      </c>
      <c r="AX581" s="1452">
        <f t="shared" si="320"/>
        <v>0</v>
      </c>
      <c r="AY581" s="1452">
        <f t="shared" si="321"/>
        <v>0</v>
      </c>
      <c r="AZ581" s="1452">
        <f t="shared" si="322"/>
        <v>0</v>
      </c>
      <c r="BA581" s="1452">
        <f t="shared" si="323"/>
        <v>0</v>
      </c>
      <c r="BB581" s="1452">
        <f t="shared" si="324"/>
        <v>0</v>
      </c>
      <c r="BC581" s="1452">
        <f t="shared" si="325"/>
        <v>0</v>
      </c>
      <c r="BD581" s="1452">
        <f t="shared" si="326"/>
        <v>0</v>
      </c>
      <c r="BE581" s="1452">
        <f t="shared" si="327"/>
        <v>0</v>
      </c>
      <c r="BF581" s="1452">
        <f t="shared" si="328"/>
        <v>0</v>
      </c>
      <c r="BG581" s="1452">
        <f t="shared" si="329"/>
        <v>0</v>
      </c>
      <c r="BH581" s="1452">
        <f t="shared" si="330"/>
        <v>0</v>
      </c>
      <c r="BI581" s="1452">
        <f t="shared" si="347"/>
        <v>0</v>
      </c>
      <c r="BJ581" s="1452" t="str">
        <f t="shared" si="331"/>
        <v/>
      </c>
      <c r="BK581" s="1452" t="str">
        <f t="shared" si="332"/>
        <v/>
      </c>
      <c r="BL581" s="1452" t="str">
        <f t="shared" si="333"/>
        <v/>
      </c>
      <c r="BM581" s="1452" t="str">
        <f t="shared" si="334"/>
        <v/>
      </c>
      <c r="BN581" s="1452" t="str">
        <f t="shared" ca="1" si="335"/>
        <v/>
      </c>
      <c r="BO581" s="1452" t="str">
        <f t="shared" si="348"/>
        <v/>
      </c>
      <c r="BP581" s="1452" t="str">
        <f t="shared" si="336"/>
        <v/>
      </c>
      <c r="BQ581" s="1452" t="str">
        <f t="shared" si="337"/>
        <v/>
      </c>
      <c r="BR581" s="1452" t="str">
        <f t="shared" si="338"/>
        <v/>
      </c>
      <c r="BS581" s="1452" t="str">
        <f t="shared" si="339"/>
        <v/>
      </c>
      <c r="BT581" s="1452" t="str">
        <f t="shared" si="340"/>
        <v/>
      </c>
      <c r="BU581" s="1452" t="str">
        <f t="shared" si="341"/>
        <v/>
      </c>
      <c r="BV581" s="1452" t="str">
        <f t="shared" si="342"/>
        <v/>
      </c>
      <c r="BW581" s="1558">
        <f t="shared" ca="1" si="349"/>
        <v>0</v>
      </c>
    </row>
    <row r="582" spans="1:75" s="9" customFormat="1" ht="12.5">
      <c r="A582" s="1483" t="str">
        <f t="shared" si="343"/>
        <v>Public Health Wales Trust</v>
      </c>
      <c r="B582" s="1583"/>
      <c r="C582" s="1583"/>
      <c r="D582" s="1583"/>
      <c r="E582" s="1585"/>
      <c r="F582" s="1436"/>
      <c r="G582" s="1547">
        <f t="shared" si="344"/>
        <v>0</v>
      </c>
      <c r="H582" s="1484"/>
      <c r="I582" s="1547">
        <f t="shared" si="345"/>
        <v>0</v>
      </c>
      <c r="J582" s="1485"/>
      <c r="K582" s="1485"/>
      <c r="L582" s="1436"/>
      <c r="M582" s="1439"/>
      <c r="N582" s="1439"/>
      <c r="O582" s="1485"/>
      <c r="P582" s="1486"/>
      <c r="Q582" s="1486"/>
      <c r="R582" s="1487"/>
      <c r="S582" s="1444"/>
      <c r="T582" s="1444"/>
      <c r="U582" s="1444"/>
      <c r="V582" s="1488"/>
      <c r="W582" s="1488"/>
      <c r="X582" s="1488"/>
      <c r="Y582" s="1488"/>
      <c r="Z582" s="1488"/>
      <c r="AA582" s="1488"/>
      <c r="AB582" s="1488"/>
      <c r="AC582" s="1488"/>
      <c r="AD582" s="1488"/>
      <c r="AE582" s="1488"/>
      <c r="AF582" s="1488"/>
      <c r="AG582" s="1488"/>
      <c r="AH582" s="1451">
        <f t="shared" si="317"/>
        <v>0</v>
      </c>
      <c r="AI582" s="1488"/>
      <c r="AJ582" s="1488"/>
      <c r="AK582" s="1488"/>
      <c r="AL582" s="1488"/>
      <c r="AM582" s="1488"/>
      <c r="AN582" s="1488"/>
      <c r="AO582" s="1488"/>
      <c r="AP582" s="1488"/>
      <c r="AQ582" s="1488"/>
      <c r="AR582" s="1488"/>
      <c r="AS582" s="1488"/>
      <c r="AT582" s="1542"/>
      <c r="AU582" s="1599">
        <f t="shared" si="318"/>
        <v>0</v>
      </c>
      <c r="AV582" s="1544">
        <f t="shared" si="346"/>
        <v>0</v>
      </c>
      <c r="AW582" s="1452">
        <f t="shared" si="319"/>
        <v>0</v>
      </c>
      <c r="AX582" s="1452">
        <f t="shared" si="320"/>
        <v>0</v>
      </c>
      <c r="AY582" s="1452">
        <f t="shared" si="321"/>
        <v>0</v>
      </c>
      <c r="AZ582" s="1452">
        <f t="shared" si="322"/>
        <v>0</v>
      </c>
      <c r="BA582" s="1452">
        <f t="shared" si="323"/>
        <v>0</v>
      </c>
      <c r="BB582" s="1452">
        <f t="shared" si="324"/>
        <v>0</v>
      </c>
      <c r="BC582" s="1452">
        <f t="shared" si="325"/>
        <v>0</v>
      </c>
      <c r="BD582" s="1452">
        <f t="shared" si="326"/>
        <v>0</v>
      </c>
      <c r="BE582" s="1452">
        <f t="shared" si="327"/>
        <v>0</v>
      </c>
      <c r="BF582" s="1452">
        <f t="shared" si="328"/>
        <v>0</v>
      </c>
      <c r="BG582" s="1452">
        <f t="shared" si="329"/>
        <v>0</v>
      </c>
      <c r="BH582" s="1452">
        <f t="shared" si="330"/>
        <v>0</v>
      </c>
      <c r="BI582" s="1452">
        <f t="shared" si="347"/>
        <v>0</v>
      </c>
      <c r="BJ582" s="1452" t="str">
        <f t="shared" si="331"/>
        <v/>
      </c>
      <c r="BK582" s="1452" t="str">
        <f t="shared" si="332"/>
        <v/>
      </c>
      <c r="BL582" s="1452" t="str">
        <f t="shared" si="333"/>
        <v/>
      </c>
      <c r="BM582" s="1452" t="str">
        <f t="shared" si="334"/>
        <v/>
      </c>
      <c r="BN582" s="1452" t="str">
        <f t="shared" ca="1" si="335"/>
        <v/>
      </c>
      <c r="BO582" s="1452" t="str">
        <f t="shared" si="348"/>
        <v/>
      </c>
      <c r="BP582" s="1452" t="str">
        <f t="shared" si="336"/>
        <v/>
      </c>
      <c r="BQ582" s="1452" t="str">
        <f t="shared" si="337"/>
        <v/>
      </c>
      <c r="BR582" s="1452" t="str">
        <f t="shared" si="338"/>
        <v/>
      </c>
      <c r="BS582" s="1452" t="str">
        <f t="shared" si="339"/>
        <v/>
      </c>
      <c r="BT582" s="1452" t="str">
        <f t="shared" si="340"/>
        <v/>
      </c>
      <c r="BU582" s="1452" t="str">
        <f t="shared" si="341"/>
        <v/>
      </c>
      <c r="BV582" s="1452" t="str">
        <f t="shared" si="342"/>
        <v/>
      </c>
      <c r="BW582" s="1558">
        <f t="shared" ca="1" si="349"/>
        <v>0</v>
      </c>
    </row>
    <row r="583" spans="1:75" s="9" customFormat="1" ht="12.5">
      <c r="A583" s="1483" t="str">
        <f t="shared" si="343"/>
        <v>Public Health Wales Trust</v>
      </c>
      <c r="B583" s="1583"/>
      <c r="C583" s="1583"/>
      <c r="D583" s="1583"/>
      <c r="E583" s="1585"/>
      <c r="F583" s="1436"/>
      <c r="G583" s="1547">
        <f t="shared" si="344"/>
        <v>0</v>
      </c>
      <c r="H583" s="1484"/>
      <c r="I583" s="1547">
        <f t="shared" si="345"/>
        <v>0</v>
      </c>
      <c r="J583" s="1485"/>
      <c r="K583" s="1485"/>
      <c r="L583" s="1436"/>
      <c r="M583" s="1439"/>
      <c r="N583" s="1439"/>
      <c r="O583" s="1485"/>
      <c r="P583" s="1486"/>
      <c r="Q583" s="1486"/>
      <c r="R583" s="1487"/>
      <c r="S583" s="1444"/>
      <c r="T583" s="1444"/>
      <c r="U583" s="1444"/>
      <c r="V583" s="1488"/>
      <c r="W583" s="1488"/>
      <c r="X583" s="1488"/>
      <c r="Y583" s="1488"/>
      <c r="Z583" s="1488"/>
      <c r="AA583" s="1488"/>
      <c r="AB583" s="1488"/>
      <c r="AC583" s="1488"/>
      <c r="AD583" s="1488"/>
      <c r="AE583" s="1488"/>
      <c r="AF583" s="1488"/>
      <c r="AG583" s="1488"/>
      <c r="AH583" s="1451">
        <f t="shared" si="317"/>
        <v>0</v>
      </c>
      <c r="AI583" s="1488"/>
      <c r="AJ583" s="1488"/>
      <c r="AK583" s="1488"/>
      <c r="AL583" s="1488"/>
      <c r="AM583" s="1488"/>
      <c r="AN583" s="1488"/>
      <c r="AO583" s="1488"/>
      <c r="AP583" s="1488"/>
      <c r="AQ583" s="1488"/>
      <c r="AR583" s="1488"/>
      <c r="AS583" s="1488"/>
      <c r="AT583" s="1542"/>
      <c r="AU583" s="1599">
        <f t="shared" si="318"/>
        <v>0</v>
      </c>
      <c r="AV583" s="1544">
        <f t="shared" si="346"/>
        <v>0</v>
      </c>
      <c r="AW583" s="1452">
        <f t="shared" si="319"/>
        <v>0</v>
      </c>
      <c r="AX583" s="1452">
        <f t="shared" si="320"/>
        <v>0</v>
      </c>
      <c r="AY583" s="1452">
        <f t="shared" si="321"/>
        <v>0</v>
      </c>
      <c r="AZ583" s="1452">
        <f t="shared" si="322"/>
        <v>0</v>
      </c>
      <c r="BA583" s="1452">
        <f t="shared" si="323"/>
        <v>0</v>
      </c>
      <c r="BB583" s="1452">
        <f t="shared" si="324"/>
        <v>0</v>
      </c>
      <c r="BC583" s="1452">
        <f t="shared" si="325"/>
        <v>0</v>
      </c>
      <c r="BD583" s="1452">
        <f t="shared" si="326"/>
        <v>0</v>
      </c>
      <c r="BE583" s="1452">
        <f t="shared" si="327"/>
        <v>0</v>
      </c>
      <c r="BF583" s="1452">
        <f t="shared" si="328"/>
        <v>0</v>
      </c>
      <c r="BG583" s="1452">
        <f t="shared" si="329"/>
        <v>0</v>
      </c>
      <c r="BH583" s="1452">
        <f t="shared" si="330"/>
        <v>0</v>
      </c>
      <c r="BI583" s="1452">
        <f t="shared" si="347"/>
        <v>0</v>
      </c>
      <c r="BJ583" s="1452" t="str">
        <f t="shared" si="331"/>
        <v/>
      </c>
      <c r="BK583" s="1452" t="str">
        <f t="shared" si="332"/>
        <v/>
      </c>
      <c r="BL583" s="1452" t="str">
        <f t="shared" si="333"/>
        <v/>
      </c>
      <c r="BM583" s="1452" t="str">
        <f t="shared" si="334"/>
        <v/>
      </c>
      <c r="BN583" s="1452" t="str">
        <f t="shared" ca="1" si="335"/>
        <v/>
      </c>
      <c r="BO583" s="1452" t="str">
        <f t="shared" si="348"/>
        <v/>
      </c>
      <c r="BP583" s="1452" t="str">
        <f t="shared" si="336"/>
        <v/>
      </c>
      <c r="BQ583" s="1452" t="str">
        <f t="shared" si="337"/>
        <v/>
      </c>
      <c r="BR583" s="1452" t="str">
        <f t="shared" si="338"/>
        <v/>
      </c>
      <c r="BS583" s="1452" t="str">
        <f t="shared" si="339"/>
        <v/>
      </c>
      <c r="BT583" s="1452" t="str">
        <f t="shared" si="340"/>
        <v/>
      </c>
      <c r="BU583" s="1452" t="str">
        <f t="shared" si="341"/>
        <v/>
      </c>
      <c r="BV583" s="1452" t="str">
        <f t="shared" si="342"/>
        <v/>
      </c>
      <c r="BW583" s="1558">
        <f t="shared" ca="1" si="349"/>
        <v>0</v>
      </c>
    </row>
    <row r="584" spans="1:75" s="9" customFormat="1" ht="12.5">
      <c r="A584" s="1483" t="str">
        <f t="shared" si="343"/>
        <v>Public Health Wales Trust</v>
      </c>
      <c r="B584" s="1583"/>
      <c r="C584" s="1583"/>
      <c r="D584" s="1583"/>
      <c r="E584" s="1585"/>
      <c r="F584" s="1436"/>
      <c r="G584" s="1547">
        <f t="shared" si="344"/>
        <v>0</v>
      </c>
      <c r="H584" s="1484"/>
      <c r="I584" s="1547">
        <f t="shared" si="345"/>
        <v>0</v>
      </c>
      <c r="J584" s="1485"/>
      <c r="K584" s="1485"/>
      <c r="L584" s="1436"/>
      <c r="M584" s="1439"/>
      <c r="N584" s="1439"/>
      <c r="O584" s="1485"/>
      <c r="P584" s="1486"/>
      <c r="Q584" s="1486"/>
      <c r="R584" s="1487"/>
      <c r="S584" s="1444"/>
      <c r="T584" s="1444"/>
      <c r="U584" s="1444"/>
      <c r="V584" s="1488"/>
      <c r="W584" s="1488"/>
      <c r="X584" s="1488"/>
      <c r="Y584" s="1488"/>
      <c r="Z584" s="1488"/>
      <c r="AA584" s="1488"/>
      <c r="AB584" s="1488"/>
      <c r="AC584" s="1488"/>
      <c r="AD584" s="1488"/>
      <c r="AE584" s="1488"/>
      <c r="AF584" s="1488"/>
      <c r="AG584" s="1488"/>
      <c r="AH584" s="1451">
        <f t="shared" si="317"/>
        <v>0</v>
      </c>
      <c r="AI584" s="1488"/>
      <c r="AJ584" s="1488"/>
      <c r="AK584" s="1488"/>
      <c r="AL584" s="1488"/>
      <c r="AM584" s="1488"/>
      <c r="AN584" s="1488"/>
      <c r="AO584" s="1488"/>
      <c r="AP584" s="1488"/>
      <c r="AQ584" s="1488"/>
      <c r="AR584" s="1488"/>
      <c r="AS584" s="1488"/>
      <c r="AT584" s="1542"/>
      <c r="AU584" s="1599">
        <f t="shared" si="318"/>
        <v>0</v>
      </c>
      <c r="AV584" s="1544">
        <f t="shared" si="346"/>
        <v>0</v>
      </c>
      <c r="AW584" s="1452">
        <f t="shared" si="319"/>
        <v>0</v>
      </c>
      <c r="AX584" s="1452">
        <f t="shared" si="320"/>
        <v>0</v>
      </c>
      <c r="AY584" s="1452">
        <f t="shared" si="321"/>
        <v>0</v>
      </c>
      <c r="AZ584" s="1452">
        <f t="shared" si="322"/>
        <v>0</v>
      </c>
      <c r="BA584" s="1452">
        <f t="shared" si="323"/>
        <v>0</v>
      </c>
      <c r="BB584" s="1452">
        <f t="shared" si="324"/>
        <v>0</v>
      </c>
      <c r="BC584" s="1452">
        <f t="shared" si="325"/>
        <v>0</v>
      </c>
      <c r="BD584" s="1452">
        <f t="shared" si="326"/>
        <v>0</v>
      </c>
      <c r="BE584" s="1452">
        <f t="shared" si="327"/>
        <v>0</v>
      </c>
      <c r="BF584" s="1452">
        <f t="shared" si="328"/>
        <v>0</v>
      </c>
      <c r="BG584" s="1452">
        <f t="shared" si="329"/>
        <v>0</v>
      </c>
      <c r="BH584" s="1452">
        <f t="shared" si="330"/>
        <v>0</v>
      </c>
      <c r="BI584" s="1452">
        <f t="shared" si="347"/>
        <v>0</v>
      </c>
      <c r="BJ584" s="1452" t="str">
        <f t="shared" si="331"/>
        <v/>
      </c>
      <c r="BK584" s="1452" t="str">
        <f t="shared" si="332"/>
        <v/>
      </c>
      <c r="BL584" s="1452" t="str">
        <f t="shared" si="333"/>
        <v/>
      </c>
      <c r="BM584" s="1452" t="str">
        <f t="shared" si="334"/>
        <v/>
      </c>
      <c r="BN584" s="1452" t="str">
        <f t="shared" ca="1" si="335"/>
        <v/>
      </c>
      <c r="BO584" s="1452" t="str">
        <f t="shared" si="348"/>
        <v/>
      </c>
      <c r="BP584" s="1452" t="str">
        <f t="shared" si="336"/>
        <v/>
      </c>
      <c r="BQ584" s="1452" t="str">
        <f t="shared" si="337"/>
        <v/>
      </c>
      <c r="BR584" s="1452" t="str">
        <f t="shared" si="338"/>
        <v/>
      </c>
      <c r="BS584" s="1452" t="str">
        <f t="shared" si="339"/>
        <v/>
      </c>
      <c r="BT584" s="1452" t="str">
        <f t="shared" si="340"/>
        <v/>
      </c>
      <c r="BU584" s="1452" t="str">
        <f t="shared" si="341"/>
        <v/>
      </c>
      <c r="BV584" s="1452" t="str">
        <f t="shared" si="342"/>
        <v/>
      </c>
      <c r="BW584" s="1558">
        <f t="shared" ca="1" si="349"/>
        <v>0</v>
      </c>
    </row>
    <row r="585" spans="1:75" s="9" customFormat="1" ht="12.5">
      <c r="A585" s="1483" t="str">
        <f t="shared" si="343"/>
        <v>Public Health Wales Trust</v>
      </c>
      <c r="B585" s="1583"/>
      <c r="C585" s="1583"/>
      <c r="D585" s="1583"/>
      <c r="E585" s="1585"/>
      <c r="F585" s="1436"/>
      <c r="G585" s="1547">
        <f t="shared" si="344"/>
        <v>0</v>
      </c>
      <c r="H585" s="1484"/>
      <c r="I585" s="1547">
        <f t="shared" si="345"/>
        <v>0</v>
      </c>
      <c r="J585" s="1485"/>
      <c r="K585" s="1485"/>
      <c r="L585" s="1436"/>
      <c r="M585" s="1439"/>
      <c r="N585" s="1439"/>
      <c r="O585" s="1485"/>
      <c r="P585" s="1486"/>
      <c r="Q585" s="1486"/>
      <c r="R585" s="1487"/>
      <c r="S585" s="1444"/>
      <c r="T585" s="1444"/>
      <c r="U585" s="1444"/>
      <c r="V585" s="1488"/>
      <c r="W585" s="1488"/>
      <c r="X585" s="1488"/>
      <c r="Y585" s="1488"/>
      <c r="Z585" s="1488"/>
      <c r="AA585" s="1488"/>
      <c r="AB585" s="1488"/>
      <c r="AC585" s="1488"/>
      <c r="AD585" s="1488"/>
      <c r="AE585" s="1488"/>
      <c r="AF585" s="1488"/>
      <c r="AG585" s="1488"/>
      <c r="AH585" s="1451">
        <f t="shared" si="317"/>
        <v>0</v>
      </c>
      <c r="AI585" s="1488"/>
      <c r="AJ585" s="1488"/>
      <c r="AK585" s="1488"/>
      <c r="AL585" s="1488"/>
      <c r="AM585" s="1488"/>
      <c r="AN585" s="1488"/>
      <c r="AO585" s="1488"/>
      <c r="AP585" s="1488"/>
      <c r="AQ585" s="1488"/>
      <c r="AR585" s="1488"/>
      <c r="AS585" s="1488"/>
      <c r="AT585" s="1542"/>
      <c r="AU585" s="1599">
        <f t="shared" si="318"/>
        <v>0</v>
      </c>
      <c r="AV585" s="1544">
        <f t="shared" si="346"/>
        <v>0</v>
      </c>
      <c r="AW585" s="1452">
        <f t="shared" si="319"/>
        <v>0</v>
      </c>
      <c r="AX585" s="1452">
        <f t="shared" si="320"/>
        <v>0</v>
      </c>
      <c r="AY585" s="1452">
        <f t="shared" si="321"/>
        <v>0</v>
      </c>
      <c r="AZ585" s="1452">
        <f t="shared" si="322"/>
        <v>0</v>
      </c>
      <c r="BA585" s="1452">
        <f t="shared" si="323"/>
        <v>0</v>
      </c>
      <c r="BB585" s="1452">
        <f t="shared" si="324"/>
        <v>0</v>
      </c>
      <c r="BC585" s="1452">
        <f t="shared" si="325"/>
        <v>0</v>
      </c>
      <c r="BD585" s="1452">
        <f t="shared" si="326"/>
        <v>0</v>
      </c>
      <c r="BE585" s="1452">
        <f t="shared" si="327"/>
        <v>0</v>
      </c>
      <c r="BF585" s="1452">
        <f t="shared" si="328"/>
        <v>0</v>
      </c>
      <c r="BG585" s="1452">
        <f t="shared" si="329"/>
        <v>0</v>
      </c>
      <c r="BH585" s="1452">
        <f t="shared" si="330"/>
        <v>0</v>
      </c>
      <c r="BI585" s="1452">
        <f t="shared" si="347"/>
        <v>0</v>
      </c>
      <c r="BJ585" s="1452" t="str">
        <f t="shared" si="331"/>
        <v/>
      </c>
      <c r="BK585" s="1452" t="str">
        <f t="shared" si="332"/>
        <v/>
      </c>
      <c r="BL585" s="1452" t="str">
        <f t="shared" si="333"/>
        <v/>
      </c>
      <c r="BM585" s="1452" t="str">
        <f t="shared" si="334"/>
        <v/>
      </c>
      <c r="BN585" s="1452" t="str">
        <f t="shared" ca="1" si="335"/>
        <v/>
      </c>
      <c r="BO585" s="1452" t="str">
        <f t="shared" si="348"/>
        <v/>
      </c>
      <c r="BP585" s="1452" t="str">
        <f t="shared" si="336"/>
        <v/>
      </c>
      <c r="BQ585" s="1452" t="str">
        <f t="shared" si="337"/>
        <v/>
      </c>
      <c r="BR585" s="1452" t="str">
        <f t="shared" si="338"/>
        <v/>
      </c>
      <c r="BS585" s="1452" t="str">
        <f t="shared" si="339"/>
        <v/>
      </c>
      <c r="BT585" s="1452" t="str">
        <f t="shared" si="340"/>
        <v/>
      </c>
      <c r="BU585" s="1452" t="str">
        <f t="shared" si="341"/>
        <v/>
      </c>
      <c r="BV585" s="1452" t="str">
        <f t="shared" si="342"/>
        <v/>
      </c>
      <c r="BW585" s="1558">
        <f t="shared" ca="1" si="349"/>
        <v>0</v>
      </c>
    </row>
    <row r="586" spans="1:75" s="9" customFormat="1" ht="12.5">
      <c r="A586" s="1483" t="str">
        <f t="shared" si="343"/>
        <v>Public Health Wales Trust</v>
      </c>
      <c r="B586" s="1583"/>
      <c r="C586" s="1583"/>
      <c r="D586" s="1583"/>
      <c r="E586" s="1585"/>
      <c r="F586" s="1436"/>
      <c r="G586" s="1547">
        <f t="shared" si="344"/>
        <v>0</v>
      </c>
      <c r="H586" s="1484"/>
      <c r="I586" s="1547">
        <f t="shared" si="345"/>
        <v>0</v>
      </c>
      <c r="J586" s="1485"/>
      <c r="K586" s="1485"/>
      <c r="L586" s="1436"/>
      <c r="M586" s="1439"/>
      <c r="N586" s="1439"/>
      <c r="O586" s="1485"/>
      <c r="P586" s="1486"/>
      <c r="Q586" s="1486"/>
      <c r="R586" s="1487"/>
      <c r="S586" s="1444"/>
      <c r="T586" s="1444"/>
      <c r="U586" s="1444"/>
      <c r="V586" s="1488"/>
      <c r="W586" s="1488"/>
      <c r="X586" s="1488"/>
      <c r="Y586" s="1488"/>
      <c r="Z586" s="1488"/>
      <c r="AA586" s="1488"/>
      <c r="AB586" s="1488"/>
      <c r="AC586" s="1488"/>
      <c r="AD586" s="1488"/>
      <c r="AE586" s="1488"/>
      <c r="AF586" s="1488"/>
      <c r="AG586" s="1488"/>
      <c r="AH586" s="1451">
        <f t="shared" si="317"/>
        <v>0</v>
      </c>
      <c r="AI586" s="1488"/>
      <c r="AJ586" s="1488"/>
      <c r="AK586" s="1488"/>
      <c r="AL586" s="1488"/>
      <c r="AM586" s="1488"/>
      <c r="AN586" s="1488"/>
      <c r="AO586" s="1488"/>
      <c r="AP586" s="1488"/>
      <c r="AQ586" s="1488"/>
      <c r="AR586" s="1488"/>
      <c r="AS586" s="1488"/>
      <c r="AT586" s="1542"/>
      <c r="AU586" s="1599">
        <f t="shared" si="318"/>
        <v>0</v>
      </c>
      <c r="AV586" s="1544">
        <f t="shared" si="346"/>
        <v>0</v>
      </c>
      <c r="AW586" s="1452">
        <f t="shared" si="319"/>
        <v>0</v>
      </c>
      <c r="AX586" s="1452">
        <f t="shared" si="320"/>
        <v>0</v>
      </c>
      <c r="AY586" s="1452">
        <f t="shared" si="321"/>
        <v>0</v>
      </c>
      <c r="AZ586" s="1452">
        <f t="shared" si="322"/>
        <v>0</v>
      </c>
      <c r="BA586" s="1452">
        <f t="shared" si="323"/>
        <v>0</v>
      </c>
      <c r="BB586" s="1452">
        <f t="shared" si="324"/>
        <v>0</v>
      </c>
      <c r="BC586" s="1452">
        <f t="shared" si="325"/>
        <v>0</v>
      </c>
      <c r="BD586" s="1452">
        <f t="shared" si="326"/>
        <v>0</v>
      </c>
      <c r="BE586" s="1452">
        <f t="shared" si="327"/>
        <v>0</v>
      </c>
      <c r="BF586" s="1452">
        <f t="shared" si="328"/>
        <v>0</v>
      </c>
      <c r="BG586" s="1452">
        <f t="shared" si="329"/>
        <v>0</v>
      </c>
      <c r="BH586" s="1452">
        <f t="shared" si="330"/>
        <v>0</v>
      </c>
      <c r="BI586" s="1452">
        <f t="shared" si="347"/>
        <v>0</v>
      </c>
      <c r="BJ586" s="1452" t="str">
        <f t="shared" si="331"/>
        <v/>
      </c>
      <c r="BK586" s="1452" t="str">
        <f t="shared" si="332"/>
        <v/>
      </c>
      <c r="BL586" s="1452" t="str">
        <f t="shared" si="333"/>
        <v/>
      </c>
      <c r="BM586" s="1452" t="str">
        <f t="shared" si="334"/>
        <v/>
      </c>
      <c r="BN586" s="1452" t="str">
        <f t="shared" ca="1" si="335"/>
        <v/>
      </c>
      <c r="BO586" s="1452" t="str">
        <f t="shared" si="348"/>
        <v/>
      </c>
      <c r="BP586" s="1452" t="str">
        <f t="shared" si="336"/>
        <v/>
      </c>
      <c r="BQ586" s="1452" t="str">
        <f t="shared" si="337"/>
        <v/>
      </c>
      <c r="BR586" s="1452" t="str">
        <f t="shared" si="338"/>
        <v/>
      </c>
      <c r="BS586" s="1452" t="str">
        <f t="shared" si="339"/>
        <v/>
      </c>
      <c r="BT586" s="1452" t="str">
        <f t="shared" si="340"/>
        <v/>
      </c>
      <c r="BU586" s="1452" t="str">
        <f t="shared" si="341"/>
        <v/>
      </c>
      <c r="BV586" s="1452" t="str">
        <f t="shared" si="342"/>
        <v/>
      </c>
      <c r="BW586" s="1558">
        <f t="shared" ca="1" si="349"/>
        <v>0</v>
      </c>
    </row>
    <row r="587" spans="1:75" s="9" customFormat="1" ht="12.5">
      <c r="A587" s="1483" t="str">
        <f t="shared" si="343"/>
        <v>Public Health Wales Trust</v>
      </c>
      <c r="B587" s="1583"/>
      <c r="C587" s="1583"/>
      <c r="D587" s="1583"/>
      <c r="E587" s="1585"/>
      <c r="F587" s="1436"/>
      <c r="G587" s="1547">
        <f t="shared" si="344"/>
        <v>0</v>
      </c>
      <c r="H587" s="1484"/>
      <c r="I587" s="1547">
        <f t="shared" si="345"/>
        <v>0</v>
      </c>
      <c r="J587" s="1485"/>
      <c r="K587" s="1485"/>
      <c r="L587" s="1436"/>
      <c r="M587" s="1439"/>
      <c r="N587" s="1439"/>
      <c r="O587" s="1485"/>
      <c r="P587" s="1486"/>
      <c r="Q587" s="1486"/>
      <c r="R587" s="1487"/>
      <c r="S587" s="1444"/>
      <c r="T587" s="1444"/>
      <c r="U587" s="1444"/>
      <c r="V587" s="1488"/>
      <c r="W587" s="1488"/>
      <c r="X587" s="1488"/>
      <c r="Y587" s="1488"/>
      <c r="Z587" s="1488"/>
      <c r="AA587" s="1488"/>
      <c r="AB587" s="1488"/>
      <c r="AC587" s="1488"/>
      <c r="AD587" s="1488"/>
      <c r="AE587" s="1488"/>
      <c r="AF587" s="1488"/>
      <c r="AG587" s="1488"/>
      <c r="AH587" s="1451">
        <f t="shared" si="317"/>
        <v>0</v>
      </c>
      <c r="AI587" s="1488"/>
      <c r="AJ587" s="1488"/>
      <c r="AK587" s="1488"/>
      <c r="AL587" s="1488"/>
      <c r="AM587" s="1488"/>
      <c r="AN587" s="1488"/>
      <c r="AO587" s="1488"/>
      <c r="AP587" s="1488"/>
      <c r="AQ587" s="1488"/>
      <c r="AR587" s="1488"/>
      <c r="AS587" s="1488"/>
      <c r="AT587" s="1542"/>
      <c r="AU587" s="1599">
        <f t="shared" si="318"/>
        <v>0</v>
      </c>
      <c r="AV587" s="1544">
        <f t="shared" si="346"/>
        <v>0</v>
      </c>
      <c r="AW587" s="1452">
        <f t="shared" si="319"/>
        <v>0</v>
      </c>
      <c r="AX587" s="1452">
        <f t="shared" si="320"/>
        <v>0</v>
      </c>
      <c r="AY587" s="1452">
        <f t="shared" si="321"/>
        <v>0</v>
      </c>
      <c r="AZ587" s="1452">
        <f t="shared" si="322"/>
        <v>0</v>
      </c>
      <c r="BA587" s="1452">
        <f t="shared" si="323"/>
        <v>0</v>
      </c>
      <c r="BB587" s="1452">
        <f t="shared" si="324"/>
        <v>0</v>
      </c>
      <c r="BC587" s="1452">
        <f t="shared" si="325"/>
        <v>0</v>
      </c>
      <c r="BD587" s="1452">
        <f t="shared" si="326"/>
        <v>0</v>
      </c>
      <c r="BE587" s="1452">
        <f t="shared" si="327"/>
        <v>0</v>
      </c>
      <c r="BF587" s="1452">
        <f t="shared" si="328"/>
        <v>0</v>
      </c>
      <c r="BG587" s="1452">
        <f t="shared" si="329"/>
        <v>0</v>
      </c>
      <c r="BH587" s="1452">
        <f t="shared" si="330"/>
        <v>0</v>
      </c>
      <c r="BI587" s="1452">
        <f t="shared" si="347"/>
        <v>0</v>
      </c>
      <c r="BJ587" s="1452" t="str">
        <f t="shared" si="331"/>
        <v/>
      </c>
      <c r="BK587" s="1452" t="str">
        <f t="shared" si="332"/>
        <v/>
      </c>
      <c r="BL587" s="1452" t="str">
        <f t="shared" si="333"/>
        <v/>
      </c>
      <c r="BM587" s="1452" t="str">
        <f t="shared" si="334"/>
        <v/>
      </c>
      <c r="BN587" s="1452" t="str">
        <f t="shared" ca="1" si="335"/>
        <v/>
      </c>
      <c r="BO587" s="1452" t="str">
        <f t="shared" si="348"/>
        <v/>
      </c>
      <c r="BP587" s="1452" t="str">
        <f t="shared" si="336"/>
        <v/>
      </c>
      <c r="BQ587" s="1452" t="str">
        <f t="shared" si="337"/>
        <v/>
      </c>
      <c r="BR587" s="1452" t="str">
        <f t="shared" si="338"/>
        <v/>
      </c>
      <c r="BS587" s="1452" t="str">
        <f t="shared" si="339"/>
        <v/>
      </c>
      <c r="BT587" s="1452" t="str">
        <f t="shared" si="340"/>
        <v/>
      </c>
      <c r="BU587" s="1452" t="str">
        <f t="shared" si="341"/>
        <v/>
      </c>
      <c r="BV587" s="1452" t="str">
        <f t="shared" si="342"/>
        <v/>
      </c>
      <c r="BW587" s="1558">
        <f t="shared" ca="1" si="349"/>
        <v>0</v>
      </c>
    </row>
    <row r="588" spans="1:75" s="9" customFormat="1" ht="12.5">
      <c r="A588" s="1483" t="str">
        <f t="shared" si="343"/>
        <v>Public Health Wales Trust</v>
      </c>
      <c r="B588" s="1583"/>
      <c r="C588" s="1583"/>
      <c r="D588" s="1583"/>
      <c r="E588" s="1585"/>
      <c r="F588" s="1436"/>
      <c r="G588" s="1547">
        <f t="shared" si="344"/>
        <v>0</v>
      </c>
      <c r="H588" s="1484"/>
      <c r="I588" s="1547">
        <f t="shared" si="345"/>
        <v>0</v>
      </c>
      <c r="J588" s="1485"/>
      <c r="K588" s="1485"/>
      <c r="L588" s="1436"/>
      <c r="M588" s="1439"/>
      <c r="N588" s="1439"/>
      <c r="O588" s="1485"/>
      <c r="P588" s="1486"/>
      <c r="Q588" s="1486"/>
      <c r="R588" s="1487"/>
      <c r="S588" s="1444"/>
      <c r="T588" s="1444"/>
      <c r="U588" s="1444"/>
      <c r="V588" s="1488"/>
      <c r="W588" s="1488"/>
      <c r="X588" s="1488"/>
      <c r="Y588" s="1488"/>
      <c r="Z588" s="1488"/>
      <c r="AA588" s="1488"/>
      <c r="AB588" s="1488"/>
      <c r="AC588" s="1488"/>
      <c r="AD588" s="1488"/>
      <c r="AE588" s="1488"/>
      <c r="AF588" s="1488"/>
      <c r="AG588" s="1488"/>
      <c r="AH588" s="1451">
        <f t="shared" si="317"/>
        <v>0</v>
      </c>
      <c r="AI588" s="1488"/>
      <c r="AJ588" s="1488"/>
      <c r="AK588" s="1488"/>
      <c r="AL588" s="1488"/>
      <c r="AM588" s="1488"/>
      <c r="AN588" s="1488"/>
      <c r="AO588" s="1488"/>
      <c r="AP588" s="1488"/>
      <c r="AQ588" s="1488"/>
      <c r="AR588" s="1488"/>
      <c r="AS588" s="1488"/>
      <c r="AT588" s="1542"/>
      <c r="AU588" s="1599">
        <f t="shared" si="318"/>
        <v>0</v>
      </c>
      <c r="AV588" s="1544">
        <f t="shared" si="346"/>
        <v>0</v>
      </c>
      <c r="AW588" s="1452">
        <f t="shared" si="319"/>
        <v>0</v>
      </c>
      <c r="AX588" s="1452">
        <f t="shared" si="320"/>
        <v>0</v>
      </c>
      <c r="AY588" s="1452">
        <f t="shared" si="321"/>
        <v>0</v>
      </c>
      <c r="AZ588" s="1452">
        <f t="shared" si="322"/>
        <v>0</v>
      </c>
      <c r="BA588" s="1452">
        <f t="shared" si="323"/>
        <v>0</v>
      </c>
      <c r="BB588" s="1452">
        <f t="shared" si="324"/>
        <v>0</v>
      </c>
      <c r="BC588" s="1452">
        <f t="shared" si="325"/>
        <v>0</v>
      </c>
      <c r="BD588" s="1452">
        <f t="shared" si="326"/>
        <v>0</v>
      </c>
      <c r="BE588" s="1452">
        <f t="shared" si="327"/>
        <v>0</v>
      </c>
      <c r="BF588" s="1452">
        <f t="shared" si="328"/>
        <v>0</v>
      </c>
      <c r="BG588" s="1452">
        <f t="shared" si="329"/>
        <v>0</v>
      </c>
      <c r="BH588" s="1452">
        <f t="shared" si="330"/>
        <v>0</v>
      </c>
      <c r="BI588" s="1452">
        <f t="shared" si="347"/>
        <v>0</v>
      </c>
      <c r="BJ588" s="1452" t="str">
        <f t="shared" si="331"/>
        <v/>
      </c>
      <c r="BK588" s="1452" t="str">
        <f t="shared" si="332"/>
        <v/>
      </c>
      <c r="BL588" s="1452" t="str">
        <f t="shared" si="333"/>
        <v/>
      </c>
      <c r="BM588" s="1452" t="str">
        <f t="shared" si="334"/>
        <v/>
      </c>
      <c r="BN588" s="1452" t="str">
        <f t="shared" ca="1" si="335"/>
        <v/>
      </c>
      <c r="BO588" s="1452" t="str">
        <f t="shared" si="348"/>
        <v/>
      </c>
      <c r="BP588" s="1452" t="str">
        <f t="shared" si="336"/>
        <v/>
      </c>
      <c r="BQ588" s="1452" t="str">
        <f t="shared" si="337"/>
        <v/>
      </c>
      <c r="BR588" s="1452" t="str">
        <f t="shared" si="338"/>
        <v/>
      </c>
      <c r="BS588" s="1452" t="str">
        <f t="shared" si="339"/>
        <v/>
      </c>
      <c r="BT588" s="1452" t="str">
        <f t="shared" si="340"/>
        <v/>
      </c>
      <c r="BU588" s="1452" t="str">
        <f t="shared" si="341"/>
        <v/>
      </c>
      <c r="BV588" s="1452" t="str">
        <f t="shared" si="342"/>
        <v/>
      </c>
      <c r="BW588" s="1558">
        <f t="shared" ca="1" si="349"/>
        <v>0</v>
      </c>
    </row>
    <row r="589" spans="1:75" s="9" customFormat="1" ht="12.5">
      <c r="A589" s="1483" t="str">
        <f t="shared" si="343"/>
        <v>Public Health Wales Trust</v>
      </c>
      <c r="B589" s="1583"/>
      <c r="C589" s="1583"/>
      <c r="D589" s="1583"/>
      <c r="E589" s="1585"/>
      <c r="F589" s="1436"/>
      <c r="G589" s="1547">
        <f t="shared" si="344"/>
        <v>0</v>
      </c>
      <c r="H589" s="1484"/>
      <c r="I589" s="1547">
        <f t="shared" si="345"/>
        <v>0</v>
      </c>
      <c r="J589" s="1485"/>
      <c r="K589" s="1485"/>
      <c r="L589" s="1436"/>
      <c r="M589" s="1439"/>
      <c r="N589" s="1439"/>
      <c r="O589" s="1485"/>
      <c r="P589" s="1486"/>
      <c r="Q589" s="1486"/>
      <c r="R589" s="1487"/>
      <c r="S589" s="1444"/>
      <c r="T589" s="1444"/>
      <c r="U589" s="1444"/>
      <c r="V589" s="1488"/>
      <c r="W589" s="1488"/>
      <c r="X589" s="1488"/>
      <c r="Y589" s="1488"/>
      <c r="Z589" s="1488"/>
      <c r="AA589" s="1488"/>
      <c r="AB589" s="1488"/>
      <c r="AC589" s="1488"/>
      <c r="AD589" s="1488"/>
      <c r="AE589" s="1488"/>
      <c r="AF589" s="1488"/>
      <c r="AG589" s="1488"/>
      <c r="AH589" s="1451">
        <f t="shared" si="317"/>
        <v>0</v>
      </c>
      <c r="AI589" s="1488"/>
      <c r="AJ589" s="1488"/>
      <c r="AK589" s="1488"/>
      <c r="AL589" s="1488"/>
      <c r="AM589" s="1488"/>
      <c r="AN589" s="1488"/>
      <c r="AO589" s="1488"/>
      <c r="AP589" s="1488"/>
      <c r="AQ589" s="1488"/>
      <c r="AR589" s="1488"/>
      <c r="AS589" s="1488"/>
      <c r="AT589" s="1542"/>
      <c r="AU589" s="1599">
        <f t="shared" si="318"/>
        <v>0</v>
      </c>
      <c r="AV589" s="1544">
        <f t="shared" si="346"/>
        <v>0</v>
      </c>
      <c r="AW589" s="1452">
        <f t="shared" si="319"/>
        <v>0</v>
      </c>
      <c r="AX589" s="1452">
        <f t="shared" si="320"/>
        <v>0</v>
      </c>
      <c r="AY589" s="1452">
        <f t="shared" si="321"/>
        <v>0</v>
      </c>
      <c r="AZ589" s="1452">
        <f t="shared" si="322"/>
        <v>0</v>
      </c>
      <c r="BA589" s="1452">
        <f t="shared" si="323"/>
        <v>0</v>
      </c>
      <c r="BB589" s="1452">
        <f t="shared" si="324"/>
        <v>0</v>
      </c>
      <c r="BC589" s="1452">
        <f t="shared" si="325"/>
        <v>0</v>
      </c>
      <c r="BD589" s="1452">
        <f t="shared" si="326"/>
        <v>0</v>
      </c>
      <c r="BE589" s="1452">
        <f t="shared" si="327"/>
        <v>0</v>
      </c>
      <c r="BF589" s="1452">
        <f t="shared" si="328"/>
        <v>0</v>
      </c>
      <c r="BG589" s="1452">
        <f t="shared" si="329"/>
        <v>0</v>
      </c>
      <c r="BH589" s="1452">
        <f t="shared" si="330"/>
        <v>0</v>
      </c>
      <c r="BI589" s="1452">
        <f t="shared" si="347"/>
        <v>0</v>
      </c>
      <c r="BJ589" s="1452" t="str">
        <f t="shared" si="331"/>
        <v/>
      </c>
      <c r="BK589" s="1452" t="str">
        <f t="shared" si="332"/>
        <v/>
      </c>
      <c r="BL589" s="1452" t="str">
        <f t="shared" si="333"/>
        <v/>
      </c>
      <c r="BM589" s="1452" t="str">
        <f t="shared" si="334"/>
        <v/>
      </c>
      <c r="BN589" s="1452" t="str">
        <f t="shared" ca="1" si="335"/>
        <v/>
      </c>
      <c r="BO589" s="1452" t="str">
        <f t="shared" si="348"/>
        <v/>
      </c>
      <c r="BP589" s="1452" t="str">
        <f t="shared" si="336"/>
        <v/>
      </c>
      <c r="BQ589" s="1452" t="str">
        <f t="shared" si="337"/>
        <v/>
      </c>
      <c r="BR589" s="1452" t="str">
        <f t="shared" si="338"/>
        <v/>
      </c>
      <c r="BS589" s="1452" t="str">
        <f t="shared" si="339"/>
        <v/>
      </c>
      <c r="BT589" s="1452" t="str">
        <f t="shared" si="340"/>
        <v/>
      </c>
      <c r="BU589" s="1452" t="str">
        <f t="shared" si="341"/>
        <v/>
      </c>
      <c r="BV589" s="1452" t="str">
        <f t="shared" si="342"/>
        <v/>
      </c>
      <c r="BW589" s="1558">
        <f t="shared" ca="1" si="349"/>
        <v>0</v>
      </c>
    </row>
    <row r="590" spans="1:75" s="9" customFormat="1" ht="12.5">
      <c r="A590" s="1483" t="str">
        <f t="shared" si="343"/>
        <v>Public Health Wales Trust</v>
      </c>
      <c r="B590" s="1583"/>
      <c r="C590" s="1583"/>
      <c r="D590" s="1583"/>
      <c r="E590" s="1585"/>
      <c r="F590" s="1436"/>
      <c r="G590" s="1547">
        <f t="shared" si="344"/>
        <v>0</v>
      </c>
      <c r="H590" s="1484"/>
      <c r="I590" s="1547">
        <f t="shared" si="345"/>
        <v>0</v>
      </c>
      <c r="J590" s="1485"/>
      <c r="K590" s="1485"/>
      <c r="L590" s="1436"/>
      <c r="M590" s="1439"/>
      <c r="N590" s="1439"/>
      <c r="O590" s="1485"/>
      <c r="P590" s="1486"/>
      <c r="Q590" s="1486"/>
      <c r="R590" s="1487"/>
      <c r="S590" s="1444"/>
      <c r="T590" s="1444"/>
      <c r="U590" s="1444"/>
      <c r="V590" s="1488"/>
      <c r="W590" s="1488"/>
      <c r="X590" s="1488"/>
      <c r="Y590" s="1488"/>
      <c r="Z590" s="1488"/>
      <c r="AA590" s="1488"/>
      <c r="AB590" s="1488"/>
      <c r="AC590" s="1488"/>
      <c r="AD590" s="1488"/>
      <c r="AE590" s="1488"/>
      <c r="AF590" s="1488"/>
      <c r="AG590" s="1488"/>
      <c r="AH590" s="1451">
        <f t="shared" si="317"/>
        <v>0</v>
      </c>
      <c r="AI590" s="1488"/>
      <c r="AJ590" s="1488"/>
      <c r="AK590" s="1488"/>
      <c r="AL590" s="1488"/>
      <c r="AM590" s="1488"/>
      <c r="AN590" s="1488"/>
      <c r="AO590" s="1488"/>
      <c r="AP590" s="1488"/>
      <c r="AQ590" s="1488"/>
      <c r="AR590" s="1488"/>
      <c r="AS590" s="1488"/>
      <c r="AT590" s="1542"/>
      <c r="AU590" s="1599">
        <f t="shared" si="318"/>
        <v>0</v>
      </c>
      <c r="AV590" s="1544">
        <f t="shared" si="346"/>
        <v>0</v>
      </c>
      <c r="AW590" s="1452">
        <f t="shared" si="319"/>
        <v>0</v>
      </c>
      <c r="AX590" s="1452">
        <f t="shared" si="320"/>
        <v>0</v>
      </c>
      <c r="AY590" s="1452">
        <f t="shared" si="321"/>
        <v>0</v>
      </c>
      <c r="AZ590" s="1452">
        <f t="shared" si="322"/>
        <v>0</v>
      </c>
      <c r="BA590" s="1452">
        <f t="shared" si="323"/>
        <v>0</v>
      </c>
      <c r="BB590" s="1452">
        <f t="shared" si="324"/>
        <v>0</v>
      </c>
      <c r="BC590" s="1452">
        <f t="shared" si="325"/>
        <v>0</v>
      </c>
      <c r="BD590" s="1452">
        <f t="shared" si="326"/>
        <v>0</v>
      </c>
      <c r="BE590" s="1452">
        <f t="shared" si="327"/>
        <v>0</v>
      </c>
      <c r="BF590" s="1452">
        <f t="shared" si="328"/>
        <v>0</v>
      </c>
      <c r="BG590" s="1452">
        <f t="shared" si="329"/>
        <v>0</v>
      </c>
      <c r="BH590" s="1452">
        <f t="shared" si="330"/>
        <v>0</v>
      </c>
      <c r="BI590" s="1452">
        <f t="shared" si="347"/>
        <v>0</v>
      </c>
      <c r="BJ590" s="1452" t="str">
        <f t="shared" si="331"/>
        <v/>
      </c>
      <c r="BK590" s="1452" t="str">
        <f t="shared" si="332"/>
        <v/>
      </c>
      <c r="BL590" s="1452" t="str">
        <f t="shared" si="333"/>
        <v/>
      </c>
      <c r="BM590" s="1452" t="str">
        <f t="shared" si="334"/>
        <v/>
      </c>
      <c r="BN590" s="1452" t="str">
        <f t="shared" ca="1" si="335"/>
        <v/>
      </c>
      <c r="BO590" s="1452" t="str">
        <f t="shared" si="348"/>
        <v/>
      </c>
      <c r="BP590" s="1452" t="str">
        <f t="shared" si="336"/>
        <v/>
      </c>
      <c r="BQ590" s="1452" t="str">
        <f t="shared" si="337"/>
        <v/>
      </c>
      <c r="BR590" s="1452" t="str">
        <f t="shared" si="338"/>
        <v/>
      </c>
      <c r="BS590" s="1452" t="str">
        <f t="shared" si="339"/>
        <v/>
      </c>
      <c r="BT590" s="1452" t="str">
        <f t="shared" si="340"/>
        <v/>
      </c>
      <c r="BU590" s="1452" t="str">
        <f t="shared" si="341"/>
        <v/>
      </c>
      <c r="BV590" s="1452" t="str">
        <f t="shared" si="342"/>
        <v/>
      </c>
      <c r="BW590" s="1558">
        <f t="shared" ca="1" si="349"/>
        <v>0</v>
      </c>
    </row>
    <row r="591" spans="1:75" s="9" customFormat="1" ht="12.5">
      <c r="A591" s="1483" t="str">
        <f t="shared" si="343"/>
        <v>Public Health Wales Trust</v>
      </c>
      <c r="B591" s="1583"/>
      <c r="C591" s="1583"/>
      <c r="D591" s="1583"/>
      <c r="E591" s="1585"/>
      <c r="F591" s="1436"/>
      <c r="G591" s="1547">
        <f t="shared" si="344"/>
        <v>0</v>
      </c>
      <c r="H591" s="1484"/>
      <c r="I591" s="1547">
        <f t="shared" si="345"/>
        <v>0</v>
      </c>
      <c r="J591" s="1485"/>
      <c r="K591" s="1485"/>
      <c r="L591" s="1436"/>
      <c r="M591" s="1439"/>
      <c r="N591" s="1439"/>
      <c r="O591" s="1485"/>
      <c r="P591" s="1486"/>
      <c r="Q591" s="1486"/>
      <c r="R591" s="1487"/>
      <c r="S591" s="1444"/>
      <c r="T591" s="1444"/>
      <c r="U591" s="1444"/>
      <c r="V591" s="1488"/>
      <c r="W591" s="1488"/>
      <c r="X591" s="1488"/>
      <c r="Y591" s="1488"/>
      <c r="Z591" s="1488"/>
      <c r="AA591" s="1488"/>
      <c r="AB591" s="1488"/>
      <c r="AC591" s="1488"/>
      <c r="AD591" s="1488"/>
      <c r="AE591" s="1488"/>
      <c r="AF591" s="1488"/>
      <c r="AG591" s="1488"/>
      <c r="AH591" s="1451">
        <f t="shared" si="317"/>
        <v>0</v>
      </c>
      <c r="AI591" s="1488"/>
      <c r="AJ591" s="1488"/>
      <c r="AK591" s="1488"/>
      <c r="AL591" s="1488"/>
      <c r="AM591" s="1488"/>
      <c r="AN591" s="1488"/>
      <c r="AO591" s="1488"/>
      <c r="AP591" s="1488"/>
      <c r="AQ591" s="1488"/>
      <c r="AR591" s="1488"/>
      <c r="AS591" s="1488"/>
      <c r="AT591" s="1542"/>
      <c r="AU591" s="1599">
        <f t="shared" si="318"/>
        <v>0</v>
      </c>
      <c r="AV591" s="1544">
        <f t="shared" si="346"/>
        <v>0</v>
      </c>
      <c r="AW591" s="1452">
        <f t="shared" si="319"/>
        <v>0</v>
      </c>
      <c r="AX591" s="1452">
        <f t="shared" si="320"/>
        <v>0</v>
      </c>
      <c r="AY591" s="1452">
        <f t="shared" si="321"/>
        <v>0</v>
      </c>
      <c r="AZ591" s="1452">
        <f t="shared" si="322"/>
        <v>0</v>
      </c>
      <c r="BA591" s="1452">
        <f t="shared" si="323"/>
        <v>0</v>
      </c>
      <c r="BB591" s="1452">
        <f t="shared" si="324"/>
        <v>0</v>
      </c>
      <c r="BC591" s="1452">
        <f t="shared" si="325"/>
        <v>0</v>
      </c>
      <c r="BD591" s="1452">
        <f t="shared" si="326"/>
        <v>0</v>
      </c>
      <c r="BE591" s="1452">
        <f t="shared" si="327"/>
        <v>0</v>
      </c>
      <c r="BF591" s="1452">
        <f t="shared" si="328"/>
        <v>0</v>
      </c>
      <c r="BG591" s="1452">
        <f t="shared" si="329"/>
        <v>0</v>
      </c>
      <c r="BH591" s="1452">
        <f t="shared" si="330"/>
        <v>0</v>
      </c>
      <c r="BI591" s="1452">
        <f t="shared" si="347"/>
        <v>0</v>
      </c>
      <c r="BJ591" s="1452" t="str">
        <f t="shared" si="331"/>
        <v/>
      </c>
      <c r="BK591" s="1452" t="str">
        <f t="shared" si="332"/>
        <v/>
      </c>
      <c r="BL591" s="1452" t="str">
        <f t="shared" si="333"/>
        <v/>
      </c>
      <c r="BM591" s="1452" t="str">
        <f t="shared" si="334"/>
        <v/>
      </c>
      <c r="BN591" s="1452" t="str">
        <f t="shared" ca="1" si="335"/>
        <v/>
      </c>
      <c r="BO591" s="1452" t="str">
        <f t="shared" si="348"/>
        <v/>
      </c>
      <c r="BP591" s="1452" t="str">
        <f t="shared" si="336"/>
        <v/>
      </c>
      <c r="BQ591" s="1452" t="str">
        <f t="shared" si="337"/>
        <v/>
      </c>
      <c r="BR591" s="1452" t="str">
        <f t="shared" si="338"/>
        <v/>
      </c>
      <c r="BS591" s="1452" t="str">
        <f t="shared" si="339"/>
        <v/>
      </c>
      <c r="BT591" s="1452" t="str">
        <f t="shared" si="340"/>
        <v/>
      </c>
      <c r="BU591" s="1452" t="str">
        <f t="shared" si="341"/>
        <v/>
      </c>
      <c r="BV591" s="1452" t="str">
        <f t="shared" si="342"/>
        <v/>
      </c>
      <c r="BW591" s="1558">
        <f t="shared" ca="1" si="349"/>
        <v>0</v>
      </c>
    </row>
    <row r="592" spans="1:75" s="9" customFormat="1" ht="12.5">
      <c r="A592" s="1483" t="str">
        <f t="shared" si="343"/>
        <v>Public Health Wales Trust</v>
      </c>
      <c r="B592" s="1583"/>
      <c r="C592" s="1583"/>
      <c r="D592" s="1583"/>
      <c r="E592" s="1585"/>
      <c r="F592" s="1436"/>
      <c r="G592" s="1547">
        <f t="shared" si="344"/>
        <v>0</v>
      </c>
      <c r="H592" s="1484"/>
      <c r="I592" s="1547">
        <f t="shared" si="345"/>
        <v>0</v>
      </c>
      <c r="J592" s="1485"/>
      <c r="K592" s="1485"/>
      <c r="L592" s="1436"/>
      <c r="M592" s="1439"/>
      <c r="N592" s="1439"/>
      <c r="O592" s="1485"/>
      <c r="P592" s="1486"/>
      <c r="Q592" s="1486"/>
      <c r="R592" s="1487"/>
      <c r="S592" s="1444"/>
      <c r="T592" s="1444"/>
      <c r="U592" s="1444"/>
      <c r="V592" s="1488"/>
      <c r="W592" s="1488"/>
      <c r="X592" s="1488"/>
      <c r="Y592" s="1488"/>
      <c r="Z592" s="1488"/>
      <c r="AA592" s="1488"/>
      <c r="AB592" s="1488"/>
      <c r="AC592" s="1488"/>
      <c r="AD592" s="1488"/>
      <c r="AE592" s="1488"/>
      <c r="AF592" s="1488"/>
      <c r="AG592" s="1488"/>
      <c r="AH592" s="1451">
        <f t="shared" si="317"/>
        <v>0</v>
      </c>
      <c r="AI592" s="1488"/>
      <c r="AJ592" s="1488"/>
      <c r="AK592" s="1488"/>
      <c r="AL592" s="1488"/>
      <c r="AM592" s="1488"/>
      <c r="AN592" s="1488"/>
      <c r="AO592" s="1488"/>
      <c r="AP592" s="1488"/>
      <c r="AQ592" s="1488"/>
      <c r="AR592" s="1488"/>
      <c r="AS592" s="1488"/>
      <c r="AT592" s="1542"/>
      <c r="AU592" s="1599">
        <f t="shared" si="318"/>
        <v>0</v>
      </c>
      <c r="AV592" s="1544">
        <f t="shared" si="346"/>
        <v>0</v>
      </c>
      <c r="AW592" s="1452">
        <f t="shared" si="319"/>
        <v>0</v>
      </c>
      <c r="AX592" s="1452">
        <f t="shared" si="320"/>
        <v>0</v>
      </c>
      <c r="AY592" s="1452">
        <f t="shared" si="321"/>
        <v>0</v>
      </c>
      <c r="AZ592" s="1452">
        <f t="shared" si="322"/>
        <v>0</v>
      </c>
      <c r="BA592" s="1452">
        <f t="shared" si="323"/>
        <v>0</v>
      </c>
      <c r="BB592" s="1452">
        <f t="shared" si="324"/>
        <v>0</v>
      </c>
      <c r="BC592" s="1452">
        <f t="shared" si="325"/>
        <v>0</v>
      </c>
      <c r="BD592" s="1452">
        <f t="shared" si="326"/>
        <v>0</v>
      </c>
      <c r="BE592" s="1452">
        <f t="shared" si="327"/>
        <v>0</v>
      </c>
      <c r="BF592" s="1452">
        <f t="shared" si="328"/>
        <v>0</v>
      </c>
      <c r="BG592" s="1452">
        <f t="shared" si="329"/>
        <v>0</v>
      </c>
      <c r="BH592" s="1452">
        <f t="shared" si="330"/>
        <v>0</v>
      </c>
      <c r="BI592" s="1452">
        <f t="shared" si="347"/>
        <v>0</v>
      </c>
      <c r="BJ592" s="1452" t="str">
        <f t="shared" si="331"/>
        <v/>
      </c>
      <c r="BK592" s="1452" t="str">
        <f t="shared" si="332"/>
        <v/>
      </c>
      <c r="BL592" s="1452" t="str">
        <f t="shared" si="333"/>
        <v/>
      </c>
      <c r="BM592" s="1452" t="str">
        <f t="shared" si="334"/>
        <v/>
      </c>
      <c r="BN592" s="1452" t="str">
        <f t="shared" ca="1" si="335"/>
        <v/>
      </c>
      <c r="BO592" s="1452" t="str">
        <f t="shared" si="348"/>
        <v/>
      </c>
      <c r="BP592" s="1452" t="str">
        <f t="shared" si="336"/>
        <v/>
      </c>
      <c r="BQ592" s="1452" t="str">
        <f t="shared" si="337"/>
        <v/>
      </c>
      <c r="BR592" s="1452" t="str">
        <f t="shared" si="338"/>
        <v/>
      </c>
      <c r="BS592" s="1452" t="str">
        <f t="shared" si="339"/>
        <v/>
      </c>
      <c r="BT592" s="1452" t="str">
        <f t="shared" si="340"/>
        <v/>
      </c>
      <c r="BU592" s="1452" t="str">
        <f t="shared" si="341"/>
        <v/>
      </c>
      <c r="BV592" s="1452" t="str">
        <f t="shared" si="342"/>
        <v/>
      </c>
      <c r="BW592" s="1558">
        <f t="shared" ca="1" si="349"/>
        <v>0</v>
      </c>
    </row>
    <row r="593" spans="1:75" s="9" customFormat="1" ht="12.5">
      <c r="A593" s="1483" t="str">
        <f t="shared" si="343"/>
        <v>Public Health Wales Trust</v>
      </c>
      <c r="B593" s="1583"/>
      <c r="C593" s="1583"/>
      <c r="D593" s="1583"/>
      <c r="E593" s="1585"/>
      <c r="F593" s="1436"/>
      <c r="G593" s="1547">
        <f t="shared" si="344"/>
        <v>0</v>
      </c>
      <c r="H593" s="1484"/>
      <c r="I593" s="1547">
        <f t="shared" si="345"/>
        <v>0</v>
      </c>
      <c r="J593" s="1485"/>
      <c r="K593" s="1485"/>
      <c r="L593" s="1436"/>
      <c r="M593" s="1439"/>
      <c r="N593" s="1439"/>
      <c r="O593" s="1485"/>
      <c r="P593" s="1486"/>
      <c r="Q593" s="1486"/>
      <c r="R593" s="1487"/>
      <c r="S593" s="1444"/>
      <c r="T593" s="1444"/>
      <c r="U593" s="1444"/>
      <c r="V593" s="1488"/>
      <c r="W593" s="1488"/>
      <c r="X593" s="1488"/>
      <c r="Y593" s="1488"/>
      <c r="Z593" s="1488"/>
      <c r="AA593" s="1488"/>
      <c r="AB593" s="1488"/>
      <c r="AC593" s="1488"/>
      <c r="AD593" s="1488"/>
      <c r="AE593" s="1488"/>
      <c r="AF593" s="1488"/>
      <c r="AG593" s="1488"/>
      <c r="AH593" s="1451">
        <f t="shared" si="317"/>
        <v>0</v>
      </c>
      <c r="AI593" s="1488"/>
      <c r="AJ593" s="1488"/>
      <c r="AK593" s="1488"/>
      <c r="AL593" s="1488"/>
      <c r="AM593" s="1488"/>
      <c r="AN593" s="1488"/>
      <c r="AO593" s="1488"/>
      <c r="AP593" s="1488"/>
      <c r="AQ593" s="1488"/>
      <c r="AR593" s="1488"/>
      <c r="AS593" s="1488"/>
      <c r="AT593" s="1542"/>
      <c r="AU593" s="1599">
        <f t="shared" si="318"/>
        <v>0</v>
      </c>
      <c r="AV593" s="1544">
        <f t="shared" si="346"/>
        <v>0</v>
      </c>
      <c r="AW593" s="1452">
        <f t="shared" si="319"/>
        <v>0</v>
      </c>
      <c r="AX593" s="1452">
        <f t="shared" si="320"/>
        <v>0</v>
      </c>
      <c r="AY593" s="1452">
        <f t="shared" si="321"/>
        <v>0</v>
      </c>
      <c r="AZ593" s="1452">
        <f t="shared" si="322"/>
        <v>0</v>
      </c>
      <c r="BA593" s="1452">
        <f t="shared" si="323"/>
        <v>0</v>
      </c>
      <c r="BB593" s="1452">
        <f t="shared" si="324"/>
        <v>0</v>
      </c>
      <c r="BC593" s="1452">
        <f t="shared" si="325"/>
        <v>0</v>
      </c>
      <c r="BD593" s="1452">
        <f t="shared" si="326"/>
        <v>0</v>
      </c>
      <c r="BE593" s="1452">
        <f t="shared" si="327"/>
        <v>0</v>
      </c>
      <c r="BF593" s="1452">
        <f t="shared" si="328"/>
        <v>0</v>
      </c>
      <c r="BG593" s="1452">
        <f t="shared" si="329"/>
        <v>0</v>
      </c>
      <c r="BH593" s="1452">
        <f t="shared" si="330"/>
        <v>0</v>
      </c>
      <c r="BI593" s="1452">
        <f t="shared" si="347"/>
        <v>0</v>
      </c>
      <c r="BJ593" s="1452" t="str">
        <f t="shared" si="331"/>
        <v/>
      </c>
      <c r="BK593" s="1452" t="str">
        <f t="shared" si="332"/>
        <v/>
      </c>
      <c r="BL593" s="1452" t="str">
        <f t="shared" si="333"/>
        <v/>
      </c>
      <c r="BM593" s="1452" t="str">
        <f t="shared" si="334"/>
        <v/>
      </c>
      <c r="BN593" s="1452" t="str">
        <f t="shared" ca="1" si="335"/>
        <v/>
      </c>
      <c r="BO593" s="1452" t="str">
        <f t="shared" si="348"/>
        <v/>
      </c>
      <c r="BP593" s="1452" t="str">
        <f t="shared" si="336"/>
        <v/>
      </c>
      <c r="BQ593" s="1452" t="str">
        <f t="shared" si="337"/>
        <v/>
      </c>
      <c r="BR593" s="1452" t="str">
        <f t="shared" si="338"/>
        <v/>
      </c>
      <c r="BS593" s="1452" t="str">
        <f t="shared" si="339"/>
        <v/>
      </c>
      <c r="BT593" s="1452" t="str">
        <f t="shared" si="340"/>
        <v/>
      </c>
      <c r="BU593" s="1452" t="str">
        <f t="shared" si="341"/>
        <v/>
      </c>
      <c r="BV593" s="1452" t="str">
        <f t="shared" si="342"/>
        <v/>
      </c>
      <c r="BW593" s="1558">
        <f t="shared" ca="1" si="349"/>
        <v>0</v>
      </c>
    </row>
    <row r="594" spans="1:75" s="9" customFormat="1" ht="12.5">
      <c r="A594" s="1483" t="str">
        <f t="shared" si="343"/>
        <v>Public Health Wales Trust</v>
      </c>
      <c r="B594" s="1583"/>
      <c r="C594" s="1583"/>
      <c r="D594" s="1583"/>
      <c r="E594" s="1585"/>
      <c r="F594" s="1436"/>
      <c r="G594" s="1547">
        <f t="shared" si="344"/>
        <v>0</v>
      </c>
      <c r="H594" s="1484"/>
      <c r="I594" s="1547">
        <f t="shared" si="345"/>
        <v>0</v>
      </c>
      <c r="J594" s="1485"/>
      <c r="K594" s="1485"/>
      <c r="L594" s="1436"/>
      <c r="M594" s="1439"/>
      <c r="N594" s="1439"/>
      <c r="O594" s="1485"/>
      <c r="P594" s="1486"/>
      <c r="Q594" s="1486"/>
      <c r="R594" s="1487"/>
      <c r="S594" s="1444"/>
      <c r="T594" s="1444"/>
      <c r="U594" s="1444"/>
      <c r="V594" s="1488"/>
      <c r="W594" s="1488"/>
      <c r="X594" s="1488"/>
      <c r="Y594" s="1488"/>
      <c r="Z594" s="1488"/>
      <c r="AA594" s="1488"/>
      <c r="AB594" s="1488"/>
      <c r="AC594" s="1488"/>
      <c r="AD594" s="1488"/>
      <c r="AE594" s="1488"/>
      <c r="AF594" s="1488"/>
      <c r="AG594" s="1488"/>
      <c r="AH594" s="1451">
        <f t="shared" si="317"/>
        <v>0</v>
      </c>
      <c r="AI594" s="1488"/>
      <c r="AJ594" s="1488"/>
      <c r="AK594" s="1488"/>
      <c r="AL594" s="1488"/>
      <c r="AM594" s="1488"/>
      <c r="AN594" s="1488"/>
      <c r="AO594" s="1488"/>
      <c r="AP594" s="1488"/>
      <c r="AQ594" s="1488"/>
      <c r="AR594" s="1488"/>
      <c r="AS594" s="1488"/>
      <c r="AT594" s="1542"/>
      <c r="AU594" s="1599">
        <f t="shared" si="318"/>
        <v>0</v>
      </c>
      <c r="AV594" s="1544">
        <f t="shared" si="346"/>
        <v>0</v>
      </c>
      <c r="AW594" s="1452">
        <f t="shared" si="319"/>
        <v>0</v>
      </c>
      <c r="AX594" s="1452">
        <f t="shared" si="320"/>
        <v>0</v>
      </c>
      <c r="AY594" s="1452">
        <f t="shared" si="321"/>
        <v>0</v>
      </c>
      <c r="AZ594" s="1452">
        <f t="shared" si="322"/>
        <v>0</v>
      </c>
      <c r="BA594" s="1452">
        <f t="shared" si="323"/>
        <v>0</v>
      </c>
      <c r="BB594" s="1452">
        <f t="shared" si="324"/>
        <v>0</v>
      </c>
      <c r="BC594" s="1452">
        <f t="shared" si="325"/>
        <v>0</v>
      </c>
      <c r="BD594" s="1452">
        <f t="shared" si="326"/>
        <v>0</v>
      </c>
      <c r="BE594" s="1452">
        <f t="shared" si="327"/>
        <v>0</v>
      </c>
      <c r="BF594" s="1452">
        <f t="shared" si="328"/>
        <v>0</v>
      </c>
      <c r="BG594" s="1452">
        <f t="shared" si="329"/>
        <v>0</v>
      </c>
      <c r="BH594" s="1452">
        <f t="shared" si="330"/>
        <v>0</v>
      </c>
      <c r="BI594" s="1452">
        <f t="shared" si="347"/>
        <v>0</v>
      </c>
      <c r="BJ594" s="1452" t="str">
        <f t="shared" si="331"/>
        <v/>
      </c>
      <c r="BK594" s="1452" t="str">
        <f t="shared" si="332"/>
        <v/>
      </c>
      <c r="BL594" s="1452" t="str">
        <f t="shared" si="333"/>
        <v/>
      </c>
      <c r="BM594" s="1452" t="str">
        <f t="shared" si="334"/>
        <v/>
      </c>
      <c r="BN594" s="1452" t="str">
        <f t="shared" ca="1" si="335"/>
        <v/>
      </c>
      <c r="BO594" s="1452" t="str">
        <f t="shared" si="348"/>
        <v/>
      </c>
      <c r="BP594" s="1452" t="str">
        <f t="shared" si="336"/>
        <v/>
      </c>
      <c r="BQ594" s="1452" t="str">
        <f t="shared" si="337"/>
        <v/>
      </c>
      <c r="BR594" s="1452" t="str">
        <f t="shared" si="338"/>
        <v/>
      </c>
      <c r="BS594" s="1452" t="str">
        <f t="shared" si="339"/>
        <v/>
      </c>
      <c r="BT594" s="1452" t="str">
        <f t="shared" si="340"/>
        <v/>
      </c>
      <c r="BU594" s="1452" t="str">
        <f t="shared" si="341"/>
        <v/>
      </c>
      <c r="BV594" s="1452" t="str">
        <f t="shared" si="342"/>
        <v/>
      </c>
      <c r="BW594" s="1558">
        <f t="shared" ca="1" si="349"/>
        <v>0</v>
      </c>
    </row>
    <row r="595" spans="1:75" s="9" customFormat="1" ht="12.5">
      <c r="A595" s="1483" t="str">
        <f t="shared" si="343"/>
        <v>Public Health Wales Trust</v>
      </c>
      <c r="B595" s="1583"/>
      <c r="C595" s="1583"/>
      <c r="D595" s="1583"/>
      <c r="E595" s="1585"/>
      <c r="F595" s="1436"/>
      <c r="G595" s="1547">
        <f t="shared" si="344"/>
        <v>0</v>
      </c>
      <c r="H595" s="1484"/>
      <c r="I595" s="1547">
        <f t="shared" si="345"/>
        <v>0</v>
      </c>
      <c r="J595" s="1485"/>
      <c r="K595" s="1485"/>
      <c r="L595" s="1436"/>
      <c r="M595" s="1439"/>
      <c r="N595" s="1439"/>
      <c r="O595" s="1485"/>
      <c r="P595" s="1486"/>
      <c r="Q595" s="1486"/>
      <c r="R595" s="1487"/>
      <c r="S595" s="1444"/>
      <c r="T595" s="1444"/>
      <c r="U595" s="1444"/>
      <c r="V595" s="1488"/>
      <c r="W595" s="1488"/>
      <c r="X595" s="1488"/>
      <c r="Y595" s="1488"/>
      <c r="Z595" s="1488"/>
      <c r="AA595" s="1488"/>
      <c r="AB595" s="1488"/>
      <c r="AC595" s="1488"/>
      <c r="AD595" s="1488"/>
      <c r="AE595" s="1488"/>
      <c r="AF595" s="1488"/>
      <c r="AG595" s="1488"/>
      <c r="AH595" s="1451">
        <f t="shared" si="317"/>
        <v>0</v>
      </c>
      <c r="AI595" s="1488"/>
      <c r="AJ595" s="1488"/>
      <c r="AK595" s="1488"/>
      <c r="AL595" s="1488"/>
      <c r="AM595" s="1488"/>
      <c r="AN595" s="1488"/>
      <c r="AO595" s="1488"/>
      <c r="AP595" s="1488"/>
      <c r="AQ595" s="1488"/>
      <c r="AR595" s="1488"/>
      <c r="AS595" s="1488"/>
      <c r="AT595" s="1542"/>
      <c r="AU595" s="1599">
        <f t="shared" si="318"/>
        <v>0</v>
      </c>
      <c r="AV595" s="1544">
        <f t="shared" si="346"/>
        <v>0</v>
      </c>
      <c r="AW595" s="1452">
        <f t="shared" si="319"/>
        <v>0</v>
      </c>
      <c r="AX595" s="1452">
        <f t="shared" si="320"/>
        <v>0</v>
      </c>
      <c r="AY595" s="1452">
        <f t="shared" si="321"/>
        <v>0</v>
      </c>
      <c r="AZ595" s="1452">
        <f t="shared" si="322"/>
        <v>0</v>
      </c>
      <c r="BA595" s="1452">
        <f t="shared" si="323"/>
        <v>0</v>
      </c>
      <c r="BB595" s="1452">
        <f t="shared" si="324"/>
        <v>0</v>
      </c>
      <c r="BC595" s="1452">
        <f t="shared" si="325"/>
        <v>0</v>
      </c>
      <c r="BD595" s="1452">
        <f t="shared" si="326"/>
        <v>0</v>
      </c>
      <c r="BE595" s="1452">
        <f t="shared" si="327"/>
        <v>0</v>
      </c>
      <c r="BF595" s="1452">
        <f t="shared" si="328"/>
        <v>0</v>
      </c>
      <c r="BG595" s="1452">
        <f t="shared" si="329"/>
        <v>0</v>
      </c>
      <c r="BH595" s="1452">
        <f t="shared" si="330"/>
        <v>0</v>
      </c>
      <c r="BI595" s="1452">
        <f t="shared" si="347"/>
        <v>0</v>
      </c>
      <c r="BJ595" s="1452" t="str">
        <f t="shared" si="331"/>
        <v/>
      </c>
      <c r="BK595" s="1452" t="str">
        <f t="shared" si="332"/>
        <v/>
      </c>
      <c r="BL595" s="1452" t="str">
        <f t="shared" si="333"/>
        <v/>
      </c>
      <c r="BM595" s="1452" t="str">
        <f t="shared" si="334"/>
        <v/>
      </c>
      <c r="BN595" s="1452" t="str">
        <f t="shared" ca="1" si="335"/>
        <v/>
      </c>
      <c r="BO595" s="1452" t="str">
        <f t="shared" si="348"/>
        <v/>
      </c>
      <c r="BP595" s="1452" t="str">
        <f t="shared" si="336"/>
        <v/>
      </c>
      <c r="BQ595" s="1452" t="str">
        <f t="shared" si="337"/>
        <v/>
      </c>
      <c r="BR595" s="1452" t="str">
        <f t="shared" si="338"/>
        <v/>
      </c>
      <c r="BS595" s="1452" t="str">
        <f t="shared" si="339"/>
        <v/>
      </c>
      <c r="BT595" s="1452" t="str">
        <f t="shared" si="340"/>
        <v/>
      </c>
      <c r="BU595" s="1452" t="str">
        <f t="shared" si="341"/>
        <v/>
      </c>
      <c r="BV595" s="1452" t="str">
        <f t="shared" si="342"/>
        <v/>
      </c>
      <c r="BW595" s="1558">
        <f t="shared" ca="1" si="349"/>
        <v>0</v>
      </c>
    </row>
    <row r="596" spans="1:75" s="9" customFormat="1" ht="12.5">
      <c r="A596" s="1483" t="str">
        <f t="shared" si="343"/>
        <v>Public Health Wales Trust</v>
      </c>
      <c r="B596" s="1583"/>
      <c r="C596" s="1583"/>
      <c r="D596" s="1583"/>
      <c r="E596" s="1585"/>
      <c r="F596" s="1436"/>
      <c r="G596" s="1547">
        <f t="shared" si="344"/>
        <v>0</v>
      </c>
      <c r="H596" s="1484"/>
      <c r="I596" s="1547">
        <f t="shared" si="345"/>
        <v>0</v>
      </c>
      <c r="J596" s="1485"/>
      <c r="K596" s="1485"/>
      <c r="L596" s="1436"/>
      <c r="M596" s="1439"/>
      <c r="N596" s="1439"/>
      <c r="O596" s="1485"/>
      <c r="P596" s="1486"/>
      <c r="Q596" s="1486"/>
      <c r="R596" s="1487"/>
      <c r="S596" s="1444"/>
      <c r="T596" s="1444"/>
      <c r="U596" s="1444"/>
      <c r="V596" s="1488"/>
      <c r="W596" s="1488"/>
      <c r="X596" s="1488"/>
      <c r="Y596" s="1488"/>
      <c r="Z596" s="1488"/>
      <c r="AA596" s="1488"/>
      <c r="AB596" s="1488"/>
      <c r="AC596" s="1488"/>
      <c r="AD596" s="1488"/>
      <c r="AE596" s="1488"/>
      <c r="AF596" s="1488"/>
      <c r="AG596" s="1488"/>
      <c r="AH596" s="1451">
        <f t="shared" si="317"/>
        <v>0</v>
      </c>
      <c r="AI596" s="1488"/>
      <c r="AJ596" s="1488"/>
      <c r="AK596" s="1488"/>
      <c r="AL596" s="1488"/>
      <c r="AM596" s="1488"/>
      <c r="AN596" s="1488"/>
      <c r="AO596" s="1488"/>
      <c r="AP596" s="1488"/>
      <c r="AQ596" s="1488"/>
      <c r="AR596" s="1488"/>
      <c r="AS596" s="1488"/>
      <c r="AT596" s="1542"/>
      <c r="AU596" s="1599">
        <f t="shared" si="318"/>
        <v>0</v>
      </c>
      <c r="AV596" s="1544">
        <f t="shared" si="346"/>
        <v>0</v>
      </c>
      <c r="AW596" s="1452">
        <f t="shared" si="319"/>
        <v>0</v>
      </c>
      <c r="AX596" s="1452">
        <f t="shared" si="320"/>
        <v>0</v>
      </c>
      <c r="AY596" s="1452">
        <f t="shared" si="321"/>
        <v>0</v>
      </c>
      <c r="AZ596" s="1452">
        <f t="shared" si="322"/>
        <v>0</v>
      </c>
      <c r="BA596" s="1452">
        <f t="shared" si="323"/>
        <v>0</v>
      </c>
      <c r="BB596" s="1452">
        <f t="shared" si="324"/>
        <v>0</v>
      </c>
      <c r="BC596" s="1452">
        <f t="shared" si="325"/>
        <v>0</v>
      </c>
      <c r="BD596" s="1452">
        <f t="shared" si="326"/>
        <v>0</v>
      </c>
      <c r="BE596" s="1452">
        <f t="shared" si="327"/>
        <v>0</v>
      </c>
      <c r="BF596" s="1452">
        <f t="shared" si="328"/>
        <v>0</v>
      </c>
      <c r="BG596" s="1452">
        <f t="shared" si="329"/>
        <v>0</v>
      </c>
      <c r="BH596" s="1452">
        <f t="shared" si="330"/>
        <v>0</v>
      </c>
      <c r="BI596" s="1452">
        <f t="shared" si="347"/>
        <v>0</v>
      </c>
      <c r="BJ596" s="1452" t="str">
        <f t="shared" si="331"/>
        <v/>
      </c>
      <c r="BK596" s="1452" t="str">
        <f t="shared" si="332"/>
        <v/>
      </c>
      <c r="BL596" s="1452" t="str">
        <f t="shared" si="333"/>
        <v/>
      </c>
      <c r="BM596" s="1452" t="str">
        <f t="shared" si="334"/>
        <v/>
      </c>
      <c r="BN596" s="1452" t="str">
        <f t="shared" ca="1" si="335"/>
        <v/>
      </c>
      <c r="BO596" s="1452" t="str">
        <f t="shared" si="348"/>
        <v/>
      </c>
      <c r="BP596" s="1452" t="str">
        <f t="shared" si="336"/>
        <v/>
      </c>
      <c r="BQ596" s="1452" t="str">
        <f t="shared" si="337"/>
        <v/>
      </c>
      <c r="BR596" s="1452" t="str">
        <f t="shared" si="338"/>
        <v/>
      </c>
      <c r="BS596" s="1452" t="str">
        <f t="shared" si="339"/>
        <v/>
      </c>
      <c r="BT596" s="1452" t="str">
        <f t="shared" si="340"/>
        <v/>
      </c>
      <c r="BU596" s="1452" t="str">
        <f t="shared" si="341"/>
        <v/>
      </c>
      <c r="BV596" s="1452" t="str">
        <f t="shared" si="342"/>
        <v/>
      </c>
      <c r="BW596" s="1558">
        <f t="shared" ca="1" si="349"/>
        <v>0</v>
      </c>
    </row>
    <row r="597" spans="1:75" s="9" customFormat="1" ht="12.5">
      <c r="A597" s="1483" t="str">
        <f t="shared" si="343"/>
        <v>Public Health Wales Trust</v>
      </c>
      <c r="B597" s="1583"/>
      <c r="C597" s="1583"/>
      <c r="D597" s="1583"/>
      <c r="E597" s="1585"/>
      <c r="F597" s="1436"/>
      <c r="G597" s="1547">
        <f t="shared" si="344"/>
        <v>0</v>
      </c>
      <c r="H597" s="1484"/>
      <c r="I597" s="1547">
        <f t="shared" si="345"/>
        <v>0</v>
      </c>
      <c r="J597" s="1485"/>
      <c r="K597" s="1485"/>
      <c r="L597" s="1436"/>
      <c r="M597" s="1439"/>
      <c r="N597" s="1439"/>
      <c r="O597" s="1485"/>
      <c r="P597" s="1486"/>
      <c r="Q597" s="1486"/>
      <c r="R597" s="1487"/>
      <c r="S597" s="1444"/>
      <c r="T597" s="1444"/>
      <c r="U597" s="1444"/>
      <c r="V597" s="1488"/>
      <c r="W597" s="1488"/>
      <c r="X597" s="1488"/>
      <c r="Y597" s="1488"/>
      <c r="Z597" s="1488"/>
      <c r="AA597" s="1488"/>
      <c r="AB597" s="1488"/>
      <c r="AC597" s="1488"/>
      <c r="AD597" s="1488"/>
      <c r="AE597" s="1488"/>
      <c r="AF597" s="1488"/>
      <c r="AG597" s="1488"/>
      <c r="AH597" s="1451">
        <f t="shared" si="317"/>
        <v>0</v>
      </c>
      <c r="AI597" s="1488"/>
      <c r="AJ597" s="1488"/>
      <c r="AK597" s="1488"/>
      <c r="AL597" s="1488"/>
      <c r="AM597" s="1488"/>
      <c r="AN597" s="1488"/>
      <c r="AO597" s="1488"/>
      <c r="AP597" s="1488"/>
      <c r="AQ597" s="1488"/>
      <c r="AR597" s="1488"/>
      <c r="AS597" s="1488"/>
      <c r="AT597" s="1542"/>
      <c r="AU597" s="1599">
        <f t="shared" si="318"/>
        <v>0</v>
      </c>
      <c r="AV597" s="1544">
        <f t="shared" si="346"/>
        <v>0</v>
      </c>
      <c r="AW597" s="1452">
        <f t="shared" si="319"/>
        <v>0</v>
      </c>
      <c r="AX597" s="1452">
        <f t="shared" si="320"/>
        <v>0</v>
      </c>
      <c r="AY597" s="1452">
        <f t="shared" si="321"/>
        <v>0</v>
      </c>
      <c r="AZ597" s="1452">
        <f t="shared" si="322"/>
        <v>0</v>
      </c>
      <c r="BA597" s="1452">
        <f t="shared" si="323"/>
        <v>0</v>
      </c>
      <c r="BB597" s="1452">
        <f t="shared" si="324"/>
        <v>0</v>
      </c>
      <c r="BC597" s="1452">
        <f t="shared" si="325"/>
        <v>0</v>
      </c>
      <c r="BD597" s="1452">
        <f t="shared" si="326"/>
        <v>0</v>
      </c>
      <c r="BE597" s="1452">
        <f t="shared" si="327"/>
        <v>0</v>
      </c>
      <c r="BF597" s="1452">
        <f t="shared" si="328"/>
        <v>0</v>
      </c>
      <c r="BG597" s="1452">
        <f t="shared" si="329"/>
        <v>0</v>
      </c>
      <c r="BH597" s="1452">
        <f t="shared" si="330"/>
        <v>0</v>
      </c>
      <c r="BI597" s="1452">
        <f t="shared" si="347"/>
        <v>0</v>
      </c>
      <c r="BJ597" s="1452" t="str">
        <f t="shared" si="331"/>
        <v/>
      </c>
      <c r="BK597" s="1452" t="str">
        <f t="shared" si="332"/>
        <v/>
      </c>
      <c r="BL597" s="1452" t="str">
        <f t="shared" si="333"/>
        <v/>
      </c>
      <c r="BM597" s="1452" t="str">
        <f t="shared" si="334"/>
        <v/>
      </c>
      <c r="BN597" s="1452" t="str">
        <f t="shared" ca="1" si="335"/>
        <v/>
      </c>
      <c r="BO597" s="1452" t="str">
        <f t="shared" si="348"/>
        <v/>
      </c>
      <c r="BP597" s="1452" t="str">
        <f t="shared" si="336"/>
        <v/>
      </c>
      <c r="BQ597" s="1452" t="str">
        <f t="shared" si="337"/>
        <v/>
      </c>
      <c r="BR597" s="1452" t="str">
        <f t="shared" si="338"/>
        <v/>
      </c>
      <c r="BS597" s="1452" t="str">
        <f t="shared" si="339"/>
        <v/>
      </c>
      <c r="BT597" s="1452" t="str">
        <f t="shared" si="340"/>
        <v/>
      </c>
      <c r="BU597" s="1452" t="str">
        <f t="shared" si="341"/>
        <v/>
      </c>
      <c r="BV597" s="1452" t="str">
        <f t="shared" si="342"/>
        <v/>
      </c>
      <c r="BW597" s="1558">
        <f t="shared" ca="1" si="349"/>
        <v>0</v>
      </c>
    </row>
    <row r="598" spans="1:75" s="9" customFormat="1" ht="12.5">
      <c r="A598" s="1483" t="str">
        <f t="shared" si="343"/>
        <v>Public Health Wales Trust</v>
      </c>
      <c r="B598" s="1583"/>
      <c r="C598" s="1583"/>
      <c r="D598" s="1583"/>
      <c r="E598" s="1585"/>
      <c r="F598" s="1436"/>
      <c r="G598" s="1547">
        <f t="shared" si="344"/>
        <v>0</v>
      </c>
      <c r="H598" s="1484"/>
      <c r="I598" s="1547">
        <f t="shared" si="345"/>
        <v>0</v>
      </c>
      <c r="J598" s="1485"/>
      <c r="K598" s="1485"/>
      <c r="L598" s="1436"/>
      <c r="M598" s="1439"/>
      <c r="N598" s="1439"/>
      <c r="O598" s="1485"/>
      <c r="P598" s="1486"/>
      <c r="Q598" s="1486"/>
      <c r="R598" s="1487"/>
      <c r="S598" s="1444"/>
      <c r="T598" s="1444"/>
      <c r="U598" s="1444"/>
      <c r="V598" s="1488"/>
      <c r="W598" s="1488"/>
      <c r="X598" s="1488"/>
      <c r="Y598" s="1488"/>
      <c r="Z598" s="1488"/>
      <c r="AA598" s="1488"/>
      <c r="AB598" s="1488"/>
      <c r="AC598" s="1488"/>
      <c r="AD598" s="1488"/>
      <c r="AE598" s="1488"/>
      <c r="AF598" s="1488"/>
      <c r="AG598" s="1488"/>
      <c r="AH598" s="1451">
        <f t="shared" si="317"/>
        <v>0</v>
      </c>
      <c r="AI598" s="1488"/>
      <c r="AJ598" s="1488"/>
      <c r="AK598" s="1488"/>
      <c r="AL598" s="1488"/>
      <c r="AM598" s="1488"/>
      <c r="AN598" s="1488"/>
      <c r="AO598" s="1488"/>
      <c r="AP598" s="1488"/>
      <c r="AQ598" s="1488"/>
      <c r="AR598" s="1488"/>
      <c r="AS598" s="1488"/>
      <c r="AT598" s="1542"/>
      <c r="AU598" s="1599">
        <f t="shared" si="318"/>
        <v>0</v>
      </c>
      <c r="AV598" s="1544">
        <f t="shared" si="346"/>
        <v>0</v>
      </c>
      <c r="AW598" s="1452">
        <f t="shared" si="319"/>
        <v>0</v>
      </c>
      <c r="AX598" s="1452">
        <f t="shared" si="320"/>
        <v>0</v>
      </c>
      <c r="AY598" s="1452">
        <f t="shared" si="321"/>
        <v>0</v>
      </c>
      <c r="AZ598" s="1452">
        <f t="shared" si="322"/>
        <v>0</v>
      </c>
      <c r="BA598" s="1452">
        <f t="shared" si="323"/>
        <v>0</v>
      </c>
      <c r="BB598" s="1452">
        <f t="shared" si="324"/>
        <v>0</v>
      </c>
      <c r="BC598" s="1452">
        <f t="shared" si="325"/>
        <v>0</v>
      </c>
      <c r="BD598" s="1452">
        <f t="shared" si="326"/>
        <v>0</v>
      </c>
      <c r="BE598" s="1452">
        <f t="shared" si="327"/>
        <v>0</v>
      </c>
      <c r="BF598" s="1452">
        <f t="shared" si="328"/>
        <v>0</v>
      </c>
      <c r="BG598" s="1452">
        <f t="shared" si="329"/>
        <v>0</v>
      </c>
      <c r="BH598" s="1452">
        <f t="shared" si="330"/>
        <v>0</v>
      </c>
      <c r="BI598" s="1452">
        <f t="shared" si="347"/>
        <v>0</v>
      </c>
      <c r="BJ598" s="1452" t="str">
        <f t="shared" si="331"/>
        <v/>
      </c>
      <c r="BK598" s="1452" t="str">
        <f t="shared" si="332"/>
        <v/>
      </c>
      <c r="BL598" s="1452" t="str">
        <f t="shared" si="333"/>
        <v/>
      </c>
      <c r="BM598" s="1452" t="str">
        <f t="shared" si="334"/>
        <v/>
      </c>
      <c r="BN598" s="1452" t="str">
        <f t="shared" ca="1" si="335"/>
        <v/>
      </c>
      <c r="BO598" s="1452" t="str">
        <f t="shared" si="348"/>
        <v/>
      </c>
      <c r="BP598" s="1452" t="str">
        <f t="shared" si="336"/>
        <v/>
      </c>
      <c r="BQ598" s="1452" t="str">
        <f t="shared" si="337"/>
        <v/>
      </c>
      <c r="BR598" s="1452" t="str">
        <f t="shared" si="338"/>
        <v/>
      </c>
      <c r="BS598" s="1452" t="str">
        <f t="shared" si="339"/>
        <v/>
      </c>
      <c r="BT598" s="1452" t="str">
        <f t="shared" si="340"/>
        <v/>
      </c>
      <c r="BU598" s="1452" t="str">
        <f t="shared" si="341"/>
        <v/>
      </c>
      <c r="BV598" s="1452" t="str">
        <f t="shared" si="342"/>
        <v/>
      </c>
      <c r="BW598" s="1558">
        <f t="shared" ca="1" si="349"/>
        <v>0</v>
      </c>
    </row>
    <row r="599" spans="1:75" s="9" customFormat="1" ht="12.5">
      <c r="A599" s="1483" t="str">
        <f t="shared" si="343"/>
        <v>Public Health Wales Trust</v>
      </c>
      <c r="B599" s="1583"/>
      <c r="C599" s="1583"/>
      <c r="D599" s="1583"/>
      <c r="E599" s="1585"/>
      <c r="F599" s="1436"/>
      <c r="G599" s="1547">
        <f t="shared" si="344"/>
        <v>0</v>
      </c>
      <c r="H599" s="1484"/>
      <c r="I599" s="1547">
        <f t="shared" si="345"/>
        <v>0</v>
      </c>
      <c r="J599" s="1485"/>
      <c r="K599" s="1485"/>
      <c r="L599" s="1436"/>
      <c r="M599" s="1439"/>
      <c r="N599" s="1439"/>
      <c r="O599" s="1485"/>
      <c r="P599" s="1486"/>
      <c r="Q599" s="1486"/>
      <c r="R599" s="1487"/>
      <c r="S599" s="1444"/>
      <c r="T599" s="1444"/>
      <c r="U599" s="1444"/>
      <c r="V599" s="1488"/>
      <c r="W599" s="1488"/>
      <c r="X599" s="1488"/>
      <c r="Y599" s="1488"/>
      <c r="Z599" s="1488"/>
      <c r="AA599" s="1488"/>
      <c r="AB599" s="1488"/>
      <c r="AC599" s="1488"/>
      <c r="AD599" s="1488"/>
      <c r="AE599" s="1488"/>
      <c r="AF599" s="1488"/>
      <c r="AG599" s="1488"/>
      <c r="AH599" s="1451">
        <f t="shared" si="317"/>
        <v>0</v>
      </c>
      <c r="AI599" s="1488"/>
      <c r="AJ599" s="1488"/>
      <c r="AK599" s="1488"/>
      <c r="AL599" s="1488"/>
      <c r="AM599" s="1488"/>
      <c r="AN599" s="1488"/>
      <c r="AO599" s="1488"/>
      <c r="AP599" s="1488"/>
      <c r="AQ599" s="1488"/>
      <c r="AR599" s="1488"/>
      <c r="AS599" s="1488"/>
      <c r="AT599" s="1542"/>
      <c r="AU599" s="1599">
        <f t="shared" si="318"/>
        <v>0</v>
      </c>
      <c r="AV599" s="1544">
        <f t="shared" si="346"/>
        <v>0</v>
      </c>
      <c r="AW599" s="1452">
        <f t="shared" si="319"/>
        <v>0</v>
      </c>
      <c r="AX599" s="1452">
        <f t="shared" si="320"/>
        <v>0</v>
      </c>
      <c r="AY599" s="1452">
        <f t="shared" si="321"/>
        <v>0</v>
      </c>
      <c r="AZ599" s="1452">
        <f t="shared" si="322"/>
        <v>0</v>
      </c>
      <c r="BA599" s="1452">
        <f t="shared" si="323"/>
        <v>0</v>
      </c>
      <c r="BB599" s="1452">
        <f t="shared" si="324"/>
        <v>0</v>
      </c>
      <c r="BC599" s="1452">
        <f t="shared" si="325"/>
        <v>0</v>
      </c>
      <c r="BD599" s="1452">
        <f t="shared" si="326"/>
        <v>0</v>
      </c>
      <c r="BE599" s="1452">
        <f t="shared" si="327"/>
        <v>0</v>
      </c>
      <c r="BF599" s="1452">
        <f t="shared" si="328"/>
        <v>0</v>
      </c>
      <c r="BG599" s="1452">
        <f t="shared" si="329"/>
        <v>0</v>
      </c>
      <c r="BH599" s="1452">
        <f t="shared" si="330"/>
        <v>0</v>
      </c>
      <c r="BI599" s="1452">
        <f t="shared" si="347"/>
        <v>0</v>
      </c>
      <c r="BJ599" s="1452" t="str">
        <f t="shared" si="331"/>
        <v/>
      </c>
      <c r="BK599" s="1452" t="str">
        <f t="shared" si="332"/>
        <v/>
      </c>
      <c r="BL599" s="1452" t="str">
        <f t="shared" si="333"/>
        <v/>
      </c>
      <c r="BM599" s="1452" t="str">
        <f t="shared" si="334"/>
        <v/>
      </c>
      <c r="BN599" s="1452" t="str">
        <f t="shared" ca="1" si="335"/>
        <v/>
      </c>
      <c r="BO599" s="1452" t="str">
        <f t="shared" si="348"/>
        <v/>
      </c>
      <c r="BP599" s="1452" t="str">
        <f t="shared" si="336"/>
        <v/>
      </c>
      <c r="BQ599" s="1452" t="str">
        <f t="shared" si="337"/>
        <v/>
      </c>
      <c r="BR599" s="1452" t="str">
        <f t="shared" si="338"/>
        <v/>
      </c>
      <c r="BS599" s="1452" t="str">
        <f t="shared" si="339"/>
        <v/>
      </c>
      <c r="BT599" s="1452" t="str">
        <f t="shared" si="340"/>
        <v/>
      </c>
      <c r="BU599" s="1452" t="str">
        <f t="shared" si="341"/>
        <v/>
      </c>
      <c r="BV599" s="1452" t="str">
        <f t="shared" si="342"/>
        <v/>
      </c>
      <c r="BW599" s="1558">
        <f t="shared" ca="1" si="349"/>
        <v>0</v>
      </c>
    </row>
    <row r="600" spans="1:75" s="9" customFormat="1" ht="12.5">
      <c r="A600" s="1483" t="str">
        <f t="shared" si="343"/>
        <v>Public Health Wales Trust</v>
      </c>
      <c r="B600" s="1583"/>
      <c r="C600" s="1583"/>
      <c r="D600" s="1583"/>
      <c r="E600" s="1585"/>
      <c r="F600" s="1436"/>
      <c r="G600" s="1547">
        <f t="shared" si="344"/>
        <v>0</v>
      </c>
      <c r="H600" s="1484"/>
      <c r="I600" s="1547">
        <f t="shared" si="345"/>
        <v>0</v>
      </c>
      <c r="J600" s="1485"/>
      <c r="K600" s="1485"/>
      <c r="L600" s="1436"/>
      <c r="M600" s="1439"/>
      <c r="N600" s="1439"/>
      <c r="O600" s="1485"/>
      <c r="P600" s="1486"/>
      <c r="Q600" s="1486"/>
      <c r="R600" s="1487"/>
      <c r="S600" s="1444"/>
      <c r="T600" s="1444"/>
      <c r="U600" s="1444"/>
      <c r="V600" s="1488"/>
      <c r="W600" s="1488"/>
      <c r="X600" s="1488"/>
      <c r="Y600" s="1488"/>
      <c r="Z600" s="1488"/>
      <c r="AA600" s="1488"/>
      <c r="AB600" s="1488"/>
      <c r="AC600" s="1488"/>
      <c r="AD600" s="1488"/>
      <c r="AE600" s="1488"/>
      <c r="AF600" s="1488"/>
      <c r="AG600" s="1488"/>
      <c r="AH600" s="1451">
        <f t="shared" si="317"/>
        <v>0</v>
      </c>
      <c r="AI600" s="1488"/>
      <c r="AJ600" s="1488"/>
      <c r="AK600" s="1488"/>
      <c r="AL600" s="1488"/>
      <c r="AM600" s="1488"/>
      <c r="AN600" s="1488"/>
      <c r="AO600" s="1488"/>
      <c r="AP600" s="1488"/>
      <c r="AQ600" s="1488"/>
      <c r="AR600" s="1488"/>
      <c r="AS600" s="1488"/>
      <c r="AT600" s="1542"/>
      <c r="AU600" s="1599">
        <f t="shared" si="318"/>
        <v>0</v>
      </c>
      <c r="AV600" s="1544">
        <f t="shared" si="346"/>
        <v>0</v>
      </c>
      <c r="AW600" s="1452">
        <f t="shared" si="319"/>
        <v>0</v>
      </c>
      <c r="AX600" s="1452">
        <f t="shared" si="320"/>
        <v>0</v>
      </c>
      <c r="AY600" s="1452">
        <f t="shared" si="321"/>
        <v>0</v>
      </c>
      <c r="AZ600" s="1452">
        <f t="shared" si="322"/>
        <v>0</v>
      </c>
      <c r="BA600" s="1452">
        <f t="shared" si="323"/>
        <v>0</v>
      </c>
      <c r="BB600" s="1452">
        <f t="shared" si="324"/>
        <v>0</v>
      </c>
      <c r="BC600" s="1452">
        <f t="shared" si="325"/>
        <v>0</v>
      </c>
      <c r="BD600" s="1452">
        <f t="shared" si="326"/>
        <v>0</v>
      </c>
      <c r="BE600" s="1452">
        <f t="shared" si="327"/>
        <v>0</v>
      </c>
      <c r="BF600" s="1452">
        <f t="shared" si="328"/>
        <v>0</v>
      </c>
      <c r="BG600" s="1452">
        <f t="shared" si="329"/>
        <v>0</v>
      </c>
      <c r="BH600" s="1452">
        <f t="shared" si="330"/>
        <v>0</v>
      </c>
      <c r="BI600" s="1452">
        <f t="shared" si="347"/>
        <v>0</v>
      </c>
      <c r="BJ600" s="1452" t="str">
        <f t="shared" si="331"/>
        <v/>
      </c>
      <c r="BK600" s="1452" t="str">
        <f t="shared" si="332"/>
        <v/>
      </c>
      <c r="BL600" s="1452" t="str">
        <f t="shared" si="333"/>
        <v/>
      </c>
      <c r="BM600" s="1452" t="str">
        <f t="shared" si="334"/>
        <v/>
      </c>
      <c r="BN600" s="1452" t="str">
        <f t="shared" ca="1" si="335"/>
        <v/>
      </c>
      <c r="BO600" s="1452" t="str">
        <f t="shared" si="348"/>
        <v/>
      </c>
      <c r="BP600" s="1452" t="str">
        <f t="shared" si="336"/>
        <v/>
      </c>
      <c r="BQ600" s="1452" t="str">
        <f t="shared" si="337"/>
        <v/>
      </c>
      <c r="BR600" s="1452" t="str">
        <f t="shared" si="338"/>
        <v/>
      </c>
      <c r="BS600" s="1452" t="str">
        <f t="shared" si="339"/>
        <v/>
      </c>
      <c r="BT600" s="1452" t="str">
        <f t="shared" si="340"/>
        <v/>
      </c>
      <c r="BU600" s="1452" t="str">
        <f t="shared" si="341"/>
        <v/>
      </c>
      <c r="BV600" s="1452" t="str">
        <f t="shared" si="342"/>
        <v/>
      </c>
      <c r="BW600" s="1558">
        <f t="shared" ca="1" si="349"/>
        <v>0</v>
      </c>
    </row>
    <row r="601" spans="1:75" s="9" customFormat="1" ht="12.5">
      <c r="A601" s="1483" t="str">
        <f t="shared" si="343"/>
        <v>Public Health Wales Trust</v>
      </c>
      <c r="B601" s="1583"/>
      <c r="C601" s="1583"/>
      <c r="D601" s="1583"/>
      <c r="E601" s="1585"/>
      <c r="F601" s="1436"/>
      <c r="G601" s="1547">
        <f t="shared" si="344"/>
        <v>0</v>
      </c>
      <c r="H601" s="1484"/>
      <c r="I601" s="1547">
        <f t="shared" si="345"/>
        <v>0</v>
      </c>
      <c r="J601" s="1485"/>
      <c r="K601" s="1485"/>
      <c r="L601" s="1436"/>
      <c r="M601" s="1439"/>
      <c r="N601" s="1439"/>
      <c r="O601" s="1485"/>
      <c r="P601" s="1486"/>
      <c r="Q601" s="1486"/>
      <c r="R601" s="1487"/>
      <c r="S601" s="1444"/>
      <c r="T601" s="1444"/>
      <c r="U601" s="1444"/>
      <c r="V601" s="1488"/>
      <c r="W601" s="1488"/>
      <c r="X601" s="1488"/>
      <c r="Y601" s="1488"/>
      <c r="Z601" s="1488"/>
      <c r="AA601" s="1488"/>
      <c r="AB601" s="1488"/>
      <c r="AC601" s="1488"/>
      <c r="AD601" s="1488"/>
      <c r="AE601" s="1488"/>
      <c r="AF601" s="1488"/>
      <c r="AG601" s="1488"/>
      <c r="AH601" s="1451">
        <f t="shared" si="317"/>
        <v>0</v>
      </c>
      <c r="AI601" s="1488"/>
      <c r="AJ601" s="1488"/>
      <c r="AK601" s="1488"/>
      <c r="AL601" s="1488"/>
      <c r="AM601" s="1488"/>
      <c r="AN601" s="1488"/>
      <c r="AO601" s="1488"/>
      <c r="AP601" s="1488"/>
      <c r="AQ601" s="1488"/>
      <c r="AR601" s="1488"/>
      <c r="AS601" s="1488"/>
      <c r="AT601" s="1542"/>
      <c r="AU601" s="1599">
        <f t="shared" si="318"/>
        <v>0</v>
      </c>
      <c r="AV601" s="1544">
        <f t="shared" si="346"/>
        <v>0</v>
      </c>
      <c r="AW601" s="1452">
        <f t="shared" si="319"/>
        <v>0</v>
      </c>
      <c r="AX601" s="1452">
        <f t="shared" si="320"/>
        <v>0</v>
      </c>
      <c r="AY601" s="1452">
        <f t="shared" si="321"/>
        <v>0</v>
      </c>
      <c r="AZ601" s="1452">
        <f t="shared" si="322"/>
        <v>0</v>
      </c>
      <c r="BA601" s="1452">
        <f t="shared" si="323"/>
        <v>0</v>
      </c>
      <c r="BB601" s="1452">
        <f t="shared" si="324"/>
        <v>0</v>
      </c>
      <c r="BC601" s="1452">
        <f t="shared" si="325"/>
        <v>0</v>
      </c>
      <c r="BD601" s="1452">
        <f t="shared" si="326"/>
        <v>0</v>
      </c>
      <c r="BE601" s="1452">
        <f t="shared" si="327"/>
        <v>0</v>
      </c>
      <c r="BF601" s="1452">
        <f t="shared" si="328"/>
        <v>0</v>
      </c>
      <c r="BG601" s="1452">
        <f t="shared" si="329"/>
        <v>0</v>
      </c>
      <c r="BH601" s="1452">
        <f t="shared" si="330"/>
        <v>0</v>
      </c>
      <c r="BI601" s="1452">
        <f t="shared" si="347"/>
        <v>0</v>
      </c>
      <c r="BJ601" s="1452" t="str">
        <f t="shared" si="331"/>
        <v/>
      </c>
      <c r="BK601" s="1452" t="str">
        <f t="shared" si="332"/>
        <v/>
      </c>
      <c r="BL601" s="1452" t="str">
        <f t="shared" si="333"/>
        <v/>
      </c>
      <c r="BM601" s="1452" t="str">
        <f t="shared" si="334"/>
        <v/>
      </c>
      <c r="BN601" s="1452" t="str">
        <f t="shared" ca="1" si="335"/>
        <v/>
      </c>
      <c r="BO601" s="1452" t="str">
        <f t="shared" si="348"/>
        <v/>
      </c>
      <c r="BP601" s="1452" t="str">
        <f t="shared" si="336"/>
        <v/>
      </c>
      <c r="BQ601" s="1452" t="str">
        <f t="shared" si="337"/>
        <v/>
      </c>
      <c r="BR601" s="1452" t="str">
        <f t="shared" si="338"/>
        <v/>
      </c>
      <c r="BS601" s="1452" t="str">
        <f t="shared" si="339"/>
        <v/>
      </c>
      <c r="BT601" s="1452" t="str">
        <f t="shared" si="340"/>
        <v/>
      </c>
      <c r="BU601" s="1452" t="str">
        <f t="shared" si="341"/>
        <v/>
      </c>
      <c r="BV601" s="1452" t="str">
        <f t="shared" si="342"/>
        <v/>
      </c>
      <c r="BW601" s="1558">
        <f t="shared" ca="1" si="349"/>
        <v>0</v>
      </c>
    </row>
    <row r="602" spans="1:75" s="9" customFormat="1" ht="12.5">
      <c r="A602" s="1483" t="str">
        <f t="shared" si="343"/>
        <v>Public Health Wales Trust</v>
      </c>
      <c r="B602" s="1583"/>
      <c r="C602" s="1583"/>
      <c r="D602" s="1583"/>
      <c r="E602" s="1585"/>
      <c r="F602" s="1436"/>
      <c r="G602" s="1547">
        <f t="shared" si="344"/>
        <v>0</v>
      </c>
      <c r="H602" s="1484"/>
      <c r="I602" s="1547">
        <f t="shared" si="345"/>
        <v>0</v>
      </c>
      <c r="J602" s="1485"/>
      <c r="K602" s="1485"/>
      <c r="L602" s="1436"/>
      <c r="M602" s="1439"/>
      <c r="N602" s="1439"/>
      <c r="O602" s="1485"/>
      <c r="P602" s="1486"/>
      <c r="Q602" s="1486"/>
      <c r="R602" s="1487"/>
      <c r="S602" s="1444"/>
      <c r="T602" s="1444"/>
      <c r="U602" s="1444"/>
      <c r="V602" s="1488"/>
      <c r="W602" s="1488"/>
      <c r="X602" s="1488"/>
      <c r="Y602" s="1488"/>
      <c r="Z602" s="1488"/>
      <c r="AA602" s="1488"/>
      <c r="AB602" s="1488"/>
      <c r="AC602" s="1488"/>
      <c r="AD602" s="1488"/>
      <c r="AE602" s="1488"/>
      <c r="AF602" s="1488"/>
      <c r="AG602" s="1488"/>
      <c r="AH602" s="1451">
        <f t="shared" si="317"/>
        <v>0</v>
      </c>
      <c r="AI602" s="1488"/>
      <c r="AJ602" s="1488"/>
      <c r="AK602" s="1488"/>
      <c r="AL602" s="1488"/>
      <c r="AM602" s="1488"/>
      <c r="AN602" s="1488"/>
      <c r="AO602" s="1488"/>
      <c r="AP602" s="1488"/>
      <c r="AQ602" s="1488"/>
      <c r="AR602" s="1488"/>
      <c r="AS602" s="1488"/>
      <c r="AT602" s="1542"/>
      <c r="AU602" s="1599">
        <f t="shared" si="318"/>
        <v>0</v>
      </c>
      <c r="AV602" s="1544">
        <f t="shared" si="346"/>
        <v>0</v>
      </c>
      <c r="AW602" s="1452">
        <f t="shared" si="319"/>
        <v>0</v>
      </c>
      <c r="AX602" s="1452">
        <f t="shared" si="320"/>
        <v>0</v>
      </c>
      <c r="AY602" s="1452">
        <f t="shared" si="321"/>
        <v>0</v>
      </c>
      <c r="AZ602" s="1452">
        <f t="shared" si="322"/>
        <v>0</v>
      </c>
      <c r="BA602" s="1452">
        <f t="shared" si="323"/>
        <v>0</v>
      </c>
      <c r="BB602" s="1452">
        <f t="shared" si="324"/>
        <v>0</v>
      </c>
      <c r="BC602" s="1452">
        <f t="shared" si="325"/>
        <v>0</v>
      </c>
      <c r="BD602" s="1452">
        <f t="shared" si="326"/>
        <v>0</v>
      </c>
      <c r="BE602" s="1452">
        <f t="shared" si="327"/>
        <v>0</v>
      </c>
      <c r="BF602" s="1452">
        <f t="shared" si="328"/>
        <v>0</v>
      </c>
      <c r="BG602" s="1452">
        <f t="shared" si="329"/>
        <v>0</v>
      </c>
      <c r="BH602" s="1452">
        <f t="shared" si="330"/>
        <v>0</v>
      </c>
      <c r="BI602" s="1452">
        <f t="shared" si="347"/>
        <v>0</v>
      </c>
      <c r="BJ602" s="1452" t="str">
        <f t="shared" si="331"/>
        <v/>
      </c>
      <c r="BK602" s="1452" t="str">
        <f t="shared" si="332"/>
        <v/>
      </c>
      <c r="BL602" s="1452" t="str">
        <f t="shared" si="333"/>
        <v/>
      </c>
      <c r="BM602" s="1452" t="str">
        <f t="shared" si="334"/>
        <v/>
      </c>
      <c r="BN602" s="1452" t="str">
        <f t="shared" ca="1" si="335"/>
        <v/>
      </c>
      <c r="BO602" s="1452" t="str">
        <f t="shared" si="348"/>
        <v/>
      </c>
      <c r="BP602" s="1452" t="str">
        <f t="shared" si="336"/>
        <v/>
      </c>
      <c r="BQ602" s="1452" t="str">
        <f t="shared" si="337"/>
        <v/>
      </c>
      <c r="BR602" s="1452" t="str">
        <f t="shared" si="338"/>
        <v/>
      </c>
      <c r="BS602" s="1452" t="str">
        <f t="shared" si="339"/>
        <v/>
      </c>
      <c r="BT602" s="1452" t="str">
        <f t="shared" si="340"/>
        <v/>
      </c>
      <c r="BU602" s="1452" t="str">
        <f t="shared" si="341"/>
        <v/>
      </c>
      <c r="BV602" s="1452" t="str">
        <f t="shared" si="342"/>
        <v/>
      </c>
      <c r="BW602" s="1558">
        <f t="shared" ca="1" si="349"/>
        <v>0</v>
      </c>
    </row>
    <row r="603" spans="1:75" s="9" customFormat="1" ht="12.5">
      <c r="A603" s="1483" t="str">
        <f t="shared" si="343"/>
        <v>Public Health Wales Trust</v>
      </c>
      <c r="B603" s="1583"/>
      <c r="C603" s="1583"/>
      <c r="D603" s="1583"/>
      <c r="E603" s="1585"/>
      <c r="F603" s="1436"/>
      <c r="G603" s="1547">
        <f t="shared" si="344"/>
        <v>0</v>
      </c>
      <c r="H603" s="1484"/>
      <c r="I603" s="1547">
        <f t="shared" si="345"/>
        <v>0</v>
      </c>
      <c r="J603" s="1485"/>
      <c r="K603" s="1485"/>
      <c r="L603" s="1436"/>
      <c r="M603" s="1439"/>
      <c r="N603" s="1439"/>
      <c r="O603" s="1485"/>
      <c r="P603" s="1486"/>
      <c r="Q603" s="1486"/>
      <c r="R603" s="1487"/>
      <c r="S603" s="1444"/>
      <c r="T603" s="1444"/>
      <c r="U603" s="1444"/>
      <c r="V603" s="1488"/>
      <c r="W603" s="1488"/>
      <c r="X603" s="1488"/>
      <c r="Y603" s="1488"/>
      <c r="Z603" s="1488"/>
      <c r="AA603" s="1488"/>
      <c r="AB603" s="1488"/>
      <c r="AC603" s="1488"/>
      <c r="AD603" s="1488"/>
      <c r="AE603" s="1488"/>
      <c r="AF603" s="1488"/>
      <c r="AG603" s="1488"/>
      <c r="AH603" s="1451">
        <f t="shared" si="317"/>
        <v>0</v>
      </c>
      <c r="AI603" s="1488"/>
      <c r="AJ603" s="1488"/>
      <c r="AK603" s="1488"/>
      <c r="AL603" s="1488"/>
      <c r="AM603" s="1488"/>
      <c r="AN603" s="1488"/>
      <c r="AO603" s="1488"/>
      <c r="AP603" s="1488"/>
      <c r="AQ603" s="1488"/>
      <c r="AR603" s="1488"/>
      <c r="AS603" s="1488"/>
      <c r="AT603" s="1542"/>
      <c r="AU603" s="1599">
        <f t="shared" si="318"/>
        <v>0</v>
      </c>
      <c r="AV603" s="1544">
        <f t="shared" si="346"/>
        <v>0</v>
      </c>
      <c r="AW603" s="1452">
        <f t="shared" si="319"/>
        <v>0</v>
      </c>
      <c r="AX603" s="1452">
        <f t="shared" si="320"/>
        <v>0</v>
      </c>
      <c r="AY603" s="1452">
        <f t="shared" si="321"/>
        <v>0</v>
      </c>
      <c r="AZ603" s="1452">
        <f t="shared" si="322"/>
        <v>0</v>
      </c>
      <c r="BA603" s="1452">
        <f t="shared" si="323"/>
        <v>0</v>
      </c>
      <c r="BB603" s="1452">
        <f t="shared" si="324"/>
        <v>0</v>
      </c>
      <c r="BC603" s="1452">
        <f t="shared" si="325"/>
        <v>0</v>
      </c>
      <c r="BD603" s="1452">
        <f t="shared" si="326"/>
        <v>0</v>
      </c>
      <c r="BE603" s="1452">
        <f t="shared" si="327"/>
        <v>0</v>
      </c>
      <c r="BF603" s="1452">
        <f t="shared" si="328"/>
        <v>0</v>
      </c>
      <c r="BG603" s="1452">
        <f t="shared" si="329"/>
        <v>0</v>
      </c>
      <c r="BH603" s="1452">
        <f t="shared" si="330"/>
        <v>0</v>
      </c>
      <c r="BI603" s="1452">
        <f t="shared" si="347"/>
        <v>0</v>
      </c>
      <c r="BJ603" s="1452" t="str">
        <f t="shared" si="331"/>
        <v/>
      </c>
      <c r="BK603" s="1452" t="str">
        <f t="shared" si="332"/>
        <v/>
      </c>
      <c r="BL603" s="1452" t="str">
        <f t="shared" si="333"/>
        <v/>
      </c>
      <c r="BM603" s="1452" t="str">
        <f t="shared" si="334"/>
        <v/>
      </c>
      <c r="BN603" s="1452" t="str">
        <f t="shared" ca="1" si="335"/>
        <v/>
      </c>
      <c r="BO603" s="1452" t="str">
        <f t="shared" si="348"/>
        <v/>
      </c>
      <c r="BP603" s="1452" t="str">
        <f t="shared" si="336"/>
        <v/>
      </c>
      <c r="BQ603" s="1452" t="str">
        <f t="shared" si="337"/>
        <v/>
      </c>
      <c r="BR603" s="1452" t="str">
        <f t="shared" si="338"/>
        <v/>
      </c>
      <c r="BS603" s="1452" t="str">
        <f t="shared" si="339"/>
        <v/>
      </c>
      <c r="BT603" s="1452" t="str">
        <f t="shared" si="340"/>
        <v/>
      </c>
      <c r="BU603" s="1452" t="str">
        <f t="shared" si="341"/>
        <v/>
      </c>
      <c r="BV603" s="1452" t="str">
        <f t="shared" si="342"/>
        <v/>
      </c>
      <c r="BW603" s="1558">
        <f t="shared" ca="1" si="349"/>
        <v>0</v>
      </c>
    </row>
    <row r="604" spans="1:75" s="9" customFormat="1" ht="12.5">
      <c r="A604" s="1483" t="str">
        <f t="shared" si="343"/>
        <v>Public Health Wales Trust</v>
      </c>
      <c r="B604" s="1583"/>
      <c r="C604" s="1583"/>
      <c r="D604" s="1583"/>
      <c r="E604" s="1585"/>
      <c r="F604" s="1436"/>
      <c r="G604" s="1547">
        <f t="shared" si="344"/>
        <v>0</v>
      </c>
      <c r="H604" s="1484"/>
      <c r="I604" s="1547">
        <f t="shared" si="345"/>
        <v>0</v>
      </c>
      <c r="J604" s="1485"/>
      <c r="K604" s="1485"/>
      <c r="L604" s="1436"/>
      <c r="M604" s="1439"/>
      <c r="N604" s="1439"/>
      <c r="O604" s="1485"/>
      <c r="P604" s="1486"/>
      <c r="Q604" s="1486"/>
      <c r="R604" s="1487"/>
      <c r="S604" s="1444"/>
      <c r="T604" s="1444"/>
      <c r="U604" s="1444"/>
      <c r="V604" s="1488"/>
      <c r="W604" s="1488"/>
      <c r="X604" s="1488"/>
      <c r="Y604" s="1488"/>
      <c r="Z604" s="1488"/>
      <c r="AA604" s="1488"/>
      <c r="AB604" s="1488"/>
      <c r="AC604" s="1488"/>
      <c r="AD604" s="1488"/>
      <c r="AE604" s="1488"/>
      <c r="AF604" s="1488"/>
      <c r="AG604" s="1488"/>
      <c r="AH604" s="1451">
        <f t="shared" si="317"/>
        <v>0</v>
      </c>
      <c r="AI604" s="1488"/>
      <c r="AJ604" s="1488"/>
      <c r="AK604" s="1488"/>
      <c r="AL604" s="1488"/>
      <c r="AM604" s="1488"/>
      <c r="AN604" s="1488"/>
      <c r="AO604" s="1488"/>
      <c r="AP604" s="1488"/>
      <c r="AQ604" s="1488"/>
      <c r="AR604" s="1488"/>
      <c r="AS604" s="1488"/>
      <c r="AT604" s="1542"/>
      <c r="AU604" s="1599">
        <f t="shared" si="318"/>
        <v>0</v>
      </c>
      <c r="AV604" s="1544">
        <f t="shared" si="346"/>
        <v>0</v>
      </c>
      <c r="AW604" s="1452">
        <f t="shared" si="319"/>
        <v>0</v>
      </c>
      <c r="AX604" s="1452">
        <f t="shared" si="320"/>
        <v>0</v>
      </c>
      <c r="AY604" s="1452">
        <f t="shared" si="321"/>
        <v>0</v>
      </c>
      <c r="AZ604" s="1452">
        <f t="shared" si="322"/>
        <v>0</v>
      </c>
      <c r="BA604" s="1452">
        <f t="shared" si="323"/>
        <v>0</v>
      </c>
      <c r="BB604" s="1452">
        <f t="shared" si="324"/>
        <v>0</v>
      </c>
      <c r="BC604" s="1452">
        <f t="shared" si="325"/>
        <v>0</v>
      </c>
      <c r="BD604" s="1452">
        <f t="shared" si="326"/>
        <v>0</v>
      </c>
      <c r="BE604" s="1452">
        <f t="shared" si="327"/>
        <v>0</v>
      </c>
      <c r="BF604" s="1452">
        <f t="shared" si="328"/>
        <v>0</v>
      </c>
      <c r="BG604" s="1452">
        <f t="shared" si="329"/>
        <v>0</v>
      </c>
      <c r="BH604" s="1452">
        <f t="shared" si="330"/>
        <v>0</v>
      </c>
      <c r="BI604" s="1452">
        <f t="shared" si="347"/>
        <v>0</v>
      </c>
      <c r="BJ604" s="1452" t="str">
        <f t="shared" si="331"/>
        <v/>
      </c>
      <c r="BK604" s="1452" t="str">
        <f t="shared" si="332"/>
        <v/>
      </c>
      <c r="BL604" s="1452" t="str">
        <f t="shared" si="333"/>
        <v/>
      </c>
      <c r="BM604" s="1452" t="str">
        <f t="shared" si="334"/>
        <v/>
      </c>
      <c r="BN604" s="1452" t="str">
        <f t="shared" ca="1" si="335"/>
        <v/>
      </c>
      <c r="BO604" s="1452" t="str">
        <f t="shared" si="348"/>
        <v/>
      </c>
      <c r="BP604" s="1452" t="str">
        <f t="shared" si="336"/>
        <v/>
      </c>
      <c r="BQ604" s="1452" t="str">
        <f t="shared" si="337"/>
        <v/>
      </c>
      <c r="BR604" s="1452" t="str">
        <f t="shared" si="338"/>
        <v/>
      </c>
      <c r="BS604" s="1452" t="str">
        <f t="shared" si="339"/>
        <v/>
      </c>
      <c r="BT604" s="1452" t="str">
        <f t="shared" si="340"/>
        <v/>
      </c>
      <c r="BU604" s="1452" t="str">
        <f t="shared" si="341"/>
        <v/>
      </c>
      <c r="BV604" s="1452" t="str">
        <f t="shared" si="342"/>
        <v/>
      </c>
      <c r="BW604" s="1558">
        <f t="shared" ca="1" si="349"/>
        <v>0</v>
      </c>
    </row>
    <row r="605" spans="1:75" s="9" customFormat="1" ht="12.5">
      <c r="A605" s="1483" t="str">
        <f t="shared" si="343"/>
        <v>Public Health Wales Trust</v>
      </c>
      <c r="B605" s="1583"/>
      <c r="C605" s="1583"/>
      <c r="D605" s="1583"/>
      <c r="E605" s="1585"/>
      <c r="F605" s="1436"/>
      <c r="G605" s="1547">
        <f t="shared" si="344"/>
        <v>0</v>
      </c>
      <c r="H605" s="1484"/>
      <c r="I605" s="1547">
        <f t="shared" si="345"/>
        <v>0</v>
      </c>
      <c r="J605" s="1485"/>
      <c r="K605" s="1485"/>
      <c r="L605" s="1436"/>
      <c r="M605" s="1439"/>
      <c r="N605" s="1439"/>
      <c r="O605" s="1485"/>
      <c r="P605" s="1486"/>
      <c r="Q605" s="1486"/>
      <c r="R605" s="1487"/>
      <c r="S605" s="1444"/>
      <c r="T605" s="1444"/>
      <c r="U605" s="1444"/>
      <c r="V605" s="1488"/>
      <c r="W605" s="1488"/>
      <c r="X605" s="1488"/>
      <c r="Y605" s="1488"/>
      <c r="Z605" s="1488"/>
      <c r="AA605" s="1488"/>
      <c r="AB605" s="1488"/>
      <c r="AC605" s="1488"/>
      <c r="AD605" s="1488"/>
      <c r="AE605" s="1488"/>
      <c r="AF605" s="1488"/>
      <c r="AG605" s="1488"/>
      <c r="AH605" s="1451">
        <f t="shared" si="317"/>
        <v>0</v>
      </c>
      <c r="AI605" s="1488"/>
      <c r="AJ605" s="1488"/>
      <c r="AK605" s="1488"/>
      <c r="AL605" s="1488"/>
      <c r="AM605" s="1488"/>
      <c r="AN605" s="1488"/>
      <c r="AO605" s="1488"/>
      <c r="AP605" s="1488"/>
      <c r="AQ605" s="1488"/>
      <c r="AR605" s="1488"/>
      <c r="AS605" s="1488"/>
      <c r="AT605" s="1542"/>
      <c r="AU605" s="1599">
        <f t="shared" si="318"/>
        <v>0</v>
      </c>
      <c r="AV605" s="1544">
        <f t="shared" si="346"/>
        <v>0</v>
      </c>
      <c r="AW605" s="1452">
        <f t="shared" si="319"/>
        <v>0</v>
      </c>
      <c r="AX605" s="1452">
        <f t="shared" si="320"/>
        <v>0</v>
      </c>
      <c r="AY605" s="1452">
        <f t="shared" si="321"/>
        <v>0</v>
      </c>
      <c r="AZ605" s="1452">
        <f t="shared" si="322"/>
        <v>0</v>
      </c>
      <c r="BA605" s="1452">
        <f t="shared" si="323"/>
        <v>0</v>
      </c>
      <c r="BB605" s="1452">
        <f t="shared" si="324"/>
        <v>0</v>
      </c>
      <c r="BC605" s="1452">
        <f t="shared" si="325"/>
        <v>0</v>
      </c>
      <c r="BD605" s="1452">
        <f t="shared" si="326"/>
        <v>0</v>
      </c>
      <c r="BE605" s="1452">
        <f t="shared" si="327"/>
        <v>0</v>
      </c>
      <c r="BF605" s="1452">
        <f t="shared" si="328"/>
        <v>0</v>
      </c>
      <c r="BG605" s="1452">
        <f t="shared" si="329"/>
        <v>0</v>
      </c>
      <c r="BH605" s="1452">
        <f t="shared" si="330"/>
        <v>0</v>
      </c>
      <c r="BI605" s="1452">
        <f t="shared" si="347"/>
        <v>0</v>
      </c>
      <c r="BJ605" s="1452" t="str">
        <f t="shared" si="331"/>
        <v/>
      </c>
      <c r="BK605" s="1452" t="str">
        <f t="shared" si="332"/>
        <v/>
      </c>
      <c r="BL605" s="1452" t="str">
        <f t="shared" si="333"/>
        <v/>
      </c>
      <c r="BM605" s="1452" t="str">
        <f t="shared" si="334"/>
        <v/>
      </c>
      <c r="BN605" s="1452" t="str">
        <f t="shared" ca="1" si="335"/>
        <v/>
      </c>
      <c r="BO605" s="1452" t="str">
        <f t="shared" si="348"/>
        <v/>
      </c>
      <c r="BP605" s="1452" t="str">
        <f t="shared" si="336"/>
        <v/>
      </c>
      <c r="BQ605" s="1452" t="str">
        <f t="shared" si="337"/>
        <v/>
      </c>
      <c r="BR605" s="1452" t="str">
        <f t="shared" si="338"/>
        <v/>
      </c>
      <c r="BS605" s="1452" t="str">
        <f t="shared" si="339"/>
        <v/>
      </c>
      <c r="BT605" s="1452" t="str">
        <f t="shared" si="340"/>
        <v/>
      </c>
      <c r="BU605" s="1452" t="str">
        <f t="shared" si="341"/>
        <v/>
      </c>
      <c r="BV605" s="1452" t="str">
        <f t="shared" si="342"/>
        <v/>
      </c>
      <c r="BW605" s="1558">
        <f t="shared" ca="1" si="349"/>
        <v>0</v>
      </c>
    </row>
    <row r="606" spans="1:75" s="9" customFormat="1" ht="12.5">
      <c r="A606" s="1483" t="str">
        <f t="shared" si="343"/>
        <v>Public Health Wales Trust</v>
      </c>
      <c r="B606" s="1583"/>
      <c r="C606" s="1583"/>
      <c r="D606" s="1583"/>
      <c r="E606" s="1585"/>
      <c r="F606" s="1436"/>
      <c r="G606" s="1547">
        <f t="shared" si="344"/>
        <v>0</v>
      </c>
      <c r="H606" s="1484"/>
      <c r="I606" s="1547">
        <f t="shared" si="345"/>
        <v>0</v>
      </c>
      <c r="J606" s="1485"/>
      <c r="K606" s="1485"/>
      <c r="L606" s="1436"/>
      <c r="M606" s="1439"/>
      <c r="N606" s="1439"/>
      <c r="O606" s="1485"/>
      <c r="P606" s="1486"/>
      <c r="Q606" s="1486"/>
      <c r="R606" s="1487"/>
      <c r="S606" s="1444"/>
      <c r="T606" s="1444"/>
      <c r="U606" s="1444"/>
      <c r="V606" s="1488"/>
      <c r="W606" s="1488"/>
      <c r="X606" s="1488"/>
      <c r="Y606" s="1488"/>
      <c r="Z606" s="1488"/>
      <c r="AA606" s="1488"/>
      <c r="AB606" s="1488"/>
      <c r="AC606" s="1488"/>
      <c r="AD606" s="1488"/>
      <c r="AE606" s="1488"/>
      <c r="AF606" s="1488"/>
      <c r="AG606" s="1488"/>
      <c r="AH606" s="1451">
        <f t="shared" si="317"/>
        <v>0</v>
      </c>
      <c r="AI606" s="1488"/>
      <c r="AJ606" s="1488"/>
      <c r="AK606" s="1488"/>
      <c r="AL606" s="1488"/>
      <c r="AM606" s="1488"/>
      <c r="AN606" s="1488"/>
      <c r="AO606" s="1488"/>
      <c r="AP606" s="1488"/>
      <c r="AQ606" s="1488"/>
      <c r="AR606" s="1488"/>
      <c r="AS606" s="1488"/>
      <c r="AT606" s="1542"/>
      <c r="AU606" s="1599">
        <f t="shared" si="318"/>
        <v>0</v>
      </c>
      <c r="AV606" s="1544">
        <f t="shared" si="346"/>
        <v>0</v>
      </c>
      <c r="AW606" s="1452">
        <f t="shared" si="319"/>
        <v>0</v>
      </c>
      <c r="AX606" s="1452">
        <f t="shared" si="320"/>
        <v>0</v>
      </c>
      <c r="AY606" s="1452">
        <f t="shared" si="321"/>
        <v>0</v>
      </c>
      <c r="AZ606" s="1452">
        <f t="shared" si="322"/>
        <v>0</v>
      </c>
      <c r="BA606" s="1452">
        <f t="shared" si="323"/>
        <v>0</v>
      </c>
      <c r="BB606" s="1452">
        <f t="shared" si="324"/>
        <v>0</v>
      </c>
      <c r="BC606" s="1452">
        <f t="shared" si="325"/>
        <v>0</v>
      </c>
      <c r="BD606" s="1452">
        <f t="shared" si="326"/>
        <v>0</v>
      </c>
      <c r="BE606" s="1452">
        <f t="shared" si="327"/>
        <v>0</v>
      </c>
      <c r="BF606" s="1452">
        <f t="shared" si="328"/>
        <v>0</v>
      </c>
      <c r="BG606" s="1452">
        <f t="shared" si="329"/>
        <v>0</v>
      </c>
      <c r="BH606" s="1452">
        <f t="shared" si="330"/>
        <v>0</v>
      </c>
      <c r="BI606" s="1452">
        <f t="shared" si="347"/>
        <v>0</v>
      </c>
      <c r="BJ606" s="1452" t="str">
        <f t="shared" si="331"/>
        <v/>
      </c>
      <c r="BK606" s="1452" t="str">
        <f t="shared" si="332"/>
        <v/>
      </c>
      <c r="BL606" s="1452" t="str">
        <f t="shared" si="333"/>
        <v/>
      </c>
      <c r="BM606" s="1452" t="str">
        <f t="shared" si="334"/>
        <v/>
      </c>
      <c r="BN606" s="1452" t="str">
        <f t="shared" ca="1" si="335"/>
        <v/>
      </c>
      <c r="BO606" s="1452" t="str">
        <f t="shared" si="348"/>
        <v/>
      </c>
      <c r="BP606" s="1452" t="str">
        <f t="shared" si="336"/>
        <v/>
      </c>
      <c r="BQ606" s="1452" t="str">
        <f t="shared" si="337"/>
        <v/>
      </c>
      <c r="BR606" s="1452" t="str">
        <f t="shared" si="338"/>
        <v/>
      </c>
      <c r="BS606" s="1452" t="str">
        <f t="shared" si="339"/>
        <v/>
      </c>
      <c r="BT606" s="1452" t="str">
        <f t="shared" si="340"/>
        <v/>
      </c>
      <c r="BU606" s="1452" t="str">
        <f t="shared" si="341"/>
        <v/>
      </c>
      <c r="BV606" s="1452" t="str">
        <f t="shared" si="342"/>
        <v/>
      </c>
      <c r="BW606" s="1558">
        <f t="shared" ca="1" si="349"/>
        <v>0</v>
      </c>
    </row>
    <row r="607" spans="1:75" s="9" customFormat="1" ht="12.5">
      <c r="A607" s="1483" t="str">
        <f t="shared" si="343"/>
        <v>Public Health Wales Trust</v>
      </c>
      <c r="B607" s="1583"/>
      <c r="C607" s="1583"/>
      <c r="D607" s="1583"/>
      <c r="E607" s="1585"/>
      <c r="F607" s="1436"/>
      <c r="G607" s="1547">
        <f t="shared" si="344"/>
        <v>0</v>
      </c>
      <c r="H607" s="1484"/>
      <c r="I607" s="1547">
        <f t="shared" si="345"/>
        <v>0</v>
      </c>
      <c r="J607" s="1485"/>
      <c r="K607" s="1485"/>
      <c r="L607" s="1436"/>
      <c r="M607" s="1439"/>
      <c r="N607" s="1439"/>
      <c r="O607" s="1485"/>
      <c r="P607" s="1486"/>
      <c r="Q607" s="1486"/>
      <c r="R607" s="1487"/>
      <c r="S607" s="1444"/>
      <c r="T607" s="1444"/>
      <c r="U607" s="1444"/>
      <c r="V607" s="1488"/>
      <c r="W607" s="1488"/>
      <c r="X607" s="1488"/>
      <c r="Y607" s="1488"/>
      <c r="Z607" s="1488"/>
      <c r="AA607" s="1488"/>
      <c r="AB607" s="1488"/>
      <c r="AC607" s="1488"/>
      <c r="AD607" s="1488"/>
      <c r="AE607" s="1488"/>
      <c r="AF607" s="1488"/>
      <c r="AG607" s="1488"/>
      <c r="AH607" s="1451">
        <f t="shared" si="317"/>
        <v>0</v>
      </c>
      <c r="AI607" s="1488"/>
      <c r="AJ607" s="1488"/>
      <c r="AK607" s="1488"/>
      <c r="AL607" s="1488"/>
      <c r="AM607" s="1488"/>
      <c r="AN607" s="1488"/>
      <c r="AO607" s="1488"/>
      <c r="AP607" s="1488"/>
      <c r="AQ607" s="1488"/>
      <c r="AR607" s="1488"/>
      <c r="AS607" s="1488"/>
      <c r="AT607" s="1542"/>
      <c r="AU607" s="1599">
        <f t="shared" si="318"/>
        <v>0</v>
      </c>
      <c r="AV607" s="1544">
        <f t="shared" si="346"/>
        <v>0</v>
      </c>
      <c r="AW607" s="1452">
        <f t="shared" si="319"/>
        <v>0</v>
      </c>
      <c r="AX607" s="1452">
        <f t="shared" si="320"/>
        <v>0</v>
      </c>
      <c r="AY607" s="1452">
        <f t="shared" si="321"/>
        <v>0</v>
      </c>
      <c r="AZ607" s="1452">
        <f t="shared" si="322"/>
        <v>0</v>
      </c>
      <c r="BA607" s="1452">
        <f t="shared" si="323"/>
        <v>0</v>
      </c>
      <c r="BB607" s="1452">
        <f t="shared" si="324"/>
        <v>0</v>
      </c>
      <c r="BC607" s="1452">
        <f t="shared" si="325"/>
        <v>0</v>
      </c>
      <c r="BD607" s="1452">
        <f t="shared" si="326"/>
        <v>0</v>
      </c>
      <c r="BE607" s="1452">
        <f t="shared" si="327"/>
        <v>0</v>
      </c>
      <c r="BF607" s="1452">
        <f t="shared" si="328"/>
        <v>0</v>
      </c>
      <c r="BG607" s="1452">
        <f t="shared" si="329"/>
        <v>0</v>
      </c>
      <c r="BH607" s="1452">
        <f t="shared" si="330"/>
        <v>0</v>
      </c>
      <c r="BI607" s="1452">
        <f t="shared" si="347"/>
        <v>0</v>
      </c>
      <c r="BJ607" s="1452" t="str">
        <f t="shared" si="331"/>
        <v/>
      </c>
      <c r="BK607" s="1452" t="str">
        <f t="shared" si="332"/>
        <v/>
      </c>
      <c r="BL607" s="1452" t="str">
        <f t="shared" si="333"/>
        <v/>
      </c>
      <c r="BM607" s="1452" t="str">
        <f t="shared" si="334"/>
        <v/>
      </c>
      <c r="BN607" s="1452" t="str">
        <f t="shared" ca="1" si="335"/>
        <v/>
      </c>
      <c r="BO607" s="1452" t="str">
        <f t="shared" si="348"/>
        <v/>
      </c>
      <c r="BP607" s="1452" t="str">
        <f t="shared" si="336"/>
        <v/>
      </c>
      <c r="BQ607" s="1452" t="str">
        <f t="shared" si="337"/>
        <v/>
      </c>
      <c r="BR607" s="1452" t="str">
        <f t="shared" si="338"/>
        <v/>
      </c>
      <c r="BS607" s="1452" t="str">
        <f t="shared" si="339"/>
        <v/>
      </c>
      <c r="BT607" s="1452" t="str">
        <f t="shared" si="340"/>
        <v/>
      </c>
      <c r="BU607" s="1452" t="str">
        <f t="shared" si="341"/>
        <v/>
      </c>
      <c r="BV607" s="1452" t="str">
        <f t="shared" si="342"/>
        <v/>
      </c>
      <c r="BW607" s="1558">
        <f t="shared" ca="1" si="349"/>
        <v>0</v>
      </c>
    </row>
    <row r="608" spans="1:75" s="9" customFormat="1" ht="12.5">
      <c r="A608" s="1483" t="str">
        <f t="shared" si="343"/>
        <v>Public Health Wales Trust</v>
      </c>
      <c r="B608" s="1583"/>
      <c r="C608" s="1583"/>
      <c r="D608" s="1583"/>
      <c r="E608" s="1585"/>
      <c r="F608" s="1436"/>
      <c r="G608" s="1547">
        <f t="shared" si="344"/>
        <v>0</v>
      </c>
      <c r="H608" s="1484"/>
      <c r="I608" s="1547">
        <f t="shared" si="345"/>
        <v>0</v>
      </c>
      <c r="J608" s="1485"/>
      <c r="K608" s="1485"/>
      <c r="L608" s="1436"/>
      <c r="M608" s="1439"/>
      <c r="N608" s="1439"/>
      <c r="O608" s="1485"/>
      <c r="P608" s="1486"/>
      <c r="Q608" s="1486"/>
      <c r="R608" s="1487"/>
      <c r="S608" s="1444"/>
      <c r="T608" s="1444"/>
      <c r="U608" s="1444"/>
      <c r="V608" s="1488"/>
      <c r="W608" s="1488"/>
      <c r="X608" s="1488"/>
      <c r="Y608" s="1488"/>
      <c r="Z608" s="1488"/>
      <c r="AA608" s="1488"/>
      <c r="AB608" s="1488"/>
      <c r="AC608" s="1488"/>
      <c r="AD608" s="1488"/>
      <c r="AE608" s="1488"/>
      <c r="AF608" s="1488"/>
      <c r="AG608" s="1488"/>
      <c r="AH608" s="1451">
        <f t="shared" si="317"/>
        <v>0</v>
      </c>
      <c r="AI608" s="1488"/>
      <c r="AJ608" s="1488"/>
      <c r="AK608" s="1488"/>
      <c r="AL608" s="1488"/>
      <c r="AM608" s="1488"/>
      <c r="AN608" s="1488"/>
      <c r="AO608" s="1488"/>
      <c r="AP608" s="1488"/>
      <c r="AQ608" s="1488"/>
      <c r="AR608" s="1488"/>
      <c r="AS608" s="1488"/>
      <c r="AT608" s="1542"/>
      <c r="AU608" s="1599">
        <f t="shared" si="318"/>
        <v>0</v>
      </c>
      <c r="AV608" s="1544">
        <f t="shared" si="346"/>
        <v>0</v>
      </c>
      <c r="AW608" s="1452">
        <f t="shared" si="319"/>
        <v>0</v>
      </c>
      <c r="AX608" s="1452">
        <f t="shared" si="320"/>
        <v>0</v>
      </c>
      <c r="AY608" s="1452">
        <f t="shared" si="321"/>
        <v>0</v>
      </c>
      <c r="AZ608" s="1452">
        <f t="shared" si="322"/>
        <v>0</v>
      </c>
      <c r="BA608" s="1452">
        <f t="shared" si="323"/>
        <v>0</v>
      </c>
      <c r="BB608" s="1452">
        <f t="shared" si="324"/>
        <v>0</v>
      </c>
      <c r="BC608" s="1452">
        <f t="shared" si="325"/>
        <v>0</v>
      </c>
      <c r="BD608" s="1452">
        <f t="shared" si="326"/>
        <v>0</v>
      </c>
      <c r="BE608" s="1452">
        <f t="shared" si="327"/>
        <v>0</v>
      </c>
      <c r="BF608" s="1452">
        <f t="shared" si="328"/>
        <v>0</v>
      </c>
      <c r="BG608" s="1452">
        <f t="shared" si="329"/>
        <v>0</v>
      </c>
      <c r="BH608" s="1452">
        <f t="shared" si="330"/>
        <v>0</v>
      </c>
      <c r="BI608" s="1452">
        <f t="shared" si="347"/>
        <v>0</v>
      </c>
      <c r="BJ608" s="1452" t="str">
        <f t="shared" si="331"/>
        <v/>
      </c>
      <c r="BK608" s="1452" t="str">
        <f t="shared" si="332"/>
        <v/>
      </c>
      <c r="BL608" s="1452" t="str">
        <f t="shared" si="333"/>
        <v/>
      </c>
      <c r="BM608" s="1452" t="str">
        <f t="shared" si="334"/>
        <v/>
      </c>
      <c r="BN608" s="1452" t="str">
        <f t="shared" ca="1" si="335"/>
        <v/>
      </c>
      <c r="BO608" s="1452" t="str">
        <f t="shared" si="348"/>
        <v/>
      </c>
      <c r="BP608" s="1452" t="str">
        <f t="shared" si="336"/>
        <v/>
      </c>
      <c r="BQ608" s="1452" t="str">
        <f t="shared" si="337"/>
        <v/>
      </c>
      <c r="BR608" s="1452" t="str">
        <f t="shared" si="338"/>
        <v/>
      </c>
      <c r="BS608" s="1452" t="str">
        <f t="shared" si="339"/>
        <v/>
      </c>
      <c r="BT608" s="1452" t="str">
        <f t="shared" si="340"/>
        <v/>
      </c>
      <c r="BU608" s="1452" t="str">
        <f t="shared" si="341"/>
        <v/>
      </c>
      <c r="BV608" s="1452" t="str">
        <f t="shared" si="342"/>
        <v/>
      </c>
      <c r="BW608" s="1558">
        <f t="shared" ca="1" si="349"/>
        <v>0</v>
      </c>
    </row>
    <row r="609" spans="1:75" s="9" customFormat="1" ht="12.5">
      <c r="A609" s="1483" t="str">
        <f t="shared" si="343"/>
        <v>Public Health Wales Trust</v>
      </c>
      <c r="B609" s="1583"/>
      <c r="C609" s="1583"/>
      <c r="D609" s="1583"/>
      <c r="E609" s="1585"/>
      <c r="F609" s="1436"/>
      <c r="G609" s="1547">
        <f t="shared" si="344"/>
        <v>0</v>
      </c>
      <c r="H609" s="1484"/>
      <c r="I609" s="1547">
        <f t="shared" si="345"/>
        <v>0</v>
      </c>
      <c r="J609" s="1485"/>
      <c r="K609" s="1485"/>
      <c r="L609" s="1436"/>
      <c r="M609" s="1439"/>
      <c r="N609" s="1439"/>
      <c r="O609" s="1485"/>
      <c r="P609" s="1486"/>
      <c r="Q609" s="1486"/>
      <c r="R609" s="1487"/>
      <c r="S609" s="1444"/>
      <c r="T609" s="1444"/>
      <c r="U609" s="1444"/>
      <c r="V609" s="1488"/>
      <c r="W609" s="1488"/>
      <c r="X609" s="1488"/>
      <c r="Y609" s="1488"/>
      <c r="Z609" s="1488"/>
      <c r="AA609" s="1488"/>
      <c r="AB609" s="1488"/>
      <c r="AC609" s="1488"/>
      <c r="AD609" s="1488"/>
      <c r="AE609" s="1488"/>
      <c r="AF609" s="1488"/>
      <c r="AG609" s="1488"/>
      <c r="AH609" s="1451">
        <f t="shared" si="317"/>
        <v>0</v>
      </c>
      <c r="AI609" s="1488"/>
      <c r="AJ609" s="1488"/>
      <c r="AK609" s="1488"/>
      <c r="AL609" s="1488"/>
      <c r="AM609" s="1488"/>
      <c r="AN609" s="1488"/>
      <c r="AO609" s="1488"/>
      <c r="AP609" s="1488"/>
      <c r="AQ609" s="1488"/>
      <c r="AR609" s="1488"/>
      <c r="AS609" s="1488"/>
      <c r="AT609" s="1542"/>
      <c r="AU609" s="1599">
        <f t="shared" si="318"/>
        <v>0</v>
      </c>
      <c r="AV609" s="1544">
        <f t="shared" si="346"/>
        <v>0</v>
      </c>
      <c r="AW609" s="1452">
        <f t="shared" si="319"/>
        <v>0</v>
      </c>
      <c r="AX609" s="1452">
        <f t="shared" si="320"/>
        <v>0</v>
      </c>
      <c r="AY609" s="1452">
        <f t="shared" si="321"/>
        <v>0</v>
      </c>
      <c r="AZ609" s="1452">
        <f t="shared" si="322"/>
        <v>0</v>
      </c>
      <c r="BA609" s="1452">
        <f t="shared" si="323"/>
        <v>0</v>
      </c>
      <c r="BB609" s="1452">
        <f t="shared" si="324"/>
        <v>0</v>
      </c>
      <c r="BC609" s="1452">
        <f t="shared" si="325"/>
        <v>0</v>
      </c>
      <c r="BD609" s="1452">
        <f t="shared" si="326"/>
        <v>0</v>
      </c>
      <c r="BE609" s="1452">
        <f t="shared" si="327"/>
        <v>0</v>
      </c>
      <c r="BF609" s="1452">
        <f t="shared" si="328"/>
        <v>0</v>
      </c>
      <c r="BG609" s="1452">
        <f t="shared" si="329"/>
        <v>0</v>
      </c>
      <c r="BH609" s="1452">
        <f t="shared" si="330"/>
        <v>0</v>
      </c>
      <c r="BI609" s="1452">
        <f t="shared" si="347"/>
        <v>0</v>
      </c>
      <c r="BJ609" s="1452" t="str">
        <f t="shared" si="331"/>
        <v/>
      </c>
      <c r="BK609" s="1452" t="str">
        <f t="shared" si="332"/>
        <v/>
      </c>
      <c r="BL609" s="1452" t="str">
        <f t="shared" si="333"/>
        <v/>
      </c>
      <c r="BM609" s="1452" t="str">
        <f t="shared" si="334"/>
        <v/>
      </c>
      <c r="BN609" s="1452" t="str">
        <f t="shared" ca="1" si="335"/>
        <v/>
      </c>
      <c r="BO609" s="1452" t="str">
        <f t="shared" si="348"/>
        <v/>
      </c>
      <c r="BP609" s="1452" t="str">
        <f t="shared" si="336"/>
        <v/>
      </c>
      <c r="BQ609" s="1452" t="str">
        <f t="shared" si="337"/>
        <v/>
      </c>
      <c r="BR609" s="1452" t="str">
        <f t="shared" si="338"/>
        <v/>
      </c>
      <c r="BS609" s="1452" t="str">
        <f t="shared" si="339"/>
        <v/>
      </c>
      <c r="BT609" s="1452" t="str">
        <f t="shared" si="340"/>
        <v/>
      </c>
      <c r="BU609" s="1452" t="str">
        <f t="shared" si="341"/>
        <v/>
      </c>
      <c r="BV609" s="1452" t="str">
        <f t="shared" si="342"/>
        <v/>
      </c>
      <c r="BW609" s="1558">
        <f t="shared" ca="1" si="349"/>
        <v>0</v>
      </c>
    </row>
    <row r="610" spans="1:75" s="9" customFormat="1" ht="12.5">
      <c r="A610" s="1483" t="str">
        <f t="shared" si="343"/>
        <v>Public Health Wales Trust</v>
      </c>
      <c r="B610" s="1583"/>
      <c r="C610" s="1583"/>
      <c r="D610" s="1583"/>
      <c r="E610" s="1585"/>
      <c r="F610" s="1436"/>
      <c r="G610" s="1547">
        <f t="shared" si="344"/>
        <v>0</v>
      </c>
      <c r="H610" s="1484"/>
      <c r="I610" s="1547">
        <f t="shared" si="345"/>
        <v>0</v>
      </c>
      <c r="J610" s="1485"/>
      <c r="K610" s="1485"/>
      <c r="L610" s="1436"/>
      <c r="M610" s="1439"/>
      <c r="N610" s="1439"/>
      <c r="O610" s="1485"/>
      <c r="P610" s="1486"/>
      <c r="Q610" s="1486"/>
      <c r="R610" s="1487"/>
      <c r="S610" s="1444"/>
      <c r="T610" s="1444"/>
      <c r="U610" s="1444"/>
      <c r="V610" s="1488"/>
      <c r="W610" s="1488"/>
      <c r="X610" s="1488"/>
      <c r="Y610" s="1488"/>
      <c r="Z610" s="1488"/>
      <c r="AA610" s="1488"/>
      <c r="AB610" s="1488"/>
      <c r="AC610" s="1488"/>
      <c r="AD610" s="1488"/>
      <c r="AE610" s="1488"/>
      <c r="AF610" s="1488"/>
      <c r="AG610" s="1488"/>
      <c r="AH610" s="1451">
        <f t="shared" si="317"/>
        <v>0</v>
      </c>
      <c r="AI610" s="1488"/>
      <c r="AJ610" s="1488"/>
      <c r="AK610" s="1488"/>
      <c r="AL610" s="1488"/>
      <c r="AM610" s="1488"/>
      <c r="AN610" s="1488"/>
      <c r="AO610" s="1488"/>
      <c r="AP610" s="1488"/>
      <c r="AQ610" s="1488"/>
      <c r="AR610" s="1488"/>
      <c r="AS610" s="1488"/>
      <c r="AT610" s="1542"/>
      <c r="AU610" s="1599">
        <f t="shared" si="318"/>
        <v>0</v>
      </c>
      <c r="AV610" s="1544">
        <f t="shared" si="346"/>
        <v>0</v>
      </c>
      <c r="AW610" s="1452">
        <f t="shared" si="319"/>
        <v>0</v>
      </c>
      <c r="AX610" s="1452">
        <f t="shared" si="320"/>
        <v>0</v>
      </c>
      <c r="AY610" s="1452">
        <f t="shared" si="321"/>
        <v>0</v>
      </c>
      <c r="AZ610" s="1452">
        <f t="shared" si="322"/>
        <v>0</v>
      </c>
      <c r="BA610" s="1452">
        <f t="shared" si="323"/>
        <v>0</v>
      </c>
      <c r="BB610" s="1452">
        <f t="shared" si="324"/>
        <v>0</v>
      </c>
      <c r="BC610" s="1452">
        <f t="shared" si="325"/>
        <v>0</v>
      </c>
      <c r="BD610" s="1452">
        <f t="shared" si="326"/>
        <v>0</v>
      </c>
      <c r="BE610" s="1452">
        <f t="shared" si="327"/>
        <v>0</v>
      </c>
      <c r="BF610" s="1452">
        <f t="shared" si="328"/>
        <v>0</v>
      </c>
      <c r="BG610" s="1452">
        <f t="shared" si="329"/>
        <v>0</v>
      </c>
      <c r="BH610" s="1452">
        <f t="shared" si="330"/>
        <v>0</v>
      </c>
      <c r="BI610" s="1452">
        <f t="shared" si="347"/>
        <v>0</v>
      </c>
      <c r="BJ610" s="1452" t="str">
        <f t="shared" si="331"/>
        <v/>
      </c>
      <c r="BK610" s="1452" t="str">
        <f t="shared" si="332"/>
        <v/>
      </c>
      <c r="BL610" s="1452" t="str">
        <f t="shared" si="333"/>
        <v/>
      </c>
      <c r="BM610" s="1452" t="str">
        <f t="shared" si="334"/>
        <v/>
      </c>
      <c r="BN610" s="1452" t="str">
        <f t="shared" ca="1" si="335"/>
        <v/>
      </c>
      <c r="BO610" s="1452" t="str">
        <f t="shared" si="348"/>
        <v/>
      </c>
      <c r="BP610" s="1452" t="str">
        <f t="shared" si="336"/>
        <v/>
      </c>
      <c r="BQ610" s="1452" t="str">
        <f t="shared" si="337"/>
        <v/>
      </c>
      <c r="BR610" s="1452" t="str">
        <f t="shared" si="338"/>
        <v/>
      </c>
      <c r="BS610" s="1452" t="str">
        <f t="shared" si="339"/>
        <v/>
      </c>
      <c r="BT610" s="1452" t="str">
        <f t="shared" si="340"/>
        <v/>
      </c>
      <c r="BU610" s="1452" t="str">
        <f t="shared" si="341"/>
        <v/>
      </c>
      <c r="BV610" s="1452" t="str">
        <f t="shared" si="342"/>
        <v/>
      </c>
      <c r="BW610" s="1558">
        <f t="shared" ca="1" si="349"/>
        <v>0</v>
      </c>
    </row>
    <row r="611" spans="1:75" s="9" customFormat="1" ht="12.5">
      <c r="A611" s="1483" t="str">
        <f t="shared" si="343"/>
        <v>Public Health Wales Trust</v>
      </c>
      <c r="B611" s="1583"/>
      <c r="C611" s="1583"/>
      <c r="D611" s="1583"/>
      <c r="E611" s="1585"/>
      <c r="F611" s="1436"/>
      <c r="G611" s="1547">
        <f t="shared" si="344"/>
        <v>0</v>
      </c>
      <c r="H611" s="1484"/>
      <c r="I611" s="1547">
        <f t="shared" si="345"/>
        <v>0</v>
      </c>
      <c r="J611" s="1485"/>
      <c r="K611" s="1485"/>
      <c r="L611" s="1436"/>
      <c r="M611" s="1439"/>
      <c r="N611" s="1439"/>
      <c r="O611" s="1485"/>
      <c r="P611" s="1486"/>
      <c r="Q611" s="1486"/>
      <c r="R611" s="1487"/>
      <c r="S611" s="1444"/>
      <c r="T611" s="1444"/>
      <c r="U611" s="1444"/>
      <c r="V611" s="1488"/>
      <c r="W611" s="1488"/>
      <c r="X611" s="1488"/>
      <c r="Y611" s="1488"/>
      <c r="Z611" s="1488"/>
      <c r="AA611" s="1488"/>
      <c r="AB611" s="1488"/>
      <c r="AC611" s="1488"/>
      <c r="AD611" s="1488"/>
      <c r="AE611" s="1488"/>
      <c r="AF611" s="1488"/>
      <c r="AG611" s="1488"/>
      <c r="AH611" s="1451">
        <f t="shared" si="317"/>
        <v>0</v>
      </c>
      <c r="AI611" s="1488"/>
      <c r="AJ611" s="1488"/>
      <c r="AK611" s="1488"/>
      <c r="AL611" s="1488"/>
      <c r="AM611" s="1488"/>
      <c r="AN611" s="1488"/>
      <c r="AO611" s="1488"/>
      <c r="AP611" s="1488"/>
      <c r="AQ611" s="1488"/>
      <c r="AR611" s="1488"/>
      <c r="AS611" s="1488"/>
      <c r="AT611" s="1542"/>
      <c r="AU611" s="1599">
        <f t="shared" si="318"/>
        <v>0</v>
      </c>
      <c r="AV611" s="1544">
        <f t="shared" si="346"/>
        <v>0</v>
      </c>
      <c r="AW611" s="1452">
        <f t="shared" si="319"/>
        <v>0</v>
      </c>
      <c r="AX611" s="1452">
        <f t="shared" si="320"/>
        <v>0</v>
      </c>
      <c r="AY611" s="1452">
        <f t="shared" si="321"/>
        <v>0</v>
      </c>
      <c r="AZ611" s="1452">
        <f t="shared" si="322"/>
        <v>0</v>
      </c>
      <c r="BA611" s="1452">
        <f t="shared" si="323"/>
        <v>0</v>
      </c>
      <c r="BB611" s="1452">
        <f t="shared" si="324"/>
        <v>0</v>
      </c>
      <c r="BC611" s="1452">
        <f t="shared" si="325"/>
        <v>0</v>
      </c>
      <c r="BD611" s="1452">
        <f t="shared" si="326"/>
        <v>0</v>
      </c>
      <c r="BE611" s="1452">
        <f t="shared" si="327"/>
        <v>0</v>
      </c>
      <c r="BF611" s="1452">
        <f t="shared" si="328"/>
        <v>0</v>
      </c>
      <c r="BG611" s="1452">
        <f t="shared" si="329"/>
        <v>0</v>
      </c>
      <c r="BH611" s="1452">
        <f t="shared" si="330"/>
        <v>0</v>
      </c>
      <c r="BI611" s="1452">
        <f t="shared" si="347"/>
        <v>0</v>
      </c>
      <c r="BJ611" s="1452" t="str">
        <f t="shared" si="331"/>
        <v/>
      </c>
      <c r="BK611" s="1452" t="str">
        <f t="shared" si="332"/>
        <v/>
      </c>
      <c r="BL611" s="1452" t="str">
        <f t="shared" si="333"/>
        <v/>
      </c>
      <c r="BM611" s="1452" t="str">
        <f t="shared" si="334"/>
        <v/>
      </c>
      <c r="BN611" s="1452" t="str">
        <f t="shared" ca="1" si="335"/>
        <v/>
      </c>
      <c r="BO611" s="1452" t="str">
        <f t="shared" si="348"/>
        <v/>
      </c>
      <c r="BP611" s="1452" t="str">
        <f t="shared" si="336"/>
        <v/>
      </c>
      <c r="BQ611" s="1452" t="str">
        <f t="shared" si="337"/>
        <v/>
      </c>
      <c r="BR611" s="1452" t="str">
        <f t="shared" si="338"/>
        <v/>
      </c>
      <c r="BS611" s="1452" t="str">
        <f t="shared" si="339"/>
        <v/>
      </c>
      <c r="BT611" s="1452" t="str">
        <f t="shared" si="340"/>
        <v/>
      </c>
      <c r="BU611" s="1452" t="str">
        <f t="shared" si="341"/>
        <v/>
      </c>
      <c r="BV611" s="1452" t="str">
        <f t="shared" si="342"/>
        <v/>
      </c>
      <c r="BW611" s="1558">
        <f t="shared" ca="1" si="349"/>
        <v>0</v>
      </c>
    </row>
    <row r="612" spans="1:75" s="9" customFormat="1" ht="12.5">
      <c r="A612" s="1483" t="str">
        <f t="shared" si="343"/>
        <v>Public Health Wales Trust</v>
      </c>
      <c r="B612" s="1583"/>
      <c r="C612" s="1583"/>
      <c r="D612" s="1583"/>
      <c r="E612" s="1585"/>
      <c r="F612" s="1436"/>
      <c r="G612" s="1547">
        <f t="shared" si="344"/>
        <v>0</v>
      </c>
      <c r="H612" s="1484"/>
      <c r="I612" s="1547">
        <f t="shared" si="345"/>
        <v>0</v>
      </c>
      <c r="J612" s="1485"/>
      <c r="K612" s="1485"/>
      <c r="L612" s="1436"/>
      <c r="M612" s="1439"/>
      <c r="N612" s="1439"/>
      <c r="O612" s="1485"/>
      <c r="P612" s="1486"/>
      <c r="Q612" s="1486"/>
      <c r="R612" s="1487"/>
      <c r="S612" s="1444"/>
      <c r="T612" s="1444"/>
      <c r="U612" s="1444"/>
      <c r="V612" s="1488"/>
      <c r="W612" s="1488"/>
      <c r="X612" s="1488"/>
      <c r="Y612" s="1488"/>
      <c r="Z612" s="1488"/>
      <c r="AA612" s="1488"/>
      <c r="AB612" s="1488"/>
      <c r="AC612" s="1488"/>
      <c r="AD612" s="1488"/>
      <c r="AE612" s="1488"/>
      <c r="AF612" s="1488"/>
      <c r="AG612" s="1488"/>
      <c r="AH612" s="1451">
        <f t="shared" si="317"/>
        <v>0</v>
      </c>
      <c r="AI612" s="1488"/>
      <c r="AJ612" s="1488"/>
      <c r="AK612" s="1488"/>
      <c r="AL612" s="1488"/>
      <c r="AM612" s="1488"/>
      <c r="AN612" s="1488"/>
      <c r="AO612" s="1488"/>
      <c r="AP612" s="1488"/>
      <c r="AQ612" s="1488"/>
      <c r="AR612" s="1488"/>
      <c r="AS612" s="1488"/>
      <c r="AT612" s="1542"/>
      <c r="AU612" s="1599">
        <f t="shared" si="318"/>
        <v>0</v>
      </c>
      <c r="AV612" s="1544">
        <f t="shared" si="346"/>
        <v>0</v>
      </c>
      <c r="AW612" s="1452">
        <f t="shared" si="319"/>
        <v>0</v>
      </c>
      <c r="AX612" s="1452">
        <f t="shared" si="320"/>
        <v>0</v>
      </c>
      <c r="AY612" s="1452">
        <f t="shared" si="321"/>
        <v>0</v>
      </c>
      <c r="AZ612" s="1452">
        <f t="shared" si="322"/>
        <v>0</v>
      </c>
      <c r="BA612" s="1452">
        <f t="shared" si="323"/>
        <v>0</v>
      </c>
      <c r="BB612" s="1452">
        <f t="shared" si="324"/>
        <v>0</v>
      </c>
      <c r="BC612" s="1452">
        <f t="shared" si="325"/>
        <v>0</v>
      </c>
      <c r="BD612" s="1452">
        <f t="shared" si="326"/>
        <v>0</v>
      </c>
      <c r="BE612" s="1452">
        <f t="shared" si="327"/>
        <v>0</v>
      </c>
      <c r="BF612" s="1452">
        <f t="shared" si="328"/>
        <v>0</v>
      </c>
      <c r="BG612" s="1452">
        <f t="shared" si="329"/>
        <v>0</v>
      </c>
      <c r="BH612" s="1452">
        <f t="shared" si="330"/>
        <v>0</v>
      </c>
      <c r="BI612" s="1452">
        <f t="shared" si="347"/>
        <v>0</v>
      </c>
      <c r="BJ612" s="1452" t="str">
        <f t="shared" si="331"/>
        <v/>
      </c>
      <c r="BK612" s="1452" t="str">
        <f t="shared" si="332"/>
        <v/>
      </c>
      <c r="BL612" s="1452" t="str">
        <f t="shared" si="333"/>
        <v/>
      </c>
      <c r="BM612" s="1452" t="str">
        <f t="shared" si="334"/>
        <v/>
      </c>
      <c r="BN612" s="1452" t="str">
        <f t="shared" ca="1" si="335"/>
        <v/>
      </c>
      <c r="BO612" s="1452" t="str">
        <f t="shared" si="348"/>
        <v/>
      </c>
      <c r="BP612" s="1452" t="str">
        <f t="shared" si="336"/>
        <v/>
      </c>
      <c r="BQ612" s="1452" t="str">
        <f t="shared" si="337"/>
        <v/>
      </c>
      <c r="BR612" s="1452" t="str">
        <f t="shared" si="338"/>
        <v/>
      </c>
      <c r="BS612" s="1452" t="str">
        <f t="shared" si="339"/>
        <v/>
      </c>
      <c r="BT612" s="1452" t="str">
        <f t="shared" si="340"/>
        <v/>
      </c>
      <c r="BU612" s="1452" t="str">
        <f t="shared" si="341"/>
        <v/>
      </c>
      <c r="BV612" s="1452" t="str">
        <f t="shared" si="342"/>
        <v/>
      </c>
      <c r="BW612" s="1558">
        <f t="shared" ca="1" si="349"/>
        <v>0</v>
      </c>
    </row>
    <row r="613" spans="1:75" s="9" customFormat="1" ht="12.5">
      <c r="A613" s="1483" t="str">
        <f t="shared" si="343"/>
        <v>Public Health Wales Trust</v>
      </c>
      <c r="B613" s="1583"/>
      <c r="C613" s="1583"/>
      <c r="D613" s="1583"/>
      <c r="E613" s="1585"/>
      <c r="F613" s="1436"/>
      <c r="G613" s="1547">
        <f t="shared" si="344"/>
        <v>0</v>
      </c>
      <c r="H613" s="1484"/>
      <c r="I613" s="1547">
        <f t="shared" si="345"/>
        <v>0</v>
      </c>
      <c r="J613" s="1485"/>
      <c r="K613" s="1485"/>
      <c r="L613" s="1436"/>
      <c r="M613" s="1439"/>
      <c r="N613" s="1439"/>
      <c r="O613" s="1485"/>
      <c r="P613" s="1486"/>
      <c r="Q613" s="1486"/>
      <c r="R613" s="1487"/>
      <c r="S613" s="1444"/>
      <c r="T613" s="1444"/>
      <c r="U613" s="1444"/>
      <c r="V613" s="1488"/>
      <c r="W613" s="1488"/>
      <c r="X613" s="1488"/>
      <c r="Y613" s="1488"/>
      <c r="Z613" s="1488"/>
      <c r="AA613" s="1488"/>
      <c r="AB613" s="1488"/>
      <c r="AC613" s="1488"/>
      <c r="AD613" s="1488"/>
      <c r="AE613" s="1488"/>
      <c r="AF613" s="1488"/>
      <c r="AG613" s="1488"/>
      <c r="AH613" s="1451">
        <f t="shared" si="317"/>
        <v>0</v>
      </c>
      <c r="AI613" s="1488"/>
      <c r="AJ613" s="1488"/>
      <c r="AK613" s="1488"/>
      <c r="AL613" s="1488"/>
      <c r="AM613" s="1488"/>
      <c r="AN613" s="1488"/>
      <c r="AO613" s="1488"/>
      <c r="AP613" s="1488"/>
      <c r="AQ613" s="1488"/>
      <c r="AR613" s="1488"/>
      <c r="AS613" s="1488"/>
      <c r="AT613" s="1542"/>
      <c r="AU613" s="1599">
        <f t="shared" si="318"/>
        <v>0</v>
      </c>
      <c r="AV613" s="1544">
        <f t="shared" si="346"/>
        <v>0</v>
      </c>
      <c r="AW613" s="1452">
        <f t="shared" si="319"/>
        <v>0</v>
      </c>
      <c r="AX613" s="1452">
        <f t="shared" si="320"/>
        <v>0</v>
      </c>
      <c r="AY613" s="1452">
        <f t="shared" si="321"/>
        <v>0</v>
      </c>
      <c r="AZ613" s="1452">
        <f t="shared" si="322"/>
        <v>0</v>
      </c>
      <c r="BA613" s="1452">
        <f t="shared" si="323"/>
        <v>0</v>
      </c>
      <c r="BB613" s="1452">
        <f t="shared" si="324"/>
        <v>0</v>
      </c>
      <c r="BC613" s="1452">
        <f t="shared" si="325"/>
        <v>0</v>
      </c>
      <c r="BD613" s="1452">
        <f t="shared" si="326"/>
        <v>0</v>
      </c>
      <c r="BE613" s="1452">
        <f t="shared" si="327"/>
        <v>0</v>
      </c>
      <c r="BF613" s="1452">
        <f t="shared" si="328"/>
        <v>0</v>
      </c>
      <c r="BG613" s="1452">
        <f t="shared" si="329"/>
        <v>0</v>
      </c>
      <c r="BH613" s="1452">
        <f t="shared" si="330"/>
        <v>0</v>
      </c>
      <c r="BI613" s="1452">
        <f t="shared" si="347"/>
        <v>0</v>
      </c>
      <c r="BJ613" s="1452" t="str">
        <f t="shared" si="331"/>
        <v/>
      </c>
      <c r="BK613" s="1452" t="str">
        <f t="shared" si="332"/>
        <v/>
      </c>
      <c r="BL613" s="1452" t="str">
        <f t="shared" si="333"/>
        <v/>
      </c>
      <c r="BM613" s="1452" t="str">
        <f t="shared" si="334"/>
        <v/>
      </c>
      <c r="BN613" s="1452" t="str">
        <f t="shared" ca="1" si="335"/>
        <v/>
      </c>
      <c r="BO613" s="1452" t="str">
        <f t="shared" si="348"/>
        <v/>
      </c>
      <c r="BP613" s="1452" t="str">
        <f t="shared" si="336"/>
        <v/>
      </c>
      <c r="BQ613" s="1452" t="str">
        <f t="shared" si="337"/>
        <v/>
      </c>
      <c r="BR613" s="1452" t="str">
        <f t="shared" si="338"/>
        <v/>
      </c>
      <c r="BS613" s="1452" t="str">
        <f t="shared" si="339"/>
        <v/>
      </c>
      <c r="BT613" s="1452" t="str">
        <f t="shared" si="340"/>
        <v/>
      </c>
      <c r="BU613" s="1452" t="str">
        <f t="shared" si="341"/>
        <v/>
      </c>
      <c r="BV613" s="1452" t="str">
        <f t="shared" si="342"/>
        <v/>
      </c>
      <c r="BW613" s="1558">
        <f t="shared" ca="1" si="349"/>
        <v>0</v>
      </c>
    </row>
    <row r="614" spans="1:75" s="9" customFormat="1" ht="12.5">
      <c r="A614" s="1483" t="str">
        <f t="shared" si="343"/>
        <v>Public Health Wales Trust</v>
      </c>
      <c r="B614" s="1583"/>
      <c r="C614" s="1583"/>
      <c r="D614" s="1583"/>
      <c r="E614" s="1585"/>
      <c r="F614" s="1436"/>
      <c r="G614" s="1547">
        <f t="shared" si="344"/>
        <v>0</v>
      </c>
      <c r="H614" s="1484"/>
      <c r="I614" s="1547">
        <f t="shared" si="345"/>
        <v>0</v>
      </c>
      <c r="J614" s="1485"/>
      <c r="K614" s="1485"/>
      <c r="L614" s="1436"/>
      <c r="M614" s="1439"/>
      <c r="N614" s="1439"/>
      <c r="O614" s="1485"/>
      <c r="P614" s="1486"/>
      <c r="Q614" s="1486"/>
      <c r="R614" s="1487"/>
      <c r="S614" s="1444"/>
      <c r="T614" s="1444"/>
      <c r="U614" s="1444"/>
      <c r="V614" s="1488"/>
      <c r="W614" s="1488"/>
      <c r="X614" s="1488"/>
      <c r="Y614" s="1488"/>
      <c r="Z614" s="1488"/>
      <c r="AA614" s="1488"/>
      <c r="AB614" s="1488"/>
      <c r="AC614" s="1488"/>
      <c r="AD614" s="1488"/>
      <c r="AE614" s="1488"/>
      <c r="AF614" s="1488"/>
      <c r="AG614" s="1488"/>
      <c r="AH614" s="1451">
        <f t="shared" si="317"/>
        <v>0</v>
      </c>
      <c r="AI614" s="1488"/>
      <c r="AJ614" s="1488"/>
      <c r="AK614" s="1488"/>
      <c r="AL614" s="1488"/>
      <c r="AM614" s="1488"/>
      <c r="AN614" s="1488"/>
      <c r="AO614" s="1488"/>
      <c r="AP614" s="1488"/>
      <c r="AQ614" s="1488"/>
      <c r="AR614" s="1488"/>
      <c r="AS614" s="1488"/>
      <c r="AT614" s="1542"/>
      <c r="AU614" s="1599">
        <f t="shared" si="318"/>
        <v>0</v>
      </c>
      <c r="AV614" s="1544">
        <f t="shared" si="346"/>
        <v>0</v>
      </c>
      <c r="AW614" s="1452">
        <f t="shared" si="319"/>
        <v>0</v>
      </c>
      <c r="AX614" s="1452">
        <f t="shared" si="320"/>
        <v>0</v>
      </c>
      <c r="AY614" s="1452">
        <f t="shared" si="321"/>
        <v>0</v>
      </c>
      <c r="AZ614" s="1452">
        <f t="shared" si="322"/>
        <v>0</v>
      </c>
      <c r="BA614" s="1452">
        <f t="shared" si="323"/>
        <v>0</v>
      </c>
      <c r="BB614" s="1452">
        <f t="shared" si="324"/>
        <v>0</v>
      </c>
      <c r="BC614" s="1452">
        <f t="shared" si="325"/>
        <v>0</v>
      </c>
      <c r="BD614" s="1452">
        <f t="shared" si="326"/>
        <v>0</v>
      </c>
      <c r="BE614" s="1452">
        <f t="shared" si="327"/>
        <v>0</v>
      </c>
      <c r="BF614" s="1452">
        <f t="shared" si="328"/>
        <v>0</v>
      </c>
      <c r="BG614" s="1452">
        <f t="shared" si="329"/>
        <v>0</v>
      </c>
      <c r="BH614" s="1452">
        <f t="shared" si="330"/>
        <v>0</v>
      </c>
      <c r="BI614" s="1452">
        <f t="shared" si="347"/>
        <v>0</v>
      </c>
      <c r="BJ614" s="1452" t="str">
        <f t="shared" si="331"/>
        <v/>
      </c>
      <c r="BK614" s="1452" t="str">
        <f t="shared" si="332"/>
        <v/>
      </c>
      <c r="BL614" s="1452" t="str">
        <f t="shared" si="333"/>
        <v/>
      </c>
      <c r="BM614" s="1452" t="str">
        <f t="shared" si="334"/>
        <v/>
      </c>
      <c r="BN614" s="1452" t="str">
        <f t="shared" ca="1" si="335"/>
        <v/>
      </c>
      <c r="BO614" s="1452" t="str">
        <f t="shared" si="348"/>
        <v/>
      </c>
      <c r="BP614" s="1452" t="str">
        <f t="shared" si="336"/>
        <v/>
      </c>
      <c r="BQ614" s="1452" t="str">
        <f t="shared" si="337"/>
        <v/>
      </c>
      <c r="BR614" s="1452" t="str">
        <f t="shared" si="338"/>
        <v/>
      </c>
      <c r="BS614" s="1452" t="str">
        <f t="shared" si="339"/>
        <v/>
      </c>
      <c r="BT614" s="1452" t="str">
        <f t="shared" si="340"/>
        <v/>
      </c>
      <c r="BU614" s="1452" t="str">
        <f t="shared" si="341"/>
        <v/>
      </c>
      <c r="BV614" s="1452" t="str">
        <f t="shared" si="342"/>
        <v/>
      </c>
      <c r="BW614" s="1558">
        <f t="shared" ca="1" si="349"/>
        <v>0</v>
      </c>
    </row>
    <row r="615" spans="1:75" s="9" customFormat="1" ht="12.5">
      <c r="A615" s="1483" t="str">
        <f t="shared" si="343"/>
        <v>Public Health Wales Trust</v>
      </c>
      <c r="B615" s="1583"/>
      <c r="C615" s="1583"/>
      <c r="D615" s="1583"/>
      <c r="E615" s="1585"/>
      <c r="F615" s="1436"/>
      <c r="G615" s="1547">
        <f t="shared" si="344"/>
        <v>0</v>
      </c>
      <c r="H615" s="1484"/>
      <c r="I615" s="1547">
        <f t="shared" si="345"/>
        <v>0</v>
      </c>
      <c r="J615" s="1485"/>
      <c r="K615" s="1485"/>
      <c r="L615" s="1436"/>
      <c r="M615" s="1439"/>
      <c r="N615" s="1439"/>
      <c r="O615" s="1485"/>
      <c r="P615" s="1486"/>
      <c r="Q615" s="1486"/>
      <c r="R615" s="1487"/>
      <c r="S615" s="1444"/>
      <c r="T615" s="1444"/>
      <c r="U615" s="1444"/>
      <c r="V615" s="1488"/>
      <c r="W615" s="1488"/>
      <c r="X615" s="1488"/>
      <c r="Y615" s="1488"/>
      <c r="Z615" s="1488"/>
      <c r="AA615" s="1488"/>
      <c r="AB615" s="1488"/>
      <c r="AC615" s="1488"/>
      <c r="AD615" s="1488"/>
      <c r="AE615" s="1488"/>
      <c r="AF615" s="1488"/>
      <c r="AG615" s="1488"/>
      <c r="AH615" s="1451">
        <f t="shared" si="317"/>
        <v>0</v>
      </c>
      <c r="AI615" s="1488"/>
      <c r="AJ615" s="1488"/>
      <c r="AK615" s="1488"/>
      <c r="AL615" s="1488"/>
      <c r="AM615" s="1488"/>
      <c r="AN615" s="1488"/>
      <c r="AO615" s="1488"/>
      <c r="AP615" s="1488"/>
      <c r="AQ615" s="1488"/>
      <c r="AR615" s="1488"/>
      <c r="AS615" s="1488"/>
      <c r="AT615" s="1542"/>
      <c r="AU615" s="1599">
        <f t="shared" si="318"/>
        <v>0</v>
      </c>
      <c r="AV615" s="1544">
        <f t="shared" si="346"/>
        <v>0</v>
      </c>
      <c r="AW615" s="1452">
        <f t="shared" si="319"/>
        <v>0</v>
      </c>
      <c r="AX615" s="1452">
        <f t="shared" si="320"/>
        <v>0</v>
      </c>
      <c r="AY615" s="1452">
        <f t="shared" si="321"/>
        <v>0</v>
      </c>
      <c r="AZ615" s="1452">
        <f t="shared" si="322"/>
        <v>0</v>
      </c>
      <c r="BA615" s="1452">
        <f t="shared" si="323"/>
        <v>0</v>
      </c>
      <c r="BB615" s="1452">
        <f t="shared" si="324"/>
        <v>0</v>
      </c>
      <c r="BC615" s="1452">
        <f t="shared" si="325"/>
        <v>0</v>
      </c>
      <c r="BD615" s="1452">
        <f t="shared" si="326"/>
        <v>0</v>
      </c>
      <c r="BE615" s="1452">
        <f t="shared" si="327"/>
        <v>0</v>
      </c>
      <c r="BF615" s="1452">
        <f t="shared" si="328"/>
        <v>0</v>
      </c>
      <c r="BG615" s="1452">
        <f t="shared" si="329"/>
        <v>0</v>
      </c>
      <c r="BH615" s="1452">
        <f t="shared" si="330"/>
        <v>0</v>
      </c>
      <c r="BI615" s="1452">
        <f t="shared" si="347"/>
        <v>0</v>
      </c>
      <c r="BJ615" s="1452" t="str">
        <f t="shared" si="331"/>
        <v/>
      </c>
      <c r="BK615" s="1452" t="str">
        <f t="shared" si="332"/>
        <v/>
      </c>
      <c r="BL615" s="1452" t="str">
        <f t="shared" si="333"/>
        <v/>
      </c>
      <c r="BM615" s="1452" t="str">
        <f t="shared" si="334"/>
        <v/>
      </c>
      <c r="BN615" s="1452" t="str">
        <f t="shared" ca="1" si="335"/>
        <v/>
      </c>
      <c r="BO615" s="1452" t="str">
        <f t="shared" si="348"/>
        <v/>
      </c>
      <c r="BP615" s="1452" t="str">
        <f t="shared" si="336"/>
        <v/>
      </c>
      <c r="BQ615" s="1452" t="str">
        <f t="shared" si="337"/>
        <v/>
      </c>
      <c r="BR615" s="1452" t="str">
        <f t="shared" si="338"/>
        <v/>
      </c>
      <c r="BS615" s="1452" t="str">
        <f t="shared" si="339"/>
        <v/>
      </c>
      <c r="BT615" s="1452" t="str">
        <f t="shared" si="340"/>
        <v/>
      </c>
      <c r="BU615" s="1452" t="str">
        <f t="shared" si="341"/>
        <v/>
      </c>
      <c r="BV615" s="1452" t="str">
        <f t="shared" si="342"/>
        <v/>
      </c>
      <c r="BW615" s="1558">
        <f t="shared" ca="1" si="349"/>
        <v>0</v>
      </c>
    </row>
    <row r="616" spans="1:75" s="9" customFormat="1" ht="12.5">
      <c r="A616" s="1483" t="str">
        <f t="shared" si="343"/>
        <v>Public Health Wales Trust</v>
      </c>
      <c r="B616" s="1583"/>
      <c r="C616" s="1583"/>
      <c r="D616" s="1583"/>
      <c r="E616" s="1585"/>
      <c r="F616" s="1436"/>
      <c r="G616" s="1547">
        <f t="shared" si="344"/>
        <v>0</v>
      </c>
      <c r="H616" s="1484"/>
      <c r="I616" s="1547">
        <f t="shared" si="345"/>
        <v>0</v>
      </c>
      <c r="J616" s="1485"/>
      <c r="K616" s="1485"/>
      <c r="L616" s="1436"/>
      <c r="M616" s="1439"/>
      <c r="N616" s="1439"/>
      <c r="O616" s="1485"/>
      <c r="P616" s="1486"/>
      <c r="Q616" s="1486"/>
      <c r="R616" s="1487"/>
      <c r="S616" s="1444"/>
      <c r="T616" s="1444"/>
      <c r="U616" s="1444"/>
      <c r="V616" s="1488"/>
      <c r="W616" s="1488"/>
      <c r="X616" s="1488"/>
      <c r="Y616" s="1488"/>
      <c r="Z616" s="1488"/>
      <c r="AA616" s="1488"/>
      <c r="AB616" s="1488"/>
      <c r="AC616" s="1488"/>
      <c r="AD616" s="1488"/>
      <c r="AE616" s="1488"/>
      <c r="AF616" s="1488"/>
      <c r="AG616" s="1488"/>
      <c r="AH616" s="1451">
        <f t="shared" si="317"/>
        <v>0</v>
      </c>
      <c r="AI616" s="1488"/>
      <c r="AJ616" s="1488"/>
      <c r="AK616" s="1488"/>
      <c r="AL616" s="1488"/>
      <c r="AM616" s="1488"/>
      <c r="AN616" s="1488"/>
      <c r="AO616" s="1488"/>
      <c r="AP616" s="1488"/>
      <c r="AQ616" s="1488"/>
      <c r="AR616" s="1488"/>
      <c r="AS616" s="1488"/>
      <c r="AT616" s="1542"/>
      <c r="AU616" s="1599">
        <f t="shared" si="318"/>
        <v>0</v>
      </c>
      <c r="AV616" s="1544">
        <f t="shared" si="346"/>
        <v>0</v>
      </c>
      <c r="AW616" s="1452">
        <f t="shared" si="319"/>
        <v>0</v>
      </c>
      <c r="AX616" s="1452">
        <f t="shared" si="320"/>
        <v>0</v>
      </c>
      <c r="AY616" s="1452">
        <f t="shared" si="321"/>
        <v>0</v>
      </c>
      <c r="AZ616" s="1452">
        <f t="shared" si="322"/>
        <v>0</v>
      </c>
      <c r="BA616" s="1452">
        <f t="shared" si="323"/>
        <v>0</v>
      </c>
      <c r="BB616" s="1452">
        <f t="shared" si="324"/>
        <v>0</v>
      </c>
      <c r="BC616" s="1452">
        <f t="shared" si="325"/>
        <v>0</v>
      </c>
      <c r="BD616" s="1452">
        <f t="shared" si="326"/>
        <v>0</v>
      </c>
      <c r="BE616" s="1452">
        <f t="shared" si="327"/>
        <v>0</v>
      </c>
      <c r="BF616" s="1452">
        <f t="shared" si="328"/>
        <v>0</v>
      </c>
      <c r="BG616" s="1452">
        <f t="shared" si="329"/>
        <v>0</v>
      </c>
      <c r="BH616" s="1452">
        <f t="shared" si="330"/>
        <v>0</v>
      </c>
      <c r="BI616" s="1452">
        <f t="shared" si="347"/>
        <v>0</v>
      </c>
      <c r="BJ616" s="1452" t="str">
        <f t="shared" si="331"/>
        <v/>
      </c>
      <c r="BK616" s="1452" t="str">
        <f t="shared" si="332"/>
        <v/>
      </c>
      <c r="BL616" s="1452" t="str">
        <f t="shared" si="333"/>
        <v/>
      </c>
      <c r="BM616" s="1452" t="str">
        <f t="shared" si="334"/>
        <v/>
      </c>
      <c r="BN616" s="1452" t="str">
        <f t="shared" ca="1" si="335"/>
        <v/>
      </c>
      <c r="BO616" s="1452" t="str">
        <f t="shared" si="348"/>
        <v/>
      </c>
      <c r="BP616" s="1452" t="str">
        <f t="shared" si="336"/>
        <v/>
      </c>
      <c r="BQ616" s="1452" t="str">
        <f t="shared" si="337"/>
        <v/>
      </c>
      <c r="BR616" s="1452" t="str">
        <f t="shared" si="338"/>
        <v/>
      </c>
      <c r="BS616" s="1452" t="str">
        <f t="shared" si="339"/>
        <v/>
      </c>
      <c r="BT616" s="1452" t="str">
        <f t="shared" si="340"/>
        <v/>
      </c>
      <c r="BU616" s="1452" t="str">
        <f t="shared" si="341"/>
        <v/>
      </c>
      <c r="BV616" s="1452" t="str">
        <f t="shared" si="342"/>
        <v/>
      </c>
      <c r="BW616" s="1558">
        <f t="shared" ca="1" si="349"/>
        <v>0</v>
      </c>
    </row>
    <row r="617" spans="1:75" s="9" customFormat="1" ht="12.5">
      <c r="A617" s="1483" t="str">
        <f t="shared" si="343"/>
        <v>Public Health Wales Trust</v>
      </c>
      <c r="B617" s="1583"/>
      <c r="C617" s="1583"/>
      <c r="D617" s="1583"/>
      <c r="E617" s="1585"/>
      <c r="F617" s="1436"/>
      <c r="G617" s="1547">
        <f t="shared" si="344"/>
        <v>0</v>
      </c>
      <c r="H617" s="1484"/>
      <c r="I617" s="1547">
        <f t="shared" si="345"/>
        <v>0</v>
      </c>
      <c r="J617" s="1485"/>
      <c r="K617" s="1485"/>
      <c r="L617" s="1436"/>
      <c r="M617" s="1439"/>
      <c r="N617" s="1439"/>
      <c r="O617" s="1485"/>
      <c r="P617" s="1486"/>
      <c r="Q617" s="1486"/>
      <c r="R617" s="1487"/>
      <c r="S617" s="1444"/>
      <c r="T617" s="1444"/>
      <c r="U617" s="1444"/>
      <c r="V617" s="1488"/>
      <c r="W617" s="1488"/>
      <c r="X617" s="1488"/>
      <c r="Y617" s="1488"/>
      <c r="Z617" s="1488"/>
      <c r="AA617" s="1488"/>
      <c r="AB617" s="1488"/>
      <c r="AC617" s="1488"/>
      <c r="AD617" s="1488"/>
      <c r="AE617" s="1488"/>
      <c r="AF617" s="1488"/>
      <c r="AG617" s="1488"/>
      <c r="AH617" s="1451">
        <f t="shared" si="317"/>
        <v>0</v>
      </c>
      <c r="AI617" s="1488"/>
      <c r="AJ617" s="1488"/>
      <c r="AK617" s="1488"/>
      <c r="AL617" s="1488"/>
      <c r="AM617" s="1488"/>
      <c r="AN617" s="1488"/>
      <c r="AO617" s="1488"/>
      <c r="AP617" s="1488"/>
      <c r="AQ617" s="1488"/>
      <c r="AR617" s="1488"/>
      <c r="AS617" s="1488"/>
      <c r="AT617" s="1542"/>
      <c r="AU617" s="1599">
        <f t="shared" si="318"/>
        <v>0</v>
      </c>
      <c r="AV617" s="1544">
        <f t="shared" si="346"/>
        <v>0</v>
      </c>
      <c r="AW617" s="1452">
        <f t="shared" si="319"/>
        <v>0</v>
      </c>
      <c r="AX617" s="1452">
        <f t="shared" si="320"/>
        <v>0</v>
      </c>
      <c r="AY617" s="1452">
        <f t="shared" si="321"/>
        <v>0</v>
      </c>
      <c r="AZ617" s="1452">
        <f t="shared" si="322"/>
        <v>0</v>
      </c>
      <c r="BA617" s="1452">
        <f t="shared" si="323"/>
        <v>0</v>
      </c>
      <c r="BB617" s="1452">
        <f t="shared" si="324"/>
        <v>0</v>
      </c>
      <c r="BC617" s="1452">
        <f t="shared" si="325"/>
        <v>0</v>
      </c>
      <c r="BD617" s="1452">
        <f t="shared" si="326"/>
        <v>0</v>
      </c>
      <c r="BE617" s="1452">
        <f t="shared" si="327"/>
        <v>0</v>
      </c>
      <c r="BF617" s="1452">
        <f t="shared" si="328"/>
        <v>0</v>
      </c>
      <c r="BG617" s="1452">
        <f t="shared" si="329"/>
        <v>0</v>
      </c>
      <c r="BH617" s="1452">
        <f t="shared" si="330"/>
        <v>0</v>
      </c>
      <c r="BI617" s="1452">
        <f t="shared" si="347"/>
        <v>0</v>
      </c>
      <c r="BJ617" s="1452" t="str">
        <f t="shared" si="331"/>
        <v/>
      </c>
      <c r="BK617" s="1452" t="str">
        <f t="shared" si="332"/>
        <v/>
      </c>
      <c r="BL617" s="1452" t="str">
        <f t="shared" si="333"/>
        <v/>
      </c>
      <c r="BM617" s="1452" t="str">
        <f t="shared" si="334"/>
        <v/>
      </c>
      <c r="BN617" s="1452" t="str">
        <f t="shared" ca="1" si="335"/>
        <v/>
      </c>
      <c r="BO617" s="1452" t="str">
        <f t="shared" si="348"/>
        <v/>
      </c>
      <c r="BP617" s="1452" t="str">
        <f t="shared" si="336"/>
        <v/>
      </c>
      <c r="BQ617" s="1452" t="str">
        <f t="shared" si="337"/>
        <v/>
      </c>
      <c r="BR617" s="1452" t="str">
        <f t="shared" si="338"/>
        <v/>
      </c>
      <c r="BS617" s="1452" t="str">
        <f t="shared" si="339"/>
        <v/>
      </c>
      <c r="BT617" s="1452" t="str">
        <f t="shared" si="340"/>
        <v/>
      </c>
      <c r="BU617" s="1452" t="str">
        <f t="shared" si="341"/>
        <v/>
      </c>
      <c r="BV617" s="1452" t="str">
        <f t="shared" si="342"/>
        <v/>
      </c>
      <c r="BW617" s="1558">
        <f t="shared" ca="1" si="349"/>
        <v>0</v>
      </c>
    </row>
    <row r="618" spans="1:75" s="9" customFormat="1" ht="12.5">
      <c r="A618" s="1483" t="str">
        <f t="shared" si="343"/>
        <v>Public Health Wales Trust</v>
      </c>
      <c r="B618" s="1583"/>
      <c r="C618" s="1583"/>
      <c r="D618" s="1583"/>
      <c r="E618" s="1585"/>
      <c r="F618" s="1436"/>
      <c r="G618" s="1547">
        <f t="shared" si="344"/>
        <v>0</v>
      </c>
      <c r="H618" s="1484"/>
      <c r="I618" s="1547">
        <f t="shared" si="345"/>
        <v>0</v>
      </c>
      <c r="J618" s="1485"/>
      <c r="K618" s="1485"/>
      <c r="L618" s="1436"/>
      <c r="M618" s="1439"/>
      <c r="N618" s="1439"/>
      <c r="O618" s="1485"/>
      <c r="P618" s="1486"/>
      <c r="Q618" s="1486"/>
      <c r="R618" s="1487"/>
      <c r="S618" s="1444"/>
      <c r="T618" s="1444"/>
      <c r="U618" s="1444"/>
      <c r="V618" s="1488"/>
      <c r="W618" s="1488"/>
      <c r="X618" s="1488"/>
      <c r="Y618" s="1488"/>
      <c r="Z618" s="1488"/>
      <c r="AA618" s="1488"/>
      <c r="AB618" s="1488"/>
      <c r="AC618" s="1488"/>
      <c r="AD618" s="1488"/>
      <c r="AE618" s="1488"/>
      <c r="AF618" s="1488"/>
      <c r="AG618" s="1488"/>
      <c r="AH618" s="1451">
        <f t="shared" si="317"/>
        <v>0</v>
      </c>
      <c r="AI618" s="1488"/>
      <c r="AJ618" s="1488"/>
      <c r="AK618" s="1488"/>
      <c r="AL618" s="1488"/>
      <c r="AM618" s="1488"/>
      <c r="AN618" s="1488"/>
      <c r="AO618" s="1488"/>
      <c r="AP618" s="1488"/>
      <c r="AQ618" s="1488"/>
      <c r="AR618" s="1488"/>
      <c r="AS618" s="1488"/>
      <c r="AT618" s="1542"/>
      <c r="AU618" s="1599">
        <f t="shared" si="318"/>
        <v>0</v>
      </c>
      <c r="AV618" s="1544">
        <f t="shared" si="346"/>
        <v>0</v>
      </c>
      <c r="AW618" s="1452">
        <f t="shared" si="319"/>
        <v>0</v>
      </c>
      <c r="AX618" s="1452">
        <f t="shared" si="320"/>
        <v>0</v>
      </c>
      <c r="AY618" s="1452">
        <f t="shared" si="321"/>
        <v>0</v>
      </c>
      <c r="AZ618" s="1452">
        <f t="shared" si="322"/>
        <v>0</v>
      </c>
      <c r="BA618" s="1452">
        <f t="shared" si="323"/>
        <v>0</v>
      </c>
      <c r="BB618" s="1452">
        <f t="shared" si="324"/>
        <v>0</v>
      </c>
      <c r="BC618" s="1452">
        <f t="shared" si="325"/>
        <v>0</v>
      </c>
      <c r="BD618" s="1452">
        <f t="shared" si="326"/>
        <v>0</v>
      </c>
      <c r="BE618" s="1452">
        <f t="shared" si="327"/>
        <v>0</v>
      </c>
      <c r="BF618" s="1452">
        <f t="shared" si="328"/>
        <v>0</v>
      </c>
      <c r="BG618" s="1452">
        <f t="shared" si="329"/>
        <v>0</v>
      </c>
      <c r="BH618" s="1452">
        <f t="shared" si="330"/>
        <v>0</v>
      </c>
      <c r="BI618" s="1452">
        <f t="shared" si="347"/>
        <v>0</v>
      </c>
      <c r="BJ618" s="1452" t="str">
        <f t="shared" si="331"/>
        <v/>
      </c>
      <c r="BK618" s="1452" t="str">
        <f t="shared" si="332"/>
        <v/>
      </c>
      <c r="BL618" s="1452" t="str">
        <f t="shared" si="333"/>
        <v/>
      </c>
      <c r="BM618" s="1452" t="str">
        <f t="shared" si="334"/>
        <v/>
      </c>
      <c r="BN618" s="1452" t="str">
        <f t="shared" ca="1" si="335"/>
        <v/>
      </c>
      <c r="BO618" s="1452" t="str">
        <f t="shared" si="348"/>
        <v/>
      </c>
      <c r="BP618" s="1452" t="str">
        <f t="shared" si="336"/>
        <v/>
      </c>
      <c r="BQ618" s="1452" t="str">
        <f t="shared" si="337"/>
        <v/>
      </c>
      <c r="BR618" s="1452" t="str">
        <f t="shared" si="338"/>
        <v/>
      </c>
      <c r="BS618" s="1452" t="str">
        <f t="shared" si="339"/>
        <v/>
      </c>
      <c r="BT618" s="1452" t="str">
        <f t="shared" si="340"/>
        <v/>
      </c>
      <c r="BU618" s="1452" t="str">
        <f t="shared" si="341"/>
        <v/>
      </c>
      <c r="BV618" s="1452" t="str">
        <f t="shared" si="342"/>
        <v/>
      </c>
      <c r="BW618" s="1558">
        <f t="shared" ca="1" si="349"/>
        <v>0</v>
      </c>
    </row>
    <row r="619" spans="1:75" s="9" customFormat="1" ht="12.5">
      <c r="A619" s="1483" t="str">
        <f t="shared" si="343"/>
        <v>Public Health Wales Trust</v>
      </c>
      <c r="B619" s="1583"/>
      <c r="C619" s="1583"/>
      <c r="D619" s="1583"/>
      <c r="E619" s="1585"/>
      <c r="F619" s="1436"/>
      <c r="G619" s="1547">
        <f t="shared" si="344"/>
        <v>0</v>
      </c>
      <c r="H619" s="1484"/>
      <c r="I619" s="1547">
        <f t="shared" si="345"/>
        <v>0</v>
      </c>
      <c r="J619" s="1485"/>
      <c r="K619" s="1485"/>
      <c r="L619" s="1436"/>
      <c r="M619" s="1439"/>
      <c r="N619" s="1439"/>
      <c r="O619" s="1485"/>
      <c r="P619" s="1486"/>
      <c r="Q619" s="1486"/>
      <c r="R619" s="1487"/>
      <c r="S619" s="1444"/>
      <c r="T619" s="1444"/>
      <c r="U619" s="1444"/>
      <c r="V619" s="1488"/>
      <c r="W619" s="1488"/>
      <c r="X619" s="1488"/>
      <c r="Y619" s="1488"/>
      <c r="Z619" s="1488"/>
      <c r="AA619" s="1488"/>
      <c r="AB619" s="1488"/>
      <c r="AC619" s="1488"/>
      <c r="AD619" s="1488"/>
      <c r="AE619" s="1488"/>
      <c r="AF619" s="1488"/>
      <c r="AG619" s="1488"/>
      <c r="AH619" s="1451">
        <f t="shared" ref="AH619:AH682" si="350">SUM(V619:AG619)</f>
        <v>0</v>
      </c>
      <c r="AI619" s="1488"/>
      <c r="AJ619" s="1488"/>
      <c r="AK619" s="1488"/>
      <c r="AL619" s="1488"/>
      <c r="AM619" s="1488"/>
      <c r="AN619" s="1488"/>
      <c r="AO619" s="1488"/>
      <c r="AP619" s="1488"/>
      <c r="AQ619" s="1488"/>
      <c r="AR619" s="1488"/>
      <c r="AS619" s="1488"/>
      <c r="AT619" s="1542"/>
      <c r="AU619" s="1599">
        <f t="shared" ref="AU619:AU682" si="351">SUMPRODUCT($AC$40:$AN$40,AI619:AT619)</f>
        <v>0</v>
      </c>
      <c r="AV619" s="1544">
        <f t="shared" si="346"/>
        <v>0</v>
      </c>
      <c r="AW619" s="1452">
        <f t="shared" ref="AW619:AW682" si="352">AI619-V619</f>
        <v>0</v>
      </c>
      <c r="AX619" s="1452">
        <f t="shared" ref="AX619:AX682" si="353">AJ619-W619</f>
        <v>0</v>
      </c>
      <c r="AY619" s="1452">
        <f t="shared" ref="AY619:AY682" si="354">AK619-X619</f>
        <v>0</v>
      </c>
      <c r="AZ619" s="1452">
        <f t="shared" ref="AZ619:AZ682" si="355">AL619-Y619</f>
        <v>0</v>
      </c>
      <c r="BA619" s="1452">
        <f t="shared" ref="BA619:BA682" si="356">AM619-Z619</f>
        <v>0</v>
      </c>
      <c r="BB619" s="1452">
        <f t="shared" ref="BB619:BB682" si="357">AN619-AA619</f>
        <v>0</v>
      </c>
      <c r="BC619" s="1452">
        <f t="shared" ref="BC619:BC682" si="358">AO619-AB619</f>
        <v>0</v>
      </c>
      <c r="BD619" s="1452">
        <f t="shared" ref="BD619:BD682" si="359">AP619-AC619</f>
        <v>0</v>
      </c>
      <c r="BE619" s="1452">
        <f t="shared" ref="BE619:BE682" si="360">AQ619-AD619</f>
        <v>0</v>
      </c>
      <c r="BF619" s="1452">
        <f t="shared" ref="BF619:BF682" si="361">AR619-AE619</f>
        <v>0</v>
      </c>
      <c r="BG619" s="1452">
        <f t="shared" ref="BG619:BG682" si="362">AS619-AF619</f>
        <v>0</v>
      </c>
      <c r="BH619" s="1452">
        <f t="shared" ref="BH619:BH682" si="363">AT619-AG619</f>
        <v>0</v>
      </c>
      <c r="BI619" s="1452">
        <f t="shared" si="347"/>
        <v>0</v>
      </c>
      <c r="BJ619" s="1452" t="str">
        <f t="shared" ref="BJ619:BJ682" si="364">IF(OR(G619&gt;0,I619&gt;0),IF(AND(B619&lt;&gt;"",C619&lt;&gt;"",D619&lt;&gt;"",E619&lt;&gt;"",F619&lt;&gt;"",L619&lt;&gt;"",M619&lt;&gt;"",N619&lt;&gt;"",O619&lt;&gt;"",P619&lt;&gt;"",Q619&lt;&gt;"",R619&lt;&gt;""),"","ERROR"),"")</f>
        <v/>
      </c>
      <c r="BK619" s="1452" t="str">
        <f t="shared" ref="BK619:BK682" si="365">IF(COUNTIF($D$43:$D$1496,D619)&gt;1,"ERROR","")</f>
        <v/>
      </c>
      <c r="BL619" s="1452" t="str">
        <f t="shared" ref="BL619:BL682" si="366">IF(AND(OR(R619=$CQ$1,R619=$CQ$3),S619=""),"ERROR","")</f>
        <v/>
      </c>
      <c r="BM619" s="1452" t="str">
        <f t="shared" ref="BM619:BM682" si="367">IF(AND(OR(R619=$CQ$2),S619&lt;&gt;""),"ERROR","")</f>
        <v/>
      </c>
      <c r="BN619" s="1452" t="str">
        <f t="shared" ref="BN619:BN682" ca="1" si="368">IF(AND(O619=$CA$2,N619&lt;TODAY()),"ERROR","")</f>
        <v/>
      </c>
      <c r="BO619" s="1452" t="str">
        <f t="shared" si="348"/>
        <v/>
      </c>
      <c r="BP619" s="1452" t="str">
        <f t="shared" ref="BP619:BP682" si="369">IF(AND(F619=$BZ$1,G619&gt;H619),"ERROR","")</f>
        <v/>
      </c>
      <c r="BQ619" s="1452" t="str">
        <f t="shared" ref="BQ619:BQ682" si="370">IF(AND(F619=$BZ$1,I619&gt;J619),"ERROR","")</f>
        <v/>
      </c>
      <c r="BR619" s="1452" t="str">
        <f t="shared" ref="BR619:BR682" si="371">IF(AND(F619=$BZ$2,SUM(H619,J619)&gt;0),"ERROR","")</f>
        <v/>
      </c>
      <c r="BS619" s="1452" t="str">
        <f t="shared" ref="BS619:BS682" si="372">IF(AND(I619=0,J619&gt;0),"ERROR","")</f>
        <v/>
      </c>
      <c r="BT619" s="1452" t="str">
        <f t="shared" ref="BT619:BT682" si="373">IF(AND(O619=$CA$1,K619&lt;&gt;0),"ERROR","")</f>
        <v/>
      </c>
      <c r="BU619" s="1452" t="str">
        <f t="shared" ref="BU619:BU682" si="374">IF(AND(O619=$CA$2,I619-AU619-K619&lt;0),"ERROR","")</f>
        <v/>
      </c>
      <c r="BV619" s="1452" t="str">
        <f t="shared" ref="BV619:BV682" si="375">IF(S619="","",VLOOKUP(S619,$CS$1:$CT$14,2,0))</f>
        <v/>
      </c>
      <c r="BW619" s="1558">
        <f t="shared" ca="1" si="349"/>
        <v>0</v>
      </c>
    </row>
    <row r="620" spans="1:75" s="9" customFormat="1" ht="12.5">
      <c r="A620" s="1483" t="str">
        <f t="shared" ref="A620:A683" si="376">$A$1</f>
        <v>Public Health Wales Trust</v>
      </c>
      <c r="B620" s="1583"/>
      <c r="C620" s="1583"/>
      <c r="D620" s="1583"/>
      <c r="E620" s="1585"/>
      <c r="F620" s="1436"/>
      <c r="G620" s="1547">
        <f t="shared" ref="G620:G683" si="377">AH620</f>
        <v>0</v>
      </c>
      <c r="H620" s="1484"/>
      <c r="I620" s="1547">
        <f t="shared" ref="I620:I683" si="378">AV620</f>
        <v>0</v>
      </c>
      <c r="J620" s="1485"/>
      <c r="K620" s="1485"/>
      <c r="L620" s="1436"/>
      <c r="M620" s="1439"/>
      <c r="N620" s="1439"/>
      <c r="O620" s="1485"/>
      <c r="P620" s="1486"/>
      <c r="Q620" s="1486"/>
      <c r="R620" s="1487"/>
      <c r="S620" s="1444"/>
      <c r="T620" s="1444"/>
      <c r="U620" s="1444"/>
      <c r="V620" s="1488"/>
      <c r="W620" s="1488"/>
      <c r="X620" s="1488"/>
      <c r="Y620" s="1488"/>
      <c r="Z620" s="1488"/>
      <c r="AA620" s="1488"/>
      <c r="AB620" s="1488"/>
      <c r="AC620" s="1488"/>
      <c r="AD620" s="1488"/>
      <c r="AE620" s="1488"/>
      <c r="AF620" s="1488"/>
      <c r="AG620" s="1488"/>
      <c r="AH620" s="1451">
        <f t="shared" si="350"/>
        <v>0</v>
      </c>
      <c r="AI620" s="1488"/>
      <c r="AJ620" s="1488"/>
      <c r="AK620" s="1488"/>
      <c r="AL620" s="1488"/>
      <c r="AM620" s="1488"/>
      <c r="AN620" s="1488"/>
      <c r="AO620" s="1488"/>
      <c r="AP620" s="1488"/>
      <c r="AQ620" s="1488"/>
      <c r="AR620" s="1488"/>
      <c r="AS620" s="1488"/>
      <c r="AT620" s="1542"/>
      <c r="AU620" s="1599">
        <f t="shared" si="351"/>
        <v>0</v>
      </c>
      <c r="AV620" s="1544">
        <f t="shared" ref="AV620:AV683" si="379">SUM(AI620:AT620)</f>
        <v>0</v>
      </c>
      <c r="AW620" s="1452">
        <f t="shared" si="352"/>
        <v>0</v>
      </c>
      <c r="AX620" s="1452">
        <f t="shared" si="353"/>
        <v>0</v>
      </c>
      <c r="AY620" s="1452">
        <f t="shared" si="354"/>
        <v>0</v>
      </c>
      <c r="AZ620" s="1452">
        <f t="shared" si="355"/>
        <v>0</v>
      </c>
      <c r="BA620" s="1452">
        <f t="shared" si="356"/>
        <v>0</v>
      </c>
      <c r="BB620" s="1452">
        <f t="shared" si="357"/>
        <v>0</v>
      </c>
      <c r="BC620" s="1452">
        <f t="shared" si="358"/>
        <v>0</v>
      </c>
      <c r="BD620" s="1452">
        <f t="shared" si="359"/>
        <v>0</v>
      </c>
      <c r="BE620" s="1452">
        <f t="shared" si="360"/>
        <v>0</v>
      </c>
      <c r="BF620" s="1452">
        <f t="shared" si="361"/>
        <v>0</v>
      </c>
      <c r="BG620" s="1452">
        <f t="shared" si="362"/>
        <v>0</v>
      </c>
      <c r="BH620" s="1452">
        <f t="shared" si="363"/>
        <v>0</v>
      </c>
      <c r="BI620" s="1452">
        <f t="shared" ref="BI620:BI683" si="380">SUM(AW620:BH620)</f>
        <v>0</v>
      </c>
      <c r="BJ620" s="1452" t="str">
        <f t="shared" si="364"/>
        <v/>
      </c>
      <c r="BK620" s="1452" t="str">
        <f t="shared" si="365"/>
        <v/>
      </c>
      <c r="BL620" s="1452" t="str">
        <f t="shared" si="366"/>
        <v/>
      </c>
      <c r="BM620" s="1452" t="str">
        <f t="shared" si="367"/>
        <v/>
      </c>
      <c r="BN620" s="1452" t="str">
        <f t="shared" ca="1" si="368"/>
        <v/>
      </c>
      <c r="BO620" s="1452" t="str">
        <f t="shared" ref="BO620:BO683" si="381">IF(AND(AV620&gt;0,AH620=0),"ERROR","")</f>
        <v/>
      </c>
      <c r="BP620" s="1452" t="str">
        <f t="shared" si="369"/>
        <v/>
      </c>
      <c r="BQ620" s="1452" t="str">
        <f t="shared" si="370"/>
        <v/>
      </c>
      <c r="BR620" s="1452" t="str">
        <f t="shared" si="371"/>
        <v/>
      </c>
      <c r="BS620" s="1452" t="str">
        <f t="shared" si="372"/>
        <v/>
      </c>
      <c r="BT620" s="1452" t="str">
        <f t="shared" si="373"/>
        <v/>
      </c>
      <c r="BU620" s="1452" t="str">
        <f t="shared" si="374"/>
        <v/>
      </c>
      <c r="BV620" s="1452" t="str">
        <f t="shared" si="375"/>
        <v/>
      </c>
      <c r="BW620" s="1558">
        <f t="shared" ref="BW620:BW683" ca="1" si="382">COUNTIF(BJ620:BU620,"ERROR")</f>
        <v>0</v>
      </c>
    </row>
    <row r="621" spans="1:75" s="9" customFormat="1" ht="12.5">
      <c r="A621" s="1483" t="str">
        <f t="shared" si="376"/>
        <v>Public Health Wales Trust</v>
      </c>
      <c r="B621" s="1583"/>
      <c r="C621" s="1583"/>
      <c r="D621" s="1583"/>
      <c r="E621" s="1585"/>
      <c r="F621" s="1436"/>
      <c r="G621" s="1547">
        <f t="shared" si="377"/>
        <v>0</v>
      </c>
      <c r="H621" s="1484"/>
      <c r="I621" s="1547">
        <f t="shared" si="378"/>
        <v>0</v>
      </c>
      <c r="J621" s="1485"/>
      <c r="K621" s="1485"/>
      <c r="L621" s="1436"/>
      <c r="M621" s="1439"/>
      <c r="N621" s="1439"/>
      <c r="O621" s="1485"/>
      <c r="P621" s="1486"/>
      <c r="Q621" s="1486"/>
      <c r="R621" s="1487"/>
      <c r="S621" s="1444"/>
      <c r="T621" s="1444"/>
      <c r="U621" s="1444"/>
      <c r="V621" s="1488"/>
      <c r="W621" s="1488"/>
      <c r="X621" s="1488"/>
      <c r="Y621" s="1488"/>
      <c r="Z621" s="1488"/>
      <c r="AA621" s="1488"/>
      <c r="AB621" s="1488"/>
      <c r="AC621" s="1488"/>
      <c r="AD621" s="1488"/>
      <c r="AE621" s="1488"/>
      <c r="AF621" s="1488"/>
      <c r="AG621" s="1488"/>
      <c r="AH621" s="1451">
        <f t="shared" si="350"/>
        <v>0</v>
      </c>
      <c r="AI621" s="1488"/>
      <c r="AJ621" s="1488"/>
      <c r="AK621" s="1488"/>
      <c r="AL621" s="1488"/>
      <c r="AM621" s="1488"/>
      <c r="AN621" s="1488"/>
      <c r="AO621" s="1488"/>
      <c r="AP621" s="1488"/>
      <c r="AQ621" s="1488"/>
      <c r="AR621" s="1488"/>
      <c r="AS621" s="1488"/>
      <c r="AT621" s="1542"/>
      <c r="AU621" s="1599">
        <f t="shared" si="351"/>
        <v>0</v>
      </c>
      <c r="AV621" s="1544">
        <f t="shared" si="379"/>
        <v>0</v>
      </c>
      <c r="AW621" s="1452">
        <f t="shared" si="352"/>
        <v>0</v>
      </c>
      <c r="AX621" s="1452">
        <f t="shared" si="353"/>
        <v>0</v>
      </c>
      <c r="AY621" s="1452">
        <f t="shared" si="354"/>
        <v>0</v>
      </c>
      <c r="AZ621" s="1452">
        <f t="shared" si="355"/>
        <v>0</v>
      </c>
      <c r="BA621" s="1452">
        <f t="shared" si="356"/>
        <v>0</v>
      </c>
      <c r="BB621" s="1452">
        <f t="shared" si="357"/>
        <v>0</v>
      </c>
      <c r="BC621" s="1452">
        <f t="shared" si="358"/>
        <v>0</v>
      </c>
      <c r="BD621" s="1452">
        <f t="shared" si="359"/>
        <v>0</v>
      </c>
      <c r="BE621" s="1452">
        <f t="shared" si="360"/>
        <v>0</v>
      </c>
      <c r="BF621" s="1452">
        <f t="shared" si="361"/>
        <v>0</v>
      </c>
      <c r="BG621" s="1452">
        <f t="shared" si="362"/>
        <v>0</v>
      </c>
      <c r="BH621" s="1452">
        <f t="shared" si="363"/>
        <v>0</v>
      </c>
      <c r="BI621" s="1452">
        <f t="shared" si="380"/>
        <v>0</v>
      </c>
      <c r="BJ621" s="1452" t="str">
        <f t="shared" si="364"/>
        <v/>
      </c>
      <c r="BK621" s="1452" t="str">
        <f t="shared" si="365"/>
        <v/>
      </c>
      <c r="BL621" s="1452" t="str">
        <f t="shared" si="366"/>
        <v/>
      </c>
      <c r="BM621" s="1452" t="str">
        <f t="shared" si="367"/>
        <v/>
      </c>
      <c r="BN621" s="1452" t="str">
        <f t="shared" ca="1" si="368"/>
        <v/>
      </c>
      <c r="BO621" s="1452" t="str">
        <f t="shared" si="381"/>
        <v/>
      </c>
      <c r="BP621" s="1452" t="str">
        <f t="shared" si="369"/>
        <v/>
      </c>
      <c r="BQ621" s="1452" t="str">
        <f t="shared" si="370"/>
        <v/>
      </c>
      <c r="BR621" s="1452" t="str">
        <f t="shared" si="371"/>
        <v/>
      </c>
      <c r="BS621" s="1452" t="str">
        <f t="shared" si="372"/>
        <v/>
      </c>
      <c r="BT621" s="1452" t="str">
        <f t="shared" si="373"/>
        <v/>
      </c>
      <c r="BU621" s="1452" t="str">
        <f t="shared" si="374"/>
        <v/>
      </c>
      <c r="BV621" s="1452" t="str">
        <f t="shared" si="375"/>
        <v/>
      </c>
      <c r="BW621" s="1558">
        <f t="shared" ca="1" si="382"/>
        <v>0</v>
      </c>
    </row>
    <row r="622" spans="1:75" s="9" customFormat="1" ht="12.5">
      <c r="A622" s="1483" t="str">
        <f t="shared" si="376"/>
        <v>Public Health Wales Trust</v>
      </c>
      <c r="B622" s="1583"/>
      <c r="C622" s="1583"/>
      <c r="D622" s="1583"/>
      <c r="E622" s="1585"/>
      <c r="F622" s="1436"/>
      <c r="G622" s="1547">
        <f t="shared" si="377"/>
        <v>0</v>
      </c>
      <c r="H622" s="1484"/>
      <c r="I622" s="1547">
        <f t="shared" si="378"/>
        <v>0</v>
      </c>
      <c r="J622" s="1485"/>
      <c r="K622" s="1485"/>
      <c r="L622" s="1436"/>
      <c r="M622" s="1439"/>
      <c r="N622" s="1439"/>
      <c r="O622" s="1485"/>
      <c r="P622" s="1486"/>
      <c r="Q622" s="1486"/>
      <c r="R622" s="1487"/>
      <c r="S622" s="1444"/>
      <c r="T622" s="1444"/>
      <c r="U622" s="1444"/>
      <c r="V622" s="1488"/>
      <c r="W622" s="1488"/>
      <c r="X622" s="1488"/>
      <c r="Y622" s="1488"/>
      <c r="Z622" s="1488"/>
      <c r="AA622" s="1488"/>
      <c r="AB622" s="1488"/>
      <c r="AC622" s="1488"/>
      <c r="AD622" s="1488"/>
      <c r="AE622" s="1488"/>
      <c r="AF622" s="1488"/>
      <c r="AG622" s="1488"/>
      <c r="AH622" s="1451">
        <f t="shared" si="350"/>
        <v>0</v>
      </c>
      <c r="AI622" s="1488"/>
      <c r="AJ622" s="1488"/>
      <c r="AK622" s="1488"/>
      <c r="AL622" s="1488"/>
      <c r="AM622" s="1488"/>
      <c r="AN622" s="1488"/>
      <c r="AO622" s="1488"/>
      <c r="AP622" s="1488"/>
      <c r="AQ622" s="1488"/>
      <c r="AR622" s="1488"/>
      <c r="AS622" s="1488"/>
      <c r="AT622" s="1542"/>
      <c r="AU622" s="1599">
        <f t="shared" si="351"/>
        <v>0</v>
      </c>
      <c r="AV622" s="1544">
        <f t="shared" si="379"/>
        <v>0</v>
      </c>
      <c r="AW622" s="1452">
        <f t="shared" si="352"/>
        <v>0</v>
      </c>
      <c r="AX622" s="1452">
        <f t="shared" si="353"/>
        <v>0</v>
      </c>
      <c r="AY622" s="1452">
        <f t="shared" si="354"/>
        <v>0</v>
      </c>
      <c r="AZ622" s="1452">
        <f t="shared" si="355"/>
        <v>0</v>
      </c>
      <c r="BA622" s="1452">
        <f t="shared" si="356"/>
        <v>0</v>
      </c>
      <c r="BB622" s="1452">
        <f t="shared" si="357"/>
        <v>0</v>
      </c>
      <c r="BC622" s="1452">
        <f t="shared" si="358"/>
        <v>0</v>
      </c>
      <c r="BD622" s="1452">
        <f t="shared" si="359"/>
        <v>0</v>
      </c>
      <c r="BE622" s="1452">
        <f t="shared" si="360"/>
        <v>0</v>
      </c>
      <c r="BF622" s="1452">
        <f t="shared" si="361"/>
        <v>0</v>
      </c>
      <c r="BG622" s="1452">
        <f t="shared" si="362"/>
        <v>0</v>
      </c>
      <c r="BH622" s="1452">
        <f t="shared" si="363"/>
        <v>0</v>
      </c>
      <c r="BI622" s="1452">
        <f t="shared" si="380"/>
        <v>0</v>
      </c>
      <c r="BJ622" s="1452" t="str">
        <f t="shared" si="364"/>
        <v/>
      </c>
      <c r="BK622" s="1452" t="str">
        <f t="shared" si="365"/>
        <v/>
      </c>
      <c r="BL622" s="1452" t="str">
        <f t="shared" si="366"/>
        <v/>
      </c>
      <c r="BM622" s="1452" t="str">
        <f t="shared" si="367"/>
        <v/>
      </c>
      <c r="BN622" s="1452" t="str">
        <f t="shared" ca="1" si="368"/>
        <v/>
      </c>
      <c r="BO622" s="1452" t="str">
        <f t="shared" si="381"/>
        <v/>
      </c>
      <c r="BP622" s="1452" t="str">
        <f t="shared" si="369"/>
        <v/>
      </c>
      <c r="BQ622" s="1452" t="str">
        <f t="shared" si="370"/>
        <v/>
      </c>
      <c r="BR622" s="1452" t="str">
        <f t="shared" si="371"/>
        <v/>
      </c>
      <c r="BS622" s="1452" t="str">
        <f t="shared" si="372"/>
        <v/>
      </c>
      <c r="BT622" s="1452" t="str">
        <f t="shared" si="373"/>
        <v/>
      </c>
      <c r="BU622" s="1452" t="str">
        <f t="shared" si="374"/>
        <v/>
      </c>
      <c r="BV622" s="1452" t="str">
        <f t="shared" si="375"/>
        <v/>
      </c>
      <c r="BW622" s="1558">
        <f t="shared" ca="1" si="382"/>
        <v>0</v>
      </c>
    </row>
    <row r="623" spans="1:75" s="9" customFormat="1" ht="12.5">
      <c r="A623" s="1483" t="str">
        <f t="shared" si="376"/>
        <v>Public Health Wales Trust</v>
      </c>
      <c r="B623" s="1583"/>
      <c r="C623" s="1583"/>
      <c r="D623" s="1583"/>
      <c r="E623" s="1585"/>
      <c r="F623" s="1436"/>
      <c r="G623" s="1547">
        <f t="shared" si="377"/>
        <v>0</v>
      </c>
      <c r="H623" s="1484"/>
      <c r="I623" s="1547">
        <f t="shared" si="378"/>
        <v>0</v>
      </c>
      <c r="J623" s="1485"/>
      <c r="K623" s="1485"/>
      <c r="L623" s="1436"/>
      <c r="M623" s="1439"/>
      <c r="N623" s="1439"/>
      <c r="O623" s="1485"/>
      <c r="P623" s="1486"/>
      <c r="Q623" s="1486"/>
      <c r="R623" s="1487"/>
      <c r="S623" s="1444"/>
      <c r="T623" s="1444"/>
      <c r="U623" s="1444"/>
      <c r="V623" s="1488"/>
      <c r="W623" s="1488"/>
      <c r="X623" s="1488"/>
      <c r="Y623" s="1488"/>
      <c r="Z623" s="1488"/>
      <c r="AA623" s="1488"/>
      <c r="AB623" s="1488"/>
      <c r="AC623" s="1488"/>
      <c r="AD623" s="1488"/>
      <c r="AE623" s="1488"/>
      <c r="AF623" s="1488"/>
      <c r="AG623" s="1488"/>
      <c r="AH623" s="1451">
        <f t="shared" si="350"/>
        <v>0</v>
      </c>
      <c r="AI623" s="1488"/>
      <c r="AJ623" s="1488"/>
      <c r="AK623" s="1488"/>
      <c r="AL623" s="1488"/>
      <c r="AM623" s="1488"/>
      <c r="AN623" s="1488"/>
      <c r="AO623" s="1488"/>
      <c r="AP623" s="1488"/>
      <c r="AQ623" s="1488"/>
      <c r="AR623" s="1488"/>
      <c r="AS623" s="1488"/>
      <c r="AT623" s="1542"/>
      <c r="AU623" s="1599">
        <f t="shared" si="351"/>
        <v>0</v>
      </c>
      <c r="AV623" s="1544">
        <f t="shared" si="379"/>
        <v>0</v>
      </c>
      <c r="AW623" s="1452">
        <f t="shared" si="352"/>
        <v>0</v>
      </c>
      <c r="AX623" s="1452">
        <f t="shared" si="353"/>
        <v>0</v>
      </c>
      <c r="AY623" s="1452">
        <f t="shared" si="354"/>
        <v>0</v>
      </c>
      <c r="AZ623" s="1452">
        <f t="shared" si="355"/>
        <v>0</v>
      </c>
      <c r="BA623" s="1452">
        <f t="shared" si="356"/>
        <v>0</v>
      </c>
      <c r="BB623" s="1452">
        <f t="shared" si="357"/>
        <v>0</v>
      </c>
      <c r="BC623" s="1452">
        <f t="shared" si="358"/>
        <v>0</v>
      </c>
      <c r="BD623" s="1452">
        <f t="shared" si="359"/>
        <v>0</v>
      </c>
      <c r="BE623" s="1452">
        <f t="shared" si="360"/>
        <v>0</v>
      </c>
      <c r="BF623" s="1452">
        <f t="shared" si="361"/>
        <v>0</v>
      </c>
      <c r="BG623" s="1452">
        <f t="shared" si="362"/>
        <v>0</v>
      </c>
      <c r="BH623" s="1452">
        <f t="shared" si="363"/>
        <v>0</v>
      </c>
      <c r="BI623" s="1452">
        <f t="shared" si="380"/>
        <v>0</v>
      </c>
      <c r="BJ623" s="1452" t="str">
        <f t="shared" si="364"/>
        <v/>
      </c>
      <c r="BK623" s="1452" t="str">
        <f t="shared" si="365"/>
        <v/>
      </c>
      <c r="BL623" s="1452" t="str">
        <f t="shared" si="366"/>
        <v/>
      </c>
      <c r="BM623" s="1452" t="str">
        <f t="shared" si="367"/>
        <v/>
      </c>
      <c r="BN623" s="1452" t="str">
        <f t="shared" ca="1" si="368"/>
        <v/>
      </c>
      <c r="BO623" s="1452" t="str">
        <f t="shared" si="381"/>
        <v/>
      </c>
      <c r="BP623" s="1452" t="str">
        <f t="shared" si="369"/>
        <v/>
      </c>
      <c r="BQ623" s="1452" t="str">
        <f t="shared" si="370"/>
        <v/>
      </c>
      <c r="BR623" s="1452" t="str">
        <f t="shared" si="371"/>
        <v/>
      </c>
      <c r="BS623" s="1452" t="str">
        <f t="shared" si="372"/>
        <v/>
      </c>
      <c r="BT623" s="1452" t="str">
        <f t="shared" si="373"/>
        <v/>
      </c>
      <c r="BU623" s="1452" t="str">
        <f t="shared" si="374"/>
        <v/>
      </c>
      <c r="BV623" s="1452" t="str">
        <f t="shared" si="375"/>
        <v/>
      </c>
      <c r="BW623" s="1558">
        <f t="shared" ca="1" si="382"/>
        <v>0</v>
      </c>
    </row>
    <row r="624" spans="1:75" s="9" customFormat="1" ht="12.5">
      <c r="A624" s="1483" t="str">
        <f t="shared" si="376"/>
        <v>Public Health Wales Trust</v>
      </c>
      <c r="B624" s="1583"/>
      <c r="C624" s="1583"/>
      <c r="D624" s="1583"/>
      <c r="E624" s="1585"/>
      <c r="F624" s="1436"/>
      <c r="G624" s="1547">
        <f t="shared" si="377"/>
        <v>0</v>
      </c>
      <c r="H624" s="1484"/>
      <c r="I624" s="1547">
        <f t="shared" si="378"/>
        <v>0</v>
      </c>
      <c r="J624" s="1485"/>
      <c r="K624" s="1485"/>
      <c r="L624" s="1436"/>
      <c r="M624" s="1439"/>
      <c r="N624" s="1439"/>
      <c r="O624" s="1485"/>
      <c r="P624" s="1486"/>
      <c r="Q624" s="1486"/>
      <c r="R624" s="1487"/>
      <c r="S624" s="1444"/>
      <c r="T624" s="1444"/>
      <c r="U624" s="1444"/>
      <c r="V624" s="1488"/>
      <c r="W624" s="1488"/>
      <c r="X624" s="1488"/>
      <c r="Y624" s="1488"/>
      <c r="Z624" s="1488"/>
      <c r="AA624" s="1488"/>
      <c r="AB624" s="1488"/>
      <c r="AC624" s="1488"/>
      <c r="AD624" s="1488"/>
      <c r="AE624" s="1488"/>
      <c r="AF624" s="1488"/>
      <c r="AG624" s="1488"/>
      <c r="AH624" s="1451">
        <f t="shared" si="350"/>
        <v>0</v>
      </c>
      <c r="AI624" s="1488"/>
      <c r="AJ624" s="1488"/>
      <c r="AK624" s="1488"/>
      <c r="AL624" s="1488"/>
      <c r="AM624" s="1488"/>
      <c r="AN624" s="1488"/>
      <c r="AO624" s="1488"/>
      <c r="AP624" s="1488"/>
      <c r="AQ624" s="1488"/>
      <c r="AR624" s="1488"/>
      <c r="AS624" s="1488"/>
      <c r="AT624" s="1542"/>
      <c r="AU624" s="1599">
        <f t="shared" si="351"/>
        <v>0</v>
      </c>
      <c r="AV624" s="1544">
        <f t="shared" si="379"/>
        <v>0</v>
      </c>
      <c r="AW624" s="1452">
        <f t="shared" si="352"/>
        <v>0</v>
      </c>
      <c r="AX624" s="1452">
        <f t="shared" si="353"/>
        <v>0</v>
      </c>
      <c r="AY624" s="1452">
        <f t="shared" si="354"/>
        <v>0</v>
      </c>
      <c r="AZ624" s="1452">
        <f t="shared" si="355"/>
        <v>0</v>
      </c>
      <c r="BA624" s="1452">
        <f t="shared" si="356"/>
        <v>0</v>
      </c>
      <c r="BB624" s="1452">
        <f t="shared" si="357"/>
        <v>0</v>
      </c>
      <c r="BC624" s="1452">
        <f t="shared" si="358"/>
        <v>0</v>
      </c>
      <c r="BD624" s="1452">
        <f t="shared" si="359"/>
        <v>0</v>
      </c>
      <c r="BE624" s="1452">
        <f t="shared" si="360"/>
        <v>0</v>
      </c>
      <c r="BF624" s="1452">
        <f t="shared" si="361"/>
        <v>0</v>
      </c>
      <c r="BG624" s="1452">
        <f t="shared" si="362"/>
        <v>0</v>
      </c>
      <c r="BH624" s="1452">
        <f t="shared" si="363"/>
        <v>0</v>
      </c>
      <c r="BI624" s="1452">
        <f t="shared" si="380"/>
        <v>0</v>
      </c>
      <c r="BJ624" s="1452" t="str">
        <f t="shared" si="364"/>
        <v/>
      </c>
      <c r="BK624" s="1452" t="str">
        <f t="shared" si="365"/>
        <v/>
      </c>
      <c r="BL624" s="1452" t="str">
        <f t="shared" si="366"/>
        <v/>
      </c>
      <c r="BM624" s="1452" t="str">
        <f t="shared" si="367"/>
        <v/>
      </c>
      <c r="BN624" s="1452" t="str">
        <f t="shared" ca="1" si="368"/>
        <v/>
      </c>
      <c r="BO624" s="1452" t="str">
        <f t="shared" si="381"/>
        <v/>
      </c>
      <c r="BP624" s="1452" t="str">
        <f t="shared" si="369"/>
        <v/>
      </c>
      <c r="BQ624" s="1452" t="str">
        <f t="shared" si="370"/>
        <v/>
      </c>
      <c r="BR624" s="1452" t="str">
        <f t="shared" si="371"/>
        <v/>
      </c>
      <c r="BS624" s="1452" t="str">
        <f t="shared" si="372"/>
        <v/>
      </c>
      <c r="BT624" s="1452" t="str">
        <f t="shared" si="373"/>
        <v/>
      </c>
      <c r="BU624" s="1452" t="str">
        <f t="shared" si="374"/>
        <v/>
      </c>
      <c r="BV624" s="1452" t="str">
        <f t="shared" si="375"/>
        <v/>
      </c>
      <c r="BW624" s="1558">
        <f t="shared" ca="1" si="382"/>
        <v>0</v>
      </c>
    </row>
    <row r="625" spans="1:75" s="9" customFormat="1" ht="12.5">
      <c r="A625" s="1483" t="str">
        <f t="shared" si="376"/>
        <v>Public Health Wales Trust</v>
      </c>
      <c r="B625" s="1583"/>
      <c r="C625" s="1583"/>
      <c r="D625" s="1583"/>
      <c r="E625" s="1585"/>
      <c r="F625" s="1436"/>
      <c r="G625" s="1547">
        <f t="shared" si="377"/>
        <v>0</v>
      </c>
      <c r="H625" s="1484"/>
      <c r="I625" s="1547">
        <f t="shared" si="378"/>
        <v>0</v>
      </c>
      <c r="J625" s="1485"/>
      <c r="K625" s="1485"/>
      <c r="L625" s="1436"/>
      <c r="M625" s="1439"/>
      <c r="N625" s="1439"/>
      <c r="O625" s="1485"/>
      <c r="P625" s="1486"/>
      <c r="Q625" s="1486"/>
      <c r="R625" s="1487"/>
      <c r="S625" s="1444"/>
      <c r="T625" s="1444"/>
      <c r="U625" s="1444"/>
      <c r="V625" s="1488"/>
      <c r="W625" s="1488"/>
      <c r="X625" s="1488"/>
      <c r="Y625" s="1488"/>
      <c r="Z625" s="1488"/>
      <c r="AA625" s="1488"/>
      <c r="AB625" s="1488"/>
      <c r="AC625" s="1488"/>
      <c r="AD625" s="1488"/>
      <c r="AE625" s="1488"/>
      <c r="AF625" s="1488"/>
      <c r="AG625" s="1488"/>
      <c r="AH625" s="1451">
        <f t="shared" si="350"/>
        <v>0</v>
      </c>
      <c r="AI625" s="1488"/>
      <c r="AJ625" s="1488"/>
      <c r="AK625" s="1488"/>
      <c r="AL625" s="1488"/>
      <c r="AM625" s="1488"/>
      <c r="AN625" s="1488"/>
      <c r="AO625" s="1488"/>
      <c r="AP625" s="1488"/>
      <c r="AQ625" s="1488"/>
      <c r="AR625" s="1488"/>
      <c r="AS625" s="1488"/>
      <c r="AT625" s="1542"/>
      <c r="AU625" s="1599">
        <f t="shared" si="351"/>
        <v>0</v>
      </c>
      <c r="AV625" s="1544">
        <f t="shared" si="379"/>
        <v>0</v>
      </c>
      <c r="AW625" s="1452">
        <f t="shared" si="352"/>
        <v>0</v>
      </c>
      <c r="AX625" s="1452">
        <f t="shared" si="353"/>
        <v>0</v>
      </c>
      <c r="AY625" s="1452">
        <f t="shared" si="354"/>
        <v>0</v>
      </c>
      <c r="AZ625" s="1452">
        <f t="shared" si="355"/>
        <v>0</v>
      </c>
      <c r="BA625" s="1452">
        <f t="shared" si="356"/>
        <v>0</v>
      </c>
      <c r="BB625" s="1452">
        <f t="shared" si="357"/>
        <v>0</v>
      </c>
      <c r="BC625" s="1452">
        <f t="shared" si="358"/>
        <v>0</v>
      </c>
      <c r="BD625" s="1452">
        <f t="shared" si="359"/>
        <v>0</v>
      </c>
      <c r="BE625" s="1452">
        <f t="shared" si="360"/>
        <v>0</v>
      </c>
      <c r="BF625" s="1452">
        <f t="shared" si="361"/>
        <v>0</v>
      </c>
      <c r="BG625" s="1452">
        <f t="shared" si="362"/>
        <v>0</v>
      </c>
      <c r="BH625" s="1452">
        <f t="shared" si="363"/>
        <v>0</v>
      </c>
      <c r="BI625" s="1452">
        <f t="shared" si="380"/>
        <v>0</v>
      </c>
      <c r="BJ625" s="1452" t="str">
        <f t="shared" si="364"/>
        <v/>
      </c>
      <c r="BK625" s="1452" t="str">
        <f t="shared" si="365"/>
        <v/>
      </c>
      <c r="BL625" s="1452" t="str">
        <f t="shared" si="366"/>
        <v/>
      </c>
      <c r="BM625" s="1452" t="str">
        <f t="shared" si="367"/>
        <v/>
      </c>
      <c r="BN625" s="1452" t="str">
        <f t="shared" ca="1" si="368"/>
        <v/>
      </c>
      <c r="BO625" s="1452" t="str">
        <f t="shared" si="381"/>
        <v/>
      </c>
      <c r="BP625" s="1452" t="str">
        <f t="shared" si="369"/>
        <v/>
      </c>
      <c r="BQ625" s="1452" t="str">
        <f t="shared" si="370"/>
        <v/>
      </c>
      <c r="BR625" s="1452" t="str">
        <f t="shared" si="371"/>
        <v/>
      </c>
      <c r="BS625" s="1452" t="str">
        <f t="shared" si="372"/>
        <v/>
      </c>
      <c r="BT625" s="1452" t="str">
        <f t="shared" si="373"/>
        <v/>
      </c>
      <c r="BU625" s="1452" t="str">
        <f t="shared" si="374"/>
        <v/>
      </c>
      <c r="BV625" s="1452" t="str">
        <f t="shared" si="375"/>
        <v/>
      </c>
      <c r="BW625" s="1558">
        <f t="shared" ca="1" si="382"/>
        <v>0</v>
      </c>
    </row>
    <row r="626" spans="1:75" s="9" customFormat="1" ht="12.5">
      <c r="A626" s="1483" t="str">
        <f t="shared" si="376"/>
        <v>Public Health Wales Trust</v>
      </c>
      <c r="B626" s="1583"/>
      <c r="C626" s="1583"/>
      <c r="D626" s="1583"/>
      <c r="E626" s="1585"/>
      <c r="F626" s="1436"/>
      <c r="G626" s="1547">
        <f t="shared" si="377"/>
        <v>0</v>
      </c>
      <c r="H626" s="1484"/>
      <c r="I626" s="1547">
        <f t="shared" si="378"/>
        <v>0</v>
      </c>
      <c r="J626" s="1485"/>
      <c r="K626" s="1485"/>
      <c r="L626" s="1436"/>
      <c r="M626" s="1439"/>
      <c r="N626" s="1439"/>
      <c r="O626" s="1485"/>
      <c r="P626" s="1486"/>
      <c r="Q626" s="1486"/>
      <c r="R626" s="1487"/>
      <c r="S626" s="1444"/>
      <c r="T626" s="1444"/>
      <c r="U626" s="1444"/>
      <c r="V626" s="1488"/>
      <c r="W626" s="1488"/>
      <c r="X626" s="1488"/>
      <c r="Y626" s="1488"/>
      <c r="Z626" s="1488"/>
      <c r="AA626" s="1488"/>
      <c r="AB626" s="1488"/>
      <c r="AC626" s="1488"/>
      <c r="AD626" s="1488"/>
      <c r="AE626" s="1488"/>
      <c r="AF626" s="1488"/>
      <c r="AG626" s="1488"/>
      <c r="AH626" s="1451">
        <f t="shared" si="350"/>
        <v>0</v>
      </c>
      <c r="AI626" s="1488"/>
      <c r="AJ626" s="1488"/>
      <c r="AK626" s="1488"/>
      <c r="AL626" s="1488"/>
      <c r="AM626" s="1488"/>
      <c r="AN626" s="1488"/>
      <c r="AO626" s="1488"/>
      <c r="AP626" s="1488"/>
      <c r="AQ626" s="1488"/>
      <c r="AR626" s="1488"/>
      <c r="AS626" s="1488"/>
      <c r="AT626" s="1542"/>
      <c r="AU626" s="1599">
        <f t="shared" si="351"/>
        <v>0</v>
      </c>
      <c r="AV626" s="1544">
        <f t="shared" si="379"/>
        <v>0</v>
      </c>
      <c r="AW626" s="1452">
        <f t="shared" si="352"/>
        <v>0</v>
      </c>
      <c r="AX626" s="1452">
        <f t="shared" si="353"/>
        <v>0</v>
      </c>
      <c r="AY626" s="1452">
        <f t="shared" si="354"/>
        <v>0</v>
      </c>
      <c r="AZ626" s="1452">
        <f t="shared" si="355"/>
        <v>0</v>
      </c>
      <c r="BA626" s="1452">
        <f t="shared" si="356"/>
        <v>0</v>
      </c>
      <c r="BB626" s="1452">
        <f t="shared" si="357"/>
        <v>0</v>
      </c>
      <c r="BC626" s="1452">
        <f t="shared" si="358"/>
        <v>0</v>
      </c>
      <c r="BD626" s="1452">
        <f t="shared" si="359"/>
        <v>0</v>
      </c>
      <c r="BE626" s="1452">
        <f t="shared" si="360"/>
        <v>0</v>
      </c>
      <c r="BF626" s="1452">
        <f t="shared" si="361"/>
        <v>0</v>
      </c>
      <c r="BG626" s="1452">
        <f t="shared" si="362"/>
        <v>0</v>
      </c>
      <c r="BH626" s="1452">
        <f t="shared" si="363"/>
        <v>0</v>
      </c>
      <c r="BI626" s="1452">
        <f t="shared" si="380"/>
        <v>0</v>
      </c>
      <c r="BJ626" s="1452" t="str">
        <f t="shared" si="364"/>
        <v/>
      </c>
      <c r="BK626" s="1452" t="str">
        <f t="shared" si="365"/>
        <v/>
      </c>
      <c r="BL626" s="1452" t="str">
        <f t="shared" si="366"/>
        <v/>
      </c>
      <c r="BM626" s="1452" t="str">
        <f t="shared" si="367"/>
        <v/>
      </c>
      <c r="BN626" s="1452" t="str">
        <f t="shared" ca="1" si="368"/>
        <v/>
      </c>
      <c r="BO626" s="1452" t="str">
        <f t="shared" si="381"/>
        <v/>
      </c>
      <c r="BP626" s="1452" t="str">
        <f t="shared" si="369"/>
        <v/>
      </c>
      <c r="BQ626" s="1452" t="str">
        <f t="shared" si="370"/>
        <v/>
      </c>
      <c r="BR626" s="1452" t="str">
        <f t="shared" si="371"/>
        <v/>
      </c>
      <c r="BS626" s="1452" t="str">
        <f t="shared" si="372"/>
        <v/>
      </c>
      <c r="BT626" s="1452" t="str">
        <f t="shared" si="373"/>
        <v/>
      </c>
      <c r="BU626" s="1452" t="str">
        <f t="shared" si="374"/>
        <v/>
      </c>
      <c r="BV626" s="1452" t="str">
        <f t="shared" si="375"/>
        <v/>
      </c>
      <c r="BW626" s="1558">
        <f t="shared" ca="1" si="382"/>
        <v>0</v>
      </c>
    </row>
    <row r="627" spans="1:75" s="9" customFormat="1" ht="12.5">
      <c r="A627" s="1483" t="str">
        <f t="shared" si="376"/>
        <v>Public Health Wales Trust</v>
      </c>
      <c r="B627" s="1583"/>
      <c r="C627" s="1583"/>
      <c r="D627" s="1583"/>
      <c r="E627" s="1585"/>
      <c r="F627" s="1436"/>
      <c r="G627" s="1547">
        <f t="shared" si="377"/>
        <v>0</v>
      </c>
      <c r="H627" s="1484"/>
      <c r="I627" s="1547">
        <f t="shared" si="378"/>
        <v>0</v>
      </c>
      <c r="J627" s="1485"/>
      <c r="K627" s="1485"/>
      <c r="L627" s="1436"/>
      <c r="M627" s="1439"/>
      <c r="N627" s="1439"/>
      <c r="O627" s="1485"/>
      <c r="P627" s="1486"/>
      <c r="Q627" s="1486"/>
      <c r="R627" s="1487"/>
      <c r="S627" s="1444"/>
      <c r="T627" s="1444"/>
      <c r="U627" s="1444"/>
      <c r="V627" s="1488"/>
      <c r="W627" s="1488"/>
      <c r="X627" s="1488"/>
      <c r="Y627" s="1488"/>
      <c r="Z627" s="1488"/>
      <c r="AA627" s="1488"/>
      <c r="AB627" s="1488"/>
      <c r="AC627" s="1488"/>
      <c r="AD627" s="1488"/>
      <c r="AE627" s="1488"/>
      <c r="AF627" s="1488"/>
      <c r="AG627" s="1488"/>
      <c r="AH627" s="1451">
        <f t="shared" si="350"/>
        <v>0</v>
      </c>
      <c r="AI627" s="1488"/>
      <c r="AJ627" s="1488"/>
      <c r="AK627" s="1488"/>
      <c r="AL627" s="1488"/>
      <c r="AM627" s="1488"/>
      <c r="AN627" s="1488"/>
      <c r="AO627" s="1488"/>
      <c r="AP627" s="1488"/>
      <c r="AQ627" s="1488"/>
      <c r="AR627" s="1488"/>
      <c r="AS627" s="1488"/>
      <c r="AT627" s="1542"/>
      <c r="AU627" s="1599">
        <f t="shared" si="351"/>
        <v>0</v>
      </c>
      <c r="AV627" s="1544">
        <f t="shared" si="379"/>
        <v>0</v>
      </c>
      <c r="AW627" s="1452">
        <f t="shared" si="352"/>
        <v>0</v>
      </c>
      <c r="AX627" s="1452">
        <f t="shared" si="353"/>
        <v>0</v>
      </c>
      <c r="AY627" s="1452">
        <f t="shared" si="354"/>
        <v>0</v>
      </c>
      <c r="AZ627" s="1452">
        <f t="shared" si="355"/>
        <v>0</v>
      </c>
      <c r="BA627" s="1452">
        <f t="shared" si="356"/>
        <v>0</v>
      </c>
      <c r="BB627" s="1452">
        <f t="shared" si="357"/>
        <v>0</v>
      </c>
      <c r="BC627" s="1452">
        <f t="shared" si="358"/>
        <v>0</v>
      </c>
      <c r="BD627" s="1452">
        <f t="shared" si="359"/>
        <v>0</v>
      </c>
      <c r="BE627" s="1452">
        <f t="shared" si="360"/>
        <v>0</v>
      </c>
      <c r="BF627" s="1452">
        <f t="shared" si="361"/>
        <v>0</v>
      </c>
      <c r="BG627" s="1452">
        <f t="shared" si="362"/>
        <v>0</v>
      </c>
      <c r="BH627" s="1452">
        <f t="shared" si="363"/>
        <v>0</v>
      </c>
      <c r="BI627" s="1452">
        <f t="shared" si="380"/>
        <v>0</v>
      </c>
      <c r="BJ627" s="1452" t="str">
        <f t="shared" si="364"/>
        <v/>
      </c>
      <c r="BK627" s="1452" t="str">
        <f t="shared" si="365"/>
        <v/>
      </c>
      <c r="BL627" s="1452" t="str">
        <f t="shared" si="366"/>
        <v/>
      </c>
      <c r="BM627" s="1452" t="str">
        <f t="shared" si="367"/>
        <v/>
      </c>
      <c r="BN627" s="1452" t="str">
        <f t="shared" ca="1" si="368"/>
        <v/>
      </c>
      <c r="BO627" s="1452" t="str">
        <f t="shared" si="381"/>
        <v/>
      </c>
      <c r="BP627" s="1452" t="str">
        <f t="shared" si="369"/>
        <v/>
      </c>
      <c r="BQ627" s="1452" t="str">
        <f t="shared" si="370"/>
        <v/>
      </c>
      <c r="BR627" s="1452" t="str">
        <f t="shared" si="371"/>
        <v/>
      </c>
      <c r="BS627" s="1452" t="str">
        <f t="shared" si="372"/>
        <v/>
      </c>
      <c r="BT627" s="1452" t="str">
        <f t="shared" si="373"/>
        <v/>
      </c>
      <c r="BU627" s="1452" t="str">
        <f t="shared" si="374"/>
        <v/>
      </c>
      <c r="BV627" s="1452" t="str">
        <f t="shared" si="375"/>
        <v/>
      </c>
      <c r="BW627" s="1558">
        <f t="shared" ca="1" si="382"/>
        <v>0</v>
      </c>
    </row>
    <row r="628" spans="1:75" s="9" customFormat="1" ht="12.5">
      <c r="A628" s="1483" t="str">
        <f t="shared" si="376"/>
        <v>Public Health Wales Trust</v>
      </c>
      <c r="B628" s="1583"/>
      <c r="C628" s="1583"/>
      <c r="D628" s="1583"/>
      <c r="E628" s="1585"/>
      <c r="F628" s="1436"/>
      <c r="G628" s="1547">
        <f t="shared" si="377"/>
        <v>0</v>
      </c>
      <c r="H628" s="1484"/>
      <c r="I628" s="1547">
        <f t="shared" si="378"/>
        <v>0</v>
      </c>
      <c r="J628" s="1485"/>
      <c r="K628" s="1485"/>
      <c r="L628" s="1436"/>
      <c r="M628" s="1439"/>
      <c r="N628" s="1439"/>
      <c r="O628" s="1485"/>
      <c r="P628" s="1486"/>
      <c r="Q628" s="1486"/>
      <c r="R628" s="1487"/>
      <c r="S628" s="1444"/>
      <c r="T628" s="1444"/>
      <c r="U628" s="1444"/>
      <c r="V628" s="1488"/>
      <c r="W628" s="1488"/>
      <c r="X628" s="1488"/>
      <c r="Y628" s="1488"/>
      <c r="Z628" s="1488"/>
      <c r="AA628" s="1488"/>
      <c r="AB628" s="1488"/>
      <c r="AC628" s="1488"/>
      <c r="AD628" s="1488"/>
      <c r="AE628" s="1488"/>
      <c r="AF628" s="1488"/>
      <c r="AG628" s="1488"/>
      <c r="AH628" s="1451">
        <f t="shared" si="350"/>
        <v>0</v>
      </c>
      <c r="AI628" s="1488"/>
      <c r="AJ628" s="1488"/>
      <c r="AK628" s="1488"/>
      <c r="AL628" s="1488"/>
      <c r="AM628" s="1488"/>
      <c r="AN628" s="1488"/>
      <c r="AO628" s="1488"/>
      <c r="AP628" s="1488"/>
      <c r="AQ628" s="1488"/>
      <c r="AR628" s="1488"/>
      <c r="AS628" s="1488"/>
      <c r="AT628" s="1542"/>
      <c r="AU628" s="1599">
        <f t="shared" si="351"/>
        <v>0</v>
      </c>
      <c r="AV628" s="1544">
        <f t="shared" si="379"/>
        <v>0</v>
      </c>
      <c r="AW628" s="1452">
        <f t="shared" si="352"/>
        <v>0</v>
      </c>
      <c r="AX628" s="1452">
        <f t="shared" si="353"/>
        <v>0</v>
      </c>
      <c r="AY628" s="1452">
        <f t="shared" si="354"/>
        <v>0</v>
      </c>
      <c r="AZ628" s="1452">
        <f t="shared" si="355"/>
        <v>0</v>
      </c>
      <c r="BA628" s="1452">
        <f t="shared" si="356"/>
        <v>0</v>
      </c>
      <c r="BB628" s="1452">
        <f t="shared" si="357"/>
        <v>0</v>
      </c>
      <c r="BC628" s="1452">
        <f t="shared" si="358"/>
        <v>0</v>
      </c>
      <c r="BD628" s="1452">
        <f t="shared" si="359"/>
        <v>0</v>
      </c>
      <c r="BE628" s="1452">
        <f t="shared" si="360"/>
        <v>0</v>
      </c>
      <c r="BF628" s="1452">
        <f t="shared" si="361"/>
        <v>0</v>
      </c>
      <c r="BG628" s="1452">
        <f t="shared" si="362"/>
        <v>0</v>
      </c>
      <c r="BH628" s="1452">
        <f t="shared" si="363"/>
        <v>0</v>
      </c>
      <c r="BI628" s="1452">
        <f t="shared" si="380"/>
        <v>0</v>
      </c>
      <c r="BJ628" s="1452" t="str">
        <f t="shared" si="364"/>
        <v/>
      </c>
      <c r="BK628" s="1452" t="str">
        <f t="shared" si="365"/>
        <v/>
      </c>
      <c r="BL628" s="1452" t="str">
        <f t="shared" si="366"/>
        <v/>
      </c>
      <c r="BM628" s="1452" t="str">
        <f t="shared" si="367"/>
        <v/>
      </c>
      <c r="BN628" s="1452" t="str">
        <f t="shared" ca="1" si="368"/>
        <v/>
      </c>
      <c r="BO628" s="1452" t="str">
        <f t="shared" si="381"/>
        <v/>
      </c>
      <c r="BP628" s="1452" t="str">
        <f t="shared" si="369"/>
        <v/>
      </c>
      <c r="BQ628" s="1452" t="str">
        <f t="shared" si="370"/>
        <v/>
      </c>
      <c r="BR628" s="1452" t="str">
        <f t="shared" si="371"/>
        <v/>
      </c>
      <c r="BS628" s="1452" t="str">
        <f t="shared" si="372"/>
        <v/>
      </c>
      <c r="BT628" s="1452" t="str">
        <f t="shared" si="373"/>
        <v/>
      </c>
      <c r="BU628" s="1452" t="str">
        <f t="shared" si="374"/>
        <v/>
      </c>
      <c r="BV628" s="1452" t="str">
        <f t="shared" si="375"/>
        <v/>
      </c>
      <c r="BW628" s="1558">
        <f t="shared" ca="1" si="382"/>
        <v>0</v>
      </c>
    </row>
    <row r="629" spans="1:75" s="9" customFormat="1" ht="12.5">
      <c r="A629" s="1483" t="str">
        <f t="shared" si="376"/>
        <v>Public Health Wales Trust</v>
      </c>
      <c r="B629" s="1583"/>
      <c r="C629" s="1583"/>
      <c r="D629" s="1583"/>
      <c r="E629" s="1585"/>
      <c r="F629" s="1436"/>
      <c r="G629" s="1547">
        <f t="shared" si="377"/>
        <v>0</v>
      </c>
      <c r="H629" s="1484"/>
      <c r="I629" s="1547">
        <f t="shared" si="378"/>
        <v>0</v>
      </c>
      <c r="J629" s="1485"/>
      <c r="K629" s="1485"/>
      <c r="L629" s="1436"/>
      <c r="M629" s="1439"/>
      <c r="N629" s="1439"/>
      <c r="O629" s="1485"/>
      <c r="P629" s="1486"/>
      <c r="Q629" s="1486"/>
      <c r="R629" s="1487"/>
      <c r="S629" s="1444"/>
      <c r="T629" s="1444"/>
      <c r="U629" s="1444"/>
      <c r="V629" s="1488"/>
      <c r="W629" s="1488"/>
      <c r="X629" s="1488"/>
      <c r="Y629" s="1488"/>
      <c r="Z629" s="1488"/>
      <c r="AA629" s="1488"/>
      <c r="AB629" s="1488"/>
      <c r="AC629" s="1488"/>
      <c r="AD629" s="1488"/>
      <c r="AE629" s="1488"/>
      <c r="AF629" s="1488"/>
      <c r="AG629" s="1488"/>
      <c r="AH629" s="1451">
        <f t="shared" si="350"/>
        <v>0</v>
      </c>
      <c r="AI629" s="1488"/>
      <c r="AJ629" s="1488"/>
      <c r="AK629" s="1488"/>
      <c r="AL629" s="1488"/>
      <c r="AM629" s="1488"/>
      <c r="AN629" s="1488"/>
      <c r="AO629" s="1488"/>
      <c r="AP629" s="1488"/>
      <c r="AQ629" s="1488"/>
      <c r="AR629" s="1488"/>
      <c r="AS629" s="1488"/>
      <c r="AT629" s="1542"/>
      <c r="AU629" s="1599">
        <f t="shared" si="351"/>
        <v>0</v>
      </c>
      <c r="AV629" s="1544">
        <f t="shared" si="379"/>
        <v>0</v>
      </c>
      <c r="AW629" s="1452">
        <f t="shared" si="352"/>
        <v>0</v>
      </c>
      <c r="AX629" s="1452">
        <f t="shared" si="353"/>
        <v>0</v>
      </c>
      <c r="AY629" s="1452">
        <f t="shared" si="354"/>
        <v>0</v>
      </c>
      <c r="AZ629" s="1452">
        <f t="shared" si="355"/>
        <v>0</v>
      </c>
      <c r="BA629" s="1452">
        <f t="shared" si="356"/>
        <v>0</v>
      </c>
      <c r="BB629" s="1452">
        <f t="shared" si="357"/>
        <v>0</v>
      </c>
      <c r="BC629" s="1452">
        <f t="shared" si="358"/>
        <v>0</v>
      </c>
      <c r="BD629" s="1452">
        <f t="shared" si="359"/>
        <v>0</v>
      </c>
      <c r="BE629" s="1452">
        <f t="shared" si="360"/>
        <v>0</v>
      </c>
      <c r="BF629" s="1452">
        <f t="shared" si="361"/>
        <v>0</v>
      </c>
      <c r="BG629" s="1452">
        <f t="shared" si="362"/>
        <v>0</v>
      </c>
      <c r="BH629" s="1452">
        <f t="shared" si="363"/>
        <v>0</v>
      </c>
      <c r="BI629" s="1452">
        <f t="shared" si="380"/>
        <v>0</v>
      </c>
      <c r="BJ629" s="1452" t="str">
        <f t="shared" si="364"/>
        <v/>
      </c>
      <c r="BK629" s="1452" t="str">
        <f t="shared" si="365"/>
        <v/>
      </c>
      <c r="BL629" s="1452" t="str">
        <f t="shared" si="366"/>
        <v/>
      </c>
      <c r="BM629" s="1452" t="str">
        <f t="shared" si="367"/>
        <v/>
      </c>
      <c r="BN629" s="1452" t="str">
        <f t="shared" ca="1" si="368"/>
        <v/>
      </c>
      <c r="BO629" s="1452" t="str">
        <f t="shared" si="381"/>
        <v/>
      </c>
      <c r="BP629" s="1452" t="str">
        <f t="shared" si="369"/>
        <v/>
      </c>
      <c r="BQ629" s="1452" t="str">
        <f t="shared" si="370"/>
        <v/>
      </c>
      <c r="BR629" s="1452" t="str">
        <f t="shared" si="371"/>
        <v/>
      </c>
      <c r="BS629" s="1452" t="str">
        <f t="shared" si="372"/>
        <v/>
      </c>
      <c r="BT629" s="1452" t="str">
        <f t="shared" si="373"/>
        <v/>
      </c>
      <c r="BU629" s="1452" t="str">
        <f t="shared" si="374"/>
        <v/>
      </c>
      <c r="BV629" s="1452" t="str">
        <f t="shared" si="375"/>
        <v/>
      </c>
      <c r="BW629" s="1558">
        <f t="shared" ca="1" si="382"/>
        <v>0</v>
      </c>
    </row>
    <row r="630" spans="1:75" s="9" customFormat="1" ht="12.5">
      <c r="A630" s="1483" t="str">
        <f t="shared" si="376"/>
        <v>Public Health Wales Trust</v>
      </c>
      <c r="B630" s="1583"/>
      <c r="C630" s="1583"/>
      <c r="D630" s="1583"/>
      <c r="E630" s="1585"/>
      <c r="F630" s="1436"/>
      <c r="G630" s="1547">
        <f t="shared" si="377"/>
        <v>0</v>
      </c>
      <c r="H630" s="1484"/>
      <c r="I630" s="1547">
        <f t="shared" si="378"/>
        <v>0</v>
      </c>
      <c r="J630" s="1485"/>
      <c r="K630" s="1485"/>
      <c r="L630" s="1436"/>
      <c r="M630" s="1439"/>
      <c r="N630" s="1439"/>
      <c r="O630" s="1485"/>
      <c r="P630" s="1486"/>
      <c r="Q630" s="1486"/>
      <c r="R630" s="1487"/>
      <c r="S630" s="1444"/>
      <c r="T630" s="1444"/>
      <c r="U630" s="1444"/>
      <c r="V630" s="1488"/>
      <c r="W630" s="1488"/>
      <c r="X630" s="1488"/>
      <c r="Y630" s="1488"/>
      <c r="Z630" s="1488"/>
      <c r="AA630" s="1488"/>
      <c r="AB630" s="1488"/>
      <c r="AC630" s="1488"/>
      <c r="AD630" s="1488"/>
      <c r="AE630" s="1488"/>
      <c r="AF630" s="1488"/>
      <c r="AG630" s="1488"/>
      <c r="AH630" s="1451">
        <f t="shared" si="350"/>
        <v>0</v>
      </c>
      <c r="AI630" s="1488"/>
      <c r="AJ630" s="1488"/>
      <c r="AK630" s="1488"/>
      <c r="AL630" s="1488"/>
      <c r="AM630" s="1488"/>
      <c r="AN630" s="1488"/>
      <c r="AO630" s="1488"/>
      <c r="AP630" s="1488"/>
      <c r="AQ630" s="1488"/>
      <c r="AR630" s="1488"/>
      <c r="AS630" s="1488"/>
      <c r="AT630" s="1542"/>
      <c r="AU630" s="1599">
        <f t="shared" si="351"/>
        <v>0</v>
      </c>
      <c r="AV630" s="1544">
        <f t="shared" si="379"/>
        <v>0</v>
      </c>
      <c r="AW630" s="1452">
        <f t="shared" si="352"/>
        <v>0</v>
      </c>
      <c r="AX630" s="1452">
        <f t="shared" si="353"/>
        <v>0</v>
      </c>
      <c r="AY630" s="1452">
        <f t="shared" si="354"/>
        <v>0</v>
      </c>
      <c r="AZ630" s="1452">
        <f t="shared" si="355"/>
        <v>0</v>
      </c>
      <c r="BA630" s="1452">
        <f t="shared" si="356"/>
        <v>0</v>
      </c>
      <c r="BB630" s="1452">
        <f t="shared" si="357"/>
        <v>0</v>
      </c>
      <c r="BC630" s="1452">
        <f t="shared" si="358"/>
        <v>0</v>
      </c>
      <c r="BD630" s="1452">
        <f t="shared" si="359"/>
        <v>0</v>
      </c>
      <c r="BE630" s="1452">
        <f t="shared" si="360"/>
        <v>0</v>
      </c>
      <c r="BF630" s="1452">
        <f t="shared" si="361"/>
        <v>0</v>
      </c>
      <c r="BG630" s="1452">
        <f t="shared" si="362"/>
        <v>0</v>
      </c>
      <c r="BH630" s="1452">
        <f t="shared" si="363"/>
        <v>0</v>
      </c>
      <c r="BI630" s="1452">
        <f t="shared" si="380"/>
        <v>0</v>
      </c>
      <c r="BJ630" s="1452" t="str">
        <f t="shared" si="364"/>
        <v/>
      </c>
      <c r="BK630" s="1452" t="str">
        <f t="shared" si="365"/>
        <v/>
      </c>
      <c r="BL630" s="1452" t="str">
        <f t="shared" si="366"/>
        <v/>
      </c>
      <c r="BM630" s="1452" t="str">
        <f t="shared" si="367"/>
        <v/>
      </c>
      <c r="BN630" s="1452" t="str">
        <f t="shared" ca="1" si="368"/>
        <v/>
      </c>
      <c r="BO630" s="1452" t="str">
        <f t="shared" si="381"/>
        <v/>
      </c>
      <c r="BP630" s="1452" t="str">
        <f t="shared" si="369"/>
        <v/>
      </c>
      <c r="BQ630" s="1452" t="str">
        <f t="shared" si="370"/>
        <v/>
      </c>
      <c r="BR630" s="1452" t="str">
        <f t="shared" si="371"/>
        <v/>
      </c>
      <c r="BS630" s="1452" t="str">
        <f t="shared" si="372"/>
        <v/>
      </c>
      <c r="BT630" s="1452" t="str">
        <f t="shared" si="373"/>
        <v/>
      </c>
      <c r="BU630" s="1452" t="str">
        <f t="shared" si="374"/>
        <v/>
      </c>
      <c r="BV630" s="1452" t="str">
        <f t="shared" si="375"/>
        <v/>
      </c>
      <c r="BW630" s="1558">
        <f t="shared" ca="1" si="382"/>
        <v>0</v>
      </c>
    </row>
    <row r="631" spans="1:75" s="9" customFormat="1" ht="12.5">
      <c r="A631" s="1483" t="str">
        <f t="shared" si="376"/>
        <v>Public Health Wales Trust</v>
      </c>
      <c r="B631" s="1583"/>
      <c r="C631" s="1583"/>
      <c r="D631" s="1583"/>
      <c r="E631" s="1585"/>
      <c r="F631" s="1436"/>
      <c r="G631" s="1547">
        <f t="shared" si="377"/>
        <v>0</v>
      </c>
      <c r="H631" s="1484"/>
      <c r="I631" s="1547">
        <f t="shared" si="378"/>
        <v>0</v>
      </c>
      <c r="J631" s="1485"/>
      <c r="K631" s="1485"/>
      <c r="L631" s="1436"/>
      <c r="M631" s="1439"/>
      <c r="N631" s="1439"/>
      <c r="O631" s="1485"/>
      <c r="P631" s="1486"/>
      <c r="Q631" s="1486"/>
      <c r="R631" s="1487"/>
      <c r="S631" s="1444"/>
      <c r="T631" s="1444"/>
      <c r="U631" s="1444"/>
      <c r="V631" s="1488"/>
      <c r="W631" s="1488"/>
      <c r="X631" s="1488"/>
      <c r="Y631" s="1488"/>
      <c r="Z631" s="1488"/>
      <c r="AA631" s="1488"/>
      <c r="AB631" s="1488"/>
      <c r="AC631" s="1488"/>
      <c r="AD631" s="1488"/>
      <c r="AE631" s="1488"/>
      <c r="AF631" s="1488"/>
      <c r="AG631" s="1488"/>
      <c r="AH631" s="1451">
        <f t="shared" si="350"/>
        <v>0</v>
      </c>
      <c r="AI631" s="1488"/>
      <c r="AJ631" s="1488"/>
      <c r="AK631" s="1488"/>
      <c r="AL631" s="1488"/>
      <c r="AM631" s="1488"/>
      <c r="AN631" s="1488"/>
      <c r="AO631" s="1488"/>
      <c r="AP631" s="1488"/>
      <c r="AQ631" s="1488"/>
      <c r="AR631" s="1488"/>
      <c r="AS631" s="1488"/>
      <c r="AT631" s="1542"/>
      <c r="AU631" s="1599">
        <f t="shared" si="351"/>
        <v>0</v>
      </c>
      <c r="AV631" s="1544">
        <f t="shared" si="379"/>
        <v>0</v>
      </c>
      <c r="AW631" s="1452">
        <f t="shared" si="352"/>
        <v>0</v>
      </c>
      <c r="AX631" s="1452">
        <f t="shared" si="353"/>
        <v>0</v>
      </c>
      <c r="AY631" s="1452">
        <f t="shared" si="354"/>
        <v>0</v>
      </c>
      <c r="AZ631" s="1452">
        <f t="shared" si="355"/>
        <v>0</v>
      </c>
      <c r="BA631" s="1452">
        <f t="shared" si="356"/>
        <v>0</v>
      </c>
      <c r="BB631" s="1452">
        <f t="shared" si="357"/>
        <v>0</v>
      </c>
      <c r="BC631" s="1452">
        <f t="shared" si="358"/>
        <v>0</v>
      </c>
      <c r="BD631" s="1452">
        <f t="shared" si="359"/>
        <v>0</v>
      </c>
      <c r="BE631" s="1452">
        <f t="shared" si="360"/>
        <v>0</v>
      </c>
      <c r="BF631" s="1452">
        <f t="shared" si="361"/>
        <v>0</v>
      </c>
      <c r="BG631" s="1452">
        <f t="shared" si="362"/>
        <v>0</v>
      </c>
      <c r="BH631" s="1452">
        <f t="shared" si="363"/>
        <v>0</v>
      </c>
      <c r="BI631" s="1452">
        <f t="shared" si="380"/>
        <v>0</v>
      </c>
      <c r="BJ631" s="1452" t="str">
        <f t="shared" si="364"/>
        <v/>
      </c>
      <c r="BK631" s="1452" t="str">
        <f t="shared" si="365"/>
        <v/>
      </c>
      <c r="BL631" s="1452" t="str">
        <f t="shared" si="366"/>
        <v/>
      </c>
      <c r="BM631" s="1452" t="str">
        <f t="shared" si="367"/>
        <v/>
      </c>
      <c r="BN631" s="1452" t="str">
        <f t="shared" ca="1" si="368"/>
        <v/>
      </c>
      <c r="BO631" s="1452" t="str">
        <f t="shared" si="381"/>
        <v/>
      </c>
      <c r="BP631" s="1452" t="str">
        <f t="shared" si="369"/>
        <v/>
      </c>
      <c r="BQ631" s="1452" t="str">
        <f t="shared" si="370"/>
        <v/>
      </c>
      <c r="BR631" s="1452" t="str">
        <f t="shared" si="371"/>
        <v/>
      </c>
      <c r="BS631" s="1452" t="str">
        <f t="shared" si="372"/>
        <v/>
      </c>
      <c r="BT631" s="1452" t="str">
        <f t="shared" si="373"/>
        <v/>
      </c>
      <c r="BU631" s="1452" t="str">
        <f t="shared" si="374"/>
        <v/>
      </c>
      <c r="BV631" s="1452" t="str">
        <f t="shared" si="375"/>
        <v/>
      </c>
      <c r="BW631" s="1558">
        <f t="shared" ca="1" si="382"/>
        <v>0</v>
      </c>
    </row>
    <row r="632" spans="1:75" s="9" customFormat="1" ht="12.5">
      <c r="A632" s="1483" t="str">
        <f t="shared" si="376"/>
        <v>Public Health Wales Trust</v>
      </c>
      <c r="B632" s="1583"/>
      <c r="C632" s="1583"/>
      <c r="D632" s="1583"/>
      <c r="E632" s="1585"/>
      <c r="F632" s="1436"/>
      <c r="G632" s="1547">
        <f t="shared" si="377"/>
        <v>0</v>
      </c>
      <c r="H632" s="1484"/>
      <c r="I632" s="1547">
        <f t="shared" si="378"/>
        <v>0</v>
      </c>
      <c r="J632" s="1485"/>
      <c r="K632" s="1485"/>
      <c r="L632" s="1436"/>
      <c r="M632" s="1439"/>
      <c r="N632" s="1439"/>
      <c r="O632" s="1485"/>
      <c r="P632" s="1486"/>
      <c r="Q632" s="1486"/>
      <c r="R632" s="1487"/>
      <c r="S632" s="1444"/>
      <c r="T632" s="1444"/>
      <c r="U632" s="1444"/>
      <c r="V632" s="1488"/>
      <c r="W632" s="1488"/>
      <c r="X632" s="1488"/>
      <c r="Y632" s="1488"/>
      <c r="Z632" s="1488"/>
      <c r="AA632" s="1488"/>
      <c r="AB632" s="1488"/>
      <c r="AC632" s="1488"/>
      <c r="AD632" s="1488"/>
      <c r="AE632" s="1488"/>
      <c r="AF632" s="1488"/>
      <c r="AG632" s="1488"/>
      <c r="AH632" s="1451">
        <f t="shared" si="350"/>
        <v>0</v>
      </c>
      <c r="AI632" s="1488"/>
      <c r="AJ632" s="1488"/>
      <c r="AK632" s="1488"/>
      <c r="AL632" s="1488"/>
      <c r="AM632" s="1488"/>
      <c r="AN632" s="1488"/>
      <c r="AO632" s="1488"/>
      <c r="AP632" s="1488"/>
      <c r="AQ632" s="1488"/>
      <c r="AR632" s="1488"/>
      <c r="AS632" s="1488"/>
      <c r="AT632" s="1542"/>
      <c r="AU632" s="1599">
        <f t="shared" si="351"/>
        <v>0</v>
      </c>
      <c r="AV632" s="1544">
        <f t="shared" si="379"/>
        <v>0</v>
      </c>
      <c r="AW632" s="1452">
        <f t="shared" si="352"/>
        <v>0</v>
      </c>
      <c r="AX632" s="1452">
        <f t="shared" si="353"/>
        <v>0</v>
      </c>
      <c r="AY632" s="1452">
        <f t="shared" si="354"/>
        <v>0</v>
      </c>
      <c r="AZ632" s="1452">
        <f t="shared" si="355"/>
        <v>0</v>
      </c>
      <c r="BA632" s="1452">
        <f t="shared" si="356"/>
        <v>0</v>
      </c>
      <c r="BB632" s="1452">
        <f t="shared" si="357"/>
        <v>0</v>
      </c>
      <c r="BC632" s="1452">
        <f t="shared" si="358"/>
        <v>0</v>
      </c>
      <c r="BD632" s="1452">
        <f t="shared" si="359"/>
        <v>0</v>
      </c>
      <c r="BE632" s="1452">
        <f t="shared" si="360"/>
        <v>0</v>
      </c>
      <c r="BF632" s="1452">
        <f t="shared" si="361"/>
        <v>0</v>
      </c>
      <c r="BG632" s="1452">
        <f t="shared" si="362"/>
        <v>0</v>
      </c>
      <c r="BH632" s="1452">
        <f t="shared" si="363"/>
        <v>0</v>
      </c>
      <c r="BI632" s="1452">
        <f t="shared" si="380"/>
        <v>0</v>
      </c>
      <c r="BJ632" s="1452" t="str">
        <f t="shared" si="364"/>
        <v/>
      </c>
      <c r="BK632" s="1452" t="str">
        <f t="shared" si="365"/>
        <v/>
      </c>
      <c r="BL632" s="1452" t="str">
        <f t="shared" si="366"/>
        <v/>
      </c>
      <c r="BM632" s="1452" t="str">
        <f t="shared" si="367"/>
        <v/>
      </c>
      <c r="BN632" s="1452" t="str">
        <f t="shared" ca="1" si="368"/>
        <v/>
      </c>
      <c r="BO632" s="1452" t="str">
        <f t="shared" si="381"/>
        <v/>
      </c>
      <c r="BP632" s="1452" t="str">
        <f t="shared" si="369"/>
        <v/>
      </c>
      <c r="BQ632" s="1452" t="str">
        <f t="shared" si="370"/>
        <v/>
      </c>
      <c r="BR632" s="1452" t="str">
        <f t="shared" si="371"/>
        <v/>
      </c>
      <c r="BS632" s="1452" t="str">
        <f t="shared" si="372"/>
        <v/>
      </c>
      <c r="BT632" s="1452" t="str">
        <f t="shared" si="373"/>
        <v/>
      </c>
      <c r="BU632" s="1452" t="str">
        <f t="shared" si="374"/>
        <v/>
      </c>
      <c r="BV632" s="1452" t="str">
        <f t="shared" si="375"/>
        <v/>
      </c>
      <c r="BW632" s="1558">
        <f t="shared" ca="1" si="382"/>
        <v>0</v>
      </c>
    </row>
    <row r="633" spans="1:75" s="9" customFormat="1" ht="12.5">
      <c r="A633" s="1483" t="str">
        <f t="shared" si="376"/>
        <v>Public Health Wales Trust</v>
      </c>
      <c r="B633" s="1583"/>
      <c r="C633" s="1583"/>
      <c r="D633" s="1583"/>
      <c r="E633" s="1585"/>
      <c r="F633" s="1436"/>
      <c r="G633" s="1547">
        <f t="shared" si="377"/>
        <v>0</v>
      </c>
      <c r="H633" s="1484"/>
      <c r="I633" s="1547">
        <f t="shared" si="378"/>
        <v>0</v>
      </c>
      <c r="J633" s="1485"/>
      <c r="K633" s="1485"/>
      <c r="L633" s="1436"/>
      <c r="M633" s="1439"/>
      <c r="N633" s="1439"/>
      <c r="O633" s="1485"/>
      <c r="P633" s="1486"/>
      <c r="Q633" s="1486"/>
      <c r="R633" s="1487"/>
      <c r="S633" s="1444"/>
      <c r="T633" s="1444"/>
      <c r="U633" s="1444"/>
      <c r="V633" s="1488"/>
      <c r="W633" s="1488"/>
      <c r="X633" s="1488"/>
      <c r="Y633" s="1488"/>
      <c r="Z633" s="1488"/>
      <c r="AA633" s="1488"/>
      <c r="AB633" s="1488"/>
      <c r="AC633" s="1488"/>
      <c r="AD633" s="1488"/>
      <c r="AE633" s="1488"/>
      <c r="AF633" s="1488"/>
      <c r="AG633" s="1488"/>
      <c r="AH633" s="1451">
        <f t="shared" si="350"/>
        <v>0</v>
      </c>
      <c r="AI633" s="1488"/>
      <c r="AJ633" s="1488"/>
      <c r="AK633" s="1488"/>
      <c r="AL633" s="1488"/>
      <c r="AM633" s="1488"/>
      <c r="AN633" s="1488"/>
      <c r="AO633" s="1488"/>
      <c r="AP633" s="1488"/>
      <c r="AQ633" s="1488"/>
      <c r="AR633" s="1488"/>
      <c r="AS633" s="1488"/>
      <c r="AT633" s="1542"/>
      <c r="AU633" s="1599">
        <f t="shared" si="351"/>
        <v>0</v>
      </c>
      <c r="AV633" s="1544">
        <f t="shared" si="379"/>
        <v>0</v>
      </c>
      <c r="AW633" s="1452">
        <f t="shared" si="352"/>
        <v>0</v>
      </c>
      <c r="AX633" s="1452">
        <f t="shared" si="353"/>
        <v>0</v>
      </c>
      <c r="AY633" s="1452">
        <f t="shared" si="354"/>
        <v>0</v>
      </c>
      <c r="AZ633" s="1452">
        <f t="shared" si="355"/>
        <v>0</v>
      </c>
      <c r="BA633" s="1452">
        <f t="shared" si="356"/>
        <v>0</v>
      </c>
      <c r="BB633" s="1452">
        <f t="shared" si="357"/>
        <v>0</v>
      </c>
      <c r="BC633" s="1452">
        <f t="shared" si="358"/>
        <v>0</v>
      </c>
      <c r="BD633" s="1452">
        <f t="shared" si="359"/>
        <v>0</v>
      </c>
      <c r="BE633" s="1452">
        <f t="shared" si="360"/>
        <v>0</v>
      </c>
      <c r="BF633" s="1452">
        <f t="shared" si="361"/>
        <v>0</v>
      </c>
      <c r="BG633" s="1452">
        <f t="shared" si="362"/>
        <v>0</v>
      </c>
      <c r="BH633" s="1452">
        <f t="shared" si="363"/>
        <v>0</v>
      </c>
      <c r="BI633" s="1452">
        <f t="shared" si="380"/>
        <v>0</v>
      </c>
      <c r="BJ633" s="1452" t="str">
        <f t="shared" si="364"/>
        <v/>
      </c>
      <c r="BK633" s="1452" t="str">
        <f t="shared" si="365"/>
        <v/>
      </c>
      <c r="BL633" s="1452" t="str">
        <f t="shared" si="366"/>
        <v/>
      </c>
      <c r="BM633" s="1452" t="str">
        <f t="shared" si="367"/>
        <v/>
      </c>
      <c r="BN633" s="1452" t="str">
        <f t="shared" ca="1" si="368"/>
        <v/>
      </c>
      <c r="BO633" s="1452" t="str">
        <f t="shared" si="381"/>
        <v/>
      </c>
      <c r="BP633" s="1452" t="str">
        <f t="shared" si="369"/>
        <v/>
      </c>
      <c r="BQ633" s="1452" t="str">
        <f t="shared" si="370"/>
        <v/>
      </c>
      <c r="BR633" s="1452" t="str">
        <f t="shared" si="371"/>
        <v/>
      </c>
      <c r="BS633" s="1452" t="str">
        <f t="shared" si="372"/>
        <v/>
      </c>
      <c r="BT633" s="1452" t="str">
        <f t="shared" si="373"/>
        <v/>
      </c>
      <c r="BU633" s="1452" t="str">
        <f t="shared" si="374"/>
        <v/>
      </c>
      <c r="BV633" s="1452" t="str">
        <f t="shared" si="375"/>
        <v/>
      </c>
      <c r="BW633" s="1558">
        <f t="shared" ca="1" si="382"/>
        <v>0</v>
      </c>
    </row>
    <row r="634" spans="1:75" s="9" customFormat="1" ht="12.5">
      <c r="A634" s="1483" t="str">
        <f t="shared" si="376"/>
        <v>Public Health Wales Trust</v>
      </c>
      <c r="B634" s="1583"/>
      <c r="C634" s="1583"/>
      <c r="D634" s="1583"/>
      <c r="E634" s="1585"/>
      <c r="F634" s="1436"/>
      <c r="G634" s="1547">
        <f t="shared" si="377"/>
        <v>0</v>
      </c>
      <c r="H634" s="1484"/>
      <c r="I634" s="1547">
        <f t="shared" si="378"/>
        <v>0</v>
      </c>
      <c r="J634" s="1485"/>
      <c r="K634" s="1485"/>
      <c r="L634" s="1436"/>
      <c r="M634" s="1439"/>
      <c r="N634" s="1439"/>
      <c r="O634" s="1485"/>
      <c r="P634" s="1486"/>
      <c r="Q634" s="1486"/>
      <c r="R634" s="1487"/>
      <c r="S634" s="1444"/>
      <c r="T634" s="1444"/>
      <c r="U634" s="1444"/>
      <c r="V634" s="1488"/>
      <c r="W634" s="1488"/>
      <c r="X634" s="1488"/>
      <c r="Y634" s="1488"/>
      <c r="Z634" s="1488"/>
      <c r="AA634" s="1488"/>
      <c r="AB634" s="1488"/>
      <c r="AC634" s="1488"/>
      <c r="AD634" s="1488"/>
      <c r="AE634" s="1488"/>
      <c r="AF634" s="1488"/>
      <c r="AG634" s="1488"/>
      <c r="AH634" s="1451">
        <f t="shared" si="350"/>
        <v>0</v>
      </c>
      <c r="AI634" s="1488"/>
      <c r="AJ634" s="1488"/>
      <c r="AK634" s="1488"/>
      <c r="AL634" s="1488"/>
      <c r="AM634" s="1488"/>
      <c r="AN634" s="1488"/>
      <c r="AO634" s="1488"/>
      <c r="AP634" s="1488"/>
      <c r="AQ634" s="1488"/>
      <c r="AR634" s="1488"/>
      <c r="AS634" s="1488"/>
      <c r="AT634" s="1542"/>
      <c r="AU634" s="1599">
        <f t="shared" si="351"/>
        <v>0</v>
      </c>
      <c r="AV634" s="1544">
        <f t="shared" si="379"/>
        <v>0</v>
      </c>
      <c r="AW634" s="1452">
        <f t="shared" si="352"/>
        <v>0</v>
      </c>
      <c r="AX634" s="1452">
        <f t="shared" si="353"/>
        <v>0</v>
      </c>
      <c r="AY634" s="1452">
        <f t="shared" si="354"/>
        <v>0</v>
      </c>
      <c r="AZ634" s="1452">
        <f t="shared" si="355"/>
        <v>0</v>
      </c>
      <c r="BA634" s="1452">
        <f t="shared" si="356"/>
        <v>0</v>
      </c>
      <c r="BB634" s="1452">
        <f t="shared" si="357"/>
        <v>0</v>
      </c>
      <c r="BC634" s="1452">
        <f t="shared" si="358"/>
        <v>0</v>
      </c>
      <c r="BD634" s="1452">
        <f t="shared" si="359"/>
        <v>0</v>
      </c>
      <c r="BE634" s="1452">
        <f t="shared" si="360"/>
        <v>0</v>
      </c>
      <c r="BF634" s="1452">
        <f t="shared" si="361"/>
        <v>0</v>
      </c>
      <c r="BG634" s="1452">
        <f t="shared" si="362"/>
        <v>0</v>
      </c>
      <c r="BH634" s="1452">
        <f t="shared" si="363"/>
        <v>0</v>
      </c>
      <c r="BI634" s="1452">
        <f t="shared" si="380"/>
        <v>0</v>
      </c>
      <c r="BJ634" s="1452" t="str">
        <f t="shared" si="364"/>
        <v/>
      </c>
      <c r="BK634" s="1452" t="str">
        <f t="shared" si="365"/>
        <v/>
      </c>
      <c r="BL634" s="1452" t="str">
        <f t="shared" si="366"/>
        <v/>
      </c>
      <c r="BM634" s="1452" t="str">
        <f t="shared" si="367"/>
        <v/>
      </c>
      <c r="BN634" s="1452" t="str">
        <f t="shared" ca="1" si="368"/>
        <v/>
      </c>
      <c r="BO634" s="1452" t="str">
        <f t="shared" si="381"/>
        <v/>
      </c>
      <c r="BP634" s="1452" t="str">
        <f t="shared" si="369"/>
        <v/>
      </c>
      <c r="BQ634" s="1452" t="str">
        <f t="shared" si="370"/>
        <v/>
      </c>
      <c r="BR634" s="1452" t="str">
        <f t="shared" si="371"/>
        <v/>
      </c>
      <c r="BS634" s="1452" t="str">
        <f t="shared" si="372"/>
        <v/>
      </c>
      <c r="BT634" s="1452" t="str">
        <f t="shared" si="373"/>
        <v/>
      </c>
      <c r="BU634" s="1452" t="str">
        <f t="shared" si="374"/>
        <v/>
      </c>
      <c r="BV634" s="1452" t="str">
        <f t="shared" si="375"/>
        <v/>
      </c>
      <c r="BW634" s="1558">
        <f t="shared" ca="1" si="382"/>
        <v>0</v>
      </c>
    </row>
    <row r="635" spans="1:75" s="9" customFormat="1" ht="12.5">
      <c r="A635" s="1483" t="str">
        <f t="shared" si="376"/>
        <v>Public Health Wales Trust</v>
      </c>
      <c r="B635" s="1583"/>
      <c r="C635" s="1583"/>
      <c r="D635" s="1583"/>
      <c r="E635" s="1585"/>
      <c r="F635" s="1436"/>
      <c r="G635" s="1547">
        <f t="shared" si="377"/>
        <v>0</v>
      </c>
      <c r="H635" s="1484"/>
      <c r="I635" s="1547">
        <f t="shared" si="378"/>
        <v>0</v>
      </c>
      <c r="J635" s="1485"/>
      <c r="K635" s="1485"/>
      <c r="L635" s="1436"/>
      <c r="M635" s="1439"/>
      <c r="N635" s="1439"/>
      <c r="O635" s="1485"/>
      <c r="P635" s="1486"/>
      <c r="Q635" s="1486"/>
      <c r="R635" s="1487"/>
      <c r="S635" s="1444"/>
      <c r="T635" s="1444"/>
      <c r="U635" s="1444"/>
      <c r="V635" s="1488"/>
      <c r="W635" s="1488"/>
      <c r="X635" s="1488"/>
      <c r="Y635" s="1488"/>
      <c r="Z635" s="1488"/>
      <c r="AA635" s="1488"/>
      <c r="AB635" s="1488"/>
      <c r="AC635" s="1488"/>
      <c r="AD635" s="1488"/>
      <c r="AE635" s="1488"/>
      <c r="AF635" s="1488"/>
      <c r="AG635" s="1488"/>
      <c r="AH635" s="1451">
        <f t="shared" si="350"/>
        <v>0</v>
      </c>
      <c r="AI635" s="1488"/>
      <c r="AJ635" s="1488"/>
      <c r="AK635" s="1488"/>
      <c r="AL635" s="1488"/>
      <c r="AM635" s="1488"/>
      <c r="AN635" s="1488"/>
      <c r="AO635" s="1488"/>
      <c r="AP635" s="1488"/>
      <c r="AQ635" s="1488"/>
      <c r="AR635" s="1488"/>
      <c r="AS635" s="1488"/>
      <c r="AT635" s="1542"/>
      <c r="AU635" s="1599">
        <f t="shared" si="351"/>
        <v>0</v>
      </c>
      <c r="AV635" s="1544">
        <f t="shared" si="379"/>
        <v>0</v>
      </c>
      <c r="AW635" s="1452">
        <f t="shared" si="352"/>
        <v>0</v>
      </c>
      <c r="AX635" s="1452">
        <f t="shared" si="353"/>
        <v>0</v>
      </c>
      <c r="AY635" s="1452">
        <f t="shared" si="354"/>
        <v>0</v>
      </c>
      <c r="AZ635" s="1452">
        <f t="shared" si="355"/>
        <v>0</v>
      </c>
      <c r="BA635" s="1452">
        <f t="shared" si="356"/>
        <v>0</v>
      </c>
      <c r="BB635" s="1452">
        <f t="shared" si="357"/>
        <v>0</v>
      </c>
      <c r="BC635" s="1452">
        <f t="shared" si="358"/>
        <v>0</v>
      </c>
      <c r="BD635" s="1452">
        <f t="shared" si="359"/>
        <v>0</v>
      </c>
      <c r="BE635" s="1452">
        <f t="shared" si="360"/>
        <v>0</v>
      </c>
      <c r="BF635" s="1452">
        <f t="shared" si="361"/>
        <v>0</v>
      </c>
      <c r="BG635" s="1452">
        <f t="shared" si="362"/>
        <v>0</v>
      </c>
      <c r="BH635" s="1452">
        <f t="shared" si="363"/>
        <v>0</v>
      </c>
      <c r="BI635" s="1452">
        <f t="shared" si="380"/>
        <v>0</v>
      </c>
      <c r="BJ635" s="1452" t="str">
        <f t="shared" si="364"/>
        <v/>
      </c>
      <c r="BK635" s="1452" t="str">
        <f t="shared" si="365"/>
        <v/>
      </c>
      <c r="BL635" s="1452" t="str">
        <f t="shared" si="366"/>
        <v/>
      </c>
      <c r="BM635" s="1452" t="str">
        <f t="shared" si="367"/>
        <v/>
      </c>
      <c r="BN635" s="1452" t="str">
        <f t="shared" ca="1" si="368"/>
        <v/>
      </c>
      <c r="BO635" s="1452" t="str">
        <f t="shared" si="381"/>
        <v/>
      </c>
      <c r="BP635" s="1452" t="str">
        <f t="shared" si="369"/>
        <v/>
      </c>
      <c r="BQ635" s="1452" t="str">
        <f t="shared" si="370"/>
        <v/>
      </c>
      <c r="BR635" s="1452" t="str">
        <f t="shared" si="371"/>
        <v/>
      </c>
      <c r="BS635" s="1452" t="str">
        <f t="shared" si="372"/>
        <v/>
      </c>
      <c r="BT635" s="1452" t="str">
        <f t="shared" si="373"/>
        <v/>
      </c>
      <c r="BU635" s="1452" t="str">
        <f t="shared" si="374"/>
        <v/>
      </c>
      <c r="BV635" s="1452" t="str">
        <f t="shared" si="375"/>
        <v/>
      </c>
      <c r="BW635" s="1558">
        <f t="shared" ca="1" si="382"/>
        <v>0</v>
      </c>
    </row>
    <row r="636" spans="1:75" s="9" customFormat="1" ht="12.5">
      <c r="A636" s="1483" t="str">
        <f t="shared" si="376"/>
        <v>Public Health Wales Trust</v>
      </c>
      <c r="B636" s="1583"/>
      <c r="C636" s="1583"/>
      <c r="D636" s="1583"/>
      <c r="E636" s="1585"/>
      <c r="F636" s="1436"/>
      <c r="G636" s="1547">
        <f t="shared" si="377"/>
        <v>0</v>
      </c>
      <c r="H636" s="1484"/>
      <c r="I636" s="1547">
        <f t="shared" si="378"/>
        <v>0</v>
      </c>
      <c r="J636" s="1485"/>
      <c r="K636" s="1485"/>
      <c r="L636" s="1436"/>
      <c r="M636" s="1439"/>
      <c r="N636" s="1439"/>
      <c r="O636" s="1485"/>
      <c r="P636" s="1486"/>
      <c r="Q636" s="1486"/>
      <c r="R636" s="1487"/>
      <c r="S636" s="1444"/>
      <c r="T636" s="1444"/>
      <c r="U636" s="1444"/>
      <c r="V636" s="1488"/>
      <c r="W636" s="1488"/>
      <c r="X636" s="1488"/>
      <c r="Y636" s="1488"/>
      <c r="Z636" s="1488"/>
      <c r="AA636" s="1488"/>
      <c r="AB636" s="1488"/>
      <c r="AC636" s="1488"/>
      <c r="AD636" s="1488"/>
      <c r="AE636" s="1488"/>
      <c r="AF636" s="1488"/>
      <c r="AG636" s="1488"/>
      <c r="AH636" s="1451">
        <f t="shared" si="350"/>
        <v>0</v>
      </c>
      <c r="AI636" s="1488"/>
      <c r="AJ636" s="1488"/>
      <c r="AK636" s="1488"/>
      <c r="AL636" s="1488"/>
      <c r="AM636" s="1488"/>
      <c r="AN636" s="1488"/>
      <c r="AO636" s="1488"/>
      <c r="AP636" s="1488"/>
      <c r="AQ636" s="1488"/>
      <c r="AR636" s="1488"/>
      <c r="AS636" s="1488"/>
      <c r="AT636" s="1542"/>
      <c r="AU636" s="1599">
        <f t="shared" si="351"/>
        <v>0</v>
      </c>
      <c r="AV636" s="1544">
        <f t="shared" si="379"/>
        <v>0</v>
      </c>
      <c r="AW636" s="1452">
        <f t="shared" si="352"/>
        <v>0</v>
      </c>
      <c r="AX636" s="1452">
        <f t="shared" si="353"/>
        <v>0</v>
      </c>
      <c r="AY636" s="1452">
        <f t="shared" si="354"/>
        <v>0</v>
      </c>
      <c r="AZ636" s="1452">
        <f t="shared" si="355"/>
        <v>0</v>
      </c>
      <c r="BA636" s="1452">
        <f t="shared" si="356"/>
        <v>0</v>
      </c>
      <c r="BB636" s="1452">
        <f t="shared" si="357"/>
        <v>0</v>
      </c>
      <c r="BC636" s="1452">
        <f t="shared" si="358"/>
        <v>0</v>
      </c>
      <c r="BD636" s="1452">
        <f t="shared" si="359"/>
        <v>0</v>
      </c>
      <c r="BE636" s="1452">
        <f t="shared" si="360"/>
        <v>0</v>
      </c>
      <c r="BF636" s="1452">
        <f t="shared" si="361"/>
        <v>0</v>
      </c>
      <c r="BG636" s="1452">
        <f t="shared" si="362"/>
        <v>0</v>
      </c>
      <c r="BH636" s="1452">
        <f t="shared" si="363"/>
        <v>0</v>
      </c>
      <c r="BI636" s="1452">
        <f t="shared" si="380"/>
        <v>0</v>
      </c>
      <c r="BJ636" s="1452" t="str">
        <f t="shared" si="364"/>
        <v/>
      </c>
      <c r="BK636" s="1452" t="str">
        <f t="shared" si="365"/>
        <v/>
      </c>
      <c r="BL636" s="1452" t="str">
        <f t="shared" si="366"/>
        <v/>
      </c>
      <c r="BM636" s="1452" t="str">
        <f t="shared" si="367"/>
        <v/>
      </c>
      <c r="BN636" s="1452" t="str">
        <f t="shared" ca="1" si="368"/>
        <v/>
      </c>
      <c r="BO636" s="1452" t="str">
        <f t="shared" si="381"/>
        <v/>
      </c>
      <c r="BP636" s="1452" t="str">
        <f t="shared" si="369"/>
        <v/>
      </c>
      <c r="BQ636" s="1452" t="str">
        <f t="shared" si="370"/>
        <v/>
      </c>
      <c r="BR636" s="1452" t="str">
        <f t="shared" si="371"/>
        <v/>
      </c>
      <c r="BS636" s="1452" t="str">
        <f t="shared" si="372"/>
        <v/>
      </c>
      <c r="BT636" s="1452" t="str">
        <f t="shared" si="373"/>
        <v/>
      </c>
      <c r="BU636" s="1452" t="str">
        <f t="shared" si="374"/>
        <v/>
      </c>
      <c r="BV636" s="1452" t="str">
        <f t="shared" si="375"/>
        <v/>
      </c>
      <c r="BW636" s="1558">
        <f t="shared" ca="1" si="382"/>
        <v>0</v>
      </c>
    </row>
    <row r="637" spans="1:75" s="9" customFormat="1" ht="12.5">
      <c r="A637" s="1483" t="str">
        <f t="shared" si="376"/>
        <v>Public Health Wales Trust</v>
      </c>
      <c r="B637" s="1583"/>
      <c r="C637" s="1583"/>
      <c r="D637" s="1583"/>
      <c r="E637" s="1585"/>
      <c r="F637" s="1436"/>
      <c r="G637" s="1547">
        <f t="shared" si="377"/>
        <v>0</v>
      </c>
      <c r="H637" s="1484"/>
      <c r="I637" s="1547">
        <f t="shared" si="378"/>
        <v>0</v>
      </c>
      <c r="J637" s="1485"/>
      <c r="K637" s="1485"/>
      <c r="L637" s="1436"/>
      <c r="M637" s="1439"/>
      <c r="N637" s="1439"/>
      <c r="O637" s="1485"/>
      <c r="P637" s="1486"/>
      <c r="Q637" s="1486"/>
      <c r="R637" s="1487"/>
      <c r="S637" s="1444"/>
      <c r="T637" s="1444"/>
      <c r="U637" s="1444"/>
      <c r="V637" s="1488"/>
      <c r="W637" s="1488"/>
      <c r="X637" s="1488"/>
      <c r="Y637" s="1488"/>
      <c r="Z637" s="1488"/>
      <c r="AA637" s="1488"/>
      <c r="AB637" s="1488"/>
      <c r="AC637" s="1488"/>
      <c r="AD637" s="1488"/>
      <c r="AE637" s="1488"/>
      <c r="AF637" s="1488"/>
      <c r="AG637" s="1488"/>
      <c r="AH637" s="1451">
        <f t="shared" si="350"/>
        <v>0</v>
      </c>
      <c r="AI637" s="1488"/>
      <c r="AJ637" s="1488"/>
      <c r="AK637" s="1488"/>
      <c r="AL637" s="1488"/>
      <c r="AM637" s="1488"/>
      <c r="AN637" s="1488"/>
      <c r="AO637" s="1488"/>
      <c r="AP637" s="1488"/>
      <c r="AQ637" s="1488"/>
      <c r="AR637" s="1488"/>
      <c r="AS637" s="1488"/>
      <c r="AT637" s="1542"/>
      <c r="AU637" s="1599">
        <f t="shared" si="351"/>
        <v>0</v>
      </c>
      <c r="AV637" s="1544">
        <f t="shared" si="379"/>
        <v>0</v>
      </c>
      <c r="AW637" s="1452">
        <f t="shared" si="352"/>
        <v>0</v>
      </c>
      <c r="AX637" s="1452">
        <f t="shared" si="353"/>
        <v>0</v>
      </c>
      <c r="AY637" s="1452">
        <f t="shared" si="354"/>
        <v>0</v>
      </c>
      <c r="AZ637" s="1452">
        <f t="shared" si="355"/>
        <v>0</v>
      </c>
      <c r="BA637" s="1452">
        <f t="shared" si="356"/>
        <v>0</v>
      </c>
      <c r="BB637" s="1452">
        <f t="shared" si="357"/>
        <v>0</v>
      </c>
      <c r="BC637" s="1452">
        <f t="shared" si="358"/>
        <v>0</v>
      </c>
      <c r="BD637" s="1452">
        <f t="shared" si="359"/>
        <v>0</v>
      </c>
      <c r="BE637" s="1452">
        <f t="shared" si="360"/>
        <v>0</v>
      </c>
      <c r="BF637" s="1452">
        <f t="shared" si="361"/>
        <v>0</v>
      </c>
      <c r="BG637" s="1452">
        <f t="shared" si="362"/>
        <v>0</v>
      </c>
      <c r="BH637" s="1452">
        <f t="shared" si="363"/>
        <v>0</v>
      </c>
      <c r="BI637" s="1452">
        <f t="shared" si="380"/>
        <v>0</v>
      </c>
      <c r="BJ637" s="1452" t="str">
        <f t="shared" si="364"/>
        <v/>
      </c>
      <c r="BK637" s="1452" t="str">
        <f t="shared" si="365"/>
        <v/>
      </c>
      <c r="BL637" s="1452" t="str">
        <f t="shared" si="366"/>
        <v/>
      </c>
      <c r="BM637" s="1452" t="str">
        <f t="shared" si="367"/>
        <v/>
      </c>
      <c r="BN637" s="1452" t="str">
        <f t="shared" ca="1" si="368"/>
        <v/>
      </c>
      <c r="BO637" s="1452" t="str">
        <f t="shared" si="381"/>
        <v/>
      </c>
      <c r="BP637" s="1452" t="str">
        <f t="shared" si="369"/>
        <v/>
      </c>
      <c r="BQ637" s="1452" t="str">
        <f t="shared" si="370"/>
        <v/>
      </c>
      <c r="BR637" s="1452" t="str">
        <f t="shared" si="371"/>
        <v/>
      </c>
      <c r="BS637" s="1452" t="str">
        <f t="shared" si="372"/>
        <v/>
      </c>
      <c r="BT637" s="1452" t="str">
        <f t="shared" si="373"/>
        <v/>
      </c>
      <c r="BU637" s="1452" t="str">
        <f t="shared" si="374"/>
        <v/>
      </c>
      <c r="BV637" s="1452" t="str">
        <f t="shared" si="375"/>
        <v/>
      </c>
      <c r="BW637" s="1558">
        <f t="shared" ca="1" si="382"/>
        <v>0</v>
      </c>
    </row>
    <row r="638" spans="1:75" s="9" customFormat="1" ht="12.5">
      <c r="A638" s="1483" t="str">
        <f t="shared" si="376"/>
        <v>Public Health Wales Trust</v>
      </c>
      <c r="B638" s="1583"/>
      <c r="C638" s="1583"/>
      <c r="D638" s="1583"/>
      <c r="E638" s="1585"/>
      <c r="F638" s="1436"/>
      <c r="G638" s="1547">
        <f t="shared" si="377"/>
        <v>0</v>
      </c>
      <c r="H638" s="1484"/>
      <c r="I638" s="1547">
        <f t="shared" si="378"/>
        <v>0</v>
      </c>
      <c r="J638" s="1485"/>
      <c r="K638" s="1485"/>
      <c r="L638" s="1436"/>
      <c r="M638" s="1439"/>
      <c r="N638" s="1439"/>
      <c r="O638" s="1485"/>
      <c r="P638" s="1486"/>
      <c r="Q638" s="1486"/>
      <c r="R638" s="1487"/>
      <c r="S638" s="1444"/>
      <c r="T638" s="1444"/>
      <c r="U638" s="1444"/>
      <c r="V638" s="1488"/>
      <c r="W638" s="1488"/>
      <c r="X638" s="1488"/>
      <c r="Y638" s="1488"/>
      <c r="Z638" s="1488"/>
      <c r="AA638" s="1488"/>
      <c r="AB638" s="1488"/>
      <c r="AC638" s="1488"/>
      <c r="AD638" s="1488"/>
      <c r="AE638" s="1488"/>
      <c r="AF638" s="1488"/>
      <c r="AG638" s="1488"/>
      <c r="AH638" s="1451">
        <f t="shared" si="350"/>
        <v>0</v>
      </c>
      <c r="AI638" s="1488"/>
      <c r="AJ638" s="1488"/>
      <c r="AK638" s="1488"/>
      <c r="AL638" s="1488"/>
      <c r="AM638" s="1488"/>
      <c r="AN638" s="1488"/>
      <c r="AO638" s="1488"/>
      <c r="AP638" s="1488"/>
      <c r="AQ638" s="1488"/>
      <c r="AR638" s="1488"/>
      <c r="AS638" s="1488"/>
      <c r="AT638" s="1542"/>
      <c r="AU638" s="1599">
        <f t="shared" si="351"/>
        <v>0</v>
      </c>
      <c r="AV638" s="1544">
        <f t="shared" si="379"/>
        <v>0</v>
      </c>
      <c r="AW638" s="1452">
        <f t="shared" si="352"/>
        <v>0</v>
      </c>
      <c r="AX638" s="1452">
        <f t="shared" si="353"/>
        <v>0</v>
      </c>
      <c r="AY638" s="1452">
        <f t="shared" si="354"/>
        <v>0</v>
      </c>
      <c r="AZ638" s="1452">
        <f t="shared" si="355"/>
        <v>0</v>
      </c>
      <c r="BA638" s="1452">
        <f t="shared" si="356"/>
        <v>0</v>
      </c>
      <c r="BB638" s="1452">
        <f t="shared" si="357"/>
        <v>0</v>
      </c>
      <c r="BC638" s="1452">
        <f t="shared" si="358"/>
        <v>0</v>
      </c>
      <c r="BD638" s="1452">
        <f t="shared" si="359"/>
        <v>0</v>
      </c>
      <c r="BE638" s="1452">
        <f t="shared" si="360"/>
        <v>0</v>
      </c>
      <c r="BF638" s="1452">
        <f t="shared" si="361"/>
        <v>0</v>
      </c>
      <c r="BG638" s="1452">
        <f t="shared" si="362"/>
        <v>0</v>
      </c>
      <c r="BH638" s="1452">
        <f t="shared" si="363"/>
        <v>0</v>
      </c>
      <c r="BI638" s="1452">
        <f t="shared" si="380"/>
        <v>0</v>
      </c>
      <c r="BJ638" s="1452" t="str">
        <f t="shared" si="364"/>
        <v/>
      </c>
      <c r="BK638" s="1452" t="str">
        <f t="shared" si="365"/>
        <v/>
      </c>
      <c r="BL638" s="1452" t="str">
        <f t="shared" si="366"/>
        <v/>
      </c>
      <c r="BM638" s="1452" t="str">
        <f t="shared" si="367"/>
        <v/>
      </c>
      <c r="BN638" s="1452" t="str">
        <f t="shared" ca="1" si="368"/>
        <v/>
      </c>
      <c r="BO638" s="1452" t="str">
        <f t="shared" si="381"/>
        <v/>
      </c>
      <c r="BP638" s="1452" t="str">
        <f t="shared" si="369"/>
        <v/>
      </c>
      <c r="BQ638" s="1452" t="str">
        <f t="shared" si="370"/>
        <v/>
      </c>
      <c r="BR638" s="1452" t="str">
        <f t="shared" si="371"/>
        <v/>
      </c>
      <c r="BS638" s="1452" t="str">
        <f t="shared" si="372"/>
        <v/>
      </c>
      <c r="BT638" s="1452" t="str">
        <f t="shared" si="373"/>
        <v/>
      </c>
      <c r="BU638" s="1452" t="str">
        <f t="shared" si="374"/>
        <v/>
      </c>
      <c r="BV638" s="1452" t="str">
        <f t="shared" si="375"/>
        <v/>
      </c>
      <c r="BW638" s="1558">
        <f t="shared" ca="1" si="382"/>
        <v>0</v>
      </c>
    </row>
    <row r="639" spans="1:75" s="9" customFormat="1" ht="12.5">
      <c r="A639" s="1483" t="str">
        <f t="shared" si="376"/>
        <v>Public Health Wales Trust</v>
      </c>
      <c r="B639" s="1583"/>
      <c r="C639" s="1583"/>
      <c r="D639" s="1583"/>
      <c r="E639" s="1585"/>
      <c r="F639" s="1436"/>
      <c r="G639" s="1547">
        <f t="shared" si="377"/>
        <v>0</v>
      </c>
      <c r="H639" s="1484"/>
      <c r="I639" s="1547">
        <f t="shared" si="378"/>
        <v>0</v>
      </c>
      <c r="J639" s="1485"/>
      <c r="K639" s="1485"/>
      <c r="L639" s="1436"/>
      <c r="M639" s="1439"/>
      <c r="N639" s="1439"/>
      <c r="O639" s="1485"/>
      <c r="P639" s="1486"/>
      <c r="Q639" s="1486"/>
      <c r="R639" s="1487"/>
      <c r="S639" s="1444"/>
      <c r="T639" s="1444"/>
      <c r="U639" s="1444"/>
      <c r="V639" s="1488"/>
      <c r="W639" s="1488"/>
      <c r="X639" s="1488"/>
      <c r="Y639" s="1488"/>
      <c r="Z639" s="1488"/>
      <c r="AA639" s="1488"/>
      <c r="AB639" s="1488"/>
      <c r="AC639" s="1488"/>
      <c r="AD639" s="1488"/>
      <c r="AE639" s="1488"/>
      <c r="AF639" s="1488"/>
      <c r="AG639" s="1488"/>
      <c r="AH639" s="1451">
        <f t="shared" si="350"/>
        <v>0</v>
      </c>
      <c r="AI639" s="1488"/>
      <c r="AJ639" s="1488"/>
      <c r="AK639" s="1488"/>
      <c r="AL639" s="1488"/>
      <c r="AM639" s="1488"/>
      <c r="AN639" s="1488"/>
      <c r="AO639" s="1488"/>
      <c r="AP639" s="1488"/>
      <c r="AQ639" s="1488"/>
      <c r="AR639" s="1488"/>
      <c r="AS639" s="1488"/>
      <c r="AT639" s="1542"/>
      <c r="AU639" s="1599">
        <f t="shared" si="351"/>
        <v>0</v>
      </c>
      <c r="AV639" s="1544">
        <f t="shared" si="379"/>
        <v>0</v>
      </c>
      <c r="AW639" s="1452">
        <f t="shared" si="352"/>
        <v>0</v>
      </c>
      <c r="AX639" s="1452">
        <f t="shared" si="353"/>
        <v>0</v>
      </c>
      <c r="AY639" s="1452">
        <f t="shared" si="354"/>
        <v>0</v>
      </c>
      <c r="AZ639" s="1452">
        <f t="shared" si="355"/>
        <v>0</v>
      </c>
      <c r="BA639" s="1452">
        <f t="shared" si="356"/>
        <v>0</v>
      </c>
      <c r="BB639" s="1452">
        <f t="shared" si="357"/>
        <v>0</v>
      </c>
      <c r="BC639" s="1452">
        <f t="shared" si="358"/>
        <v>0</v>
      </c>
      <c r="BD639" s="1452">
        <f t="shared" si="359"/>
        <v>0</v>
      </c>
      <c r="BE639" s="1452">
        <f t="shared" si="360"/>
        <v>0</v>
      </c>
      <c r="BF639" s="1452">
        <f t="shared" si="361"/>
        <v>0</v>
      </c>
      <c r="BG639" s="1452">
        <f t="shared" si="362"/>
        <v>0</v>
      </c>
      <c r="BH639" s="1452">
        <f t="shared" si="363"/>
        <v>0</v>
      </c>
      <c r="BI639" s="1452">
        <f t="shared" si="380"/>
        <v>0</v>
      </c>
      <c r="BJ639" s="1452" t="str">
        <f t="shared" si="364"/>
        <v/>
      </c>
      <c r="BK639" s="1452" t="str">
        <f t="shared" si="365"/>
        <v/>
      </c>
      <c r="BL639" s="1452" t="str">
        <f t="shared" si="366"/>
        <v/>
      </c>
      <c r="BM639" s="1452" t="str">
        <f t="shared" si="367"/>
        <v/>
      </c>
      <c r="BN639" s="1452" t="str">
        <f t="shared" ca="1" si="368"/>
        <v/>
      </c>
      <c r="BO639" s="1452" t="str">
        <f t="shared" si="381"/>
        <v/>
      </c>
      <c r="BP639" s="1452" t="str">
        <f t="shared" si="369"/>
        <v/>
      </c>
      <c r="BQ639" s="1452" t="str">
        <f t="shared" si="370"/>
        <v/>
      </c>
      <c r="BR639" s="1452" t="str">
        <f t="shared" si="371"/>
        <v/>
      </c>
      <c r="BS639" s="1452" t="str">
        <f t="shared" si="372"/>
        <v/>
      </c>
      <c r="BT639" s="1452" t="str">
        <f t="shared" si="373"/>
        <v/>
      </c>
      <c r="BU639" s="1452" t="str">
        <f t="shared" si="374"/>
        <v/>
      </c>
      <c r="BV639" s="1452" t="str">
        <f t="shared" si="375"/>
        <v/>
      </c>
      <c r="BW639" s="1558">
        <f t="shared" ca="1" si="382"/>
        <v>0</v>
      </c>
    </row>
    <row r="640" spans="1:75" s="9" customFormat="1" ht="12.5">
      <c r="A640" s="1483" t="str">
        <f t="shared" si="376"/>
        <v>Public Health Wales Trust</v>
      </c>
      <c r="B640" s="1583"/>
      <c r="C640" s="1583"/>
      <c r="D640" s="1583"/>
      <c r="E640" s="1585"/>
      <c r="F640" s="1436"/>
      <c r="G640" s="1547">
        <f t="shared" si="377"/>
        <v>0</v>
      </c>
      <c r="H640" s="1484"/>
      <c r="I640" s="1547">
        <f t="shared" si="378"/>
        <v>0</v>
      </c>
      <c r="J640" s="1485"/>
      <c r="K640" s="1485"/>
      <c r="L640" s="1436"/>
      <c r="M640" s="1439"/>
      <c r="N640" s="1439"/>
      <c r="O640" s="1485"/>
      <c r="P640" s="1486"/>
      <c r="Q640" s="1486"/>
      <c r="R640" s="1487"/>
      <c r="S640" s="1444"/>
      <c r="T640" s="1444"/>
      <c r="U640" s="1444"/>
      <c r="V640" s="1488"/>
      <c r="W640" s="1488"/>
      <c r="X640" s="1488"/>
      <c r="Y640" s="1488"/>
      <c r="Z640" s="1488"/>
      <c r="AA640" s="1488"/>
      <c r="AB640" s="1488"/>
      <c r="AC640" s="1488"/>
      <c r="AD640" s="1488"/>
      <c r="AE640" s="1488"/>
      <c r="AF640" s="1488"/>
      <c r="AG640" s="1488"/>
      <c r="AH640" s="1451">
        <f t="shared" si="350"/>
        <v>0</v>
      </c>
      <c r="AI640" s="1488"/>
      <c r="AJ640" s="1488"/>
      <c r="AK640" s="1488"/>
      <c r="AL640" s="1488"/>
      <c r="AM640" s="1488"/>
      <c r="AN640" s="1488"/>
      <c r="AO640" s="1488"/>
      <c r="AP640" s="1488"/>
      <c r="AQ640" s="1488"/>
      <c r="AR640" s="1488"/>
      <c r="AS640" s="1488"/>
      <c r="AT640" s="1542"/>
      <c r="AU640" s="1599">
        <f t="shared" si="351"/>
        <v>0</v>
      </c>
      <c r="AV640" s="1544">
        <f t="shared" si="379"/>
        <v>0</v>
      </c>
      <c r="AW640" s="1452">
        <f t="shared" si="352"/>
        <v>0</v>
      </c>
      <c r="AX640" s="1452">
        <f t="shared" si="353"/>
        <v>0</v>
      </c>
      <c r="AY640" s="1452">
        <f t="shared" si="354"/>
        <v>0</v>
      </c>
      <c r="AZ640" s="1452">
        <f t="shared" si="355"/>
        <v>0</v>
      </c>
      <c r="BA640" s="1452">
        <f t="shared" si="356"/>
        <v>0</v>
      </c>
      <c r="BB640" s="1452">
        <f t="shared" si="357"/>
        <v>0</v>
      </c>
      <c r="BC640" s="1452">
        <f t="shared" si="358"/>
        <v>0</v>
      </c>
      <c r="BD640" s="1452">
        <f t="shared" si="359"/>
        <v>0</v>
      </c>
      <c r="BE640" s="1452">
        <f t="shared" si="360"/>
        <v>0</v>
      </c>
      <c r="BF640" s="1452">
        <f t="shared" si="361"/>
        <v>0</v>
      </c>
      <c r="BG640" s="1452">
        <f t="shared" si="362"/>
        <v>0</v>
      </c>
      <c r="BH640" s="1452">
        <f t="shared" si="363"/>
        <v>0</v>
      </c>
      <c r="BI640" s="1452">
        <f t="shared" si="380"/>
        <v>0</v>
      </c>
      <c r="BJ640" s="1452" t="str">
        <f t="shared" si="364"/>
        <v/>
      </c>
      <c r="BK640" s="1452" t="str">
        <f t="shared" si="365"/>
        <v/>
      </c>
      <c r="BL640" s="1452" t="str">
        <f t="shared" si="366"/>
        <v/>
      </c>
      <c r="BM640" s="1452" t="str">
        <f t="shared" si="367"/>
        <v/>
      </c>
      <c r="BN640" s="1452" t="str">
        <f t="shared" ca="1" si="368"/>
        <v/>
      </c>
      <c r="BO640" s="1452" t="str">
        <f t="shared" si="381"/>
        <v/>
      </c>
      <c r="BP640" s="1452" t="str">
        <f t="shared" si="369"/>
        <v/>
      </c>
      <c r="BQ640" s="1452" t="str">
        <f t="shared" si="370"/>
        <v/>
      </c>
      <c r="BR640" s="1452" t="str">
        <f t="shared" si="371"/>
        <v/>
      </c>
      <c r="BS640" s="1452" t="str">
        <f t="shared" si="372"/>
        <v/>
      </c>
      <c r="BT640" s="1452" t="str">
        <f t="shared" si="373"/>
        <v/>
      </c>
      <c r="BU640" s="1452" t="str">
        <f t="shared" si="374"/>
        <v/>
      </c>
      <c r="BV640" s="1452" t="str">
        <f t="shared" si="375"/>
        <v/>
      </c>
      <c r="BW640" s="1558">
        <f t="shared" ca="1" si="382"/>
        <v>0</v>
      </c>
    </row>
    <row r="641" spans="1:75" s="9" customFormat="1" ht="12.5">
      <c r="A641" s="1483" t="str">
        <f t="shared" si="376"/>
        <v>Public Health Wales Trust</v>
      </c>
      <c r="B641" s="1583"/>
      <c r="C641" s="1583"/>
      <c r="D641" s="1583"/>
      <c r="E641" s="1585"/>
      <c r="F641" s="1436"/>
      <c r="G641" s="1547">
        <f t="shared" si="377"/>
        <v>0</v>
      </c>
      <c r="H641" s="1484"/>
      <c r="I641" s="1547">
        <f t="shared" si="378"/>
        <v>0</v>
      </c>
      <c r="J641" s="1485"/>
      <c r="K641" s="1485"/>
      <c r="L641" s="1436"/>
      <c r="M641" s="1439"/>
      <c r="N641" s="1439"/>
      <c r="O641" s="1485"/>
      <c r="P641" s="1486"/>
      <c r="Q641" s="1486"/>
      <c r="R641" s="1487"/>
      <c r="S641" s="1444"/>
      <c r="T641" s="1444"/>
      <c r="U641" s="1444"/>
      <c r="V641" s="1488"/>
      <c r="W641" s="1488"/>
      <c r="X641" s="1488"/>
      <c r="Y641" s="1488"/>
      <c r="Z641" s="1488"/>
      <c r="AA641" s="1488"/>
      <c r="AB641" s="1488"/>
      <c r="AC641" s="1488"/>
      <c r="AD641" s="1488"/>
      <c r="AE641" s="1488"/>
      <c r="AF641" s="1488"/>
      <c r="AG641" s="1488"/>
      <c r="AH641" s="1451">
        <f t="shared" si="350"/>
        <v>0</v>
      </c>
      <c r="AI641" s="1488"/>
      <c r="AJ641" s="1488"/>
      <c r="AK641" s="1488"/>
      <c r="AL641" s="1488"/>
      <c r="AM641" s="1488"/>
      <c r="AN641" s="1488"/>
      <c r="AO641" s="1488"/>
      <c r="AP641" s="1488"/>
      <c r="AQ641" s="1488"/>
      <c r="AR641" s="1488"/>
      <c r="AS641" s="1488"/>
      <c r="AT641" s="1542"/>
      <c r="AU641" s="1599">
        <f t="shared" si="351"/>
        <v>0</v>
      </c>
      <c r="AV641" s="1544">
        <f t="shared" si="379"/>
        <v>0</v>
      </c>
      <c r="AW641" s="1452">
        <f t="shared" si="352"/>
        <v>0</v>
      </c>
      <c r="AX641" s="1452">
        <f t="shared" si="353"/>
        <v>0</v>
      </c>
      <c r="AY641" s="1452">
        <f t="shared" si="354"/>
        <v>0</v>
      </c>
      <c r="AZ641" s="1452">
        <f t="shared" si="355"/>
        <v>0</v>
      </c>
      <c r="BA641" s="1452">
        <f t="shared" si="356"/>
        <v>0</v>
      </c>
      <c r="BB641" s="1452">
        <f t="shared" si="357"/>
        <v>0</v>
      </c>
      <c r="BC641" s="1452">
        <f t="shared" si="358"/>
        <v>0</v>
      </c>
      <c r="BD641" s="1452">
        <f t="shared" si="359"/>
        <v>0</v>
      </c>
      <c r="BE641" s="1452">
        <f t="shared" si="360"/>
        <v>0</v>
      </c>
      <c r="BF641" s="1452">
        <f t="shared" si="361"/>
        <v>0</v>
      </c>
      <c r="BG641" s="1452">
        <f t="shared" si="362"/>
        <v>0</v>
      </c>
      <c r="BH641" s="1452">
        <f t="shared" si="363"/>
        <v>0</v>
      </c>
      <c r="BI641" s="1452">
        <f t="shared" si="380"/>
        <v>0</v>
      </c>
      <c r="BJ641" s="1452" t="str">
        <f t="shared" si="364"/>
        <v/>
      </c>
      <c r="BK641" s="1452" t="str">
        <f t="shared" si="365"/>
        <v/>
      </c>
      <c r="BL641" s="1452" t="str">
        <f t="shared" si="366"/>
        <v/>
      </c>
      <c r="BM641" s="1452" t="str">
        <f t="shared" si="367"/>
        <v/>
      </c>
      <c r="BN641" s="1452" t="str">
        <f t="shared" ca="1" si="368"/>
        <v/>
      </c>
      <c r="BO641" s="1452" t="str">
        <f t="shared" si="381"/>
        <v/>
      </c>
      <c r="BP641" s="1452" t="str">
        <f t="shared" si="369"/>
        <v/>
      </c>
      <c r="BQ641" s="1452" t="str">
        <f t="shared" si="370"/>
        <v/>
      </c>
      <c r="BR641" s="1452" t="str">
        <f t="shared" si="371"/>
        <v/>
      </c>
      <c r="BS641" s="1452" t="str">
        <f t="shared" si="372"/>
        <v/>
      </c>
      <c r="BT641" s="1452" t="str">
        <f t="shared" si="373"/>
        <v/>
      </c>
      <c r="BU641" s="1452" t="str">
        <f t="shared" si="374"/>
        <v/>
      </c>
      <c r="BV641" s="1452" t="str">
        <f t="shared" si="375"/>
        <v/>
      </c>
      <c r="BW641" s="1558">
        <f t="shared" ca="1" si="382"/>
        <v>0</v>
      </c>
    </row>
    <row r="642" spans="1:75" s="9" customFormat="1" ht="12.5">
      <c r="A642" s="1483" t="str">
        <f t="shared" si="376"/>
        <v>Public Health Wales Trust</v>
      </c>
      <c r="B642" s="1583"/>
      <c r="C642" s="1583"/>
      <c r="D642" s="1583"/>
      <c r="E642" s="1585"/>
      <c r="F642" s="1436"/>
      <c r="G642" s="1547">
        <f t="shared" si="377"/>
        <v>0</v>
      </c>
      <c r="H642" s="1484"/>
      <c r="I642" s="1547">
        <f t="shared" si="378"/>
        <v>0</v>
      </c>
      <c r="J642" s="1485"/>
      <c r="K642" s="1485"/>
      <c r="L642" s="1436"/>
      <c r="M642" s="1439"/>
      <c r="N642" s="1439"/>
      <c r="O642" s="1485"/>
      <c r="P642" s="1486"/>
      <c r="Q642" s="1486"/>
      <c r="R642" s="1487"/>
      <c r="S642" s="1444"/>
      <c r="T642" s="1444"/>
      <c r="U642" s="1444"/>
      <c r="V642" s="1488"/>
      <c r="W642" s="1488"/>
      <c r="X642" s="1488"/>
      <c r="Y642" s="1488"/>
      <c r="Z642" s="1488"/>
      <c r="AA642" s="1488"/>
      <c r="AB642" s="1488"/>
      <c r="AC642" s="1488"/>
      <c r="AD642" s="1488"/>
      <c r="AE642" s="1488"/>
      <c r="AF642" s="1488"/>
      <c r="AG642" s="1488"/>
      <c r="AH642" s="1451">
        <f t="shared" si="350"/>
        <v>0</v>
      </c>
      <c r="AI642" s="1488"/>
      <c r="AJ642" s="1488"/>
      <c r="AK642" s="1488"/>
      <c r="AL642" s="1488"/>
      <c r="AM642" s="1488"/>
      <c r="AN642" s="1488"/>
      <c r="AO642" s="1488"/>
      <c r="AP642" s="1488"/>
      <c r="AQ642" s="1488"/>
      <c r="AR642" s="1488"/>
      <c r="AS642" s="1488"/>
      <c r="AT642" s="1542"/>
      <c r="AU642" s="1599">
        <f t="shared" si="351"/>
        <v>0</v>
      </c>
      <c r="AV642" s="1544">
        <f t="shared" si="379"/>
        <v>0</v>
      </c>
      <c r="AW642" s="1452">
        <f t="shared" si="352"/>
        <v>0</v>
      </c>
      <c r="AX642" s="1452">
        <f t="shared" si="353"/>
        <v>0</v>
      </c>
      <c r="AY642" s="1452">
        <f t="shared" si="354"/>
        <v>0</v>
      </c>
      <c r="AZ642" s="1452">
        <f t="shared" si="355"/>
        <v>0</v>
      </c>
      <c r="BA642" s="1452">
        <f t="shared" si="356"/>
        <v>0</v>
      </c>
      <c r="BB642" s="1452">
        <f t="shared" si="357"/>
        <v>0</v>
      </c>
      <c r="BC642" s="1452">
        <f t="shared" si="358"/>
        <v>0</v>
      </c>
      <c r="BD642" s="1452">
        <f t="shared" si="359"/>
        <v>0</v>
      </c>
      <c r="BE642" s="1452">
        <f t="shared" si="360"/>
        <v>0</v>
      </c>
      <c r="BF642" s="1452">
        <f t="shared" si="361"/>
        <v>0</v>
      </c>
      <c r="BG642" s="1452">
        <f t="shared" si="362"/>
        <v>0</v>
      </c>
      <c r="BH642" s="1452">
        <f t="shared" si="363"/>
        <v>0</v>
      </c>
      <c r="BI642" s="1452">
        <f t="shared" si="380"/>
        <v>0</v>
      </c>
      <c r="BJ642" s="1452" t="str">
        <f t="shared" si="364"/>
        <v/>
      </c>
      <c r="BK642" s="1452" t="str">
        <f t="shared" si="365"/>
        <v/>
      </c>
      <c r="BL642" s="1452" t="str">
        <f t="shared" si="366"/>
        <v/>
      </c>
      <c r="BM642" s="1452" t="str">
        <f t="shared" si="367"/>
        <v/>
      </c>
      <c r="BN642" s="1452" t="str">
        <f t="shared" ca="1" si="368"/>
        <v/>
      </c>
      <c r="BO642" s="1452" t="str">
        <f t="shared" si="381"/>
        <v/>
      </c>
      <c r="BP642" s="1452" t="str">
        <f t="shared" si="369"/>
        <v/>
      </c>
      <c r="BQ642" s="1452" t="str">
        <f t="shared" si="370"/>
        <v/>
      </c>
      <c r="BR642" s="1452" t="str">
        <f t="shared" si="371"/>
        <v/>
      </c>
      <c r="BS642" s="1452" t="str">
        <f t="shared" si="372"/>
        <v/>
      </c>
      <c r="BT642" s="1452" t="str">
        <f t="shared" si="373"/>
        <v/>
      </c>
      <c r="BU642" s="1452" t="str">
        <f t="shared" si="374"/>
        <v/>
      </c>
      <c r="BV642" s="1452" t="str">
        <f t="shared" si="375"/>
        <v/>
      </c>
      <c r="BW642" s="1558">
        <f t="shared" ca="1" si="382"/>
        <v>0</v>
      </c>
    </row>
    <row r="643" spans="1:75" s="9" customFormat="1" ht="12.5">
      <c r="A643" s="1483" t="str">
        <f t="shared" si="376"/>
        <v>Public Health Wales Trust</v>
      </c>
      <c r="B643" s="1583"/>
      <c r="C643" s="1583"/>
      <c r="D643" s="1583"/>
      <c r="E643" s="1585"/>
      <c r="F643" s="1436"/>
      <c r="G643" s="1547">
        <f t="shared" si="377"/>
        <v>0</v>
      </c>
      <c r="H643" s="1484"/>
      <c r="I643" s="1547">
        <f t="shared" si="378"/>
        <v>0</v>
      </c>
      <c r="J643" s="1485"/>
      <c r="K643" s="1485"/>
      <c r="L643" s="1436"/>
      <c r="M643" s="1439"/>
      <c r="N643" s="1439"/>
      <c r="O643" s="1485"/>
      <c r="P643" s="1486"/>
      <c r="Q643" s="1486"/>
      <c r="R643" s="1487"/>
      <c r="S643" s="1444"/>
      <c r="T643" s="1444"/>
      <c r="U643" s="1444"/>
      <c r="V643" s="1488"/>
      <c r="W643" s="1488"/>
      <c r="X643" s="1488"/>
      <c r="Y643" s="1488"/>
      <c r="Z643" s="1488"/>
      <c r="AA643" s="1488"/>
      <c r="AB643" s="1488"/>
      <c r="AC643" s="1488"/>
      <c r="AD643" s="1488"/>
      <c r="AE643" s="1488"/>
      <c r="AF643" s="1488"/>
      <c r="AG643" s="1488"/>
      <c r="AH643" s="1451">
        <f t="shared" si="350"/>
        <v>0</v>
      </c>
      <c r="AI643" s="1488"/>
      <c r="AJ643" s="1488"/>
      <c r="AK643" s="1488"/>
      <c r="AL643" s="1488"/>
      <c r="AM643" s="1488"/>
      <c r="AN643" s="1488"/>
      <c r="AO643" s="1488"/>
      <c r="AP643" s="1488"/>
      <c r="AQ643" s="1488"/>
      <c r="AR643" s="1488"/>
      <c r="AS643" s="1488"/>
      <c r="AT643" s="1542"/>
      <c r="AU643" s="1599">
        <f t="shared" si="351"/>
        <v>0</v>
      </c>
      <c r="AV643" s="1544">
        <f t="shared" si="379"/>
        <v>0</v>
      </c>
      <c r="AW643" s="1452">
        <f t="shared" si="352"/>
        <v>0</v>
      </c>
      <c r="AX643" s="1452">
        <f t="shared" si="353"/>
        <v>0</v>
      </c>
      <c r="AY643" s="1452">
        <f t="shared" si="354"/>
        <v>0</v>
      </c>
      <c r="AZ643" s="1452">
        <f t="shared" si="355"/>
        <v>0</v>
      </c>
      <c r="BA643" s="1452">
        <f t="shared" si="356"/>
        <v>0</v>
      </c>
      <c r="BB643" s="1452">
        <f t="shared" si="357"/>
        <v>0</v>
      </c>
      <c r="BC643" s="1452">
        <f t="shared" si="358"/>
        <v>0</v>
      </c>
      <c r="BD643" s="1452">
        <f t="shared" si="359"/>
        <v>0</v>
      </c>
      <c r="BE643" s="1452">
        <f t="shared" si="360"/>
        <v>0</v>
      </c>
      <c r="BF643" s="1452">
        <f t="shared" si="361"/>
        <v>0</v>
      </c>
      <c r="BG643" s="1452">
        <f t="shared" si="362"/>
        <v>0</v>
      </c>
      <c r="BH643" s="1452">
        <f t="shared" si="363"/>
        <v>0</v>
      </c>
      <c r="BI643" s="1452">
        <f t="shared" si="380"/>
        <v>0</v>
      </c>
      <c r="BJ643" s="1452" t="str">
        <f t="shared" si="364"/>
        <v/>
      </c>
      <c r="BK643" s="1452" t="str">
        <f t="shared" si="365"/>
        <v/>
      </c>
      <c r="BL643" s="1452" t="str">
        <f t="shared" si="366"/>
        <v/>
      </c>
      <c r="BM643" s="1452" t="str">
        <f t="shared" si="367"/>
        <v/>
      </c>
      <c r="BN643" s="1452" t="str">
        <f t="shared" ca="1" si="368"/>
        <v/>
      </c>
      <c r="BO643" s="1452" t="str">
        <f t="shared" si="381"/>
        <v/>
      </c>
      <c r="BP643" s="1452" t="str">
        <f t="shared" si="369"/>
        <v/>
      </c>
      <c r="BQ643" s="1452" t="str">
        <f t="shared" si="370"/>
        <v/>
      </c>
      <c r="BR643" s="1452" t="str">
        <f t="shared" si="371"/>
        <v/>
      </c>
      <c r="BS643" s="1452" t="str">
        <f t="shared" si="372"/>
        <v/>
      </c>
      <c r="BT643" s="1452" t="str">
        <f t="shared" si="373"/>
        <v/>
      </c>
      <c r="BU643" s="1452" t="str">
        <f t="shared" si="374"/>
        <v/>
      </c>
      <c r="BV643" s="1452" t="str">
        <f t="shared" si="375"/>
        <v/>
      </c>
      <c r="BW643" s="1558">
        <f t="shared" ca="1" si="382"/>
        <v>0</v>
      </c>
    </row>
    <row r="644" spans="1:75" s="9" customFormat="1" ht="12.5">
      <c r="A644" s="1483" t="str">
        <f t="shared" si="376"/>
        <v>Public Health Wales Trust</v>
      </c>
      <c r="B644" s="1583"/>
      <c r="C644" s="1583"/>
      <c r="D644" s="1583"/>
      <c r="E644" s="1585"/>
      <c r="F644" s="1436"/>
      <c r="G644" s="1547">
        <f t="shared" si="377"/>
        <v>0</v>
      </c>
      <c r="H644" s="1484"/>
      <c r="I644" s="1547">
        <f t="shared" si="378"/>
        <v>0</v>
      </c>
      <c r="J644" s="1485"/>
      <c r="K644" s="1485"/>
      <c r="L644" s="1436"/>
      <c r="M644" s="1439"/>
      <c r="N644" s="1439"/>
      <c r="O644" s="1485"/>
      <c r="P644" s="1486"/>
      <c r="Q644" s="1486"/>
      <c r="R644" s="1487"/>
      <c r="S644" s="1444"/>
      <c r="T644" s="1444"/>
      <c r="U644" s="1444"/>
      <c r="V644" s="1488"/>
      <c r="W644" s="1488"/>
      <c r="X644" s="1488"/>
      <c r="Y644" s="1488"/>
      <c r="Z644" s="1488"/>
      <c r="AA644" s="1488"/>
      <c r="AB644" s="1488"/>
      <c r="AC644" s="1488"/>
      <c r="AD644" s="1488"/>
      <c r="AE644" s="1488"/>
      <c r="AF644" s="1488"/>
      <c r="AG644" s="1488"/>
      <c r="AH644" s="1451">
        <f t="shared" si="350"/>
        <v>0</v>
      </c>
      <c r="AI644" s="1488"/>
      <c r="AJ644" s="1488"/>
      <c r="AK644" s="1488"/>
      <c r="AL644" s="1488"/>
      <c r="AM644" s="1488"/>
      <c r="AN644" s="1488"/>
      <c r="AO644" s="1488"/>
      <c r="AP644" s="1488"/>
      <c r="AQ644" s="1488"/>
      <c r="AR644" s="1488"/>
      <c r="AS644" s="1488"/>
      <c r="AT644" s="1542"/>
      <c r="AU644" s="1599">
        <f t="shared" si="351"/>
        <v>0</v>
      </c>
      <c r="AV644" s="1544">
        <f t="shared" si="379"/>
        <v>0</v>
      </c>
      <c r="AW644" s="1452">
        <f t="shared" si="352"/>
        <v>0</v>
      </c>
      <c r="AX644" s="1452">
        <f t="shared" si="353"/>
        <v>0</v>
      </c>
      <c r="AY644" s="1452">
        <f t="shared" si="354"/>
        <v>0</v>
      </c>
      <c r="AZ644" s="1452">
        <f t="shared" si="355"/>
        <v>0</v>
      </c>
      <c r="BA644" s="1452">
        <f t="shared" si="356"/>
        <v>0</v>
      </c>
      <c r="BB644" s="1452">
        <f t="shared" si="357"/>
        <v>0</v>
      </c>
      <c r="BC644" s="1452">
        <f t="shared" si="358"/>
        <v>0</v>
      </c>
      <c r="BD644" s="1452">
        <f t="shared" si="359"/>
        <v>0</v>
      </c>
      <c r="BE644" s="1452">
        <f t="shared" si="360"/>
        <v>0</v>
      </c>
      <c r="BF644" s="1452">
        <f t="shared" si="361"/>
        <v>0</v>
      </c>
      <c r="BG644" s="1452">
        <f t="shared" si="362"/>
        <v>0</v>
      </c>
      <c r="BH644" s="1452">
        <f t="shared" si="363"/>
        <v>0</v>
      </c>
      <c r="BI644" s="1452">
        <f t="shared" si="380"/>
        <v>0</v>
      </c>
      <c r="BJ644" s="1452" t="str">
        <f t="shared" si="364"/>
        <v/>
      </c>
      <c r="BK644" s="1452" t="str">
        <f t="shared" si="365"/>
        <v/>
      </c>
      <c r="BL644" s="1452" t="str">
        <f t="shared" si="366"/>
        <v/>
      </c>
      <c r="BM644" s="1452" t="str">
        <f t="shared" si="367"/>
        <v/>
      </c>
      <c r="BN644" s="1452" t="str">
        <f t="shared" ca="1" si="368"/>
        <v/>
      </c>
      <c r="BO644" s="1452" t="str">
        <f t="shared" si="381"/>
        <v/>
      </c>
      <c r="BP644" s="1452" t="str">
        <f t="shared" si="369"/>
        <v/>
      </c>
      <c r="BQ644" s="1452" t="str">
        <f t="shared" si="370"/>
        <v/>
      </c>
      <c r="BR644" s="1452" t="str">
        <f t="shared" si="371"/>
        <v/>
      </c>
      <c r="BS644" s="1452" t="str">
        <f t="shared" si="372"/>
        <v/>
      </c>
      <c r="BT644" s="1452" t="str">
        <f t="shared" si="373"/>
        <v/>
      </c>
      <c r="BU644" s="1452" t="str">
        <f t="shared" si="374"/>
        <v/>
      </c>
      <c r="BV644" s="1452" t="str">
        <f t="shared" si="375"/>
        <v/>
      </c>
      <c r="BW644" s="1558">
        <f t="shared" ca="1" si="382"/>
        <v>0</v>
      </c>
    </row>
    <row r="645" spans="1:75" s="9" customFormat="1" ht="12.5">
      <c r="A645" s="1483" t="str">
        <f t="shared" si="376"/>
        <v>Public Health Wales Trust</v>
      </c>
      <c r="B645" s="1583"/>
      <c r="C645" s="1583"/>
      <c r="D645" s="1583"/>
      <c r="E645" s="1585"/>
      <c r="F645" s="1436"/>
      <c r="G645" s="1547">
        <f t="shared" si="377"/>
        <v>0</v>
      </c>
      <c r="H645" s="1484"/>
      <c r="I645" s="1547">
        <f t="shared" si="378"/>
        <v>0</v>
      </c>
      <c r="J645" s="1485"/>
      <c r="K645" s="1485"/>
      <c r="L645" s="1436"/>
      <c r="M645" s="1439"/>
      <c r="N645" s="1439"/>
      <c r="O645" s="1485"/>
      <c r="P645" s="1486"/>
      <c r="Q645" s="1486"/>
      <c r="R645" s="1487"/>
      <c r="S645" s="1444"/>
      <c r="T645" s="1444"/>
      <c r="U645" s="1444"/>
      <c r="V645" s="1488"/>
      <c r="W645" s="1488"/>
      <c r="X645" s="1488"/>
      <c r="Y645" s="1488"/>
      <c r="Z645" s="1488"/>
      <c r="AA645" s="1488"/>
      <c r="AB645" s="1488"/>
      <c r="AC645" s="1488"/>
      <c r="AD645" s="1488"/>
      <c r="AE645" s="1488"/>
      <c r="AF645" s="1488"/>
      <c r="AG645" s="1488"/>
      <c r="AH645" s="1451">
        <f t="shared" si="350"/>
        <v>0</v>
      </c>
      <c r="AI645" s="1488"/>
      <c r="AJ645" s="1488"/>
      <c r="AK645" s="1488"/>
      <c r="AL645" s="1488"/>
      <c r="AM645" s="1488"/>
      <c r="AN645" s="1488"/>
      <c r="AO645" s="1488"/>
      <c r="AP645" s="1488"/>
      <c r="AQ645" s="1488"/>
      <c r="AR645" s="1488"/>
      <c r="AS645" s="1488"/>
      <c r="AT645" s="1542"/>
      <c r="AU645" s="1599">
        <f t="shared" si="351"/>
        <v>0</v>
      </c>
      <c r="AV645" s="1544">
        <f t="shared" si="379"/>
        <v>0</v>
      </c>
      <c r="AW645" s="1452">
        <f t="shared" si="352"/>
        <v>0</v>
      </c>
      <c r="AX645" s="1452">
        <f t="shared" si="353"/>
        <v>0</v>
      </c>
      <c r="AY645" s="1452">
        <f t="shared" si="354"/>
        <v>0</v>
      </c>
      <c r="AZ645" s="1452">
        <f t="shared" si="355"/>
        <v>0</v>
      </c>
      <c r="BA645" s="1452">
        <f t="shared" si="356"/>
        <v>0</v>
      </c>
      <c r="BB645" s="1452">
        <f t="shared" si="357"/>
        <v>0</v>
      </c>
      <c r="BC645" s="1452">
        <f t="shared" si="358"/>
        <v>0</v>
      </c>
      <c r="BD645" s="1452">
        <f t="shared" si="359"/>
        <v>0</v>
      </c>
      <c r="BE645" s="1452">
        <f t="shared" si="360"/>
        <v>0</v>
      </c>
      <c r="BF645" s="1452">
        <f t="shared" si="361"/>
        <v>0</v>
      </c>
      <c r="BG645" s="1452">
        <f t="shared" si="362"/>
        <v>0</v>
      </c>
      <c r="BH645" s="1452">
        <f t="shared" si="363"/>
        <v>0</v>
      </c>
      <c r="BI645" s="1452">
        <f t="shared" si="380"/>
        <v>0</v>
      </c>
      <c r="BJ645" s="1452" t="str">
        <f t="shared" si="364"/>
        <v/>
      </c>
      <c r="BK645" s="1452" t="str">
        <f t="shared" si="365"/>
        <v/>
      </c>
      <c r="BL645" s="1452" t="str">
        <f t="shared" si="366"/>
        <v/>
      </c>
      <c r="BM645" s="1452" t="str">
        <f t="shared" si="367"/>
        <v/>
      </c>
      <c r="BN645" s="1452" t="str">
        <f t="shared" ca="1" si="368"/>
        <v/>
      </c>
      <c r="BO645" s="1452" t="str">
        <f t="shared" si="381"/>
        <v/>
      </c>
      <c r="BP645" s="1452" t="str">
        <f t="shared" si="369"/>
        <v/>
      </c>
      <c r="BQ645" s="1452" t="str">
        <f t="shared" si="370"/>
        <v/>
      </c>
      <c r="BR645" s="1452" t="str">
        <f t="shared" si="371"/>
        <v/>
      </c>
      <c r="BS645" s="1452" t="str">
        <f t="shared" si="372"/>
        <v/>
      </c>
      <c r="BT645" s="1452" t="str">
        <f t="shared" si="373"/>
        <v/>
      </c>
      <c r="BU645" s="1452" t="str">
        <f t="shared" si="374"/>
        <v/>
      </c>
      <c r="BV645" s="1452" t="str">
        <f t="shared" si="375"/>
        <v/>
      </c>
      <c r="BW645" s="1558">
        <f t="shared" ca="1" si="382"/>
        <v>0</v>
      </c>
    </row>
    <row r="646" spans="1:75" s="9" customFormat="1" ht="12.5">
      <c r="A646" s="1483" t="str">
        <f t="shared" si="376"/>
        <v>Public Health Wales Trust</v>
      </c>
      <c r="B646" s="1583"/>
      <c r="C646" s="1583"/>
      <c r="D646" s="1583"/>
      <c r="E646" s="1585"/>
      <c r="F646" s="1436"/>
      <c r="G646" s="1547">
        <f t="shared" si="377"/>
        <v>0</v>
      </c>
      <c r="H646" s="1484"/>
      <c r="I646" s="1547">
        <f t="shared" si="378"/>
        <v>0</v>
      </c>
      <c r="J646" s="1485"/>
      <c r="K646" s="1485"/>
      <c r="L646" s="1436"/>
      <c r="M646" s="1439"/>
      <c r="N646" s="1439"/>
      <c r="O646" s="1485"/>
      <c r="P646" s="1486"/>
      <c r="Q646" s="1486"/>
      <c r="R646" s="1487"/>
      <c r="S646" s="1444"/>
      <c r="T646" s="1444"/>
      <c r="U646" s="1444"/>
      <c r="V646" s="1488"/>
      <c r="W646" s="1488"/>
      <c r="X646" s="1488"/>
      <c r="Y646" s="1488"/>
      <c r="Z646" s="1488"/>
      <c r="AA646" s="1488"/>
      <c r="AB646" s="1488"/>
      <c r="AC646" s="1488"/>
      <c r="AD646" s="1488"/>
      <c r="AE646" s="1488"/>
      <c r="AF646" s="1488"/>
      <c r="AG646" s="1488"/>
      <c r="AH646" s="1451">
        <f t="shared" si="350"/>
        <v>0</v>
      </c>
      <c r="AI646" s="1488"/>
      <c r="AJ646" s="1488"/>
      <c r="AK646" s="1488"/>
      <c r="AL646" s="1488"/>
      <c r="AM646" s="1488"/>
      <c r="AN646" s="1488"/>
      <c r="AO646" s="1488"/>
      <c r="AP646" s="1488"/>
      <c r="AQ646" s="1488"/>
      <c r="AR646" s="1488"/>
      <c r="AS646" s="1488"/>
      <c r="AT646" s="1542"/>
      <c r="AU646" s="1599">
        <f t="shared" si="351"/>
        <v>0</v>
      </c>
      <c r="AV646" s="1544">
        <f t="shared" si="379"/>
        <v>0</v>
      </c>
      <c r="AW646" s="1452">
        <f t="shared" si="352"/>
        <v>0</v>
      </c>
      <c r="AX646" s="1452">
        <f t="shared" si="353"/>
        <v>0</v>
      </c>
      <c r="AY646" s="1452">
        <f t="shared" si="354"/>
        <v>0</v>
      </c>
      <c r="AZ646" s="1452">
        <f t="shared" si="355"/>
        <v>0</v>
      </c>
      <c r="BA646" s="1452">
        <f t="shared" si="356"/>
        <v>0</v>
      </c>
      <c r="BB646" s="1452">
        <f t="shared" si="357"/>
        <v>0</v>
      </c>
      <c r="BC646" s="1452">
        <f t="shared" si="358"/>
        <v>0</v>
      </c>
      <c r="BD646" s="1452">
        <f t="shared" si="359"/>
        <v>0</v>
      </c>
      <c r="BE646" s="1452">
        <f t="shared" si="360"/>
        <v>0</v>
      </c>
      <c r="BF646" s="1452">
        <f t="shared" si="361"/>
        <v>0</v>
      </c>
      <c r="BG646" s="1452">
        <f t="shared" si="362"/>
        <v>0</v>
      </c>
      <c r="BH646" s="1452">
        <f t="shared" si="363"/>
        <v>0</v>
      </c>
      <c r="BI646" s="1452">
        <f t="shared" si="380"/>
        <v>0</v>
      </c>
      <c r="BJ646" s="1452" t="str">
        <f t="shared" si="364"/>
        <v/>
      </c>
      <c r="BK646" s="1452" t="str">
        <f t="shared" si="365"/>
        <v/>
      </c>
      <c r="BL646" s="1452" t="str">
        <f t="shared" si="366"/>
        <v/>
      </c>
      <c r="BM646" s="1452" t="str">
        <f t="shared" si="367"/>
        <v/>
      </c>
      <c r="BN646" s="1452" t="str">
        <f t="shared" ca="1" si="368"/>
        <v/>
      </c>
      <c r="BO646" s="1452" t="str">
        <f t="shared" si="381"/>
        <v/>
      </c>
      <c r="BP646" s="1452" t="str">
        <f t="shared" si="369"/>
        <v/>
      </c>
      <c r="BQ646" s="1452" t="str">
        <f t="shared" si="370"/>
        <v/>
      </c>
      <c r="BR646" s="1452" t="str">
        <f t="shared" si="371"/>
        <v/>
      </c>
      <c r="BS646" s="1452" t="str">
        <f t="shared" si="372"/>
        <v/>
      </c>
      <c r="BT646" s="1452" t="str">
        <f t="shared" si="373"/>
        <v/>
      </c>
      <c r="BU646" s="1452" t="str">
        <f t="shared" si="374"/>
        <v/>
      </c>
      <c r="BV646" s="1452" t="str">
        <f t="shared" si="375"/>
        <v/>
      </c>
      <c r="BW646" s="1558">
        <f t="shared" ca="1" si="382"/>
        <v>0</v>
      </c>
    </row>
    <row r="647" spans="1:75" s="9" customFormat="1" ht="12.5">
      <c r="A647" s="1483" t="str">
        <f t="shared" si="376"/>
        <v>Public Health Wales Trust</v>
      </c>
      <c r="B647" s="1583"/>
      <c r="C647" s="1583"/>
      <c r="D647" s="1583"/>
      <c r="E647" s="1585"/>
      <c r="F647" s="1436"/>
      <c r="G647" s="1547">
        <f t="shared" si="377"/>
        <v>0</v>
      </c>
      <c r="H647" s="1484"/>
      <c r="I647" s="1547">
        <f t="shared" si="378"/>
        <v>0</v>
      </c>
      <c r="J647" s="1485"/>
      <c r="K647" s="1485"/>
      <c r="L647" s="1436"/>
      <c r="M647" s="1439"/>
      <c r="N647" s="1439"/>
      <c r="O647" s="1485"/>
      <c r="P647" s="1486"/>
      <c r="Q647" s="1486"/>
      <c r="R647" s="1487"/>
      <c r="S647" s="1444"/>
      <c r="T647" s="1444"/>
      <c r="U647" s="1444"/>
      <c r="V647" s="1488"/>
      <c r="W647" s="1488"/>
      <c r="X647" s="1488"/>
      <c r="Y647" s="1488"/>
      <c r="Z647" s="1488"/>
      <c r="AA647" s="1488"/>
      <c r="AB647" s="1488"/>
      <c r="AC647" s="1488"/>
      <c r="AD647" s="1488"/>
      <c r="AE647" s="1488"/>
      <c r="AF647" s="1488"/>
      <c r="AG647" s="1488"/>
      <c r="AH647" s="1451">
        <f t="shared" si="350"/>
        <v>0</v>
      </c>
      <c r="AI647" s="1488"/>
      <c r="AJ647" s="1488"/>
      <c r="AK647" s="1488"/>
      <c r="AL647" s="1488"/>
      <c r="AM647" s="1488"/>
      <c r="AN647" s="1488"/>
      <c r="AO647" s="1488"/>
      <c r="AP647" s="1488"/>
      <c r="AQ647" s="1488"/>
      <c r="AR647" s="1488"/>
      <c r="AS647" s="1488"/>
      <c r="AT647" s="1542"/>
      <c r="AU647" s="1599">
        <f t="shared" si="351"/>
        <v>0</v>
      </c>
      <c r="AV647" s="1544">
        <f t="shared" si="379"/>
        <v>0</v>
      </c>
      <c r="AW647" s="1452">
        <f t="shared" si="352"/>
        <v>0</v>
      </c>
      <c r="AX647" s="1452">
        <f t="shared" si="353"/>
        <v>0</v>
      </c>
      <c r="AY647" s="1452">
        <f t="shared" si="354"/>
        <v>0</v>
      </c>
      <c r="AZ647" s="1452">
        <f t="shared" si="355"/>
        <v>0</v>
      </c>
      <c r="BA647" s="1452">
        <f t="shared" si="356"/>
        <v>0</v>
      </c>
      <c r="BB647" s="1452">
        <f t="shared" si="357"/>
        <v>0</v>
      </c>
      <c r="BC647" s="1452">
        <f t="shared" si="358"/>
        <v>0</v>
      </c>
      <c r="BD647" s="1452">
        <f t="shared" si="359"/>
        <v>0</v>
      </c>
      <c r="BE647" s="1452">
        <f t="shared" si="360"/>
        <v>0</v>
      </c>
      <c r="BF647" s="1452">
        <f t="shared" si="361"/>
        <v>0</v>
      </c>
      <c r="BG647" s="1452">
        <f t="shared" si="362"/>
        <v>0</v>
      </c>
      <c r="BH647" s="1452">
        <f t="shared" si="363"/>
        <v>0</v>
      </c>
      <c r="BI647" s="1452">
        <f t="shared" si="380"/>
        <v>0</v>
      </c>
      <c r="BJ647" s="1452" t="str">
        <f t="shared" si="364"/>
        <v/>
      </c>
      <c r="BK647" s="1452" t="str">
        <f t="shared" si="365"/>
        <v/>
      </c>
      <c r="BL647" s="1452" t="str">
        <f t="shared" si="366"/>
        <v/>
      </c>
      <c r="BM647" s="1452" t="str">
        <f t="shared" si="367"/>
        <v/>
      </c>
      <c r="BN647" s="1452" t="str">
        <f t="shared" ca="1" si="368"/>
        <v/>
      </c>
      <c r="BO647" s="1452" t="str">
        <f t="shared" si="381"/>
        <v/>
      </c>
      <c r="BP647" s="1452" t="str">
        <f t="shared" si="369"/>
        <v/>
      </c>
      <c r="BQ647" s="1452" t="str">
        <f t="shared" si="370"/>
        <v/>
      </c>
      <c r="BR647" s="1452" t="str">
        <f t="shared" si="371"/>
        <v/>
      </c>
      <c r="BS647" s="1452" t="str">
        <f t="shared" si="372"/>
        <v/>
      </c>
      <c r="BT647" s="1452" t="str">
        <f t="shared" si="373"/>
        <v/>
      </c>
      <c r="BU647" s="1452" t="str">
        <f t="shared" si="374"/>
        <v/>
      </c>
      <c r="BV647" s="1452" t="str">
        <f t="shared" si="375"/>
        <v/>
      </c>
      <c r="BW647" s="1558">
        <f t="shared" ca="1" si="382"/>
        <v>0</v>
      </c>
    </row>
    <row r="648" spans="1:75" s="9" customFormat="1" ht="12.5">
      <c r="A648" s="1483" t="str">
        <f t="shared" si="376"/>
        <v>Public Health Wales Trust</v>
      </c>
      <c r="B648" s="1583"/>
      <c r="C648" s="1583"/>
      <c r="D648" s="1583"/>
      <c r="E648" s="1585"/>
      <c r="F648" s="1436"/>
      <c r="G648" s="1547">
        <f t="shared" si="377"/>
        <v>0</v>
      </c>
      <c r="H648" s="1484"/>
      <c r="I648" s="1547">
        <f t="shared" si="378"/>
        <v>0</v>
      </c>
      <c r="J648" s="1485"/>
      <c r="K648" s="1485"/>
      <c r="L648" s="1436"/>
      <c r="M648" s="1439"/>
      <c r="N648" s="1439"/>
      <c r="O648" s="1485"/>
      <c r="P648" s="1486"/>
      <c r="Q648" s="1486"/>
      <c r="R648" s="1487"/>
      <c r="S648" s="1444"/>
      <c r="T648" s="1444"/>
      <c r="U648" s="1444"/>
      <c r="V648" s="1488"/>
      <c r="W648" s="1488"/>
      <c r="X648" s="1488"/>
      <c r="Y648" s="1488"/>
      <c r="Z648" s="1488"/>
      <c r="AA648" s="1488"/>
      <c r="AB648" s="1488"/>
      <c r="AC648" s="1488"/>
      <c r="AD648" s="1488"/>
      <c r="AE648" s="1488"/>
      <c r="AF648" s="1488"/>
      <c r="AG648" s="1488"/>
      <c r="AH648" s="1451">
        <f t="shared" si="350"/>
        <v>0</v>
      </c>
      <c r="AI648" s="1488"/>
      <c r="AJ648" s="1488"/>
      <c r="AK648" s="1488"/>
      <c r="AL648" s="1488"/>
      <c r="AM648" s="1488"/>
      <c r="AN648" s="1488"/>
      <c r="AO648" s="1488"/>
      <c r="AP648" s="1488"/>
      <c r="AQ648" s="1488"/>
      <c r="AR648" s="1488"/>
      <c r="AS648" s="1488"/>
      <c r="AT648" s="1542"/>
      <c r="AU648" s="1599">
        <f t="shared" si="351"/>
        <v>0</v>
      </c>
      <c r="AV648" s="1544">
        <f t="shared" si="379"/>
        <v>0</v>
      </c>
      <c r="AW648" s="1452">
        <f t="shared" si="352"/>
        <v>0</v>
      </c>
      <c r="AX648" s="1452">
        <f t="shared" si="353"/>
        <v>0</v>
      </c>
      <c r="AY648" s="1452">
        <f t="shared" si="354"/>
        <v>0</v>
      </c>
      <c r="AZ648" s="1452">
        <f t="shared" si="355"/>
        <v>0</v>
      </c>
      <c r="BA648" s="1452">
        <f t="shared" si="356"/>
        <v>0</v>
      </c>
      <c r="BB648" s="1452">
        <f t="shared" si="357"/>
        <v>0</v>
      </c>
      <c r="BC648" s="1452">
        <f t="shared" si="358"/>
        <v>0</v>
      </c>
      <c r="BD648" s="1452">
        <f t="shared" si="359"/>
        <v>0</v>
      </c>
      <c r="BE648" s="1452">
        <f t="shared" si="360"/>
        <v>0</v>
      </c>
      <c r="BF648" s="1452">
        <f t="shared" si="361"/>
        <v>0</v>
      </c>
      <c r="BG648" s="1452">
        <f t="shared" si="362"/>
        <v>0</v>
      </c>
      <c r="BH648" s="1452">
        <f t="shared" si="363"/>
        <v>0</v>
      </c>
      <c r="BI648" s="1452">
        <f t="shared" si="380"/>
        <v>0</v>
      </c>
      <c r="BJ648" s="1452" t="str">
        <f t="shared" si="364"/>
        <v/>
      </c>
      <c r="BK648" s="1452" t="str">
        <f t="shared" si="365"/>
        <v/>
      </c>
      <c r="BL648" s="1452" t="str">
        <f t="shared" si="366"/>
        <v/>
      </c>
      <c r="BM648" s="1452" t="str">
        <f t="shared" si="367"/>
        <v/>
      </c>
      <c r="BN648" s="1452" t="str">
        <f t="shared" ca="1" si="368"/>
        <v/>
      </c>
      <c r="BO648" s="1452" t="str">
        <f t="shared" si="381"/>
        <v/>
      </c>
      <c r="BP648" s="1452" t="str">
        <f t="shared" si="369"/>
        <v/>
      </c>
      <c r="BQ648" s="1452" t="str">
        <f t="shared" si="370"/>
        <v/>
      </c>
      <c r="BR648" s="1452" t="str">
        <f t="shared" si="371"/>
        <v/>
      </c>
      <c r="BS648" s="1452" t="str">
        <f t="shared" si="372"/>
        <v/>
      </c>
      <c r="BT648" s="1452" t="str">
        <f t="shared" si="373"/>
        <v/>
      </c>
      <c r="BU648" s="1452" t="str">
        <f t="shared" si="374"/>
        <v/>
      </c>
      <c r="BV648" s="1452" t="str">
        <f t="shared" si="375"/>
        <v/>
      </c>
      <c r="BW648" s="1558">
        <f t="shared" ca="1" si="382"/>
        <v>0</v>
      </c>
    </row>
    <row r="649" spans="1:75" s="9" customFormat="1" ht="12.5">
      <c r="A649" s="1483" t="str">
        <f t="shared" si="376"/>
        <v>Public Health Wales Trust</v>
      </c>
      <c r="B649" s="1583"/>
      <c r="C649" s="1583"/>
      <c r="D649" s="1583"/>
      <c r="E649" s="1585"/>
      <c r="F649" s="1436"/>
      <c r="G649" s="1547">
        <f t="shared" si="377"/>
        <v>0</v>
      </c>
      <c r="H649" s="1484"/>
      <c r="I649" s="1547">
        <f t="shared" si="378"/>
        <v>0</v>
      </c>
      <c r="J649" s="1485"/>
      <c r="K649" s="1485"/>
      <c r="L649" s="1436"/>
      <c r="M649" s="1439"/>
      <c r="N649" s="1439"/>
      <c r="O649" s="1485"/>
      <c r="P649" s="1486"/>
      <c r="Q649" s="1486"/>
      <c r="R649" s="1487"/>
      <c r="S649" s="1444"/>
      <c r="T649" s="1444"/>
      <c r="U649" s="1444"/>
      <c r="V649" s="1488"/>
      <c r="W649" s="1488"/>
      <c r="X649" s="1488"/>
      <c r="Y649" s="1488"/>
      <c r="Z649" s="1488"/>
      <c r="AA649" s="1488"/>
      <c r="AB649" s="1488"/>
      <c r="AC649" s="1488"/>
      <c r="AD649" s="1488"/>
      <c r="AE649" s="1488"/>
      <c r="AF649" s="1488"/>
      <c r="AG649" s="1488"/>
      <c r="AH649" s="1451">
        <f t="shared" si="350"/>
        <v>0</v>
      </c>
      <c r="AI649" s="1488"/>
      <c r="AJ649" s="1488"/>
      <c r="AK649" s="1488"/>
      <c r="AL649" s="1488"/>
      <c r="AM649" s="1488"/>
      <c r="AN649" s="1488"/>
      <c r="AO649" s="1488"/>
      <c r="AP649" s="1488"/>
      <c r="AQ649" s="1488"/>
      <c r="AR649" s="1488"/>
      <c r="AS649" s="1488"/>
      <c r="AT649" s="1542"/>
      <c r="AU649" s="1599">
        <f t="shared" si="351"/>
        <v>0</v>
      </c>
      <c r="AV649" s="1544">
        <f t="shared" si="379"/>
        <v>0</v>
      </c>
      <c r="AW649" s="1452">
        <f t="shared" si="352"/>
        <v>0</v>
      </c>
      <c r="AX649" s="1452">
        <f t="shared" si="353"/>
        <v>0</v>
      </c>
      <c r="AY649" s="1452">
        <f t="shared" si="354"/>
        <v>0</v>
      </c>
      <c r="AZ649" s="1452">
        <f t="shared" si="355"/>
        <v>0</v>
      </c>
      <c r="BA649" s="1452">
        <f t="shared" si="356"/>
        <v>0</v>
      </c>
      <c r="BB649" s="1452">
        <f t="shared" si="357"/>
        <v>0</v>
      </c>
      <c r="BC649" s="1452">
        <f t="shared" si="358"/>
        <v>0</v>
      </c>
      <c r="BD649" s="1452">
        <f t="shared" si="359"/>
        <v>0</v>
      </c>
      <c r="BE649" s="1452">
        <f t="shared" si="360"/>
        <v>0</v>
      </c>
      <c r="BF649" s="1452">
        <f t="shared" si="361"/>
        <v>0</v>
      </c>
      <c r="BG649" s="1452">
        <f t="shared" si="362"/>
        <v>0</v>
      </c>
      <c r="BH649" s="1452">
        <f t="shared" si="363"/>
        <v>0</v>
      </c>
      <c r="BI649" s="1452">
        <f t="shared" si="380"/>
        <v>0</v>
      </c>
      <c r="BJ649" s="1452" t="str">
        <f t="shared" si="364"/>
        <v/>
      </c>
      <c r="BK649" s="1452" t="str">
        <f t="shared" si="365"/>
        <v/>
      </c>
      <c r="BL649" s="1452" t="str">
        <f t="shared" si="366"/>
        <v/>
      </c>
      <c r="BM649" s="1452" t="str">
        <f t="shared" si="367"/>
        <v/>
      </c>
      <c r="BN649" s="1452" t="str">
        <f t="shared" ca="1" si="368"/>
        <v/>
      </c>
      <c r="BO649" s="1452" t="str">
        <f t="shared" si="381"/>
        <v/>
      </c>
      <c r="BP649" s="1452" t="str">
        <f t="shared" si="369"/>
        <v/>
      </c>
      <c r="BQ649" s="1452" t="str">
        <f t="shared" si="370"/>
        <v/>
      </c>
      <c r="BR649" s="1452" t="str">
        <f t="shared" si="371"/>
        <v/>
      </c>
      <c r="BS649" s="1452" t="str">
        <f t="shared" si="372"/>
        <v/>
      </c>
      <c r="BT649" s="1452" t="str">
        <f t="shared" si="373"/>
        <v/>
      </c>
      <c r="BU649" s="1452" t="str">
        <f t="shared" si="374"/>
        <v/>
      </c>
      <c r="BV649" s="1452" t="str">
        <f t="shared" si="375"/>
        <v/>
      </c>
      <c r="BW649" s="1558">
        <f t="shared" ca="1" si="382"/>
        <v>0</v>
      </c>
    </row>
    <row r="650" spans="1:75" s="9" customFormat="1" ht="12.5">
      <c r="A650" s="1483" t="str">
        <f t="shared" si="376"/>
        <v>Public Health Wales Trust</v>
      </c>
      <c r="B650" s="1583"/>
      <c r="C650" s="1583"/>
      <c r="D650" s="1583"/>
      <c r="E650" s="1585"/>
      <c r="F650" s="1436"/>
      <c r="G650" s="1547">
        <f t="shared" si="377"/>
        <v>0</v>
      </c>
      <c r="H650" s="1484"/>
      <c r="I650" s="1547">
        <f t="shared" si="378"/>
        <v>0</v>
      </c>
      <c r="J650" s="1485"/>
      <c r="K650" s="1485"/>
      <c r="L650" s="1436"/>
      <c r="M650" s="1439"/>
      <c r="N650" s="1439"/>
      <c r="O650" s="1485"/>
      <c r="P650" s="1486"/>
      <c r="Q650" s="1486"/>
      <c r="R650" s="1487"/>
      <c r="S650" s="1444"/>
      <c r="T650" s="1444"/>
      <c r="U650" s="1444"/>
      <c r="V650" s="1488"/>
      <c r="W650" s="1488"/>
      <c r="X650" s="1488"/>
      <c r="Y650" s="1488"/>
      <c r="Z650" s="1488"/>
      <c r="AA650" s="1488"/>
      <c r="AB650" s="1488"/>
      <c r="AC650" s="1488"/>
      <c r="AD650" s="1488"/>
      <c r="AE650" s="1488"/>
      <c r="AF650" s="1488"/>
      <c r="AG650" s="1488"/>
      <c r="AH650" s="1451">
        <f t="shared" si="350"/>
        <v>0</v>
      </c>
      <c r="AI650" s="1488"/>
      <c r="AJ650" s="1488"/>
      <c r="AK650" s="1488"/>
      <c r="AL650" s="1488"/>
      <c r="AM650" s="1488"/>
      <c r="AN650" s="1488"/>
      <c r="AO650" s="1488"/>
      <c r="AP650" s="1488"/>
      <c r="AQ650" s="1488"/>
      <c r="AR650" s="1488"/>
      <c r="AS650" s="1488"/>
      <c r="AT650" s="1542"/>
      <c r="AU650" s="1599">
        <f t="shared" si="351"/>
        <v>0</v>
      </c>
      <c r="AV650" s="1544">
        <f t="shared" si="379"/>
        <v>0</v>
      </c>
      <c r="AW650" s="1452">
        <f t="shared" si="352"/>
        <v>0</v>
      </c>
      <c r="AX650" s="1452">
        <f t="shared" si="353"/>
        <v>0</v>
      </c>
      <c r="AY650" s="1452">
        <f t="shared" si="354"/>
        <v>0</v>
      </c>
      <c r="AZ650" s="1452">
        <f t="shared" si="355"/>
        <v>0</v>
      </c>
      <c r="BA650" s="1452">
        <f t="shared" si="356"/>
        <v>0</v>
      </c>
      <c r="BB650" s="1452">
        <f t="shared" si="357"/>
        <v>0</v>
      </c>
      <c r="BC650" s="1452">
        <f t="shared" si="358"/>
        <v>0</v>
      </c>
      <c r="BD650" s="1452">
        <f t="shared" si="359"/>
        <v>0</v>
      </c>
      <c r="BE650" s="1452">
        <f t="shared" si="360"/>
        <v>0</v>
      </c>
      <c r="BF650" s="1452">
        <f t="shared" si="361"/>
        <v>0</v>
      </c>
      <c r="BG650" s="1452">
        <f t="shared" si="362"/>
        <v>0</v>
      </c>
      <c r="BH650" s="1452">
        <f t="shared" si="363"/>
        <v>0</v>
      </c>
      <c r="BI650" s="1452">
        <f t="shared" si="380"/>
        <v>0</v>
      </c>
      <c r="BJ650" s="1452" t="str">
        <f t="shared" si="364"/>
        <v/>
      </c>
      <c r="BK650" s="1452" t="str">
        <f t="shared" si="365"/>
        <v/>
      </c>
      <c r="BL650" s="1452" t="str">
        <f t="shared" si="366"/>
        <v/>
      </c>
      <c r="BM650" s="1452" t="str">
        <f t="shared" si="367"/>
        <v/>
      </c>
      <c r="BN650" s="1452" t="str">
        <f t="shared" ca="1" si="368"/>
        <v/>
      </c>
      <c r="BO650" s="1452" t="str">
        <f t="shared" si="381"/>
        <v/>
      </c>
      <c r="BP650" s="1452" t="str">
        <f t="shared" si="369"/>
        <v/>
      </c>
      <c r="BQ650" s="1452" t="str">
        <f t="shared" si="370"/>
        <v/>
      </c>
      <c r="BR650" s="1452" t="str">
        <f t="shared" si="371"/>
        <v/>
      </c>
      <c r="BS650" s="1452" t="str">
        <f t="shared" si="372"/>
        <v/>
      </c>
      <c r="BT650" s="1452" t="str">
        <f t="shared" si="373"/>
        <v/>
      </c>
      <c r="BU650" s="1452" t="str">
        <f t="shared" si="374"/>
        <v/>
      </c>
      <c r="BV650" s="1452" t="str">
        <f t="shared" si="375"/>
        <v/>
      </c>
      <c r="BW650" s="1558">
        <f t="shared" ca="1" si="382"/>
        <v>0</v>
      </c>
    </row>
    <row r="651" spans="1:75" s="9" customFormat="1" ht="12.5">
      <c r="A651" s="1483" t="str">
        <f t="shared" si="376"/>
        <v>Public Health Wales Trust</v>
      </c>
      <c r="B651" s="1583"/>
      <c r="C651" s="1583"/>
      <c r="D651" s="1583"/>
      <c r="E651" s="1585"/>
      <c r="F651" s="1436"/>
      <c r="G651" s="1547">
        <f t="shared" si="377"/>
        <v>0</v>
      </c>
      <c r="H651" s="1484"/>
      <c r="I651" s="1547">
        <f t="shared" si="378"/>
        <v>0</v>
      </c>
      <c r="J651" s="1485"/>
      <c r="K651" s="1485"/>
      <c r="L651" s="1436"/>
      <c r="M651" s="1439"/>
      <c r="N651" s="1439"/>
      <c r="O651" s="1485"/>
      <c r="P651" s="1486"/>
      <c r="Q651" s="1486"/>
      <c r="R651" s="1487"/>
      <c r="S651" s="1444"/>
      <c r="T651" s="1444"/>
      <c r="U651" s="1444"/>
      <c r="V651" s="1488"/>
      <c r="W651" s="1488"/>
      <c r="X651" s="1488"/>
      <c r="Y651" s="1488"/>
      <c r="Z651" s="1488"/>
      <c r="AA651" s="1488"/>
      <c r="AB651" s="1488"/>
      <c r="AC651" s="1488"/>
      <c r="AD651" s="1488"/>
      <c r="AE651" s="1488"/>
      <c r="AF651" s="1488"/>
      <c r="AG651" s="1488"/>
      <c r="AH651" s="1451">
        <f t="shared" si="350"/>
        <v>0</v>
      </c>
      <c r="AI651" s="1488"/>
      <c r="AJ651" s="1488"/>
      <c r="AK651" s="1488"/>
      <c r="AL651" s="1488"/>
      <c r="AM651" s="1488"/>
      <c r="AN651" s="1488"/>
      <c r="AO651" s="1488"/>
      <c r="AP651" s="1488"/>
      <c r="AQ651" s="1488"/>
      <c r="AR651" s="1488"/>
      <c r="AS651" s="1488"/>
      <c r="AT651" s="1542"/>
      <c r="AU651" s="1599">
        <f t="shared" si="351"/>
        <v>0</v>
      </c>
      <c r="AV651" s="1544">
        <f t="shared" si="379"/>
        <v>0</v>
      </c>
      <c r="AW651" s="1452">
        <f t="shared" si="352"/>
        <v>0</v>
      </c>
      <c r="AX651" s="1452">
        <f t="shared" si="353"/>
        <v>0</v>
      </c>
      <c r="AY651" s="1452">
        <f t="shared" si="354"/>
        <v>0</v>
      </c>
      <c r="AZ651" s="1452">
        <f t="shared" si="355"/>
        <v>0</v>
      </c>
      <c r="BA651" s="1452">
        <f t="shared" si="356"/>
        <v>0</v>
      </c>
      <c r="BB651" s="1452">
        <f t="shared" si="357"/>
        <v>0</v>
      </c>
      <c r="BC651" s="1452">
        <f t="shared" si="358"/>
        <v>0</v>
      </c>
      <c r="BD651" s="1452">
        <f t="shared" si="359"/>
        <v>0</v>
      </c>
      <c r="BE651" s="1452">
        <f t="shared" si="360"/>
        <v>0</v>
      </c>
      <c r="BF651" s="1452">
        <f t="shared" si="361"/>
        <v>0</v>
      </c>
      <c r="BG651" s="1452">
        <f t="shared" si="362"/>
        <v>0</v>
      </c>
      <c r="BH651" s="1452">
        <f t="shared" si="363"/>
        <v>0</v>
      </c>
      <c r="BI651" s="1452">
        <f t="shared" si="380"/>
        <v>0</v>
      </c>
      <c r="BJ651" s="1452" t="str">
        <f t="shared" si="364"/>
        <v/>
      </c>
      <c r="BK651" s="1452" t="str">
        <f t="shared" si="365"/>
        <v/>
      </c>
      <c r="BL651" s="1452" t="str">
        <f t="shared" si="366"/>
        <v/>
      </c>
      <c r="BM651" s="1452" t="str">
        <f t="shared" si="367"/>
        <v/>
      </c>
      <c r="BN651" s="1452" t="str">
        <f t="shared" ca="1" si="368"/>
        <v/>
      </c>
      <c r="BO651" s="1452" t="str">
        <f t="shared" si="381"/>
        <v/>
      </c>
      <c r="BP651" s="1452" t="str">
        <f t="shared" si="369"/>
        <v/>
      </c>
      <c r="BQ651" s="1452" t="str">
        <f t="shared" si="370"/>
        <v/>
      </c>
      <c r="BR651" s="1452" t="str">
        <f t="shared" si="371"/>
        <v/>
      </c>
      <c r="BS651" s="1452" t="str">
        <f t="shared" si="372"/>
        <v/>
      </c>
      <c r="BT651" s="1452" t="str">
        <f t="shared" si="373"/>
        <v/>
      </c>
      <c r="BU651" s="1452" t="str">
        <f t="shared" si="374"/>
        <v/>
      </c>
      <c r="BV651" s="1452" t="str">
        <f t="shared" si="375"/>
        <v/>
      </c>
      <c r="BW651" s="1558">
        <f t="shared" ca="1" si="382"/>
        <v>0</v>
      </c>
    </row>
    <row r="652" spans="1:75" s="9" customFormat="1" ht="12.5">
      <c r="A652" s="1483" t="str">
        <f t="shared" si="376"/>
        <v>Public Health Wales Trust</v>
      </c>
      <c r="B652" s="1583"/>
      <c r="C652" s="1583"/>
      <c r="D652" s="1583"/>
      <c r="E652" s="1585"/>
      <c r="F652" s="1436"/>
      <c r="G652" s="1547">
        <f t="shared" si="377"/>
        <v>0</v>
      </c>
      <c r="H652" s="1484"/>
      <c r="I652" s="1547">
        <f t="shared" si="378"/>
        <v>0</v>
      </c>
      <c r="J652" s="1485"/>
      <c r="K652" s="1485"/>
      <c r="L652" s="1436"/>
      <c r="M652" s="1439"/>
      <c r="N652" s="1439"/>
      <c r="O652" s="1485"/>
      <c r="P652" s="1486"/>
      <c r="Q652" s="1486"/>
      <c r="R652" s="1487"/>
      <c r="S652" s="1444"/>
      <c r="T652" s="1444"/>
      <c r="U652" s="1444"/>
      <c r="V652" s="1488"/>
      <c r="W652" s="1488"/>
      <c r="X652" s="1488"/>
      <c r="Y652" s="1488"/>
      <c r="Z652" s="1488"/>
      <c r="AA652" s="1488"/>
      <c r="AB652" s="1488"/>
      <c r="AC652" s="1488"/>
      <c r="AD652" s="1488"/>
      <c r="AE652" s="1488"/>
      <c r="AF652" s="1488"/>
      <c r="AG652" s="1488"/>
      <c r="AH652" s="1451">
        <f t="shared" si="350"/>
        <v>0</v>
      </c>
      <c r="AI652" s="1488"/>
      <c r="AJ652" s="1488"/>
      <c r="AK652" s="1488"/>
      <c r="AL652" s="1488"/>
      <c r="AM652" s="1488"/>
      <c r="AN652" s="1488"/>
      <c r="AO652" s="1488"/>
      <c r="AP652" s="1488"/>
      <c r="AQ652" s="1488"/>
      <c r="AR652" s="1488"/>
      <c r="AS652" s="1488"/>
      <c r="AT652" s="1542"/>
      <c r="AU652" s="1599">
        <f t="shared" si="351"/>
        <v>0</v>
      </c>
      <c r="AV652" s="1544">
        <f t="shared" si="379"/>
        <v>0</v>
      </c>
      <c r="AW652" s="1452">
        <f t="shared" si="352"/>
        <v>0</v>
      </c>
      <c r="AX652" s="1452">
        <f t="shared" si="353"/>
        <v>0</v>
      </c>
      <c r="AY652" s="1452">
        <f t="shared" si="354"/>
        <v>0</v>
      </c>
      <c r="AZ652" s="1452">
        <f t="shared" si="355"/>
        <v>0</v>
      </c>
      <c r="BA652" s="1452">
        <f t="shared" si="356"/>
        <v>0</v>
      </c>
      <c r="BB652" s="1452">
        <f t="shared" si="357"/>
        <v>0</v>
      </c>
      <c r="BC652" s="1452">
        <f t="shared" si="358"/>
        <v>0</v>
      </c>
      <c r="BD652" s="1452">
        <f t="shared" si="359"/>
        <v>0</v>
      </c>
      <c r="BE652" s="1452">
        <f t="shared" si="360"/>
        <v>0</v>
      </c>
      <c r="BF652" s="1452">
        <f t="shared" si="361"/>
        <v>0</v>
      </c>
      <c r="BG652" s="1452">
        <f t="shared" si="362"/>
        <v>0</v>
      </c>
      <c r="BH652" s="1452">
        <f t="shared" si="363"/>
        <v>0</v>
      </c>
      <c r="BI652" s="1452">
        <f t="shared" si="380"/>
        <v>0</v>
      </c>
      <c r="BJ652" s="1452" t="str">
        <f t="shared" si="364"/>
        <v/>
      </c>
      <c r="BK652" s="1452" t="str">
        <f t="shared" si="365"/>
        <v/>
      </c>
      <c r="BL652" s="1452" t="str">
        <f t="shared" si="366"/>
        <v/>
      </c>
      <c r="BM652" s="1452" t="str">
        <f t="shared" si="367"/>
        <v/>
      </c>
      <c r="BN652" s="1452" t="str">
        <f t="shared" ca="1" si="368"/>
        <v/>
      </c>
      <c r="BO652" s="1452" t="str">
        <f t="shared" si="381"/>
        <v/>
      </c>
      <c r="BP652" s="1452" t="str">
        <f t="shared" si="369"/>
        <v/>
      </c>
      <c r="BQ652" s="1452" t="str">
        <f t="shared" si="370"/>
        <v/>
      </c>
      <c r="BR652" s="1452" t="str">
        <f t="shared" si="371"/>
        <v/>
      </c>
      <c r="BS652" s="1452" t="str">
        <f t="shared" si="372"/>
        <v/>
      </c>
      <c r="BT652" s="1452" t="str">
        <f t="shared" si="373"/>
        <v/>
      </c>
      <c r="BU652" s="1452" t="str">
        <f t="shared" si="374"/>
        <v/>
      </c>
      <c r="BV652" s="1452" t="str">
        <f t="shared" si="375"/>
        <v/>
      </c>
      <c r="BW652" s="1558">
        <f t="shared" ca="1" si="382"/>
        <v>0</v>
      </c>
    </row>
    <row r="653" spans="1:75" s="9" customFormat="1" ht="12.5">
      <c r="A653" s="1483" t="str">
        <f t="shared" si="376"/>
        <v>Public Health Wales Trust</v>
      </c>
      <c r="B653" s="1583"/>
      <c r="C653" s="1583"/>
      <c r="D653" s="1583"/>
      <c r="E653" s="1585"/>
      <c r="F653" s="1436"/>
      <c r="G653" s="1547">
        <f t="shared" si="377"/>
        <v>0</v>
      </c>
      <c r="H653" s="1484"/>
      <c r="I653" s="1547">
        <f t="shared" si="378"/>
        <v>0</v>
      </c>
      <c r="J653" s="1485"/>
      <c r="K653" s="1485"/>
      <c r="L653" s="1436"/>
      <c r="M653" s="1439"/>
      <c r="N653" s="1439"/>
      <c r="O653" s="1485"/>
      <c r="P653" s="1486"/>
      <c r="Q653" s="1486"/>
      <c r="R653" s="1487"/>
      <c r="S653" s="1444"/>
      <c r="T653" s="1444"/>
      <c r="U653" s="1444"/>
      <c r="V653" s="1488"/>
      <c r="W653" s="1488"/>
      <c r="X653" s="1488"/>
      <c r="Y653" s="1488"/>
      <c r="Z653" s="1488"/>
      <c r="AA653" s="1488"/>
      <c r="AB653" s="1488"/>
      <c r="AC653" s="1488"/>
      <c r="AD653" s="1488"/>
      <c r="AE653" s="1488"/>
      <c r="AF653" s="1488"/>
      <c r="AG653" s="1488"/>
      <c r="AH653" s="1451">
        <f t="shared" si="350"/>
        <v>0</v>
      </c>
      <c r="AI653" s="1488"/>
      <c r="AJ653" s="1488"/>
      <c r="AK653" s="1488"/>
      <c r="AL653" s="1488"/>
      <c r="AM653" s="1488"/>
      <c r="AN653" s="1488"/>
      <c r="AO653" s="1488"/>
      <c r="AP653" s="1488"/>
      <c r="AQ653" s="1488"/>
      <c r="AR653" s="1488"/>
      <c r="AS653" s="1488"/>
      <c r="AT653" s="1542"/>
      <c r="AU653" s="1599">
        <f t="shared" si="351"/>
        <v>0</v>
      </c>
      <c r="AV653" s="1544">
        <f t="shared" si="379"/>
        <v>0</v>
      </c>
      <c r="AW653" s="1452">
        <f t="shared" si="352"/>
        <v>0</v>
      </c>
      <c r="AX653" s="1452">
        <f t="shared" si="353"/>
        <v>0</v>
      </c>
      <c r="AY653" s="1452">
        <f t="shared" si="354"/>
        <v>0</v>
      </c>
      <c r="AZ653" s="1452">
        <f t="shared" si="355"/>
        <v>0</v>
      </c>
      <c r="BA653" s="1452">
        <f t="shared" si="356"/>
        <v>0</v>
      </c>
      <c r="BB653" s="1452">
        <f t="shared" si="357"/>
        <v>0</v>
      </c>
      <c r="BC653" s="1452">
        <f t="shared" si="358"/>
        <v>0</v>
      </c>
      <c r="BD653" s="1452">
        <f t="shared" si="359"/>
        <v>0</v>
      </c>
      <c r="BE653" s="1452">
        <f t="shared" si="360"/>
        <v>0</v>
      </c>
      <c r="BF653" s="1452">
        <f t="shared" si="361"/>
        <v>0</v>
      </c>
      <c r="BG653" s="1452">
        <f t="shared" si="362"/>
        <v>0</v>
      </c>
      <c r="BH653" s="1452">
        <f t="shared" si="363"/>
        <v>0</v>
      </c>
      <c r="BI653" s="1452">
        <f t="shared" si="380"/>
        <v>0</v>
      </c>
      <c r="BJ653" s="1452" t="str">
        <f t="shared" si="364"/>
        <v/>
      </c>
      <c r="BK653" s="1452" t="str">
        <f t="shared" si="365"/>
        <v/>
      </c>
      <c r="BL653" s="1452" t="str">
        <f t="shared" si="366"/>
        <v/>
      </c>
      <c r="BM653" s="1452" t="str">
        <f t="shared" si="367"/>
        <v/>
      </c>
      <c r="BN653" s="1452" t="str">
        <f t="shared" ca="1" si="368"/>
        <v/>
      </c>
      <c r="BO653" s="1452" t="str">
        <f t="shared" si="381"/>
        <v/>
      </c>
      <c r="BP653" s="1452" t="str">
        <f t="shared" si="369"/>
        <v/>
      </c>
      <c r="BQ653" s="1452" t="str">
        <f t="shared" si="370"/>
        <v/>
      </c>
      <c r="BR653" s="1452" t="str">
        <f t="shared" si="371"/>
        <v/>
      </c>
      <c r="BS653" s="1452" t="str">
        <f t="shared" si="372"/>
        <v/>
      </c>
      <c r="BT653" s="1452" t="str">
        <f t="shared" si="373"/>
        <v/>
      </c>
      <c r="BU653" s="1452" t="str">
        <f t="shared" si="374"/>
        <v/>
      </c>
      <c r="BV653" s="1452" t="str">
        <f t="shared" si="375"/>
        <v/>
      </c>
      <c r="BW653" s="1558">
        <f t="shared" ca="1" si="382"/>
        <v>0</v>
      </c>
    </row>
    <row r="654" spans="1:75" s="9" customFormat="1" ht="12.5">
      <c r="A654" s="1483" t="str">
        <f t="shared" si="376"/>
        <v>Public Health Wales Trust</v>
      </c>
      <c r="B654" s="1583"/>
      <c r="C654" s="1583"/>
      <c r="D654" s="1583"/>
      <c r="E654" s="1585"/>
      <c r="F654" s="1436"/>
      <c r="G654" s="1547">
        <f t="shared" si="377"/>
        <v>0</v>
      </c>
      <c r="H654" s="1484"/>
      <c r="I654" s="1547">
        <f t="shared" si="378"/>
        <v>0</v>
      </c>
      <c r="J654" s="1485"/>
      <c r="K654" s="1485"/>
      <c r="L654" s="1436"/>
      <c r="M654" s="1439"/>
      <c r="N654" s="1439"/>
      <c r="O654" s="1485"/>
      <c r="P654" s="1486"/>
      <c r="Q654" s="1486"/>
      <c r="R654" s="1487"/>
      <c r="S654" s="1444"/>
      <c r="T654" s="1444"/>
      <c r="U654" s="1444"/>
      <c r="V654" s="1488"/>
      <c r="W654" s="1488"/>
      <c r="X654" s="1488"/>
      <c r="Y654" s="1488"/>
      <c r="Z654" s="1488"/>
      <c r="AA654" s="1488"/>
      <c r="AB654" s="1488"/>
      <c r="AC654" s="1488"/>
      <c r="AD654" s="1488"/>
      <c r="AE654" s="1488"/>
      <c r="AF654" s="1488"/>
      <c r="AG654" s="1488"/>
      <c r="AH654" s="1451">
        <f t="shared" si="350"/>
        <v>0</v>
      </c>
      <c r="AI654" s="1488"/>
      <c r="AJ654" s="1488"/>
      <c r="AK654" s="1488"/>
      <c r="AL654" s="1488"/>
      <c r="AM654" s="1488"/>
      <c r="AN654" s="1488"/>
      <c r="AO654" s="1488"/>
      <c r="AP654" s="1488"/>
      <c r="AQ654" s="1488"/>
      <c r="AR654" s="1488"/>
      <c r="AS654" s="1488"/>
      <c r="AT654" s="1542"/>
      <c r="AU654" s="1599">
        <f t="shared" si="351"/>
        <v>0</v>
      </c>
      <c r="AV654" s="1544">
        <f t="shared" si="379"/>
        <v>0</v>
      </c>
      <c r="AW654" s="1452">
        <f t="shared" si="352"/>
        <v>0</v>
      </c>
      <c r="AX654" s="1452">
        <f t="shared" si="353"/>
        <v>0</v>
      </c>
      <c r="AY654" s="1452">
        <f t="shared" si="354"/>
        <v>0</v>
      </c>
      <c r="AZ654" s="1452">
        <f t="shared" si="355"/>
        <v>0</v>
      </c>
      <c r="BA654" s="1452">
        <f t="shared" si="356"/>
        <v>0</v>
      </c>
      <c r="BB654" s="1452">
        <f t="shared" si="357"/>
        <v>0</v>
      </c>
      <c r="BC654" s="1452">
        <f t="shared" si="358"/>
        <v>0</v>
      </c>
      <c r="BD654" s="1452">
        <f t="shared" si="359"/>
        <v>0</v>
      </c>
      <c r="BE654" s="1452">
        <f t="shared" si="360"/>
        <v>0</v>
      </c>
      <c r="BF654" s="1452">
        <f t="shared" si="361"/>
        <v>0</v>
      </c>
      <c r="BG654" s="1452">
        <f t="shared" si="362"/>
        <v>0</v>
      </c>
      <c r="BH654" s="1452">
        <f t="shared" si="363"/>
        <v>0</v>
      </c>
      <c r="BI654" s="1452">
        <f t="shared" si="380"/>
        <v>0</v>
      </c>
      <c r="BJ654" s="1452" t="str">
        <f t="shared" si="364"/>
        <v/>
      </c>
      <c r="BK654" s="1452" t="str">
        <f t="shared" si="365"/>
        <v/>
      </c>
      <c r="BL654" s="1452" t="str">
        <f t="shared" si="366"/>
        <v/>
      </c>
      <c r="BM654" s="1452" t="str">
        <f t="shared" si="367"/>
        <v/>
      </c>
      <c r="BN654" s="1452" t="str">
        <f t="shared" ca="1" si="368"/>
        <v/>
      </c>
      <c r="BO654" s="1452" t="str">
        <f t="shared" si="381"/>
        <v/>
      </c>
      <c r="BP654" s="1452" t="str">
        <f t="shared" si="369"/>
        <v/>
      </c>
      <c r="BQ654" s="1452" t="str">
        <f t="shared" si="370"/>
        <v/>
      </c>
      <c r="BR654" s="1452" t="str">
        <f t="shared" si="371"/>
        <v/>
      </c>
      <c r="BS654" s="1452" t="str">
        <f t="shared" si="372"/>
        <v/>
      </c>
      <c r="BT654" s="1452" t="str">
        <f t="shared" si="373"/>
        <v/>
      </c>
      <c r="BU654" s="1452" t="str">
        <f t="shared" si="374"/>
        <v/>
      </c>
      <c r="BV654" s="1452" t="str">
        <f t="shared" si="375"/>
        <v/>
      </c>
      <c r="BW654" s="1558">
        <f t="shared" ca="1" si="382"/>
        <v>0</v>
      </c>
    </row>
    <row r="655" spans="1:75" s="9" customFormat="1" ht="12.5">
      <c r="A655" s="1483" t="str">
        <f t="shared" si="376"/>
        <v>Public Health Wales Trust</v>
      </c>
      <c r="B655" s="1583"/>
      <c r="C655" s="1583"/>
      <c r="D655" s="1583"/>
      <c r="E655" s="1585"/>
      <c r="F655" s="1436"/>
      <c r="G655" s="1547">
        <f t="shared" si="377"/>
        <v>0</v>
      </c>
      <c r="H655" s="1484"/>
      <c r="I655" s="1547">
        <f t="shared" si="378"/>
        <v>0</v>
      </c>
      <c r="J655" s="1485"/>
      <c r="K655" s="1485"/>
      <c r="L655" s="1436"/>
      <c r="M655" s="1439"/>
      <c r="N655" s="1439"/>
      <c r="O655" s="1485"/>
      <c r="P655" s="1486"/>
      <c r="Q655" s="1486"/>
      <c r="R655" s="1487"/>
      <c r="S655" s="1444"/>
      <c r="T655" s="1444"/>
      <c r="U655" s="1444"/>
      <c r="V655" s="1488"/>
      <c r="W655" s="1488"/>
      <c r="X655" s="1488"/>
      <c r="Y655" s="1488"/>
      <c r="Z655" s="1488"/>
      <c r="AA655" s="1488"/>
      <c r="AB655" s="1488"/>
      <c r="AC655" s="1488"/>
      <c r="AD655" s="1488"/>
      <c r="AE655" s="1488"/>
      <c r="AF655" s="1488"/>
      <c r="AG655" s="1488"/>
      <c r="AH655" s="1451">
        <f t="shared" si="350"/>
        <v>0</v>
      </c>
      <c r="AI655" s="1488"/>
      <c r="AJ655" s="1488"/>
      <c r="AK655" s="1488"/>
      <c r="AL655" s="1488"/>
      <c r="AM655" s="1488"/>
      <c r="AN655" s="1488"/>
      <c r="AO655" s="1488"/>
      <c r="AP655" s="1488"/>
      <c r="AQ655" s="1488"/>
      <c r="AR655" s="1488"/>
      <c r="AS655" s="1488"/>
      <c r="AT655" s="1542"/>
      <c r="AU655" s="1599">
        <f t="shared" si="351"/>
        <v>0</v>
      </c>
      <c r="AV655" s="1544">
        <f t="shared" si="379"/>
        <v>0</v>
      </c>
      <c r="AW655" s="1452">
        <f t="shared" si="352"/>
        <v>0</v>
      </c>
      <c r="AX655" s="1452">
        <f t="shared" si="353"/>
        <v>0</v>
      </c>
      <c r="AY655" s="1452">
        <f t="shared" si="354"/>
        <v>0</v>
      </c>
      <c r="AZ655" s="1452">
        <f t="shared" si="355"/>
        <v>0</v>
      </c>
      <c r="BA655" s="1452">
        <f t="shared" si="356"/>
        <v>0</v>
      </c>
      <c r="BB655" s="1452">
        <f t="shared" si="357"/>
        <v>0</v>
      </c>
      <c r="BC655" s="1452">
        <f t="shared" si="358"/>
        <v>0</v>
      </c>
      <c r="BD655" s="1452">
        <f t="shared" si="359"/>
        <v>0</v>
      </c>
      <c r="BE655" s="1452">
        <f t="shared" si="360"/>
        <v>0</v>
      </c>
      <c r="BF655" s="1452">
        <f t="shared" si="361"/>
        <v>0</v>
      </c>
      <c r="BG655" s="1452">
        <f t="shared" si="362"/>
        <v>0</v>
      </c>
      <c r="BH655" s="1452">
        <f t="shared" si="363"/>
        <v>0</v>
      </c>
      <c r="BI655" s="1452">
        <f t="shared" si="380"/>
        <v>0</v>
      </c>
      <c r="BJ655" s="1452" t="str">
        <f t="shared" si="364"/>
        <v/>
      </c>
      <c r="BK655" s="1452" t="str">
        <f t="shared" si="365"/>
        <v/>
      </c>
      <c r="BL655" s="1452" t="str">
        <f t="shared" si="366"/>
        <v/>
      </c>
      <c r="BM655" s="1452" t="str">
        <f t="shared" si="367"/>
        <v/>
      </c>
      <c r="BN655" s="1452" t="str">
        <f t="shared" ca="1" si="368"/>
        <v/>
      </c>
      <c r="BO655" s="1452" t="str">
        <f t="shared" si="381"/>
        <v/>
      </c>
      <c r="BP655" s="1452" t="str">
        <f t="shared" si="369"/>
        <v/>
      </c>
      <c r="BQ655" s="1452" t="str">
        <f t="shared" si="370"/>
        <v/>
      </c>
      <c r="BR655" s="1452" t="str">
        <f t="shared" si="371"/>
        <v/>
      </c>
      <c r="BS655" s="1452" t="str">
        <f t="shared" si="372"/>
        <v/>
      </c>
      <c r="BT655" s="1452" t="str">
        <f t="shared" si="373"/>
        <v/>
      </c>
      <c r="BU655" s="1452" t="str">
        <f t="shared" si="374"/>
        <v/>
      </c>
      <c r="BV655" s="1452" t="str">
        <f t="shared" si="375"/>
        <v/>
      </c>
      <c r="BW655" s="1558">
        <f t="shared" ca="1" si="382"/>
        <v>0</v>
      </c>
    </row>
    <row r="656" spans="1:75" s="9" customFormat="1" ht="12.5">
      <c r="A656" s="1483" t="str">
        <f t="shared" si="376"/>
        <v>Public Health Wales Trust</v>
      </c>
      <c r="B656" s="1583"/>
      <c r="C656" s="1583"/>
      <c r="D656" s="1583"/>
      <c r="E656" s="1585"/>
      <c r="F656" s="1436"/>
      <c r="G656" s="1547">
        <f t="shared" si="377"/>
        <v>0</v>
      </c>
      <c r="H656" s="1484"/>
      <c r="I656" s="1547">
        <f t="shared" si="378"/>
        <v>0</v>
      </c>
      <c r="J656" s="1485"/>
      <c r="K656" s="1485"/>
      <c r="L656" s="1436"/>
      <c r="M656" s="1439"/>
      <c r="N656" s="1439"/>
      <c r="O656" s="1485"/>
      <c r="P656" s="1486"/>
      <c r="Q656" s="1486"/>
      <c r="R656" s="1487"/>
      <c r="S656" s="1444"/>
      <c r="T656" s="1444"/>
      <c r="U656" s="1444"/>
      <c r="V656" s="1488"/>
      <c r="W656" s="1488"/>
      <c r="X656" s="1488"/>
      <c r="Y656" s="1488"/>
      <c r="Z656" s="1488"/>
      <c r="AA656" s="1488"/>
      <c r="AB656" s="1488"/>
      <c r="AC656" s="1488"/>
      <c r="AD656" s="1488"/>
      <c r="AE656" s="1488"/>
      <c r="AF656" s="1488"/>
      <c r="AG656" s="1488"/>
      <c r="AH656" s="1451">
        <f t="shared" si="350"/>
        <v>0</v>
      </c>
      <c r="AI656" s="1488"/>
      <c r="AJ656" s="1488"/>
      <c r="AK656" s="1488"/>
      <c r="AL656" s="1488"/>
      <c r="AM656" s="1488"/>
      <c r="AN656" s="1488"/>
      <c r="AO656" s="1488"/>
      <c r="AP656" s="1488"/>
      <c r="AQ656" s="1488"/>
      <c r="AR656" s="1488"/>
      <c r="AS656" s="1488"/>
      <c r="AT656" s="1542"/>
      <c r="AU656" s="1599">
        <f t="shared" si="351"/>
        <v>0</v>
      </c>
      <c r="AV656" s="1544">
        <f t="shared" si="379"/>
        <v>0</v>
      </c>
      <c r="AW656" s="1452">
        <f t="shared" si="352"/>
        <v>0</v>
      </c>
      <c r="AX656" s="1452">
        <f t="shared" si="353"/>
        <v>0</v>
      </c>
      <c r="AY656" s="1452">
        <f t="shared" si="354"/>
        <v>0</v>
      </c>
      <c r="AZ656" s="1452">
        <f t="shared" si="355"/>
        <v>0</v>
      </c>
      <c r="BA656" s="1452">
        <f t="shared" si="356"/>
        <v>0</v>
      </c>
      <c r="BB656" s="1452">
        <f t="shared" si="357"/>
        <v>0</v>
      </c>
      <c r="BC656" s="1452">
        <f t="shared" si="358"/>
        <v>0</v>
      </c>
      <c r="BD656" s="1452">
        <f t="shared" si="359"/>
        <v>0</v>
      </c>
      <c r="BE656" s="1452">
        <f t="shared" si="360"/>
        <v>0</v>
      </c>
      <c r="BF656" s="1452">
        <f t="shared" si="361"/>
        <v>0</v>
      </c>
      <c r="BG656" s="1452">
        <f t="shared" si="362"/>
        <v>0</v>
      </c>
      <c r="BH656" s="1452">
        <f t="shared" si="363"/>
        <v>0</v>
      </c>
      <c r="BI656" s="1452">
        <f t="shared" si="380"/>
        <v>0</v>
      </c>
      <c r="BJ656" s="1452" t="str">
        <f t="shared" si="364"/>
        <v/>
      </c>
      <c r="BK656" s="1452" t="str">
        <f t="shared" si="365"/>
        <v/>
      </c>
      <c r="BL656" s="1452" t="str">
        <f t="shared" si="366"/>
        <v/>
      </c>
      <c r="BM656" s="1452" t="str">
        <f t="shared" si="367"/>
        <v/>
      </c>
      <c r="BN656" s="1452" t="str">
        <f t="shared" ca="1" si="368"/>
        <v/>
      </c>
      <c r="BO656" s="1452" t="str">
        <f t="shared" si="381"/>
        <v/>
      </c>
      <c r="BP656" s="1452" t="str">
        <f t="shared" si="369"/>
        <v/>
      </c>
      <c r="BQ656" s="1452" t="str">
        <f t="shared" si="370"/>
        <v/>
      </c>
      <c r="BR656" s="1452" t="str">
        <f t="shared" si="371"/>
        <v/>
      </c>
      <c r="BS656" s="1452" t="str">
        <f t="shared" si="372"/>
        <v/>
      </c>
      <c r="BT656" s="1452" t="str">
        <f t="shared" si="373"/>
        <v/>
      </c>
      <c r="BU656" s="1452" t="str">
        <f t="shared" si="374"/>
        <v/>
      </c>
      <c r="BV656" s="1452" t="str">
        <f t="shared" si="375"/>
        <v/>
      </c>
      <c r="BW656" s="1558">
        <f t="shared" ca="1" si="382"/>
        <v>0</v>
      </c>
    </row>
    <row r="657" spans="1:75" s="9" customFormat="1" ht="12.5">
      <c r="A657" s="1483" t="str">
        <f t="shared" si="376"/>
        <v>Public Health Wales Trust</v>
      </c>
      <c r="B657" s="1583"/>
      <c r="C657" s="1583"/>
      <c r="D657" s="1583"/>
      <c r="E657" s="1585"/>
      <c r="F657" s="1436"/>
      <c r="G657" s="1547">
        <f t="shared" si="377"/>
        <v>0</v>
      </c>
      <c r="H657" s="1484"/>
      <c r="I657" s="1547">
        <f t="shared" si="378"/>
        <v>0</v>
      </c>
      <c r="J657" s="1485"/>
      <c r="K657" s="1485"/>
      <c r="L657" s="1436"/>
      <c r="M657" s="1439"/>
      <c r="N657" s="1439"/>
      <c r="O657" s="1485"/>
      <c r="P657" s="1486"/>
      <c r="Q657" s="1486"/>
      <c r="R657" s="1487"/>
      <c r="S657" s="1444"/>
      <c r="T657" s="1444"/>
      <c r="U657" s="1444"/>
      <c r="V657" s="1488"/>
      <c r="W657" s="1488"/>
      <c r="X657" s="1488"/>
      <c r="Y657" s="1488"/>
      <c r="Z657" s="1488"/>
      <c r="AA657" s="1488"/>
      <c r="AB657" s="1488"/>
      <c r="AC657" s="1488"/>
      <c r="AD657" s="1488"/>
      <c r="AE657" s="1488"/>
      <c r="AF657" s="1488"/>
      <c r="AG657" s="1488"/>
      <c r="AH657" s="1451">
        <f t="shared" si="350"/>
        <v>0</v>
      </c>
      <c r="AI657" s="1488"/>
      <c r="AJ657" s="1488"/>
      <c r="AK657" s="1488"/>
      <c r="AL657" s="1488"/>
      <c r="AM657" s="1488"/>
      <c r="AN657" s="1488"/>
      <c r="AO657" s="1488"/>
      <c r="AP657" s="1488"/>
      <c r="AQ657" s="1488"/>
      <c r="AR657" s="1488"/>
      <c r="AS657" s="1488"/>
      <c r="AT657" s="1542"/>
      <c r="AU657" s="1599">
        <f t="shared" si="351"/>
        <v>0</v>
      </c>
      <c r="AV657" s="1544">
        <f t="shared" si="379"/>
        <v>0</v>
      </c>
      <c r="AW657" s="1452">
        <f t="shared" si="352"/>
        <v>0</v>
      </c>
      <c r="AX657" s="1452">
        <f t="shared" si="353"/>
        <v>0</v>
      </c>
      <c r="AY657" s="1452">
        <f t="shared" si="354"/>
        <v>0</v>
      </c>
      <c r="AZ657" s="1452">
        <f t="shared" si="355"/>
        <v>0</v>
      </c>
      <c r="BA657" s="1452">
        <f t="shared" si="356"/>
        <v>0</v>
      </c>
      <c r="BB657" s="1452">
        <f t="shared" si="357"/>
        <v>0</v>
      </c>
      <c r="BC657" s="1452">
        <f t="shared" si="358"/>
        <v>0</v>
      </c>
      <c r="BD657" s="1452">
        <f t="shared" si="359"/>
        <v>0</v>
      </c>
      <c r="BE657" s="1452">
        <f t="shared" si="360"/>
        <v>0</v>
      </c>
      <c r="BF657" s="1452">
        <f t="shared" si="361"/>
        <v>0</v>
      </c>
      <c r="BG657" s="1452">
        <f t="shared" si="362"/>
        <v>0</v>
      </c>
      <c r="BH657" s="1452">
        <f t="shared" si="363"/>
        <v>0</v>
      </c>
      <c r="BI657" s="1452">
        <f t="shared" si="380"/>
        <v>0</v>
      </c>
      <c r="BJ657" s="1452" t="str">
        <f t="shared" si="364"/>
        <v/>
      </c>
      <c r="BK657" s="1452" t="str">
        <f t="shared" si="365"/>
        <v/>
      </c>
      <c r="BL657" s="1452" t="str">
        <f t="shared" si="366"/>
        <v/>
      </c>
      <c r="BM657" s="1452" t="str">
        <f t="shared" si="367"/>
        <v/>
      </c>
      <c r="BN657" s="1452" t="str">
        <f t="shared" ca="1" si="368"/>
        <v/>
      </c>
      <c r="BO657" s="1452" t="str">
        <f t="shared" si="381"/>
        <v/>
      </c>
      <c r="BP657" s="1452" t="str">
        <f t="shared" si="369"/>
        <v/>
      </c>
      <c r="BQ657" s="1452" t="str">
        <f t="shared" si="370"/>
        <v/>
      </c>
      <c r="BR657" s="1452" t="str">
        <f t="shared" si="371"/>
        <v/>
      </c>
      <c r="BS657" s="1452" t="str">
        <f t="shared" si="372"/>
        <v/>
      </c>
      <c r="BT657" s="1452" t="str">
        <f t="shared" si="373"/>
        <v/>
      </c>
      <c r="BU657" s="1452" t="str">
        <f t="shared" si="374"/>
        <v/>
      </c>
      <c r="BV657" s="1452" t="str">
        <f t="shared" si="375"/>
        <v/>
      </c>
      <c r="BW657" s="1558">
        <f t="shared" ca="1" si="382"/>
        <v>0</v>
      </c>
    </row>
    <row r="658" spans="1:75" s="9" customFormat="1" ht="12.5">
      <c r="A658" s="1483" t="str">
        <f t="shared" si="376"/>
        <v>Public Health Wales Trust</v>
      </c>
      <c r="B658" s="1583"/>
      <c r="C658" s="1583"/>
      <c r="D658" s="1583"/>
      <c r="E658" s="1585"/>
      <c r="F658" s="1436"/>
      <c r="G658" s="1547">
        <f t="shared" si="377"/>
        <v>0</v>
      </c>
      <c r="H658" s="1484"/>
      <c r="I658" s="1547">
        <f t="shared" si="378"/>
        <v>0</v>
      </c>
      <c r="J658" s="1485"/>
      <c r="K658" s="1485"/>
      <c r="L658" s="1436"/>
      <c r="M658" s="1439"/>
      <c r="N658" s="1439"/>
      <c r="O658" s="1485"/>
      <c r="P658" s="1486"/>
      <c r="Q658" s="1486"/>
      <c r="R658" s="1487"/>
      <c r="S658" s="1444"/>
      <c r="T658" s="1444"/>
      <c r="U658" s="1444"/>
      <c r="V658" s="1488"/>
      <c r="W658" s="1488"/>
      <c r="X658" s="1488"/>
      <c r="Y658" s="1488"/>
      <c r="Z658" s="1488"/>
      <c r="AA658" s="1488"/>
      <c r="AB658" s="1488"/>
      <c r="AC658" s="1488"/>
      <c r="AD658" s="1488"/>
      <c r="AE658" s="1488"/>
      <c r="AF658" s="1488"/>
      <c r="AG658" s="1488"/>
      <c r="AH658" s="1451">
        <f t="shared" si="350"/>
        <v>0</v>
      </c>
      <c r="AI658" s="1488"/>
      <c r="AJ658" s="1488"/>
      <c r="AK658" s="1488"/>
      <c r="AL658" s="1488"/>
      <c r="AM658" s="1488"/>
      <c r="AN658" s="1488"/>
      <c r="AO658" s="1488"/>
      <c r="AP658" s="1488"/>
      <c r="AQ658" s="1488"/>
      <c r="AR658" s="1488"/>
      <c r="AS658" s="1488"/>
      <c r="AT658" s="1542"/>
      <c r="AU658" s="1599">
        <f t="shared" si="351"/>
        <v>0</v>
      </c>
      <c r="AV658" s="1544">
        <f t="shared" si="379"/>
        <v>0</v>
      </c>
      <c r="AW658" s="1452">
        <f t="shared" si="352"/>
        <v>0</v>
      </c>
      <c r="AX658" s="1452">
        <f t="shared" si="353"/>
        <v>0</v>
      </c>
      <c r="AY658" s="1452">
        <f t="shared" si="354"/>
        <v>0</v>
      </c>
      <c r="AZ658" s="1452">
        <f t="shared" si="355"/>
        <v>0</v>
      </c>
      <c r="BA658" s="1452">
        <f t="shared" si="356"/>
        <v>0</v>
      </c>
      <c r="BB658" s="1452">
        <f t="shared" si="357"/>
        <v>0</v>
      </c>
      <c r="BC658" s="1452">
        <f t="shared" si="358"/>
        <v>0</v>
      </c>
      <c r="BD658" s="1452">
        <f t="shared" si="359"/>
        <v>0</v>
      </c>
      <c r="BE658" s="1452">
        <f t="shared" si="360"/>
        <v>0</v>
      </c>
      <c r="BF658" s="1452">
        <f t="shared" si="361"/>
        <v>0</v>
      </c>
      <c r="BG658" s="1452">
        <f t="shared" si="362"/>
        <v>0</v>
      </c>
      <c r="BH658" s="1452">
        <f t="shared" si="363"/>
        <v>0</v>
      </c>
      <c r="BI658" s="1452">
        <f t="shared" si="380"/>
        <v>0</v>
      </c>
      <c r="BJ658" s="1452" t="str">
        <f t="shared" si="364"/>
        <v/>
      </c>
      <c r="BK658" s="1452" t="str">
        <f t="shared" si="365"/>
        <v/>
      </c>
      <c r="BL658" s="1452" t="str">
        <f t="shared" si="366"/>
        <v/>
      </c>
      <c r="BM658" s="1452" t="str">
        <f t="shared" si="367"/>
        <v/>
      </c>
      <c r="BN658" s="1452" t="str">
        <f t="shared" ca="1" si="368"/>
        <v/>
      </c>
      <c r="BO658" s="1452" t="str">
        <f t="shared" si="381"/>
        <v/>
      </c>
      <c r="BP658" s="1452" t="str">
        <f t="shared" si="369"/>
        <v/>
      </c>
      <c r="BQ658" s="1452" t="str">
        <f t="shared" si="370"/>
        <v/>
      </c>
      <c r="BR658" s="1452" t="str">
        <f t="shared" si="371"/>
        <v/>
      </c>
      <c r="BS658" s="1452" t="str">
        <f t="shared" si="372"/>
        <v/>
      </c>
      <c r="BT658" s="1452" t="str">
        <f t="shared" si="373"/>
        <v/>
      </c>
      <c r="BU658" s="1452" t="str">
        <f t="shared" si="374"/>
        <v/>
      </c>
      <c r="BV658" s="1452" t="str">
        <f t="shared" si="375"/>
        <v/>
      </c>
      <c r="BW658" s="1558">
        <f t="shared" ca="1" si="382"/>
        <v>0</v>
      </c>
    </row>
    <row r="659" spans="1:75" s="9" customFormat="1" ht="12.5">
      <c r="A659" s="1483" t="str">
        <f t="shared" si="376"/>
        <v>Public Health Wales Trust</v>
      </c>
      <c r="B659" s="1583"/>
      <c r="C659" s="1583"/>
      <c r="D659" s="1583"/>
      <c r="E659" s="1585"/>
      <c r="F659" s="1436"/>
      <c r="G659" s="1547">
        <f t="shared" si="377"/>
        <v>0</v>
      </c>
      <c r="H659" s="1484"/>
      <c r="I659" s="1547">
        <f t="shared" si="378"/>
        <v>0</v>
      </c>
      <c r="J659" s="1485"/>
      <c r="K659" s="1485"/>
      <c r="L659" s="1436"/>
      <c r="M659" s="1439"/>
      <c r="N659" s="1439"/>
      <c r="O659" s="1485"/>
      <c r="P659" s="1486"/>
      <c r="Q659" s="1486"/>
      <c r="R659" s="1487"/>
      <c r="S659" s="1444"/>
      <c r="T659" s="1444"/>
      <c r="U659" s="1444"/>
      <c r="V659" s="1488"/>
      <c r="W659" s="1488"/>
      <c r="X659" s="1488"/>
      <c r="Y659" s="1488"/>
      <c r="Z659" s="1488"/>
      <c r="AA659" s="1488"/>
      <c r="AB659" s="1488"/>
      <c r="AC659" s="1488"/>
      <c r="AD659" s="1488"/>
      <c r="AE659" s="1488"/>
      <c r="AF659" s="1488"/>
      <c r="AG659" s="1488"/>
      <c r="AH659" s="1451">
        <f t="shared" si="350"/>
        <v>0</v>
      </c>
      <c r="AI659" s="1488"/>
      <c r="AJ659" s="1488"/>
      <c r="AK659" s="1488"/>
      <c r="AL659" s="1488"/>
      <c r="AM659" s="1488"/>
      <c r="AN659" s="1488"/>
      <c r="AO659" s="1488"/>
      <c r="AP659" s="1488"/>
      <c r="AQ659" s="1488"/>
      <c r="AR659" s="1488"/>
      <c r="AS659" s="1488"/>
      <c r="AT659" s="1542"/>
      <c r="AU659" s="1599">
        <f t="shared" si="351"/>
        <v>0</v>
      </c>
      <c r="AV659" s="1544">
        <f t="shared" si="379"/>
        <v>0</v>
      </c>
      <c r="AW659" s="1452">
        <f t="shared" si="352"/>
        <v>0</v>
      </c>
      <c r="AX659" s="1452">
        <f t="shared" si="353"/>
        <v>0</v>
      </c>
      <c r="AY659" s="1452">
        <f t="shared" si="354"/>
        <v>0</v>
      </c>
      <c r="AZ659" s="1452">
        <f t="shared" si="355"/>
        <v>0</v>
      </c>
      <c r="BA659" s="1452">
        <f t="shared" si="356"/>
        <v>0</v>
      </c>
      <c r="BB659" s="1452">
        <f t="shared" si="357"/>
        <v>0</v>
      </c>
      <c r="BC659" s="1452">
        <f t="shared" si="358"/>
        <v>0</v>
      </c>
      <c r="BD659" s="1452">
        <f t="shared" si="359"/>
        <v>0</v>
      </c>
      <c r="BE659" s="1452">
        <f t="shared" si="360"/>
        <v>0</v>
      </c>
      <c r="BF659" s="1452">
        <f t="shared" si="361"/>
        <v>0</v>
      </c>
      <c r="BG659" s="1452">
        <f t="shared" si="362"/>
        <v>0</v>
      </c>
      <c r="BH659" s="1452">
        <f t="shared" si="363"/>
        <v>0</v>
      </c>
      <c r="BI659" s="1452">
        <f t="shared" si="380"/>
        <v>0</v>
      </c>
      <c r="BJ659" s="1452" t="str">
        <f t="shared" si="364"/>
        <v/>
      </c>
      <c r="BK659" s="1452" t="str">
        <f t="shared" si="365"/>
        <v/>
      </c>
      <c r="BL659" s="1452" t="str">
        <f t="shared" si="366"/>
        <v/>
      </c>
      <c r="BM659" s="1452" t="str">
        <f t="shared" si="367"/>
        <v/>
      </c>
      <c r="BN659" s="1452" t="str">
        <f t="shared" ca="1" si="368"/>
        <v/>
      </c>
      <c r="BO659" s="1452" t="str">
        <f t="shared" si="381"/>
        <v/>
      </c>
      <c r="BP659" s="1452" t="str">
        <f t="shared" si="369"/>
        <v/>
      </c>
      <c r="BQ659" s="1452" t="str">
        <f t="shared" si="370"/>
        <v/>
      </c>
      <c r="BR659" s="1452" t="str">
        <f t="shared" si="371"/>
        <v/>
      </c>
      <c r="BS659" s="1452" t="str">
        <f t="shared" si="372"/>
        <v/>
      </c>
      <c r="BT659" s="1452" t="str">
        <f t="shared" si="373"/>
        <v/>
      </c>
      <c r="BU659" s="1452" t="str">
        <f t="shared" si="374"/>
        <v/>
      </c>
      <c r="BV659" s="1452" t="str">
        <f t="shared" si="375"/>
        <v/>
      </c>
      <c r="BW659" s="1558">
        <f t="shared" ca="1" si="382"/>
        <v>0</v>
      </c>
    </row>
    <row r="660" spans="1:75" s="9" customFormat="1" ht="12.5">
      <c r="A660" s="1483" t="str">
        <f t="shared" si="376"/>
        <v>Public Health Wales Trust</v>
      </c>
      <c r="B660" s="1583"/>
      <c r="C660" s="1583"/>
      <c r="D660" s="1583"/>
      <c r="E660" s="1585"/>
      <c r="F660" s="1436"/>
      <c r="G660" s="1547">
        <f t="shared" si="377"/>
        <v>0</v>
      </c>
      <c r="H660" s="1484"/>
      <c r="I660" s="1547">
        <f t="shared" si="378"/>
        <v>0</v>
      </c>
      <c r="J660" s="1485"/>
      <c r="K660" s="1485"/>
      <c r="L660" s="1436"/>
      <c r="M660" s="1439"/>
      <c r="N660" s="1439"/>
      <c r="O660" s="1485"/>
      <c r="P660" s="1486"/>
      <c r="Q660" s="1486"/>
      <c r="R660" s="1487"/>
      <c r="S660" s="1444"/>
      <c r="T660" s="1444"/>
      <c r="U660" s="1444"/>
      <c r="V660" s="1488"/>
      <c r="W660" s="1488"/>
      <c r="X660" s="1488"/>
      <c r="Y660" s="1488"/>
      <c r="Z660" s="1488"/>
      <c r="AA660" s="1488"/>
      <c r="AB660" s="1488"/>
      <c r="AC660" s="1488"/>
      <c r="AD660" s="1488"/>
      <c r="AE660" s="1488"/>
      <c r="AF660" s="1488"/>
      <c r="AG660" s="1488"/>
      <c r="AH660" s="1451">
        <f t="shared" si="350"/>
        <v>0</v>
      </c>
      <c r="AI660" s="1488"/>
      <c r="AJ660" s="1488"/>
      <c r="AK660" s="1488"/>
      <c r="AL660" s="1488"/>
      <c r="AM660" s="1488"/>
      <c r="AN660" s="1488"/>
      <c r="AO660" s="1488"/>
      <c r="AP660" s="1488"/>
      <c r="AQ660" s="1488"/>
      <c r="AR660" s="1488"/>
      <c r="AS660" s="1488"/>
      <c r="AT660" s="1542"/>
      <c r="AU660" s="1599">
        <f t="shared" si="351"/>
        <v>0</v>
      </c>
      <c r="AV660" s="1544">
        <f t="shared" si="379"/>
        <v>0</v>
      </c>
      <c r="AW660" s="1452">
        <f t="shared" si="352"/>
        <v>0</v>
      </c>
      <c r="AX660" s="1452">
        <f t="shared" si="353"/>
        <v>0</v>
      </c>
      <c r="AY660" s="1452">
        <f t="shared" si="354"/>
        <v>0</v>
      </c>
      <c r="AZ660" s="1452">
        <f t="shared" si="355"/>
        <v>0</v>
      </c>
      <c r="BA660" s="1452">
        <f t="shared" si="356"/>
        <v>0</v>
      </c>
      <c r="BB660" s="1452">
        <f t="shared" si="357"/>
        <v>0</v>
      </c>
      <c r="BC660" s="1452">
        <f t="shared" si="358"/>
        <v>0</v>
      </c>
      <c r="BD660" s="1452">
        <f t="shared" si="359"/>
        <v>0</v>
      </c>
      <c r="BE660" s="1452">
        <f t="shared" si="360"/>
        <v>0</v>
      </c>
      <c r="BF660" s="1452">
        <f t="shared" si="361"/>
        <v>0</v>
      </c>
      <c r="BG660" s="1452">
        <f t="shared" si="362"/>
        <v>0</v>
      </c>
      <c r="BH660" s="1452">
        <f t="shared" si="363"/>
        <v>0</v>
      </c>
      <c r="BI660" s="1452">
        <f t="shared" si="380"/>
        <v>0</v>
      </c>
      <c r="BJ660" s="1452" t="str">
        <f t="shared" si="364"/>
        <v/>
      </c>
      <c r="BK660" s="1452" t="str">
        <f t="shared" si="365"/>
        <v/>
      </c>
      <c r="BL660" s="1452" t="str">
        <f t="shared" si="366"/>
        <v/>
      </c>
      <c r="BM660" s="1452" t="str">
        <f t="shared" si="367"/>
        <v/>
      </c>
      <c r="BN660" s="1452" t="str">
        <f t="shared" ca="1" si="368"/>
        <v/>
      </c>
      <c r="BO660" s="1452" t="str">
        <f t="shared" si="381"/>
        <v/>
      </c>
      <c r="BP660" s="1452" t="str">
        <f t="shared" si="369"/>
        <v/>
      </c>
      <c r="BQ660" s="1452" t="str">
        <f t="shared" si="370"/>
        <v/>
      </c>
      <c r="BR660" s="1452" t="str">
        <f t="shared" si="371"/>
        <v/>
      </c>
      <c r="BS660" s="1452" t="str">
        <f t="shared" si="372"/>
        <v/>
      </c>
      <c r="BT660" s="1452" t="str">
        <f t="shared" si="373"/>
        <v/>
      </c>
      <c r="BU660" s="1452" t="str">
        <f t="shared" si="374"/>
        <v/>
      </c>
      <c r="BV660" s="1452" t="str">
        <f t="shared" si="375"/>
        <v/>
      </c>
      <c r="BW660" s="1558">
        <f t="shared" ca="1" si="382"/>
        <v>0</v>
      </c>
    </row>
    <row r="661" spans="1:75" s="9" customFormat="1" ht="12.5">
      <c r="A661" s="1483" t="str">
        <f t="shared" si="376"/>
        <v>Public Health Wales Trust</v>
      </c>
      <c r="B661" s="1583"/>
      <c r="C661" s="1583"/>
      <c r="D661" s="1583"/>
      <c r="E661" s="1585"/>
      <c r="F661" s="1436"/>
      <c r="G661" s="1547">
        <f t="shared" si="377"/>
        <v>0</v>
      </c>
      <c r="H661" s="1484"/>
      <c r="I661" s="1547">
        <f t="shared" si="378"/>
        <v>0</v>
      </c>
      <c r="J661" s="1485"/>
      <c r="K661" s="1485"/>
      <c r="L661" s="1436"/>
      <c r="M661" s="1439"/>
      <c r="N661" s="1439"/>
      <c r="O661" s="1485"/>
      <c r="P661" s="1486"/>
      <c r="Q661" s="1486"/>
      <c r="R661" s="1487"/>
      <c r="S661" s="1444"/>
      <c r="T661" s="1444"/>
      <c r="U661" s="1444"/>
      <c r="V661" s="1488"/>
      <c r="W661" s="1488"/>
      <c r="X661" s="1488"/>
      <c r="Y661" s="1488"/>
      <c r="Z661" s="1488"/>
      <c r="AA661" s="1488"/>
      <c r="AB661" s="1488"/>
      <c r="AC661" s="1488"/>
      <c r="AD661" s="1488"/>
      <c r="AE661" s="1488"/>
      <c r="AF661" s="1488"/>
      <c r="AG661" s="1488"/>
      <c r="AH661" s="1451">
        <f t="shared" si="350"/>
        <v>0</v>
      </c>
      <c r="AI661" s="1488"/>
      <c r="AJ661" s="1488"/>
      <c r="AK661" s="1488"/>
      <c r="AL661" s="1488"/>
      <c r="AM661" s="1488"/>
      <c r="AN661" s="1488"/>
      <c r="AO661" s="1488"/>
      <c r="AP661" s="1488"/>
      <c r="AQ661" s="1488"/>
      <c r="AR661" s="1488"/>
      <c r="AS661" s="1488"/>
      <c r="AT661" s="1542"/>
      <c r="AU661" s="1599">
        <f t="shared" si="351"/>
        <v>0</v>
      </c>
      <c r="AV661" s="1544">
        <f t="shared" si="379"/>
        <v>0</v>
      </c>
      <c r="AW661" s="1452">
        <f t="shared" si="352"/>
        <v>0</v>
      </c>
      <c r="AX661" s="1452">
        <f t="shared" si="353"/>
        <v>0</v>
      </c>
      <c r="AY661" s="1452">
        <f t="shared" si="354"/>
        <v>0</v>
      </c>
      <c r="AZ661" s="1452">
        <f t="shared" si="355"/>
        <v>0</v>
      </c>
      <c r="BA661" s="1452">
        <f t="shared" si="356"/>
        <v>0</v>
      </c>
      <c r="BB661" s="1452">
        <f t="shared" si="357"/>
        <v>0</v>
      </c>
      <c r="BC661" s="1452">
        <f t="shared" si="358"/>
        <v>0</v>
      </c>
      <c r="BD661" s="1452">
        <f t="shared" si="359"/>
        <v>0</v>
      </c>
      <c r="BE661" s="1452">
        <f t="shared" si="360"/>
        <v>0</v>
      </c>
      <c r="BF661" s="1452">
        <f t="shared" si="361"/>
        <v>0</v>
      </c>
      <c r="BG661" s="1452">
        <f t="shared" si="362"/>
        <v>0</v>
      </c>
      <c r="BH661" s="1452">
        <f t="shared" si="363"/>
        <v>0</v>
      </c>
      <c r="BI661" s="1452">
        <f t="shared" si="380"/>
        <v>0</v>
      </c>
      <c r="BJ661" s="1452" t="str">
        <f t="shared" si="364"/>
        <v/>
      </c>
      <c r="BK661" s="1452" t="str">
        <f t="shared" si="365"/>
        <v/>
      </c>
      <c r="BL661" s="1452" t="str">
        <f t="shared" si="366"/>
        <v/>
      </c>
      <c r="BM661" s="1452" t="str">
        <f t="shared" si="367"/>
        <v/>
      </c>
      <c r="BN661" s="1452" t="str">
        <f t="shared" ca="1" si="368"/>
        <v/>
      </c>
      <c r="BO661" s="1452" t="str">
        <f t="shared" si="381"/>
        <v/>
      </c>
      <c r="BP661" s="1452" t="str">
        <f t="shared" si="369"/>
        <v/>
      </c>
      <c r="BQ661" s="1452" t="str">
        <f t="shared" si="370"/>
        <v/>
      </c>
      <c r="BR661" s="1452" t="str">
        <f t="shared" si="371"/>
        <v/>
      </c>
      <c r="BS661" s="1452" t="str">
        <f t="shared" si="372"/>
        <v/>
      </c>
      <c r="BT661" s="1452" t="str">
        <f t="shared" si="373"/>
        <v/>
      </c>
      <c r="BU661" s="1452" t="str">
        <f t="shared" si="374"/>
        <v/>
      </c>
      <c r="BV661" s="1452" t="str">
        <f t="shared" si="375"/>
        <v/>
      </c>
      <c r="BW661" s="1558">
        <f t="shared" ca="1" si="382"/>
        <v>0</v>
      </c>
    </row>
    <row r="662" spans="1:75" s="9" customFormat="1" ht="12.5">
      <c r="A662" s="1483" t="str">
        <f t="shared" si="376"/>
        <v>Public Health Wales Trust</v>
      </c>
      <c r="B662" s="1583"/>
      <c r="C662" s="1583"/>
      <c r="D662" s="1583"/>
      <c r="E662" s="1585"/>
      <c r="F662" s="1436"/>
      <c r="G662" s="1547">
        <f t="shared" si="377"/>
        <v>0</v>
      </c>
      <c r="H662" s="1484"/>
      <c r="I662" s="1547">
        <f t="shared" si="378"/>
        <v>0</v>
      </c>
      <c r="J662" s="1485"/>
      <c r="K662" s="1485"/>
      <c r="L662" s="1436"/>
      <c r="M662" s="1439"/>
      <c r="N662" s="1439"/>
      <c r="O662" s="1485"/>
      <c r="P662" s="1486"/>
      <c r="Q662" s="1486"/>
      <c r="R662" s="1487"/>
      <c r="S662" s="1444"/>
      <c r="T662" s="1444"/>
      <c r="U662" s="1444"/>
      <c r="V662" s="1488"/>
      <c r="W662" s="1488"/>
      <c r="X662" s="1488"/>
      <c r="Y662" s="1488"/>
      <c r="Z662" s="1488"/>
      <c r="AA662" s="1488"/>
      <c r="AB662" s="1488"/>
      <c r="AC662" s="1488"/>
      <c r="AD662" s="1488"/>
      <c r="AE662" s="1488"/>
      <c r="AF662" s="1488"/>
      <c r="AG662" s="1488"/>
      <c r="AH662" s="1451">
        <f t="shared" si="350"/>
        <v>0</v>
      </c>
      <c r="AI662" s="1488"/>
      <c r="AJ662" s="1488"/>
      <c r="AK662" s="1488"/>
      <c r="AL662" s="1488"/>
      <c r="AM662" s="1488"/>
      <c r="AN662" s="1488"/>
      <c r="AO662" s="1488"/>
      <c r="AP662" s="1488"/>
      <c r="AQ662" s="1488"/>
      <c r="AR662" s="1488"/>
      <c r="AS662" s="1488"/>
      <c r="AT662" s="1542"/>
      <c r="AU662" s="1599">
        <f t="shared" si="351"/>
        <v>0</v>
      </c>
      <c r="AV662" s="1544">
        <f t="shared" si="379"/>
        <v>0</v>
      </c>
      <c r="AW662" s="1452">
        <f t="shared" si="352"/>
        <v>0</v>
      </c>
      <c r="AX662" s="1452">
        <f t="shared" si="353"/>
        <v>0</v>
      </c>
      <c r="AY662" s="1452">
        <f t="shared" si="354"/>
        <v>0</v>
      </c>
      <c r="AZ662" s="1452">
        <f t="shared" si="355"/>
        <v>0</v>
      </c>
      <c r="BA662" s="1452">
        <f t="shared" si="356"/>
        <v>0</v>
      </c>
      <c r="BB662" s="1452">
        <f t="shared" si="357"/>
        <v>0</v>
      </c>
      <c r="BC662" s="1452">
        <f t="shared" si="358"/>
        <v>0</v>
      </c>
      <c r="BD662" s="1452">
        <f t="shared" si="359"/>
        <v>0</v>
      </c>
      <c r="BE662" s="1452">
        <f t="shared" si="360"/>
        <v>0</v>
      </c>
      <c r="BF662" s="1452">
        <f t="shared" si="361"/>
        <v>0</v>
      </c>
      <c r="BG662" s="1452">
        <f t="shared" si="362"/>
        <v>0</v>
      </c>
      <c r="BH662" s="1452">
        <f t="shared" si="363"/>
        <v>0</v>
      </c>
      <c r="BI662" s="1452">
        <f t="shared" si="380"/>
        <v>0</v>
      </c>
      <c r="BJ662" s="1452" t="str">
        <f t="shared" si="364"/>
        <v/>
      </c>
      <c r="BK662" s="1452" t="str">
        <f t="shared" si="365"/>
        <v/>
      </c>
      <c r="BL662" s="1452" t="str">
        <f t="shared" si="366"/>
        <v/>
      </c>
      <c r="BM662" s="1452" t="str">
        <f t="shared" si="367"/>
        <v/>
      </c>
      <c r="BN662" s="1452" t="str">
        <f t="shared" ca="1" si="368"/>
        <v/>
      </c>
      <c r="BO662" s="1452" t="str">
        <f t="shared" si="381"/>
        <v/>
      </c>
      <c r="BP662" s="1452" t="str">
        <f t="shared" si="369"/>
        <v/>
      </c>
      <c r="BQ662" s="1452" t="str">
        <f t="shared" si="370"/>
        <v/>
      </c>
      <c r="BR662" s="1452" t="str">
        <f t="shared" si="371"/>
        <v/>
      </c>
      <c r="BS662" s="1452" t="str">
        <f t="shared" si="372"/>
        <v/>
      </c>
      <c r="BT662" s="1452" t="str">
        <f t="shared" si="373"/>
        <v/>
      </c>
      <c r="BU662" s="1452" t="str">
        <f t="shared" si="374"/>
        <v/>
      </c>
      <c r="BV662" s="1452" t="str">
        <f t="shared" si="375"/>
        <v/>
      </c>
      <c r="BW662" s="1558">
        <f t="shared" ca="1" si="382"/>
        <v>0</v>
      </c>
    </row>
    <row r="663" spans="1:75" s="9" customFormat="1" ht="12.5">
      <c r="A663" s="1483" t="str">
        <f t="shared" si="376"/>
        <v>Public Health Wales Trust</v>
      </c>
      <c r="B663" s="1583"/>
      <c r="C663" s="1583"/>
      <c r="D663" s="1583"/>
      <c r="E663" s="1585"/>
      <c r="F663" s="1436"/>
      <c r="G663" s="1547">
        <f t="shared" si="377"/>
        <v>0</v>
      </c>
      <c r="H663" s="1484"/>
      <c r="I663" s="1547">
        <f t="shared" si="378"/>
        <v>0</v>
      </c>
      <c r="J663" s="1485"/>
      <c r="K663" s="1485"/>
      <c r="L663" s="1436"/>
      <c r="M663" s="1439"/>
      <c r="N663" s="1439"/>
      <c r="O663" s="1485"/>
      <c r="P663" s="1486"/>
      <c r="Q663" s="1486"/>
      <c r="R663" s="1487"/>
      <c r="S663" s="1444"/>
      <c r="T663" s="1444"/>
      <c r="U663" s="1444"/>
      <c r="V663" s="1488"/>
      <c r="W663" s="1488"/>
      <c r="X663" s="1488"/>
      <c r="Y663" s="1488"/>
      <c r="Z663" s="1488"/>
      <c r="AA663" s="1488"/>
      <c r="AB663" s="1488"/>
      <c r="AC663" s="1488"/>
      <c r="AD663" s="1488"/>
      <c r="AE663" s="1488"/>
      <c r="AF663" s="1488"/>
      <c r="AG663" s="1488"/>
      <c r="AH663" s="1451">
        <f t="shared" si="350"/>
        <v>0</v>
      </c>
      <c r="AI663" s="1488"/>
      <c r="AJ663" s="1488"/>
      <c r="AK663" s="1488"/>
      <c r="AL663" s="1488"/>
      <c r="AM663" s="1488"/>
      <c r="AN663" s="1488"/>
      <c r="AO663" s="1488"/>
      <c r="AP663" s="1488"/>
      <c r="AQ663" s="1488"/>
      <c r="AR663" s="1488"/>
      <c r="AS663" s="1488"/>
      <c r="AT663" s="1542"/>
      <c r="AU663" s="1599">
        <f t="shared" si="351"/>
        <v>0</v>
      </c>
      <c r="AV663" s="1544">
        <f t="shared" si="379"/>
        <v>0</v>
      </c>
      <c r="AW663" s="1452">
        <f t="shared" si="352"/>
        <v>0</v>
      </c>
      <c r="AX663" s="1452">
        <f t="shared" si="353"/>
        <v>0</v>
      </c>
      <c r="AY663" s="1452">
        <f t="shared" si="354"/>
        <v>0</v>
      </c>
      <c r="AZ663" s="1452">
        <f t="shared" si="355"/>
        <v>0</v>
      </c>
      <c r="BA663" s="1452">
        <f t="shared" si="356"/>
        <v>0</v>
      </c>
      <c r="BB663" s="1452">
        <f t="shared" si="357"/>
        <v>0</v>
      </c>
      <c r="BC663" s="1452">
        <f t="shared" si="358"/>
        <v>0</v>
      </c>
      <c r="BD663" s="1452">
        <f t="shared" si="359"/>
        <v>0</v>
      </c>
      <c r="BE663" s="1452">
        <f t="shared" si="360"/>
        <v>0</v>
      </c>
      <c r="BF663" s="1452">
        <f t="shared" si="361"/>
        <v>0</v>
      </c>
      <c r="BG663" s="1452">
        <f t="shared" si="362"/>
        <v>0</v>
      </c>
      <c r="BH663" s="1452">
        <f t="shared" si="363"/>
        <v>0</v>
      </c>
      <c r="BI663" s="1452">
        <f t="shared" si="380"/>
        <v>0</v>
      </c>
      <c r="BJ663" s="1452" t="str">
        <f t="shared" si="364"/>
        <v/>
      </c>
      <c r="BK663" s="1452" t="str">
        <f t="shared" si="365"/>
        <v/>
      </c>
      <c r="BL663" s="1452" t="str">
        <f t="shared" si="366"/>
        <v/>
      </c>
      <c r="BM663" s="1452" t="str">
        <f t="shared" si="367"/>
        <v/>
      </c>
      <c r="BN663" s="1452" t="str">
        <f t="shared" ca="1" si="368"/>
        <v/>
      </c>
      <c r="BO663" s="1452" t="str">
        <f t="shared" si="381"/>
        <v/>
      </c>
      <c r="BP663" s="1452" t="str">
        <f t="shared" si="369"/>
        <v/>
      </c>
      <c r="BQ663" s="1452" t="str">
        <f t="shared" si="370"/>
        <v/>
      </c>
      <c r="BR663" s="1452" t="str">
        <f t="shared" si="371"/>
        <v/>
      </c>
      <c r="BS663" s="1452" t="str">
        <f t="shared" si="372"/>
        <v/>
      </c>
      <c r="BT663" s="1452" t="str">
        <f t="shared" si="373"/>
        <v/>
      </c>
      <c r="BU663" s="1452" t="str">
        <f t="shared" si="374"/>
        <v/>
      </c>
      <c r="BV663" s="1452" t="str">
        <f t="shared" si="375"/>
        <v/>
      </c>
      <c r="BW663" s="1558">
        <f t="shared" ca="1" si="382"/>
        <v>0</v>
      </c>
    </row>
    <row r="664" spans="1:75" s="9" customFormat="1" ht="12.5">
      <c r="A664" s="1483" t="str">
        <f t="shared" si="376"/>
        <v>Public Health Wales Trust</v>
      </c>
      <c r="B664" s="1583"/>
      <c r="C664" s="1583"/>
      <c r="D664" s="1583"/>
      <c r="E664" s="1585"/>
      <c r="F664" s="1436"/>
      <c r="G664" s="1547">
        <f t="shared" si="377"/>
        <v>0</v>
      </c>
      <c r="H664" s="1484"/>
      <c r="I664" s="1547">
        <f t="shared" si="378"/>
        <v>0</v>
      </c>
      <c r="J664" s="1485"/>
      <c r="K664" s="1485"/>
      <c r="L664" s="1436"/>
      <c r="M664" s="1439"/>
      <c r="N664" s="1439"/>
      <c r="O664" s="1485"/>
      <c r="P664" s="1486"/>
      <c r="Q664" s="1486"/>
      <c r="R664" s="1487"/>
      <c r="S664" s="1444"/>
      <c r="T664" s="1444"/>
      <c r="U664" s="1444"/>
      <c r="V664" s="1488"/>
      <c r="W664" s="1488"/>
      <c r="X664" s="1488"/>
      <c r="Y664" s="1488"/>
      <c r="Z664" s="1488"/>
      <c r="AA664" s="1488"/>
      <c r="AB664" s="1488"/>
      <c r="AC664" s="1488"/>
      <c r="AD664" s="1488"/>
      <c r="AE664" s="1488"/>
      <c r="AF664" s="1488"/>
      <c r="AG664" s="1488"/>
      <c r="AH664" s="1451">
        <f t="shared" si="350"/>
        <v>0</v>
      </c>
      <c r="AI664" s="1488"/>
      <c r="AJ664" s="1488"/>
      <c r="AK664" s="1488"/>
      <c r="AL664" s="1488"/>
      <c r="AM664" s="1488"/>
      <c r="AN664" s="1488"/>
      <c r="AO664" s="1488"/>
      <c r="AP664" s="1488"/>
      <c r="AQ664" s="1488"/>
      <c r="AR664" s="1488"/>
      <c r="AS664" s="1488"/>
      <c r="AT664" s="1542"/>
      <c r="AU664" s="1599">
        <f t="shared" si="351"/>
        <v>0</v>
      </c>
      <c r="AV664" s="1544">
        <f t="shared" si="379"/>
        <v>0</v>
      </c>
      <c r="AW664" s="1452">
        <f t="shared" si="352"/>
        <v>0</v>
      </c>
      <c r="AX664" s="1452">
        <f t="shared" si="353"/>
        <v>0</v>
      </c>
      <c r="AY664" s="1452">
        <f t="shared" si="354"/>
        <v>0</v>
      </c>
      <c r="AZ664" s="1452">
        <f t="shared" si="355"/>
        <v>0</v>
      </c>
      <c r="BA664" s="1452">
        <f t="shared" si="356"/>
        <v>0</v>
      </c>
      <c r="BB664" s="1452">
        <f t="shared" si="357"/>
        <v>0</v>
      </c>
      <c r="BC664" s="1452">
        <f t="shared" si="358"/>
        <v>0</v>
      </c>
      <c r="BD664" s="1452">
        <f t="shared" si="359"/>
        <v>0</v>
      </c>
      <c r="BE664" s="1452">
        <f t="shared" si="360"/>
        <v>0</v>
      </c>
      <c r="BF664" s="1452">
        <f t="shared" si="361"/>
        <v>0</v>
      </c>
      <c r="BG664" s="1452">
        <f t="shared" si="362"/>
        <v>0</v>
      </c>
      <c r="BH664" s="1452">
        <f t="shared" si="363"/>
        <v>0</v>
      </c>
      <c r="BI664" s="1452">
        <f t="shared" si="380"/>
        <v>0</v>
      </c>
      <c r="BJ664" s="1452" t="str">
        <f t="shared" si="364"/>
        <v/>
      </c>
      <c r="BK664" s="1452" t="str">
        <f t="shared" si="365"/>
        <v/>
      </c>
      <c r="BL664" s="1452" t="str">
        <f t="shared" si="366"/>
        <v/>
      </c>
      <c r="BM664" s="1452" t="str">
        <f t="shared" si="367"/>
        <v/>
      </c>
      <c r="BN664" s="1452" t="str">
        <f t="shared" ca="1" si="368"/>
        <v/>
      </c>
      <c r="BO664" s="1452" t="str">
        <f t="shared" si="381"/>
        <v/>
      </c>
      <c r="BP664" s="1452" t="str">
        <f t="shared" si="369"/>
        <v/>
      </c>
      <c r="BQ664" s="1452" t="str">
        <f t="shared" si="370"/>
        <v/>
      </c>
      <c r="BR664" s="1452" t="str">
        <f t="shared" si="371"/>
        <v/>
      </c>
      <c r="BS664" s="1452" t="str">
        <f t="shared" si="372"/>
        <v/>
      </c>
      <c r="BT664" s="1452" t="str">
        <f t="shared" si="373"/>
        <v/>
      </c>
      <c r="BU664" s="1452" t="str">
        <f t="shared" si="374"/>
        <v/>
      </c>
      <c r="BV664" s="1452" t="str">
        <f t="shared" si="375"/>
        <v/>
      </c>
      <c r="BW664" s="1558">
        <f t="shared" ca="1" si="382"/>
        <v>0</v>
      </c>
    </row>
    <row r="665" spans="1:75" s="9" customFormat="1" ht="12.5">
      <c r="A665" s="1483" t="str">
        <f t="shared" si="376"/>
        <v>Public Health Wales Trust</v>
      </c>
      <c r="B665" s="1583"/>
      <c r="C665" s="1583"/>
      <c r="D665" s="1583"/>
      <c r="E665" s="1585"/>
      <c r="F665" s="1436"/>
      <c r="G665" s="1547">
        <f t="shared" si="377"/>
        <v>0</v>
      </c>
      <c r="H665" s="1484"/>
      <c r="I665" s="1547">
        <f t="shared" si="378"/>
        <v>0</v>
      </c>
      <c r="J665" s="1485"/>
      <c r="K665" s="1485"/>
      <c r="L665" s="1436"/>
      <c r="M665" s="1439"/>
      <c r="N665" s="1439"/>
      <c r="O665" s="1485"/>
      <c r="P665" s="1486"/>
      <c r="Q665" s="1486"/>
      <c r="R665" s="1487"/>
      <c r="S665" s="1444"/>
      <c r="T665" s="1444"/>
      <c r="U665" s="1444"/>
      <c r="V665" s="1488"/>
      <c r="W665" s="1488"/>
      <c r="X665" s="1488"/>
      <c r="Y665" s="1488"/>
      <c r="Z665" s="1488"/>
      <c r="AA665" s="1488"/>
      <c r="AB665" s="1488"/>
      <c r="AC665" s="1488"/>
      <c r="AD665" s="1488"/>
      <c r="AE665" s="1488"/>
      <c r="AF665" s="1488"/>
      <c r="AG665" s="1488"/>
      <c r="AH665" s="1451">
        <f t="shared" si="350"/>
        <v>0</v>
      </c>
      <c r="AI665" s="1488"/>
      <c r="AJ665" s="1488"/>
      <c r="AK665" s="1488"/>
      <c r="AL665" s="1488"/>
      <c r="AM665" s="1488"/>
      <c r="AN665" s="1488"/>
      <c r="AO665" s="1488"/>
      <c r="AP665" s="1488"/>
      <c r="AQ665" s="1488"/>
      <c r="AR665" s="1488"/>
      <c r="AS665" s="1488"/>
      <c r="AT665" s="1542"/>
      <c r="AU665" s="1599">
        <f t="shared" si="351"/>
        <v>0</v>
      </c>
      <c r="AV665" s="1544">
        <f t="shared" si="379"/>
        <v>0</v>
      </c>
      <c r="AW665" s="1452">
        <f t="shared" si="352"/>
        <v>0</v>
      </c>
      <c r="AX665" s="1452">
        <f t="shared" si="353"/>
        <v>0</v>
      </c>
      <c r="AY665" s="1452">
        <f t="shared" si="354"/>
        <v>0</v>
      </c>
      <c r="AZ665" s="1452">
        <f t="shared" si="355"/>
        <v>0</v>
      </c>
      <c r="BA665" s="1452">
        <f t="shared" si="356"/>
        <v>0</v>
      </c>
      <c r="BB665" s="1452">
        <f t="shared" si="357"/>
        <v>0</v>
      </c>
      <c r="BC665" s="1452">
        <f t="shared" si="358"/>
        <v>0</v>
      </c>
      <c r="BD665" s="1452">
        <f t="shared" si="359"/>
        <v>0</v>
      </c>
      <c r="BE665" s="1452">
        <f t="shared" si="360"/>
        <v>0</v>
      </c>
      <c r="BF665" s="1452">
        <f t="shared" si="361"/>
        <v>0</v>
      </c>
      <c r="BG665" s="1452">
        <f t="shared" si="362"/>
        <v>0</v>
      </c>
      <c r="BH665" s="1452">
        <f t="shared" si="363"/>
        <v>0</v>
      </c>
      <c r="BI665" s="1452">
        <f t="shared" si="380"/>
        <v>0</v>
      </c>
      <c r="BJ665" s="1452" t="str">
        <f t="shared" si="364"/>
        <v/>
      </c>
      <c r="BK665" s="1452" t="str">
        <f t="shared" si="365"/>
        <v/>
      </c>
      <c r="BL665" s="1452" t="str">
        <f t="shared" si="366"/>
        <v/>
      </c>
      <c r="BM665" s="1452" t="str">
        <f t="shared" si="367"/>
        <v/>
      </c>
      <c r="BN665" s="1452" t="str">
        <f t="shared" ca="1" si="368"/>
        <v/>
      </c>
      <c r="BO665" s="1452" t="str">
        <f t="shared" si="381"/>
        <v/>
      </c>
      <c r="BP665" s="1452" t="str">
        <f t="shared" si="369"/>
        <v/>
      </c>
      <c r="BQ665" s="1452" t="str">
        <f t="shared" si="370"/>
        <v/>
      </c>
      <c r="BR665" s="1452" t="str">
        <f t="shared" si="371"/>
        <v/>
      </c>
      <c r="BS665" s="1452" t="str">
        <f t="shared" si="372"/>
        <v/>
      </c>
      <c r="BT665" s="1452" t="str">
        <f t="shared" si="373"/>
        <v/>
      </c>
      <c r="BU665" s="1452" t="str">
        <f t="shared" si="374"/>
        <v/>
      </c>
      <c r="BV665" s="1452" t="str">
        <f t="shared" si="375"/>
        <v/>
      </c>
      <c r="BW665" s="1558">
        <f t="shared" ca="1" si="382"/>
        <v>0</v>
      </c>
    </row>
    <row r="666" spans="1:75" s="9" customFormat="1" ht="12.5">
      <c r="A666" s="1483" t="str">
        <f t="shared" si="376"/>
        <v>Public Health Wales Trust</v>
      </c>
      <c r="B666" s="1583"/>
      <c r="C666" s="1583"/>
      <c r="D666" s="1583"/>
      <c r="E666" s="1585"/>
      <c r="F666" s="1436"/>
      <c r="G666" s="1547">
        <f t="shared" si="377"/>
        <v>0</v>
      </c>
      <c r="H666" s="1484"/>
      <c r="I666" s="1547">
        <f t="shared" si="378"/>
        <v>0</v>
      </c>
      <c r="J666" s="1485"/>
      <c r="K666" s="1485"/>
      <c r="L666" s="1436"/>
      <c r="M666" s="1439"/>
      <c r="N666" s="1439"/>
      <c r="O666" s="1485"/>
      <c r="P666" s="1486"/>
      <c r="Q666" s="1486"/>
      <c r="R666" s="1487"/>
      <c r="S666" s="1444"/>
      <c r="T666" s="1444"/>
      <c r="U666" s="1444"/>
      <c r="V666" s="1488"/>
      <c r="W666" s="1488"/>
      <c r="X666" s="1488"/>
      <c r="Y666" s="1488"/>
      <c r="Z666" s="1488"/>
      <c r="AA666" s="1488"/>
      <c r="AB666" s="1488"/>
      <c r="AC666" s="1488"/>
      <c r="AD666" s="1488"/>
      <c r="AE666" s="1488"/>
      <c r="AF666" s="1488"/>
      <c r="AG666" s="1488"/>
      <c r="AH666" s="1451">
        <f t="shared" si="350"/>
        <v>0</v>
      </c>
      <c r="AI666" s="1488"/>
      <c r="AJ666" s="1488"/>
      <c r="AK666" s="1488"/>
      <c r="AL666" s="1488"/>
      <c r="AM666" s="1488"/>
      <c r="AN666" s="1488"/>
      <c r="AO666" s="1488"/>
      <c r="AP666" s="1488"/>
      <c r="AQ666" s="1488"/>
      <c r="AR666" s="1488"/>
      <c r="AS666" s="1488"/>
      <c r="AT666" s="1542"/>
      <c r="AU666" s="1599">
        <f t="shared" si="351"/>
        <v>0</v>
      </c>
      <c r="AV666" s="1544">
        <f t="shared" si="379"/>
        <v>0</v>
      </c>
      <c r="AW666" s="1452">
        <f t="shared" si="352"/>
        <v>0</v>
      </c>
      <c r="AX666" s="1452">
        <f t="shared" si="353"/>
        <v>0</v>
      </c>
      <c r="AY666" s="1452">
        <f t="shared" si="354"/>
        <v>0</v>
      </c>
      <c r="AZ666" s="1452">
        <f t="shared" si="355"/>
        <v>0</v>
      </c>
      <c r="BA666" s="1452">
        <f t="shared" si="356"/>
        <v>0</v>
      </c>
      <c r="BB666" s="1452">
        <f t="shared" si="357"/>
        <v>0</v>
      </c>
      <c r="BC666" s="1452">
        <f t="shared" si="358"/>
        <v>0</v>
      </c>
      <c r="BD666" s="1452">
        <f t="shared" si="359"/>
        <v>0</v>
      </c>
      <c r="BE666" s="1452">
        <f t="shared" si="360"/>
        <v>0</v>
      </c>
      <c r="BF666" s="1452">
        <f t="shared" si="361"/>
        <v>0</v>
      </c>
      <c r="BG666" s="1452">
        <f t="shared" si="362"/>
        <v>0</v>
      </c>
      <c r="BH666" s="1452">
        <f t="shared" si="363"/>
        <v>0</v>
      </c>
      <c r="BI666" s="1452">
        <f t="shared" si="380"/>
        <v>0</v>
      </c>
      <c r="BJ666" s="1452" t="str">
        <f t="shared" si="364"/>
        <v/>
      </c>
      <c r="BK666" s="1452" t="str">
        <f t="shared" si="365"/>
        <v/>
      </c>
      <c r="BL666" s="1452" t="str">
        <f t="shared" si="366"/>
        <v/>
      </c>
      <c r="BM666" s="1452" t="str">
        <f t="shared" si="367"/>
        <v/>
      </c>
      <c r="BN666" s="1452" t="str">
        <f t="shared" ca="1" si="368"/>
        <v/>
      </c>
      <c r="BO666" s="1452" t="str">
        <f t="shared" si="381"/>
        <v/>
      </c>
      <c r="BP666" s="1452" t="str">
        <f t="shared" si="369"/>
        <v/>
      </c>
      <c r="BQ666" s="1452" t="str">
        <f t="shared" si="370"/>
        <v/>
      </c>
      <c r="BR666" s="1452" t="str">
        <f t="shared" si="371"/>
        <v/>
      </c>
      <c r="BS666" s="1452" t="str">
        <f t="shared" si="372"/>
        <v/>
      </c>
      <c r="BT666" s="1452" t="str">
        <f t="shared" si="373"/>
        <v/>
      </c>
      <c r="BU666" s="1452" t="str">
        <f t="shared" si="374"/>
        <v/>
      </c>
      <c r="BV666" s="1452" t="str">
        <f t="shared" si="375"/>
        <v/>
      </c>
      <c r="BW666" s="1558">
        <f t="shared" ca="1" si="382"/>
        <v>0</v>
      </c>
    </row>
    <row r="667" spans="1:75" s="9" customFormat="1" ht="12.5">
      <c r="A667" s="1483" t="str">
        <f t="shared" si="376"/>
        <v>Public Health Wales Trust</v>
      </c>
      <c r="B667" s="1583"/>
      <c r="C667" s="1583"/>
      <c r="D667" s="1583"/>
      <c r="E667" s="1585"/>
      <c r="F667" s="1436"/>
      <c r="G667" s="1547">
        <f t="shared" si="377"/>
        <v>0</v>
      </c>
      <c r="H667" s="1484"/>
      <c r="I667" s="1547">
        <f t="shared" si="378"/>
        <v>0</v>
      </c>
      <c r="J667" s="1485"/>
      <c r="K667" s="1485"/>
      <c r="L667" s="1436"/>
      <c r="M667" s="1439"/>
      <c r="N667" s="1439"/>
      <c r="O667" s="1485"/>
      <c r="P667" s="1486"/>
      <c r="Q667" s="1486"/>
      <c r="R667" s="1487"/>
      <c r="S667" s="1444"/>
      <c r="T667" s="1444"/>
      <c r="U667" s="1444"/>
      <c r="V667" s="1488"/>
      <c r="W667" s="1488"/>
      <c r="X667" s="1488"/>
      <c r="Y667" s="1488"/>
      <c r="Z667" s="1488"/>
      <c r="AA667" s="1488"/>
      <c r="AB667" s="1488"/>
      <c r="AC667" s="1488"/>
      <c r="AD667" s="1488"/>
      <c r="AE667" s="1488"/>
      <c r="AF667" s="1488"/>
      <c r="AG667" s="1488"/>
      <c r="AH667" s="1451">
        <f t="shared" si="350"/>
        <v>0</v>
      </c>
      <c r="AI667" s="1488"/>
      <c r="AJ667" s="1488"/>
      <c r="AK667" s="1488"/>
      <c r="AL667" s="1488"/>
      <c r="AM667" s="1488"/>
      <c r="AN667" s="1488"/>
      <c r="AO667" s="1488"/>
      <c r="AP667" s="1488"/>
      <c r="AQ667" s="1488"/>
      <c r="AR667" s="1488"/>
      <c r="AS667" s="1488"/>
      <c r="AT667" s="1542"/>
      <c r="AU667" s="1599">
        <f t="shared" si="351"/>
        <v>0</v>
      </c>
      <c r="AV667" s="1544">
        <f t="shared" si="379"/>
        <v>0</v>
      </c>
      <c r="AW667" s="1452">
        <f t="shared" si="352"/>
        <v>0</v>
      </c>
      <c r="AX667" s="1452">
        <f t="shared" si="353"/>
        <v>0</v>
      </c>
      <c r="AY667" s="1452">
        <f t="shared" si="354"/>
        <v>0</v>
      </c>
      <c r="AZ667" s="1452">
        <f t="shared" si="355"/>
        <v>0</v>
      </c>
      <c r="BA667" s="1452">
        <f t="shared" si="356"/>
        <v>0</v>
      </c>
      <c r="BB667" s="1452">
        <f t="shared" si="357"/>
        <v>0</v>
      </c>
      <c r="BC667" s="1452">
        <f t="shared" si="358"/>
        <v>0</v>
      </c>
      <c r="BD667" s="1452">
        <f t="shared" si="359"/>
        <v>0</v>
      </c>
      <c r="BE667" s="1452">
        <f t="shared" si="360"/>
        <v>0</v>
      </c>
      <c r="BF667" s="1452">
        <f t="shared" si="361"/>
        <v>0</v>
      </c>
      <c r="BG667" s="1452">
        <f t="shared" si="362"/>
        <v>0</v>
      </c>
      <c r="BH667" s="1452">
        <f t="shared" si="363"/>
        <v>0</v>
      </c>
      <c r="BI667" s="1452">
        <f t="shared" si="380"/>
        <v>0</v>
      </c>
      <c r="BJ667" s="1452" t="str">
        <f t="shared" si="364"/>
        <v/>
      </c>
      <c r="BK667" s="1452" t="str">
        <f t="shared" si="365"/>
        <v/>
      </c>
      <c r="BL667" s="1452" t="str">
        <f t="shared" si="366"/>
        <v/>
      </c>
      <c r="BM667" s="1452" t="str">
        <f t="shared" si="367"/>
        <v/>
      </c>
      <c r="BN667" s="1452" t="str">
        <f t="shared" ca="1" si="368"/>
        <v/>
      </c>
      <c r="BO667" s="1452" t="str">
        <f t="shared" si="381"/>
        <v/>
      </c>
      <c r="BP667" s="1452" t="str">
        <f t="shared" si="369"/>
        <v/>
      </c>
      <c r="BQ667" s="1452" t="str">
        <f t="shared" si="370"/>
        <v/>
      </c>
      <c r="BR667" s="1452" t="str">
        <f t="shared" si="371"/>
        <v/>
      </c>
      <c r="BS667" s="1452" t="str">
        <f t="shared" si="372"/>
        <v/>
      </c>
      <c r="BT667" s="1452" t="str">
        <f t="shared" si="373"/>
        <v/>
      </c>
      <c r="BU667" s="1452" t="str">
        <f t="shared" si="374"/>
        <v/>
      </c>
      <c r="BV667" s="1452" t="str">
        <f t="shared" si="375"/>
        <v/>
      </c>
      <c r="BW667" s="1558">
        <f t="shared" ca="1" si="382"/>
        <v>0</v>
      </c>
    </row>
    <row r="668" spans="1:75" s="9" customFormat="1" ht="12.5">
      <c r="A668" s="1483" t="str">
        <f t="shared" si="376"/>
        <v>Public Health Wales Trust</v>
      </c>
      <c r="B668" s="1583"/>
      <c r="C668" s="1583"/>
      <c r="D668" s="1583"/>
      <c r="E668" s="1585"/>
      <c r="F668" s="1436"/>
      <c r="G668" s="1547">
        <f t="shared" si="377"/>
        <v>0</v>
      </c>
      <c r="H668" s="1484"/>
      <c r="I668" s="1547">
        <f t="shared" si="378"/>
        <v>0</v>
      </c>
      <c r="J668" s="1485"/>
      <c r="K668" s="1485"/>
      <c r="L668" s="1436"/>
      <c r="M668" s="1439"/>
      <c r="N668" s="1439"/>
      <c r="O668" s="1485"/>
      <c r="P668" s="1486"/>
      <c r="Q668" s="1486"/>
      <c r="R668" s="1487"/>
      <c r="S668" s="1444"/>
      <c r="T668" s="1444"/>
      <c r="U668" s="1444"/>
      <c r="V668" s="1488"/>
      <c r="W668" s="1488"/>
      <c r="X668" s="1488"/>
      <c r="Y668" s="1488"/>
      <c r="Z668" s="1488"/>
      <c r="AA668" s="1488"/>
      <c r="AB668" s="1488"/>
      <c r="AC668" s="1488"/>
      <c r="AD668" s="1488"/>
      <c r="AE668" s="1488"/>
      <c r="AF668" s="1488"/>
      <c r="AG668" s="1488"/>
      <c r="AH668" s="1451">
        <f t="shared" si="350"/>
        <v>0</v>
      </c>
      <c r="AI668" s="1488"/>
      <c r="AJ668" s="1488"/>
      <c r="AK668" s="1488"/>
      <c r="AL668" s="1488"/>
      <c r="AM668" s="1488"/>
      <c r="AN668" s="1488"/>
      <c r="AO668" s="1488"/>
      <c r="AP668" s="1488"/>
      <c r="AQ668" s="1488"/>
      <c r="AR668" s="1488"/>
      <c r="AS668" s="1488"/>
      <c r="AT668" s="1542"/>
      <c r="AU668" s="1599">
        <f t="shared" si="351"/>
        <v>0</v>
      </c>
      <c r="AV668" s="1544">
        <f t="shared" si="379"/>
        <v>0</v>
      </c>
      <c r="AW668" s="1452">
        <f t="shared" si="352"/>
        <v>0</v>
      </c>
      <c r="AX668" s="1452">
        <f t="shared" si="353"/>
        <v>0</v>
      </c>
      <c r="AY668" s="1452">
        <f t="shared" si="354"/>
        <v>0</v>
      </c>
      <c r="AZ668" s="1452">
        <f t="shared" si="355"/>
        <v>0</v>
      </c>
      <c r="BA668" s="1452">
        <f t="shared" si="356"/>
        <v>0</v>
      </c>
      <c r="BB668" s="1452">
        <f t="shared" si="357"/>
        <v>0</v>
      </c>
      <c r="BC668" s="1452">
        <f t="shared" si="358"/>
        <v>0</v>
      </c>
      <c r="BD668" s="1452">
        <f t="shared" si="359"/>
        <v>0</v>
      </c>
      <c r="BE668" s="1452">
        <f t="shared" si="360"/>
        <v>0</v>
      </c>
      <c r="BF668" s="1452">
        <f t="shared" si="361"/>
        <v>0</v>
      </c>
      <c r="BG668" s="1452">
        <f t="shared" si="362"/>
        <v>0</v>
      </c>
      <c r="BH668" s="1452">
        <f t="shared" si="363"/>
        <v>0</v>
      </c>
      <c r="BI668" s="1452">
        <f t="shared" si="380"/>
        <v>0</v>
      </c>
      <c r="BJ668" s="1452" t="str">
        <f t="shared" si="364"/>
        <v/>
      </c>
      <c r="BK668" s="1452" t="str">
        <f t="shared" si="365"/>
        <v/>
      </c>
      <c r="BL668" s="1452" t="str">
        <f t="shared" si="366"/>
        <v/>
      </c>
      <c r="BM668" s="1452" t="str">
        <f t="shared" si="367"/>
        <v/>
      </c>
      <c r="BN668" s="1452" t="str">
        <f t="shared" ca="1" si="368"/>
        <v/>
      </c>
      <c r="BO668" s="1452" t="str">
        <f t="shared" si="381"/>
        <v/>
      </c>
      <c r="BP668" s="1452" t="str">
        <f t="shared" si="369"/>
        <v/>
      </c>
      <c r="BQ668" s="1452" t="str">
        <f t="shared" si="370"/>
        <v/>
      </c>
      <c r="BR668" s="1452" t="str">
        <f t="shared" si="371"/>
        <v/>
      </c>
      <c r="BS668" s="1452" t="str">
        <f t="shared" si="372"/>
        <v/>
      </c>
      <c r="BT668" s="1452" t="str">
        <f t="shared" si="373"/>
        <v/>
      </c>
      <c r="BU668" s="1452" t="str">
        <f t="shared" si="374"/>
        <v/>
      </c>
      <c r="BV668" s="1452" t="str">
        <f t="shared" si="375"/>
        <v/>
      </c>
      <c r="BW668" s="1558">
        <f t="shared" ca="1" si="382"/>
        <v>0</v>
      </c>
    </row>
    <row r="669" spans="1:75" s="9" customFormat="1" ht="12.5">
      <c r="A669" s="1483" t="str">
        <f t="shared" si="376"/>
        <v>Public Health Wales Trust</v>
      </c>
      <c r="B669" s="1583"/>
      <c r="C669" s="1583"/>
      <c r="D669" s="1583"/>
      <c r="E669" s="1585"/>
      <c r="F669" s="1436"/>
      <c r="G669" s="1547">
        <f t="shared" si="377"/>
        <v>0</v>
      </c>
      <c r="H669" s="1484"/>
      <c r="I669" s="1547">
        <f t="shared" si="378"/>
        <v>0</v>
      </c>
      <c r="J669" s="1485"/>
      <c r="K669" s="1485"/>
      <c r="L669" s="1436"/>
      <c r="M669" s="1439"/>
      <c r="N669" s="1439"/>
      <c r="O669" s="1485"/>
      <c r="P669" s="1486"/>
      <c r="Q669" s="1486"/>
      <c r="R669" s="1487"/>
      <c r="S669" s="1444"/>
      <c r="T669" s="1444"/>
      <c r="U669" s="1444"/>
      <c r="V669" s="1488"/>
      <c r="W669" s="1488"/>
      <c r="X669" s="1488"/>
      <c r="Y669" s="1488"/>
      <c r="Z669" s="1488"/>
      <c r="AA669" s="1488"/>
      <c r="AB669" s="1488"/>
      <c r="AC669" s="1488"/>
      <c r="AD669" s="1488"/>
      <c r="AE669" s="1488"/>
      <c r="AF669" s="1488"/>
      <c r="AG669" s="1488"/>
      <c r="AH669" s="1451">
        <f t="shared" si="350"/>
        <v>0</v>
      </c>
      <c r="AI669" s="1488"/>
      <c r="AJ669" s="1488"/>
      <c r="AK669" s="1488"/>
      <c r="AL669" s="1488"/>
      <c r="AM669" s="1488"/>
      <c r="AN669" s="1488"/>
      <c r="AO669" s="1488"/>
      <c r="AP669" s="1488"/>
      <c r="AQ669" s="1488"/>
      <c r="AR669" s="1488"/>
      <c r="AS669" s="1488"/>
      <c r="AT669" s="1542"/>
      <c r="AU669" s="1599">
        <f t="shared" si="351"/>
        <v>0</v>
      </c>
      <c r="AV669" s="1544">
        <f t="shared" si="379"/>
        <v>0</v>
      </c>
      <c r="AW669" s="1452">
        <f t="shared" si="352"/>
        <v>0</v>
      </c>
      <c r="AX669" s="1452">
        <f t="shared" si="353"/>
        <v>0</v>
      </c>
      <c r="AY669" s="1452">
        <f t="shared" si="354"/>
        <v>0</v>
      </c>
      <c r="AZ669" s="1452">
        <f t="shared" si="355"/>
        <v>0</v>
      </c>
      <c r="BA669" s="1452">
        <f t="shared" si="356"/>
        <v>0</v>
      </c>
      <c r="BB669" s="1452">
        <f t="shared" si="357"/>
        <v>0</v>
      </c>
      <c r="BC669" s="1452">
        <f t="shared" si="358"/>
        <v>0</v>
      </c>
      <c r="BD669" s="1452">
        <f t="shared" si="359"/>
        <v>0</v>
      </c>
      <c r="BE669" s="1452">
        <f t="shared" si="360"/>
        <v>0</v>
      </c>
      <c r="BF669" s="1452">
        <f t="shared" si="361"/>
        <v>0</v>
      </c>
      <c r="BG669" s="1452">
        <f t="shared" si="362"/>
        <v>0</v>
      </c>
      <c r="BH669" s="1452">
        <f t="shared" si="363"/>
        <v>0</v>
      </c>
      <c r="BI669" s="1452">
        <f t="shared" si="380"/>
        <v>0</v>
      </c>
      <c r="BJ669" s="1452" t="str">
        <f t="shared" si="364"/>
        <v/>
      </c>
      <c r="BK669" s="1452" t="str">
        <f t="shared" si="365"/>
        <v/>
      </c>
      <c r="BL669" s="1452" t="str">
        <f t="shared" si="366"/>
        <v/>
      </c>
      <c r="BM669" s="1452" t="str">
        <f t="shared" si="367"/>
        <v/>
      </c>
      <c r="BN669" s="1452" t="str">
        <f t="shared" ca="1" si="368"/>
        <v/>
      </c>
      <c r="BO669" s="1452" t="str">
        <f t="shared" si="381"/>
        <v/>
      </c>
      <c r="BP669" s="1452" t="str">
        <f t="shared" si="369"/>
        <v/>
      </c>
      <c r="BQ669" s="1452" t="str">
        <f t="shared" si="370"/>
        <v/>
      </c>
      <c r="BR669" s="1452" t="str">
        <f t="shared" si="371"/>
        <v/>
      </c>
      <c r="BS669" s="1452" t="str">
        <f t="shared" si="372"/>
        <v/>
      </c>
      <c r="BT669" s="1452" t="str">
        <f t="shared" si="373"/>
        <v/>
      </c>
      <c r="BU669" s="1452" t="str">
        <f t="shared" si="374"/>
        <v/>
      </c>
      <c r="BV669" s="1452" t="str">
        <f t="shared" si="375"/>
        <v/>
      </c>
      <c r="BW669" s="1558">
        <f t="shared" ca="1" si="382"/>
        <v>0</v>
      </c>
    </row>
    <row r="670" spans="1:75" s="9" customFormat="1" ht="12.5">
      <c r="A670" s="1483" t="str">
        <f t="shared" si="376"/>
        <v>Public Health Wales Trust</v>
      </c>
      <c r="B670" s="1583"/>
      <c r="C670" s="1583"/>
      <c r="D670" s="1583"/>
      <c r="E670" s="1585"/>
      <c r="F670" s="1436"/>
      <c r="G670" s="1547">
        <f t="shared" si="377"/>
        <v>0</v>
      </c>
      <c r="H670" s="1484"/>
      <c r="I670" s="1547">
        <f t="shared" si="378"/>
        <v>0</v>
      </c>
      <c r="J670" s="1485"/>
      <c r="K670" s="1485"/>
      <c r="L670" s="1436"/>
      <c r="M670" s="1439"/>
      <c r="N670" s="1439"/>
      <c r="O670" s="1485"/>
      <c r="P670" s="1486"/>
      <c r="Q670" s="1486"/>
      <c r="R670" s="1487"/>
      <c r="S670" s="1444"/>
      <c r="T670" s="1444"/>
      <c r="U670" s="1444"/>
      <c r="V670" s="1488"/>
      <c r="W670" s="1488"/>
      <c r="X670" s="1488"/>
      <c r="Y670" s="1488"/>
      <c r="Z670" s="1488"/>
      <c r="AA670" s="1488"/>
      <c r="AB670" s="1488"/>
      <c r="AC670" s="1488"/>
      <c r="AD670" s="1488"/>
      <c r="AE670" s="1488"/>
      <c r="AF670" s="1488"/>
      <c r="AG670" s="1488"/>
      <c r="AH670" s="1451">
        <f t="shared" si="350"/>
        <v>0</v>
      </c>
      <c r="AI670" s="1488"/>
      <c r="AJ670" s="1488"/>
      <c r="AK670" s="1488"/>
      <c r="AL670" s="1488"/>
      <c r="AM670" s="1488"/>
      <c r="AN670" s="1488"/>
      <c r="AO670" s="1488"/>
      <c r="AP670" s="1488"/>
      <c r="AQ670" s="1488"/>
      <c r="AR670" s="1488"/>
      <c r="AS670" s="1488"/>
      <c r="AT670" s="1542"/>
      <c r="AU670" s="1599">
        <f t="shared" si="351"/>
        <v>0</v>
      </c>
      <c r="AV670" s="1544">
        <f t="shared" si="379"/>
        <v>0</v>
      </c>
      <c r="AW670" s="1452">
        <f t="shared" si="352"/>
        <v>0</v>
      </c>
      <c r="AX670" s="1452">
        <f t="shared" si="353"/>
        <v>0</v>
      </c>
      <c r="AY670" s="1452">
        <f t="shared" si="354"/>
        <v>0</v>
      </c>
      <c r="AZ670" s="1452">
        <f t="shared" si="355"/>
        <v>0</v>
      </c>
      <c r="BA670" s="1452">
        <f t="shared" si="356"/>
        <v>0</v>
      </c>
      <c r="BB670" s="1452">
        <f t="shared" si="357"/>
        <v>0</v>
      </c>
      <c r="BC670" s="1452">
        <f t="shared" si="358"/>
        <v>0</v>
      </c>
      <c r="BD670" s="1452">
        <f t="shared" si="359"/>
        <v>0</v>
      </c>
      <c r="BE670" s="1452">
        <f t="shared" si="360"/>
        <v>0</v>
      </c>
      <c r="BF670" s="1452">
        <f t="shared" si="361"/>
        <v>0</v>
      </c>
      <c r="BG670" s="1452">
        <f t="shared" si="362"/>
        <v>0</v>
      </c>
      <c r="BH670" s="1452">
        <f t="shared" si="363"/>
        <v>0</v>
      </c>
      <c r="BI670" s="1452">
        <f t="shared" si="380"/>
        <v>0</v>
      </c>
      <c r="BJ670" s="1452" t="str">
        <f t="shared" si="364"/>
        <v/>
      </c>
      <c r="BK670" s="1452" t="str">
        <f t="shared" si="365"/>
        <v/>
      </c>
      <c r="BL670" s="1452" t="str">
        <f t="shared" si="366"/>
        <v/>
      </c>
      <c r="BM670" s="1452" t="str">
        <f t="shared" si="367"/>
        <v/>
      </c>
      <c r="BN670" s="1452" t="str">
        <f t="shared" ca="1" si="368"/>
        <v/>
      </c>
      <c r="BO670" s="1452" t="str">
        <f t="shared" si="381"/>
        <v/>
      </c>
      <c r="BP670" s="1452" t="str">
        <f t="shared" si="369"/>
        <v/>
      </c>
      <c r="BQ670" s="1452" t="str">
        <f t="shared" si="370"/>
        <v/>
      </c>
      <c r="BR670" s="1452" t="str">
        <f t="shared" si="371"/>
        <v/>
      </c>
      <c r="BS670" s="1452" t="str">
        <f t="shared" si="372"/>
        <v/>
      </c>
      <c r="BT670" s="1452" t="str">
        <f t="shared" si="373"/>
        <v/>
      </c>
      <c r="BU670" s="1452" t="str">
        <f t="shared" si="374"/>
        <v/>
      </c>
      <c r="BV670" s="1452" t="str">
        <f t="shared" si="375"/>
        <v/>
      </c>
      <c r="BW670" s="1558">
        <f t="shared" ca="1" si="382"/>
        <v>0</v>
      </c>
    </row>
    <row r="671" spans="1:75" s="9" customFormat="1" ht="12.5">
      <c r="A671" s="1483" t="str">
        <f t="shared" si="376"/>
        <v>Public Health Wales Trust</v>
      </c>
      <c r="B671" s="1583"/>
      <c r="C671" s="1583"/>
      <c r="D671" s="1583"/>
      <c r="E671" s="1585"/>
      <c r="F671" s="1436"/>
      <c r="G671" s="1547">
        <f t="shared" si="377"/>
        <v>0</v>
      </c>
      <c r="H671" s="1484"/>
      <c r="I671" s="1547">
        <f t="shared" si="378"/>
        <v>0</v>
      </c>
      <c r="J671" s="1485"/>
      <c r="K671" s="1485"/>
      <c r="L671" s="1436"/>
      <c r="M671" s="1439"/>
      <c r="N671" s="1439"/>
      <c r="O671" s="1485"/>
      <c r="P671" s="1486"/>
      <c r="Q671" s="1486"/>
      <c r="R671" s="1487"/>
      <c r="S671" s="1444"/>
      <c r="T671" s="1444"/>
      <c r="U671" s="1444"/>
      <c r="V671" s="1488"/>
      <c r="W671" s="1488"/>
      <c r="X671" s="1488"/>
      <c r="Y671" s="1488"/>
      <c r="Z671" s="1488"/>
      <c r="AA671" s="1488"/>
      <c r="AB671" s="1488"/>
      <c r="AC671" s="1488"/>
      <c r="AD671" s="1488"/>
      <c r="AE671" s="1488"/>
      <c r="AF671" s="1488"/>
      <c r="AG671" s="1488"/>
      <c r="AH671" s="1451">
        <f t="shared" si="350"/>
        <v>0</v>
      </c>
      <c r="AI671" s="1488"/>
      <c r="AJ671" s="1488"/>
      <c r="AK671" s="1488"/>
      <c r="AL671" s="1488"/>
      <c r="AM671" s="1488"/>
      <c r="AN671" s="1488"/>
      <c r="AO671" s="1488"/>
      <c r="AP671" s="1488"/>
      <c r="AQ671" s="1488"/>
      <c r="AR671" s="1488"/>
      <c r="AS671" s="1488"/>
      <c r="AT671" s="1542"/>
      <c r="AU671" s="1599">
        <f t="shared" si="351"/>
        <v>0</v>
      </c>
      <c r="AV671" s="1544">
        <f t="shared" si="379"/>
        <v>0</v>
      </c>
      <c r="AW671" s="1452">
        <f t="shared" si="352"/>
        <v>0</v>
      </c>
      <c r="AX671" s="1452">
        <f t="shared" si="353"/>
        <v>0</v>
      </c>
      <c r="AY671" s="1452">
        <f t="shared" si="354"/>
        <v>0</v>
      </c>
      <c r="AZ671" s="1452">
        <f t="shared" si="355"/>
        <v>0</v>
      </c>
      <c r="BA671" s="1452">
        <f t="shared" si="356"/>
        <v>0</v>
      </c>
      <c r="BB671" s="1452">
        <f t="shared" si="357"/>
        <v>0</v>
      </c>
      <c r="BC671" s="1452">
        <f t="shared" si="358"/>
        <v>0</v>
      </c>
      <c r="BD671" s="1452">
        <f t="shared" si="359"/>
        <v>0</v>
      </c>
      <c r="BE671" s="1452">
        <f t="shared" si="360"/>
        <v>0</v>
      </c>
      <c r="BF671" s="1452">
        <f t="shared" si="361"/>
        <v>0</v>
      </c>
      <c r="BG671" s="1452">
        <f t="shared" si="362"/>
        <v>0</v>
      </c>
      <c r="BH671" s="1452">
        <f t="shared" si="363"/>
        <v>0</v>
      </c>
      <c r="BI671" s="1452">
        <f t="shared" si="380"/>
        <v>0</v>
      </c>
      <c r="BJ671" s="1452" t="str">
        <f t="shared" si="364"/>
        <v/>
      </c>
      <c r="BK671" s="1452" t="str">
        <f t="shared" si="365"/>
        <v/>
      </c>
      <c r="BL671" s="1452" t="str">
        <f t="shared" si="366"/>
        <v/>
      </c>
      <c r="BM671" s="1452" t="str">
        <f t="shared" si="367"/>
        <v/>
      </c>
      <c r="BN671" s="1452" t="str">
        <f t="shared" ca="1" si="368"/>
        <v/>
      </c>
      <c r="BO671" s="1452" t="str">
        <f t="shared" si="381"/>
        <v/>
      </c>
      <c r="BP671" s="1452" t="str">
        <f t="shared" si="369"/>
        <v/>
      </c>
      <c r="BQ671" s="1452" t="str">
        <f t="shared" si="370"/>
        <v/>
      </c>
      <c r="BR671" s="1452" t="str">
        <f t="shared" si="371"/>
        <v/>
      </c>
      <c r="BS671" s="1452" t="str">
        <f t="shared" si="372"/>
        <v/>
      </c>
      <c r="BT671" s="1452" t="str">
        <f t="shared" si="373"/>
        <v/>
      </c>
      <c r="BU671" s="1452" t="str">
        <f t="shared" si="374"/>
        <v/>
      </c>
      <c r="BV671" s="1452" t="str">
        <f t="shared" si="375"/>
        <v/>
      </c>
      <c r="BW671" s="1558">
        <f t="shared" ca="1" si="382"/>
        <v>0</v>
      </c>
    </row>
    <row r="672" spans="1:75" s="9" customFormat="1" ht="12.5">
      <c r="A672" s="1483" t="str">
        <f t="shared" si="376"/>
        <v>Public Health Wales Trust</v>
      </c>
      <c r="B672" s="1583"/>
      <c r="C672" s="1583"/>
      <c r="D672" s="1583"/>
      <c r="E672" s="1585"/>
      <c r="F672" s="1436"/>
      <c r="G672" s="1547">
        <f t="shared" si="377"/>
        <v>0</v>
      </c>
      <c r="H672" s="1484"/>
      <c r="I672" s="1547">
        <f t="shared" si="378"/>
        <v>0</v>
      </c>
      <c r="J672" s="1485"/>
      <c r="K672" s="1485"/>
      <c r="L672" s="1436"/>
      <c r="M672" s="1439"/>
      <c r="N672" s="1439"/>
      <c r="O672" s="1485"/>
      <c r="P672" s="1486"/>
      <c r="Q672" s="1486"/>
      <c r="R672" s="1487"/>
      <c r="S672" s="1444"/>
      <c r="T672" s="1444"/>
      <c r="U672" s="1444"/>
      <c r="V672" s="1488"/>
      <c r="W672" s="1488"/>
      <c r="X672" s="1488"/>
      <c r="Y672" s="1488"/>
      <c r="Z672" s="1488"/>
      <c r="AA672" s="1488"/>
      <c r="AB672" s="1488"/>
      <c r="AC672" s="1488"/>
      <c r="AD672" s="1488"/>
      <c r="AE672" s="1488"/>
      <c r="AF672" s="1488"/>
      <c r="AG672" s="1488"/>
      <c r="AH672" s="1451">
        <f t="shared" si="350"/>
        <v>0</v>
      </c>
      <c r="AI672" s="1488"/>
      <c r="AJ672" s="1488"/>
      <c r="AK672" s="1488"/>
      <c r="AL672" s="1488"/>
      <c r="AM672" s="1488"/>
      <c r="AN672" s="1488"/>
      <c r="AO672" s="1488"/>
      <c r="AP672" s="1488"/>
      <c r="AQ672" s="1488"/>
      <c r="AR672" s="1488"/>
      <c r="AS672" s="1488"/>
      <c r="AT672" s="1542"/>
      <c r="AU672" s="1599">
        <f t="shared" si="351"/>
        <v>0</v>
      </c>
      <c r="AV672" s="1544">
        <f t="shared" si="379"/>
        <v>0</v>
      </c>
      <c r="AW672" s="1452">
        <f t="shared" si="352"/>
        <v>0</v>
      </c>
      <c r="AX672" s="1452">
        <f t="shared" si="353"/>
        <v>0</v>
      </c>
      <c r="AY672" s="1452">
        <f t="shared" si="354"/>
        <v>0</v>
      </c>
      <c r="AZ672" s="1452">
        <f t="shared" si="355"/>
        <v>0</v>
      </c>
      <c r="BA672" s="1452">
        <f t="shared" si="356"/>
        <v>0</v>
      </c>
      <c r="BB672" s="1452">
        <f t="shared" si="357"/>
        <v>0</v>
      </c>
      <c r="BC672" s="1452">
        <f t="shared" si="358"/>
        <v>0</v>
      </c>
      <c r="BD672" s="1452">
        <f t="shared" si="359"/>
        <v>0</v>
      </c>
      <c r="BE672" s="1452">
        <f t="shared" si="360"/>
        <v>0</v>
      </c>
      <c r="BF672" s="1452">
        <f t="shared" si="361"/>
        <v>0</v>
      </c>
      <c r="BG672" s="1452">
        <f t="shared" si="362"/>
        <v>0</v>
      </c>
      <c r="BH672" s="1452">
        <f t="shared" si="363"/>
        <v>0</v>
      </c>
      <c r="BI672" s="1452">
        <f t="shared" si="380"/>
        <v>0</v>
      </c>
      <c r="BJ672" s="1452" t="str">
        <f t="shared" si="364"/>
        <v/>
      </c>
      <c r="BK672" s="1452" t="str">
        <f t="shared" si="365"/>
        <v/>
      </c>
      <c r="BL672" s="1452" t="str">
        <f t="shared" si="366"/>
        <v/>
      </c>
      <c r="BM672" s="1452" t="str">
        <f t="shared" si="367"/>
        <v/>
      </c>
      <c r="BN672" s="1452" t="str">
        <f t="shared" ca="1" si="368"/>
        <v/>
      </c>
      <c r="BO672" s="1452" t="str">
        <f t="shared" si="381"/>
        <v/>
      </c>
      <c r="BP672" s="1452" t="str">
        <f t="shared" si="369"/>
        <v/>
      </c>
      <c r="BQ672" s="1452" t="str">
        <f t="shared" si="370"/>
        <v/>
      </c>
      <c r="BR672" s="1452" t="str">
        <f t="shared" si="371"/>
        <v/>
      </c>
      <c r="BS672" s="1452" t="str">
        <f t="shared" si="372"/>
        <v/>
      </c>
      <c r="BT672" s="1452" t="str">
        <f t="shared" si="373"/>
        <v/>
      </c>
      <c r="BU672" s="1452" t="str">
        <f t="shared" si="374"/>
        <v/>
      </c>
      <c r="BV672" s="1452" t="str">
        <f t="shared" si="375"/>
        <v/>
      </c>
      <c r="BW672" s="1558">
        <f t="shared" ca="1" si="382"/>
        <v>0</v>
      </c>
    </row>
    <row r="673" spans="1:75" s="9" customFormat="1" ht="12.5">
      <c r="A673" s="1483" t="str">
        <f t="shared" si="376"/>
        <v>Public Health Wales Trust</v>
      </c>
      <c r="B673" s="1583"/>
      <c r="C673" s="1583"/>
      <c r="D673" s="1583"/>
      <c r="E673" s="1585"/>
      <c r="F673" s="1436"/>
      <c r="G673" s="1547">
        <f t="shared" si="377"/>
        <v>0</v>
      </c>
      <c r="H673" s="1484"/>
      <c r="I673" s="1547">
        <f t="shared" si="378"/>
        <v>0</v>
      </c>
      <c r="J673" s="1485"/>
      <c r="K673" s="1485"/>
      <c r="L673" s="1436"/>
      <c r="M673" s="1439"/>
      <c r="N673" s="1439"/>
      <c r="O673" s="1485"/>
      <c r="P673" s="1486"/>
      <c r="Q673" s="1486"/>
      <c r="R673" s="1487"/>
      <c r="S673" s="1444"/>
      <c r="T673" s="1444"/>
      <c r="U673" s="1444"/>
      <c r="V673" s="1488"/>
      <c r="W673" s="1488"/>
      <c r="X673" s="1488"/>
      <c r="Y673" s="1488"/>
      <c r="Z673" s="1488"/>
      <c r="AA673" s="1488"/>
      <c r="AB673" s="1488"/>
      <c r="AC673" s="1488"/>
      <c r="AD673" s="1488"/>
      <c r="AE673" s="1488"/>
      <c r="AF673" s="1488"/>
      <c r="AG673" s="1488"/>
      <c r="AH673" s="1451">
        <f t="shared" si="350"/>
        <v>0</v>
      </c>
      <c r="AI673" s="1488"/>
      <c r="AJ673" s="1488"/>
      <c r="AK673" s="1488"/>
      <c r="AL673" s="1488"/>
      <c r="AM673" s="1488"/>
      <c r="AN673" s="1488"/>
      <c r="AO673" s="1488"/>
      <c r="AP673" s="1488"/>
      <c r="AQ673" s="1488"/>
      <c r="AR673" s="1488"/>
      <c r="AS673" s="1488"/>
      <c r="AT673" s="1542"/>
      <c r="AU673" s="1599">
        <f t="shared" si="351"/>
        <v>0</v>
      </c>
      <c r="AV673" s="1544">
        <f t="shared" si="379"/>
        <v>0</v>
      </c>
      <c r="AW673" s="1452">
        <f t="shared" si="352"/>
        <v>0</v>
      </c>
      <c r="AX673" s="1452">
        <f t="shared" si="353"/>
        <v>0</v>
      </c>
      <c r="AY673" s="1452">
        <f t="shared" si="354"/>
        <v>0</v>
      </c>
      <c r="AZ673" s="1452">
        <f t="shared" si="355"/>
        <v>0</v>
      </c>
      <c r="BA673" s="1452">
        <f t="shared" si="356"/>
        <v>0</v>
      </c>
      <c r="BB673" s="1452">
        <f t="shared" si="357"/>
        <v>0</v>
      </c>
      <c r="BC673" s="1452">
        <f t="shared" si="358"/>
        <v>0</v>
      </c>
      <c r="BD673" s="1452">
        <f t="shared" si="359"/>
        <v>0</v>
      </c>
      <c r="BE673" s="1452">
        <f t="shared" si="360"/>
        <v>0</v>
      </c>
      <c r="BF673" s="1452">
        <f t="shared" si="361"/>
        <v>0</v>
      </c>
      <c r="BG673" s="1452">
        <f t="shared" si="362"/>
        <v>0</v>
      </c>
      <c r="BH673" s="1452">
        <f t="shared" si="363"/>
        <v>0</v>
      </c>
      <c r="BI673" s="1452">
        <f t="shared" si="380"/>
        <v>0</v>
      </c>
      <c r="BJ673" s="1452" t="str">
        <f t="shared" si="364"/>
        <v/>
      </c>
      <c r="BK673" s="1452" t="str">
        <f t="shared" si="365"/>
        <v/>
      </c>
      <c r="BL673" s="1452" t="str">
        <f t="shared" si="366"/>
        <v/>
      </c>
      <c r="BM673" s="1452" t="str">
        <f t="shared" si="367"/>
        <v/>
      </c>
      <c r="BN673" s="1452" t="str">
        <f t="shared" ca="1" si="368"/>
        <v/>
      </c>
      <c r="BO673" s="1452" t="str">
        <f t="shared" si="381"/>
        <v/>
      </c>
      <c r="BP673" s="1452" t="str">
        <f t="shared" si="369"/>
        <v/>
      </c>
      <c r="BQ673" s="1452" t="str">
        <f t="shared" si="370"/>
        <v/>
      </c>
      <c r="BR673" s="1452" t="str">
        <f t="shared" si="371"/>
        <v/>
      </c>
      <c r="BS673" s="1452" t="str">
        <f t="shared" si="372"/>
        <v/>
      </c>
      <c r="BT673" s="1452" t="str">
        <f t="shared" si="373"/>
        <v/>
      </c>
      <c r="BU673" s="1452" t="str">
        <f t="shared" si="374"/>
        <v/>
      </c>
      <c r="BV673" s="1452" t="str">
        <f t="shared" si="375"/>
        <v/>
      </c>
      <c r="BW673" s="1558">
        <f t="shared" ca="1" si="382"/>
        <v>0</v>
      </c>
    </row>
    <row r="674" spans="1:75" s="9" customFormat="1" ht="12.5">
      <c r="A674" s="1483" t="str">
        <f t="shared" si="376"/>
        <v>Public Health Wales Trust</v>
      </c>
      <c r="B674" s="1583"/>
      <c r="C674" s="1583"/>
      <c r="D674" s="1583"/>
      <c r="E674" s="1585"/>
      <c r="F674" s="1436"/>
      <c r="G674" s="1547">
        <f t="shared" si="377"/>
        <v>0</v>
      </c>
      <c r="H674" s="1484"/>
      <c r="I674" s="1547">
        <f t="shared" si="378"/>
        <v>0</v>
      </c>
      <c r="J674" s="1485"/>
      <c r="K674" s="1485"/>
      <c r="L674" s="1436"/>
      <c r="M674" s="1439"/>
      <c r="N674" s="1439"/>
      <c r="O674" s="1485"/>
      <c r="P674" s="1486"/>
      <c r="Q674" s="1486"/>
      <c r="R674" s="1487"/>
      <c r="S674" s="1444"/>
      <c r="T674" s="1444"/>
      <c r="U674" s="1444"/>
      <c r="V674" s="1488"/>
      <c r="W674" s="1488"/>
      <c r="X674" s="1488"/>
      <c r="Y674" s="1488"/>
      <c r="Z674" s="1488"/>
      <c r="AA674" s="1488"/>
      <c r="AB674" s="1488"/>
      <c r="AC674" s="1488"/>
      <c r="AD674" s="1488"/>
      <c r="AE674" s="1488"/>
      <c r="AF674" s="1488"/>
      <c r="AG674" s="1488"/>
      <c r="AH674" s="1451">
        <f t="shared" si="350"/>
        <v>0</v>
      </c>
      <c r="AI674" s="1488"/>
      <c r="AJ674" s="1488"/>
      <c r="AK674" s="1488"/>
      <c r="AL674" s="1488"/>
      <c r="AM674" s="1488"/>
      <c r="AN674" s="1488"/>
      <c r="AO674" s="1488"/>
      <c r="AP674" s="1488"/>
      <c r="AQ674" s="1488"/>
      <c r="AR674" s="1488"/>
      <c r="AS674" s="1488"/>
      <c r="AT674" s="1542"/>
      <c r="AU674" s="1599">
        <f t="shared" si="351"/>
        <v>0</v>
      </c>
      <c r="AV674" s="1544">
        <f t="shared" si="379"/>
        <v>0</v>
      </c>
      <c r="AW674" s="1452">
        <f t="shared" si="352"/>
        <v>0</v>
      </c>
      <c r="AX674" s="1452">
        <f t="shared" si="353"/>
        <v>0</v>
      </c>
      <c r="AY674" s="1452">
        <f t="shared" si="354"/>
        <v>0</v>
      </c>
      <c r="AZ674" s="1452">
        <f t="shared" si="355"/>
        <v>0</v>
      </c>
      <c r="BA674" s="1452">
        <f t="shared" si="356"/>
        <v>0</v>
      </c>
      <c r="BB674" s="1452">
        <f t="shared" si="357"/>
        <v>0</v>
      </c>
      <c r="BC674" s="1452">
        <f t="shared" si="358"/>
        <v>0</v>
      </c>
      <c r="BD674" s="1452">
        <f t="shared" si="359"/>
        <v>0</v>
      </c>
      <c r="BE674" s="1452">
        <f t="shared" si="360"/>
        <v>0</v>
      </c>
      <c r="BF674" s="1452">
        <f t="shared" si="361"/>
        <v>0</v>
      </c>
      <c r="BG674" s="1452">
        <f t="shared" si="362"/>
        <v>0</v>
      </c>
      <c r="BH674" s="1452">
        <f t="shared" si="363"/>
        <v>0</v>
      </c>
      <c r="BI674" s="1452">
        <f t="shared" si="380"/>
        <v>0</v>
      </c>
      <c r="BJ674" s="1452" t="str">
        <f t="shared" si="364"/>
        <v/>
      </c>
      <c r="BK674" s="1452" t="str">
        <f t="shared" si="365"/>
        <v/>
      </c>
      <c r="BL674" s="1452" t="str">
        <f t="shared" si="366"/>
        <v/>
      </c>
      <c r="BM674" s="1452" t="str">
        <f t="shared" si="367"/>
        <v/>
      </c>
      <c r="BN674" s="1452" t="str">
        <f t="shared" ca="1" si="368"/>
        <v/>
      </c>
      <c r="BO674" s="1452" t="str">
        <f t="shared" si="381"/>
        <v/>
      </c>
      <c r="BP674" s="1452" t="str">
        <f t="shared" si="369"/>
        <v/>
      </c>
      <c r="BQ674" s="1452" t="str">
        <f t="shared" si="370"/>
        <v/>
      </c>
      <c r="BR674" s="1452" t="str">
        <f t="shared" si="371"/>
        <v/>
      </c>
      <c r="BS674" s="1452" t="str">
        <f t="shared" si="372"/>
        <v/>
      </c>
      <c r="BT674" s="1452" t="str">
        <f t="shared" si="373"/>
        <v/>
      </c>
      <c r="BU674" s="1452" t="str">
        <f t="shared" si="374"/>
        <v/>
      </c>
      <c r="BV674" s="1452" t="str">
        <f t="shared" si="375"/>
        <v/>
      </c>
      <c r="BW674" s="1558">
        <f t="shared" ca="1" si="382"/>
        <v>0</v>
      </c>
    </row>
    <row r="675" spans="1:75" s="9" customFormat="1" ht="12.5">
      <c r="A675" s="1483" t="str">
        <f t="shared" si="376"/>
        <v>Public Health Wales Trust</v>
      </c>
      <c r="B675" s="1583"/>
      <c r="C675" s="1583"/>
      <c r="D675" s="1583"/>
      <c r="E675" s="1585"/>
      <c r="F675" s="1436"/>
      <c r="G675" s="1547">
        <f t="shared" si="377"/>
        <v>0</v>
      </c>
      <c r="H675" s="1484"/>
      <c r="I675" s="1547">
        <f t="shared" si="378"/>
        <v>0</v>
      </c>
      <c r="J675" s="1485"/>
      <c r="K675" s="1485"/>
      <c r="L675" s="1436"/>
      <c r="M675" s="1439"/>
      <c r="N675" s="1439"/>
      <c r="O675" s="1485"/>
      <c r="P675" s="1486"/>
      <c r="Q675" s="1486"/>
      <c r="R675" s="1487"/>
      <c r="S675" s="1444"/>
      <c r="T675" s="1444"/>
      <c r="U675" s="1444"/>
      <c r="V675" s="1488"/>
      <c r="W675" s="1488"/>
      <c r="X675" s="1488"/>
      <c r="Y675" s="1488"/>
      <c r="Z675" s="1488"/>
      <c r="AA675" s="1488"/>
      <c r="AB675" s="1488"/>
      <c r="AC675" s="1488"/>
      <c r="AD675" s="1488"/>
      <c r="AE675" s="1488"/>
      <c r="AF675" s="1488"/>
      <c r="AG675" s="1488"/>
      <c r="AH675" s="1451">
        <f t="shared" si="350"/>
        <v>0</v>
      </c>
      <c r="AI675" s="1488"/>
      <c r="AJ675" s="1488"/>
      <c r="AK675" s="1488"/>
      <c r="AL675" s="1488"/>
      <c r="AM675" s="1488"/>
      <c r="AN675" s="1488"/>
      <c r="AO675" s="1488"/>
      <c r="AP675" s="1488"/>
      <c r="AQ675" s="1488"/>
      <c r="AR675" s="1488"/>
      <c r="AS675" s="1488"/>
      <c r="AT675" s="1542"/>
      <c r="AU675" s="1599">
        <f t="shared" si="351"/>
        <v>0</v>
      </c>
      <c r="AV675" s="1544">
        <f t="shared" si="379"/>
        <v>0</v>
      </c>
      <c r="AW675" s="1452">
        <f t="shared" si="352"/>
        <v>0</v>
      </c>
      <c r="AX675" s="1452">
        <f t="shared" si="353"/>
        <v>0</v>
      </c>
      <c r="AY675" s="1452">
        <f t="shared" si="354"/>
        <v>0</v>
      </c>
      <c r="AZ675" s="1452">
        <f t="shared" si="355"/>
        <v>0</v>
      </c>
      <c r="BA675" s="1452">
        <f t="shared" si="356"/>
        <v>0</v>
      </c>
      <c r="BB675" s="1452">
        <f t="shared" si="357"/>
        <v>0</v>
      </c>
      <c r="BC675" s="1452">
        <f t="shared" si="358"/>
        <v>0</v>
      </c>
      <c r="BD675" s="1452">
        <f t="shared" si="359"/>
        <v>0</v>
      </c>
      <c r="BE675" s="1452">
        <f t="shared" si="360"/>
        <v>0</v>
      </c>
      <c r="BF675" s="1452">
        <f t="shared" si="361"/>
        <v>0</v>
      </c>
      <c r="BG675" s="1452">
        <f t="shared" si="362"/>
        <v>0</v>
      </c>
      <c r="BH675" s="1452">
        <f t="shared" si="363"/>
        <v>0</v>
      </c>
      <c r="BI675" s="1452">
        <f t="shared" si="380"/>
        <v>0</v>
      </c>
      <c r="BJ675" s="1452" t="str">
        <f t="shared" si="364"/>
        <v/>
      </c>
      <c r="BK675" s="1452" t="str">
        <f t="shared" si="365"/>
        <v/>
      </c>
      <c r="BL675" s="1452" t="str">
        <f t="shared" si="366"/>
        <v/>
      </c>
      <c r="BM675" s="1452" t="str">
        <f t="shared" si="367"/>
        <v/>
      </c>
      <c r="BN675" s="1452" t="str">
        <f t="shared" ca="1" si="368"/>
        <v/>
      </c>
      <c r="BO675" s="1452" t="str">
        <f t="shared" si="381"/>
        <v/>
      </c>
      <c r="BP675" s="1452" t="str">
        <f t="shared" si="369"/>
        <v/>
      </c>
      <c r="BQ675" s="1452" t="str">
        <f t="shared" si="370"/>
        <v/>
      </c>
      <c r="BR675" s="1452" t="str">
        <f t="shared" si="371"/>
        <v/>
      </c>
      <c r="BS675" s="1452" t="str">
        <f t="shared" si="372"/>
        <v/>
      </c>
      <c r="BT675" s="1452" t="str">
        <f t="shared" si="373"/>
        <v/>
      </c>
      <c r="BU675" s="1452" t="str">
        <f t="shared" si="374"/>
        <v/>
      </c>
      <c r="BV675" s="1452" t="str">
        <f t="shared" si="375"/>
        <v/>
      </c>
      <c r="BW675" s="1558">
        <f t="shared" ca="1" si="382"/>
        <v>0</v>
      </c>
    </row>
    <row r="676" spans="1:75" s="9" customFormat="1" ht="12.5">
      <c r="A676" s="1483" t="str">
        <f t="shared" si="376"/>
        <v>Public Health Wales Trust</v>
      </c>
      <c r="B676" s="1583"/>
      <c r="C676" s="1583"/>
      <c r="D676" s="1583"/>
      <c r="E676" s="1585"/>
      <c r="F676" s="1436"/>
      <c r="G676" s="1547">
        <f t="shared" si="377"/>
        <v>0</v>
      </c>
      <c r="H676" s="1484"/>
      <c r="I676" s="1547">
        <f t="shared" si="378"/>
        <v>0</v>
      </c>
      <c r="J676" s="1485"/>
      <c r="K676" s="1485"/>
      <c r="L676" s="1436"/>
      <c r="M676" s="1439"/>
      <c r="N676" s="1439"/>
      <c r="O676" s="1485"/>
      <c r="P676" s="1486"/>
      <c r="Q676" s="1486"/>
      <c r="R676" s="1487"/>
      <c r="S676" s="1444"/>
      <c r="T676" s="1444"/>
      <c r="U676" s="1444"/>
      <c r="V676" s="1488"/>
      <c r="W676" s="1488"/>
      <c r="X676" s="1488"/>
      <c r="Y676" s="1488"/>
      <c r="Z676" s="1488"/>
      <c r="AA676" s="1488"/>
      <c r="AB676" s="1488"/>
      <c r="AC676" s="1488"/>
      <c r="AD676" s="1488"/>
      <c r="AE676" s="1488"/>
      <c r="AF676" s="1488"/>
      <c r="AG676" s="1488"/>
      <c r="AH676" s="1451">
        <f t="shared" si="350"/>
        <v>0</v>
      </c>
      <c r="AI676" s="1488"/>
      <c r="AJ676" s="1488"/>
      <c r="AK676" s="1488"/>
      <c r="AL676" s="1488"/>
      <c r="AM676" s="1488"/>
      <c r="AN676" s="1488"/>
      <c r="AO676" s="1488"/>
      <c r="AP676" s="1488"/>
      <c r="AQ676" s="1488"/>
      <c r="AR676" s="1488"/>
      <c r="AS676" s="1488"/>
      <c r="AT676" s="1542"/>
      <c r="AU676" s="1599">
        <f t="shared" si="351"/>
        <v>0</v>
      </c>
      <c r="AV676" s="1544">
        <f t="shared" si="379"/>
        <v>0</v>
      </c>
      <c r="AW676" s="1452">
        <f t="shared" si="352"/>
        <v>0</v>
      </c>
      <c r="AX676" s="1452">
        <f t="shared" si="353"/>
        <v>0</v>
      </c>
      <c r="AY676" s="1452">
        <f t="shared" si="354"/>
        <v>0</v>
      </c>
      <c r="AZ676" s="1452">
        <f t="shared" si="355"/>
        <v>0</v>
      </c>
      <c r="BA676" s="1452">
        <f t="shared" si="356"/>
        <v>0</v>
      </c>
      <c r="BB676" s="1452">
        <f t="shared" si="357"/>
        <v>0</v>
      </c>
      <c r="BC676" s="1452">
        <f t="shared" si="358"/>
        <v>0</v>
      </c>
      <c r="BD676" s="1452">
        <f t="shared" si="359"/>
        <v>0</v>
      </c>
      <c r="BE676" s="1452">
        <f t="shared" si="360"/>
        <v>0</v>
      </c>
      <c r="BF676" s="1452">
        <f t="shared" si="361"/>
        <v>0</v>
      </c>
      <c r="BG676" s="1452">
        <f t="shared" si="362"/>
        <v>0</v>
      </c>
      <c r="BH676" s="1452">
        <f t="shared" si="363"/>
        <v>0</v>
      </c>
      <c r="BI676" s="1452">
        <f t="shared" si="380"/>
        <v>0</v>
      </c>
      <c r="BJ676" s="1452" t="str">
        <f t="shared" si="364"/>
        <v/>
      </c>
      <c r="BK676" s="1452" t="str">
        <f t="shared" si="365"/>
        <v/>
      </c>
      <c r="BL676" s="1452" t="str">
        <f t="shared" si="366"/>
        <v/>
      </c>
      <c r="BM676" s="1452" t="str">
        <f t="shared" si="367"/>
        <v/>
      </c>
      <c r="BN676" s="1452" t="str">
        <f t="shared" ca="1" si="368"/>
        <v/>
      </c>
      <c r="BO676" s="1452" t="str">
        <f t="shared" si="381"/>
        <v/>
      </c>
      <c r="BP676" s="1452" t="str">
        <f t="shared" si="369"/>
        <v/>
      </c>
      <c r="BQ676" s="1452" t="str">
        <f t="shared" si="370"/>
        <v/>
      </c>
      <c r="BR676" s="1452" t="str">
        <f t="shared" si="371"/>
        <v/>
      </c>
      <c r="BS676" s="1452" t="str">
        <f t="shared" si="372"/>
        <v/>
      </c>
      <c r="BT676" s="1452" t="str">
        <f t="shared" si="373"/>
        <v/>
      </c>
      <c r="BU676" s="1452" t="str">
        <f t="shared" si="374"/>
        <v/>
      </c>
      <c r="BV676" s="1452" t="str">
        <f t="shared" si="375"/>
        <v/>
      </c>
      <c r="BW676" s="1558">
        <f t="shared" ca="1" si="382"/>
        <v>0</v>
      </c>
    </row>
    <row r="677" spans="1:75" s="9" customFormat="1" ht="12.5">
      <c r="A677" s="1483" t="str">
        <f t="shared" si="376"/>
        <v>Public Health Wales Trust</v>
      </c>
      <c r="B677" s="1583"/>
      <c r="C677" s="1583"/>
      <c r="D677" s="1583"/>
      <c r="E677" s="1585"/>
      <c r="F677" s="1436"/>
      <c r="G677" s="1547">
        <f t="shared" si="377"/>
        <v>0</v>
      </c>
      <c r="H677" s="1484"/>
      <c r="I677" s="1547">
        <f t="shared" si="378"/>
        <v>0</v>
      </c>
      <c r="J677" s="1485"/>
      <c r="K677" s="1485"/>
      <c r="L677" s="1436"/>
      <c r="M677" s="1439"/>
      <c r="N677" s="1439"/>
      <c r="O677" s="1485"/>
      <c r="P677" s="1486"/>
      <c r="Q677" s="1486"/>
      <c r="R677" s="1487"/>
      <c r="S677" s="1444"/>
      <c r="T677" s="1444"/>
      <c r="U677" s="1444"/>
      <c r="V677" s="1488"/>
      <c r="W677" s="1488"/>
      <c r="X677" s="1488"/>
      <c r="Y677" s="1488"/>
      <c r="Z677" s="1488"/>
      <c r="AA677" s="1488"/>
      <c r="AB677" s="1488"/>
      <c r="AC677" s="1488"/>
      <c r="AD677" s="1488"/>
      <c r="AE677" s="1488"/>
      <c r="AF677" s="1488"/>
      <c r="AG677" s="1488"/>
      <c r="AH677" s="1451">
        <f t="shared" si="350"/>
        <v>0</v>
      </c>
      <c r="AI677" s="1488"/>
      <c r="AJ677" s="1488"/>
      <c r="AK677" s="1488"/>
      <c r="AL677" s="1488"/>
      <c r="AM677" s="1488"/>
      <c r="AN677" s="1488"/>
      <c r="AO677" s="1488"/>
      <c r="AP677" s="1488"/>
      <c r="AQ677" s="1488"/>
      <c r="AR677" s="1488"/>
      <c r="AS677" s="1488"/>
      <c r="AT677" s="1542"/>
      <c r="AU677" s="1599">
        <f t="shared" si="351"/>
        <v>0</v>
      </c>
      <c r="AV677" s="1544">
        <f t="shared" si="379"/>
        <v>0</v>
      </c>
      <c r="AW677" s="1452">
        <f t="shared" si="352"/>
        <v>0</v>
      </c>
      <c r="AX677" s="1452">
        <f t="shared" si="353"/>
        <v>0</v>
      </c>
      <c r="AY677" s="1452">
        <f t="shared" si="354"/>
        <v>0</v>
      </c>
      <c r="AZ677" s="1452">
        <f t="shared" si="355"/>
        <v>0</v>
      </c>
      <c r="BA677" s="1452">
        <f t="shared" si="356"/>
        <v>0</v>
      </c>
      <c r="BB677" s="1452">
        <f t="shared" si="357"/>
        <v>0</v>
      </c>
      <c r="BC677" s="1452">
        <f t="shared" si="358"/>
        <v>0</v>
      </c>
      <c r="BD677" s="1452">
        <f t="shared" si="359"/>
        <v>0</v>
      </c>
      <c r="BE677" s="1452">
        <f t="shared" si="360"/>
        <v>0</v>
      </c>
      <c r="BF677" s="1452">
        <f t="shared" si="361"/>
        <v>0</v>
      </c>
      <c r="BG677" s="1452">
        <f t="shared" si="362"/>
        <v>0</v>
      </c>
      <c r="BH677" s="1452">
        <f t="shared" si="363"/>
        <v>0</v>
      </c>
      <c r="BI677" s="1452">
        <f t="shared" si="380"/>
        <v>0</v>
      </c>
      <c r="BJ677" s="1452" t="str">
        <f t="shared" si="364"/>
        <v/>
      </c>
      <c r="BK677" s="1452" t="str">
        <f t="shared" si="365"/>
        <v/>
      </c>
      <c r="BL677" s="1452" t="str">
        <f t="shared" si="366"/>
        <v/>
      </c>
      <c r="BM677" s="1452" t="str">
        <f t="shared" si="367"/>
        <v/>
      </c>
      <c r="BN677" s="1452" t="str">
        <f t="shared" ca="1" si="368"/>
        <v/>
      </c>
      <c r="BO677" s="1452" t="str">
        <f t="shared" si="381"/>
        <v/>
      </c>
      <c r="BP677" s="1452" t="str">
        <f t="shared" si="369"/>
        <v/>
      </c>
      <c r="BQ677" s="1452" t="str">
        <f t="shared" si="370"/>
        <v/>
      </c>
      <c r="BR677" s="1452" t="str">
        <f t="shared" si="371"/>
        <v/>
      </c>
      <c r="BS677" s="1452" t="str">
        <f t="shared" si="372"/>
        <v/>
      </c>
      <c r="BT677" s="1452" t="str">
        <f t="shared" si="373"/>
        <v/>
      </c>
      <c r="BU677" s="1452" t="str">
        <f t="shared" si="374"/>
        <v/>
      </c>
      <c r="BV677" s="1452" t="str">
        <f t="shared" si="375"/>
        <v/>
      </c>
      <c r="BW677" s="1558">
        <f t="shared" ca="1" si="382"/>
        <v>0</v>
      </c>
    </row>
    <row r="678" spans="1:75" s="9" customFormat="1" ht="12.5">
      <c r="A678" s="1483" t="str">
        <f t="shared" si="376"/>
        <v>Public Health Wales Trust</v>
      </c>
      <c r="B678" s="1583"/>
      <c r="C678" s="1583"/>
      <c r="D678" s="1583"/>
      <c r="E678" s="1585"/>
      <c r="F678" s="1436"/>
      <c r="G678" s="1547">
        <f t="shared" si="377"/>
        <v>0</v>
      </c>
      <c r="H678" s="1484"/>
      <c r="I678" s="1547">
        <f t="shared" si="378"/>
        <v>0</v>
      </c>
      <c r="J678" s="1485"/>
      <c r="K678" s="1485"/>
      <c r="L678" s="1436"/>
      <c r="M678" s="1439"/>
      <c r="N678" s="1439"/>
      <c r="O678" s="1485"/>
      <c r="P678" s="1486"/>
      <c r="Q678" s="1486"/>
      <c r="R678" s="1487"/>
      <c r="S678" s="1444"/>
      <c r="T678" s="1444"/>
      <c r="U678" s="1444"/>
      <c r="V678" s="1488"/>
      <c r="W678" s="1488"/>
      <c r="X678" s="1488"/>
      <c r="Y678" s="1488"/>
      <c r="Z678" s="1488"/>
      <c r="AA678" s="1488"/>
      <c r="AB678" s="1488"/>
      <c r="AC678" s="1488"/>
      <c r="AD678" s="1488"/>
      <c r="AE678" s="1488"/>
      <c r="AF678" s="1488"/>
      <c r="AG678" s="1488"/>
      <c r="AH678" s="1451">
        <f t="shared" si="350"/>
        <v>0</v>
      </c>
      <c r="AI678" s="1488"/>
      <c r="AJ678" s="1488"/>
      <c r="AK678" s="1488"/>
      <c r="AL678" s="1488"/>
      <c r="AM678" s="1488"/>
      <c r="AN678" s="1488"/>
      <c r="AO678" s="1488"/>
      <c r="AP678" s="1488"/>
      <c r="AQ678" s="1488"/>
      <c r="AR678" s="1488"/>
      <c r="AS678" s="1488"/>
      <c r="AT678" s="1542"/>
      <c r="AU678" s="1599">
        <f t="shared" si="351"/>
        <v>0</v>
      </c>
      <c r="AV678" s="1544">
        <f t="shared" si="379"/>
        <v>0</v>
      </c>
      <c r="AW678" s="1452">
        <f t="shared" si="352"/>
        <v>0</v>
      </c>
      <c r="AX678" s="1452">
        <f t="shared" si="353"/>
        <v>0</v>
      </c>
      <c r="AY678" s="1452">
        <f t="shared" si="354"/>
        <v>0</v>
      </c>
      <c r="AZ678" s="1452">
        <f t="shared" si="355"/>
        <v>0</v>
      </c>
      <c r="BA678" s="1452">
        <f t="shared" si="356"/>
        <v>0</v>
      </c>
      <c r="BB678" s="1452">
        <f t="shared" si="357"/>
        <v>0</v>
      </c>
      <c r="BC678" s="1452">
        <f t="shared" si="358"/>
        <v>0</v>
      </c>
      <c r="BD678" s="1452">
        <f t="shared" si="359"/>
        <v>0</v>
      </c>
      <c r="BE678" s="1452">
        <f t="shared" si="360"/>
        <v>0</v>
      </c>
      <c r="BF678" s="1452">
        <f t="shared" si="361"/>
        <v>0</v>
      </c>
      <c r="BG678" s="1452">
        <f t="shared" si="362"/>
        <v>0</v>
      </c>
      <c r="BH678" s="1452">
        <f t="shared" si="363"/>
        <v>0</v>
      </c>
      <c r="BI678" s="1452">
        <f t="shared" si="380"/>
        <v>0</v>
      </c>
      <c r="BJ678" s="1452" t="str">
        <f t="shared" si="364"/>
        <v/>
      </c>
      <c r="BK678" s="1452" t="str">
        <f t="shared" si="365"/>
        <v/>
      </c>
      <c r="BL678" s="1452" t="str">
        <f t="shared" si="366"/>
        <v/>
      </c>
      <c r="BM678" s="1452" t="str">
        <f t="shared" si="367"/>
        <v/>
      </c>
      <c r="BN678" s="1452" t="str">
        <f t="shared" ca="1" si="368"/>
        <v/>
      </c>
      <c r="BO678" s="1452" t="str">
        <f t="shared" si="381"/>
        <v/>
      </c>
      <c r="BP678" s="1452" t="str">
        <f t="shared" si="369"/>
        <v/>
      </c>
      <c r="BQ678" s="1452" t="str">
        <f t="shared" si="370"/>
        <v/>
      </c>
      <c r="BR678" s="1452" t="str">
        <f t="shared" si="371"/>
        <v/>
      </c>
      <c r="BS678" s="1452" t="str">
        <f t="shared" si="372"/>
        <v/>
      </c>
      <c r="BT678" s="1452" t="str">
        <f t="shared" si="373"/>
        <v/>
      </c>
      <c r="BU678" s="1452" t="str">
        <f t="shared" si="374"/>
        <v/>
      </c>
      <c r="BV678" s="1452" t="str">
        <f t="shared" si="375"/>
        <v/>
      </c>
      <c r="BW678" s="1558">
        <f t="shared" ca="1" si="382"/>
        <v>0</v>
      </c>
    </row>
    <row r="679" spans="1:75" s="9" customFormat="1" ht="12.5">
      <c r="A679" s="1483" t="str">
        <f t="shared" si="376"/>
        <v>Public Health Wales Trust</v>
      </c>
      <c r="B679" s="1583"/>
      <c r="C679" s="1583"/>
      <c r="D679" s="1583"/>
      <c r="E679" s="1585"/>
      <c r="F679" s="1436"/>
      <c r="G679" s="1547">
        <f t="shared" si="377"/>
        <v>0</v>
      </c>
      <c r="H679" s="1484"/>
      <c r="I679" s="1547">
        <f t="shared" si="378"/>
        <v>0</v>
      </c>
      <c r="J679" s="1485"/>
      <c r="K679" s="1485"/>
      <c r="L679" s="1436"/>
      <c r="M679" s="1439"/>
      <c r="N679" s="1439"/>
      <c r="O679" s="1485"/>
      <c r="P679" s="1486"/>
      <c r="Q679" s="1486"/>
      <c r="R679" s="1487"/>
      <c r="S679" s="1444"/>
      <c r="T679" s="1444"/>
      <c r="U679" s="1444"/>
      <c r="V679" s="1488"/>
      <c r="W679" s="1488"/>
      <c r="X679" s="1488"/>
      <c r="Y679" s="1488"/>
      <c r="Z679" s="1488"/>
      <c r="AA679" s="1488"/>
      <c r="AB679" s="1488"/>
      <c r="AC679" s="1488"/>
      <c r="AD679" s="1488"/>
      <c r="AE679" s="1488"/>
      <c r="AF679" s="1488"/>
      <c r="AG679" s="1488"/>
      <c r="AH679" s="1451">
        <f t="shared" si="350"/>
        <v>0</v>
      </c>
      <c r="AI679" s="1488"/>
      <c r="AJ679" s="1488"/>
      <c r="AK679" s="1488"/>
      <c r="AL679" s="1488"/>
      <c r="AM679" s="1488"/>
      <c r="AN679" s="1488"/>
      <c r="AO679" s="1488"/>
      <c r="AP679" s="1488"/>
      <c r="AQ679" s="1488"/>
      <c r="AR679" s="1488"/>
      <c r="AS679" s="1488"/>
      <c r="AT679" s="1542"/>
      <c r="AU679" s="1599">
        <f t="shared" si="351"/>
        <v>0</v>
      </c>
      <c r="AV679" s="1544">
        <f t="shared" si="379"/>
        <v>0</v>
      </c>
      <c r="AW679" s="1452">
        <f t="shared" si="352"/>
        <v>0</v>
      </c>
      <c r="AX679" s="1452">
        <f t="shared" si="353"/>
        <v>0</v>
      </c>
      <c r="AY679" s="1452">
        <f t="shared" si="354"/>
        <v>0</v>
      </c>
      <c r="AZ679" s="1452">
        <f t="shared" si="355"/>
        <v>0</v>
      </c>
      <c r="BA679" s="1452">
        <f t="shared" si="356"/>
        <v>0</v>
      </c>
      <c r="BB679" s="1452">
        <f t="shared" si="357"/>
        <v>0</v>
      </c>
      <c r="BC679" s="1452">
        <f t="shared" si="358"/>
        <v>0</v>
      </c>
      <c r="BD679" s="1452">
        <f t="shared" si="359"/>
        <v>0</v>
      </c>
      <c r="BE679" s="1452">
        <f t="shared" si="360"/>
        <v>0</v>
      </c>
      <c r="BF679" s="1452">
        <f t="shared" si="361"/>
        <v>0</v>
      </c>
      <c r="BG679" s="1452">
        <f t="shared" si="362"/>
        <v>0</v>
      </c>
      <c r="BH679" s="1452">
        <f t="shared" si="363"/>
        <v>0</v>
      </c>
      <c r="BI679" s="1452">
        <f t="shared" si="380"/>
        <v>0</v>
      </c>
      <c r="BJ679" s="1452" t="str">
        <f t="shared" si="364"/>
        <v/>
      </c>
      <c r="BK679" s="1452" t="str">
        <f t="shared" si="365"/>
        <v/>
      </c>
      <c r="BL679" s="1452" t="str">
        <f t="shared" si="366"/>
        <v/>
      </c>
      <c r="BM679" s="1452" t="str">
        <f t="shared" si="367"/>
        <v/>
      </c>
      <c r="BN679" s="1452" t="str">
        <f t="shared" ca="1" si="368"/>
        <v/>
      </c>
      <c r="BO679" s="1452" t="str">
        <f t="shared" si="381"/>
        <v/>
      </c>
      <c r="BP679" s="1452" t="str">
        <f t="shared" si="369"/>
        <v/>
      </c>
      <c r="BQ679" s="1452" t="str">
        <f t="shared" si="370"/>
        <v/>
      </c>
      <c r="BR679" s="1452" t="str">
        <f t="shared" si="371"/>
        <v/>
      </c>
      <c r="BS679" s="1452" t="str">
        <f t="shared" si="372"/>
        <v/>
      </c>
      <c r="BT679" s="1452" t="str">
        <f t="shared" si="373"/>
        <v/>
      </c>
      <c r="BU679" s="1452" t="str">
        <f t="shared" si="374"/>
        <v/>
      </c>
      <c r="BV679" s="1452" t="str">
        <f t="shared" si="375"/>
        <v/>
      </c>
      <c r="BW679" s="1558">
        <f t="shared" ca="1" si="382"/>
        <v>0</v>
      </c>
    </row>
    <row r="680" spans="1:75" s="9" customFormat="1" ht="12.5">
      <c r="A680" s="1483" t="str">
        <f t="shared" si="376"/>
        <v>Public Health Wales Trust</v>
      </c>
      <c r="B680" s="1583"/>
      <c r="C680" s="1583"/>
      <c r="D680" s="1583"/>
      <c r="E680" s="1585"/>
      <c r="F680" s="1436"/>
      <c r="G680" s="1547">
        <f t="shared" si="377"/>
        <v>0</v>
      </c>
      <c r="H680" s="1484"/>
      <c r="I680" s="1547">
        <f t="shared" si="378"/>
        <v>0</v>
      </c>
      <c r="J680" s="1485"/>
      <c r="K680" s="1485"/>
      <c r="L680" s="1436"/>
      <c r="M680" s="1439"/>
      <c r="N680" s="1439"/>
      <c r="O680" s="1485"/>
      <c r="P680" s="1486"/>
      <c r="Q680" s="1486"/>
      <c r="R680" s="1487"/>
      <c r="S680" s="1444"/>
      <c r="T680" s="1444"/>
      <c r="U680" s="1444"/>
      <c r="V680" s="1488"/>
      <c r="W680" s="1488"/>
      <c r="X680" s="1488"/>
      <c r="Y680" s="1488"/>
      <c r="Z680" s="1488"/>
      <c r="AA680" s="1488"/>
      <c r="AB680" s="1488"/>
      <c r="AC680" s="1488"/>
      <c r="AD680" s="1488"/>
      <c r="AE680" s="1488"/>
      <c r="AF680" s="1488"/>
      <c r="AG680" s="1488"/>
      <c r="AH680" s="1451">
        <f t="shared" si="350"/>
        <v>0</v>
      </c>
      <c r="AI680" s="1488"/>
      <c r="AJ680" s="1488"/>
      <c r="AK680" s="1488"/>
      <c r="AL680" s="1488"/>
      <c r="AM680" s="1488"/>
      <c r="AN680" s="1488"/>
      <c r="AO680" s="1488"/>
      <c r="AP680" s="1488"/>
      <c r="AQ680" s="1488"/>
      <c r="AR680" s="1488"/>
      <c r="AS680" s="1488"/>
      <c r="AT680" s="1542"/>
      <c r="AU680" s="1599">
        <f t="shared" si="351"/>
        <v>0</v>
      </c>
      <c r="AV680" s="1544">
        <f t="shared" si="379"/>
        <v>0</v>
      </c>
      <c r="AW680" s="1452">
        <f t="shared" si="352"/>
        <v>0</v>
      </c>
      <c r="AX680" s="1452">
        <f t="shared" si="353"/>
        <v>0</v>
      </c>
      <c r="AY680" s="1452">
        <f t="shared" si="354"/>
        <v>0</v>
      </c>
      <c r="AZ680" s="1452">
        <f t="shared" si="355"/>
        <v>0</v>
      </c>
      <c r="BA680" s="1452">
        <f t="shared" si="356"/>
        <v>0</v>
      </c>
      <c r="BB680" s="1452">
        <f t="shared" si="357"/>
        <v>0</v>
      </c>
      <c r="BC680" s="1452">
        <f t="shared" si="358"/>
        <v>0</v>
      </c>
      <c r="BD680" s="1452">
        <f t="shared" si="359"/>
        <v>0</v>
      </c>
      <c r="BE680" s="1452">
        <f t="shared" si="360"/>
        <v>0</v>
      </c>
      <c r="BF680" s="1452">
        <f t="shared" si="361"/>
        <v>0</v>
      </c>
      <c r="BG680" s="1452">
        <f t="shared" si="362"/>
        <v>0</v>
      </c>
      <c r="BH680" s="1452">
        <f t="shared" si="363"/>
        <v>0</v>
      </c>
      <c r="BI680" s="1452">
        <f t="shared" si="380"/>
        <v>0</v>
      </c>
      <c r="BJ680" s="1452" t="str">
        <f t="shared" si="364"/>
        <v/>
      </c>
      <c r="BK680" s="1452" t="str">
        <f t="shared" si="365"/>
        <v/>
      </c>
      <c r="BL680" s="1452" t="str">
        <f t="shared" si="366"/>
        <v/>
      </c>
      <c r="BM680" s="1452" t="str">
        <f t="shared" si="367"/>
        <v/>
      </c>
      <c r="BN680" s="1452" t="str">
        <f t="shared" ca="1" si="368"/>
        <v/>
      </c>
      <c r="BO680" s="1452" t="str">
        <f t="shared" si="381"/>
        <v/>
      </c>
      <c r="BP680" s="1452" t="str">
        <f t="shared" si="369"/>
        <v/>
      </c>
      <c r="BQ680" s="1452" t="str">
        <f t="shared" si="370"/>
        <v/>
      </c>
      <c r="BR680" s="1452" t="str">
        <f t="shared" si="371"/>
        <v/>
      </c>
      <c r="BS680" s="1452" t="str">
        <f t="shared" si="372"/>
        <v/>
      </c>
      <c r="BT680" s="1452" t="str">
        <f t="shared" si="373"/>
        <v/>
      </c>
      <c r="BU680" s="1452" t="str">
        <f t="shared" si="374"/>
        <v/>
      </c>
      <c r="BV680" s="1452" t="str">
        <f t="shared" si="375"/>
        <v/>
      </c>
      <c r="BW680" s="1558">
        <f t="shared" ca="1" si="382"/>
        <v>0</v>
      </c>
    </row>
    <row r="681" spans="1:75" s="9" customFormat="1" ht="12.5">
      <c r="A681" s="1483" t="str">
        <f t="shared" si="376"/>
        <v>Public Health Wales Trust</v>
      </c>
      <c r="B681" s="1583"/>
      <c r="C681" s="1583"/>
      <c r="D681" s="1583"/>
      <c r="E681" s="1585"/>
      <c r="F681" s="1436"/>
      <c r="G681" s="1547">
        <f t="shared" si="377"/>
        <v>0</v>
      </c>
      <c r="H681" s="1484"/>
      <c r="I681" s="1547">
        <f t="shared" si="378"/>
        <v>0</v>
      </c>
      <c r="J681" s="1485"/>
      <c r="K681" s="1485"/>
      <c r="L681" s="1436"/>
      <c r="M681" s="1439"/>
      <c r="N681" s="1439"/>
      <c r="O681" s="1485"/>
      <c r="P681" s="1486"/>
      <c r="Q681" s="1486"/>
      <c r="R681" s="1487"/>
      <c r="S681" s="1444"/>
      <c r="T681" s="1444"/>
      <c r="U681" s="1444"/>
      <c r="V681" s="1488"/>
      <c r="W681" s="1488"/>
      <c r="X681" s="1488"/>
      <c r="Y681" s="1488"/>
      <c r="Z681" s="1488"/>
      <c r="AA681" s="1488"/>
      <c r="AB681" s="1488"/>
      <c r="AC681" s="1488"/>
      <c r="AD681" s="1488"/>
      <c r="AE681" s="1488"/>
      <c r="AF681" s="1488"/>
      <c r="AG681" s="1488"/>
      <c r="AH681" s="1451">
        <f t="shared" si="350"/>
        <v>0</v>
      </c>
      <c r="AI681" s="1488"/>
      <c r="AJ681" s="1488"/>
      <c r="AK681" s="1488"/>
      <c r="AL681" s="1488"/>
      <c r="AM681" s="1488"/>
      <c r="AN681" s="1488"/>
      <c r="AO681" s="1488"/>
      <c r="AP681" s="1488"/>
      <c r="AQ681" s="1488"/>
      <c r="AR681" s="1488"/>
      <c r="AS681" s="1488"/>
      <c r="AT681" s="1542"/>
      <c r="AU681" s="1599">
        <f t="shared" si="351"/>
        <v>0</v>
      </c>
      <c r="AV681" s="1544">
        <f t="shared" si="379"/>
        <v>0</v>
      </c>
      <c r="AW681" s="1452">
        <f t="shared" si="352"/>
        <v>0</v>
      </c>
      <c r="AX681" s="1452">
        <f t="shared" si="353"/>
        <v>0</v>
      </c>
      <c r="AY681" s="1452">
        <f t="shared" si="354"/>
        <v>0</v>
      </c>
      <c r="AZ681" s="1452">
        <f t="shared" si="355"/>
        <v>0</v>
      </c>
      <c r="BA681" s="1452">
        <f t="shared" si="356"/>
        <v>0</v>
      </c>
      <c r="BB681" s="1452">
        <f t="shared" si="357"/>
        <v>0</v>
      </c>
      <c r="BC681" s="1452">
        <f t="shared" si="358"/>
        <v>0</v>
      </c>
      <c r="BD681" s="1452">
        <f t="shared" si="359"/>
        <v>0</v>
      </c>
      <c r="BE681" s="1452">
        <f t="shared" si="360"/>
        <v>0</v>
      </c>
      <c r="BF681" s="1452">
        <f t="shared" si="361"/>
        <v>0</v>
      </c>
      <c r="BG681" s="1452">
        <f t="shared" si="362"/>
        <v>0</v>
      </c>
      <c r="BH681" s="1452">
        <f t="shared" si="363"/>
        <v>0</v>
      </c>
      <c r="BI681" s="1452">
        <f t="shared" si="380"/>
        <v>0</v>
      </c>
      <c r="BJ681" s="1452" t="str">
        <f t="shared" si="364"/>
        <v/>
      </c>
      <c r="BK681" s="1452" t="str">
        <f t="shared" si="365"/>
        <v/>
      </c>
      <c r="BL681" s="1452" t="str">
        <f t="shared" si="366"/>
        <v/>
      </c>
      <c r="BM681" s="1452" t="str">
        <f t="shared" si="367"/>
        <v/>
      </c>
      <c r="BN681" s="1452" t="str">
        <f t="shared" ca="1" si="368"/>
        <v/>
      </c>
      <c r="BO681" s="1452" t="str">
        <f t="shared" si="381"/>
        <v/>
      </c>
      <c r="BP681" s="1452" t="str">
        <f t="shared" si="369"/>
        <v/>
      </c>
      <c r="BQ681" s="1452" t="str">
        <f t="shared" si="370"/>
        <v/>
      </c>
      <c r="BR681" s="1452" t="str">
        <f t="shared" si="371"/>
        <v/>
      </c>
      <c r="BS681" s="1452" t="str">
        <f t="shared" si="372"/>
        <v/>
      </c>
      <c r="BT681" s="1452" t="str">
        <f t="shared" si="373"/>
        <v/>
      </c>
      <c r="BU681" s="1452" t="str">
        <f t="shared" si="374"/>
        <v/>
      </c>
      <c r="BV681" s="1452" t="str">
        <f t="shared" si="375"/>
        <v/>
      </c>
      <c r="BW681" s="1558">
        <f t="shared" ca="1" si="382"/>
        <v>0</v>
      </c>
    </row>
    <row r="682" spans="1:75" s="9" customFormat="1" ht="12.5">
      <c r="A682" s="1483" t="str">
        <f t="shared" si="376"/>
        <v>Public Health Wales Trust</v>
      </c>
      <c r="B682" s="1583"/>
      <c r="C682" s="1583"/>
      <c r="D682" s="1583"/>
      <c r="E682" s="1585"/>
      <c r="F682" s="1436"/>
      <c r="G682" s="1547">
        <f t="shared" si="377"/>
        <v>0</v>
      </c>
      <c r="H682" s="1484"/>
      <c r="I682" s="1547">
        <f t="shared" si="378"/>
        <v>0</v>
      </c>
      <c r="J682" s="1485"/>
      <c r="K682" s="1485"/>
      <c r="L682" s="1436"/>
      <c r="M682" s="1439"/>
      <c r="N682" s="1439"/>
      <c r="O682" s="1485"/>
      <c r="P682" s="1486"/>
      <c r="Q682" s="1486"/>
      <c r="R682" s="1487"/>
      <c r="S682" s="1444"/>
      <c r="T682" s="1444"/>
      <c r="U682" s="1444"/>
      <c r="V682" s="1488"/>
      <c r="W682" s="1488"/>
      <c r="X682" s="1488"/>
      <c r="Y682" s="1488"/>
      <c r="Z682" s="1488"/>
      <c r="AA682" s="1488"/>
      <c r="AB682" s="1488"/>
      <c r="AC682" s="1488"/>
      <c r="AD682" s="1488"/>
      <c r="AE682" s="1488"/>
      <c r="AF682" s="1488"/>
      <c r="AG682" s="1488"/>
      <c r="AH682" s="1451">
        <f t="shared" si="350"/>
        <v>0</v>
      </c>
      <c r="AI682" s="1488"/>
      <c r="AJ682" s="1488"/>
      <c r="AK682" s="1488"/>
      <c r="AL682" s="1488"/>
      <c r="AM682" s="1488"/>
      <c r="AN682" s="1488"/>
      <c r="AO682" s="1488"/>
      <c r="AP682" s="1488"/>
      <c r="AQ682" s="1488"/>
      <c r="AR682" s="1488"/>
      <c r="AS682" s="1488"/>
      <c r="AT682" s="1542"/>
      <c r="AU682" s="1599">
        <f t="shared" si="351"/>
        <v>0</v>
      </c>
      <c r="AV682" s="1544">
        <f t="shared" si="379"/>
        <v>0</v>
      </c>
      <c r="AW682" s="1452">
        <f t="shared" si="352"/>
        <v>0</v>
      </c>
      <c r="AX682" s="1452">
        <f t="shared" si="353"/>
        <v>0</v>
      </c>
      <c r="AY682" s="1452">
        <f t="shared" si="354"/>
        <v>0</v>
      </c>
      <c r="AZ682" s="1452">
        <f t="shared" si="355"/>
        <v>0</v>
      </c>
      <c r="BA682" s="1452">
        <f t="shared" si="356"/>
        <v>0</v>
      </c>
      <c r="BB682" s="1452">
        <f t="shared" si="357"/>
        <v>0</v>
      </c>
      <c r="BC682" s="1452">
        <f t="shared" si="358"/>
        <v>0</v>
      </c>
      <c r="BD682" s="1452">
        <f t="shared" si="359"/>
        <v>0</v>
      </c>
      <c r="BE682" s="1452">
        <f t="shared" si="360"/>
        <v>0</v>
      </c>
      <c r="BF682" s="1452">
        <f t="shared" si="361"/>
        <v>0</v>
      </c>
      <c r="BG682" s="1452">
        <f t="shared" si="362"/>
        <v>0</v>
      </c>
      <c r="BH682" s="1452">
        <f t="shared" si="363"/>
        <v>0</v>
      </c>
      <c r="BI682" s="1452">
        <f t="shared" si="380"/>
        <v>0</v>
      </c>
      <c r="BJ682" s="1452" t="str">
        <f t="shared" si="364"/>
        <v/>
      </c>
      <c r="BK682" s="1452" t="str">
        <f t="shared" si="365"/>
        <v/>
      </c>
      <c r="BL682" s="1452" t="str">
        <f t="shared" si="366"/>
        <v/>
      </c>
      <c r="BM682" s="1452" t="str">
        <f t="shared" si="367"/>
        <v/>
      </c>
      <c r="BN682" s="1452" t="str">
        <f t="shared" ca="1" si="368"/>
        <v/>
      </c>
      <c r="BO682" s="1452" t="str">
        <f t="shared" si="381"/>
        <v/>
      </c>
      <c r="BP682" s="1452" t="str">
        <f t="shared" si="369"/>
        <v/>
      </c>
      <c r="BQ682" s="1452" t="str">
        <f t="shared" si="370"/>
        <v/>
      </c>
      <c r="BR682" s="1452" t="str">
        <f t="shared" si="371"/>
        <v/>
      </c>
      <c r="BS682" s="1452" t="str">
        <f t="shared" si="372"/>
        <v/>
      </c>
      <c r="BT682" s="1452" t="str">
        <f t="shared" si="373"/>
        <v/>
      </c>
      <c r="BU682" s="1452" t="str">
        <f t="shared" si="374"/>
        <v/>
      </c>
      <c r="BV682" s="1452" t="str">
        <f t="shared" si="375"/>
        <v/>
      </c>
      <c r="BW682" s="1558">
        <f t="shared" ca="1" si="382"/>
        <v>0</v>
      </c>
    </row>
    <row r="683" spans="1:75" s="9" customFormat="1" ht="12.5">
      <c r="A683" s="1483" t="str">
        <f t="shared" si="376"/>
        <v>Public Health Wales Trust</v>
      </c>
      <c r="B683" s="1583"/>
      <c r="C683" s="1583"/>
      <c r="D683" s="1583"/>
      <c r="E683" s="1585"/>
      <c r="F683" s="1436"/>
      <c r="G683" s="1547">
        <f t="shared" si="377"/>
        <v>0</v>
      </c>
      <c r="H683" s="1484"/>
      <c r="I683" s="1547">
        <f t="shared" si="378"/>
        <v>0</v>
      </c>
      <c r="J683" s="1485"/>
      <c r="K683" s="1485"/>
      <c r="L683" s="1436"/>
      <c r="M683" s="1439"/>
      <c r="N683" s="1439"/>
      <c r="O683" s="1485"/>
      <c r="P683" s="1486"/>
      <c r="Q683" s="1486"/>
      <c r="R683" s="1487"/>
      <c r="S683" s="1444"/>
      <c r="T683" s="1444"/>
      <c r="U683" s="1444"/>
      <c r="V683" s="1488"/>
      <c r="W683" s="1488"/>
      <c r="X683" s="1488"/>
      <c r="Y683" s="1488"/>
      <c r="Z683" s="1488"/>
      <c r="AA683" s="1488"/>
      <c r="AB683" s="1488"/>
      <c r="AC683" s="1488"/>
      <c r="AD683" s="1488"/>
      <c r="AE683" s="1488"/>
      <c r="AF683" s="1488"/>
      <c r="AG683" s="1488"/>
      <c r="AH683" s="1451">
        <f t="shared" ref="AH683:AH746" si="383">SUM(V683:AG683)</f>
        <v>0</v>
      </c>
      <c r="AI683" s="1488"/>
      <c r="AJ683" s="1488"/>
      <c r="AK683" s="1488"/>
      <c r="AL683" s="1488"/>
      <c r="AM683" s="1488"/>
      <c r="AN683" s="1488"/>
      <c r="AO683" s="1488"/>
      <c r="AP683" s="1488"/>
      <c r="AQ683" s="1488"/>
      <c r="AR683" s="1488"/>
      <c r="AS683" s="1488"/>
      <c r="AT683" s="1542"/>
      <c r="AU683" s="1599">
        <f t="shared" ref="AU683:AU746" si="384">SUMPRODUCT($AC$40:$AN$40,AI683:AT683)</f>
        <v>0</v>
      </c>
      <c r="AV683" s="1544">
        <f t="shared" si="379"/>
        <v>0</v>
      </c>
      <c r="AW683" s="1452">
        <f t="shared" ref="AW683:AW746" si="385">AI683-V683</f>
        <v>0</v>
      </c>
      <c r="AX683" s="1452">
        <f t="shared" ref="AX683:AX746" si="386">AJ683-W683</f>
        <v>0</v>
      </c>
      <c r="AY683" s="1452">
        <f t="shared" ref="AY683:AY746" si="387">AK683-X683</f>
        <v>0</v>
      </c>
      <c r="AZ683" s="1452">
        <f t="shared" ref="AZ683:AZ746" si="388">AL683-Y683</f>
        <v>0</v>
      </c>
      <c r="BA683" s="1452">
        <f t="shared" ref="BA683:BA746" si="389">AM683-Z683</f>
        <v>0</v>
      </c>
      <c r="BB683" s="1452">
        <f t="shared" ref="BB683:BB746" si="390">AN683-AA683</f>
        <v>0</v>
      </c>
      <c r="BC683" s="1452">
        <f t="shared" ref="BC683:BC746" si="391">AO683-AB683</f>
        <v>0</v>
      </c>
      <c r="BD683" s="1452">
        <f t="shared" ref="BD683:BD746" si="392">AP683-AC683</f>
        <v>0</v>
      </c>
      <c r="BE683" s="1452">
        <f t="shared" ref="BE683:BE746" si="393">AQ683-AD683</f>
        <v>0</v>
      </c>
      <c r="BF683" s="1452">
        <f t="shared" ref="BF683:BF746" si="394">AR683-AE683</f>
        <v>0</v>
      </c>
      <c r="BG683" s="1452">
        <f t="shared" ref="BG683:BG746" si="395">AS683-AF683</f>
        <v>0</v>
      </c>
      <c r="BH683" s="1452">
        <f t="shared" ref="BH683:BH746" si="396">AT683-AG683</f>
        <v>0</v>
      </c>
      <c r="BI683" s="1452">
        <f t="shared" si="380"/>
        <v>0</v>
      </c>
      <c r="BJ683" s="1452" t="str">
        <f t="shared" ref="BJ683:BJ746" si="397">IF(OR(G683&gt;0,I683&gt;0),IF(AND(B683&lt;&gt;"",C683&lt;&gt;"",D683&lt;&gt;"",E683&lt;&gt;"",F683&lt;&gt;"",L683&lt;&gt;"",M683&lt;&gt;"",N683&lt;&gt;"",O683&lt;&gt;"",P683&lt;&gt;"",Q683&lt;&gt;"",R683&lt;&gt;""),"","ERROR"),"")</f>
        <v/>
      </c>
      <c r="BK683" s="1452" t="str">
        <f t="shared" ref="BK683:BK746" si="398">IF(COUNTIF($D$43:$D$1496,D683)&gt;1,"ERROR","")</f>
        <v/>
      </c>
      <c r="BL683" s="1452" t="str">
        <f t="shared" ref="BL683:BL746" si="399">IF(AND(OR(R683=$CQ$1,R683=$CQ$3),S683=""),"ERROR","")</f>
        <v/>
      </c>
      <c r="BM683" s="1452" t="str">
        <f t="shared" ref="BM683:BM746" si="400">IF(AND(OR(R683=$CQ$2),S683&lt;&gt;""),"ERROR","")</f>
        <v/>
      </c>
      <c r="BN683" s="1452" t="str">
        <f t="shared" ref="BN683:BN746" ca="1" si="401">IF(AND(O683=$CA$2,N683&lt;TODAY()),"ERROR","")</f>
        <v/>
      </c>
      <c r="BO683" s="1452" t="str">
        <f t="shared" si="381"/>
        <v/>
      </c>
      <c r="BP683" s="1452" t="str">
        <f t="shared" ref="BP683:BP746" si="402">IF(AND(F683=$BZ$1,G683&gt;H683),"ERROR","")</f>
        <v/>
      </c>
      <c r="BQ683" s="1452" t="str">
        <f t="shared" ref="BQ683:BQ746" si="403">IF(AND(F683=$BZ$1,I683&gt;J683),"ERROR","")</f>
        <v/>
      </c>
      <c r="BR683" s="1452" t="str">
        <f t="shared" ref="BR683:BR746" si="404">IF(AND(F683=$BZ$2,SUM(H683,J683)&gt;0),"ERROR","")</f>
        <v/>
      </c>
      <c r="BS683" s="1452" t="str">
        <f t="shared" ref="BS683:BS746" si="405">IF(AND(I683=0,J683&gt;0),"ERROR","")</f>
        <v/>
      </c>
      <c r="BT683" s="1452" t="str">
        <f t="shared" ref="BT683:BT746" si="406">IF(AND(O683=$CA$1,K683&lt;&gt;0),"ERROR","")</f>
        <v/>
      </c>
      <c r="BU683" s="1452" t="str">
        <f t="shared" ref="BU683:BU746" si="407">IF(AND(O683=$CA$2,I683-AU683-K683&lt;0),"ERROR","")</f>
        <v/>
      </c>
      <c r="BV683" s="1452" t="str">
        <f t="shared" ref="BV683:BV746" si="408">IF(S683="","",VLOOKUP(S683,$CS$1:$CT$14,2,0))</f>
        <v/>
      </c>
      <c r="BW683" s="1558">
        <f t="shared" ca="1" si="382"/>
        <v>0</v>
      </c>
    </row>
    <row r="684" spans="1:75" s="9" customFormat="1" ht="12.5">
      <c r="A684" s="1483" t="str">
        <f t="shared" ref="A684:A747" si="409">$A$1</f>
        <v>Public Health Wales Trust</v>
      </c>
      <c r="B684" s="1583"/>
      <c r="C684" s="1583"/>
      <c r="D684" s="1583"/>
      <c r="E684" s="1585"/>
      <c r="F684" s="1436"/>
      <c r="G684" s="1547">
        <f t="shared" ref="G684:G747" si="410">AH684</f>
        <v>0</v>
      </c>
      <c r="H684" s="1484"/>
      <c r="I684" s="1547">
        <f t="shared" ref="I684:I747" si="411">AV684</f>
        <v>0</v>
      </c>
      <c r="J684" s="1485"/>
      <c r="K684" s="1485"/>
      <c r="L684" s="1436"/>
      <c r="M684" s="1439"/>
      <c r="N684" s="1439"/>
      <c r="O684" s="1485"/>
      <c r="P684" s="1486"/>
      <c r="Q684" s="1486"/>
      <c r="R684" s="1487"/>
      <c r="S684" s="1444"/>
      <c r="T684" s="1444"/>
      <c r="U684" s="1444"/>
      <c r="V684" s="1488"/>
      <c r="W684" s="1488"/>
      <c r="X684" s="1488"/>
      <c r="Y684" s="1488"/>
      <c r="Z684" s="1488"/>
      <c r="AA684" s="1488"/>
      <c r="AB684" s="1488"/>
      <c r="AC684" s="1488"/>
      <c r="AD684" s="1488"/>
      <c r="AE684" s="1488"/>
      <c r="AF684" s="1488"/>
      <c r="AG684" s="1488"/>
      <c r="AH684" s="1451">
        <f t="shared" si="383"/>
        <v>0</v>
      </c>
      <c r="AI684" s="1488"/>
      <c r="AJ684" s="1488"/>
      <c r="AK684" s="1488"/>
      <c r="AL684" s="1488"/>
      <c r="AM684" s="1488"/>
      <c r="AN684" s="1488"/>
      <c r="AO684" s="1488"/>
      <c r="AP684" s="1488"/>
      <c r="AQ684" s="1488"/>
      <c r="AR684" s="1488"/>
      <c r="AS684" s="1488"/>
      <c r="AT684" s="1542"/>
      <c r="AU684" s="1599">
        <f t="shared" si="384"/>
        <v>0</v>
      </c>
      <c r="AV684" s="1544">
        <f t="shared" ref="AV684:AV747" si="412">SUM(AI684:AT684)</f>
        <v>0</v>
      </c>
      <c r="AW684" s="1452">
        <f t="shared" si="385"/>
        <v>0</v>
      </c>
      <c r="AX684" s="1452">
        <f t="shared" si="386"/>
        <v>0</v>
      </c>
      <c r="AY684" s="1452">
        <f t="shared" si="387"/>
        <v>0</v>
      </c>
      <c r="AZ684" s="1452">
        <f t="shared" si="388"/>
        <v>0</v>
      </c>
      <c r="BA684" s="1452">
        <f t="shared" si="389"/>
        <v>0</v>
      </c>
      <c r="BB684" s="1452">
        <f t="shared" si="390"/>
        <v>0</v>
      </c>
      <c r="BC684" s="1452">
        <f t="shared" si="391"/>
        <v>0</v>
      </c>
      <c r="BD684" s="1452">
        <f t="shared" si="392"/>
        <v>0</v>
      </c>
      <c r="BE684" s="1452">
        <f t="shared" si="393"/>
        <v>0</v>
      </c>
      <c r="BF684" s="1452">
        <f t="shared" si="394"/>
        <v>0</v>
      </c>
      <c r="BG684" s="1452">
        <f t="shared" si="395"/>
        <v>0</v>
      </c>
      <c r="BH684" s="1452">
        <f t="shared" si="396"/>
        <v>0</v>
      </c>
      <c r="BI684" s="1452">
        <f t="shared" ref="BI684:BI747" si="413">SUM(AW684:BH684)</f>
        <v>0</v>
      </c>
      <c r="BJ684" s="1452" t="str">
        <f t="shared" si="397"/>
        <v/>
      </c>
      <c r="BK684" s="1452" t="str">
        <f t="shared" si="398"/>
        <v/>
      </c>
      <c r="BL684" s="1452" t="str">
        <f t="shared" si="399"/>
        <v/>
      </c>
      <c r="BM684" s="1452" t="str">
        <f t="shared" si="400"/>
        <v/>
      </c>
      <c r="BN684" s="1452" t="str">
        <f t="shared" ca="1" si="401"/>
        <v/>
      </c>
      <c r="BO684" s="1452" t="str">
        <f t="shared" ref="BO684:BO747" si="414">IF(AND(AV684&gt;0,AH684=0),"ERROR","")</f>
        <v/>
      </c>
      <c r="BP684" s="1452" t="str">
        <f t="shared" si="402"/>
        <v/>
      </c>
      <c r="BQ684" s="1452" t="str">
        <f t="shared" si="403"/>
        <v/>
      </c>
      <c r="BR684" s="1452" t="str">
        <f t="shared" si="404"/>
        <v/>
      </c>
      <c r="BS684" s="1452" t="str">
        <f t="shared" si="405"/>
        <v/>
      </c>
      <c r="BT684" s="1452" t="str">
        <f t="shared" si="406"/>
        <v/>
      </c>
      <c r="BU684" s="1452" t="str">
        <f t="shared" si="407"/>
        <v/>
      </c>
      <c r="BV684" s="1452" t="str">
        <f t="shared" si="408"/>
        <v/>
      </c>
      <c r="BW684" s="1558">
        <f t="shared" ref="BW684:BW747" ca="1" si="415">COUNTIF(BJ684:BU684,"ERROR")</f>
        <v>0</v>
      </c>
    </row>
    <row r="685" spans="1:75" s="9" customFormat="1" ht="12.5">
      <c r="A685" s="1483" t="str">
        <f t="shared" si="409"/>
        <v>Public Health Wales Trust</v>
      </c>
      <c r="B685" s="1583"/>
      <c r="C685" s="1583"/>
      <c r="D685" s="1583"/>
      <c r="E685" s="1585"/>
      <c r="F685" s="1436"/>
      <c r="G685" s="1547">
        <f t="shared" si="410"/>
        <v>0</v>
      </c>
      <c r="H685" s="1484"/>
      <c r="I685" s="1547">
        <f t="shared" si="411"/>
        <v>0</v>
      </c>
      <c r="J685" s="1485"/>
      <c r="K685" s="1485"/>
      <c r="L685" s="1436"/>
      <c r="M685" s="1439"/>
      <c r="N685" s="1439"/>
      <c r="O685" s="1485"/>
      <c r="P685" s="1486"/>
      <c r="Q685" s="1486"/>
      <c r="R685" s="1487"/>
      <c r="S685" s="1444"/>
      <c r="T685" s="1444"/>
      <c r="U685" s="1444"/>
      <c r="V685" s="1488"/>
      <c r="W685" s="1488"/>
      <c r="X685" s="1488"/>
      <c r="Y685" s="1488"/>
      <c r="Z685" s="1488"/>
      <c r="AA685" s="1488"/>
      <c r="AB685" s="1488"/>
      <c r="AC685" s="1488"/>
      <c r="AD685" s="1488"/>
      <c r="AE685" s="1488"/>
      <c r="AF685" s="1488"/>
      <c r="AG685" s="1488"/>
      <c r="AH685" s="1451">
        <f t="shared" si="383"/>
        <v>0</v>
      </c>
      <c r="AI685" s="1488"/>
      <c r="AJ685" s="1488"/>
      <c r="AK685" s="1488"/>
      <c r="AL685" s="1488"/>
      <c r="AM685" s="1488"/>
      <c r="AN685" s="1488"/>
      <c r="AO685" s="1488"/>
      <c r="AP685" s="1488"/>
      <c r="AQ685" s="1488"/>
      <c r="AR685" s="1488"/>
      <c r="AS685" s="1488"/>
      <c r="AT685" s="1542"/>
      <c r="AU685" s="1599">
        <f t="shared" si="384"/>
        <v>0</v>
      </c>
      <c r="AV685" s="1544">
        <f t="shared" si="412"/>
        <v>0</v>
      </c>
      <c r="AW685" s="1452">
        <f t="shared" si="385"/>
        <v>0</v>
      </c>
      <c r="AX685" s="1452">
        <f t="shared" si="386"/>
        <v>0</v>
      </c>
      <c r="AY685" s="1452">
        <f t="shared" si="387"/>
        <v>0</v>
      </c>
      <c r="AZ685" s="1452">
        <f t="shared" si="388"/>
        <v>0</v>
      </c>
      <c r="BA685" s="1452">
        <f t="shared" si="389"/>
        <v>0</v>
      </c>
      <c r="BB685" s="1452">
        <f t="shared" si="390"/>
        <v>0</v>
      </c>
      <c r="BC685" s="1452">
        <f t="shared" si="391"/>
        <v>0</v>
      </c>
      <c r="BD685" s="1452">
        <f t="shared" si="392"/>
        <v>0</v>
      </c>
      <c r="BE685" s="1452">
        <f t="shared" si="393"/>
        <v>0</v>
      </c>
      <c r="BF685" s="1452">
        <f t="shared" si="394"/>
        <v>0</v>
      </c>
      <c r="BG685" s="1452">
        <f t="shared" si="395"/>
        <v>0</v>
      </c>
      <c r="BH685" s="1452">
        <f t="shared" si="396"/>
        <v>0</v>
      </c>
      <c r="BI685" s="1452">
        <f t="shared" si="413"/>
        <v>0</v>
      </c>
      <c r="BJ685" s="1452" t="str">
        <f t="shared" si="397"/>
        <v/>
      </c>
      <c r="BK685" s="1452" t="str">
        <f t="shared" si="398"/>
        <v/>
      </c>
      <c r="BL685" s="1452" t="str">
        <f t="shared" si="399"/>
        <v/>
      </c>
      <c r="BM685" s="1452" t="str">
        <f t="shared" si="400"/>
        <v/>
      </c>
      <c r="BN685" s="1452" t="str">
        <f t="shared" ca="1" si="401"/>
        <v/>
      </c>
      <c r="BO685" s="1452" t="str">
        <f t="shared" si="414"/>
        <v/>
      </c>
      <c r="BP685" s="1452" t="str">
        <f t="shared" si="402"/>
        <v/>
      </c>
      <c r="BQ685" s="1452" t="str">
        <f t="shared" si="403"/>
        <v/>
      </c>
      <c r="BR685" s="1452" t="str">
        <f t="shared" si="404"/>
        <v/>
      </c>
      <c r="BS685" s="1452" t="str">
        <f t="shared" si="405"/>
        <v/>
      </c>
      <c r="BT685" s="1452" t="str">
        <f t="shared" si="406"/>
        <v/>
      </c>
      <c r="BU685" s="1452" t="str">
        <f t="shared" si="407"/>
        <v/>
      </c>
      <c r="BV685" s="1452" t="str">
        <f t="shared" si="408"/>
        <v/>
      </c>
      <c r="BW685" s="1558">
        <f t="shared" ca="1" si="415"/>
        <v>0</v>
      </c>
    </row>
    <row r="686" spans="1:75" s="9" customFormat="1" ht="12.5">
      <c r="A686" s="1483" t="str">
        <f t="shared" si="409"/>
        <v>Public Health Wales Trust</v>
      </c>
      <c r="B686" s="1583"/>
      <c r="C686" s="1583"/>
      <c r="D686" s="1583"/>
      <c r="E686" s="1585"/>
      <c r="F686" s="1436"/>
      <c r="G686" s="1547">
        <f t="shared" si="410"/>
        <v>0</v>
      </c>
      <c r="H686" s="1484"/>
      <c r="I686" s="1547">
        <f t="shared" si="411"/>
        <v>0</v>
      </c>
      <c r="J686" s="1485"/>
      <c r="K686" s="1485"/>
      <c r="L686" s="1436"/>
      <c r="M686" s="1439"/>
      <c r="N686" s="1439"/>
      <c r="O686" s="1485"/>
      <c r="P686" s="1486"/>
      <c r="Q686" s="1486"/>
      <c r="R686" s="1487"/>
      <c r="S686" s="1444"/>
      <c r="T686" s="1444"/>
      <c r="U686" s="1444"/>
      <c r="V686" s="1488"/>
      <c r="W686" s="1488"/>
      <c r="X686" s="1488"/>
      <c r="Y686" s="1488"/>
      <c r="Z686" s="1488"/>
      <c r="AA686" s="1488"/>
      <c r="AB686" s="1488"/>
      <c r="AC686" s="1488"/>
      <c r="AD686" s="1488"/>
      <c r="AE686" s="1488"/>
      <c r="AF686" s="1488"/>
      <c r="AG686" s="1488"/>
      <c r="AH686" s="1451">
        <f t="shared" si="383"/>
        <v>0</v>
      </c>
      <c r="AI686" s="1488"/>
      <c r="AJ686" s="1488"/>
      <c r="AK686" s="1488"/>
      <c r="AL686" s="1488"/>
      <c r="AM686" s="1488"/>
      <c r="AN686" s="1488"/>
      <c r="AO686" s="1488"/>
      <c r="AP686" s="1488"/>
      <c r="AQ686" s="1488"/>
      <c r="AR686" s="1488"/>
      <c r="AS686" s="1488"/>
      <c r="AT686" s="1542"/>
      <c r="AU686" s="1599">
        <f t="shared" si="384"/>
        <v>0</v>
      </c>
      <c r="AV686" s="1544">
        <f t="shared" si="412"/>
        <v>0</v>
      </c>
      <c r="AW686" s="1452">
        <f t="shared" si="385"/>
        <v>0</v>
      </c>
      <c r="AX686" s="1452">
        <f t="shared" si="386"/>
        <v>0</v>
      </c>
      <c r="AY686" s="1452">
        <f t="shared" si="387"/>
        <v>0</v>
      </c>
      <c r="AZ686" s="1452">
        <f t="shared" si="388"/>
        <v>0</v>
      </c>
      <c r="BA686" s="1452">
        <f t="shared" si="389"/>
        <v>0</v>
      </c>
      <c r="BB686" s="1452">
        <f t="shared" si="390"/>
        <v>0</v>
      </c>
      <c r="BC686" s="1452">
        <f t="shared" si="391"/>
        <v>0</v>
      </c>
      <c r="BD686" s="1452">
        <f t="shared" si="392"/>
        <v>0</v>
      </c>
      <c r="BE686" s="1452">
        <f t="shared" si="393"/>
        <v>0</v>
      </c>
      <c r="BF686" s="1452">
        <f t="shared" si="394"/>
        <v>0</v>
      </c>
      <c r="BG686" s="1452">
        <f t="shared" si="395"/>
        <v>0</v>
      </c>
      <c r="BH686" s="1452">
        <f t="shared" si="396"/>
        <v>0</v>
      </c>
      <c r="BI686" s="1452">
        <f t="shared" si="413"/>
        <v>0</v>
      </c>
      <c r="BJ686" s="1452" t="str">
        <f t="shared" si="397"/>
        <v/>
      </c>
      <c r="BK686" s="1452" t="str">
        <f t="shared" si="398"/>
        <v/>
      </c>
      <c r="BL686" s="1452" t="str">
        <f t="shared" si="399"/>
        <v/>
      </c>
      <c r="BM686" s="1452" t="str">
        <f t="shared" si="400"/>
        <v/>
      </c>
      <c r="BN686" s="1452" t="str">
        <f t="shared" ca="1" si="401"/>
        <v/>
      </c>
      <c r="BO686" s="1452" t="str">
        <f t="shared" si="414"/>
        <v/>
      </c>
      <c r="BP686" s="1452" t="str">
        <f t="shared" si="402"/>
        <v/>
      </c>
      <c r="BQ686" s="1452" t="str">
        <f t="shared" si="403"/>
        <v/>
      </c>
      <c r="BR686" s="1452" t="str">
        <f t="shared" si="404"/>
        <v/>
      </c>
      <c r="BS686" s="1452" t="str">
        <f t="shared" si="405"/>
        <v/>
      </c>
      <c r="BT686" s="1452" t="str">
        <f t="shared" si="406"/>
        <v/>
      </c>
      <c r="BU686" s="1452" t="str">
        <f t="shared" si="407"/>
        <v/>
      </c>
      <c r="BV686" s="1452" t="str">
        <f t="shared" si="408"/>
        <v/>
      </c>
      <c r="BW686" s="1558">
        <f t="shared" ca="1" si="415"/>
        <v>0</v>
      </c>
    </row>
    <row r="687" spans="1:75" s="9" customFormat="1" ht="12.5">
      <c r="A687" s="1483" t="str">
        <f t="shared" si="409"/>
        <v>Public Health Wales Trust</v>
      </c>
      <c r="B687" s="1583"/>
      <c r="C687" s="1583"/>
      <c r="D687" s="1583"/>
      <c r="E687" s="1585"/>
      <c r="F687" s="1436"/>
      <c r="G687" s="1547">
        <f t="shared" si="410"/>
        <v>0</v>
      </c>
      <c r="H687" s="1484"/>
      <c r="I687" s="1547">
        <f t="shared" si="411"/>
        <v>0</v>
      </c>
      <c r="J687" s="1485"/>
      <c r="K687" s="1485"/>
      <c r="L687" s="1436"/>
      <c r="M687" s="1439"/>
      <c r="N687" s="1439"/>
      <c r="O687" s="1485"/>
      <c r="P687" s="1486"/>
      <c r="Q687" s="1486"/>
      <c r="R687" s="1487"/>
      <c r="S687" s="1444"/>
      <c r="T687" s="1444"/>
      <c r="U687" s="1444"/>
      <c r="V687" s="1488"/>
      <c r="W687" s="1488"/>
      <c r="X687" s="1488"/>
      <c r="Y687" s="1488"/>
      <c r="Z687" s="1488"/>
      <c r="AA687" s="1488"/>
      <c r="AB687" s="1488"/>
      <c r="AC687" s="1488"/>
      <c r="AD687" s="1488"/>
      <c r="AE687" s="1488"/>
      <c r="AF687" s="1488"/>
      <c r="AG687" s="1488"/>
      <c r="AH687" s="1451">
        <f t="shared" si="383"/>
        <v>0</v>
      </c>
      <c r="AI687" s="1488"/>
      <c r="AJ687" s="1488"/>
      <c r="AK687" s="1488"/>
      <c r="AL687" s="1488"/>
      <c r="AM687" s="1488"/>
      <c r="AN687" s="1488"/>
      <c r="AO687" s="1488"/>
      <c r="AP687" s="1488"/>
      <c r="AQ687" s="1488"/>
      <c r="AR687" s="1488"/>
      <c r="AS687" s="1488"/>
      <c r="AT687" s="1542"/>
      <c r="AU687" s="1599">
        <f t="shared" si="384"/>
        <v>0</v>
      </c>
      <c r="AV687" s="1544">
        <f t="shared" si="412"/>
        <v>0</v>
      </c>
      <c r="AW687" s="1452">
        <f t="shared" si="385"/>
        <v>0</v>
      </c>
      <c r="AX687" s="1452">
        <f t="shared" si="386"/>
        <v>0</v>
      </c>
      <c r="AY687" s="1452">
        <f t="shared" si="387"/>
        <v>0</v>
      </c>
      <c r="AZ687" s="1452">
        <f t="shared" si="388"/>
        <v>0</v>
      </c>
      <c r="BA687" s="1452">
        <f t="shared" si="389"/>
        <v>0</v>
      </c>
      <c r="BB687" s="1452">
        <f t="shared" si="390"/>
        <v>0</v>
      </c>
      <c r="BC687" s="1452">
        <f t="shared" si="391"/>
        <v>0</v>
      </c>
      <c r="BD687" s="1452">
        <f t="shared" si="392"/>
        <v>0</v>
      </c>
      <c r="BE687" s="1452">
        <f t="shared" si="393"/>
        <v>0</v>
      </c>
      <c r="BF687" s="1452">
        <f t="shared" si="394"/>
        <v>0</v>
      </c>
      <c r="BG687" s="1452">
        <f t="shared" si="395"/>
        <v>0</v>
      </c>
      <c r="BH687" s="1452">
        <f t="shared" si="396"/>
        <v>0</v>
      </c>
      <c r="BI687" s="1452">
        <f t="shared" si="413"/>
        <v>0</v>
      </c>
      <c r="BJ687" s="1452" t="str">
        <f t="shared" si="397"/>
        <v/>
      </c>
      <c r="BK687" s="1452" t="str">
        <f t="shared" si="398"/>
        <v/>
      </c>
      <c r="BL687" s="1452" t="str">
        <f t="shared" si="399"/>
        <v/>
      </c>
      <c r="BM687" s="1452" t="str">
        <f t="shared" si="400"/>
        <v/>
      </c>
      <c r="BN687" s="1452" t="str">
        <f t="shared" ca="1" si="401"/>
        <v/>
      </c>
      <c r="BO687" s="1452" t="str">
        <f t="shared" si="414"/>
        <v/>
      </c>
      <c r="BP687" s="1452" t="str">
        <f t="shared" si="402"/>
        <v/>
      </c>
      <c r="BQ687" s="1452" t="str">
        <f t="shared" si="403"/>
        <v/>
      </c>
      <c r="BR687" s="1452" t="str">
        <f t="shared" si="404"/>
        <v/>
      </c>
      <c r="BS687" s="1452" t="str">
        <f t="shared" si="405"/>
        <v/>
      </c>
      <c r="BT687" s="1452" t="str">
        <f t="shared" si="406"/>
        <v/>
      </c>
      <c r="BU687" s="1452" t="str">
        <f t="shared" si="407"/>
        <v/>
      </c>
      <c r="BV687" s="1452" t="str">
        <f t="shared" si="408"/>
        <v/>
      </c>
      <c r="BW687" s="1558">
        <f t="shared" ca="1" si="415"/>
        <v>0</v>
      </c>
    </row>
    <row r="688" spans="1:75" s="9" customFormat="1" ht="12.5">
      <c r="A688" s="1483" t="str">
        <f t="shared" si="409"/>
        <v>Public Health Wales Trust</v>
      </c>
      <c r="B688" s="1583"/>
      <c r="C688" s="1583"/>
      <c r="D688" s="1583"/>
      <c r="E688" s="1585"/>
      <c r="F688" s="1436"/>
      <c r="G688" s="1547">
        <f t="shared" si="410"/>
        <v>0</v>
      </c>
      <c r="H688" s="1484"/>
      <c r="I688" s="1547">
        <f t="shared" si="411"/>
        <v>0</v>
      </c>
      <c r="J688" s="1485"/>
      <c r="K688" s="1485"/>
      <c r="L688" s="1436"/>
      <c r="M688" s="1439"/>
      <c r="N688" s="1439"/>
      <c r="O688" s="1485"/>
      <c r="P688" s="1486"/>
      <c r="Q688" s="1486"/>
      <c r="R688" s="1487"/>
      <c r="S688" s="1444"/>
      <c r="T688" s="1444"/>
      <c r="U688" s="1444"/>
      <c r="V688" s="1488"/>
      <c r="W688" s="1488"/>
      <c r="X688" s="1488"/>
      <c r="Y688" s="1488"/>
      <c r="Z688" s="1488"/>
      <c r="AA688" s="1488"/>
      <c r="AB688" s="1488"/>
      <c r="AC688" s="1488"/>
      <c r="AD688" s="1488"/>
      <c r="AE688" s="1488"/>
      <c r="AF688" s="1488"/>
      <c r="AG688" s="1488"/>
      <c r="AH688" s="1451">
        <f t="shared" si="383"/>
        <v>0</v>
      </c>
      <c r="AI688" s="1488"/>
      <c r="AJ688" s="1488"/>
      <c r="AK688" s="1488"/>
      <c r="AL688" s="1488"/>
      <c r="AM688" s="1488"/>
      <c r="AN688" s="1488"/>
      <c r="AO688" s="1488"/>
      <c r="AP688" s="1488"/>
      <c r="AQ688" s="1488"/>
      <c r="AR688" s="1488"/>
      <c r="AS688" s="1488"/>
      <c r="AT688" s="1542"/>
      <c r="AU688" s="1599">
        <f t="shared" si="384"/>
        <v>0</v>
      </c>
      <c r="AV688" s="1544">
        <f t="shared" si="412"/>
        <v>0</v>
      </c>
      <c r="AW688" s="1452">
        <f t="shared" si="385"/>
        <v>0</v>
      </c>
      <c r="AX688" s="1452">
        <f t="shared" si="386"/>
        <v>0</v>
      </c>
      <c r="AY688" s="1452">
        <f t="shared" si="387"/>
        <v>0</v>
      </c>
      <c r="AZ688" s="1452">
        <f t="shared" si="388"/>
        <v>0</v>
      </c>
      <c r="BA688" s="1452">
        <f t="shared" si="389"/>
        <v>0</v>
      </c>
      <c r="BB688" s="1452">
        <f t="shared" si="390"/>
        <v>0</v>
      </c>
      <c r="BC688" s="1452">
        <f t="shared" si="391"/>
        <v>0</v>
      </c>
      <c r="BD688" s="1452">
        <f t="shared" si="392"/>
        <v>0</v>
      </c>
      <c r="BE688" s="1452">
        <f t="shared" si="393"/>
        <v>0</v>
      </c>
      <c r="BF688" s="1452">
        <f t="shared" si="394"/>
        <v>0</v>
      </c>
      <c r="BG688" s="1452">
        <f t="shared" si="395"/>
        <v>0</v>
      </c>
      <c r="BH688" s="1452">
        <f t="shared" si="396"/>
        <v>0</v>
      </c>
      <c r="BI688" s="1452">
        <f t="shared" si="413"/>
        <v>0</v>
      </c>
      <c r="BJ688" s="1452" t="str">
        <f t="shared" si="397"/>
        <v/>
      </c>
      <c r="BK688" s="1452" t="str">
        <f t="shared" si="398"/>
        <v/>
      </c>
      <c r="BL688" s="1452" t="str">
        <f t="shared" si="399"/>
        <v/>
      </c>
      <c r="BM688" s="1452" t="str">
        <f t="shared" si="400"/>
        <v/>
      </c>
      <c r="BN688" s="1452" t="str">
        <f t="shared" ca="1" si="401"/>
        <v/>
      </c>
      <c r="BO688" s="1452" t="str">
        <f t="shared" si="414"/>
        <v/>
      </c>
      <c r="BP688" s="1452" t="str">
        <f t="shared" si="402"/>
        <v/>
      </c>
      <c r="BQ688" s="1452" t="str">
        <f t="shared" si="403"/>
        <v/>
      </c>
      <c r="BR688" s="1452" t="str">
        <f t="shared" si="404"/>
        <v/>
      </c>
      <c r="BS688" s="1452" t="str">
        <f t="shared" si="405"/>
        <v/>
      </c>
      <c r="BT688" s="1452" t="str">
        <f t="shared" si="406"/>
        <v/>
      </c>
      <c r="BU688" s="1452" t="str">
        <f t="shared" si="407"/>
        <v/>
      </c>
      <c r="BV688" s="1452" t="str">
        <f t="shared" si="408"/>
        <v/>
      </c>
      <c r="BW688" s="1558">
        <f t="shared" ca="1" si="415"/>
        <v>0</v>
      </c>
    </row>
    <row r="689" spans="1:75" s="9" customFormat="1" ht="12.5">
      <c r="A689" s="1483" t="str">
        <f t="shared" si="409"/>
        <v>Public Health Wales Trust</v>
      </c>
      <c r="B689" s="1583"/>
      <c r="C689" s="1583"/>
      <c r="D689" s="1583"/>
      <c r="E689" s="1585"/>
      <c r="F689" s="1436"/>
      <c r="G689" s="1547">
        <f t="shared" si="410"/>
        <v>0</v>
      </c>
      <c r="H689" s="1484"/>
      <c r="I689" s="1547">
        <f t="shared" si="411"/>
        <v>0</v>
      </c>
      <c r="J689" s="1485"/>
      <c r="K689" s="1485"/>
      <c r="L689" s="1436"/>
      <c r="M689" s="1439"/>
      <c r="N689" s="1439"/>
      <c r="O689" s="1485"/>
      <c r="P689" s="1486"/>
      <c r="Q689" s="1486"/>
      <c r="R689" s="1487"/>
      <c r="S689" s="1444"/>
      <c r="T689" s="1444"/>
      <c r="U689" s="1444"/>
      <c r="V689" s="1488"/>
      <c r="W689" s="1488"/>
      <c r="X689" s="1488"/>
      <c r="Y689" s="1488"/>
      <c r="Z689" s="1488"/>
      <c r="AA689" s="1488"/>
      <c r="AB689" s="1488"/>
      <c r="AC689" s="1488"/>
      <c r="AD689" s="1488"/>
      <c r="AE689" s="1488"/>
      <c r="AF689" s="1488"/>
      <c r="AG689" s="1488"/>
      <c r="AH689" s="1451">
        <f t="shared" si="383"/>
        <v>0</v>
      </c>
      <c r="AI689" s="1488"/>
      <c r="AJ689" s="1488"/>
      <c r="AK689" s="1488"/>
      <c r="AL689" s="1488"/>
      <c r="AM689" s="1488"/>
      <c r="AN689" s="1488"/>
      <c r="AO689" s="1488"/>
      <c r="AP689" s="1488"/>
      <c r="AQ689" s="1488"/>
      <c r="AR689" s="1488"/>
      <c r="AS689" s="1488"/>
      <c r="AT689" s="1542"/>
      <c r="AU689" s="1599">
        <f t="shared" si="384"/>
        <v>0</v>
      </c>
      <c r="AV689" s="1544">
        <f t="shared" si="412"/>
        <v>0</v>
      </c>
      <c r="AW689" s="1452">
        <f t="shared" si="385"/>
        <v>0</v>
      </c>
      <c r="AX689" s="1452">
        <f t="shared" si="386"/>
        <v>0</v>
      </c>
      <c r="AY689" s="1452">
        <f t="shared" si="387"/>
        <v>0</v>
      </c>
      <c r="AZ689" s="1452">
        <f t="shared" si="388"/>
        <v>0</v>
      </c>
      <c r="BA689" s="1452">
        <f t="shared" si="389"/>
        <v>0</v>
      </c>
      <c r="BB689" s="1452">
        <f t="shared" si="390"/>
        <v>0</v>
      </c>
      <c r="BC689" s="1452">
        <f t="shared" si="391"/>
        <v>0</v>
      </c>
      <c r="BD689" s="1452">
        <f t="shared" si="392"/>
        <v>0</v>
      </c>
      <c r="BE689" s="1452">
        <f t="shared" si="393"/>
        <v>0</v>
      </c>
      <c r="BF689" s="1452">
        <f t="shared" si="394"/>
        <v>0</v>
      </c>
      <c r="BG689" s="1452">
        <f t="shared" si="395"/>
        <v>0</v>
      </c>
      <c r="BH689" s="1452">
        <f t="shared" si="396"/>
        <v>0</v>
      </c>
      <c r="BI689" s="1452">
        <f t="shared" si="413"/>
        <v>0</v>
      </c>
      <c r="BJ689" s="1452" t="str">
        <f t="shared" si="397"/>
        <v/>
      </c>
      <c r="BK689" s="1452" t="str">
        <f t="shared" si="398"/>
        <v/>
      </c>
      <c r="BL689" s="1452" t="str">
        <f t="shared" si="399"/>
        <v/>
      </c>
      <c r="BM689" s="1452" t="str">
        <f t="shared" si="400"/>
        <v/>
      </c>
      <c r="BN689" s="1452" t="str">
        <f t="shared" ca="1" si="401"/>
        <v/>
      </c>
      <c r="BO689" s="1452" t="str">
        <f t="shared" si="414"/>
        <v/>
      </c>
      <c r="BP689" s="1452" t="str">
        <f t="shared" si="402"/>
        <v/>
      </c>
      <c r="BQ689" s="1452" t="str">
        <f t="shared" si="403"/>
        <v/>
      </c>
      <c r="BR689" s="1452" t="str">
        <f t="shared" si="404"/>
        <v/>
      </c>
      <c r="BS689" s="1452" t="str">
        <f t="shared" si="405"/>
        <v/>
      </c>
      <c r="BT689" s="1452" t="str">
        <f t="shared" si="406"/>
        <v/>
      </c>
      <c r="BU689" s="1452" t="str">
        <f t="shared" si="407"/>
        <v/>
      </c>
      <c r="BV689" s="1452" t="str">
        <f t="shared" si="408"/>
        <v/>
      </c>
      <c r="BW689" s="1558">
        <f t="shared" ca="1" si="415"/>
        <v>0</v>
      </c>
    </row>
    <row r="690" spans="1:75" s="9" customFormat="1" ht="12.5">
      <c r="A690" s="1483" t="str">
        <f t="shared" si="409"/>
        <v>Public Health Wales Trust</v>
      </c>
      <c r="B690" s="1583"/>
      <c r="C690" s="1583"/>
      <c r="D690" s="1583"/>
      <c r="E690" s="1585"/>
      <c r="F690" s="1436"/>
      <c r="G690" s="1547">
        <f t="shared" si="410"/>
        <v>0</v>
      </c>
      <c r="H690" s="1484"/>
      <c r="I690" s="1547">
        <f t="shared" si="411"/>
        <v>0</v>
      </c>
      <c r="J690" s="1485"/>
      <c r="K690" s="1485"/>
      <c r="L690" s="1436"/>
      <c r="M690" s="1439"/>
      <c r="N690" s="1439"/>
      <c r="O690" s="1485"/>
      <c r="P690" s="1486"/>
      <c r="Q690" s="1486"/>
      <c r="R690" s="1487"/>
      <c r="S690" s="1444"/>
      <c r="T690" s="1444"/>
      <c r="U690" s="1444"/>
      <c r="V690" s="1488"/>
      <c r="W690" s="1488"/>
      <c r="X690" s="1488"/>
      <c r="Y690" s="1488"/>
      <c r="Z690" s="1488"/>
      <c r="AA690" s="1488"/>
      <c r="AB690" s="1488"/>
      <c r="AC690" s="1488"/>
      <c r="AD690" s="1488"/>
      <c r="AE690" s="1488"/>
      <c r="AF690" s="1488"/>
      <c r="AG690" s="1488"/>
      <c r="AH690" s="1451">
        <f t="shared" si="383"/>
        <v>0</v>
      </c>
      <c r="AI690" s="1488"/>
      <c r="AJ690" s="1488"/>
      <c r="AK690" s="1488"/>
      <c r="AL690" s="1488"/>
      <c r="AM690" s="1488"/>
      <c r="AN690" s="1488"/>
      <c r="AO690" s="1488"/>
      <c r="AP690" s="1488"/>
      <c r="AQ690" s="1488"/>
      <c r="AR690" s="1488"/>
      <c r="AS690" s="1488"/>
      <c r="AT690" s="1542"/>
      <c r="AU690" s="1599">
        <f t="shared" si="384"/>
        <v>0</v>
      </c>
      <c r="AV690" s="1544">
        <f t="shared" si="412"/>
        <v>0</v>
      </c>
      <c r="AW690" s="1452">
        <f t="shared" si="385"/>
        <v>0</v>
      </c>
      <c r="AX690" s="1452">
        <f t="shared" si="386"/>
        <v>0</v>
      </c>
      <c r="AY690" s="1452">
        <f t="shared" si="387"/>
        <v>0</v>
      </c>
      <c r="AZ690" s="1452">
        <f t="shared" si="388"/>
        <v>0</v>
      </c>
      <c r="BA690" s="1452">
        <f t="shared" si="389"/>
        <v>0</v>
      </c>
      <c r="BB690" s="1452">
        <f t="shared" si="390"/>
        <v>0</v>
      </c>
      <c r="BC690" s="1452">
        <f t="shared" si="391"/>
        <v>0</v>
      </c>
      <c r="BD690" s="1452">
        <f t="shared" si="392"/>
        <v>0</v>
      </c>
      <c r="BE690" s="1452">
        <f t="shared" si="393"/>
        <v>0</v>
      </c>
      <c r="BF690" s="1452">
        <f t="shared" si="394"/>
        <v>0</v>
      </c>
      <c r="BG690" s="1452">
        <f t="shared" si="395"/>
        <v>0</v>
      </c>
      <c r="BH690" s="1452">
        <f t="shared" si="396"/>
        <v>0</v>
      </c>
      <c r="BI690" s="1452">
        <f t="shared" si="413"/>
        <v>0</v>
      </c>
      <c r="BJ690" s="1452" t="str">
        <f t="shared" si="397"/>
        <v/>
      </c>
      <c r="BK690" s="1452" t="str">
        <f t="shared" si="398"/>
        <v/>
      </c>
      <c r="BL690" s="1452" t="str">
        <f t="shared" si="399"/>
        <v/>
      </c>
      <c r="BM690" s="1452" t="str">
        <f t="shared" si="400"/>
        <v/>
      </c>
      <c r="BN690" s="1452" t="str">
        <f t="shared" ca="1" si="401"/>
        <v/>
      </c>
      <c r="BO690" s="1452" t="str">
        <f t="shared" si="414"/>
        <v/>
      </c>
      <c r="BP690" s="1452" t="str">
        <f t="shared" si="402"/>
        <v/>
      </c>
      <c r="BQ690" s="1452" t="str">
        <f t="shared" si="403"/>
        <v/>
      </c>
      <c r="BR690" s="1452" t="str">
        <f t="shared" si="404"/>
        <v/>
      </c>
      <c r="BS690" s="1452" t="str">
        <f t="shared" si="405"/>
        <v/>
      </c>
      <c r="BT690" s="1452" t="str">
        <f t="shared" si="406"/>
        <v/>
      </c>
      <c r="BU690" s="1452" t="str">
        <f t="shared" si="407"/>
        <v/>
      </c>
      <c r="BV690" s="1452" t="str">
        <f t="shared" si="408"/>
        <v/>
      </c>
      <c r="BW690" s="1558">
        <f t="shared" ca="1" si="415"/>
        <v>0</v>
      </c>
    </row>
    <row r="691" spans="1:75" s="9" customFormat="1" ht="12.5">
      <c r="A691" s="1483" t="str">
        <f t="shared" si="409"/>
        <v>Public Health Wales Trust</v>
      </c>
      <c r="B691" s="1583"/>
      <c r="C691" s="1583"/>
      <c r="D691" s="1583"/>
      <c r="E691" s="1585"/>
      <c r="F691" s="1436"/>
      <c r="G691" s="1547">
        <f t="shared" si="410"/>
        <v>0</v>
      </c>
      <c r="H691" s="1484"/>
      <c r="I691" s="1547">
        <f t="shared" si="411"/>
        <v>0</v>
      </c>
      <c r="J691" s="1485"/>
      <c r="K691" s="1485"/>
      <c r="L691" s="1436"/>
      <c r="M691" s="1439"/>
      <c r="N691" s="1439"/>
      <c r="O691" s="1485"/>
      <c r="P691" s="1486"/>
      <c r="Q691" s="1486"/>
      <c r="R691" s="1487"/>
      <c r="S691" s="1444"/>
      <c r="T691" s="1444"/>
      <c r="U691" s="1444"/>
      <c r="V691" s="1488"/>
      <c r="W691" s="1488"/>
      <c r="X691" s="1488"/>
      <c r="Y691" s="1488"/>
      <c r="Z691" s="1488"/>
      <c r="AA691" s="1488"/>
      <c r="AB691" s="1488"/>
      <c r="AC691" s="1488"/>
      <c r="AD691" s="1488"/>
      <c r="AE691" s="1488"/>
      <c r="AF691" s="1488"/>
      <c r="AG691" s="1488"/>
      <c r="AH691" s="1451">
        <f t="shared" si="383"/>
        <v>0</v>
      </c>
      <c r="AI691" s="1488"/>
      <c r="AJ691" s="1488"/>
      <c r="AK691" s="1488"/>
      <c r="AL691" s="1488"/>
      <c r="AM691" s="1488"/>
      <c r="AN691" s="1488"/>
      <c r="AO691" s="1488"/>
      <c r="AP691" s="1488"/>
      <c r="AQ691" s="1488"/>
      <c r="AR691" s="1488"/>
      <c r="AS691" s="1488"/>
      <c r="AT691" s="1542"/>
      <c r="AU691" s="1599">
        <f t="shared" si="384"/>
        <v>0</v>
      </c>
      <c r="AV691" s="1544">
        <f t="shared" si="412"/>
        <v>0</v>
      </c>
      <c r="AW691" s="1452">
        <f t="shared" si="385"/>
        <v>0</v>
      </c>
      <c r="AX691" s="1452">
        <f t="shared" si="386"/>
        <v>0</v>
      </c>
      <c r="AY691" s="1452">
        <f t="shared" si="387"/>
        <v>0</v>
      </c>
      <c r="AZ691" s="1452">
        <f t="shared" si="388"/>
        <v>0</v>
      </c>
      <c r="BA691" s="1452">
        <f t="shared" si="389"/>
        <v>0</v>
      </c>
      <c r="BB691" s="1452">
        <f t="shared" si="390"/>
        <v>0</v>
      </c>
      <c r="BC691" s="1452">
        <f t="shared" si="391"/>
        <v>0</v>
      </c>
      <c r="BD691" s="1452">
        <f t="shared" si="392"/>
        <v>0</v>
      </c>
      <c r="BE691" s="1452">
        <f t="shared" si="393"/>
        <v>0</v>
      </c>
      <c r="BF691" s="1452">
        <f t="shared" si="394"/>
        <v>0</v>
      </c>
      <c r="BG691" s="1452">
        <f t="shared" si="395"/>
        <v>0</v>
      </c>
      <c r="BH691" s="1452">
        <f t="shared" si="396"/>
        <v>0</v>
      </c>
      <c r="BI691" s="1452">
        <f t="shared" si="413"/>
        <v>0</v>
      </c>
      <c r="BJ691" s="1452" t="str">
        <f t="shared" si="397"/>
        <v/>
      </c>
      <c r="BK691" s="1452" t="str">
        <f t="shared" si="398"/>
        <v/>
      </c>
      <c r="BL691" s="1452" t="str">
        <f t="shared" si="399"/>
        <v/>
      </c>
      <c r="BM691" s="1452" t="str">
        <f t="shared" si="400"/>
        <v/>
      </c>
      <c r="BN691" s="1452" t="str">
        <f t="shared" ca="1" si="401"/>
        <v/>
      </c>
      <c r="BO691" s="1452" t="str">
        <f t="shared" si="414"/>
        <v/>
      </c>
      <c r="BP691" s="1452" t="str">
        <f t="shared" si="402"/>
        <v/>
      </c>
      <c r="BQ691" s="1452" t="str">
        <f t="shared" si="403"/>
        <v/>
      </c>
      <c r="BR691" s="1452" t="str">
        <f t="shared" si="404"/>
        <v/>
      </c>
      <c r="BS691" s="1452" t="str">
        <f t="shared" si="405"/>
        <v/>
      </c>
      <c r="BT691" s="1452" t="str">
        <f t="shared" si="406"/>
        <v/>
      </c>
      <c r="BU691" s="1452" t="str">
        <f t="shared" si="407"/>
        <v/>
      </c>
      <c r="BV691" s="1452" t="str">
        <f t="shared" si="408"/>
        <v/>
      </c>
      <c r="BW691" s="1558">
        <f t="shared" ca="1" si="415"/>
        <v>0</v>
      </c>
    </row>
    <row r="692" spans="1:75" s="9" customFormat="1" ht="12.5">
      <c r="A692" s="1483" t="str">
        <f t="shared" si="409"/>
        <v>Public Health Wales Trust</v>
      </c>
      <c r="B692" s="1583"/>
      <c r="C692" s="1583"/>
      <c r="D692" s="1583"/>
      <c r="E692" s="1585"/>
      <c r="F692" s="1436"/>
      <c r="G692" s="1547">
        <f t="shared" si="410"/>
        <v>0</v>
      </c>
      <c r="H692" s="1484"/>
      <c r="I692" s="1547">
        <f t="shared" si="411"/>
        <v>0</v>
      </c>
      <c r="J692" s="1485"/>
      <c r="K692" s="1485"/>
      <c r="L692" s="1436"/>
      <c r="M692" s="1439"/>
      <c r="N692" s="1439"/>
      <c r="O692" s="1485"/>
      <c r="P692" s="1486"/>
      <c r="Q692" s="1486"/>
      <c r="R692" s="1487"/>
      <c r="S692" s="1444"/>
      <c r="T692" s="1444"/>
      <c r="U692" s="1444"/>
      <c r="V692" s="1488"/>
      <c r="W692" s="1488"/>
      <c r="X692" s="1488"/>
      <c r="Y692" s="1488"/>
      <c r="Z692" s="1488"/>
      <c r="AA692" s="1488"/>
      <c r="AB692" s="1488"/>
      <c r="AC692" s="1488"/>
      <c r="AD692" s="1488"/>
      <c r="AE692" s="1488"/>
      <c r="AF692" s="1488"/>
      <c r="AG692" s="1488"/>
      <c r="AH692" s="1451">
        <f t="shared" si="383"/>
        <v>0</v>
      </c>
      <c r="AI692" s="1488"/>
      <c r="AJ692" s="1488"/>
      <c r="AK692" s="1488"/>
      <c r="AL692" s="1488"/>
      <c r="AM692" s="1488"/>
      <c r="AN692" s="1488"/>
      <c r="AO692" s="1488"/>
      <c r="AP692" s="1488"/>
      <c r="AQ692" s="1488"/>
      <c r="AR692" s="1488"/>
      <c r="AS692" s="1488"/>
      <c r="AT692" s="1542"/>
      <c r="AU692" s="1599">
        <f t="shared" si="384"/>
        <v>0</v>
      </c>
      <c r="AV692" s="1544">
        <f t="shared" si="412"/>
        <v>0</v>
      </c>
      <c r="AW692" s="1452">
        <f t="shared" si="385"/>
        <v>0</v>
      </c>
      <c r="AX692" s="1452">
        <f t="shared" si="386"/>
        <v>0</v>
      </c>
      <c r="AY692" s="1452">
        <f t="shared" si="387"/>
        <v>0</v>
      </c>
      <c r="AZ692" s="1452">
        <f t="shared" si="388"/>
        <v>0</v>
      </c>
      <c r="BA692" s="1452">
        <f t="shared" si="389"/>
        <v>0</v>
      </c>
      <c r="BB692" s="1452">
        <f t="shared" si="390"/>
        <v>0</v>
      </c>
      <c r="BC692" s="1452">
        <f t="shared" si="391"/>
        <v>0</v>
      </c>
      <c r="BD692" s="1452">
        <f t="shared" si="392"/>
        <v>0</v>
      </c>
      <c r="BE692" s="1452">
        <f t="shared" si="393"/>
        <v>0</v>
      </c>
      <c r="BF692" s="1452">
        <f t="shared" si="394"/>
        <v>0</v>
      </c>
      <c r="BG692" s="1452">
        <f t="shared" si="395"/>
        <v>0</v>
      </c>
      <c r="BH692" s="1452">
        <f t="shared" si="396"/>
        <v>0</v>
      </c>
      <c r="BI692" s="1452">
        <f t="shared" si="413"/>
        <v>0</v>
      </c>
      <c r="BJ692" s="1452" t="str">
        <f t="shared" si="397"/>
        <v/>
      </c>
      <c r="BK692" s="1452" t="str">
        <f t="shared" si="398"/>
        <v/>
      </c>
      <c r="BL692" s="1452" t="str">
        <f t="shared" si="399"/>
        <v/>
      </c>
      <c r="BM692" s="1452" t="str">
        <f t="shared" si="400"/>
        <v/>
      </c>
      <c r="BN692" s="1452" t="str">
        <f t="shared" ca="1" si="401"/>
        <v/>
      </c>
      <c r="BO692" s="1452" t="str">
        <f t="shared" si="414"/>
        <v/>
      </c>
      <c r="BP692" s="1452" t="str">
        <f t="shared" si="402"/>
        <v/>
      </c>
      <c r="BQ692" s="1452" t="str">
        <f t="shared" si="403"/>
        <v/>
      </c>
      <c r="BR692" s="1452" t="str">
        <f t="shared" si="404"/>
        <v/>
      </c>
      <c r="BS692" s="1452" t="str">
        <f t="shared" si="405"/>
        <v/>
      </c>
      <c r="BT692" s="1452" t="str">
        <f t="shared" si="406"/>
        <v/>
      </c>
      <c r="BU692" s="1452" t="str">
        <f t="shared" si="407"/>
        <v/>
      </c>
      <c r="BV692" s="1452" t="str">
        <f t="shared" si="408"/>
        <v/>
      </c>
      <c r="BW692" s="1558">
        <f t="shared" ca="1" si="415"/>
        <v>0</v>
      </c>
    </row>
    <row r="693" spans="1:75" s="9" customFormat="1" ht="12.5">
      <c r="A693" s="1483" t="str">
        <f t="shared" si="409"/>
        <v>Public Health Wales Trust</v>
      </c>
      <c r="B693" s="1583"/>
      <c r="C693" s="1583"/>
      <c r="D693" s="1583"/>
      <c r="E693" s="1585"/>
      <c r="F693" s="1436"/>
      <c r="G693" s="1547">
        <f t="shared" si="410"/>
        <v>0</v>
      </c>
      <c r="H693" s="1484"/>
      <c r="I693" s="1547">
        <f t="shared" si="411"/>
        <v>0</v>
      </c>
      <c r="J693" s="1485"/>
      <c r="K693" s="1485"/>
      <c r="L693" s="1436"/>
      <c r="M693" s="1439"/>
      <c r="N693" s="1439"/>
      <c r="O693" s="1485"/>
      <c r="P693" s="1486"/>
      <c r="Q693" s="1486"/>
      <c r="R693" s="1487"/>
      <c r="S693" s="1444"/>
      <c r="T693" s="1444"/>
      <c r="U693" s="1444"/>
      <c r="V693" s="1488"/>
      <c r="W693" s="1488"/>
      <c r="X693" s="1488"/>
      <c r="Y693" s="1488"/>
      <c r="Z693" s="1488"/>
      <c r="AA693" s="1488"/>
      <c r="AB693" s="1488"/>
      <c r="AC693" s="1488"/>
      <c r="AD693" s="1488"/>
      <c r="AE693" s="1488"/>
      <c r="AF693" s="1488"/>
      <c r="AG693" s="1488"/>
      <c r="AH693" s="1451">
        <f t="shared" si="383"/>
        <v>0</v>
      </c>
      <c r="AI693" s="1488"/>
      <c r="AJ693" s="1488"/>
      <c r="AK693" s="1488"/>
      <c r="AL693" s="1488"/>
      <c r="AM693" s="1488"/>
      <c r="AN693" s="1488"/>
      <c r="AO693" s="1488"/>
      <c r="AP693" s="1488"/>
      <c r="AQ693" s="1488"/>
      <c r="AR693" s="1488"/>
      <c r="AS693" s="1488"/>
      <c r="AT693" s="1542"/>
      <c r="AU693" s="1599">
        <f t="shared" si="384"/>
        <v>0</v>
      </c>
      <c r="AV693" s="1544">
        <f t="shared" si="412"/>
        <v>0</v>
      </c>
      <c r="AW693" s="1452">
        <f t="shared" si="385"/>
        <v>0</v>
      </c>
      <c r="AX693" s="1452">
        <f t="shared" si="386"/>
        <v>0</v>
      </c>
      <c r="AY693" s="1452">
        <f t="shared" si="387"/>
        <v>0</v>
      </c>
      <c r="AZ693" s="1452">
        <f t="shared" si="388"/>
        <v>0</v>
      </c>
      <c r="BA693" s="1452">
        <f t="shared" si="389"/>
        <v>0</v>
      </c>
      <c r="BB693" s="1452">
        <f t="shared" si="390"/>
        <v>0</v>
      </c>
      <c r="BC693" s="1452">
        <f t="shared" si="391"/>
        <v>0</v>
      </c>
      <c r="BD693" s="1452">
        <f t="shared" si="392"/>
        <v>0</v>
      </c>
      <c r="BE693" s="1452">
        <f t="shared" si="393"/>
        <v>0</v>
      </c>
      <c r="BF693" s="1452">
        <f t="shared" si="394"/>
        <v>0</v>
      </c>
      <c r="BG693" s="1452">
        <f t="shared" si="395"/>
        <v>0</v>
      </c>
      <c r="BH693" s="1452">
        <f t="shared" si="396"/>
        <v>0</v>
      </c>
      <c r="BI693" s="1452">
        <f t="shared" si="413"/>
        <v>0</v>
      </c>
      <c r="BJ693" s="1452" t="str">
        <f t="shared" si="397"/>
        <v/>
      </c>
      <c r="BK693" s="1452" t="str">
        <f t="shared" si="398"/>
        <v/>
      </c>
      <c r="BL693" s="1452" t="str">
        <f t="shared" si="399"/>
        <v/>
      </c>
      <c r="BM693" s="1452" t="str">
        <f t="shared" si="400"/>
        <v/>
      </c>
      <c r="BN693" s="1452" t="str">
        <f t="shared" ca="1" si="401"/>
        <v/>
      </c>
      <c r="BO693" s="1452" t="str">
        <f t="shared" si="414"/>
        <v/>
      </c>
      <c r="BP693" s="1452" t="str">
        <f t="shared" si="402"/>
        <v/>
      </c>
      <c r="BQ693" s="1452" t="str">
        <f t="shared" si="403"/>
        <v/>
      </c>
      <c r="BR693" s="1452" t="str">
        <f t="shared" si="404"/>
        <v/>
      </c>
      <c r="BS693" s="1452" t="str">
        <f t="shared" si="405"/>
        <v/>
      </c>
      <c r="BT693" s="1452" t="str">
        <f t="shared" si="406"/>
        <v/>
      </c>
      <c r="BU693" s="1452" t="str">
        <f t="shared" si="407"/>
        <v/>
      </c>
      <c r="BV693" s="1452" t="str">
        <f t="shared" si="408"/>
        <v/>
      </c>
      <c r="BW693" s="1558">
        <f t="shared" ca="1" si="415"/>
        <v>0</v>
      </c>
    </row>
    <row r="694" spans="1:75" s="9" customFormat="1" ht="12.5">
      <c r="A694" s="1483" t="str">
        <f t="shared" si="409"/>
        <v>Public Health Wales Trust</v>
      </c>
      <c r="B694" s="1583"/>
      <c r="C694" s="1583"/>
      <c r="D694" s="1583"/>
      <c r="E694" s="1585"/>
      <c r="F694" s="1436"/>
      <c r="G694" s="1547">
        <f t="shared" si="410"/>
        <v>0</v>
      </c>
      <c r="H694" s="1484"/>
      <c r="I694" s="1547">
        <f t="shared" si="411"/>
        <v>0</v>
      </c>
      <c r="J694" s="1485"/>
      <c r="K694" s="1485"/>
      <c r="L694" s="1436"/>
      <c r="M694" s="1439"/>
      <c r="N694" s="1439"/>
      <c r="O694" s="1485"/>
      <c r="P694" s="1486"/>
      <c r="Q694" s="1486"/>
      <c r="R694" s="1487"/>
      <c r="S694" s="1444"/>
      <c r="T694" s="1444"/>
      <c r="U694" s="1444"/>
      <c r="V694" s="1488"/>
      <c r="W694" s="1488"/>
      <c r="X694" s="1488"/>
      <c r="Y694" s="1488"/>
      <c r="Z694" s="1488"/>
      <c r="AA694" s="1488"/>
      <c r="AB694" s="1488"/>
      <c r="AC694" s="1488"/>
      <c r="AD694" s="1488"/>
      <c r="AE694" s="1488"/>
      <c r="AF694" s="1488"/>
      <c r="AG694" s="1488"/>
      <c r="AH694" s="1451">
        <f t="shared" si="383"/>
        <v>0</v>
      </c>
      <c r="AI694" s="1488"/>
      <c r="AJ694" s="1488"/>
      <c r="AK694" s="1488"/>
      <c r="AL694" s="1488"/>
      <c r="AM694" s="1488"/>
      <c r="AN694" s="1488"/>
      <c r="AO694" s="1488"/>
      <c r="AP694" s="1488"/>
      <c r="AQ694" s="1488"/>
      <c r="AR694" s="1488"/>
      <c r="AS694" s="1488"/>
      <c r="AT694" s="1542"/>
      <c r="AU694" s="1599">
        <f t="shared" si="384"/>
        <v>0</v>
      </c>
      <c r="AV694" s="1544">
        <f t="shared" si="412"/>
        <v>0</v>
      </c>
      <c r="AW694" s="1452">
        <f t="shared" si="385"/>
        <v>0</v>
      </c>
      <c r="AX694" s="1452">
        <f t="shared" si="386"/>
        <v>0</v>
      </c>
      <c r="AY694" s="1452">
        <f t="shared" si="387"/>
        <v>0</v>
      </c>
      <c r="AZ694" s="1452">
        <f t="shared" si="388"/>
        <v>0</v>
      </c>
      <c r="BA694" s="1452">
        <f t="shared" si="389"/>
        <v>0</v>
      </c>
      <c r="BB694" s="1452">
        <f t="shared" si="390"/>
        <v>0</v>
      </c>
      <c r="BC694" s="1452">
        <f t="shared" si="391"/>
        <v>0</v>
      </c>
      <c r="BD694" s="1452">
        <f t="shared" si="392"/>
        <v>0</v>
      </c>
      <c r="BE694" s="1452">
        <f t="shared" si="393"/>
        <v>0</v>
      </c>
      <c r="BF694" s="1452">
        <f t="shared" si="394"/>
        <v>0</v>
      </c>
      <c r="BG694" s="1452">
        <f t="shared" si="395"/>
        <v>0</v>
      </c>
      <c r="BH694" s="1452">
        <f t="shared" si="396"/>
        <v>0</v>
      </c>
      <c r="BI694" s="1452">
        <f t="shared" si="413"/>
        <v>0</v>
      </c>
      <c r="BJ694" s="1452" t="str">
        <f t="shared" si="397"/>
        <v/>
      </c>
      <c r="BK694" s="1452" t="str">
        <f t="shared" si="398"/>
        <v/>
      </c>
      <c r="BL694" s="1452" t="str">
        <f t="shared" si="399"/>
        <v/>
      </c>
      <c r="BM694" s="1452" t="str">
        <f t="shared" si="400"/>
        <v/>
      </c>
      <c r="BN694" s="1452" t="str">
        <f t="shared" ca="1" si="401"/>
        <v/>
      </c>
      <c r="BO694" s="1452" t="str">
        <f t="shared" si="414"/>
        <v/>
      </c>
      <c r="BP694" s="1452" t="str">
        <f t="shared" si="402"/>
        <v/>
      </c>
      <c r="BQ694" s="1452" t="str">
        <f t="shared" si="403"/>
        <v/>
      </c>
      <c r="BR694" s="1452" t="str">
        <f t="shared" si="404"/>
        <v/>
      </c>
      <c r="BS694" s="1452" t="str">
        <f t="shared" si="405"/>
        <v/>
      </c>
      <c r="BT694" s="1452" t="str">
        <f t="shared" si="406"/>
        <v/>
      </c>
      <c r="BU694" s="1452" t="str">
        <f t="shared" si="407"/>
        <v/>
      </c>
      <c r="BV694" s="1452" t="str">
        <f t="shared" si="408"/>
        <v/>
      </c>
      <c r="BW694" s="1558">
        <f t="shared" ca="1" si="415"/>
        <v>0</v>
      </c>
    </row>
    <row r="695" spans="1:75" s="9" customFormat="1" ht="12.5">
      <c r="A695" s="1483" t="str">
        <f t="shared" si="409"/>
        <v>Public Health Wales Trust</v>
      </c>
      <c r="B695" s="1583"/>
      <c r="C695" s="1583"/>
      <c r="D695" s="1583"/>
      <c r="E695" s="1585"/>
      <c r="F695" s="1436"/>
      <c r="G695" s="1547">
        <f t="shared" si="410"/>
        <v>0</v>
      </c>
      <c r="H695" s="1484"/>
      <c r="I695" s="1547">
        <f t="shared" si="411"/>
        <v>0</v>
      </c>
      <c r="J695" s="1485"/>
      <c r="K695" s="1485"/>
      <c r="L695" s="1436"/>
      <c r="M695" s="1439"/>
      <c r="N695" s="1439"/>
      <c r="O695" s="1485"/>
      <c r="P695" s="1486"/>
      <c r="Q695" s="1486"/>
      <c r="R695" s="1487"/>
      <c r="S695" s="1444"/>
      <c r="T695" s="1444"/>
      <c r="U695" s="1444"/>
      <c r="V695" s="1488"/>
      <c r="W695" s="1488"/>
      <c r="X695" s="1488"/>
      <c r="Y695" s="1488"/>
      <c r="Z695" s="1488"/>
      <c r="AA695" s="1488"/>
      <c r="AB695" s="1488"/>
      <c r="AC695" s="1488"/>
      <c r="AD695" s="1488"/>
      <c r="AE695" s="1488"/>
      <c r="AF695" s="1488"/>
      <c r="AG695" s="1488"/>
      <c r="AH695" s="1451">
        <f t="shared" si="383"/>
        <v>0</v>
      </c>
      <c r="AI695" s="1488"/>
      <c r="AJ695" s="1488"/>
      <c r="AK695" s="1488"/>
      <c r="AL695" s="1488"/>
      <c r="AM695" s="1488"/>
      <c r="AN695" s="1488"/>
      <c r="AO695" s="1488"/>
      <c r="AP695" s="1488"/>
      <c r="AQ695" s="1488"/>
      <c r="AR695" s="1488"/>
      <c r="AS695" s="1488"/>
      <c r="AT695" s="1542"/>
      <c r="AU695" s="1599">
        <f t="shared" si="384"/>
        <v>0</v>
      </c>
      <c r="AV695" s="1544">
        <f t="shared" si="412"/>
        <v>0</v>
      </c>
      <c r="AW695" s="1452">
        <f t="shared" si="385"/>
        <v>0</v>
      </c>
      <c r="AX695" s="1452">
        <f t="shared" si="386"/>
        <v>0</v>
      </c>
      <c r="AY695" s="1452">
        <f t="shared" si="387"/>
        <v>0</v>
      </c>
      <c r="AZ695" s="1452">
        <f t="shared" si="388"/>
        <v>0</v>
      </c>
      <c r="BA695" s="1452">
        <f t="shared" si="389"/>
        <v>0</v>
      </c>
      <c r="BB695" s="1452">
        <f t="shared" si="390"/>
        <v>0</v>
      </c>
      <c r="BC695" s="1452">
        <f t="shared" si="391"/>
        <v>0</v>
      </c>
      <c r="BD695" s="1452">
        <f t="shared" si="392"/>
        <v>0</v>
      </c>
      <c r="BE695" s="1452">
        <f t="shared" si="393"/>
        <v>0</v>
      </c>
      <c r="BF695" s="1452">
        <f t="shared" si="394"/>
        <v>0</v>
      </c>
      <c r="BG695" s="1452">
        <f t="shared" si="395"/>
        <v>0</v>
      </c>
      <c r="BH695" s="1452">
        <f t="shared" si="396"/>
        <v>0</v>
      </c>
      <c r="BI695" s="1452">
        <f t="shared" si="413"/>
        <v>0</v>
      </c>
      <c r="BJ695" s="1452" t="str">
        <f t="shared" si="397"/>
        <v/>
      </c>
      <c r="BK695" s="1452" t="str">
        <f t="shared" si="398"/>
        <v/>
      </c>
      <c r="BL695" s="1452" t="str">
        <f t="shared" si="399"/>
        <v/>
      </c>
      <c r="BM695" s="1452" t="str">
        <f t="shared" si="400"/>
        <v/>
      </c>
      <c r="BN695" s="1452" t="str">
        <f t="shared" ca="1" si="401"/>
        <v/>
      </c>
      <c r="BO695" s="1452" t="str">
        <f t="shared" si="414"/>
        <v/>
      </c>
      <c r="BP695" s="1452" t="str">
        <f t="shared" si="402"/>
        <v/>
      </c>
      <c r="BQ695" s="1452" t="str">
        <f t="shared" si="403"/>
        <v/>
      </c>
      <c r="BR695" s="1452" t="str">
        <f t="shared" si="404"/>
        <v/>
      </c>
      <c r="BS695" s="1452" t="str">
        <f t="shared" si="405"/>
        <v/>
      </c>
      <c r="BT695" s="1452" t="str">
        <f t="shared" si="406"/>
        <v/>
      </c>
      <c r="BU695" s="1452" t="str">
        <f t="shared" si="407"/>
        <v/>
      </c>
      <c r="BV695" s="1452" t="str">
        <f t="shared" si="408"/>
        <v/>
      </c>
      <c r="BW695" s="1558">
        <f t="shared" ca="1" si="415"/>
        <v>0</v>
      </c>
    </row>
    <row r="696" spans="1:75" s="9" customFormat="1" ht="12.5">
      <c r="A696" s="1483" t="str">
        <f t="shared" si="409"/>
        <v>Public Health Wales Trust</v>
      </c>
      <c r="B696" s="1583"/>
      <c r="C696" s="1583"/>
      <c r="D696" s="1583"/>
      <c r="E696" s="1585"/>
      <c r="F696" s="1436"/>
      <c r="G696" s="1547">
        <f t="shared" si="410"/>
        <v>0</v>
      </c>
      <c r="H696" s="1484"/>
      <c r="I696" s="1547">
        <f t="shared" si="411"/>
        <v>0</v>
      </c>
      <c r="J696" s="1485"/>
      <c r="K696" s="1485"/>
      <c r="L696" s="1436"/>
      <c r="M696" s="1439"/>
      <c r="N696" s="1439"/>
      <c r="O696" s="1485"/>
      <c r="P696" s="1486"/>
      <c r="Q696" s="1486"/>
      <c r="R696" s="1487"/>
      <c r="S696" s="1444"/>
      <c r="T696" s="1444"/>
      <c r="U696" s="1444"/>
      <c r="V696" s="1488"/>
      <c r="W696" s="1488"/>
      <c r="X696" s="1488"/>
      <c r="Y696" s="1488"/>
      <c r="Z696" s="1488"/>
      <c r="AA696" s="1488"/>
      <c r="AB696" s="1488"/>
      <c r="AC696" s="1488"/>
      <c r="AD696" s="1488"/>
      <c r="AE696" s="1488"/>
      <c r="AF696" s="1488"/>
      <c r="AG696" s="1488"/>
      <c r="AH696" s="1451">
        <f t="shared" si="383"/>
        <v>0</v>
      </c>
      <c r="AI696" s="1488"/>
      <c r="AJ696" s="1488"/>
      <c r="AK696" s="1488"/>
      <c r="AL696" s="1488"/>
      <c r="AM696" s="1488"/>
      <c r="AN696" s="1488"/>
      <c r="AO696" s="1488"/>
      <c r="AP696" s="1488"/>
      <c r="AQ696" s="1488"/>
      <c r="AR696" s="1488"/>
      <c r="AS696" s="1488"/>
      <c r="AT696" s="1542"/>
      <c r="AU696" s="1599">
        <f t="shared" si="384"/>
        <v>0</v>
      </c>
      <c r="AV696" s="1544">
        <f t="shared" si="412"/>
        <v>0</v>
      </c>
      <c r="AW696" s="1452">
        <f t="shared" si="385"/>
        <v>0</v>
      </c>
      <c r="AX696" s="1452">
        <f t="shared" si="386"/>
        <v>0</v>
      </c>
      <c r="AY696" s="1452">
        <f t="shared" si="387"/>
        <v>0</v>
      </c>
      <c r="AZ696" s="1452">
        <f t="shared" si="388"/>
        <v>0</v>
      </c>
      <c r="BA696" s="1452">
        <f t="shared" si="389"/>
        <v>0</v>
      </c>
      <c r="BB696" s="1452">
        <f t="shared" si="390"/>
        <v>0</v>
      </c>
      <c r="BC696" s="1452">
        <f t="shared" si="391"/>
        <v>0</v>
      </c>
      <c r="BD696" s="1452">
        <f t="shared" si="392"/>
        <v>0</v>
      </c>
      <c r="BE696" s="1452">
        <f t="shared" si="393"/>
        <v>0</v>
      </c>
      <c r="BF696" s="1452">
        <f t="shared" si="394"/>
        <v>0</v>
      </c>
      <c r="BG696" s="1452">
        <f t="shared" si="395"/>
        <v>0</v>
      </c>
      <c r="BH696" s="1452">
        <f t="shared" si="396"/>
        <v>0</v>
      </c>
      <c r="BI696" s="1452">
        <f t="shared" si="413"/>
        <v>0</v>
      </c>
      <c r="BJ696" s="1452" t="str">
        <f t="shared" si="397"/>
        <v/>
      </c>
      <c r="BK696" s="1452" t="str">
        <f t="shared" si="398"/>
        <v/>
      </c>
      <c r="BL696" s="1452" t="str">
        <f t="shared" si="399"/>
        <v/>
      </c>
      <c r="BM696" s="1452" t="str">
        <f t="shared" si="400"/>
        <v/>
      </c>
      <c r="BN696" s="1452" t="str">
        <f t="shared" ca="1" si="401"/>
        <v/>
      </c>
      <c r="BO696" s="1452" t="str">
        <f t="shared" si="414"/>
        <v/>
      </c>
      <c r="BP696" s="1452" t="str">
        <f t="shared" si="402"/>
        <v/>
      </c>
      <c r="BQ696" s="1452" t="str">
        <f t="shared" si="403"/>
        <v/>
      </c>
      <c r="BR696" s="1452" t="str">
        <f t="shared" si="404"/>
        <v/>
      </c>
      <c r="BS696" s="1452" t="str">
        <f t="shared" si="405"/>
        <v/>
      </c>
      <c r="BT696" s="1452" t="str">
        <f t="shared" si="406"/>
        <v/>
      </c>
      <c r="BU696" s="1452" t="str">
        <f t="shared" si="407"/>
        <v/>
      </c>
      <c r="BV696" s="1452" t="str">
        <f t="shared" si="408"/>
        <v/>
      </c>
      <c r="BW696" s="1558">
        <f t="shared" ca="1" si="415"/>
        <v>0</v>
      </c>
    </row>
    <row r="697" spans="1:75" s="9" customFormat="1" ht="12.5">
      <c r="A697" s="1483" t="str">
        <f t="shared" si="409"/>
        <v>Public Health Wales Trust</v>
      </c>
      <c r="B697" s="1583"/>
      <c r="C697" s="1583"/>
      <c r="D697" s="1583"/>
      <c r="E697" s="1585"/>
      <c r="F697" s="1436"/>
      <c r="G697" s="1547">
        <f t="shared" si="410"/>
        <v>0</v>
      </c>
      <c r="H697" s="1484"/>
      <c r="I697" s="1547">
        <f t="shared" si="411"/>
        <v>0</v>
      </c>
      <c r="J697" s="1485"/>
      <c r="K697" s="1485"/>
      <c r="L697" s="1436"/>
      <c r="M697" s="1439"/>
      <c r="N697" s="1439"/>
      <c r="O697" s="1485"/>
      <c r="P697" s="1486"/>
      <c r="Q697" s="1486"/>
      <c r="R697" s="1487"/>
      <c r="S697" s="1444"/>
      <c r="T697" s="1444"/>
      <c r="U697" s="1444"/>
      <c r="V697" s="1488"/>
      <c r="W697" s="1488"/>
      <c r="X697" s="1488"/>
      <c r="Y697" s="1488"/>
      <c r="Z697" s="1488"/>
      <c r="AA697" s="1488"/>
      <c r="AB697" s="1488"/>
      <c r="AC697" s="1488"/>
      <c r="AD697" s="1488"/>
      <c r="AE697" s="1488"/>
      <c r="AF697" s="1488"/>
      <c r="AG697" s="1488"/>
      <c r="AH697" s="1451">
        <f t="shared" si="383"/>
        <v>0</v>
      </c>
      <c r="AI697" s="1488"/>
      <c r="AJ697" s="1488"/>
      <c r="AK697" s="1488"/>
      <c r="AL697" s="1488"/>
      <c r="AM697" s="1488"/>
      <c r="AN697" s="1488"/>
      <c r="AO697" s="1488"/>
      <c r="AP697" s="1488"/>
      <c r="AQ697" s="1488"/>
      <c r="AR697" s="1488"/>
      <c r="AS697" s="1488"/>
      <c r="AT697" s="1542"/>
      <c r="AU697" s="1599">
        <f t="shared" si="384"/>
        <v>0</v>
      </c>
      <c r="AV697" s="1544">
        <f t="shared" si="412"/>
        <v>0</v>
      </c>
      <c r="AW697" s="1452">
        <f t="shared" si="385"/>
        <v>0</v>
      </c>
      <c r="AX697" s="1452">
        <f t="shared" si="386"/>
        <v>0</v>
      </c>
      <c r="AY697" s="1452">
        <f t="shared" si="387"/>
        <v>0</v>
      </c>
      <c r="AZ697" s="1452">
        <f t="shared" si="388"/>
        <v>0</v>
      </c>
      <c r="BA697" s="1452">
        <f t="shared" si="389"/>
        <v>0</v>
      </c>
      <c r="BB697" s="1452">
        <f t="shared" si="390"/>
        <v>0</v>
      </c>
      <c r="BC697" s="1452">
        <f t="shared" si="391"/>
        <v>0</v>
      </c>
      <c r="BD697" s="1452">
        <f t="shared" si="392"/>
        <v>0</v>
      </c>
      <c r="BE697" s="1452">
        <f t="shared" si="393"/>
        <v>0</v>
      </c>
      <c r="BF697" s="1452">
        <f t="shared" si="394"/>
        <v>0</v>
      </c>
      <c r="BG697" s="1452">
        <f t="shared" si="395"/>
        <v>0</v>
      </c>
      <c r="BH697" s="1452">
        <f t="shared" si="396"/>
        <v>0</v>
      </c>
      <c r="BI697" s="1452">
        <f t="shared" si="413"/>
        <v>0</v>
      </c>
      <c r="BJ697" s="1452" t="str">
        <f t="shared" si="397"/>
        <v/>
      </c>
      <c r="BK697" s="1452" t="str">
        <f t="shared" si="398"/>
        <v/>
      </c>
      <c r="BL697" s="1452" t="str">
        <f t="shared" si="399"/>
        <v/>
      </c>
      <c r="BM697" s="1452" t="str">
        <f t="shared" si="400"/>
        <v/>
      </c>
      <c r="BN697" s="1452" t="str">
        <f t="shared" ca="1" si="401"/>
        <v/>
      </c>
      <c r="BO697" s="1452" t="str">
        <f t="shared" si="414"/>
        <v/>
      </c>
      <c r="BP697" s="1452" t="str">
        <f t="shared" si="402"/>
        <v/>
      </c>
      <c r="BQ697" s="1452" t="str">
        <f t="shared" si="403"/>
        <v/>
      </c>
      <c r="BR697" s="1452" t="str">
        <f t="shared" si="404"/>
        <v/>
      </c>
      <c r="BS697" s="1452" t="str">
        <f t="shared" si="405"/>
        <v/>
      </c>
      <c r="BT697" s="1452" t="str">
        <f t="shared" si="406"/>
        <v/>
      </c>
      <c r="BU697" s="1452" t="str">
        <f t="shared" si="407"/>
        <v/>
      </c>
      <c r="BV697" s="1452" t="str">
        <f t="shared" si="408"/>
        <v/>
      </c>
      <c r="BW697" s="1558">
        <f t="shared" ca="1" si="415"/>
        <v>0</v>
      </c>
    </row>
    <row r="698" spans="1:75" s="9" customFormat="1" ht="12.5">
      <c r="A698" s="1483" t="str">
        <f t="shared" si="409"/>
        <v>Public Health Wales Trust</v>
      </c>
      <c r="B698" s="1583"/>
      <c r="C698" s="1583"/>
      <c r="D698" s="1583"/>
      <c r="E698" s="1585"/>
      <c r="F698" s="1436"/>
      <c r="G698" s="1547">
        <f t="shared" si="410"/>
        <v>0</v>
      </c>
      <c r="H698" s="1484"/>
      <c r="I698" s="1547">
        <f t="shared" si="411"/>
        <v>0</v>
      </c>
      <c r="J698" s="1485"/>
      <c r="K698" s="1485"/>
      <c r="L698" s="1436"/>
      <c r="M698" s="1439"/>
      <c r="N698" s="1439"/>
      <c r="O698" s="1485"/>
      <c r="P698" s="1486"/>
      <c r="Q698" s="1486"/>
      <c r="R698" s="1487"/>
      <c r="S698" s="1444"/>
      <c r="T698" s="1444"/>
      <c r="U698" s="1444"/>
      <c r="V698" s="1488"/>
      <c r="W698" s="1488"/>
      <c r="X698" s="1488"/>
      <c r="Y698" s="1488"/>
      <c r="Z698" s="1488"/>
      <c r="AA698" s="1488"/>
      <c r="AB698" s="1488"/>
      <c r="AC698" s="1488"/>
      <c r="AD698" s="1488"/>
      <c r="AE698" s="1488"/>
      <c r="AF698" s="1488"/>
      <c r="AG698" s="1488"/>
      <c r="AH698" s="1451">
        <f t="shared" si="383"/>
        <v>0</v>
      </c>
      <c r="AI698" s="1488"/>
      <c r="AJ698" s="1488"/>
      <c r="AK698" s="1488"/>
      <c r="AL698" s="1488"/>
      <c r="AM698" s="1488"/>
      <c r="AN698" s="1488"/>
      <c r="AO698" s="1488"/>
      <c r="AP698" s="1488"/>
      <c r="AQ698" s="1488"/>
      <c r="AR698" s="1488"/>
      <c r="AS698" s="1488"/>
      <c r="AT698" s="1542"/>
      <c r="AU698" s="1599">
        <f t="shared" si="384"/>
        <v>0</v>
      </c>
      <c r="AV698" s="1544">
        <f t="shared" si="412"/>
        <v>0</v>
      </c>
      <c r="AW698" s="1452">
        <f t="shared" si="385"/>
        <v>0</v>
      </c>
      <c r="AX698" s="1452">
        <f t="shared" si="386"/>
        <v>0</v>
      </c>
      <c r="AY698" s="1452">
        <f t="shared" si="387"/>
        <v>0</v>
      </c>
      <c r="AZ698" s="1452">
        <f t="shared" si="388"/>
        <v>0</v>
      </c>
      <c r="BA698" s="1452">
        <f t="shared" si="389"/>
        <v>0</v>
      </c>
      <c r="BB698" s="1452">
        <f t="shared" si="390"/>
        <v>0</v>
      </c>
      <c r="BC698" s="1452">
        <f t="shared" si="391"/>
        <v>0</v>
      </c>
      <c r="BD698" s="1452">
        <f t="shared" si="392"/>
        <v>0</v>
      </c>
      <c r="BE698" s="1452">
        <f t="shared" si="393"/>
        <v>0</v>
      </c>
      <c r="BF698" s="1452">
        <f t="shared" si="394"/>
        <v>0</v>
      </c>
      <c r="BG698" s="1452">
        <f t="shared" si="395"/>
        <v>0</v>
      </c>
      <c r="BH698" s="1452">
        <f t="shared" si="396"/>
        <v>0</v>
      </c>
      <c r="BI698" s="1452">
        <f t="shared" si="413"/>
        <v>0</v>
      </c>
      <c r="BJ698" s="1452" t="str">
        <f t="shared" si="397"/>
        <v/>
      </c>
      <c r="BK698" s="1452" t="str">
        <f t="shared" si="398"/>
        <v/>
      </c>
      <c r="BL698" s="1452" t="str">
        <f t="shared" si="399"/>
        <v/>
      </c>
      <c r="BM698" s="1452" t="str">
        <f t="shared" si="400"/>
        <v/>
      </c>
      <c r="BN698" s="1452" t="str">
        <f t="shared" ca="1" si="401"/>
        <v/>
      </c>
      <c r="BO698" s="1452" t="str">
        <f t="shared" si="414"/>
        <v/>
      </c>
      <c r="BP698" s="1452" t="str">
        <f t="shared" si="402"/>
        <v/>
      </c>
      <c r="BQ698" s="1452" t="str">
        <f t="shared" si="403"/>
        <v/>
      </c>
      <c r="BR698" s="1452" t="str">
        <f t="shared" si="404"/>
        <v/>
      </c>
      <c r="BS698" s="1452" t="str">
        <f t="shared" si="405"/>
        <v/>
      </c>
      <c r="BT698" s="1452" t="str">
        <f t="shared" si="406"/>
        <v/>
      </c>
      <c r="BU698" s="1452" t="str">
        <f t="shared" si="407"/>
        <v/>
      </c>
      <c r="BV698" s="1452" t="str">
        <f t="shared" si="408"/>
        <v/>
      </c>
      <c r="BW698" s="1558">
        <f t="shared" ca="1" si="415"/>
        <v>0</v>
      </c>
    </row>
    <row r="699" spans="1:75" s="9" customFormat="1" ht="12.5">
      <c r="A699" s="1483" t="str">
        <f t="shared" si="409"/>
        <v>Public Health Wales Trust</v>
      </c>
      <c r="B699" s="1583"/>
      <c r="C699" s="1583"/>
      <c r="D699" s="1583"/>
      <c r="E699" s="1585"/>
      <c r="F699" s="1436"/>
      <c r="G699" s="1547">
        <f t="shared" si="410"/>
        <v>0</v>
      </c>
      <c r="H699" s="1484"/>
      <c r="I699" s="1547">
        <f t="shared" si="411"/>
        <v>0</v>
      </c>
      <c r="J699" s="1485"/>
      <c r="K699" s="1485"/>
      <c r="L699" s="1436"/>
      <c r="M699" s="1439"/>
      <c r="N699" s="1439"/>
      <c r="O699" s="1485"/>
      <c r="P699" s="1486"/>
      <c r="Q699" s="1486"/>
      <c r="R699" s="1487"/>
      <c r="S699" s="1444"/>
      <c r="T699" s="1444"/>
      <c r="U699" s="1444"/>
      <c r="V699" s="1488"/>
      <c r="W699" s="1488"/>
      <c r="X699" s="1488"/>
      <c r="Y699" s="1488"/>
      <c r="Z699" s="1488"/>
      <c r="AA699" s="1488"/>
      <c r="AB699" s="1488"/>
      <c r="AC699" s="1488"/>
      <c r="AD699" s="1488"/>
      <c r="AE699" s="1488"/>
      <c r="AF699" s="1488"/>
      <c r="AG699" s="1488"/>
      <c r="AH699" s="1451">
        <f t="shared" si="383"/>
        <v>0</v>
      </c>
      <c r="AI699" s="1488"/>
      <c r="AJ699" s="1488"/>
      <c r="AK699" s="1488"/>
      <c r="AL699" s="1488"/>
      <c r="AM699" s="1488"/>
      <c r="AN699" s="1488"/>
      <c r="AO699" s="1488"/>
      <c r="AP699" s="1488"/>
      <c r="AQ699" s="1488"/>
      <c r="AR699" s="1488"/>
      <c r="AS699" s="1488"/>
      <c r="AT699" s="1542"/>
      <c r="AU699" s="1599">
        <f t="shared" si="384"/>
        <v>0</v>
      </c>
      <c r="AV699" s="1544">
        <f t="shared" si="412"/>
        <v>0</v>
      </c>
      <c r="AW699" s="1452">
        <f t="shared" si="385"/>
        <v>0</v>
      </c>
      <c r="AX699" s="1452">
        <f t="shared" si="386"/>
        <v>0</v>
      </c>
      <c r="AY699" s="1452">
        <f t="shared" si="387"/>
        <v>0</v>
      </c>
      <c r="AZ699" s="1452">
        <f t="shared" si="388"/>
        <v>0</v>
      </c>
      <c r="BA699" s="1452">
        <f t="shared" si="389"/>
        <v>0</v>
      </c>
      <c r="BB699" s="1452">
        <f t="shared" si="390"/>
        <v>0</v>
      </c>
      <c r="BC699" s="1452">
        <f t="shared" si="391"/>
        <v>0</v>
      </c>
      <c r="BD699" s="1452">
        <f t="shared" si="392"/>
        <v>0</v>
      </c>
      <c r="BE699" s="1452">
        <f t="shared" si="393"/>
        <v>0</v>
      </c>
      <c r="BF699" s="1452">
        <f t="shared" si="394"/>
        <v>0</v>
      </c>
      <c r="BG699" s="1452">
        <f t="shared" si="395"/>
        <v>0</v>
      </c>
      <c r="BH699" s="1452">
        <f t="shared" si="396"/>
        <v>0</v>
      </c>
      <c r="BI699" s="1452">
        <f t="shared" si="413"/>
        <v>0</v>
      </c>
      <c r="BJ699" s="1452" t="str">
        <f t="shared" si="397"/>
        <v/>
      </c>
      <c r="BK699" s="1452" t="str">
        <f t="shared" si="398"/>
        <v/>
      </c>
      <c r="BL699" s="1452" t="str">
        <f t="shared" si="399"/>
        <v/>
      </c>
      <c r="BM699" s="1452" t="str">
        <f t="shared" si="400"/>
        <v/>
      </c>
      <c r="BN699" s="1452" t="str">
        <f t="shared" ca="1" si="401"/>
        <v/>
      </c>
      <c r="BO699" s="1452" t="str">
        <f t="shared" si="414"/>
        <v/>
      </c>
      <c r="BP699" s="1452" t="str">
        <f t="shared" si="402"/>
        <v/>
      </c>
      <c r="BQ699" s="1452" t="str">
        <f t="shared" si="403"/>
        <v/>
      </c>
      <c r="BR699" s="1452" t="str">
        <f t="shared" si="404"/>
        <v/>
      </c>
      <c r="BS699" s="1452" t="str">
        <f t="shared" si="405"/>
        <v/>
      </c>
      <c r="BT699" s="1452" t="str">
        <f t="shared" si="406"/>
        <v/>
      </c>
      <c r="BU699" s="1452" t="str">
        <f t="shared" si="407"/>
        <v/>
      </c>
      <c r="BV699" s="1452" t="str">
        <f t="shared" si="408"/>
        <v/>
      </c>
      <c r="BW699" s="1558">
        <f t="shared" ca="1" si="415"/>
        <v>0</v>
      </c>
    </row>
    <row r="700" spans="1:75" s="9" customFormat="1" ht="12.5">
      <c r="A700" s="1483" t="str">
        <f t="shared" si="409"/>
        <v>Public Health Wales Trust</v>
      </c>
      <c r="B700" s="1583"/>
      <c r="C700" s="1583"/>
      <c r="D700" s="1583"/>
      <c r="E700" s="1585"/>
      <c r="F700" s="1436"/>
      <c r="G700" s="1547">
        <f t="shared" si="410"/>
        <v>0</v>
      </c>
      <c r="H700" s="1484"/>
      <c r="I700" s="1547">
        <f t="shared" si="411"/>
        <v>0</v>
      </c>
      <c r="J700" s="1485"/>
      <c r="K700" s="1485"/>
      <c r="L700" s="1436"/>
      <c r="M700" s="1439"/>
      <c r="N700" s="1439"/>
      <c r="O700" s="1485"/>
      <c r="P700" s="1486"/>
      <c r="Q700" s="1486"/>
      <c r="R700" s="1487"/>
      <c r="S700" s="1444"/>
      <c r="T700" s="1444"/>
      <c r="U700" s="1444"/>
      <c r="V700" s="1488"/>
      <c r="W700" s="1488"/>
      <c r="X700" s="1488"/>
      <c r="Y700" s="1488"/>
      <c r="Z700" s="1488"/>
      <c r="AA700" s="1488"/>
      <c r="AB700" s="1488"/>
      <c r="AC700" s="1488"/>
      <c r="AD700" s="1488"/>
      <c r="AE700" s="1488"/>
      <c r="AF700" s="1488"/>
      <c r="AG700" s="1488"/>
      <c r="AH700" s="1451">
        <f t="shared" si="383"/>
        <v>0</v>
      </c>
      <c r="AI700" s="1488"/>
      <c r="AJ700" s="1488"/>
      <c r="AK700" s="1488"/>
      <c r="AL700" s="1488"/>
      <c r="AM700" s="1488"/>
      <c r="AN700" s="1488"/>
      <c r="AO700" s="1488"/>
      <c r="AP700" s="1488"/>
      <c r="AQ700" s="1488"/>
      <c r="AR700" s="1488"/>
      <c r="AS700" s="1488"/>
      <c r="AT700" s="1542"/>
      <c r="AU700" s="1599">
        <f t="shared" si="384"/>
        <v>0</v>
      </c>
      <c r="AV700" s="1544">
        <f t="shared" si="412"/>
        <v>0</v>
      </c>
      <c r="AW700" s="1452">
        <f t="shared" si="385"/>
        <v>0</v>
      </c>
      <c r="AX700" s="1452">
        <f t="shared" si="386"/>
        <v>0</v>
      </c>
      <c r="AY700" s="1452">
        <f t="shared" si="387"/>
        <v>0</v>
      </c>
      <c r="AZ700" s="1452">
        <f t="shared" si="388"/>
        <v>0</v>
      </c>
      <c r="BA700" s="1452">
        <f t="shared" si="389"/>
        <v>0</v>
      </c>
      <c r="BB700" s="1452">
        <f t="shared" si="390"/>
        <v>0</v>
      </c>
      <c r="BC700" s="1452">
        <f t="shared" si="391"/>
        <v>0</v>
      </c>
      <c r="BD700" s="1452">
        <f t="shared" si="392"/>
        <v>0</v>
      </c>
      <c r="BE700" s="1452">
        <f t="shared" si="393"/>
        <v>0</v>
      </c>
      <c r="BF700" s="1452">
        <f t="shared" si="394"/>
        <v>0</v>
      </c>
      <c r="BG700" s="1452">
        <f t="shared" si="395"/>
        <v>0</v>
      </c>
      <c r="BH700" s="1452">
        <f t="shared" si="396"/>
        <v>0</v>
      </c>
      <c r="BI700" s="1452">
        <f t="shared" si="413"/>
        <v>0</v>
      </c>
      <c r="BJ700" s="1452" t="str">
        <f t="shared" si="397"/>
        <v/>
      </c>
      <c r="BK700" s="1452" t="str">
        <f t="shared" si="398"/>
        <v/>
      </c>
      <c r="BL700" s="1452" t="str">
        <f t="shared" si="399"/>
        <v/>
      </c>
      <c r="BM700" s="1452" t="str">
        <f t="shared" si="400"/>
        <v/>
      </c>
      <c r="BN700" s="1452" t="str">
        <f t="shared" ca="1" si="401"/>
        <v/>
      </c>
      <c r="BO700" s="1452" t="str">
        <f t="shared" si="414"/>
        <v/>
      </c>
      <c r="BP700" s="1452" t="str">
        <f t="shared" si="402"/>
        <v/>
      </c>
      <c r="BQ700" s="1452" t="str">
        <f t="shared" si="403"/>
        <v/>
      </c>
      <c r="BR700" s="1452" t="str">
        <f t="shared" si="404"/>
        <v/>
      </c>
      <c r="BS700" s="1452" t="str">
        <f t="shared" si="405"/>
        <v/>
      </c>
      <c r="BT700" s="1452" t="str">
        <f t="shared" si="406"/>
        <v/>
      </c>
      <c r="BU700" s="1452" t="str">
        <f t="shared" si="407"/>
        <v/>
      </c>
      <c r="BV700" s="1452" t="str">
        <f t="shared" si="408"/>
        <v/>
      </c>
      <c r="BW700" s="1558">
        <f t="shared" ca="1" si="415"/>
        <v>0</v>
      </c>
    </row>
    <row r="701" spans="1:75" s="9" customFormat="1" ht="12.5">
      <c r="A701" s="1483" t="str">
        <f t="shared" si="409"/>
        <v>Public Health Wales Trust</v>
      </c>
      <c r="B701" s="1583"/>
      <c r="C701" s="1583"/>
      <c r="D701" s="1583"/>
      <c r="E701" s="1585"/>
      <c r="F701" s="1436"/>
      <c r="G701" s="1547">
        <f t="shared" si="410"/>
        <v>0</v>
      </c>
      <c r="H701" s="1484"/>
      <c r="I701" s="1547">
        <f t="shared" si="411"/>
        <v>0</v>
      </c>
      <c r="J701" s="1485"/>
      <c r="K701" s="1485"/>
      <c r="L701" s="1436"/>
      <c r="M701" s="1439"/>
      <c r="N701" s="1439"/>
      <c r="O701" s="1485"/>
      <c r="P701" s="1486"/>
      <c r="Q701" s="1486"/>
      <c r="R701" s="1487"/>
      <c r="S701" s="1444"/>
      <c r="T701" s="1444"/>
      <c r="U701" s="1444"/>
      <c r="V701" s="1488"/>
      <c r="W701" s="1488"/>
      <c r="X701" s="1488"/>
      <c r="Y701" s="1488"/>
      <c r="Z701" s="1488"/>
      <c r="AA701" s="1488"/>
      <c r="AB701" s="1488"/>
      <c r="AC701" s="1488"/>
      <c r="AD701" s="1488"/>
      <c r="AE701" s="1488"/>
      <c r="AF701" s="1488"/>
      <c r="AG701" s="1488"/>
      <c r="AH701" s="1451">
        <f t="shared" si="383"/>
        <v>0</v>
      </c>
      <c r="AI701" s="1488"/>
      <c r="AJ701" s="1488"/>
      <c r="AK701" s="1488"/>
      <c r="AL701" s="1488"/>
      <c r="AM701" s="1488"/>
      <c r="AN701" s="1488"/>
      <c r="AO701" s="1488"/>
      <c r="AP701" s="1488"/>
      <c r="AQ701" s="1488"/>
      <c r="AR701" s="1488"/>
      <c r="AS701" s="1488"/>
      <c r="AT701" s="1542"/>
      <c r="AU701" s="1599">
        <f t="shared" si="384"/>
        <v>0</v>
      </c>
      <c r="AV701" s="1544">
        <f t="shared" si="412"/>
        <v>0</v>
      </c>
      <c r="AW701" s="1452">
        <f t="shared" si="385"/>
        <v>0</v>
      </c>
      <c r="AX701" s="1452">
        <f t="shared" si="386"/>
        <v>0</v>
      </c>
      <c r="AY701" s="1452">
        <f t="shared" si="387"/>
        <v>0</v>
      </c>
      <c r="AZ701" s="1452">
        <f t="shared" si="388"/>
        <v>0</v>
      </c>
      <c r="BA701" s="1452">
        <f t="shared" si="389"/>
        <v>0</v>
      </c>
      <c r="BB701" s="1452">
        <f t="shared" si="390"/>
        <v>0</v>
      </c>
      <c r="BC701" s="1452">
        <f t="shared" si="391"/>
        <v>0</v>
      </c>
      <c r="BD701" s="1452">
        <f t="shared" si="392"/>
        <v>0</v>
      </c>
      <c r="BE701" s="1452">
        <f t="shared" si="393"/>
        <v>0</v>
      </c>
      <c r="BF701" s="1452">
        <f t="shared" si="394"/>
        <v>0</v>
      </c>
      <c r="BG701" s="1452">
        <f t="shared" si="395"/>
        <v>0</v>
      </c>
      <c r="BH701" s="1452">
        <f t="shared" si="396"/>
        <v>0</v>
      </c>
      <c r="BI701" s="1452">
        <f t="shared" si="413"/>
        <v>0</v>
      </c>
      <c r="BJ701" s="1452" t="str">
        <f t="shared" si="397"/>
        <v/>
      </c>
      <c r="BK701" s="1452" t="str">
        <f t="shared" si="398"/>
        <v/>
      </c>
      <c r="BL701" s="1452" t="str">
        <f t="shared" si="399"/>
        <v/>
      </c>
      <c r="BM701" s="1452" t="str">
        <f t="shared" si="400"/>
        <v/>
      </c>
      <c r="BN701" s="1452" t="str">
        <f t="shared" ca="1" si="401"/>
        <v/>
      </c>
      <c r="BO701" s="1452" t="str">
        <f t="shared" si="414"/>
        <v/>
      </c>
      <c r="BP701" s="1452" t="str">
        <f t="shared" si="402"/>
        <v/>
      </c>
      <c r="BQ701" s="1452" t="str">
        <f t="shared" si="403"/>
        <v/>
      </c>
      <c r="BR701" s="1452" t="str">
        <f t="shared" si="404"/>
        <v/>
      </c>
      <c r="BS701" s="1452" t="str">
        <f t="shared" si="405"/>
        <v/>
      </c>
      <c r="BT701" s="1452" t="str">
        <f t="shared" si="406"/>
        <v/>
      </c>
      <c r="BU701" s="1452" t="str">
        <f t="shared" si="407"/>
        <v/>
      </c>
      <c r="BV701" s="1452" t="str">
        <f t="shared" si="408"/>
        <v/>
      </c>
      <c r="BW701" s="1558">
        <f t="shared" ca="1" si="415"/>
        <v>0</v>
      </c>
    </row>
    <row r="702" spans="1:75" s="9" customFormat="1" ht="12.5">
      <c r="A702" s="1483" t="str">
        <f t="shared" si="409"/>
        <v>Public Health Wales Trust</v>
      </c>
      <c r="B702" s="1583"/>
      <c r="C702" s="1583"/>
      <c r="D702" s="1583"/>
      <c r="E702" s="1585"/>
      <c r="F702" s="1436"/>
      <c r="G702" s="1547">
        <f t="shared" si="410"/>
        <v>0</v>
      </c>
      <c r="H702" s="1484"/>
      <c r="I702" s="1547">
        <f t="shared" si="411"/>
        <v>0</v>
      </c>
      <c r="J702" s="1485"/>
      <c r="K702" s="1485"/>
      <c r="L702" s="1436"/>
      <c r="M702" s="1439"/>
      <c r="N702" s="1439"/>
      <c r="O702" s="1485"/>
      <c r="P702" s="1486"/>
      <c r="Q702" s="1486"/>
      <c r="R702" s="1487"/>
      <c r="S702" s="1444"/>
      <c r="T702" s="1444"/>
      <c r="U702" s="1444"/>
      <c r="V702" s="1488"/>
      <c r="W702" s="1488"/>
      <c r="X702" s="1488"/>
      <c r="Y702" s="1488"/>
      <c r="Z702" s="1488"/>
      <c r="AA702" s="1488"/>
      <c r="AB702" s="1488"/>
      <c r="AC702" s="1488"/>
      <c r="AD702" s="1488"/>
      <c r="AE702" s="1488"/>
      <c r="AF702" s="1488"/>
      <c r="AG702" s="1488"/>
      <c r="AH702" s="1451">
        <f t="shared" si="383"/>
        <v>0</v>
      </c>
      <c r="AI702" s="1488"/>
      <c r="AJ702" s="1488"/>
      <c r="AK702" s="1488"/>
      <c r="AL702" s="1488"/>
      <c r="AM702" s="1488"/>
      <c r="AN702" s="1488"/>
      <c r="AO702" s="1488"/>
      <c r="AP702" s="1488"/>
      <c r="AQ702" s="1488"/>
      <c r="AR702" s="1488"/>
      <c r="AS702" s="1488"/>
      <c r="AT702" s="1542"/>
      <c r="AU702" s="1599">
        <f t="shared" si="384"/>
        <v>0</v>
      </c>
      <c r="AV702" s="1544">
        <f t="shared" si="412"/>
        <v>0</v>
      </c>
      <c r="AW702" s="1452">
        <f t="shared" si="385"/>
        <v>0</v>
      </c>
      <c r="AX702" s="1452">
        <f t="shared" si="386"/>
        <v>0</v>
      </c>
      <c r="AY702" s="1452">
        <f t="shared" si="387"/>
        <v>0</v>
      </c>
      <c r="AZ702" s="1452">
        <f t="shared" si="388"/>
        <v>0</v>
      </c>
      <c r="BA702" s="1452">
        <f t="shared" si="389"/>
        <v>0</v>
      </c>
      <c r="BB702" s="1452">
        <f t="shared" si="390"/>
        <v>0</v>
      </c>
      <c r="BC702" s="1452">
        <f t="shared" si="391"/>
        <v>0</v>
      </c>
      <c r="BD702" s="1452">
        <f t="shared" si="392"/>
        <v>0</v>
      </c>
      <c r="BE702" s="1452">
        <f t="shared" si="393"/>
        <v>0</v>
      </c>
      <c r="BF702" s="1452">
        <f t="shared" si="394"/>
        <v>0</v>
      </c>
      <c r="BG702" s="1452">
        <f t="shared" si="395"/>
        <v>0</v>
      </c>
      <c r="BH702" s="1452">
        <f t="shared" si="396"/>
        <v>0</v>
      </c>
      <c r="BI702" s="1452">
        <f t="shared" si="413"/>
        <v>0</v>
      </c>
      <c r="BJ702" s="1452" t="str">
        <f t="shared" si="397"/>
        <v/>
      </c>
      <c r="BK702" s="1452" t="str">
        <f t="shared" si="398"/>
        <v/>
      </c>
      <c r="BL702" s="1452" t="str">
        <f t="shared" si="399"/>
        <v/>
      </c>
      <c r="BM702" s="1452" t="str">
        <f t="shared" si="400"/>
        <v/>
      </c>
      <c r="BN702" s="1452" t="str">
        <f t="shared" ca="1" si="401"/>
        <v/>
      </c>
      <c r="BO702" s="1452" t="str">
        <f t="shared" si="414"/>
        <v/>
      </c>
      <c r="BP702" s="1452" t="str">
        <f t="shared" si="402"/>
        <v/>
      </c>
      <c r="BQ702" s="1452" t="str">
        <f t="shared" si="403"/>
        <v/>
      </c>
      <c r="BR702" s="1452" t="str">
        <f t="shared" si="404"/>
        <v/>
      </c>
      <c r="BS702" s="1452" t="str">
        <f t="shared" si="405"/>
        <v/>
      </c>
      <c r="BT702" s="1452" t="str">
        <f t="shared" si="406"/>
        <v/>
      </c>
      <c r="BU702" s="1452" t="str">
        <f t="shared" si="407"/>
        <v/>
      </c>
      <c r="BV702" s="1452" t="str">
        <f t="shared" si="408"/>
        <v/>
      </c>
      <c r="BW702" s="1558">
        <f t="shared" ca="1" si="415"/>
        <v>0</v>
      </c>
    </row>
    <row r="703" spans="1:75" s="9" customFormat="1" ht="12.5">
      <c r="A703" s="1483" t="str">
        <f t="shared" si="409"/>
        <v>Public Health Wales Trust</v>
      </c>
      <c r="B703" s="1583"/>
      <c r="C703" s="1583"/>
      <c r="D703" s="1583"/>
      <c r="E703" s="1585"/>
      <c r="F703" s="1436"/>
      <c r="G703" s="1547">
        <f t="shared" si="410"/>
        <v>0</v>
      </c>
      <c r="H703" s="1484"/>
      <c r="I703" s="1547">
        <f t="shared" si="411"/>
        <v>0</v>
      </c>
      <c r="J703" s="1485"/>
      <c r="K703" s="1485"/>
      <c r="L703" s="1436"/>
      <c r="M703" s="1439"/>
      <c r="N703" s="1439"/>
      <c r="O703" s="1485"/>
      <c r="P703" s="1486"/>
      <c r="Q703" s="1486"/>
      <c r="R703" s="1487"/>
      <c r="S703" s="1444"/>
      <c r="T703" s="1444"/>
      <c r="U703" s="1444"/>
      <c r="V703" s="1488"/>
      <c r="W703" s="1488"/>
      <c r="X703" s="1488"/>
      <c r="Y703" s="1488"/>
      <c r="Z703" s="1488"/>
      <c r="AA703" s="1488"/>
      <c r="AB703" s="1488"/>
      <c r="AC703" s="1488"/>
      <c r="AD703" s="1488"/>
      <c r="AE703" s="1488"/>
      <c r="AF703" s="1488"/>
      <c r="AG703" s="1488"/>
      <c r="AH703" s="1451">
        <f t="shared" si="383"/>
        <v>0</v>
      </c>
      <c r="AI703" s="1488"/>
      <c r="AJ703" s="1488"/>
      <c r="AK703" s="1488"/>
      <c r="AL703" s="1488"/>
      <c r="AM703" s="1488"/>
      <c r="AN703" s="1488"/>
      <c r="AO703" s="1488"/>
      <c r="AP703" s="1488"/>
      <c r="AQ703" s="1488"/>
      <c r="AR703" s="1488"/>
      <c r="AS703" s="1488"/>
      <c r="AT703" s="1542"/>
      <c r="AU703" s="1599">
        <f t="shared" si="384"/>
        <v>0</v>
      </c>
      <c r="AV703" s="1544">
        <f t="shared" si="412"/>
        <v>0</v>
      </c>
      <c r="AW703" s="1452">
        <f t="shared" si="385"/>
        <v>0</v>
      </c>
      <c r="AX703" s="1452">
        <f t="shared" si="386"/>
        <v>0</v>
      </c>
      <c r="AY703" s="1452">
        <f t="shared" si="387"/>
        <v>0</v>
      </c>
      <c r="AZ703" s="1452">
        <f t="shared" si="388"/>
        <v>0</v>
      </c>
      <c r="BA703" s="1452">
        <f t="shared" si="389"/>
        <v>0</v>
      </c>
      <c r="BB703" s="1452">
        <f t="shared" si="390"/>
        <v>0</v>
      </c>
      <c r="BC703" s="1452">
        <f t="shared" si="391"/>
        <v>0</v>
      </c>
      <c r="BD703" s="1452">
        <f t="shared" si="392"/>
        <v>0</v>
      </c>
      <c r="BE703" s="1452">
        <f t="shared" si="393"/>
        <v>0</v>
      </c>
      <c r="BF703" s="1452">
        <f t="shared" si="394"/>
        <v>0</v>
      </c>
      <c r="BG703" s="1452">
        <f t="shared" si="395"/>
        <v>0</v>
      </c>
      <c r="BH703" s="1452">
        <f t="shared" si="396"/>
        <v>0</v>
      </c>
      <c r="BI703" s="1452">
        <f t="shared" si="413"/>
        <v>0</v>
      </c>
      <c r="BJ703" s="1452" t="str">
        <f t="shared" si="397"/>
        <v/>
      </c>
      <c r="BK703" s="1452" t="str">
        <f t="shared" si="398"/>
        <v/>
      </c>
      <c r="BL703" s="1452" t="str">
        <f t="shared" si="399"/>
        <v/>
      </c>
      <c r="BM703" s="1452" t="str">
        <f t="shared" si="400"/>
        <v/>
      </c>
      <c r="BN703" s="1452" t="str">
        <f t="shared" ca="1" si="401"/>
        <v/>
      </c>
      <c r="BO703" s="1452" t="str">
        <f t="shared" si="414"/>
        <v/>
      </c>
      <c r="BP703" s="1452" t="str">
        <f t="shared" si="402"/>
        <v/>
      </c>
      <c r="BQ703" s="1452" t="str">
        <f t="shared" si="403"/>
        <v/>
      </c>
      <c r="BR703" s="1452" t="str">
        <f t="shared" si="404"/>
        <v/>
      </c>
      <c r="BS703" s="1452" t="str">
        <f t="shared" si="405"/>
        <v/>
      </c>
      <c r="BT703" s="1452" t="str">
        <f t="shared" si="406"/>
        <v/>
      </c>
      <c r="BU703" s="1452" t="str">
        <f t="shared" si="407"/>
        <v/>
      </c>
      <c r="BV703" s="1452" t="str">
        <f t="shared" si="408"/>
        <v/>
      </c>
      <c r="BW703" s="1558">
        <f t="shared" ca="1" si="415"/>
        <v>0</v>
      </c>
    </row>
    <row r="704" spans="1:75" s="9" customFormat="1" ht="12.5">
      <c r="A704" s="1483" t="str">
        <f t="shared" si="409"/>
        <v>Public Health Wales Trust</v>
      </c>
      <c r="B704" s="1583"/>
      <c r="C704" s="1583"/>
      <c r="D704" s="1583"/>
      <c r="E704" s="1585"/>
      <c r="F704" s="1436"/>
      <c r="G704" s="1547">
        <f t="shared" si="410"/>
        <v>0</v>
      </c>
      <c r="H704" s="1484"/>
      <c r="I704" s="1547">
        <f t="shared" si="411"/>
        <v>0</v>
      </c>
      <c r="J704" s="1485"/>
      <c r="K704" s="1485"/>
      <c r="L704" s="1436"/>
      <c r="M704" s="1439"/>
      <c r="N704" s="1439"/>
      <c r="O704" s="1485"/>
      <c r="P704" s="1486"/>
      <c r="Q704" s="1486"/>
      <c r="R704" s="1487"/>
      <c r="S704" s="1444"/>
      <c r="T704" s="1444"/>
      <c r="U704" s="1444"/>
      <c r="V704" s="1488"/>
      <c r="W704" s="1488"/>
      <c r="X704" s="1488"/>
      <c r="Y704" s="1488"/>
      <c r="Z704" s="1488"/>
      <c r="AA704" s="1488"/>
      <c r="AB704" s="1488"/>
      <c r="AC704" s="1488"/>
      <c r="AD704" s="1488"/>
      <c r="AE704" s="1488"/>
      <c r="AF704" s="1488"/>
      <c r="AG704" s="1488"/>
      <c r="AH704" s="1451">
        <f t="shared" si="383"/>
        <v>0</v>
      </c>
      <c r="AI704" s="1488"/>
      <c r="AJ704" s="1488"/>
      <c r="AK704" s="1488"/>
      <c r="AL704" s="1488"/>
      <c r="AM704" s="1488"/>
      <c r="AN704" s="1488"/>
      <c r="AO704" s="1488"/>
      <c r="AP704" s="1488"/>
      <c r="AQ704" s="1488"/>
      <c r="AR704" s="1488"/>
      <c r="AS704" s="1488"/>
      <c r="AT704" s="1542"/>
      <c r="AU704" s="1599">
        <f t="shared" si="384"/>
        <v>0</v>
      </c>
      <c r="AV704" s="1544">
        <f t="shared" si="412"/>
        <v>0</v>
      </c>
      <c r="AW704" s="1452">
        <f t="shared" si="385"/>
        <v>0</v>
      </c>
      <c r="AX704" s="1452">
        <f t="shared" si="386"/>
        <v>0</v>
      </c>
      <c r="AY704" s="1452">
        <f t="shared" si="387"/>
        <v>0</v>
      </c>
      <c r="AZ704" s="1452">
        <f t="shared" si="388"/>
        <v>0</v>
      </c>
      <c r="BA704" s="1452">
        <f t="shared" si="389"/>
        <v>0</v>
      </c>
      <c r="BB704" s="1452">
        <f t="shared" si="390"/>
        <v>0</v>
      </c>
      <c r="BC704" s="1452">
        <f t="shared" si="391"/>
        <v>0</v>
      </c>
      <c r="BD704" s="1452">
        <f t="shared" si="392"/>
        <v>0</v>
      </c>
      <c r="BE704" s="1452">
        <f t="shared" si="393"/>
        <v>0</v>
      </c>
      <c r="BF704" s="1452">
        <f t="shared" si="394"/>
        <v>0</v>
      </c>
      <c r="BG704" s="1452">
        <f t="shared" si="395"/>
        <v>0</v>
      </c>
      <c r="BH704" s="1452">
        <f t="shared" si="396"/>
        <v>0</v>
      </c>
      <c r="BI704" s="1452">
        <f t="shared" si="413"/>
        <v>0</v>
      </c>
      <c r="BJ704" s="1452" t="str">
        <f t="shared" si="397"/>
        <v/>
      </c>
      <c r="BK704" s="1452" t="str">
        <f t="shared" si="398"/>
        <v/>
      </c>
      <c r="BL704" s="1452" t="str">
        <f t="shared" si="399"/>
        <v/>
      </c>
      <c r="BM704" s="1452" t="str">
        <f t="shared" si="400"/>
        <v/>
      </c>
      <c r="BN704" s="1452" t="str">
        <f t="shared" ca="1" si="401"/>
        <v/>
      </c>
      <c r="BO704" s="1452" t="str">
        <f t="shared" si="414"/>
        <v/>
      </c>
      <c r="BP704" s="1452" t="str">
        <f t="shared" si="402"/>
        <v/>
      </c>
      <c r="BQ704" s="1452" t="str">
        <f t="shared" si="403"/>
        <v/>
      </c>
      <c r="BR704" s="1452" t="str">
        <f t="shared" si="404"/>
        <v/>
      </c>
      <c r="BS704" s="1452" t="str">
        <f t="shared" si="405"/>
        <v/>
      </c>
      <c r="BT704" s="1452" t="str">
        <f t="shared" si="406"/>
        <v/>
      </c>
      <c r="BU704" s="1452" t="str">
        <f t="shared" si="407"/>
        <v/>
      </c>
      <c r="BV704" s="1452" t="str">
        <f t="shared" si="408"/>
        <v/>
      </c>
      <c r="BW704" s="1558">
        <f t="shared" ca="1" si="415"/>
        <v>0</v>
      </c>
    </row>
    <row r="705" spans="1:75" s="9" customFormat="1" ht="12.5">
      <c r="A705" s="1483" t="str">
        <f t="shared" si="409"/>
        <v>Public Health Wales Trust</v>
      </c>
      <c r="B705" s="1583"/>
      <c r="C705" s="1583"/>
      <c r="D705" s="1583"/>
      <c r="E705" s="1585"/>
      <c r="F705" s="1436"/>
      <c r="G705" s="1547">
        <f t="shared" si="410"/>
        <v>0</v>
      </c>
      <c r="H705" s="1484"/>
      <c r="I705" s="1547">
        <f t="shared" si="411"/>
        <v>0</v>
      </c>
      <c r="J705" s="1485"/>
      <c r="K705" s="1485"/>
      <c r="L705" s="1436"/>
      <c r="M705" s="1439"/>
      <c r="N705" s="1439"/>
      <c r="O705" s="1485"/>
      <c r="P705" s="1486"/>
      <c r="Q705" s="1486"/>
      <c r="R705" s="1487"/>
      <c r="S705" s="1444"/>
      <c r="T705" s="1444"/>
      <c r="U705" s="1444"/>
      <c r="V705" s="1488"/>
      <c r="W705" s="1488"/>
      <c r="X705" s="1488"/>
      <c r="Y705" s="1488"/>
      <c r="Z705" s="1488"/>
      <c r="AA705" s="1488"/>
      <c r="AB705" s="1488"/>
      <c r="AC705" s="1488"/>
      <c r="AD705" s="1488"/>
      <c r="AE705" s="1488"/>
      <c r="AF705" s="1488"/>
      <c r="AG705" s="1488"/>
      <c r="AH705" s="1451">
        <f t="shared" si="383"/>
        <v>0</v>
      </c>
      <c r="AI705" s="1488"/>
      <c r="AJ705" s="1488"/>
      <c r="AK705" s="1488"/>
      <c r="AL705" s="1488"/>
      <c r="AM705" s="1488"/>
      <c r="AN705" s="1488"/>
      <c r="AO705" s="1488"/>
      <c r="AP705" s="1488"/>
      <c r="AQ705" s="1488"/>
      <c r="AR705" s="1488"/>
      <c r="AS705" s="1488"/>
      <c r="AT705" s="1542"/>
      <c r="AU705" s="1599">
        <f t="shared" si="384"/>
        <v>0</v>
      </c>
      <c r="AV705" s="1544">
        <f t="shared" si="412"/>
        <v>0</v>
      </c>
      <c r="AW705" s="1452">
        <f t="shared" si="385"/>
        <v>0</v>
      </c>
      <c r="AX705" s="1452">
        <f t="shared" si="386"/>
        <v>0</v>
      </c>
      <c r="AY705" s="1452">
        <f t="shared" si="387"/>
        <v>0</v>
      </c>
      <c r="AZ705" s="1452">
        <f t="shared" si="388"/>
        <v>0</v>
      </c>
      <c r="BA705" s="1452">
        <f t="shared" si="389"/>
        <v>0</v>
      </c>
      <c r="BB705" s="1452">
        <f t="shared" si="390"/>
        <v>0</v>
      </c>
      <c r="BC705" s="1452">
        <f t="shared" si="391"/>
        <v>0</v>
      </c>
      <c r="BD705" s="1452">
        <f t="shared" si="392"/>
        <v>0</v>
      </c>
      <c r="BE705" s="1452">
        <f t="shared" si="393"/>
        <v>0</v>
      </c>
      <c r="BF705" s="1452">
        <f t="shared" si="394"/>
        <v>0</v>
      </c>
      <c r="BG705" s="1452">
        <f t="shared" si="395"/>
        <v>0</v>
      </c>
      <c r="BH705" s="1452">
        <f t="shared" si="396"/>
        <v>0</v>
      </c>
      <c r="BI705" s="1452">
        <f t="shared" si="413"/>
        <v>0</v>
      </c>
      <c r="BJ705" s="1452" t="str">
        <f t="shared" si="397"/>
        <v/>
      </c>
      <c r="BK705" s="1452" t="str">
        <f t="shared" si="398"/>
        <v/>
      </c>
      <c r="BL705" s="1452" t="str">
        <f t="shared" si="399"/>
        <v/>
      </c>
      <c r="BM705" s="1452" t="str">
        <f t="shared" si="400"/>
        <v/>
      </c>
      <c r="BN705" s="1452" t="str">
        <f t="shared" ca="1" si="401"/>
        <v/>
      </c>
      <c r="BO705" s="1452" t="str">
        <f t="shared" si="414"/>
        <v/>
      </c>
      <c r="BP705" s="1452" t="str">
        <f t="shared" si="402"/>
        <v/>
      </c>
      <c r="BQ705" s="1452" t="str">
        <f t="shared" si="403"/>
        <v/>
      </c>
      <c r="BR705" s="1452" t="str">
        <f t="shared" si="404"/>
        <v/>
      </c>
      <c r="BS705" s="1452" t="str">
        <f t="shared" si="405"/>
        <v/>
      </c>
      <c r="BT705" s="1452" t="str">
        <f t="shared" si="406"/>
        <v/>
      </c>
      <c r="BU705" s="1452" t="str">
        <f t="shared" si="407"/>
        <v/>
      </c>
      <c r="BV705" s="1452" t="str">
        <f t="shared" si="408"/>
        <v/>
      </c>
      <c r="BW705" s="1558">
        <f t="shared" ca="1" si="415"/>
        <v>0</v>
      </c>
    </row>
    <row r="706" spans="1:75" s="9" customFormat="1" ht="12.5">
      <c r="A706" s="1483" t="str">
        <f t="shared" si="409"/>
        <v>Public Health Wales Trust</v>
      </c>
      <c r="B706" s="1583"/>
      <c r="C706" s="1583"/>
      <c r="D706" s="1583"/>
      <c r="E706" s="1585"/>
      <c r="F706" s="1436"/>
      <c r="G706" s="1547">
        <f t="shared" si="410"/>
        <v>0</v>
      </c>
      <c r="H706" s="1484"/>
      <c r="I706" s="1547">
        <f t="shared" si="411"/>
        <v>0</v>
      </c>
      <c r="J706" s="1485"/>
      <c r="K706" s="1485"/>
      <c r="L706" s="1436"/>
      <c r="M706" s="1439"/>
      <c r="N706" s="1439"/>
      <c r="O706" s="1485"/>
      <c r="P706" s="1486"/>
      <c r="Q706" s="1486"/>
      <c r="R706" s="1487"/>
      <c r="S706" s="1444"/>
      <c r="T706" s="1444"/>
      <c r="U706" s="1444"/>
      <c r="V706" s="1488"/>
      <c r="W706" s="1488"/>
      <c r="X706" s="1488"/>
      <c r="Y706" s="1488"/>
      <c r="Z706" s="1488"/>
      <c r="AA706" s="1488"/>
      <c r="AB706" s="1488"/>
      <c r="AC706" s="1488"/>
      <c r="AD706" s="1488"/>
      <c r="AE706" s="1488"/>
      <c r="AF706" s="1488"/>
      <c r="AG706" s="1488"/>
      <c r="AH706" s="1451">
        <f t="shared" si="383"/>
        <v>0</v>
      </c>
      <c r="AI706" s="1488"/>
      <c r="AJ706" s="1488"/>
      <c r="AK706" s="1488"/>
      <c r="AL706" s="1488"/>
      <c r="AM706" s="1488"/>
      <c r="AN706" s="1488"/>
      <c r="AO706" s="1488"/>
      <c r="AP706" s="1488"/>
      <c r="AQ706" s="1488"/>
      <c r="AR706" s="1488"/>
      <c r="AS706" s="1488"/>
      <c r="AT706" s="1542"/>
      <c r="AU706" s="1599">
        <f t="shared" si="384"/>
        <v>0</v>
      </c>
      <c r="AV706" s="1544">
        <f t="shared" si="412"/>
        <v>0</v>
      </c>
      <c r="AW706" s="1452">
        <f t="shared" si="385"/>
        <v>0</v>
      </c>
      <c r="AX706" s="1452">
        <f t="shared" si="386"/>
        <v>0</v>
      </c>
      <c r="AY706" s="1452">
        <f t="shared" si="387"/>
        <v>0</v>
      </c>
      <c r="AZ706" s="1452">
        <f t="shared" si="388"/>
        <v>0</v>
      </c>
      <c r="BA706" s="1452">
        <f t="shared" si="389"/>
        <v>0</v>
      </c>
      <c r="BB706" s="1452">
        <f t="shared" si="390"/>
        <v>0</v>
      </c>
      <c r="BC706" s="1452">
        <f t="shared" si="391"/>
        <v>0</v>
      </c>
      <c r="BD706" s="1452">
        <f t="shared" si="392"/>
        <v>0</v>
      </c>
      <c r="BE706" s="1452">
        <f t="shared" si="393"/>
        <v>0</v>
      </c>
      <c r="BF706" s="1452">
        <f t="shared" si="394"/>
        <v>0</v>
      </c>
      <c r="BG706" s="1452">
        <f t="shared" si="395"/>
        <v>0</v>
      </c>
      <c r="BH706" s="1452">
        <f t="shared" si="396"/>
        <v>0</v>
      </c>
      <c r="BI706" s="1452">
        <f t="shared" si="413"/>
        <v>0</v>
      </c>
      <c r="BJ706" s="1452" t="str">
        <f t="shared" si="397"/>
        <v/>
      </c>
      <c r="BK706" s="1452" t="str">
        <f t="shared" si="398"/>
        <v/>
      </c>
      <c r="BL706" s="1452" t="str">
        <f t="shared" si="399"/>
        <v/>
      </c>
      <c r="BM706" s="1452" t="str">
        <f t="shared" si="400"/>
        <v/>
      </c>
      <c r="BN706" s="1452" t="str">
        <f t="shared" ca="1" si="401"/>
        <v/>
      </c>
      <c r="BO706" s="1452" t="str">
        <f t="shared" si="414"/>
        <v/>
      </c>
      <c r="BP706" s="1452" t="str">
        <f t="shared" si="402"/>
        <v/>
      </c>
      <c r="BQ706" s="1452" t="str">
        <f t="shared" si="403"/>
        <v/>
      </c>
      <c r="BR706" s="1452" t="str">
        <f t="shared" si="404"/>
        <v/>
      </c>
      <c r="BS706" s="1452" t="str">
        <f t="shared" si="405"/>
        <v/>
      </c>
      <c r="BT706" s="1452" t="str">
        <f t="shared" si="406"/>
        <v/>
      </c>
      <c r="BU706" s="1452" t="str">
        <f t="shared" si="407"/>
        <v/>
      </c>
      <c r="BV706" s="1452" t="str">
        <f t="shared" si="408"/>
        <v/>
      </c>
      <c r="BW706" s="1558">
        <f t="shared" ca="1" si="415"/>
        <v>0</v>
      </c>
    </row>
    <row r="707" spans="1:75" s="9" customFormat="1" ht="12.5">
      <c r="A707" s="1483" t="str">
        <f t="shared" si="409"/>
        <v>Public Health Wales Trust</v>
      </c>
      <c r="B707" s="1583"/>
      <c r="C707" s="1583"/>
      <c r="D707" s="1583"/>
      <c r="E707" s="1585"/>
      <c r="F707" s="1436"/>
      <c r="G707" s="1547">
        <f t="shared" si="410"/>
        <v>0</v>
      </c>
      <c r="H707" s="1484"/>
      <c r="I707" s="1547">
        <f t="shared" si="411"/>
        <v>0</v>
      </c>
      <c r="J707" s="1485"/>
      <c r="K707" s="1485"/>
      <c r="L707" s="1436"/>
      <c r="M707" s="1439"/>
      <c r="N707" s="1439"/>
      <c r="O707" s="1485"/>
      <c r="P707" s="1486"/>
      <c r="Q707" s="1486"/>
      <c r="R707" s="1487"/>
      <c r="S707" s="1444"/>
      <c r="T707" s="1444"/>
      <c r="U707" s="1444"/>
      <c r="V707" s="1488"/>
      <c r="W707" s="1488"/>
      <c r="X707" s="1488"/>
      <c r="Y707" s="1488"/>
      <c r="Z707" s="1488"/>
      <c r="AA707" s="1488"/>
      <c r="AB707" s="1488"/>
      <c r="AC707" s="1488"/>
      <c r="AD707" s="1488"/>
      <c r="AE707" s="1488"/>
      <c r="AF707" s="1488"/>
      <c r="AG707" s="1488"/>
      <c r="AH707" s="1451">
        <f t="shared" si="383"/>
        <v>0</v>
      </c>
      <c r="AI707" s="1488"/>
      <c r="AJ707" s="1488"/>
      <c r="AK707" s="1488"/>
      <c r="AL707" s="1488"/>
      <c r="AM707" s="1488"/>
      <c r="AN707" s="1488"/>
      <c r="AO707" s="1488"/>
      <c r="AP707" s="1488"/>
      <c r="AQ707" s="1488"/>
      <c r="AR707" s="1488"/>
      <c r="AS707" s="1488"/>
      <c r="AT707" s="1542"/>
      <c r="AU707" s="1599">
        <f t="shared" si="384"/>
        <v>0</v>
      </c>
      <c r="AV707" s="1544">
        <f t="shared" si="412"/>
        <v>0</v>
      </c>
      <c r="AW707" s="1452">
        <f t="shared" si="385"/>
        <v>0</v>
      </c>
      <c r="AX707" s="1452">
        <f t="shared" si="386"/>
        <v>0</v>
      </c>
      <c r="AY707" s="1452">
        <f t="shared" si="387"/>
        <v>0</v>
      </c>
      <c r="AZ707" s="1452">
        <f t="shared" si="388"/>
        <v>0</v>
      </c>
      <c r="BA707" s="1452">
        <f t="shared" si="389"/>
        <v>0</v>
      </c>
      <c r="BB707" s="1452">
        <f t="shared" si="390"/>
        <v>0</v>
      </c>
      <c r="BC707" s="1452">
        <f t="shared" si="391"/>
        <v>0</v>
      </c>
      <c r="BD707" s="1452">
        <f t="shared" si="392"/>
        <v>0</v>
      </c>
      <c r="BE707" s="1452">
        <f t="shared" si="393"/>
        <v>0</v>
      </c>
      <c r="BF707" s="1452">
        <f t="shared" si="394"/>
        <v>0</v>
      </c>
      <c r="BG707" s="1452">
        <f t="shared" si="395"/>
        <v>0</v>
      </c>
      <c r="BH707" s="1452">
        <f t="shared" si="396"/>
        <v>0</v>
      </c>
      <c r="BI707" s="1452">
        <f t="shared" si="413"/>
        <v>0</v>
      </c>
      <c r="BJ707" s="1452" t="str">
        <f t="shared" si="397"/>
        <v/>
      </c>
      <c r="BK707" s="1452" t="str">
        <f t="shared" si="398"/>
        <v/>
      </c>
      <c r="BL707" s="1452" t="str">
        <f t="shared" si="399"/>
        <v/>
      </c>
      <c r="BM707" s="1452" t="str">
        <f t="shared" si="400"/>
        <v/>
      </c>
      <c r="BN707" s="1452" t="str">
        <f t="shared" ca="1" si="401"/>
        <v/>
      </c>
      <c r="BO707" s="1452" t="str">
        <f t="shared" si="414"/>
        <v/>
      </c>
      <c r="BP707" s="1452" t="str">
        <f t="shared" si="402"/>
        <v/>
      </c>
      <c r="BQ707" s="1452" t="str">
        <f t="shared" si="403"/>
        <v/>
      </c>
      <c r="BR707" s="1452" t="str">
        <f t="shared" si="404"/>
        <v/>
      </c>
      <c r="BS707" s="1452" t="str">
        <f t="shared" si="405"/>
        <v/>
      </c>
      <c r="BT707" s="1452" t="str">
        <f t="shared" si="406"/>
        <v/>
      </c>
      <c r="BU707" s="1452" t="str">
        <f t="shared" si="407"/>
        <v/>
      </c>
      <c r="BV707" s="1452" t="str">
        <f t="shared" si="408"/>
        <v/>
      </c>
      <c r="BW707" s="1558">
        <f t="shared" ca="1" si="415"/>
        <v>0</v>
      </c>
    </row>
    <row r="708" spans="1:75" s="9" customFormat="1" ht="12.5">
      <c r="A708" s="1483" t="str">
        <f t="shared" si="409"/>
        <v>Public Health Wales Trust</v>
      </c>
      <c r="B708" s="1583"/>
      <c r="C708" s="1583"/>
      <c r="D708" s="1583"/>
      <c r="E708" s="1585"/>
      <c r="F708" s="1436"/>
      <c r="G708" s="1547">
        <f t="shared" si="410"/>
        <v>0</v>
      </c>
      <c r="H708" s="1484"/>
      <c r="I708" s="1547">
        <f t="shared" si="411"/>
        <v>0</v>
      </c>
      <c r="J708" s="1485"/>
      <c r="K708" s="1485"/>
      <c r="L708" s="1436"/>
      <c r="M708" s="1439"/>
      <c r="N708" s="1439"/>
      <c r="O708" s="1485"/>
      <c r="P708" s="1486"/>
      <c r="Q708" s="1486"/>
      <c r="R708" s="1487"/>
      <c r="S708" s="1444"/>
      <c r="T708" s="1444"/>
      <c r="U708" s="1444"/>
      <c r="V708" s="1488"/>
      <c r="W708" s="1488"/>
      <c r="X708" s="1488"/>
      <c r="Y708" s="1488"/>
      <c r="Z708" s="1488"/>
      <c r="AA708" s="1488"/>
      <c r="AB708" s="1488"/>
      <c r="AC708" s="1488"/>
      <c r="AD708" s="1488"/>
      <c r="AE708" s="1488"/>
      <c r="AF708" s="1488"/>
      <c r="AG708" s="1488"/>
      <c r="AH708" s="1451">
        <f t="shared" si="383"/>
        <v>0</v>
      </c>
      <c r="AI708" s="1488"/>
      <c r="AJ708" s="1488"/>
      <c r="AK708" s="1488"/>
      <c r="AL708" s="1488"/>
      <c r="AM708" s="1488"/>
      <c r="AN708" s="1488"/>
      <c r="AO708" s="1488"/>
      <c r="AP708" s="1488"/>
      <c r="AQ708" s="1488"/>
      <c r="AR708" s="1488"/>
      <c r="AS708" s="1488"/>
      <c r="AT708" s="1542"/>
      <c r="AU708" s="1599">
        <f t="shared" si="384"/>
        <v>0</v>
      </c>
      <c r="AV708" s="1544">
        <f t="shared" si="412"/>
        <v>0</v>
      </c>
      <c r="AW708" s="1452">
        <f t="shared" si="385"/>
        <v>0</v>
      </c>
      <c r="AX708" s="1452">
        <f t="shared" si="386"/>
        <v>0</v>
      </c>
      <c r="AY708" s="1452">
        <f t="shared" si="387"/>
        <v>0</v>
      </c>
      <c r="AZ708" s="1452">
        <f t="shared" si="388"/>
        <v>0</v>
      </c>
      <c r="BA708" s="1452">
        <f t="shared" si="389"/>
        <v>0</v>
      </c>
      <c r="BB708" s="1452">
        <f t="shared" si="390"/>
        <v>0</v>
      </c>
      <c r="BC708" s="1452">
        <f t="shared" si="391"/>
        <v>0</v>
      </c>
      <c r="BD708" s="1452">
        <f t="shared" si="392"/>
        <v>0</v>
      </c>
      <c r="BE708" s="1452">
        <f t="shared" si="393"/>
        <v>0</v>
      </c>
      <c r="BF708" s="1452">
        <f t="shared" si="394"/>
        <v>0</v>
      </c>
      <c r="BG708" s="1452">
        <f t="shared" si="395"/>
        <v>0</v>
      </c>
      <c r="BH708" s="1452">
        <f t="shared" si="396"/>
        <v>0</v>
      </c>
      <c r="BI708" s="1452">
        <f t="shared" si="413"/>
        <v>0</v>
      </c>
      <c r="BJ708" s="1452" t="str">
        <f t="shared" si="397"/>
        <v/>
      </c>
      <c r="BK708" s="1452" t="str">
        <f t="shared" si="398"/>
        <v/>
      </c>
      <c r="BL708" s="1452" t="str">
        <f t="shared" si="399"/>
        <v/>
      </c>
      <c r="BM708" s="1452" t="str">
        <f t="shared" si="400"/>
        <v/>
      </c>
      <c r="BN708" s="1452" t="str">
        <f t="shared" ca="1" si="401"/>
        <v/>
      </c>
      <c r="BO708" s="1452" t="str">
        <f t="shared" si="414"/>
        <v/>
      </c>
      <c r="BP708" s="1452" t="str">
        <f t="shared" si="402"/>
        <v/>
      </c>
      <c r="BQ708" s="1452" t="str">
        <f t="shared" si="403"/>
        <v/>
      </c>
      <c r="BR708" s="1452" t="str">
        <f t="shared" si="404"/>
        <v/>
      </c>
      <c r="BS708" s="1452" t="str">
        <f t="shared" si="405"/>
        <v/>
      </c>
      <c r="BT708" s="1452" t="str">
        <f t="shared" si="406"/>
        <v/>
      </c>
      <c r="BU708" s="1452" t="str">
        <f t="shared" si="407"/>
        <v/>
      </c>
      <c r="BV708" s="1452" t="str">
        <f t="shared" si="408"/>
        <v/>
      </c>
      <c r="BW708" s="1558">
        <f t="shared" ca="1" si="415"/>
        <v>0</v>
      </c>
    </row>
    <row r="709" spans="1:75" s="9" customFormat="1" ht="12.5">
      <c r="A709" s="1483" t="str">
        <f t="shared" si="409"/>
        <v>Public Health Wales Trust</v>
      </c>
      <c r="B709" s="1583"/>
      <c r="C709" s="1583"/>
      <c r="D709" s="1583"/>
      <c r="E709" s="1585"/>
      <c r="F709" s="1436"/>
      <c r="G709" s="1547">
        <f t="shared" si="410"/>
        <v>0</v>
      </c>
      <c r="H709" s="1484"/>
      <c r="I709" s="1547">
        <f t="shared" si="411"/>
        <v>0</v>
      </c>
      <c r="J709" s="1485"/>
      <c r="K709" s="1485"/>
      <c r="L709" s="1436"/>
      <c r="M709" s="1439"/>
      <c r="N709" s="1439"/>
      <c r="O709" s="1485"/>
      <c r="P709" s="1486"/>
      <c r="Q709" s="1486"/>
      <c r="R709" s="1487"/>
      <c r="S709" s="1444"/>
      <c r="T709" s="1444"/>
      <c r="U709" s="1444"/>
      <c r="V709" s="1488"/>
      <c r="W709" s="1488"/>
      <c r="X709" s="1488"/>
      <c r="Y709" s="1488"/>
      <c r="Z709" s="1488"/>
      <c r="AA709" s="1488"/>
      <c r="AB709" s="1488"/>
      <c r="AC709" s="1488"/>
      <c r="AD709" s="1488"/>
      <c r="AE709" s="1488"/>
      <c r="AF709" s="1488"/>
      <c r="AG709" s="1488"/>
      <c r="AH709" s="1451">
        <f t="shared" si="383"/>
        <v>0</v>
      </c>
      <c r="AI709" s="1488"/>
      <c r="AJ709" s="1488"/>
      <c r="AK709" s="1488"/>
      <c r="AL709" s="1488"/>
      <c r="AM709" s="1488"/>
      <c r="AN709" s="1488"/>
      <c r="AO709" s="1488"/>
      <c r="AP709" s="1488"/>
      <c r="AQ709" s="1488"/>
      <c r="AR709" s="1488"/>
      <c r="AS709" s="1488"/>
      <c r="AT709" s="1542"/>
      <c r="AU709" s="1599">
        <f t="shared" si="384"/>
        <v>0</v>
      </c>
      <c r="AV709" s="1544">
        <f t="shared" si="412"/>
        <v>0</v>
      </c>
      <c r="AW709" s="1452">
        <f t="shared" si="385"/>
        <v>0</v>
      </c>
      <c r="AX709" s="1452">
        <f t="shared" si="386"/>
        <v>0</v>
      </c>
      <c r="AY709" s="1452">
        <f t="shared" si="387"/>
        <v>0</v>
      </c>
      <c r="AZ709" s="1452">
        <f t="shared" si="388"/>
        <v>0</v>
      </c>
      <c r="BA709" s="1452">
        <f t="shared" si="389"/>
        <v>0</v>
      </c>
      <c r="BB709" s="1452">
        <f t="shared" si="390"/>
        <v>0</v>
      </c>
      <c r="BC709" s="1452">
        <f t="shared" si="391"/>
        <v>0</v>
      </c>
      <c r="BD709" s="1452">
        <f t="shared" si="392"/>
        <v>0</v>
      </c>
      <c r="BE709" s="1452">
        <f t="shared" si="393"/>
        <v>0</v>
      </c>
      <c r="BF709" s="1452">
        <f t="shared" si="394"/>
        <v>0</v>
      </c>
      <c r="BG709" s="1452">
        <f t="shared" si="395"/>
        <v>0</v>
      </c>
      <c r="BH709" s="1452">
        <f t="shared" si="396"/>
        <v>0</v>
      </c>
      <c r="BI709" s="1452">
        <f t="shared" si="413"/>
        <v>0</v>
      </c>
      <c r="BJ709" s="1452" t="str">
        <f t="shared" si="397"/>
        <v/>
      </c>
      <c r="BK709" s="1452" t="str">
        <f t="shared" si="398"/>
        <v/>
      </c>
      <c r="BL709" s="1452" t="str">
        <f t="shared" si="399"/>
        <v/>
      </c>
      <c r="BM709" s="1452" t="str">
        <f t="shared" si="400"/>
        <v/>
      </c>
      <c r="BN709" s="1452" t="str">
        <f t="shared" ca="1" si="401"/>
        <v/>
      </c>
      <c r="BO709" s="1452" t="str">
        <f t="shared" si="414"/>
        <v/>
      </c>
      <c r="BP709" s="1452" t="str">
        <f t="shared" si="402"/>
        <v/>
      </c>
      <c r="BQ709" s="1452" t="str">
        <f t="shared" si="403"/>
        <v/>
      </c>
      <c r="BR709" s="1452" t="str">
        <f t="shared" si="404"/>
        <v/>
      </c>
      <c r="BS709" s="1452" t="str">
        <f t="shared" si="405"/>
        <v/>
      </c>
      <c r="BT709" s="1452" t="str">
        <f t="shared" si="406"/>
        <v/>
      </c>
      <c r="BU709" s="1452" t="str">
        <f t="shared" si="407"/>
        <v/>
      </c>
      <c r="BV709" s="1452" t="str">
        <f t="shared" si="408"/>
        <v/>
      </c>
      <c r="BW709" s="1558">
        <f t="shared" ca="1" si="415"/>
        <v>0</v>
      </c>
    </row>
    <row r="710" spans="1:75" s="9" customFormat="1" ht="12.5">
      <c r="A710" s="1483" t="str">
        <f t="shared" si="409"/>
        <v>Public Health Wales Trust</v>
      </c>
      <c r="B710" s="1583"/>
      <c r="C710" s="1583"/>
      <c r="D710" s="1583"/>
      <c r="E710" s="1585"/>
      <c r="F710" s="1436"/>
      <c r="G710" s="1547">
        <f t="shared" si="410"/>
        <v>0</v>
      </c>
      <c r="H710" s="1484"/>
      <c r="I710" s="1547">
        <f t="shared" si="411"/>
        <v>0</v>
      </c>
      <c r="J710" s="1485"/>
      <c r="K710" s="1485"/>
      <c r="L710" s="1436"/>
      <c r="M710" s="1439"/>
      <c r="N710" s="1439"/>
      <c r="O710" s="1485"/>
      <c r="P710" s="1486"/>
      <c r="Q710" s="1486"/>
      <c r="R710" s="1487"/>
      <c r="S710" s="1444"/>
      <c r="T710" s="1444"/>
      <c r="U710" s="1444"/>
      <c r="V710" s="1488"/>
      <c r="W710" s="1488"/>
      <c r="X710" s="1488"/>
      <c r="Y710" s="1488"/>
      <c r="Z710" s="1488"/>
      <c r="AA710" s="1488"/>
      <c r="AB710" s="1488"/>
      <c r="AC710" s="1488"/>
      <c r="AD710" s="1488"/>
      <c r="AE710" s="1488"/>
      <c r="AF710" s="1488"/>
      <c r="AG710" s="1488"/>
      <c r="AH710" s="1451">
        <f t="shared" si="383"/>
        <v>0</v>
      </c>
      <c r="AI710" s="1488"/>
      <c r="AJ710" s="1488"/>
      <c r="AK710" s="1488"/>
      <c r="AL710" s="1488"/>
      <c r="AM710" s="1488"/>
      <c r="AN710" s="1488"/>
      <c r="AO710" s="1488"/>
      <c r="AP710" s="1488"/>
      <c r="AQ710" s="1488"/>
      <c r="AR710" s="1488"/>
      <c r="AS710" s="1488"/>
      <c r="AT710" s="1542"/>
      <c r="AU710" s="1599">
        <f t="shared" si="384"/>
        <v>0</v>
      </c>
      <c r="AV710" s="1544">
        <f t="shared" si="412"/>
        <v>0</v>
      </c>
      <c r="AW710" s="1452">
        <f t="shared" si="385"/>
        <v>0</v>
      </c>
      <c r="AX710" s="1452">
        <f t="shared" si="386"/>
        <v>0</v>
      </c>
      <c r="AY710" s="1452">
        <f t="shared" si="387"/>
        <v>0</v>
      </c>
      <c r="AZ710" s="1452">
        <f t="shared" si="388"/>
        <v>0</v>
      </c>
      <c r="BA710" s="1452">
        <f t="shared" si="389"/>
        <v>0</v>
      </c>
      <c r="BB710" s="1452">
        <f t="shared" si="390"/>
        <v>0</v>
      </c>
      <c r="BC710" s="1452">
        <f t="shared" si="391"/>
        <v>0</v>
      </c>
      <c r="BD710" s="1452">
        <f t="shared" si="392"/>
        <v>0</v>
      </c>
      <c r="BE710" s="1452">
        <f t="shared" si="393"/>
        <v>0</v>
      </c>
      <c r="BF710" s="1452">
        <f t="shared" si="394"/>
        <v>0</v>
      </c>
      <c r="BG710" s="1452">
        <f t="shared" si="395"/>
        <v>0</v>
      </c>
      <c r="BH710" s="1452">
        <f t="shared" si="396"/>
        <v>0</v>
      </c>
      <c r="BI710" s="1452">
        <f t="shared" si="413"/>
        <v>0</v>
      </c>
      <c r="BJ710" s="1452" t="str">
        <f t="shared" si="397"/>
        <v/>
      </c>
      <c r="BK710" s="1452" t="str">
        <f t="shared" si="398"/>
        <v/>
      </c>
      <c r="BL710" s="1452" t="str">
        <f t="shared" si="399"/>
        <v/>
      </c>
      <c r="BM710" s="1452" t="str">
        <f t="shared" si="400"/>
        <v/>
      </c>
      <c r="BN710" s="1452" t="str">
        <f t="shared" ca="1" si="401"/>
        <v/>
      </c>
      <c r="BO710" s="1452" t="str">
        <f t="shared" si="414"/>
        <v/>
      </c>
      <c r="BP710" s="1452" t="str">
        <f t="shared" si="402"/>
        <v/>
      </c>
      <c r="BQ710" s="1452" t="str">
        <f t="shared" si="403"/>
        <v/>
      </c>
      <c r="BR710" s="1452" t="str">
        <f t="shared" si="404"/>
        <v/>
      </c>
      <c r="BS710" s="1452" t="str">
        <f t="shared" si="405"/>
        <v/>
      </c>
      <c r="BT710" s="1452" t="str">
        <f t="shared" si="406"/>
        <v/>
      </c>
      <c r="BU710" s="1452" t="str">
        <f t="shared" si="407"/>
        <v/>
      </c>
      <c r="BV710" s="1452" t="str">
        <f t="shared" si="408"/>
        <v/>
      </c>
      <c r="BW710" s="1558">
        <f t="shared" ca="1" si="415"/>
        <v>0</v>
      </c>
    </row>
    <row r="711" spans="1:75" s="9" customFormat="1" ht="12.5">
      <c r="A711" s="1483" t="str">
        <f t="shared" si="409"/>
        <v>Public Health Wales Trust</v>
      </c>
      <c r="B711" s="1583"/>
      <c r="C711" s="1583"/>
      <c r="D711" s="1583"/>
      <c r="E711" s="1585"/>
      <c r="F711" s="1436"/>
      <c r="G711" s="1547">
        <f t="shared" si="410"/>
        <v>0</v>
      </c>
      <c r="H711" s="1484"/>
      <c r="I711" s="1547">
        <f t="shared" si="411"/>
        <v>0</v>
      </c>
      <c r="J711" s="1485"/>
      <c r="K711" s="1485"/>
      <c r="L711" s="1436"/>
      <c r="M711" s="1439"/>
      <c r="N711" s="1439"/>
      <c r="O711" s="1485"/>
      <c r="P711" s="1486"/>
      <c r="Q711" s="1486"/>
      <c r="R711" s="1487"/>
      <c r="S711" s="1444"/>
      <c r="T711" s="1444"/>
      <c r="U711" s="1444"/>
      <c r="V711" s="1488"/>
      <c r="W711" s="1488"/>
      <c r="X711" s="1488"/>
      <c r="Y711" s="1488"/>
      <c r="Z711" s="1488"/>
      <c r="AA711" s="1488"/>
      <c r="AB711" s="1488"/>
      <c r="AC711" s="1488"/>
      <c r="AD711" s="1488"/>
      <c r="AE711" s="1488"/>
      <c r="AF711" s="1488"/>
      <c r="AG711" s="1488"/>
      <c r="AH711" s="1451">
        <f t="shared" si="383"/>
        <v>0</v>
      </c>
      <c r="AI711" s="1488"/>
      <c r="AJ711" s="1488"/>
      <c r="AK711" s="1488"/>
      <c r="AL711" s="1488"/>
      <c r="AM711" s="1488"/>
      <c r="AN711" s="1488"/>
      <c r="AO711" s="1488"/>
      <c r="AP711" s="1488"/>
      <c r="AQ711" s="1488"/>
      <c r="AR711" s="1488"/>
      <c r="AS711" s="1488"/>
      <c r="AT711" s="1542"/>
      <c r="AU711" s="1599">
        <f t="shared" si="384"/>
        <v>0</v>
      </c>
      <c r="AV711" s="1544">
        <f t="shared" si="412"/>
        <v>0</v>
      </c>
      <c r="AW711" s="1452">
        <f t="shared" si="385"/>
        <v>0</v>
      </c>
      <c r="AX711" s="1452">
        <f t="shared" si="386"/>
        <v>0</v>
      </c>
      <c r="AY711" s="1452">
        <f t="shared" si="387"/>
        <v>0</v>
      </c>
      <c r="AZ711" s="1452">
        <f t="shared" si="388"/>
        <v>0</v>
      </c>
      <c r="BA711" s="1452">
        <f t="shared" si="389"/>
        <v>0</v>
      </c>
      <c r="BB711" s="1452">
        <f t="shared" si="390"/>
        <v>0</v>
      </c>
      <c r="BC711" s="1452">
        <f t="shared" si="391"/>
        <v>0</v>
      </c>
      <c r="BD711" s="1452">
        <f t="shared" si="392"/>
        <v>0</v>
      </c>
      <c r="BE711" s="1452">
        <f t="shared" si="393"/>
        <v>0</v>
      </c>
      <c r="BF711" s="1452">
        <f t="shared" si="394"/>
        <v>0</v>
      </c>
      <c r="BG711" s="1452">
        <f t="shared" si="395"/>
        <v>0</v>
      </c>
      <c r="BH711" s="1452">
        <f t="shared" si="396"/>
        <v>0</v>
      </c>
      <c r="BI711" s="1452">
        <f t="shared" si="413"/>
        <v>0</v>
      </c>
      <c r="BJ711" s="1452" t="str">
        <f t="shared" si="397"/>
        <v/>
      </c>
      <c r="BK711" s="1452" t="str">
        <f t="shared" si="398"/>
        <v/>
      </c>
      <c r="BL711" s="1452" t="str">
        <f t="shared" si="399"/>
        <v/>
      </c>
      <c r="BM711" s="1452" t="str">
        <f t="shared" si="400"/>
        <v/>
      </c>
      <c r="BN711" s="1452" t="str">
        <f t="shared" ca="1" si="401"/>
        <v/>
      </c>
      <c r="BO711" s="1452" t="str">
        <f t="shared" si="414"/>
        <v/>
      </c>
      <c r="BP711" s="1452" t="str">
        <f t="shared" si="402"/>
        <v/>
      </c>
      <c r="BQ711" s="1452" t="str">
        <f t="shared" si="403"/>
        <v/>
      </c>
      <c r="BR711" s="1452" t="str">
        <f t="shared" si="404"/>
        <v/>
      </c>
      <c r="BS711" s="1452" t="str">
        <f t="shared" si="405"/>
        <v/>
      </c>
      <c r="BT711" s="1452" t="str">
        <f t="shared" si="406"/>
        <v/>
      </c>
      <c r="BU711" s="1452" t="str">
        <f t="shared" si="407"/>
        <v/>
      </c>
      <c r="BV711" s="1452" t="str">
        <f t="shared" si="408"/>
        <v/>
      </c>
      <c r="BW711" s="1558">
        <f t="shared" ca="1" si="415"/>
        <v>0</v>
      </c>
    </row>
    <row r="712" spans="1:75" s="9" customFormat="1" ht="12.5">
      <c r="A712" s="1483" t="str">
        <f t="shared" si="409"/>
        <v>Public Health Wales Trust</v>
      </c>
      <c r="B712" s="1583"/>
      <c r="C712" s="1583"/>
      <c r="D712" s="1583"/>
      <c r="E712" s="1585"/>
      <c r="F712" s="1436"/>
      <c r="G712" s="1547">
        <f t="shared" si="410"/>
        <v>0</v>
      </c>
      <c r="H712" s="1484"/>
      <c r="I712" s="1547">
        <f t="shared" si="411"/>
        <v>0</v>
      </c>
      <c r="J712" s="1485"/>
      <c r="K712" s="1485"/>
      <c r="L712" s="1436"/>
      <c r="M712" s="1439"/>
      <c r="N712" s="1439"/>
      <c r="O712" s="1485"/>
      <c r="P712" s="1486"/>
      <c r="Q712" s="1486"/>
      <c r="R712" s="1487"/>
      <c r="S712" s="1444"/>
      <c r="T712" s="1444"/>
      <c r="U712" s="1444"/>
      <c r="V712" s="1488"/>
      <c r="W712" s="1488"/>
      <c r="X712" s="1488"/>
      <c r="Y712" s="1488"/>
      <c r="Z712" s="1488"/>
      <c r="AA712" s="1488"/>
      <c r="AB712" s="1488"/>
      <c r="AC712" s="1488"/>
      <c r="AD712" s="1488"/>
      <c r="AE712" s="1488"/>
      <c r="AF712" s="1488"/>
      <c r="AG712" s="1488"/>
      <c r="AH712" s="1451">
        <f t="shared" si="383"/>
        <v>0</v>
      </c>
      <c r="AI712" s="1488"/>
      <c r="AJ712" s="1488"/>
      <c r="AK712" s="1488"/>
      <c r="AL712" s="1488"/>
      <c r="AM712" s="1488"/>
      <c r="AN712" s="1488"/>
      <c r="AO712" s="1488"/>
      <c r="AP712" s="1488"/>
      <c r="AQ712" s="1488"/>
      <c r="AR712" s="1488"/>
      <c r="AS712" s="1488"/>
      <c r="AT712" s="1542"/>
      <c r="AU712" s="1599">
        <f t="shared" si="384"/>
        <v>0</v>
      </c>
      <c r="AV712" s="1544">
        <f t="shared" si="412"/>
        <v>0</v>
      </c>
      <c r="AW712" s="1452">
        <f t="shared" si="385"/>
        <v>0</v>
      </c>
      <c r="AX712" s="1452">
        <f t="shared" si="386"/>
        <v>0</v>
      </c>
      <c r="AY712" s="1452">
        <f t="shared" si="387"/>
        <v>0</v>
      </c>
      <c r="AZ712" s="1452">
        <f t="shared" si="388"/>
        <v>0</v>
      </c>
      <c r="BA712" s="1452">
        <f t="shared" si="389"/>
        <v>0</v>
      </c>
      <c r="BB712" s="1452">
        <f t="shared" si="390"/>
        <v>0</v>
      </c>
      <c r="BC712" s="1452">
        <f t="shared" si="391"/>
        <v>0</v>
      </c>
      <c r="BD712" s="1452">
        <f t="shared" si="392"/>
        <v>0</v>
      </c>
      <c r="BE712" s="1452">
        <f t="shared" si="393"/>
        <v>0</v>
      </c>
      <c r="BF712" s="1452">
        <f t="shared" si="394"/>
        <v>0</v>
      </c>
      <c r="BG712" s="1452">
        <f t="shared" si="395"/>
        <v>0</v>
      </c>
      <c r="BH712" s="1452">
        <f t="shared" si="396"/>
        <v>0</v>
      </c>
      <c r="BI712" s="1452">
        <f t="shared" si="413"/>
        <v>0</v>
      </c>
      <c r="BJ712" s="1452" t="str">
        <f t="shared" si="397"/>
        <v/>
      </c>
      <c r="BK712" s="1452" t="str">
        <f t="shared" si="398"/>
        <v/>
      </c>
      <c r="BL712" s="1452" t="str">
        <f t="shared" si="399"/>
        <v/>
      </c>
      <c r="BM712" s="1452" t="str">
        <f t="shared" si="400"/>
        <v/>
      </c>
      <c r="BN712" s="1452" t="str">
        <f t="shared" ca="1" si="401"/>
        <v/>
      </c>
      <c r="BO712" s="1452" t="str">
        <f t="shared" si="414"/>
        <v/>
      </c>
      <c r="BP712" s="1452" t="str">
        <f t="shared" si="402"/>
        <v/>
      </c>
      <c r="BQ712" s="1452" t="str">
        <f t="shared" si="403"/>
        <v/>
      </c>
      <c r="BR712" s="1452" t="str">
        <f t="shared" si="404"/>
        <v/>
      </c>
      <c r="BS712" s="1452" t="str">
        <f t="shared" si="405"/>
        <v/>
      </c>
      <c r="BT712" s="1452" t="str">
        <f t="shared" si="406"/>
        <v/>
      </c>
      <c r="BU712" s="1452" t="str">
        <f t="shared" si="407"/>
        <v/>
      </c>
      <c r="BV712" s="1452" t="str">
        <f t="shared" si="408"/>
        <v/>
      </c>
      <c r="BW712" s="1558">
        <f t="shared" ca="1" si="415"/>
        <v>0</v>
      </c>
    </row>
    <row r="713" spans="1:75" s="9" customFormat="1" ht="12.5">
      <c r="A713" s="1483" t="str">
        <f t="shared" si="409"/>
        <v>Public Health Wales Trust</v>
      </c>
      <c r="B713" s="1583"/>
      <c r="C713" s="1583"/>
      <c r="D713" s="1583"/>
      <c r="E713" s="1585"/>
      <c r="F713" s="1436"/>
      <c r="G713" s="1547">
        <f t="shared" si="410"/>
        <v>0</v>
      </c>
      <c r="H713" s="1484"/>
      <c r="I713" s="1547">
        <f t="shared" si="411"/>
        <v>0</v>
      </c>
      <c r="J713" s="1485"/>
      <c r="K713" s="1485"/>
      <c r="L713" s="1436"/>
      <c r="M713" s="1439"/>
      <c r="N713" s="1439"/>
      <c r="O713" s="1485"/>
      <c r="P713" s="1486"/>
      <c r="Q713" s="1486"/>
      <c r="R713" s="1487"/>
      <c r="S713" s="1444"/>
      <c r="T713" s="1444"/>
      <c r="U713" s="1444"/>
      <c r="V713" s="1488"/>
      <c r="W713" s="1488"/>
      <c r="X713" s="1488"/>
      <c r="Y713" s="1488"/>
      <c r="Z713" s="1488"/>
      <c r="AA713" s="1488"/>
      <c r="AB713" s="1488"/>
      <c r="AC713" s="1488"/>
      <c r="AD713" s="1488"/>
      <c r="AE713" s="1488"/>
      <c r="AF713" s="1488"/>
      <c r="AG713" s="1488"/>
      <c r="AH713" s="1451">
        <f t="shared" si="383"/>
        <v>0</v>
      </c>
      <c r="AI713" s="1488"/>
      <c r="AJ713" s="1488"/>
      <c r="AK713" s="1488"/>
      <c r="AL713" s="1488"/>
      <c r="AM713" s="1488"/>
      <c r="AN713" s="1488"/>
      <c r="AO713" s="1488"/>
      <c r="AP713" s="1488"/>
      <c r="AQ713" s="1488"/>
      <c r="AR713" s="1488"/>
      <c r="AS713" s="1488"/>
      <c r="AT713" s="1542"/>
      <c r="AU713" s="1599">
        <f t="shared" si="384"/>
        <v>0</v>
      </c>
      <c r="AV713" s="1544">
        <f t="shared" si="412"/>
        <v>0</v>
      </c>
      <c r="AW713" s="1452">
        <f t="shared" si="385"/>
        <v>0</v>
      </c>
      <c r="AX713" s="1452">
        <f t="shared" si="386"/>
        <v>0</v>
      </c>
      <c r="AY713" s="1452">
        <f t="shared" si="387"/>
        <v>0</v>
      </c>
      <c r="AZ713" s="1452">
        <f t="shared" si="388"/>
        <v>0</v>
      </c>
      <c r="BA713" s="1452">
        <f t="shared" si="389"/>
        <v>0</v>
      </c>
      <c r="BB713" s="1452">
        <f t="shared" si="390"/>
        <v>0</v>
      </c>
      <c r="BC713" s="1452">
        <f t="shared" si="391"/>
        <v>0</v>
      </c>
      <c r="BD713" s="1452">
        <f t="shared" si="392"/>
        <v>0</v>
      </c>
      <c r="BE713" s="1452">
        <f t="shared" si="393"/>
        <v>0</v>
      </c>
      <c r="BF713" s="1452">
        <f t="shared" si="394"/>
        <v>0</v>
      </c>
      <c r="BG713" s="1452">
        <f t="shared" si="395"/>
        <v>0</v>
      </c>
      <c r="BH713" s="1452">
        <f t="shared" si="396"/>
        <v>0</v>
      </c>
      <c r="BI713" s="1452">
        <f t="shared" si="413"/>
        <v>0</v>
      </c>
      <c r="BJ713" s="1452" t="str">
        <f t="shared" si="397"/>
        <v/>
      </c>
      <c r="BK713" s="1452" t="str">
        <f t="shared" si="398"/>
        <v/>
      </c>
      <c r="BL713" s="1452" t="str">
        <f t="shared" si="399"/>
        <v/>
      </c>
      <c r="BM713" s="1452" t="str">
        <f t="shared" si="400"/>
        <v/>
      </c>
      <c r="BN713" s="1452" t="str">
        <f t="shared" ca="1" si="401"/>
        <v/>
      </c>
      <c r="BO713" s="1452" t="str">
        <f t="shared" si="414"/>
        <v/>
      </c>
      <c r="BP713" s="1452" t="str">
        <f t="shared" si="402"/>
        <v/>
      </c>
      <c r="BQ713" s="1452" t="str">
        <f t="shared" si="403"/>
        <v/>
      </c>
      <c r="BR713" s="1452" t="str">
        <f t="shared" si="404"/>
        <v/>
      </c>
      <c r="BS713" s="1452" t="str">
        <f t="shared" si="405"/>
        <v/>
      </c>
      <c r="BT713" s="1452" t="str">
        <f t="shared" si="406"/>
        <v/>
      </c>
      <c r="BU713" s="1452" t="str">
        <f t="shared" si="407"/>
        <v/>
      </c>
      <c r="BV713" s="1452" t="str">
        <f t="shared" si="408"/>
        <v/>
      </c>
      <c r="BW713" s="1558">
        <f t="shared" ca="1" si="415"/>
        <v>0</v>
      </c>
    </row>
    <row r="714" spans="1:75" s="9" customFormat="1" ht="12.5">
      <c r="A714" s="1483" t="str">
        <f t="shared" si="409"/>
        <v>Public Health Wales Trust</v>
      </c>
      <c r="B714" s="1583"/>
      <c r="C714" s="1583"/>
      <c r="D714" s="1583"/>
      <c r="E714" s="1585"/>
      <c r="F714" s="1436"/>
      <c r="G714" s="1547">
        <f t="shared" si="410"/>
        <v>0</v>
      </c>
      <c r="H714" s="1484"/>
      <c r="I714" s="1547">
        <f t="shared" si="411"/>
        <v>0</v>
      </c>
      <c r="J714" s="1485"/>
      <c r="K714" s="1485"/>
      <c r="L714" s="1436"/>
      <c r="M714" s="1439"/>
      <c r="N714" s="1439"/>
      <c r="O714" s="1485"/>
      <c r="P714" s="1486"/>
      <c r="Q714" s="1486"/>
      <c r="R714" s="1487"/>
      <c r="S714" s="1444"/>
      <c r="T714" s="1444"/>
      <c r="U714" s="1444"/>
      <c r="V714" s="1488"/>
      <c r="W714" s="1488"/>
      <c r="X714" s="1488"/>
      <c r="Y714" s="1488"/>
      <c r="Z714" s="1488"/>
      <c r="AA714" s="1488"/>
      <c r="AB714" s="1488"/>
      <c r="AC714" s="1488"/>
      <c r="AD714" s="1488"/>
      <c r="AE714" s="1488"/>
      <c r="AF714" s="1488"/>
      <c r="AG714" s="1488"/>
      <c r="AH714" s="1451">
        <f t="shared" si="383"/>
        <v>0</v>
      </c>
      <c r="AI714" s="1488"/>
      <c r="AJ714" s="1488"/>
      <c r="AK714" s="1488"/>
      <c r="AL714" s="1488"/>
      <c r="AM714" s="1488"/>
      <c r="AN714" s="1488"/>
      <c r="AO714" s="1488"/>
      <c r="AP714" s="1488"/>
      <c r="AQ714" s="1488"/>
      <c r="AR714" s="1488"/>
      <c r="AS714" s="1488"/>
      <c r="AT714" s="1542"/>
      <c r="AU714" s="1599">
        <f t="shared" si="384"/>
        <v>0</v>
      </c>
      <c r="AV714" s="1544">
        <f t="shared" si="412"/>
        <v>0</v>
      </c>
      <c r="AW714" s="1452">
        <f t="shared" si="385"/>
        <v>0</v>
      </c>
      <c r="AX714" s="1452">
        <f t="shared" si="386"/>
        <v>0</v>
      </c>
      <c r="AY714" s="1452">
        <f t="shared" si="387"/>
        <v>0</v>
      </c>
      <c r="AZ714" s="1452">
        <f t="shared" si="388"/>
        <v>0</v>
      </c>
      <c r="BA714" s="1452">
        <f t="shared" si="389"/>
        <v>0</v>
      </c>
      <c r="BB714" s="1452">
        <f t="shared" si="390"/>
        <v>0</v>
      </c>
      <c r="BC714" s="1452">
        <f t="shared" si="391"/>
        <v>0</v>
      </c>
      <c r="BD714" s="1452">
        <f t="shared" si="392"/>
        <v>0</v>
      </c>
      <c r="BE714" s="1452">
        <f t="shared" si="393"/>
        <v>0</v>
      </c>
      <c r="BF714" s="1452">
        <f t="shared" si="394"/>
        <v>0</v>
      </c>
      <c r="BG714" s="1452">
        <f t="shared" si="395"/>
        <v>0</v>
      </c>
      <c r="BH714" s="1452">
        <f t="shared" si="396"/>
        <v>0</v>
      </c>
      <c r="BI714" s="1452">
        <f t="shared" si="413"/>
        <v>0</v>
      </c>
      <c r="BJ714" s="1452" t="str">
        <f t="shared" si="397"/>
        <v/>
      </c>
      <c r="BK714" s="1452" t="str">
        <f t="shared" si="398"/>
        <v/>
      </c>
      <c r="BL714" s="1452" t="str">
        <f t="shared" si="399"/>
        <v/>
      </c>
      <c r="BM714" s="1452" t="str">
        <f t="shared" si="400"/>
        <v/>
      </c>
      <c r="BN714" s="1452" t="str">
        <f t="shared" ca="1" si="401"/>
        <v/>
      </c>
      <c r="BO714" s="1452" t="str">
        <f t="shared" si="414"/>
        <v/>
      </c>
      <c r="BP714" s="1452" t="str">
        <f t="shared" si="402"/>
        <v/>
      </c>
      <c r="BQ714" s="1452" t="str">
        <f t="shared" si="403"/>
        <v/>
      </c>
      <c r="BR714" s="1452" t="str">
        <f t="shared" si="404"/>
        <v/>
      </c>
      <c r="BS714" s="1452" t="str">
        <f t="shared" si="405"/>
        <v/>
      </c>
      <c r="BT714" s="1452" t="str">
        <f t="shared" si="406"/>
        <v/>
      </c>
      <c r="BU714" s="1452" t="str">
        <f t="shared" si="407"/>
        <v/>
      </c>
      <c r="BV714" s="1452" t="str">
        <f t="shared" si="408"/>
        <v/>
      </c>
      <c r="BW714" s="1558">
        <f t="shared" ca="1" si="415"/>
        <v>0</v>
      </c>
    </row>
    <row r="715" spans="1:75" s="9" customFormat="1" ht="12.5">
      <c r="A715" s="1483" t="str">
        <f t="shared" si="409"/>
        <v>Public Health Wales Trust</v>
      </c>
      <c r="B715" s="1583"/>
      <c r="C715" s="1583"/>
      <c r="D715" s="1583"/>
      <c r="E715" s="1585"/>
      <c r="F715" s="1436"/>
      <c r="G715" s="1547">
        <f t="shared" si="410"/>
        <v>0</v>
      </c>
      <c r="H715" s="1484"/>
      <c r="I715" s="1547">
        <f t="shared" si="411"/>
        <v>0</v>
      </c>
      <c r="J715" s="1485"/>
      <c r="K715" s="1485"/>
      <c r="L715" s="1436"/>
      <c r="M715" s="1439"/>
      <c r="N715" s="1439"/>
      <c r="O715" s="1485"/>
      <c r="P715" s="1486"/>
      <c r="Q715" s="1486"/>
      <c r="R715" s="1487"/>
      <c r="S715" s="1444"/>
      <c r="T715" s="1444"/>
      <c r="U715" s="1444"/>
      <c r="V715" s="1488"/>
      <c r="W715" s="1488"/>
      <c r="X715" s="1488"/>
      <c r="Y715" s="1488"/>
      <c r="Z715" s="1488"/>
      <c r="AA715" s="1488"/>
      <c r="AB715" s="1488"/>
      <c r="AC715" s="1488"/>
      <c r="AD715" s="1488"/>
      <c r="AE715" s="1488"/>
      <c r="AF715" s="1488"/>
      <c r="AG715" s="1488"/>
      <c r="AH715" s="1451">
        <f t="shared" si="383"/>
        <v>0</v>
      </c>
      <c r="AI715" s="1488"/>
      <c r="AJ715" s="1488"/>
      <c r="AK715" s="1488"/>
      <c r="AL715" s="1488"/>
      <c r="AM715" s="1488"/>
      <c r="AN715" s="1488"/>
      <c r="AO715" s="1488"/>
      <c r="AP715" s="1488"/>
      <c r="AQ715" s="1488"/>
      <c r="AR715" s="1488"/>
      <c r="AS715" s="1488"/>
      <c r="AT715" s="1542"/>
      <c r="AU715" s="1599">
        <f t="shared" si="384"/>
        <v>0</v>
      </c>
      <c r="AV715" s="1544">
        <f t="shared" si="412"/>
        <v>0</v>
      </c>
      <c r="AW715" s="1452">
        <f t="shared" si="385"/>
        <v>0</v>
      </c>
      <c r="AX715" s="1452">
        <f t="shared" si="386"/>
        <v>0</v>
      </c>
      <c r="AY715" s="1452">
        <f t="shared" si="387"/>
        <v>0</v>
      </c>
      <c r="AZ715" s="1452">
        <f t="shared" si="388"/>
        <v>0</v>
      </c>
      <c r="BA715" s="1452">
        <f t="shared" si="389"/>
        <v>0</v>
      </c>
      <c r="BB715" s="1452">
        <f t="shared" si="390"/>
        <v>0</v>
      </c>
      <c r="BC715" s="1452">
        <f t="shared" si="391"/>
        <v>0</v>
      </c>
      <c r="BD715" s="1452">
        <f t="shared" si="392"/>
        <v>0</v>
      </c>
      <c r="BE715" s="1452">
        <f t="shared" si="393"/>
        <v>0</v>
      </c>
      <c r="BF715" s="1452">
        <f t="shared" si="394"/>
        <v>0</v>
      </c>
      <c r="BG715" s="1452">
        <f t="shared" si="395"/>
        <v>0</v>
      </c>
      <c r="BH715" s="1452">
        <f t="shared" si="396"/>
        <v>0</v>
      </c>
      <c r="BI715" s="1452">
        <f t="shared" si="413"/>
        <v>0</v>
      </c>
      <c r="BJ715" s="1452" t="str">
        <f t="shared" si="397"/>
        <v/>
      </c>
      <c r="BK715" s="1452" t="str">
        <f t="shared" si="398"/>
        <v/>
      </c>
      <c r="BL715" s="1452" t="str">
        <f t="shared" si="399"/>
        <v/>
      </c>
      <c r="BM715" s="1452" t="str">
        <f t="shared" si="400"/>
        <v/>
      </c>
      <c r="BN715" s="1452" t="str">
        <f t="shared" ca="1" si="401"/>
        <v/>
      </c>
      <c r="BO715" s="1452" t="str">
        <f t="shared" si="414"/>
        <v/>
      </c>
      <c r="BP715" s="1452" t="str">
        <f t="shared" si="402"/>
        <v/>
      </c>
      <c r="BQ715" s="1452" t="str">
        <f t="shared" si="403"/>
        <v/>
      </c>
      <c r="BR715" s="1452" t="str">
        <f t="shared" si="404"/>
        <v/>
      </c>
      <c r="BS715" s="1452" t="str">
        <f t="shared" si="405"/>
        <v/>
      </c>
      <c r="BT715" s="1452" t="str">
        <f t="shared" si="406"/>
        <v/>
      </c>
      <c r="BU715" s="1452" t="str">
        <f t="shared" si="407"/>
        <v/>
      </c>
      <c r="BV715" s="1452" t="str">
        <f t="shared" si="408"/>
        <v/>
      </c>
      <c r="BW715" s="1558">
        <f t="shared" ca="1" si="415"/>
        <v>0</v>
      </c>
    </row>
    <row r="716" spans="1:75" s="9" customFormat="1" ht="12.5">
      <c r="A716" s="1483" t="str">
        <f t="shared" si="409"/>
        <v>Public Health Wales Trust</v>
      </c>
      <c r="B716" s="1583"/>
      <c r="C716" s="1583"/>
      <c r="D716" s="1583"/>
      <c r="E716" s="1585"/>
      <c r="F716" s="1436"/>
      <c r="G716" s="1547">
        <f t="shared" si="410"/>
        <v>0</v>
      </c>
      <c r="H716" s="1484"/>
      <c r="I716" s="1547">
        <f t="shared" si="411"/>
        <v>0</v>
      </c>
      <c r="J716" s="1485"/>
      <c r="K716" s="1485"/>
      <c r="L716" s="1436"/>
      <c r="M716" s="1439"/>
      <c r="N716" s="1439"/>
      <c r="O716" s="1485"/>
      <c r="P716" s="1486"/>
      <c r="Q716" s="1486"/>
      <c r="R716" s="1487"/>
      <c r="S716" s="1444"/>
      <c r="T716" s="1444"/>
      <c r="U716" s="1444"/>
      <c r="V716" s="1488"/>
      <c r="W716" s="1488"/>
      <c r="X716" s="1488"/>
      <c r="Y716" s="1488"/>
      <c r="Z716" s="1488"/>
      <c r="AA716" s="1488"/>
      <c r="AB716" s="1488"/>
      <c r="AC716" s="1488"/>
      <c r="AD716" s="1488"/>
      <c r="AE716" s="1488"/>
      <c r="AF716" s="1488"/>
      <c r="AG716" s="1488"/>
      <c r="AH716" s="1451">
        <f t="shared" si="383"/>
        <v>0</v>
      </c>
      <c r="AI716" s="1488"/>
      <c r="AJ716" s="1488"/>
      <c r="AK716" s="1488"/>
      <c r="AL716" s="1488"/>
      <c r="AM716" s="1488"/>
      <c r="AN716" s="1488"/>
      <c r="AO716" s="1488"/>
      <c r="AP716" s="1488"/>
      <c r="AQ716" s="1488"/>
      <c r="AR716" s="1488"/>
      <c r="AS716" s="1488"/>
      <c r="AT716" s="1542"/>
      <c r="AU716" s="1599">
        <f t="shared" si="384"/>
        <v>0</v>
      </c>
      <c r="AV716" s="1544">
        <f t="shared" si="412"/>
        <v>0</v>
      </c>
      <c r="AW716" s="1452">
        <f t="shared" si="385"/>
        <v>0</v>
      </c>
      <c r="AX716" s="1452">
        <f t="shared" si="386"/>
        <v>0</v>
      </c>
      <c r="AY716" s="1452">
        <f t="shared" si="387"/>
        <v>0</v>
      </c>
      <c r="AZ716" s="1452">
        <f t="shared" si="388"/>
        <v>0</v>
      </c>
      <c r="BA716" s="1452">
        <f t="shared" si="389"/>
        <v>0</v>
      </c>
      <c r="BB716" s="1452">
        <f t="shared" si="390"/>
        <v>0</v>
      </c>
      <c r="BC716" s="1452">
        <f t="shared" si="391"/>
        <v>0</v>
      </c>
      <c r="BD716" s="1452">
        <f t="shared" si="392"/>
        <v>0</v>
      </c>
      <c r="BE716" s="1452">
        <f t="shared" si="393"/>
        <v>0</v>
      </c>
      <c r="BF716" s="1452">
        <f t="shared" si="394"/>
        <v>0</v>
      </c>
      <c r="BG716" s="1452">
        <f t="shared" si="395"/>
        <v>0</v>
      </c>
      <c r="BH716" s="1452">
        <f t="shared" si="396"/>
        <v>0</v>
      </c>
      <c r="BI716" s="1452">
        <f t="shared" si="413"/>
        <v>0</v>
      </c>
      <c r="BJ716" s="1452" t="str">
        <f t="shared" si="397"/>
        <v/>
      </c>
      <c r="BK716" s="1452" t="str">
        <f t="shared" si="398"/>
        <v/>
      </c>
      <c r="BL716" s="1452" t="str">
        <f t="shared" si="399"/>
        <v/>
      </c>
      <c r="BM716" s="1452" t="str">
        <f t="shared" si="400"/>
        <v/>
      </c>
      <c r="BN716" s="1452" t="str">
        <f t="shared" ca="1" si="401"/>
        <v/>
      </c>
      <c r="BO716" s="1452" t="str">
        <f t="shared" si="414"/>
        <v/>
      </c>
      <c r="BP716" s="1452" t="str">
        <f t="shared" si="402"/>
        <v/>
      </c>
      <c r="BQ716" s="1452" t="str">
        <f t="shared" si="403"/>
        <v/>
      </c>
      <c r="BR716" s="1452" t="str">
        <f t="shared" si="404"/>
        <v/>
      </c>
      <c r="BS716" s="1452" t="str">
        <f t="shared" si="405"/>
        <v/>
      </c>
      <c r="BT716" s="1452" t="str">
        <f t="shared" si="406"/>
        <v/>
      </c>
      <c r="BU716" s="1452" t="str">
        <f t="shared" si="407"/>
        <v/>
      </c>
      <c r="BV716" s="1452" t="str">
        <f t="shared" si="408"/>
        <v/>
      </c>
      <c r="BW716" s="1558">
        <f t="shared" ca="1" si="415"/>
        <v>0</v>
      </c>
    </row>
    <row r="717" spans="1:75" s="9" customFormat="1" ht="12.5">
      <c r="A717" s="1483" t="str">
        <f t="shared" si="409"/>
        <v>Public Health Wales Trust</v>
      </c>
      <c r="B717" s="1583"/>
      <c r="C717" s="1583"/>
      <c r="D717" s="1583"/>
      <c r="E717" s="1585"/>
      <c r="F717" s="1436"/>
      <c r="G717" s="1547">
        <f t="shared" si="410"/>
        <v>0</v>
      </c>
      <c r="H717" s="1484"/>
      <c r="I717" s="1547">
        <f t="shared" si="411"/>
        <v>0</v>
      </c>
      <c r="J717" s="1485"/>
      <c r="K717" s="1485"/>
      <c r="L717" s="1436"/>
      <c r="M717" s="1439"/>
      <c r="N717" s="1439"/>
      <c r="O717" s="1485"/>
      <c r="P717" s="1486"/>
      <c r="Q717" s="1486"/>
      <c r="R717" s="1487"/>
      <c r="S717" s="1444"/>
      <c r="T717" s="1444"/>
      <c r="U717" s="1444"/>
      <c r="V717" s="1488"/>
      <c r="W717" s="1488"/>
      <c r="X717" s="1488"/>
      <c r="Y717" s="1488"/>
      <c r="Z717" s="1488"/>
      <c r="AA717" s="1488"/>
      <c r="AB717" s="1488"/>
      <c r="AC717" s="1488"/>
      <c r="AD717" s="1488"/>
      <c r="AE717" s="1488"/>
      <c r="AF717" s="1488"/>
      <c r="AG717" s="1488"/>
      <c r="AH717" s="1451">
        <f t="shared" si="383"/>
        <v>0</v>
      </c>
      <c r="AI717" s="1488"/>
      <c r="AJ717" s="1488"/>
      <c r="AK717" s="1488"/>
      <c r="AL717" s="1488"/>
      <c r="AM717" s="1488"/>
      <c r="AN717" s="1488"/>
      <c r="AO717" s="1488"/>
      <c r="AP717" s="1488"/>
      <c r="AQ717" s="1488"/>
      <c r="AR717" s="1488"/>
      <c r="AS717" s="1488"/>
      <c r="AT717" s="1542"/>
      <c r="AU717" s="1599">
        <f t="shared" si="384"/>
        <v>0</v>
      </c>
      <c r="AV717" s="1544">
        <f t="shared" si="412"/>
        <v>0</v>
      </c>
      <c r="AW717" s="1452">
        <f t="shared" si="385"/>
        <v>0</v>
      </c>
      <c r="AX717" s="1452">
        <f t="shared" si="386"/>
        <v>0</v>
      </c>
      <c r="AY717" s="1452">
        <f t="shared" si="387"/>
        <v>0</v>
      </c>
      <c r="AZ717" s="1452">
        <f t="shared" si="388"/>
        <v>0</v>
      </c>
      <c r="BA717" s="1452">
        <f t="shared" si="389"/>
        <v>0</v>
      </c>
      <c r="BB717" s="1452">
        <f t="shared" si="390"/>
        <v>0</v>
      </c>
      <c r="BC717" s="1452">
        <f t="shared" si="391"/>
        <v>0</v>
      </c>
      <c r="BD717" s="1452">
        <f t="shared" si="392"/>
        <v>0</v>
      </c>
      <c r="BE717" s="1452">
        <f t="shared" si="393"/>
        <v>0</v>
      </c>
      <c r="BF717" s="1452">
        <f t="shared" si="394"/>
        <v>0</v>
      </c>
      <c r="BG717" s="1452">
        <f t="shared" si="395"/>
        <v>0</v>
      </c>
      <c r="BH717" s="1452">
        <f t="shared" si="396"/>
        <v>0</v>
      </c>
      <c r="BI717" s="1452">
        <f t="shared" si="413"/>
        <v>0</v>
      </c>
      <c r="BJ717" s="1452" t="str">
        <f t="shared" si="397"/>
        <v/>
      </c>
      <c r="BK717" s="1452" t="str">
        <f t="shared" si="398"/>
        <v/>
      </c>
      <c r="BL717" s="1452" t="str">
        <f t="shared" si="399"/>
        <v/>
      </c>
      <c r="BM717" s="1452" t="str">
        <f t="shared" si="400"/>
        <v/>
      </c>
      <c r="BN717" s="1452" t="str">
        <f t="shared" ca="1" si="401"/>
        <v/>
      </c>
      <c r="BO717" s="1452" t="str">
        <f t="shared" si="414"/>
        <v/>
      </c>
      <c r="BP717" s="1452" t="str">
        <f t="shared" si="402"/>
        <v/>
      </c>
      <c r="BQ717" s="1452" t="str">
        <f t="shared" si="403"/>
        <v/>
      </c>
      <c r="BR717" s="1452" t="str">
        <f t="shared" si="404"/>
        <v/>
      </c>
      <c r="BS717" s="1452" t="str">
        <f t="shared" si="405"/>
        <v/>
      </c>
      <c r="BT717" s="1452" t="str">
        <f t="shared" si="406"/>
        <v/>
      </c>
      <c r="BU717" s="1452" t="str">
        <f t="shared" si="407"/>
        <v/>
      </c>
      <c r="BV717" s="1452" t="str">
        <f t="shared" si="408"/>
        <v/>
      </c>
      <c r="BW717" s="1558">
        <f t="shared" ca="1" si="415"/>
        <v>0</v>
      </c>
    </row>
    <row r="718" spans="1:75" s="9" customFormat="1" ht="12.5">
      <c r="A718" s="1483" t="str">
        <f t="shared" si="409"/>
        <v>Public Health Wales Trust</v>
      </c>
      <c r="B718" s="1583"/>
      <c r="C718" s="1583"/>
      <c r="D718" s="1583"/>
      <c r="E718" s="1585"/>
      <c r="F718" s="1436"/>
      <c r="G718" s="1547">
        <f t="shared" si="410"/>
        <v>0</v>
      </c>
      <c r="H718" s="1484"/>
      <c r="I718" s="1547">
        <f t="shared" si="411"/>
        <v>0</v>
      </c>
      <c r="J718" s="1485"/>
      <c r="K718" s="1485"/>
      <c r="L718" s="1436"/>
      <c r="M718" s="1439"/>
      <c r="N718" s="1439"/>
      <c r="O718" s="1485"/>
      <c r="P718" s="1486"/>
      <c r="Q718" s="1486"/>
      <c r="R718" s="1487"/>
      <c r="S718" s="1444"/>
      <c r="T718" s="1444"/>
      <c r="U718" s="1444"/>
      <c r="V718" s="1488"/>
      <c r="W718" s="1488"/>
      <c r="X718" s="1488"/>
      <c r="Y718" s="1488"/>
      <c r="Z718" s="1488"/>
      <c r="AA718" s="1488"/>
      <c r="AB718" s="1488"/>
      <c r="AC718" s="1488"/>
      <c r="AD718" s="1488"/>
      <c r="AE718" s="1488"/>
      <c r="AF718" s="1488"/>
      <c r="AG718" s="1488"/>
      <c r="AH718" s="1451">
        <f t="shared" si="383"/>
        <v>0</v>
      </c>
      <c r="AI718" s="1488"/>
      <c r="AJ718" s="1488"/>
      <c r="AK718" s="1488"/>
      <c r="AL718" s="1488"/>
      <c r="AM718" s="1488"/>
      <c r="AN718" s="1488"/>
      <c r="AO718" s="1488"/>
      <c r="AP718" s="1488"/>
      <c r="AQ718" s="1488"/>
      <c r="AR718" s="1488"/>
      <c r="AS718" s="1488"/>
      <c r="AT718" s="1542"/>
      <c r="AU718" s="1599">
        <f t="shared" si="384"/>
        <v>0</v>
      </c>
      <c r="AV718" s="1544">
        <f t="shared" si="412"/>
        <v>0</v>
      </c>
      <c r="AW718" s="1452">
        <f t="shared" si="385"/>
        <v>0</v>
      </c>
      <c r="AX718" s="1452">
        <f t="shared" si="386"/>
        <v>0</v>
      </c>
      <c r="AY718" s="1452">
        <f t="shared" si="387"/>
        <v>0</v>
      </c>
      <c r="AZ718" s="1452">
        <f t="shared" si="388"/>
        <v>0</v>
      </c>
      <c r="BA718" s="1452">
        <f t="shared" si="389"/>
        <v>0</v>
      </c>
      <c r="BB718" s="1452">
        <f t="shared" si="390"/>
        <v>0</v>
      </c>
      <c r="BC718" s="1452">
        <f t="shared" si="391"/>
        <v>0</v>
      </c>
      <c r="BD718" s="1452">
        <f t="shared" si="392"/>
        <v>0</v>
      </c>
      <c r="BE718" s="1452">
        <f t="shared" si="393"/>
        <v>0</v>
      </c>
      <c r="BF718" s="1452">
        <f t="shared" si="394"/>
        <v>0</v>
      </c>
      <c r="BG718" s="1452">
        <f t="shared" si="395"/>
        <v>0</v>
      </c>
      <c r="BH718" s="1452">
        <f t="shared" si="396"/>
        <v>0</v>
      </c>
      <c r="BI718" s="1452">
        <f t="shared" si="413"/>
        <v>0</v>
      </c>
      <c r="BJ718" s="1452" t="str">
        <f t="shared" si="397"/>
        <v/>
      </c>
      <c r="BK718" s="1452" t="str">
        <f t="shared" si="398"/>
        <v/>
      </c>
      <c r="BL718" s="1452" t="str">
        <f t="shared" si="399"/>
        <v/>
      </c>
      <c r="BM718" s="1452" t="str">
        <f t="shared" si="400"/>
        <v/>
      </c>
      <c r="BN718" s="1452" t="str">
        <f t="shared" ca="1" si="401"/>
        <v/>
      </c>
      <c r="BO718" s="1452" t="str">
        <f t="shared" si="414"/>
        <v/>
      </c>
      <c r="BP718" s="1452" t="str">
        <f t="shared" si="402"/>
        <v/>
      </c>
      <c r="BQ718" s="1452" t="str">
        <f t="shared" si="403"/>
        <v/>
      </c>
      <c r="BR718" s="1452" t="str">
        <f t="shared" si="404"/>
        <v/>
      </c>
      <c r="BS718" s="1452" t="str">
        <f t="shared" si="405"/>
        <v/>
      </c>
      <c r="BT718" s="1452" t="str">
        <f t="shared" si="406"/>
        <v/>
      </c>
      <c r="BU718" s="1452" t="str">
        <f t="shared" si="407"/>
        <v/>
      </c>
      <c r="BV718" s="1452" t="str">
        <f t="shared" si="408"/>
        <v/>
      </c>
      <c r="BW718" s="1558">
        <f t="shared" ca="1" si="415"/>
        <v>0</v>
      </c>
    </row>
    <row r="719" spans="1:75" s="9" customFormat="1" ht="12.5">
      <c r="A719" s="1483" t="str">
        <f t="shared" si="409"/>
        <v>Public Health Wales Trust</v>
      </c>
      <c r="B719" s="1583"/>
      <c r="C719" s="1583"/>
      <c r="D719" s="1583"/>
      <c r="E719" s="1444"/>
      <c r="F719" s="1436"/>
      <c r="G719" s="1547">
        <f t="shared" si="410"/>
        <v>0</v>
      </c>
      <c r="H719" s="1484"/>
      <c r="I719" s="1547">
        <f t="shared" si="411"/>
        <v>0</v>
      </c>
      <c r="J719" s="1491"/>
      <c r="K719" s="1491"/>
      <c r="L719" s="1436"/>
      <c r="M719" s="1439"/>
      <c r="N719" s="1439"/>
      <c r="O719" s="1485"/>
      <c r="P719" s="1486"/>
      <c r="Q719" s="1486"/>
      <c r="R719" s="1487"/>
      <c r="S719" s="1444"/>
      <c r="T719" s="1444"/>
      <c r="U719" s="1444"/>
      <c r="V719" s="1488"/>
      <c r="W719" s="1488"/>
      <c r="X719" s="1488"/>
      <c r="Y719" s="1488"/>
      <c r="Z719" s="1488"/>
      <c r="AA719" s="1488"/>
      <c r="AB719" s="1488"/>
      <c r="AC719" s="1488"/>
      <c r="AD719" s="1488"/>
      <c r="AE719" s="1488"/>
      <c r="AF719" s="1488"/>
      <c r="AG719" s="1488"/>
      <c r="AH719" s="1451">
        <f t="shared" si="383"/>
        <v>0</v>
      </c>
      <c r="AI719" s="1488"/>
      <c r="AJ719" s="1488"/>
      <c r="AK719" s="1488"/>
      <c r="AL719" s="1488"/>
      <c r="AM719" s="1488"/>
      <c r="AN719" s="1488"/>
      <c r="AO719" s="1488"/>
      <c r="AP719" s="1488"/>
      <c r="AQ719" s="1488"/>
      <c r="AR719" s="1488"/>
      <c r="AS719" s="1488"/>
      <c r="AT719" s="1542"/>
      <c r="AU719" s="1599">
        <f t="shared" si="384"/>
        <v>0</v>
      </c>
      <c r="AV719" s="1544">
        <f t="shared" si="412"/>
        <v>0</v>
      </c>
      <c r="AW719" s="1452">
        <f t="shared" si="385"/>
        <v>0</v>
      </c>
      <c r="AX719" s="1452">
        <f t="shared" si="386"/>
        <v>0</v>
      </c>
      <c r="AY719" s="1452">
        <f t="shared" si="387"/>
        <v>0</v>
      </c>
      <c r="AZ719" s="1452">
        <f t="shared" si="388"/>
        <v>0</v>
      </c>
      <c r="BA719" s="1452">
        <f t="shared" si="389"/>
        <v>0</v>
      </c>
      <c r="BB719" s="1452">
        <f t="shared" si="390"/>
        <v>0</v>
      </c>
      <c r="BC719" s="1452">
        <f t="shared" si="391"/>
        <v>0</v>
      </c>
      <c r="BD719" s="1452">
        <f t="shared" si="392"/>
        <v>0</v>
      </c>
      <c r="BE719" s="1452">
        <f t="shared" si="393"/>
        <v>0</v>
      </c>
      <c r="BF719" s="1452">
        <f t="shared" si="394"/>
        <v>0</v>
      </c>
      <c r="BG719" s="1452">
        <f t="shared" si="395"/>
        <v>0</v>
      </c>
      <c r="BH719" s="1452">
        <f t="shared" si="396"/>
        <v>0</v>
      </c>
      <c r="BI719" s="1452">
        <f t="shared" si="413"/>
        <v>0</v>
      </c>
      <c r="BJ719" s="1452" t="str">
        <f t="shared" si="397"/>
        <v/>
      </c>
      <c r="BK719" s="1452" t="str">
        <f t="shared" si="398"/>
        <v/>
      </c>
      <c r="BL719" s="1452" t="str">
        <f t="shared" si="399"/>
        <v/>
      </c>
      <c r="BM719" s="1452" t="str">
        <f t="shared" si="400"/>
        <v/>
      </c>
      <c r="BN719" s="1452" t="str">
        <f t="shared" ca="1" si="401"/>
        <v/>
      </c>
      <c r="BO719" s="1452" t="str">
        <f t="shared" si="414"/>
        <v/>
      </c>
      <c r="BP719" s="1452" t="str">
        <f t="shared" si="402"/>
        <v/>
      </c>
      <c r="BQ719" s="1452" t="str">
        <f t="shared" si="403"/>
        <v/>
      </c>
      <c r="BR719" s="1452" t="str">
        <f t="shared" si="404"/>
        <v/>
      </c>
      <c r="BS719" s="1452" t="str">
        <f t="shared" si="405"/>
        <v/>
      </c>
      <c r="BT719" s="1452" t="str">
        <f t="shared" si="406"/>
        <v/>
      </c>
      <c r="BU719" s="1452" t="str">
        <f t="shared" si="407"/>
        <v/>
      </c>
      <c r="BV719" s="1452" t="str">
        <f t="shared" si="408"/>
        <v/>
      </c>
      <c r="BW719" s="1558">
        <f t="shared" ca="1" si="415"/>
        <v>0</v>
      </c>
    </row>
    <row r="720" spans="1:75" s="9" customFormat="1" ht="12.5">
      <c r="A720" s="1483" t="str">
        <f t="shared" si="409"/>
        <v>Public Health Wales Trust</v>
      </c>
      <c r="B720" s="1583"/>
      <c r="C720" s="1583"/>
      <c r="D720" s="1583"/>
      <c r="E720" s="1444"/>
      <c r="F720" s="1436"/>
      <c r="G720" s="1547">
        <f t="shared" si="410"/>
        <v>0</v>
      </c>
      <c r="H720" s="1484"/>
      <c r="I720" s="1547">
        <f t="shared" si="411"/>
        <v>0</v>
      </c>
      <c r="J720" s="1492"/>
      <c r="K720" s="1492"/>
      <c r="L720" s="1436"/>
      <c r="M720" s="1439"/>
      <c r="N720" s="1439"/>
      <c r="O720" s="1485"/>
      <c r="P720" s="1486"/>
      <c r="Q720" s="1486"/>
      <c r="R720" s="1487"/>
      <c r="S720" s="1444"/>
      <c r="T720" s="1444"/>
      <c r="U720" s="1444"/>
      <c r="V720" s="1488"/>
      <c r="W720" s="1488"/>
      <c r="X720" s="1488"/>
      <c r="Y720" s="1488"/>
      <c r="Z720" s="1488"/>
      <c r="AA720" s="1488"/>
      <c r="AB720" s="1488"/>
      <c r="AC720" s="1488"/>
      <c r="AD720" s="1488"/>
      <c r="AE720" s="1488"/>
      <c r="AF720" s="1488"/>
      <c r="AG720" s="1488"/>
      <c r="AH720" s="1451">
        <f t="shared" si="383"/>
        <v>0</v>
      </c>
      <c r="AI720" s="1488"/>
      <c r="AJ720" s="1488"/>
      <c r="AK720" s="1488"/>
      <c r="AL720" s="1488"/>
      <c r="AM720" s="1488"/>
      <c r="AN720" s="1488"/>
      <c r="AO720" s="1488"/>
      <c r="AP720" s="1488"/>
      <c r="AQ720" s="1488"/>
      <c r="AR720" s="1488"/>
      <c r="AS720" s="1488"/>
      <c r="AT720" s="1542"/>
      <c r="AU720" s="1599">
        <f t="shared" si="384"/>
        <v>0</v>
      </c>
      <c r="AV720" s="1544">
        <f t="shared" si="412"/>
        <v>0</v>
      </c>
      <c r="AW720" s="1452">
        <f t="shared" si="385"/>
        <v>0</v>
      </c>
      <c r="AX720" s="1452">
        <f t="shared" si="386"/>
        <v>0</v>
      </c>
      <c r="AY720" s="1452">
        <f t="shared" si="387"/>
        <v>0</v>
      </c>
      <c r="AZ720" s="1452">
        <f t="shared" si="388"/>
        <v>0</v>
      </c>
      <c r="BA720" s="1452">
        <f t="shared" si="389"/>
        <v>0</v>
      </c>
      <c r="BB720" s="1452">
        <f t="shared" si="390"/>
        <v>0</v>
      </c>
      <c r="BC720" s="1452">
        <f t="shared" si="391"/>
        <v>0</v>
      </c>
      <c r="BD720" s="1452">
        <f t="shared" si="392"/>
        <v>0</v>
      </c>
      <c r="BE720" s="1452">
        <f t="shared" si="393"/>
        <v>0</v>
      </c>
      <c r="BF720" s="1452">
        <f t="shared" si="394"/>
        <v>0</v>
      </c>
      <c r="BG720" s="1452">
        <f t="shared" si="395"/>
        <v>0</v>
      </c>
      <c r="BH720" s="1452">
        <f t="shared" si="396"/>
        <v>0</v>
      </c>
      <c r="BI720" s="1452">
        <f t="shared" si="413"/>
        <v>0</v>
      </c>
      <c r="BJ720" s="1452" t="str">
        <f t="shared" si="397"/>
        <v/>
      </c>
      <c r="BK720" s="1452" t="str">
        <f t="shared" si="398"/>
        <v/>
      </c>
      <c r="BL720" s="1452" t="str">
        <f t="shared" si="399"/>
        <v/>
      </c>
      <c r="BM720" s="1452" t="str">
        <f t="shared" si="400"/>
        <v/>
      </c>
      <c r="BN720" s="1452" t="str">
        <f t="shared" ca="1" si="401"/>
        <v/>
      </c>
      <c r="BO720" s="1452" t="str">
        <f t="shared" si="414"/>
        <v/>
      </c>
      <c r="BP720" s="1452" t="str">
        <f t="shared" si="402"/>
        <v/>
      </c>
      <c r="BQ720" s="1452" t="str">
        <f t="shared" si="403"/>
        <v/>
      </c>
      <c r="BR720" s="1452" t="str">
        <f t="shared" si="404"/>
        <v/>
      </c>
      <c r="BS720" s="1452" t="str">
        <f t="shared" si="405"/>
        <v/>
      </c>
      <c r="BT720" s="1452" t="str">
        <f t="shared" si="406"/>
        <v/>
      </c>
      <c r="BU720" s="1452" t="str">
        <f t="shared" si="407"/>
        <v/>
      </c>
      <c r="BV720" s="1452" t="str">
        <f t="shared" si="408"/>
        <v/>
      </c>
      <c r="BW720" s="1558">
        <f t="shared" ca="1" si="415"/>
        <v>0</v>
      </c>
    </row>
    <row r="721" spans="1:75" s="9" customFormat="1" ht="12.5">
      <c r="A721" s="1483" t="str">
        <f t="shared" si="409"/>
        <v>Public Health Wales Trust</v>
      </c>
      <c r="B721" s="1583"/>
      <c r="C721" s="1583"/>
      <c r="D721" s="1583"/>
      <c r="E721" s="1444"/>
      <c r="F721" s="1436"/>
      <c r="G721" s="1547">
        <f t="shared" si="410"/>
        <v>0</v>
      </c>
      <c r="H721" s="1484"/>
      <c r="I721" s="1547">
        <f t="shared" si="411"/>
        <v>0</v>
      </c>
      <c r="J721" s="1485"/>
      <c r="K721" s="1485"/>
      <c r="L721" s="1436"/>
      <c r="M721" s="1439"/>
      <c r="N721" s="1439"/>
      <c r="O721" s="1485"/>
      <c r="P721" s="1486"/>
      <c r="Q721" s="1486"/>
      <c r="R721" s="1487"/>
      <c r="S721" s="1444"/>
      <c r="T721" s="1444"/>
      <c r="U721" s="1444"/>
      <c r="V721" s="1488"/>
      <c r="W721" s="1488"/>
      <c r="X721" s="1488"/>
      <c r="Y721" s="1488"/>
      <c r="Z721" s="1488"/>
      <c r="AA721" s="1488"/>
      <c r="AB721" s="1488"/>
      <c r="AC721" s="1488"/>
      <c r="AD721" s="1488"/>
      <c r="AE721" s="1488"/>
      <c r="AF721" s="1488"/>
      <c r="AG721" s="1488"/>
      <c r="AH721" s="1451">
        <f t="shared" si="383"/>
        <v>0</v>
      </c>
      <c r="AI721" s="1488"/>
      <c r="AJ721" s="1488"/>
      <c r="AK721" s="1488"/>
      <c r="AL721" s="1488"/>
      <c r="AM721" s="1488"/>
      <c r="AN721" s="1488"/>
      <c r="AO721" s="1488"/>
      <c r="AP721" s="1488"/>
      <c r="AQ721" s="1488"/>
      <c r="AR721" s="1488"/>
      <c r="AS721" s="1488"/>
      <c r="AT721" s="1542"/>
      <c r="AU721" s="1599">
        <f t="shared" si="384"/>
        <v>0</v>
      </c>
      <c r="AV721" s="1544">
        <f t="shared" si="412"/>
        <v>0</v>
      </c>
      <c r="AW721" s="1452">
        <f t="shared" si="385"/>
        <v>0</v>
      </c>
      <c r="AX721" s="1452">
        <f t="shared" si="386"/>
        <v>0</v>
      </c>
      <c r="AY721" s="1452">
        <f t="shared" si="387"/>
        <v>0</v>
      </c>
      <c r="AZ721" s="1452">
        <f t="shared" si="388"/>
        <v>0</v>
      </c>
      <c r="BA721" s="1452">
        <f t="shared" si="389"/>
        <v>0</v>
      </c>
      <c r="BB721" s="1452">
        <f t="shared" si="390"/>
        <v>0</v>
      </c>
      <c r="BC721" s="1452">
        <f t="shared" si="391"/>
        <v>0</v>
      </c>
      <c r="BD721" s="1452">
        <f t="shared" si="392"/>
        <v>0</v>
      </c>
      <c r="BE721" s="1452">
        <f t="shared" si="393"/>
        <v>0</v>
      </c>
      <c r="BF721" s="1452">
        <f t="shared" si="394"/>
        <v>0</v>
      </c>
      <c r="BG721" s="1452">
        <f t="shared" si="395"/>
        <v>0</v>
      </c>
      <c r="BH721" s="1452">
        <f t="shared" si="396"/>
        <v>0</v>
      </c>
      <c r="BI721" s="1452">
        <f t="shared" si="413"/>
        <v>0</v>
      </c>
      <c r="BJ721" s="1452" t="str">
        <f t="shared" si="397"/>
        <v/>
      </c>
      <c r="BK721" s="1452" t="str">
        <f t="shared" si="398"/>
        <v/>
      </c>
      <c r="BL721" s="1452" t="str">
        <f t="shared" si="399"/>
        <v/>
      </c>
      <c r="BM721" s="1452" t="str">
        <f t="shared" si="400"/>
        <v/>
      </c>
      <c r="BN721" s="1452" t="str">
        <f t="shared" ca="1" si="401"/>
        <v/>
      </c>
      <c r="BO721" s="1452" t="str">
        <f t="shared" si="414"/>
        <v/>
      </c>
      <c r="BP721" s="1452" t="str">
        <f t="shared" si="402"/>
        <v/>
      </c>
      <c r="BQ721" s="1452" t="str">
        <f t="shared" si="403"/>
        <v/>
      </c>
      <c r="BR721" s="1452" t="str">
        <f t="shared" si="404"/>
        <v/>
      </c>
      <c r="BS721" s="1452" t="str">
        <f t="shared" si="405"/>
        <v/>
      </c>
      <c r="BT721" s="1452" t="str">
        <f t="shared" si="406"/>
        <v/>
      </c>
      <c r="BU721" s="1452" t="str">
        <f t="shared" si="407"/>
        <v/>
      </c>
      <c r="BV721" s="1452" t="str">
        <f t="shared" si="408"/>
        <v/>
      </c>
      <c r="BW721" s="1558">
        <f t="shared" ca="1" si="415"/>
        <v>0</v>
      </c>
    </row>
    <row r="722" spans="1:75" s="9" customFormat="1" ht="12.5">
      <c r="A722" s="1483" t="str">
        <f t="shared" si="409"/>
        <v>Public Health Wales Trust</v>
      </c>
      <c r="B722" s="1583"/>
      <c r="C722" s="1583"/>
      <c r="D722" s="1583"/>
      <c r="E722" s="1444"/>
      <c r="F722" s="1436"/>
      <c r="G722" s="1547">
        <f t="shared" si="410"/>
        <v>0</v>
      </c>
      <c r="H722" s="1484"/>
      <c r="I722" s="1547">
        <f t="shared" si="411"/>
        <v>0</v>
      </c>
      <c r="J722" s="1491"/>
      <c r="K722" s="1491"/>
      <c r="L722" s="1436"/>
      <c r="M722" s="1439"/>
      <c r="N722" s="1439"/>
      <c r="O722" s="1485"/>
      <c r="P722" s="1486"/>
      <c r="Q722" s="1486"/>
      <c r="R722" s="1487"/>
      <c r="S722" s="1444"/>
      <c r="T722" s="1444"/>
      <c r="U722" s="1444"/>
      <c r="V722" s="1488"/>
      <c r="W722" s="1488"/>
      <c r="X722" s="1488"/>
      <c r="Y722" s="1488"/>
      <c r="Z722" s="1488"/>
      <c r="AA722" s="1488"/>
      <c r="AB722" s="1488"/>
      <c r="AC722" s="1488"/>
      <c r="AD722" s="1488"/>
      <c r="AE722" s="1488"/>
      <c r="AF722" s="1488"/>
      <c r="AG722" s="1488"/>
      <c r="AH722" s="1451">
        <f t="shared" si="383"/>
        <v>0</v>
      </c>
      <c r="AI722" s="1488"/>
      <c r="AJ722" s="1488"/>
      <c r="AK722" s="1488"/>
      <c r="AL722" s="1488"/>
      <c r="AM722" s="1488"/>
      <c r="AN722" s="1488"/>
      <c r="AO722" s="1488"/>
      <c r="AP722" s="1488"/>
      <c r="AQ722" s="1488"/>
      <c r="AR722" s="1488"/>
      <c r="AS722" s="1488"/>
      <c r="AT722" s="1542"/>
      <c r="AU722" s="1599">
        <f t="shared" si="384"/>
        <v>0</v>
      </c>
      <c r="AV722" s="1544">
        <f t="shared" si="412"/>
        <v>0</v>
      </c>
      <c r="AW722" s="1452">
        <f t="shared" si="385"/>
        <v>0</v>
      </c>
      <c r="AX722" s="1452">
        <f t="shared" si="386"/>
        <v>0</v>
      </c>
      <c r="AY722" s="1452">
        <f t="shared" si="387"/>
        <v>0</v>
      </c>
      <c r="AZ722" s="1452">
        <f t="shared" si="388"/>
        <v>0</v>
      </c>
      <c r="BA722" s="1452">
        <f t="shared" si="389"/>
        <v>0</v>
      </c>
      <c r="BB722" s="1452">
        <f t="shared" si="390"/>
        <v>0</v>
      </c>
      <c r="BC722" s="1452">
        <f t="shared" si="391"/>
        <v>0</v>
      </c>
      <c r="BD722" s="1452">
        <f t="shared" si="392"/>
        <v>0</v>
      </c>
      <c r="BE722" s="1452">
        <f t="shared" si="393"/>
        <v>0</v>
      </c>
      <c r="BF722" s="1452">
        <f t="shared" si="394"/>
        <v>0</v>
      </c>
      <c r="BG722" s="1452">
        <f t="shared" si="395"/>
        <v>0</v>
      </c>
      <c r="BH722" s="1452">
        <f t="shared" si="396"/>
        <v>0</v>
      </c>
      <c r="BI722" s="1452">
        <f t="shared" si="413"/>
        <v>0</v>
      </c>
      <c r="BJ722" s="1452" t="str">
        <f t="shared" si="397"/>
        <v/>
      </c>
      <c r="BK722" s="1452" t="str">
        <f t="shared" si="398"/>
        <v/>
      </c>
      <c r="BL722" s="1452" t="str">
        <f t="shared" si="399"/>
        <v/>
      </c>
      <c r="BM722" s="1452" t="str">
        <f t="shared" si="400"/>
        <v/>
      </c>
      <c r="BN722" s="1452" t="str">
        <f t="shared" ca="1" si="401"/>
        <v/>
      </c>
      <c r="BO722" s="1452" t="str">
        <f t="shared" si="414"/>
        <v/>
      </c>
      <c r="BP722" s="1452" t="str">
        <f t="shared" si="402"/>
        <v/>
      </c>
      <c r="BQ722" s="1452" t="str">
        <f t="shared" si="403"/>
        <v/>
      </c>
      <c r="BR722" s="1452" t="str">
        <f t="shared" si="404"/>
        <v/>
      </c>
      <c r="BS722" s="1452" t="str">
        <f t="shared" si="405"/>
        <v/>
      </c>
      <c r="BT722" s="1452" t="str">
        <f t="shared" si="406"/>
        <v/>
      </c>
      <c r="BU722" s="1452" t="str">
        <f t="shared" si="407"/>
        <v/>
      </c>
      <c r="BV722" s="1452" t="str">
        <f t="shared" si="408"/>
        <v/>
      </c>
      <c r="BW722" s="1558">
        <f t="shared" ca="1" si="415"/>
        <v>0</v>
      </c>
    </row>
    <row r="723" spans="1:75" s="9" customFormat="1" ht="12.5">
      <c r="A723" s="1483" t="str">
        <f t="shared" si="409"/>
        <v>Public Health Wales Trust</v>
      </c>
      <c r="B723" s="1583"/>
      <c r="C723" s="1583"/>
      <c r="D723" s="1583"/>
      <c r="E723" s="1586"/>
      <c r="F723" s="1436"/>
      <c r="G723" s="1547">
        <f t="shared" si="410"/>
        <v>0</v>
      </c>
      <c r="H723" s="1484"/>
      <c r="I723" s="1547">
        <f t="shared" si="411"/>
        <v>0</v>
      </c>
      <c r="J723" s="1485"/>
      <c r="K723" s="1485"/>
      <c r="L723" s="1436"/>
      <c r="M723" s="1439"/>
      <c r="N723" s="1439"/>
      <c r="O723" s="1485"/>
      <c r="P723" s="1486"/>
      <c r="Q723" s="1486"/>
      <c r="R723" s="1487"/>
      <c r="S723" s="1444"/>
      <c r="T723" s="1444"/>
      <c r="U723" s="1444"/>
      <c r="V723" s="1488"/>
      <c r="W723" s="1488"/>
      <c r="X723" s="1488"/>
      <c r="Y723" s="1488"/>
      <c r="Z723" s="1488"/>
      <c r="AA723" s="1488"/>
      <c r="AB723" s="1488"/>
      <c r="AC723" s="1488"/>
      <c r="AD723" s="1488"/>
      <c r="AE723" s="1488"/>
      <c r="AF723" s="1488"/>
      <c r="AG723" s="1488"/>
      <c r="AH723" s="1451">
        <f t="shared" si="383"/>
        <v>0</v>
      </c>
      <c r="AI723" s="1488"/>
      <c r="AJ723" s="1488"/>
      <c r="AK723" s="1488"/>
      <c r="AL723" s="1488"/>
      <c r="AM723" s="1488"/>
      <c r="AN723" s="1488"/>
      <c r="AO723" s="1488"/>
      <c r="AP723" s="1488"/>
      <c r="AQ723" s="1488"/>
      <c r="AR723" s="1488"/>
      <c r="AS723" s="1488"/>
      <c r="AT723" s="1542"/>
      <c r="AU723" s="1599">
        <f t="shared" si="384"/>
        <v>0</v>
      </c>
      <c r="AV723" s="1544">
        <f t="shared" si="412"/>
        <v>0</v>
      </c>
      <c r="AW723" s="1452">
        <f t="shared" si="385"/>
        <v>0</v>
      </c>
      <c r="AX723" s="1452">
        <f t="shared" si="386"/>
        <v>0</v>
      </c>
      <c r="AY723" s="1452">
        <f t="shared" si="387"/>
        <v>0</v>
      </c>
      <c r="AZ723" s="1452">
        <f t="shared" si="388"/>
        <v>0</v>
      </c>
      <c r="BA723" s="1452">
        <f t="shared" si="389"/>
        <v>0</v>
      </c>
      <c r="BB723" s="1452">
        <f t="shared" si="390"/>
        <v>0</v>
      </c>
      <c r="BC723" s="1452">
        <f t="shared" si="391"/>
        <v>0</v>
      </c>
      <c r="BD723" s="1452">
        <f t="shared" si="392"/>
        <v>0</v>
      </c>
      <c r="BE723" s="1452">
        <f t="shared" si="393"/>
        <v>0</v>
      </c>
      <c r="BF723" s="1452">
        <f t="shared" si="394"/>
        <v>0</v>
      </c>
      <c r="BG723" s="1452">
        <f t="shared" si="395"/>
        <v>0</v>
      </c>
      <c r="BH723" s="1452">
        <f t="shared" si="396"/>
        <v>0</v>
      </c>
      <c r="BI723" s="1452">
        <f t="shared" si="413"/>
        <v>0</v>
      </c>
      <c r="BJ723" s="1452" t="str">
        <f t="shared" si="397"/>
        <v/>
      </c>
      <c r="BK723" s="1452" t="str">
        <f t="shared" si="398"/>
        <v/>
      </c>
      <c r="BL723" s="1452" t="str">
        <f t="shared" si="399"/>
        <v/>
      </c>
      <c r="BM723" s="1452" t="str">
        <f t="shared" si="400"/>
        <v/>
      </c>
      <c r="BN723" s="1452" t="str">
        <f t="shared" ca="1" si="401"/>
        <v/>
      </c>
      <c r="BO723" s="1452" t="str">
        <f t="shared" si="414"/>
        <v/>
      </c>
      <c r="BP723" s="1452" t="str">
        <f t="shared" si="402"/>
        <v/>
      </c>
      <c r="BQ723" s="1452" t="str">
        <f t="shared" si="403"/>
        <v/>
      </c>
      <c r="BR723" s="1452" t="str">
        <f t="shared" si="404"/>
        <v/>
      </c>
      <c r="BS723" s="1452" t="str">
        <f t="shared" si="405"/>
        <v/>
      </c>
      <c r="BT723" s="1452" t="str">
        <f t="shared" si="406"/>
        <v/>
      </c>
      <c r="BU723" s="1452" t="str">
        <f t="shared" si="407"/>
        <v/>
      </c>
      <c r="BV723" s="1452" t="str">
        <f t="shared" si="408"/>
        <v/>
      </c>
      <c r="BW723" s="1558">
        <f t="shared" ca="1" si="415"/>
        <v>0</v>
      </c>
    </row>
    <row r="724" spans="1:75" s="9" customFormat="1" ht="12.5">
      <c r="A724" s="1483" t="str">
        <f t="shared" si="409"/>
        <v>Public Health Wales Trust</v>
      </c>
      <c r="B724" s="1583"/>
      <c r="C724" s="1583"/>
      <c r="D724" s="1583"/>
      <c r="E724" s="1586"/>
      <c r="F724" s="1436"/>
      <c r="G724" s="1547">
        <f t="shared" si="410"/>
        <v>0</v>
      </c>
      <c r="H724" s="1484"/>
      <c r="I724" s="1547">
        <f t="shared" si="411"/>
        <v>0</v>
      </c>
      <c r="J724" s="1485"/>
      <c r="K724" s="1485"/>
      <c r="L724" s="1436"/>
      <c r="M724" s="1439"/>
      <c r="N724" s="1439"/>
      <c r="O724" s="1485"/>
      <c r="P724" s="1486"/>
      <c r="Q724" s="1486"/>
      <c r="R724" s="1487"/>
      <c r="S724" s="1444"/>
      <c r="T724" s="1444"/>
      <c r="U724" s="1444"/>
      <c r="V724" s="1488"/>
      <c r="W724" s="1488"/>
      <c r="X724" s="1488"/>
      <c r="Y724" s="1488"/>
      <c r="Z724" s="1488"/>
      <c r="AA724" s="1488"/>
      <c r="AB724" s="1488"/>
      <c r="AC724" s="1488"/>
      <c r="AD724" s="1488"/>
      <c r="AE724" s="1488"/>
      <c r="AF724" s="1488"/>
      <c r="AG724" s="1488"/>
      <c r="AH724" s="1451">
        <f t="shared" si="383"/>
        <v>0</v>
      </c>
      <c r="AI724" s="1488"/>
      <c r="AJ724" s="1488"/>
      <c r="AK724" s="1488"/>
      <c r="AL724" s="1488"/>
      <c r="AM724" s="1488"/>
      <c r="AN724" s="1488"/>
      <c r="AO724" s="1488"/>
      <c r="AP724" s="1488"/>
      <c r="AQ724" s="1488"/>
      <c r="AR724" s="1488"/>
      <c r="AS724" s="1488"/>
      <c r="AT724" s="1542"/>
      <c r="AU724" s="1599">
        <f t="shared" si="384"/>
        <v>0</v>
      </c>
      <c r="AV724" s="1544">
        <f t="shared" si="412"/>
        <v>0</v>
      </c>
      <c r="AW724" s="1452">
        <f t="shared" si="385"/>
        <v>0</v>
      </c>
      <c r="AX724" s="1452">
        <f t="shared" si="386"/>
        <v>0</v>
      </c>
      <c r="AY724" s="1452">
        <f t="shared" si="387"/>
        <v>0</v>
      </c>
      <c r="AZ724" s="1452">
        <f t="shared" si="388"/>
        <v>0</v>
      </c>
      <c r="BA724" s="1452">
        <f t="shared" si="389"/>
        <v>0</v>
      </c>
      <c r="BB724" s="1452">
        <f t="shared" si="390"/>
        <v>0</v>
      </c>
      <c r="BC724" s="1452">
        <f t="shared" si="391"/>
        <v>0</v>
      </c>
      <c r="BD724" s="1452">
        <f t="shared" si="392"/>
        <v>0</v>
      </c>
      <c r="BE724" s="1452">
        <f t="shared" si="393"/>
        <v>0</v>
      </c>
      <c r="BF724" s="1452">
        <f t="shared" si="394"/>
        <v>0</v>
      </c>
      <c r="BG724" s="1452">
        <f t="shared" si="395"/>
        <v>0</v>
      </c>
      <c r="BH724" s="1452">
        <f t="shared" si="396"/>
        <v>0</v>
      </c>
      <c r="BI724" s="1452">
        <f t="shared" si="413"/>
        <v>0</v>
      </c>
      <c r="BJ724" s="1452" t="str">
        <f t="shared" si="397"/>
        <v/>
      </c>
      <c r="BK724" s="1452" t="str">
        <f t="shared" si="398"/>
        <v/>
      </c>
      <c r="BL724" s="1452" t="str">
        <f t="shared" si="399"/>
        <v/>
      </c>
      <c r="BM724" s="1452" t="str">
        <f t="shared" si="400"/>
        <v/>
      </c>
      <c r="BN724" s="1452" t="str">
        <f t="shared" ca="1" si="401"/>
        <v/>
      </c>
      <c r="BO724" s="1452" t="str">
        <f t="shared" si="414"/>
        <v/>
      </c>
      <c r="BP724" s="1452" t="str">
        <f t="shared" si="402"/>
        <v/>
      </c>
      <c r="BQ724" s="1452" t="str">
        <f t="shared" si="403"/>
        <v/>
      </c>
      <c r="BR724" s="1452" t="str">
        <f t="shared" si="404"/>
        <v/>
      </c>
      <c r="BS724" s="1452" t="str">
        <f t="shared" si="405"/>
        <v/>
      </c>
      <c r="BT724" s="1452" t="str">
        <f t="shared" si="406"/>
        <v/>
      </c>
      <c r="BU724" s="1452" t="str">
        <f t="shared" si="407"/>
        <v/>
      </c>
      <c r="BV724" s="1452" t="str">
        <f t="shared" si="408"/>
        <v/>
      </c>
      <c r="BW724" s="1558">
        <f t="shared" ca="1" si="415"/>
        <v>0</v>
      </c>
    </row>
    <row r="725" spans="1:75" s="9" customFormat="1" ht="12.5">
      <c r="A725" s="1483" t="str">
        <f t="shared" si="409"/>
        <v>Public Health Wales Trust</v>
      </c>
      <c r="B725" s="1583"/>
      <c r="C725" s="1583"/>
      <c r="D725" s="1583"/>
      <c r="E725" s="1581"/>
      <c r="F725" s="1436"/>
      <c r="G725" s="1547">
        <f t="shared" si="410"/>
        <v>0</v>
      </c>
      <c r="H725" s="1484"/>
      <c r="I725" s="1547">
        <f t="shared" si="411"/>
        <v>0</v>
      </c>
      <c r="J725" s="1485"/>
      <c r="K725" s="1485"/>
      <c r="L725" s="1436"/>
      <c r="M725" s="1439"/>
      <c r="N725" s="1439"/>
      <c r="O725" s="1485"/>
      <c r="P725" s="1486"/>
      <c r="Q725" s="1486"/>
      <c r="R725" s="1487"/>
      <c r="S725" s="1444"/>
      <c r="T725" s="1444"/>
      <c r="U725" s="1444"/>
      <c r="V725" s="1488"/>
      <c r="W725" s="1488"/>
      <c r="X725" s="1488"/>
      <c r="Y725" s="1488"/>
      <c r="Z725" s="1488"/>
      <c r="AA725" s="1488"/>
      <c r="AB725" s="1488"/>
      <c r="AC725" s="1488"/>
      <c r="AD725" s="1488"/>
      <c r="AE725" s="1488"/>
      <c r="AF725" s="1488"/>
      <c r="AG725" s="1488"/>
      <c r="AH725" s="1451">
        <f t="shared" si="383"/>
        <v>0</v>
      </c>
      <c r="AI725" s="1488"/>
      <c r="AJ725" s="1488"/>
      <c r="AK725" s="1488"/>
      <c r="AL725" s="1488"/>
      <c r="AM725" s="1488"/>
      <c r="AN725" s="1488"/>
      <c r="AO725" s="1488"/>
      <c r="AP725" s="1488"/>
      <c r="AQ725" s="1488"/>
      <c r="AR725" s="1488"/>
      <c r="AS725" s="1488"/>
      <c r="AT725" s="1542"/>
      <c r="AU725" s="1599">
        <f t="shared" si="384"/>
        <v>0</v>
      </c>
      <c r="AV725" s="1544">
        <f t="shared" si="412"/>
        <v>0</v>
      </c>
      <c r="AW725" s="1452">
        <f t="shared" si="385"/>
        <v>0</v>
      </c>
      <c r="AX725" s="1452">
        <f t="shared" si="386"/>
        <v>0</v>
      </c>
      <c r="AY725" s="1452">
        <f t="shared" si="387"/>
        <v>0</v>
      </c>
      <c r="AZ725" s="1452">
        <f t="shared" si="388"/>
        <v>0</v>
      </c>
      <c r="BA725" s="1452">
        <f t="shared" si="389"/>
        <v>0</v>
      </c>
      <c r="BB725" s="1452">
        <f t="shared" si="390"/>
        <v>0</v>
      </c>
      <c r="BC725" s="1452">
        <f t="shared" si="391"/>
        <v>0</v>
      </c>
      <c r="BD725" s="1452">
        <f t="shared" si="392"/>
        <v>0</v>
      </c>
      <c r="BE725" s="1452">
        <f t="shared" si="393"/>
        <v>0</v>
      </c>
      <c r="BF725" s="1452">
        <f t="shared" si="394"/>
        <v>0</v>
      </c>
      <c r="BG725" s="1452">
        <f t="shared" si="395"/>
        <v>0</v>
      </c>
      <c r="BH725" s="1452">
        <f t="shared" si="396"/>
        <v>0</v>
      </c>
      <c r="BI725" s="1452">
        <f t="shared" si="413"/>
        <v>0</v>
      </c>
      <c r="BJ725" s="1452" t="str">
        <f t="shared" si="397"/>
        <v/>
      </c>
      <c r="BK725" s="1452" t="str">
        <f t="shared" si="398"/>
        <v/>
      </c>
      <c r="BL725" s="1452" t="str">
        <f t="shared" si="399"/>
        <v/>
      </c>
      <c r="BM725" s="1452" t="str">
        <f t="shared" si="400"/>
        <v/>
      </c>
      <c r="BN725" s="1452" t="str">
        <f t="shared" ca="1" si="401"/>
        <v/>
      </c>
      <c r="BO725" s="1452" t="str">
        <f t="shared" si="414"/>
        <v/>
      </c>
      <c r="BP725" s="1452" t="str">
        <f t="shared" si="402"/>
        <v/>
      </c>
      <c r="BQ725" s="1452" t="str">
        <f t="shared" si="403"/>
        <v/>
      </c>
      <c r="BR725" s="1452" t="str">
        <f t="shared" si="404"/>
        <v/>
      </c>
      <c r="BS725" s="1452" t="str">
        <f t="shared" si="405"/>
        <v/>
      </c>
      <c r="BT725" s="1452" t="str">
        <f t="shared" si="406"/>
        <v/>
      </c>
      <c r="BU725" s="1452" t="str">
        <f t="shared" si="407"/>
        <v/>
      </c>
      <c r="BV725" s="1452" t="str">
        <f t="shared" si="408"/>
        <v/>
      </c>
      <c r="BW725" s="1558">
        <f t="shared" ca="1" si="415"/>
        <v>0</v>
      </c>
    </row>
    <row r="726" spans="1:75" s="9" customFormat="1" ht="12.5">
      <c r="A726" s="1483" t="str">
        <f t="shared" si="409"/>
        <v>Public Health Wales Trust</v>
      </c>
      <c r="B726" s="1583"/>
      <c r="C726" s="1583"/>
      <c r="D726" s="1583"/>
      <c r="E726" s="1586"/>
      <c r="F726" s="1436"/>
      <c r="G726" s="1547">
        <f t="shared" si="410"/>
        <v>0</v>
      </c>
      <c r="H726" s="1484"/>
      <c r="I726" s="1547">
        <f t="shared" si="411"/>
        <v>0</v>
      </c>
      <c r="J726" s="1485"/>
      <c r="K726" s="1485"/>
      <c r="L726" s="1436"/>
      <c r="M726" s="1439"/>
      <c r="N726" s="1439"/>
      <c r="O726" s="1485"/>
      <c r="P726" s="1486"/>
      <c r="Q726" s="1486"/>
      <c r="R726" s="1487"/>
      <c r="S726" s="1444"/>
      <c r="T726" s="1444"/>
      <c r="U726" s="1444"/>
      <c r="V726" s="1488"/>
      <c r="W726" s="1488"/>
      <c r="X726" s="1488"/>
      <c r="Y726" s="1488"/>
      <c r="Z726" s="1488"/>
      <c r="AA726" s="1488"/>
      <c r="AB726" s="1488"/>
      <c r="AC726" s="1488"/>
      <c r="AD726" s="1488"/>
      <c r="AE726" s="1488"/>
      <c r="AF726" s="1488"/>
      <c r="AG726" s="1488"/>
      <c r="AH726" s="1451">
        <f t="shared" si="383"/>
        <v>0</v>
      </c>
      <c r="AI726" s="1488"/>
      <c r="AJ726" s="1488"/>
      <c r="AK726" s="1488"/>
      <c r="AL726" s="1488"/>
      <c r="AM726" s="1488"/>
      <c r="AN726" s="1488"/>
      <c r="AO726" s="1488"/>
      <c r="AP726" s="1488"/>
      <c r="AQ726" s="1488"/>
      <c r="AR726" s="1488"/>
      <c r="AS726" s="1488"/>
      <c r="AT726" s="1542"/>
      <c r="AU726" s="1599">
        <f t="shared" si="384"/>
        <v>0</v>
      </c>
      <c r="AV726" s="1544">
        <f t="shared" si="412"/>
        <v>0</v>
      </c>
      <c r="AW726" s="1452">
        <f t="shared" si="385"/>
        <v>0</v>
      </c>
      <c r="AX726" s="1452">
        <f t="shared" si="386"/>
        <v>0</v>
      </c>
      <c r="AY726" s="1452">
        <f t="shared" si="387"/>
        <v>0</v>
      </c>
      <c r="AZ726" s="1452">
        <f t="shared" si="388"/>
        <v>0</v>
      </c>
      <c r="BA726" s="1452">
        <f t="shared" si="389"/>
        <v>0</v>
      </c>
      <c r="BB726" s="1452">
        <f t="shared" si="390"/>
        <v>0</v>
      </c>
      <c r="BC726" s="1452">
        <f t="shared" si="391"/>
        <v>0</v>
      </c>
      <c r="BD726" s="1452">
        <f t="shared" si="392"/>
        <v>0</v>
      </c>
      <c r="BE726" s="1452">
        <f t="shared" si="393"/>
        <v>0</v>
      </c>
      <c r="BF726" s="1452">
        <f t="shared" si="394"/>
        <v>0</v>
      </c>
      <c r="BG726" s="1452">
        <f t="shared" si="395"/>
        <v>0</v>
      </c>
      <c r="BH726" s="1452">
        <f t="shared" si="396"/>
        <v>0</v>
      </c>
      <c r="BI726" s="1452">
        <f t="shared" si="413"/>
        <v>0</v>
      </c>
      <c r="BJ726" s="1452" t="str">
        <f t="shared" si="397"/>
        <v/>
      </c>
      <c r="BK726" s="1452" t="str">
        <f t="shared" si="398"/>
        <v/>
      </c>
      <c r="BL726" s="1452" t="str">
        <f t="shared" si="399"/>
        <v/>
      </c>
      <c r="BM726" s="1452" t="str">
        <f t="shared" si="400"/>
        <v/>
      </c>
      <c r="BN726" s="1452" t="str">
        <f t="shared" ca="1" si="401"/>
        <v/>
      </c>
      <c r="BO726" s="1452" t="str">
        <f t="shared" si="414"/>
        <v/>
      </c>
      <c r="BP726" s="1452" t="str">
        <f t="shared" si="402"/>
        <v/>
      </c>
      <c r="BQ726" s="1452" t="str">
        <f t="shared" si="403"/>
        <v/>
      </c>
      <c r="BR726" s="1452" t="str">
        <f t="shared" si="404"/>
        <v/>
      </c>
      <c r="BS726" s="1452" t="str">
        <f t="shared" si="405"/>
        <v/>
      </c>
      <c r="BT726" s="1452" t="str">
        <f t="shared" si="406"/>
        <v/>
      </c>
      <c r="BU726" s="1452" t="str">
        <f t="shared" si="407"/>
        <v/>
      </c>
      <c r="BV726" s="1452" t="str">
        <f t="shared" si="408"/>
        <v/>
      </c>
      <c r="BW726" s="1558">
        <f t="shared" ca="1" si="415"/>
        <v>0</v>
      </c>
    </row>
    <row r="727" spans="1:75" s="9" customFormat="1" ht="12.5">
      <c r="A727" s="1483" t="str">
        <f t="shared" si="409"/>
        <v>Public Health Wales Trust</v>
      </c>
      <c r="B727" s="1583"/>
      <c r="C727" s="1583"/>
      <c r="D727" s="1583"/>
      <c r="E727" s="1586"/>
      <c r="F727" s="1436"/>
      <c r="G727" s="1547">
        <f t="shared" si="410"/>
        <v>0</v>
      </c>
      <c r="H727" s="1484"/>
      <c r="I727" s="1547">
        <f t="shared" si="411"/>
        <v>0</v>
      </c>
      <c r="J727" s="1485"/>
      <c r="K727" s="1485"/>
      <c r="L727" s="1436"/>
      <c r="M727" s="1439"/>
      <c r="N727" s="1439"/>
      <c r="O727" s="1485"/>
      <c r="P727" s="1486"/>
      <c r="Q727" s="1486"/>
      <c r="R727" s="1487"/>
      <c r="S727" s="1444"/>
      <c r="T727" s="1444"/>
      <c r="U727" s="1444"/>
      <c r="V727" s="1488"/>
      <c r="W727" s="1488"/>
      <c r="X727" s="1488"/>
      <c r="Y727" s="1488"/>
      <c r="Z727" s="1488"/>
      <c r="AA727" s="1488"/>
      <c r="AB727" s="1488"/>
      <c r="AC727" s="1488"/>
      <c r="AD727" s="1488"/>
      <c r="AE727" s="1488"/>
      <c r="AF727" s="1488"/>
      <c r="AG727" s="1488"/>
      <c r="AH727" s="1451">
        <f t="shared" si="383"/>
        <v>0</v>
      </c>
      <c r="AI727" s="1488"/>
      <c r="AJ727" s="1488"/>
      <c r="AK727" s="1488"/>
      <c r="AL727" s="1488"/>
      <c r="AM727" s="1488"/>
      <c r="AN727" s="1488"/>
      <c r="AO727" s="1488"/>
      <c r="AP727" s="1488"/>
      <c r="AQ727" s="1488"/>
      <c r="AR727" s="1488"/>
      <c r="AS727" s="1488"/>
      <c r="AT727" s="1542"/>
      <c r="AU727" s="1599">
        <f t="shared" si="384"/>
        <v>0</v>
      </c>
      <c r="AV727" s="1544">
        <f t="shared" si="412"/>
        <v>0</v>
      </c>
      <c r="AW727" s="1452">
        <f t="shared" si="385"/>
        <v>0</v>
      </c>
      <c r="AX727" s="1452">
        <f t="shared" si="386"/>
        <v>0</v>
      </c>
      <c r="AY727" s="1452">
        <f t="shared" si="387"/>
        <v>0</v>
      </c>
      <c r="AZ727" s="1452">
        <f t="shared" si="388"/>
        <v>0</v>
      </c>
      <c r="BA727" s="1452">
        <f t="shared" si="389"/>
        <v>0</v>
      </c>
      <c r="BB727" s="1452">
        <f t="shared" si="390"/>
        <v>0</v>
      </c>
      <c r="BC727" s="1452">
        <f t="shared" si="391"/>
        <v>0</v>
      </c>
      <c r="BD727" s="1452">
        <f t="shared" si="392"/>
        <v>0</v>
      </c>
      <c r="BE727" s="1452">
        <f t="shared" si="393"/>
        <v>0</v>
      </c>
      <c r="BF727" s="1452">
        <f t="shared" si="394"/>
        <v>0</v>
      </c>
      <c r="BG727" s="1452">
        <f t="shared" si="395"/>
        <v>0</v>
      </c>
      <c r="BH727" s="1452">
        <f t="shared" si="396"/>
        <v>0</v>
      </c>
      <c r="BI727" s="1452">
        <f t="shared" si="413"/>
        <v>0</v>
      </c>
      <c r="BJ727" s="1452" t="str">
        <f t="shared" si="397"/>
        <v/>
      </c>
      <c r="BK727" s="1452" t="str">
        <f t="shared" si="398"/>
        <v/>
      </c>
      <c r="BL727" s="1452" t="str">
        <f t="shared" si="399"/>
        <v/>
      </c>
      <c r="BM727" s="1452" t="str">
        <f t="shared" si="400"/>
        <v/>
      </c>
      <c r="BN727" s="1452" t="str">
        <f t="shared" ca="1" si="401"/>
        <v/>
      </c>
      <c r="BO727" s="1452" t="str">
        <f t="shared" si="414"/>
        <v/>
      </c>
      <c r="BP727" s="1452" t="str">
        <f t="shared" si="402"/>
        <v/>
      </c>
      <c r="BQ727" s="1452" t="str">
        <f t="shared" si="403"/>
        <v/>
      </c>
      <c r="BR727" s="1452" t="str">
        <f t="shared" si="404"/>
        <v/>
      </c>
      <c r="BS727" s="1452" t="str">
        <f t="shared" si="405"/>
        <v/>
      </c>
      <c r="BT727" s="1452" t="str">
        <f t="shared" si="406"/>
        <v/>
      </c>
      <c r="BU727" s="1452" t="str">
        <f t="shared" si="407"/>
        <v/>
      </c>
      <c r="BV727" s="1452" t="str">
        <f t="shared" si="408"/>
        <v/>
      </c>
      <c r="BW727" s="1558">
        <f t="shared" ca="1" si="415"/>
        <v>0</v>
      </c>
    </row>
    <row r="728" spans="1:75" s="9" customFormat="1" ht="12.5">
      <c r="A728" s="1483" t="str">
        <f t="shared" si="409"/>
        <v>Public Health Wales Trust</v>
      </c>
      <c r="B728" s="1583"/>
      <c r="C728" s="1583"/>
      <c r="D728" s="1583"/>
      <c r="E728" s="1586"/>
      <c r="F728" s="1436"/>
      <c r="G728" s="1547">
        <f t="shared" si="410"/>
        <v>0</v>
      </c>
      <c r="H728" s="1484"/>
      <c r="I728" s="1547">
        <f t="shared" si="411"/>
        <v>0</v>
      </c>
      <c r="J728" s="1485"/>
      <c r="K728" s="1485"/>
      <c r="L728" s="1436"/>
      <c r="M728" s="1439"/>
      <c r="N728" s="1439"/>
      <c r="O728" s="1485"/>
      <c r="P728" s="1486"/>
      <c r="Q728" s="1486"/>
      <c r="R728" s="1487"/>
      <c r="S728" s="1444"/>
      <c r="T728" s="1444"/>
      <c r="U728" s="1444"/>
      <c r="V728" s="1488"/>
      <c r="W728" s="1488"/>
      <c r="X728" s="1488"/>
      <c r="Y728" s="1488"/>
      <c r="Z728" s="1488"/>
      <c r="AA728" s="1488"/>
      <c r="AB728" s="1488"/>
      <c r="AC728" s="1488"/>
      <c r="AD728" s="1488"/>
      <c r="AE728" s="1488"/>
      <c r="AF728" s="1488"/>
      <c r="AG728" s="1488"/>
      <c r="AH728" s="1451">
        <f t="shared" si="383"/>
        <v>0</v>
      </c>
      <c r="AI728" s="1488"/>
      <c r="AJ728" s="1488"/>
      <c r="AK728" s="1488"/>
      <c r="AL728" s="1488"/>
      <c r="AM728" s="1488"/>
      <c r="AN728" s="1488"/>
      <c r="AO728" s="1488"/>
      <c r="AP728" s="1488"/>
      <c r="AQ728" s="1488"/>
      <c r="AR728" s="1488"/>
      <c r="AS728" s="1488"/>
      <c r="AT728" s="1542"/>
      <c r="AU728" s="1599">
        <f t="shared" si="384"/>
        <v>0</v>
      </c>
      <c r="AV728" s="1544">
        <f t="shared" si="412"/>
        <v>0</v>
      </c>
      <c r="AW728" s="1452">
        <f t="shared" si="385"/>
        <v>0</v>
      </c>
      <c r="AX728" s="1452">
        <f t="shared" si="386"/>
        <v>0</v>
      </c>
      <c r="AY728" s="1452">
        <f t="shared" si="387"/>
        <v>0</v>
      </c>
      <c r="AZ728" s="1452">
        <f t="shared" si="388"/>
        <v>0</v>
      </c>
      <c r="BA728" s="1452">
        <f t="shared" si="389"/>
        <v>0</v>
      </c>
      <c r="BB728" s="1452">
        <f t="shared" si="390"/>
        <v>0</v>
      </c>
      <c r="BC728" s="1452">
        <f t="shared" si="391"/>
        <v>0</v>
      </c>
      <c r="BD728" s="1452">
        <f t="shared" si="392"/>
        <v>0</v>
      </c>
      <c r="BE728" s="1452">
        <f t="shared" si="393"/>
        <v>0</v>
      </c>
      <c r="BF728" s="1452">
        <f t="shared" si="394"/>
        <v>0</v>
      </c>
      <c r="BG728" s="1452">
        <f t="shared" si="395"/>
        <v>0</v>
      </c>
      <c r="BH728" s="1452">
        <f t="shared" si="396"/>
        <v>0</v>
      </c>
      <c r="BI728" s="1452">
        <f t="shared" si="413"/>
        <v>0</v>
      </c>
      <c r="BJ728" s="1452" t="str">
        <f t="shared" si="397"/>
        <v/>
      </c>
      <c r="BK728" s="1452" t="str">
        <f t="shared" si="398"/>
        <v/>
      </c>
      <c r="BL728" s="1452" t="str">
        <f t="shared" si="399"/>
        <v/>
      </c>
      <c r="BM728" s="1452" t="str">
        <f t="shared" si="400"/>
        <v/>
      </c>
      <c r="BN728" s="1452" t="str">
        <f t="shared" ca="1" si="401"/>
        <v/>
      </c>
      <c r="BO728" s="1452" t="str">
        <f t="shared" si="414"/>
        <v/>
      </c>
      <c r="BP728" s="1452" t="str">
        <f t="shared" si="402"/>
        <v/>
      </c>
      <c r="BQ728" s="1452" t="str">
        <f t="shared" si="403"/>
        <v/>
      </c>
      <c r="BR728" s="1452" t="str">
        <f t="shared" si="404"/>
        <v/>
      </c>
      <c r="BS728" s="1452" t="str">
        <f t="shared" si="405"/>
        <v/>
      </c>
      <c r="BT728" s="1452" t="str">
        <f t="shared" si="406"/>
        <v/>
      </c>
      <c r="BU728" s="1452" t="str">
        <f t="shared" si="407"/>
        <v/>
      </c>
      <c r="BV728" s="1452" t="str">
        <f t="shared" si="408"/>
        <v/>
      </c>
      <c r="BW728" s="1558">
        <f t="shared" ca="1" si="415"/>
        <v>0</v>
      </c>
    </row>
    <row r="729" spans="1:75" s="9" customFormat="1" ht="12.5">
      <c r="A729" s="1483" t="str">
        <f t="shared" si="409"/>
        <v>Public Health Wales Trust</v>
      </c>
      <c r="B729" s="1583"/>
      <c r="C729" s="1583"/>
      <c r="D729" s="1583"/>
      <c r="E729" s="1586"/>
      <c r="F729" s="1436"/>
      <c r="G729" s="1547">
        <f t="shared" si="410"/>
        <v>0</v>
      </c>
      <c r="H729" s="1484"/>
      <c r="I729" s="1547">
        <f t="shared" si="411"/>
        <v>0</v>
      </c>
      <c r="J729" s="1485"/>
      <c r="K729" s="1485"/>
      <c r="L729" s="1436"/>
      <c r="M729" s="1439"/>
      <c r="N729" s="1439"/>
      <c r="O729" s="1485"/>
      <c r="P729" s="1486"/>
      <c r="Q729" s="1486"/>
      <c r="R729" s="1487"/>
      <c r="S729" s="1444"/>
      <c r="T729" s="1444"/>
      <c r="U729" s="1444"/>
      <c r="V729" s="1488"/>
      <c r="W729" s="1488"/>
      <c r="X729" s="1488"/>
      <c r="Y729" s="1488"/>
      <c r="Z729" s="1488"/>
      <c r="AA729" s="1488"/>
      <c r="AB729" s="1488"/>
      <c r="AC729" s="1488"/>
      <c r="AD729" s="1488"/>
      <c r="AE729" s="1488"/>
      <c r="AF729" s="1488"/>
      <c r="AG729" s="1488"/>
      <c r="AH729" s="1451">
        <f t="shared" si="383"/>
        <v>0</v>
      </c>
      <c r="AI729" s="1488"/>
      <c r="AJ729" s="1488"/>
      <c r="AK729" s="1488"/>
      <c r="AL729" s="1488"/>
      <c r="AM729" s="1488"/>
      <c r="AN729" s="1488"/>
      <c r="AO729" s="1488"/>
      <c r="AP729" s="1488"/>
      <c r="AQ729" s="1488"/>
      <c r="AR729" s="1488"/>
      <c r="AS729" s="1488"/>
      <c r="AT729" s="1542"/>
      <c r="AU729" s="1599">
        <f t="shared" si="384"/>
        <v>0</v>
      </c>
      <c r="AV729" s="1544">
        <f t="shared" si="412"/>
        <v>0</v>
      </c>
      <c r="AW729" s="1452">
        <f t="shared" si="385"/>
        <v>0</v>
      </c>
      <c r="AX729" s="1452">
        <f t="shared" si="386"/>
        <v>0</v>
      </c>
      <c r="AY729" s="1452">
        <f t="shared" si="387"/>
        <v>0</v>
      </c>
      <c r="AZ729" s="1452">
        <f t="shared" si="388"/>
        <v>0</v>
      </c>
      <c r="BA729" s="1452">
        <f t="shared" si="389"/>
        <v>0</v>
      </c>
      <c r="BB729" s="1452">
        <f t="shared" si="390"/>
        <v>0</v>
      </c>
      <c r="BC729" s="1452">
        <f t="shared" si="391"/>
        <v>0</v>
      </c>
      <c r="BD729" s="1452">
        <f t="shared" si="392"/>
        <v>0</v>
      </c>
      <c r="BE729" s="1452">
        <f t="shared" si="393"/>
        <v>0</v>
      </c>
      <c r="BF729" s="1452">
        <f t="shared" si="394"/>
        <v>0</v>
      </c>
      <c r="BG729" s="1452">
        <f t="shared" si="395"/>
        <v>0</v>
      </c>
      <c r="BH729" s="1452">
        <f t="shared" si="396"/>
        <v>0</v>
      </c>
      <c r="BI729" s="1452">
        <f t="shared" si="413"/>
        <v>0</v>
      </c>
      <c r="BJ729" s="1452" t="str">
        <f t="shared" si="397"/>
        <v/>
      </c>
      <c r="BK729" s="1452" t="str">
        <f t="shared" si="398"/>
        <v/>
      </c>
      <c r="BL729" s="1452" t="str">
        <f t="shared" si="399"/>
        <v/>
      </c>
      <c r="BM729" s="1452" t="str">
        <f t="shared" si="400"/>
        <v/>
      </c>
      <c r="BN729" s="1452" t="str">
        <f t="shared" ca="1" si="401"/>
        <v/>
      </c>
      <c r="BO729" s="1452" t="str">
        <f t="shared" si="414"/>
        <v/>
      </c>
      <c r="BP729" s="1452" t="str">
        <f t="shared" si="402"/>
        <v/>
      </c>
      <c r="BQ729" s="1452" t="str">
        <f t="shared" si="403"/>
        <v/>
      </c>
      <c r="BR729" s="1452" t="str">
        <f t="shared" si="404"/>
        <v/>
      </c>
      <c r="BS729" s="1452" t="str">
        <f t="shared" si="405"/>
        <v/>
      </c>
      <c r="BT729" s="1452" t="str">
        <f t="shared" si="406"/>
        <v/>
      </c>
      <c r="BU729" s="1452" t="str">
        <f t="shared" si="407"/>
        <v/>
      </c>
      <c r="BV729" s="1452" t="str">
        <f t="shared" si="408"/>
        <v/>
      </c>
      <c r="BW729" s="1558">
        <f t="shared" ca="1" si="415"/>
        <v>0</v>
      </c>
    </row>
    <row r="730" spans="1:75" s="9" customFormat="1" ht="12.5">
      <c r="A730" s="1483" t="str">
        <f t="shared" si="409"/>
        <v>Public Health Wales Trust</v>
      </c>
      <c r="B730" s="1583"/>
      <c r="C730" s="1583"/>
      <c r="D730" s="1583"/>
      <c r="E730" s="1586"/>
      <c r="F730" s="1436"/>
      <c r="G730" s="1547">
        <f t="shared" si="410"/>
        <v>0</v>
      </c>
      <c r="H730" s="1484"/>
      <c r="I730" s="1547">
        <f t="shared" si="411"/>
        <v>0</v>
      </c>
      <c r="J730" s="1485"/>
      <c r="K730" s="1485"/>
      <c r="L730" s="1436"/>
      <c r="M730" s="1439"/>
      <c r="N730" s="1439"/>
      <c r="O730" s="1485"/>
      <c r="P730" s="1486"/>
      <c r="Q730" s="1486"/>
      <c r="R730" s="1487"/>
      <c r="S730" s="1444"/>
      <c r="T730" s="1444"/>
      <c r="U730" s="1444"/>
      <c r="V730" s="1488"/>
      <c r="W730" s="1488"/>
      <c r="X730" s="1488"/>
      <c r="Y730" s="1488"/>
      <c r="Z730" s="1488"/>
      <c r="AA730" s="1488"/>
      <c r="AB730" s="1488"/>
      <c r="AC730" s="1488"/>
      <c r="AD730" s="1488"/>
      <c r="AE730" s="1488"/>
      <c r="AF730" s="1488"/>
      <c r="AG730" s="1488"/>
      <c r="AH730" s="1451">
        <f t="shared" si="383"/>
        <v>0</v>
      </c>
      <c r="AI730" s="1488"/>
      <c r="AJ730" s="1488"/>
      <c r="AK730" s="1488"/>
      <c r="AL730" s="1488"/>
      <c r="AM730" s="1488"/>
      <c r="AN730" s="1488"/>
      <c r="AO730" s="1488"/>
      <c r="AP730" s="1488"/>
      <c r="AQ730" s="1488"/>
      <c r="AR730" s="1488"/>
      <c r="AS730" s="1488"/>
      <c r="AT730" s="1542"/>
      <c r="AU730" s="1599">
        <f t="shared" si="384"/>
        <v>0</v>
      </c>
      <c r="AV730" s="1544">
        <f t="shared" si="412"/>
        <v>0</v>
      </c>
      <c r="AW730" s="1452">
        <f t="shared" si="385"/>
        <v>0</v>
      </c>
      <c r="AX730" s="1452">
        <f t="shared" si="386"/>
        <v>0</v>
      </c>
      <c r="AY730" s="1452">
        <f t="shared" si="387"/>
        <v>0</v>
      </c>
      <c r="AZ730" s="1452">
        <f t="shared" si="388"/>
        <v>0</v>
      </c>
      <c r="BA730" s="1452">
        <f t="shared" si="389"/>
        <v>0</v>
      </c>
      <c r="BB730" s="1452">
        <f t="shared" si="390"/>
        <v>0</v>
      </c>
      <c r="BC730" s="1452">
        <f t="shared" si="391"/>
        <v>0</v>
      </c>
      <c r="BD730" s="1452">
        <f t="shared" si="392"/>
        <v>0</v>
      </c>
      <c r="BE730" s="1452">
        <f t="shared" si="393"/>
        <v>0</v>
      </c>
      <c r="BF730" s="1452">
        <f t="shared" si="394"/>
        <v>0</v>
      </c>
      <c r="BG730" s="1452">
        <f t="shared" si="395"/>
        <v>0</v>
      </c>
      <c r="BH730" s="1452">
        <f t="shared" si="396"/>
        <v>0</v>
      </c>
      <c r="BI730" s="1452">
        <f t="shared" si="413"/>
        <v>0</v>
      </c>
      <c r="BJ730" s="1452" t="str">
        <f t="shared" si="397"/>
        <v/>
      </c>
      <c r="BK730" s="1452" t="str">
        <f t="shared" si="398"/>
        <v/>
      </c>
      <c r="BL730" s="1452" t="str">
        <f t="shared" si="399"/>
        <v/>
      </c>
      <c r="BM730" s="1452" t="str">
        <f t="shared" si="400"/>
        <v/>
      </c>
      <c r="BN730" s="1452" t="str">
        <f t="shared" ca="1" si="401"/>
        <v/>
      </c>
      <c r="BO730" s="1452" t="str">
        <f t="shared" si="414"/>
        <v/>
      </c>
      <c r="BP730" s="1452" t="str">
        <f t="shared" si="402"/>
        <v/>
      </c>
      <c r="BQ730" s="1452" t="str">
        <f t="shared" si="403"/>
        <v/>
      </c>
      <c r="BR730" s="1452" t="str">
        <f t="shared" si="404"/>
        <v/>
      </c>
      <c r="BS730" s="1452" t="str">
        <f t="shared" si="405"/>
        <v/>
      </c>
      <c r="BT730" s="1452" t="str">
        <f t="shared" si="406"/>
        <v/>
      </c>
      <c r="BU730" s="1452" t="str">
        <f t="shared" si="407"/>
        <v/>
      </c>
      <c r="BV730" s="1452" t="str">
        <f t="shared" si="408"/>
        <v/>
      </c>
      <c r="BW730" s="1558">
        <f t="shared" ca="1" si="415"/>
        <v>0</v>
      </c>
    </row>
    <row r="731" spans="1:75" s="9" customFormat="1" ht="12.5">
      <c r="A731" s="1483" t="str">
        <f t="shared" si="409"/>
        <v>Public Health Wales Trust</v>
      </c>
      <c r="B731" s="1583"/>
      <c r="C731" s="1583"/>
      <c r="D731" s="1583"/>
      <c r="E731" s="1586"/>
      <c r="F731" s="1436"/>
      <c r="G731" s="1547">
        <f t="shared" si="410"/>
        <v>0</v>
      </c>
      <c r="H731" s="1484"/>
      <c r="I731" s="1547">
        <f t="shared" si="411"/>
        <v>0</v>
      </c>
      <c r="J731" s="1485"/>
      <c r="K731" s="1485"/>
      <c r="L731" s="1436"/>
      <c r="M731" s="1439"/>
      <c r="N731" s="1439"/>
      <c r="O731" s="1485"/>
      <c r="P731" s="1486"/>
      <c r="Q731" s="1486"/>
      <c r="R731" s="1487"/>
      <c r="S731" s="1444"/>
      <c r="T731" s="1444"/>
      <c r="U731" s="1444"/>
      <c r="V731" s="1488"/>
      <c r="W731" s="1488"/>
      <c r="X731" s="1488"/>
      <c r="Y731" s="1488"/>
      <c r="Z731" s="1488"/>
      <c r="AA731" s="1488"/>
      <c r="AB731" s="1488"/>
      <c r="AC731" s="1488"/>
      <c r="AD731" s="1488"/>
      <c r="AE731" s="1488"/>
      <c r="AF731" s="1488"/>
      <c r="AG731" s="1488"/>
      <c r="AH731" s="1451">
        <f t="shared" si="383"/>
        <v>0</v>
      </c>
      <c r="AI731" s="1488"/>
      <c r="AJ731" s="1488"/>
      <c r="AK731" s="1488"/>
      <c r="AL731" s="1488"/>
      <c r="AM731" s="1488"/>
      <c r="AN731" s="1488"/>
      <c r="AO731" s="1488"/>
      <c r="AP731" s="1488"/>
      <c r="AQ731" s="1488"/>
      <c r="AR731" s="1488"/>
      <c r="AS731" s="1488"/>
      <c r="AT731" s="1542"/>
      <c r="AU731" s="1599">
        <f t="shared" si="384"/>
        <v>0</v>
      </c>
      <c r="AV731" s="1544">
        <f t="shared" si="412"/>
        <v>0</v>
      </c>
      <c r="AW731" s="1452">
        <f t="shared" si="385"/>
        <v>0</v>
      </c>
      <c r="AX731" s="1452">
        <f t="shared" si="386"/>
        <v>0</v>
      </c>
      <c r="AY731" s="1452">
        <f t="shared" si="387"/>
        <v>0</v>
      </c>
      <c r="AZ731" s="1452">
        <f t="shared" si="388"/>
        <v>0</v>
      </c>
      <c r="BA731" s="1452">
        <f t="shared" si="389"/>
        <v>0</v>
      </c>
      <c r="BB731" s="1452">
        <f t="shared" si="390"/>
        <v>0</v>
      </c>
      <c r="BC731" s="1452">
        <f t="shared" si="391"/>
        <v>0</v>
      </c>
      <c r="BD731" s="1452">
        <f t="shared" si="392"/>
        <v>0</v>
      </c>
      <c r="BE731" s="1452">
        <f t="shared" si="393"/>
        <v>0</v>
      </c>
      <c r="BF731" s="1452">
        <f t="shared" si="394"/>
        <v>0</v>
      </c>
      <c r="BG731" s="1452">
        <f t="shared" si="395"/>
        <v>0</v>
      </c>
      <c r="BH731" s="1452">
        <f t="shared" si="396"/>
        <v>0</v>
      </c>
      <c r="BI731" s="1452">
        <f t="shared" si="413"/>
        <v>0</v>
      </c>
      <c r="BJ731" s="1452" t="str">
        <f t="shared" si="397"/>
        <v/>
      </c>
      <c r="BK731" s="1452" t="str">
        <f t="shared" si="398"/>
        <v/>
      </c>
      <c r="BL731" s="1452" t="str">
        <f t="shared" si="399"/>
        <v/>
      </c>
      <c r="BM731" s="1452" t="str">
        <f t="shared" si="400"/>
        <v/>
      </c>
      <c r="BN731" s="1452" t="str">
        <f t="shared" ca="1" si="401"/>
        <v/>
      </c>
      <c r="BO731" s="1452" t="str">
        <f t="shared" si="414"/>
        <v/>
      </c>
      <c r="BP731" s="1452" t="str">
        <f t="shared" si="402"/>
        <v/>
      </c>
      <c r="BQ731" s="1452" t="str">
        <f t="shared" si="403"/>
        <v/>
      </c>
      <c r="BR731" s="1452" t="str">
        <f t="shared" si="404"/>
        <v/>
      </c>
      <c r="BS731" s="1452" t="str">
        <f t="shared" si="405"/>
        <v/>
      </c>
      <c r="BT731" s="1452" t="str">
        <f t="shared" si="406"/>
        <v/>
      </c>
      <c r="BU731" s="1452" t="str">
        <f t="shared" si="407"/>
        <v/>
      </c>
      <c r="BV731" s="1452" t="str">
        <f t="shared" si="408"/>
        <v/>
      </c>
      <c r="BW731" s="1558">
        <f t="shared" ca="1" si="415"/>
        <v>0</v>
      </c>
    </row>
    <row r="732" spans="1:75" s="9" customFormat="1" ht="12.5">
      <c r="A732" s="1483" t="str">
        <f t="shared" si="409"/>
        <v>Public Health Wales Trust</v>
      </c>
      <c r="B732" s="1583"/>
      <c r="C732" s="1583"/>
      <c r="D732" s="1583"/>
      <c r="E732" s="1586"/>
      <c r="F732" s="1436"/>
      <c r="G732" s="1547">
        <f t="shared" si="410"/>
        <v>0</v>
      </c>
      <c r="H732" s="1484"/>
      <c r="I732" s="1547">
        <f t="shared" si="411"/>
        <v>0</v>
      </c>
      <c r="J732" s="1485"/>
      <c r="K732" s="1485"/>
      <c r="L732" s="1436"/>
      <c r="M732" s="1439"/>
      <c r="N732" s="1439"/>
      <c r="O732" s="1485"/>
      <c r="P732" s="1486"/>
      <c r="Q732" s="1486"/>
      <c r="R732" s="1487"/>
      <c r="S732" s="1444"/>
      <c r="T732" s="1444"/>
      <c r="U732" s="1444"/>
      <c r="V732" s="1488"/>
      <c r="W732" s="1488"/>
      <c r="X732" s="1488"/>
      <c r="Y732" s="1488"/>
      <c r="Z732" s="1488"/>
      <c r="AA732" s="1488"/>
      <c r="AB732" s="1488"/>
      <c r="AC732" s="1488"/>
      <c r="AD732" s="1488"/>
      <c r="AE732" s="1488"/>
      <c r="AF732" s="1488"/>
      <c r="AG732" s="1488"/>
      <c r="AH732" s="1451">
        <f t="shared" si="383"/>
        <v>0</v>
      </c>
      <c r="AI732" s="1488"/>
      <c r="AJ732" s="1488"/>
      <c r="AK732" s="1488"/>
      <c r="AL732" s="1488"/>
      <c r="AM732" s="1488"/>
      <c r="AN732" s="1488"/>
      <c r="AO732" s="1488"/>
      <c r="AP732" s="1488"/>
      <c r="AQ732" s="1488"/>
      <c r="AR732" s="1488"/>
      <c r="AS732" s="1488"/>
      <c r="AT732" s="1542"/>
      <c r="AU732" s="1599">
        <f t="shared" si="384"/>
        <v>0</v>
      </c>
      <c r="AV732" s="1544">
        <f t="shared" si="412"/>
        <v>0</v>
      </c>
      <c r="AW732" s="1452">
        <f t="shared" si="385"/>
        <v>0</v>
      </c>
      <c r="AX732" s="1452">
        <f t="shared" si="386"/>
        <v>0</v>
      </c>
      <c r="AY732" s="1452">
        <f t="shared" si="387"/>
        <v>0</v>
      </c>
      <c r="AZ732" s="1452">
        <f t="shared" si="388"/>
        <v>0</v>
      </c>
      <c r="BA732" s="1452">
        <f t="shared" si="389"/>
        <v>0</v>
      </c>
      <c r="BB732" s="1452">
        <f t="shared" si="390"/>
        <v>0</v>
      </c>
      <c r="BC732" s="1452">
        <f t="shared" si="391"/>
        <v>0</v>
      </c>
      <c r="BD732" s="1452">
        <f t="shared" si="392"/>
        <v>0</v>
      </c>
      <c r="BE732" s="1452">
        <f t="shared" si="393"/>
        <v>0</v>
      </c>
      <c r="BF732" s="1452">
        <f t="shared" si="394"/>
        <v>0</v>
      </c>
      <c r="BG732" s="1452">
        <f t="shared" si="395"/>
        <v>0</v>
      </c>
      <c r="BH732" s="1452">
        <f t="shared" si="396"/>
        <v>0</v>
      </c>
      <c r="BI732" s="1452">
        <f t="shared" si="413"/>
        <v>0</v>
      </c>
      <c r="BJ732" s="1452" t="str">
        <f t="shared" si="397"/>
        <v/>
      </c>
      <c r="BK732" s="1452" t="str">
        <f t="shared" si="398"/>
        <v/>
      </c>
      <c r="BL732" s="1452" t="str">
        <f t="shared" si="399"/>
        <v/>
      </c>
      <c r="BM732" s="1452" t="str">
        <f t="shared" si="400"/>
        <v/>
      </c>
      <c r="BN732" s="1452" t="str">
        <f t="shared" ca="1" si="401"/>
        <v/>
      </c>
      <c r="BO732" s="1452" t="str">
        <f t="shared" si="414"/>
        <v/>
      </c>
      <c r="BP732" s="1452" t="str">
        <f t="shared" si="402"/>
        <v/>
      </c>
      <c r="BQ732" s="1452" t="str">
        <f t="shared" si="403"/>
        <v/>
      </c>
      <c r="BR732" s="1452" t="str">
        <f t="shared" si="404"/>
        <v/>
      </c>
      <c r="BS732" s="1452" t="str">
        <f t="shared" si="405"/>
        <v/>
      </c>
      <c r="BT732" s="1452" t="str">
        <f t="shared" si="406"/>
        <v/>
      </c>
      <c r="BU732" s="1452" t="str">
        <f t="shared" si="407"/>
        <v/>
      </c>
      <c r="BV732" s="1452" t="str">
        <f t="shared" si="408"/>
        <v/>
      </c>
      <c r="BW732" s="1558">
        <f t="shared" ca="1" si="415"/>
        <v>0</v>
      </c>
    </row>
    <row r="733" spans="1:75" s="9" customFormat="1" ht="12.5">
      <c r="A733" s="1483" t="str">
        <f t="shared" si="409"/>
        <v>Public Health Wales Trust</v>
      </c>
      <c r="B733" s="1587"/>
      <c r="C733" s="1587"/>
      <c r="D733" s="1587"/>
      <c r="E733" s="1588"/>
      <c r="F733" s="1436"/>
      <c r="G733" s="1547">
        <f t="shared" si="410"/>
        <v>0</v>
      </c>
      <c r="H733" s="1484"/>
      <c r="I733" s="1547">
        <f t="shared" si="411"/>
        <v>0</v>
      </c>
      <c r="J733" s="1493"/>
      <c r="K733" s="1493"/>
      <c r="L733" s="1436"/>
      <c r="M733" s="1441"/>
      <c r="N733" s="1441"/>
      <c r="O733" s="1485"/>
      <c r="P733" s="1486"/>
      <c r="Q733" s="1486"/>
      <c r="R733" s="1487"/>
      <c r="S733" s="1444"/>
      <c r="T733" s="1444"/>
      <c r="U733" s="1444"/>
      <c r="V733" s="1488"/>
      <c r="W733" s="1488"/>
      <c r="X733" s="1488"/>
      <c r="Y733" s="1488"/>
      <c r="Z733" s="1488"/>
      <c r="AA733" s="1488"/>
      <c r="AB733" s="1488"/>
      <c r="AC733" s="1488"/>
      <c r="AD733" s="1488"/>
      <c r="AE733" s="1488"/>
      <c r="AF733" s="1488"/>
      <c r="AG733" s="1488"/>
      <c r="AH733" s="1451">
        <f t="shared" si="383"/>
        <v>0</v>
      </c>
      <c r="AI733" s="1488"/>
      <c r="AJ733" s="1488"/>
      <c r="AK733" s="1488"/>
      <c r="AL733" s="1488"/>
      <c r="AM733" s="1488"/>
      <c r="AN733" s="1488"/>
      <c r="AO733" s="1488"/>
      <c r="AP733" s="1488"/>
      <c r="AQ733" s="1488"/>
      <c r="AR733" s="1488"/>
      <c r="AS733" s="1488"/>
      <c r="AT733" s="1542"/>
      <c r="AU733" s="1599">
        <f t="shared" si="384"/>
        <v>0</v>
      </c>
      <c r="AV733" s="1544">
        <f t="shared" si="412"/>
        <v>0</v>
      </c>
      <c r="AW733" s="1452">
        <f t="shared" si="385"/>
        <v>0</v>
      </c>
      <c r="AX733" s="1452">
        <f t="shared" si="386"/>
        <v>0</v>
      </c>
      <c r="AY733" s="1452">
        <f t="shared" si="387"/>
        <v>0</v>
      </c>
      <c r="AZ733" s="1452">
        <f t="shared" si="388"/>
        <v>0</v>
      </c>
      <c r="BA733" s="1452">
        <f t="shared" si="389"/>
        <v>0</v>
      </c>
      <c r="BB733" s="1452">
        <f t="shared" si="390"/>
        <v>0</v>
      </c>
      <c r="BC733" s="1452">
        <f t="shared" si="391"/>
        <v>0</v>
      </c>
      <c r="BD733" s="1452">
        <f t="shared" si="392"/>
        <v>0</v>
      </c>
      <c r="BE733" s="1452">
        <f t="shared" si="393"/>
        <v>0</v>
      </c>
      <c r="BF733" s="1452">
        <f t="shared" si="394"/>
        <v>0</v>
      </c>
      <c r="BG733" s="1452">
        <f t="shared" si="395"/>
        <v>0</v>
      </c>
      <c r="BH733" s="1452">
        <f t="shared" si="396"/>
        <v>0</v>
      </c>
      <c r="BI733" s="1452">
        <f t="shared" si="413"/>
        <v>0</v>
      </c>
      <c r="BJ733" s="1452" t="str">
        <f t="shared" si="397"/>
        <v/>
      </c>
      <c r="BK733" s="1452" t="str">
        <f t="shared" si="398"/>
        <v/>
      </c>
      <c r="BL733" s="1452" t="str">
        <f t="shared" si="399"/>
        <v/>
      </c>
      <c r="BM733" s="1452" t="str">
        <f t="shared" si="400"/>
        <v/>
      </c>
      <c r="BN733" s="1452" t="str">
        <f t="shared" ca="1" si="401"/>
        <v/>
      </c>
      <c r="BO733" s="1452" t="str">
        <f t="shared" si="414"/>
        <v/>
      </c>
      <c r="BP733" s="1452" t="str">
        <f t="shared" si="402"/>
        <v/>
      </c>
      <c r="BQ733" s="1452" t="str">
        <f t="shared" si="403"/>
        <v/>
      </c>
      <c r="BR733" s="1452" t="str">
        <f t="shared" si="404"/>
        <v/>
      </c>
      <c r="BS733" s="1452" t="str">
        <f t="shared" si="405"/>
        <v/>
      </c>
      <c r="BT733" s="1452" t="str">
        <f t="shared" si="406"/>
        <v/>
      </c>
      <c r="BU733" s="1452" t="str">
        <f t="shared" si="407"/>
        <v/>
      </c>
      <c r="BV733" s="1452" t="str">
        <f t="shared" si="408"/>
        <v/>
      </c>
      <c r="BW733" s="1558">
        <f t="shared" ca="1" si="415"/>
        <v>0</v>
      </c>
    </row>
    <row r="734" spans="1:75" s="9" customFormat="1" ht="12.5">
      <c r="A734" s="1483" t="str">
        <f t="shared" si="409"/>
        <v>Public Health Wales Trust</v>
      </c>
      <c r="B734" s="1583"/>
      <c r="C734" s="1583"/>
      <c r="D734" s="1583"/>
      <c r="E734" s="1586"/>
      <c r="F734" s="1436"/>
      <c r="G734" s="1547">
        <f t="shared" si="410"/>
        <v>0</v>
      </c>
      <c r="H734" s="1484"/>
      <c r="I734" s="1547">
        <f t="shared" si="411"/>
        <v>0</v>
      </c>
      <c r="J734" s="1485"/>
      <c r="K734" s="1485"/>
      <c r="L734" s="1436"/>
      <c r="M734" s="1439"/>
      <c r="N734" s="1439"/>
      <c r="O734" s="1485"/>
      <c r="P734" s="1486"/>
      <c r="Q734" s="1486"/>
      <c r="R734" s="1487"/>
      <c r="S734" s="1444"/>
      <c r="T734" s="1444"/>
      <c r="U734" s="1444"/>
      <c r="V734" s="1488"/>
      <c r="W734" s="1488"/>
      <c r="X734" s="1488"/>
      <c r="Y734" s="1488"/>
      <c r="Z734" s="1488"/>
      <c r="AA734" s="1488"/>
      <c r="AB734" s="1488"/>
      <c r="AC734" s="1488"/>
      <c r="AD734" s="1488"/>
      <c r="AE734" s="1488"/>
      <c r="AF734" s="1488"/>
      <c r="AG734" s="1488"/>
      <c r="AH734" s="1451">
        <f t="shared" si="383"/>
        <v>0</v>
      </c>
      <c r="AI734" s="1488"/>
      <c r="AJ734" s="1488"/>
      <c r="AK734" s="1488"/>
      <c r="AL734" s="1488"/>
      <c r="AM734" s="1488"/>
      <c r="AN734" s="1488"/>
      <c r="AO734" s="1488"/>
      <c r="AP734" s="1488"/>
      <c r="AQ734" s="1488"/>
      <c r="AR734" s="1488"/>
      <c r="AS734" s="1488"/>
      <c r="AT734" s="1542"/>
      <c r="AU734" s="1599">
        <f t="shared" si="384"/>
        <v>0</v>
      </c>
      <c r="AV734" s="1544">
        <f t="shared" si="412"/>
        <v>0</v>
      </c>
      <c r="AW734" s="1452">
        <f t="shared" si="385"/>
        <v>0</v>
      </c>
      <c r="AX734" s="1452">
        <f t="shared" si="386"/>
        <v>0</v>
      </c>
      <c r="AY734" s="1452">
        <f t="shared" si="387"/>
        <v>0</v>
      </c>
      <c r="AZ734" s="1452">
        <f t="shared" si="388"/>
        <v>0</v>
      </c>
      <c r="BA734" s="1452">
        <f t="shared" si="389"/>
        <v>0</v>
      </c>
      <c r="BB734" s="1452">
        <f t="shared" si="390"/>
        <v>0</v>
      </c>
      <c r="BC734" s="1452">
        <f t="shared" si="391"/>
        <v>0</v>
      </c>
      <c r="BD734" s="1452">
        <f t="shared" si="392"/>
        <v>0</v>
      </c>
      <c r="BE734" s="1452">
        <f t="shared" si="393"/>
        <v>0</v>
      </c>
      <c r="BF734" s="1452">
        <f t="shared" si="394"/>
        <v>0</v>
      </c>
      <c r="BG734" s="1452">
        <f t="shared" si="395"/>
        <v>0</v>
      </c>
      <c r="BH734" s="1452">
        <f t="shared" si="396"/>
        <v>0</v>
      </c>
      <c r="BI734" s="1452">
        <f t="shared" si="413"/>
        <v>0</v>
      </c>
      <c r="BJ734" s="1452" t="str">
        <f t="shared" si="397"/>
        <v/>
      </c>
      <c r="BK734" s="1452" t="str">
        <f t="shared" si="398"/>
        <v/>
      </c>
      <c r="BL734" s="1452" t="str">
        <f t="shared" si="399"/>
        <v/>
      </c>
      <c r="BM734" s="1452" t="str">
        <f t="shared" si="400"/>
        <v/>
      </c>
      <c r="BN734" s="1452" t="str">
        <f t="shared" ca="1" si="401"/>
        <v/>
      </c>
      <c r="BO734" s="1452" t="str">
        <f t="shared" si="414"/>
        <v/>
      </c>
      <c r="BP734" s="1452" t="str">
        <f t="shared" si="402"/>
        <v/>
      </c>
      <c r="BQ734" s="1452" t="str">
        <f t="shared" si="403"/>
        <v/>
      </c>
      <c r="BR734" s="1452" t="str">
        <f t="shared" si="404"/>
        <v/>
      </c>
      <c r="BS734" s="1452" t="str">
        <f t="shared" si="405"/>
        <v/>
      </c>
      <c r="BT734" s="1452" t="str">
        <f t="shared" si="406"/>
        <v/>
      </c>
      <c r="BU734" s="1452" t="str">
        <f t="shared" si="407"/>
        <v/>
      </c>
      <c r="BV734" s="1452" t="str">
        <f t="shared" si="408"/>
        <v/>
      </c>
      <c r="BW734" s="1558">
        <f t="shared" ca="1" si="415"/>
        <v>0</v>
      </c>
    </row>
    <row r="735" spans="1:75" s="9" customFormat="1" ht="12.5">
      <c r="A735" s="1483" t="str">
        <f t="shared" si="409"/>
        <v>Public Health Wales Trust</v>
      </c>
      <c r="B735" s="1583"/>
      <c r="C735" s="1583"/>
      <c r="D735" s="1583"/>
      <c r="E735" s="1586"/>
      <c r="F735" s="1436"/>
      <c r="G735" s="1547">
        <f t="shared" si="410"/>
        <v>0</v>
      </c>
      <c r="H735" s="1484"/>
      <c r="I735" s="1547">
        <f t="shared" si="411"/>
        <v>0</v>
      </c>
      <c r="J735" s="1485"/>
      <c r="K735" s="1485"/>
      <c r="L735" s="1436"/>
      <c r="M735" s="1439"/>
      <c r="N735" s="1439"/>
      <c r="O735" s="1485"/>
      <c r="P735" s="1486"/>
      <c r="Q735" s="1486"/>
      <c r="R735" s="1487"/>
      <c r="S735" s="1444"/>
      <c r="T735" s="1444"/>
      <c r="U735" s="1444"/>
      <c r="V735" s="1488"/>
      <c r="W735" s="1488"/>
      <c r="X735" s="1488"/>
      <c r="Y735" s="1488"/>
      <c r="Z735" s="1488"/>
      <c r="AA735" s="1488"/>
      <c r="AB735" s="1488"/>
      <c r="AC735" s="1488"/>
      <c r="AD735" s="1488"/>
      <c r="AE735" s="1488"/>
      <c r="AF735" s="1488"/>
      <c r="AG735" s="1488"/>
      <c r="AH735" s="1451">
        <f t="shared" si="383"/>
        <v>0</v>
      </c>
      <c r="AI735" s="1488"/>
      <c r="AJ735" s="1488"/>
      <c r="AK735" s="1488"/>
      <c r="AL735" s="1488"/>
      <c r="AM735" s="1488"/>
      <c r="AN735" s="1488"/>
      <c r="AO735" s="1488"/>
      <c r="AP735" s="1488"/>
      <c r="AQ735" s="1488"/>
      <c r="AR735" s="1488"/>
      <c r="AS735" s="1488"/>
      <c r="AT735" s="1542"/>
      <c r="AU735" s="1599">
        <f t="shared" si="384"/>
        <v>0</v>
      </c>
      <c r="AV735" s="1544">
        <f t="shared" si="412"/>
        <v>0</v>
      </c>
      <c r="AW735" s="1452">
        <f t="shared" si="385"/>
        <v>0</v>
      </c>
      <c r="AX735" s="1452">
        <f t="shared" si="386"/>
        <v>0</v>
      </c>
      <c r="AY735" s="1452">
        <f t="shared" si="387"/>
        <v>0</v>
      </c>
      <c r="AZ735" s="1452">
        <f t="shared" si="388"/>
        <v>0</v>
      </c>
      <c r="BA735" s="1452">
        <f t="shared" si="389"/>
        <v>0</v>
      </c>
      <c r="BB735" s="1452">
        <f t="shared" si="390"/>
        <v>0</v>
      </c>
      <c r="BC735" s="1452">
        <f t="shared" si="391"/>
        <v>0</v>
      </c>
      <c r="BD735" s="1452">
        <f t="shared" si="392"/>
        <v>0</v>
      </c>
      <c r="BE735" s="1452">
        <f t="shared" si="393"/>
        <v>0</v>
      </c>
      <c r="BF735" s="1452">
        <f t="shared" si="394"/>
        <v>0</v>
      </c>
      <c r="BG735" s="1452">
        <f t="shared" si="395"/>
        <v>0</v>
      </c>
      <c r="BH735" s="1452">
        <f t="shared" si="396"/>
        <v>0</v>
      </c>
      <c r="BI735" s="1452">
        <f t="shared" si="413"/>
        <v>0</v>
      </c>
      <c r="BJ735" s="1452" t="str">
        <f t="shared" si="397"/>
        <v/>
      </c>
      <c r="BK735" s="1452" t="str">
        <f t="shared" si="398"/>
        <v/>
      </c>
      <c r="BL735" s="1452" t="str">
        <f t="shared" si="399"/>
        <v/>
      </c>
      <c r="BM735" s="1452" t="str">
        <f t="shared" si="400"/>
        <v/>
      </c>
      <c r="BN735" s="1452" t="str">
        <f t="shared" ca="1" si="401"/>
        <v/>
      </c>
      <c r="BO735" s="1452" t="str">
        <f t="shared" si="414"/>
        <v/>
      </c>
      <c r="BP735" s="1452" t="str">
        <f t="shared" si="402"/>
        <v/>
      </c>
      <c r="BQ735" s="1452" t="str">
        <f t="shared" si="403"/>
        <v/>
      </c>
      <c r="BR735" s="1452" t="str">
        <f t="shared" si="404"/>
        <v/>
      </c>
      <c r="BS735" s="1452" t="str">
        <f t="shared" si="405"/>
        <v/>
      </c>
      <c r="BT735" s="1452" t="str">
        <f t="shared" si="406"/>
        <v/>
      </c>
      <c r="BU735" s="1452" t="str">
        <f t="shared" si="407"/>
        <v/>
      </c>
      <c r="BV735" s="1452" t="str">
        <f t="shared" si="408"/>
        <v/>
      </c>
      <c r="BW735" s="1558">
        <f t="shared" ca="1" si="415"/>
        <v>0</v>
      </c>
    </row>
    <row r="736" spans="1:75" s="9" customFormat="1" ht="12.5">
      <c r="A736" s="1483" t="str">
        <f t="shared" si="409"/>
        <v>Public Health Wales Trust</v>
      </c>
      <c r="B736" s="1583"/>
      <c r="C736" s="1583"/>
      <c r="D736" s="1583"/>
      <c r="E736" s="1586"/>
      <c r="F736" s="1436"/>
      <c r="G736" s="1547">
        <f t="shared" si="410"/>
        <v>0</v>
      </c>
      <c r="H736" s="1484"/>
      <c r="I736" s="1547">
        <f t="shared" si="411"/>
        <v>0</v>
      </c>
      <c r="J736" s="1485"/>
      <c r="K736" s="1485"/>
      <c r="L736" s="1436"/>
      <c r="M736" s="1439"/>
      <c r="N736" s="1439"/>
      <c r="O736" s="1485"/>
      <c r="P736" s="1486"/>
      <c r="Q736" s="1486"/>
      <c r="R736" s="1487"/>
      <c r="S736" s="1444"/>
      <c r="T736" s="1444"/>
      <c r="U736" s="1444"/>
      <c r="V736" s="1488"/>
      <c r="W736" s="1488"/>
      <c r="X736" s="1488"/>
      <c r="Y736" s="1488"/>
      <c r="Z736" s="1488"/>
      <c r="AA736" s="1488"/>
      <c r="AB736" s="1488"/>
      <c r="AC736" s="1488"/>
      <c r="AD736" s="1488"/>
      <c r="AE736" s="1488"/>
      <c r="AF736" s="1488"/>
      <c r="AG736" s="1488"/>
      <c r="AH736" s="1451">
        <f t="shared" si="383"/>
        <v>0</v>
      </c>
      <c r="AI736" s="1488"/>
      <c r="AJ736" s="1488"/>
      <c r="AK736" s="1488"/>
      <c r="AL736" s="1488"/>
      <c r="AM736" s="1488"/>
      <c r="AN736" s="1488"/>
      <c r="AO736" s="1488"/>
      <c r="AP736" s="1488"/>
      <c r="AQ736" s="1488"/>
      <c r="AR736" s="1488"/>
      <c r="AS736" s="1488"/>
      <c r="AT736" s="1542"/>
      <c r="AU736" s="1599">
        <f t="shared" si="384"/>
        <v>0</v>
      </c>
      <c r="AV736" s="1544">
        <f t="shared" si="412"/>
        <v>0</v>
      </c>
      <c r="AW736" s="1452">
        <f t="shared" si="385"/>
        <v>0</v>
      </c>
      <c r="AX736" s="1452">
        <f t="shared" si="386"/>
        <v>0</v>
      </c>
      <c r="AY736" s="1452">
        <f t="shared" si="387"/>
        <v>0</v>
      </c>
      <c r="AZ736" s="1452">
        <f t="shared" si="388"/>
        <v>0</v>
      </c>
      <c r="BA736" s="1452">
        <f t="shared" si="389"/>
        <v>0</v>
      </c>
      <c r="BB736" s="1452">
        <f t="shared" si="390"/>
        <v>0</v>
      </c>
      <c r="BC736" s="1452">
        <f t="shared" si="391"/>
        <v>0</v>
      </c>
      <c r="BD736" s="1452">
        <f t="shared" si="392"/>
        <v>0</v>
      </c>
      <c r="BE736" s="1452">
        <f t="shared" si="393"/>
        <v>0</v>
      </c>
      <c r="BF736" s="1452">
        <f t="shared" si="394"/>
        <v>0</v>
      </c>
      <c r="BG736" s="1452">
        <f t="shared" si="395"/>
        <v>0</v>
      </c>
      <c r="BH736" s="1452">
        <f t="shared" si="396"/>
        <v>0</v>
      </c>
      <c r="BI736" s="1452">
        <f t="shared" si="413"/>
        <v>0</v>
      </c>
      <c r="BJ736" s="1452" t="str">
        <f t="shared" si="397"/>
        <v/>
      </c>
      <c r="BK736" s="1452" t="str">
        <f t="shared" si="398"/>
        <v/>
      </c>
      <c r="BL736" s="1452" t="str">
        <f t="shared" si="399"/>
        <v/>
      </c>
      <c r="BM736" s="1452" t="str">
        <f t="shared" si="400"/>
        <v/>
      </c>
      <c r="BN736" s="1452" t="str">
        <f t="shared" ca="1" si="401"/>
        <v/>
      </c>
      <c r="BO736" s="1452" t="str">
        <f t="shared" si="414"/>
        <v/>
      </c>
      <c r="BP736" s="1452" t="str">
        <f t="shared" si="402"/>
        <v/>
      </c>
      <c r="BQ736" s="1452" t="str">
        <f t="shared" si="403"/>
        <v/>
      </c>
      <c r="BR736" s="1452" t="str">
        <f t="shared" si="404"/>
        <v/>
      </c>
      <c r="BS736" s="1452" t="str">
        <f t="shared" si="405"/>
        <v/>
      </c>
      <c r="BT736" s="1452" t="str">
        <f t="shared" si="406"/>
        <v/>
      </c>
      <c r="BU736" s="1452" t="str">
        <f t="shared" si="407"/>
        <v/>
      </c>
      <c r="BV736" s="1452" t="str">
        <f t="shared" si="408"/>
        <v/>
      </c>
      <c r="BW736" s="1558">
        <f t="shared" ca="1" si="415"/>
        <v>0</v>
      </c>
    </row>
    <row r="737" spans="1:75" s="9" customFormat="1" ht="12.5">
      <c r="A737" s="1483" t="str">
        <f t="shared" si="409"/>
        <v>Public Health Wales Trust</v>
      </c>
      <c r="B737" s="1583"/>
      <c r="C737" s="1583"/>
      <c r="D737" s="1583"/>
      <c r="E737" s="1444"/>
      <c r="F737" s="1436"/>
      <c r="G737" s="1547">
        <f t="shared" si="410"/>
        <v>0</v>
      </c>
      <c r="H737" s="1484"/>
      <c r="I737" s="1547">
        <f t="shared" si="411"/>
        <v>0</v>
      </c>
      <c r="J737" s="1485"/>
      <c r="K737" s="1485"/>
      <c r="L737" s="1436"/>
      <c r="M737" s="1439"/>
      <c r="N737" s="1439"/>
      <c r="O737" s="1485"/>
      <c r="P737" s="1486"/>
      <c r="Q737" s="1486"/>
      <c r="R737" s="1487"/>
      <c r="S737" s="1444"/>
      <c r="T737" s="1444"/>
      <c r="U737" s="1444"/>
      <c r="V737" s="1488"/>
      <c r="W737" s="1488"/>
      <c r="X737" s="1488"/>
      <c r="Y737" s="1488"/>
      <c r="Z737" s="1488"/>
      <c r="AA737" s="1488"/>
      <c r="AB737" s="1488"/>
      <c r="AC737" s="1488"/>
      <c r="AD737" s="1488"/>
      <c r="AE737" s="1488"/>
      <c r="AF737" s="1488"/>
      <c r="AG737" s="1488"/>
      <c r="AH737" s="1451">
        <f t="shared" si="383"/>
        <v>0</v>
      </c>
      <c r="AI737" s="1488"/>
      <c r="AJ737" s="1488"/>
      <c r="AK737" s="1488"/>
      <c r="AL737" s="1488"/>
      <c r="AM737" s="1488"/>
      <c r="AN737" s="1488"/>
      <c r="AO737" s="1488"/>
      <c r="AP737" s="1488"/>
      <c r="AQ737" s="1488"/>
      <c r="AR737" s="1488"/>
      <c r="AS737" s="1488"/>
      <c r="AT737" s="1542"/>
      <c r="AU737" s="1599">
        <f t="shared" si="384"/>
        <v>0</v>
      </c>
      <c r="AV737" s="1544">
        <f t="shared" si="412"/>
        <v>0</v>
      </c>
      <c r="AW737" s="1452">
        <f t="shared" si="385"/>
        <v>0</v>
      </c>
      <c r="AX737" s="1452">
        <f t="shared" si="386"/>
        <v>0</v>
      </c>
      <c r="AY737" s="1452">
        <f t="shared" si="387"/>
        <v>0</v>
      </c>
      <c r="AZ737" s="1452">
        <f t="shared" si="388"/>
        <v>0</v>
      </c>
      <c r="BA737" s="1452">
        <f t="shared" si="389"/>
        <v>0</v>
      </c>
      <c r="BB737" s="1452">
        <f t="shared" si="390"/>
        <v>0</v>
      </c>
      <c r="BC737" s="1452">
        <f t="shared" si="391"/>
        <v>0</v>
      </c>
      <c r="BD737" s="1452">
        <f t="shared" si="392"/>
        <v>0</v>
      </c>
      <c r="BE737" s="1452">
        <f t="shared" si="393"/>
        <v>0</v>
      </c>
      <c r="BF737" s="1452">
        <f t="shared" si="394"/>
        <v>0</v>
      </c>
      <c r="BG737" s="1452">
        <f t="shared" si="395"/>
        <v>0</v>
      </c>
      <c r="BH737" s="1452">
        <f t="shared" si="396"/>
        <v>0</v>
      </c>
      <c r="BI737" s="1452">
        <f t="shared" si="413"/>
        <v>0</v>
      </c>
      <c r="BJ737" s="1452" t="str">
        <f t="shared" si="397"/>
        <v/>
      </c>
      <c r="BK737" s="1452" t="str">
        <f t="shared" si="398"/>
        <v/>
      </c>
      <c r="BL737" s="1452" t="str">
        <f t="shared" si="399"/>
        <v/>
      </c>
      <c r="BM737" s="1452" t="str">
        <f t="shared" si="400"/>
        <v/>
      </c>
      <c r="BN737" s="1452" t="str">
        <f t="shared" ca="1" si="401"/>
        <v/>
      </c>
      <c r="BO737" s="1452" t="str">
        <f t="shared" si="414"/>
        <v/>
      </c>
      <c r="BP737" s="1452" t="str">
        <f t="shared" si="402"/>
        <v/>
      </c>
      <c r="BQ737" s="1452" t="str">
        <f t="shared" si="403"/>
        <v/>
      </c>
      <c r="BR737" s="1452" t="str">
        <f t="shared" si="404"/>
        <v/>
      </c>
      <c r="BS737" s="1452" t="str">
        <f t="shared" si="405"/>
        <v/>
      </c>
      <c r="BT737" s="1452" t="str">
        <f t="shared" si="406"/>
        <v/>
      </c>
      <c r="BU737" s="1452" t="str">
        <f t="shared" si="407"/>
        <v/>
      </c>
      <c r="BV737" s="1452" t="str">
        <f t="shared" si="408"/>
        <v/>
      </c>
      <c r="BW737" s="1558">
        <f t="shared" ca="1" si="415"/>
        <v>0</v>
      </c>
    </row>
    <row r="738" spans="1:75" s="9" customFormat="1" ht="12.5">
      <c r="A738" s="1483" t="str">
        <f t="shared" si="409"/>
        <v>Public Health Wales Trust</v>
      </c>
      <c r="B738" s="1583"/>
      <c r="C738" s="1583"/>
      <c r="D738" s="1583"/>
      <c r="E738" s="1444"/>
      <c r="F738" s="1436"/>
      <c r="G738" s="1547">
        <f t="shared" si="410"/>
        <v>0</v>
      </c>
      <c r="H738" s="1484"/>
      <c r="I738" s="1547">
        <f t="shared" si="411"/>
        <v>0</v>
      </c>
      <c r="J738" s="1485"/>
      <c r="K738" s="1485"/>
      <c r="L738" s="1436"/>
      <c r="M738" s="1439"/>
      <c r="N738" s="1439"/>
      <c r="O738" s="1485"/>
      <c r="P738" s="1486"/>
      <c r="Q738" s="1486"/>
      <c r="R738" s="1487"/>
      <c r="S738" s="1444"/>
      <c r="T738" s="1444"/>
      <c r="U738" s="1444"/>
      <c r="V738" s="1488"/>
      <c r="W738" s="1488"/>
      <c r="X738" s="1488"/>
      <c r="Y738" s="1488"/>
      <c r="Z738" s="1488"/>
      <c r="AA738" s="1488"/>
      <c r="AB738" s="1488"/>
      <c r="AC738" s="1488"/>
      <c r="AD738" s="1488"/>
      <c r="AE738" s="1488"/>
      <c r="AF738" s="1488"/>
      <c r="AG738" s="1488"/>
      <c r="AH738" s="1451">
        <f t="shared" si="383"/>
        <v>0</v>
      </c>
      <c r="AI738" s="1488"/>
      <c r="AJ738" s="1488"/>
      <c r="AK738" s="1488"/>
      <c r="AL738" s="1488"/>
      <c r="AM738" s="1488"/>
      <c r="AN738" s="1488"/>
      <c r="AO738" s="1488"/>
      <c r="AP738" s="1488"/>
      <c r="AQ738" s="1488"/>
      <c r="AR738" s="1488"/>
      <c r="AS738" s="1488"/>
      <c r="AT738" s="1542"/>
      <c r="AU738" s="1599">
        <f t="shared" si="384"/>
        <v>0</v>
      </c>
      <c r="AV738" s="1544">
        <f t="shared" si="412"/>
        <v>0</v>
      </c>
      <c r="AW738" s="1452">
        <f t="shared" si="385"/>
        <v>0</v>
      </c>
      <c r="AX738" s="1452">
        <f t="shared" si="386"/>
        <v>0</v>
      </c>
      <c r="AY738" s="1452">
        <f t="shared" si="387"/>
        <v>0</v>
      </c>
      <c r="AZ738" s="1452">
        <f t="shared" si="388"/>
        <v>0</v>
      </c>
      <c r="BA738" s="1452">
        <f t="shared" si="389"/>
        <v>0</v>
      </c>
      <c r="BB738" s="1452">
        <f t="shared" si="390"/>
        <v>0</v>
      </c>
      <c r="BC738" s="1452">
        <f t="shared" si="391"/>
        <v>0</v>
      </c>
      <c r="BD738" s="1452">
        <f t="shared" si="392"/>
        <v>0</v>
      </c>
      <c r="BE738" s="1452">
        <f t="shared" si="393"/>
        <v>0</v>
      </c>
      <c r="BF738" s="1452">
        <f t="shared" si="394"/>
        <v>0</v>
      </c>
      <c r="BG738" s="1452">
        <f t="shared" si="395"/>
        <v>0</v>
      </c>
      <c r="BH738" s="1452">
        <f t="shared" si="396"/>
        <v>0</v>
      </c>
      <c r="BI738" s="1452">
        <f t="shared" si="413"/>
        <v>0</v>
      </c>
      <c r="BJ738" s="1452" t="str">
        <f t="shared" si="397"/>
        <v/>
      </c>
      <c r="BK738" s="1452" t="str">
        <f t="shared" si="398"/>
        <v/>
      </c>
      <c r="BL738" s="1452" t="str">
        <f t="shared" si="399"/>
        <v/>
      </c>
      <c r="BM738" s="1452" t="str">
        <f t="shared" si="400"/>
        <v/>
      </c>
      <c r="BN738" s="1452" t="str">
        <f t="shared" ca="1" si="401"/>
        <v/>
      </c>
      <c r="BO738" s="1452" t="str">
        <f t="shared" si="414"/>
        <v/>
      </c>
      <c r="BP738" s="1452" t="str">
        <f t="shared" si="402"/>
        <v/>
      </c>
      <c r="BQ738" s="1452" t="str">
        <f t="shared" si="403"/>
        <v/>
      </c>
      <c r="BR738" s="1452" t="str">
        <f t="shared" si="404"/>
        <v/>
      </c>
      <c r="BS738" s="1452" t="str">
        <f t="shared" si="405"/>
        <v/>
      </c>
      <c r="BT738" s="1452" t="str">
        <f t="shared" si="406"/>
        <v/>
      </c>
      <c r="BU738" s="1452" t="str">
        <f t="shared" si="407"/>
        <v/>
      </c>
      <c r="BV738" s="1452" t="str">
        <f t="shared" si="408"/>
        <v/>
      </c>
      <c r="BW738" s="1558">
        <f t="shared" ca="1" si="415"/>
        <v>0</v>
      </c>
    </row>
    <row r="739" spans="1:75" s="9" customFormat="1" ht="12.5">
      <c r="A739" s="1483" t="str">
        <f t="shared" si="409"/>
        <v>Public Health Wales Trust</v>
      </c>
      <c r="B739" s="1587"/>
      <c r="C739" s="1587"/>
      <c r="D739" s="1587"/>
      <c r="E739" s="1589"/>
      <c r="F739" s="1436"/>
      <c r="G739" s="1547">
        <f t="shared" si="410"/>
        <v>0</v>
      </c>
      <c r="H739" s="1484"/>
      <c r="I739" s="1547">
        <f t="shared" si="411"/>
        <v>0</v>
      </c>
      <c r="J739" s="1493"/>
      <c r="K739" s="1493"/>
      <c r="L739" s="1436"/>
      <c r="M739" s="1441"/>
      <c r="N739" s="1441"/>
      <c r="O739" s="1485"/>
      <c r="P739" s="1486"/>
      <c r="Q739" s="1486"/>
      <c r="R739" s="1487"/>
      <c r="S739" s="1444"/>
      <c r="T739" s="1444"/>
      <c r="U739" s="1444"/>
      <c r="V739" s="1488"/>
      <c r="W739" s="1488"/>
      <c r="X739" s="1488"/>
      <c r="Y739" s="1488"/>
      <c r="Z739" s="1488"/>
      <c r="AA739" s="1488"/>
      <c r="AB739" s="1488"/>
      <c r="AC739" s="1488"/>
      <c r="AD739" s="1488"/>
      <c r="AE739" s="1488"/>
      <c r="AF739" s="1488"/>
      <c r="AG739" s="1488"/>
      <c r="AH739" s="1451">
        <f t="shared" si="383"/>
        <v>0</v>
      </c>
      <c r="AI739" s="1488"/>
      <c r="AJ739" s="1488"/>
      <c r="AK739" s="1488"/>
      <c r="AL739" s="1488"/>
      <c r="AM739" s="1488"/>
      <c r="AN739" s="1488"/>
      <c r="AO739" s="1488"/>
      <c r="AP739" s="1488"/>
      <c r="AQ739" s="1488"/>
      <c r="AR739" s="1488"/>
      <c r="AS739" s="1488"/>
      <c r="AT739" s="1542"/>
      <c r="AU739" s="1599">
        <f t="shared" si="384"/>
        <v>0</v>
      </c>
      <c r="AV739" s="1544">
        <f t="shared" si="412"/>
        <v>0</v>
      </c>
      <c r="AW739" s="1452">
        <f t="shared" si="385"/>
        <v>0</v>
      </c>
      <c r="AX739" s="1452">
        <f t="shared" si="386"/>
        <v>0</v>
      </c>
      <c r="AY739" s="1452">
        <f t="shared" si="387"/>
        <v>0</v>
      </c>
      <c r="AZ739" s="1452">
        <f t="shared" si="388"/>
        <v>0</v>
      </c>
      <c r="BA739" s="1452">
        <f t="shared" si="389"/>
        <v>0</v>
      </c>
      <c r="BB739" s="1452">
        <f t="shared" si="390"/>
        <v>0</v>
      </c>
      <c r="BC739" s="1452">
        <f t="shared" si="391"/>
        <v>0</v>
      </c>
      <c r="BD739" s="1452">
        <f t="shared" si="392"/>
        <v>0</v>
      </c>
      <c r="BE739" s="1452">
        <f t="shared" si="393"/>
        <v>0</v>
      </c>
      <c r="BF739" s="1452">
        <f t="shared" si="394"/>
        <v>0</v>
      </c>
      <c r="BG739" s="1452">
        <f t="shared" si="395"/>
        <v>0</v>
      </c>
      <c r="BH739" s="1452">
        <f t="shared" si="396"/>
        <v>0</v>
      </c>
      <c r="BI739" s="1452">
        <f t="shared" si="413"/>
        <v>0</v>
      </c>
      <c r="BJ739" s="1452" t="str">
        <f t="shared" si="397"/>
        <v/>
      </c>
      <c r="BK739" s="1452" t="str">
        <f t="shared" si="398"/>
        <v/>
      </c>
      <c r="BL739" s="1452" t="str">
        <f t="shared" si="399"/>
        <v/>
      </c>
      <c r="BM739" s="1452" t="str">
        <f t="shared" si="400"/>
        <v/>
      </c>
      <c r="BN739" s="1452" t="str">
        <f t="shared" ca="1" si="401"/>
        <v/>
      </c>
      <c r="BO739" s="1452" t="str">
        <f t="shared" si="414"/>
        <v/>
      </c>
      <c r="BP739" s="1452" t="str">
        <f t="shared" si="402"/>
        <v/>
      </c>
      <c r="BQ739" s="1452" t="str">
        <f t="shared" si="403"/>
        <v/>
      </c>
      <c r="BR739" s="1452" t="str">
        <f t="shared" si="404"/>
        <v/>
      </c>
      <c r="BS739" s="1452" t="str">
        <f t="shared" si="405"/>
        <v/>
      </c>
      <c r="BT739" s="1452" t="str">
        <f t="shared" si="406"/>
        <v/>
      </c>
      <c r="BU739" s="1452" t="str">
        <f t="shared" si="407"/>
        <v/>
      </c>
      <c r="BV739" s="1452" t="str">
        <f t="shared" si="408"/>
        <v/>
      </c>
      <c r="BW739" s="1558">
        <f t="shared" ca="1" si="415"/>
        <v>0</v>
      </c>
    </row>
    <row r="740" spans="1:75" s="9" customFormat="1" ht="12.5">
      <c r="A740" s="1483" t="str">
        <f t="shared" si="409"/>
        <v>Public Health Wales Trust</v>
      </c>
      <c r="B740" s="1583"/>
      <c r="C740" s="1583"/>
      <c r="D740" s="1583"/>
      <c r="E740" s="1581"/>
      <c r="F740" s="1436"/>
      <c r="G740" s="1547">
        <f t="shared" si="410"/>
        <v>0</v>
      </c>
      <c r="H740" s="1484"/>
      <c r="I740" s="1547">
        <f t="shared" si="411"/>
        <v>0</v>
      </c>
      <c r="J740" s="1485"/>
      <c r="K740" s="1485"/>
      <c r="L740" s="1436"/>
      <c r="M740" s="1439"/>
      <c r="N740" s="1439"/>
      <c r="O740" s="1485"/>
      <c r="P740" s="1486"/>
      <c r="Q740" s="1486"/>
      <c r="R740" s="1487"/>
      <c r="S740" s="1444"/>
      <c r="T740" s="1444"/>
      <c r="U740" s="1444"/>
      <c r="V740" s="1488"/>
      <c r="W740" s="1488"/>
      <c r="X740" s="1488"/>
      <c r="Y740" s="1488"/>
      <c r="Z740" s="1488"/>
      <c r="AA740" s="1488"/>
      <c r="AB740" s="1488"/>
      <c r="AC740" s="1488"/>
      <c r="AD740" s="1488"/>
      <c r="AE740" s="1488"/>
      <c r="AF740" s="1488"/>
      <c r="AG740" s="1488"/>
      <c r="AH740" s="1451">
        <f t="shared" si="383"/>
        <v>0</v>
      </c>
      <c r="AI740" s="1488"/>
      <c r="AJ740" s="1488"/>
      <c r="AK740" s="1488"/>
      <c r="AL740" s="1488"/>
      <c r="AM740" s="1488"/>
      <c r="AN740" s="1488"/>
      <c r="AO740" s="1488"/>
      <c r="AP740" s="1488"/>
      <c r="AQ740" s="1488"/>
      <c r="AR740" s="1488"/>
      <c r="AS740" s="1488"/>
      <c r="AT740" s="1542"/>
      <c r="AU740" s="1599">
        <f t="shared" si="384"/>
        <v>0</v>
      </c>
      <c r="AV740" s="1544">
        <f t="shared" si="412"/>
        <v>0</v>
      </c>
      <c r="AW740" s="1452">
        <f t="shared" si="385"/>
        <v>0</v>
      </c>
      <c r="AX740" s="1452">
        <f t="shared" si="386"/>
        <v>0</v>
      </c>
      <c r="AY740" s="1452">
        <f t="shared" si="387"/>
        <v>0</v>
      </c>
      <c r="AZ740" s="1452">
        <f t="shared" si="388"/>
        <v>0</v>
      </c>
      <c r="BA740" s="1452">
        <f t="shared" si="389"/>
        <v>0</v>
      </c>
      <c r="BB740" s="1452">
        <f t="shared" si="390"/>
        <v>0</v>
      </c>
      <c r="BC740" s="1452">
        <f t="shared" si="391"/>
        <v>0</v>
      </c>
      <c r="BD740" s="1452">
        <f t="shared" si="392"/>
        <v>0</v>
      </c>
      <c r="BE740" s="1452">
        <f t="shared" si="393"/>
        <v>0</v>
      </c>
      <c r="BF740" s="1452">
        <f t="shared" si="394"/>
        <v>0</v>
      </c>
      <c r="BG740" s="1452">
        <f t="shared" si="395"/>
        <v>0</v>
      </c>
      <c r="BH740" s="1452">
        <f t="shared" si="396"/>
        <v>0</v>
      </c>
      <c r="BI740" s="1452">
        <f t="shared" si="413"/>
        <v>0</v>
      </c>
      <c r="BJ740" s="1452" t="str">
        <f t="shared" si="397"/>
        <v/>
      </c>
      <c r="BK740" s="1452" t="str">
        <f t="shared" si="398"/>
        <v/>
      </c>
      <c r="BL740" s="1452" t="str">
        <f t="shared" si="399"/>
        <v/>
      </c>
      <c r="BM740" s="1452" t="str">
        <f t="shared" si="400"/>
        <v/>
      </c>
      <c r="BN740" s="1452" t="str">
        <f t="shared" ca="1" si="401"/>
        <v/>
      </c>
      <c r="BO740" s="1452" t="str">
        <f t="shared" si="414"/>
        <v/>
      </c>
      <c r="BP740" s="1452" t="str">
        <f t="shared" si="402"/>
        <v/>
      </c>
      <c r="BQ740" s="1452" t="str">
        <f t="shared" si="403"/>
        <v/>
      </c>
      <c r="BR740" s="1452" t="str">
        <f t="shared" si="404"/>
        <v/>
      </c>
      <c r="BS740" s="1452" t="str">
        <f t="shared" si="405"/>
        <v/>
      </c>
      <c r="BT740" s="1452" t="str">
        <f t="shared" si="406"/>
        <v/>
      </c>
      <c r="BU740" s="1452" t="str">
        <f t="shared" si="407"/>
        <v/>
      </c>
      <c r="BV740" s="1452" t="str">
        <f t="shared" si="408"/>
        <v/>
      </c>
      <c r="BW740" s="1558">
        <f t="shared" ca="1" si="415"/>
        <v>0</v>
      </c>
    </row>
    <row r="741" spans="1:75" s="9" customFormat="1" ht="12.5">
      <c r="A741" s="1483" t="str">
        <f t="shared" si="409"/>
        <v>Public Health Wales Trust</v>
      </c>
      <c r="B741" s="1583"/>
      <c r="C741" s="1583"/>
      <c r="D741" s="1583"/>
      <c r="E741" s="1436"/>
      <c r="F741" s="1436"/>
      <c r="G741" s="1547">
        <f t="shared" si="410"/>
        <v>0</v>
      </c>
      <c r="H741" s="1484"/>
      <c r="I741" s="1547">
        <f t="shared" si="411"/>
        <v>0</v>
      </c>
      <c r="J741" s="1485"/>
      <c r="K741" s="1485"/>
      <c r="L741" s="1436"/>
      <c r="M741" s="1439"/>
      <c r="N741" s="1439"/>
      <c r="O741" s="1485"/>
      <c r="P741" s="1486"/>
      <c r="Q741" s="1486"/>
      <c r="R741" s="1487"/>
      <c r="S741" s="1444"/>
      <c r="T741" s="1444"/>
      <c r="U741" s="1444"/>
      <c r="V741" s="1488"/>
      <c r="W741" s="1488"/>
      <c r="X741" s="1488"/>
      <c r="Y741" s="1488"/>
      <c r="Z741" s="1488"/>
      <c r="AA741" s="1488"/>
      <c r="AB741" s="1488"/>
      <c r="AC741" s="1488"/>
      <c r="AD741" s="1488"/>
      <c r="AE741" s="1488"/>
      <c r="AF741" s="1488"/>
      <c r="AG741" s="1488"/>
      <c r="AH741" s="1451">
        <f t="shared" si="383"/>
        <v>0</v>
      </c>
      <c r="AI741" s="1488"/>
      <c r="AJ741" s="1488"/>
      <c r="AK741" s="1488"/>
      <c r="AL741" s="1488"/>
      <c r="AM741" s="1488"/>
      <c r="AN741" s="1488"/>
      <c r="AO741" s="1488"/>
      <c r="AP741" s="1488"/>
      <c r="AQ741" s="1488"/>
      <c r="AR741" s="1488"/>
      <c r="AS741" s="1488"/>
      <c r="AT741" s="1542"/>
      <c r="AU741" s="1599">
        <f t="shared" si="384"/>
        <v>0</v>
      </c>
      <c r="AV741" s="1544">
        <f t="shared" si="412"/>
        <v>0</v>
      </c>
      <c r="AW741" s="1452">
        <f t="shared" si="385"/>
        <v>0</v>
      </c>
      <c r="AX741" s="1452">
        <f t="shared" si="386"/>
        <v>0</v>
      </c>
      <c r="AY741" s="1452">
        <f t="shared" si="387"/>
        <v>0</v>
      </c>
      <c r="AZ741" s="1452">
        <f t="shared" si="388"/>
        <v>0</v>
      </c>
      <c r="BA741" s="1452">
        <f t="shared" si="389"/>
        <v>0</v>
      </c>
      <c r="BB741" s="1452">
        <f t="shared" si="390"/>
        <v>0</v>
      </c>
      <c r="BC741" s="1452">
        <f t="shared" si="391"/>
        <v>0</v>
      </c>
      <c r="BD741" s="1452">
        <f t="shared" si="392"/>
        <v>0</v>
      </c>
      <c r="BE741" s="1452">
        <f t="shared" si="393"/>
        <v>0</v>
      </c>
      <c r="BF741" s="1452">
        <f t="shared" si="394"/>
        <v>0</v>
      </c>
      <c r="BG741" s="1452">
        <f t="shared" si="395"/>
        <v>0</v>
      </c>
      <c r="BH741" s="1452">
        <f t="shared" si="396"/>
        <v>0</v>
      </c>
      <c r="BI741" s="1452">
        <f t="shared" si="413"/>
        <v>0</v>
      </c>
      <c r="BJ741" s="1452" t="str">
        <f t="shared" si="397"/>
        <v/>
      </c>
      <c r="BK741" s="1452" t="str">
        <f t="shared" si="398"/>
        <v/>
      </c>
      <c r="BL741" s="1452" t="str">
        <f t="shared" si="399"/>
        <v/>
      </c>
      <c r="BM741" s="1452" t="str">
        <f t="shared" si="400"/>
        <v/>
      </c>
      <c r="BN741" s="1452" t="str">
        <f t="shared" ca="1" si="401"/>
        <v/>
      </c>
      <c r="BO741" s="1452" t="str">
        <f t="shared" si="414"/>
        <v/>
      </c>
      <c r="BP741" s="1452" t="str">
        <f t="shared" si="402"/>
        <v/>
      </c>
      <c r="BQ741" s="1452" t="str">
        <f t="shared" si="403"/>
        <v/>
      </c>
      <c r="BR741" s="1452" t="str">
        <f t="shared" si="404"/>
        <v/>
      </c>
      <c r="BS741" s="1452" t="str">
        <f t="shared" si="405"/>
        <v/>
      </c>
      <c r="BT741" s="1452" t="str">
        <f t="shared" si="406"/>
        <v/>
      </c>
      <c r="BU741" s="1452" t="str">
        <f t="shared" si="407"/>
        <v/>
      </c>
      <c r="BV741" s="1452" t="str">
        <f t="shared" si="408"/>
        <v/>
      </c>
      <c r="BW741" s="1558">
        <f t="shared" ca="1" si="415"/>
        <v>0</v>
      </c>
    </row>
    <row r="742" spans="1:75" s="9" customFormat="1" ht="12.5">
      <c r="A742" s="1483" t="str">
        <f t="shared" si="409"/>
        <v>Public Health Wales Trust</v>
      </c>
      <c r="B742" s="1583"/>
      <c r="C742" s="1583"/>
      <c r="D742" s="1583"/>
      <c r="E742" s="1436"/>
      <c r="F742" s="1436"/>
      <c r="G742" s="1547">
        <f t="shared" si="410"/>
        <v>0</v>
      </c>
      <c r="H742" s="1484"/>
      <c r="I742" s="1547">
        <f t="shared" si="411"/>
        <v>0</v>
      </c>
      <c r="J742" s="1485"/>
      <c r="K742" s="1485"/>
      <c r="L742" s="1436"/>
      <c r="M742" s="1439"/>
      <c r="N742" s="1439"/>
      <c r="O742" s="1485"/>
      <c r="P742" s="1486"/>
      <c r="Q742" s="1486"/>
      <c r="R742" s="1487"/>
      <c r="S742" s="1444"/>
      <c r="T742" s="1444"/>
      <c r="U742" s="1444"/>
      <c r="V742" s="1488"/>
      <c r="W742" s="1488"/>
      <c r="X742" s="1488"/>
      <c r="Y742" s="1488"/>
      <c r="Z742" s="1488"/>
      <c r="AA742" s="1488"/>
      <c r="AB742" s="1488"/>
      <c r="AC742" s="1488"/>
      <c r="AD742" s="1488"/>
      <c r="AE742" s="1488"/>
      <c r="AF742" s="1488"/>
      <c r="AG742" s="1488"/>
      <c r="AH742" s="1451">
        <f t="shared" si="383"/>
        <v>0</v>
      </c>
      <c r="AI742" s="1488"/>
      <c r="AJ742" s="1488"/>
      <c r="AK742" s="1488"/>
      <c r="AL742" s="1488"/>
      <c r="AM742" s="1488"/>
      <c r="AN742" s="1488"/>
      <c r="AO742" s="1488"/>
      <c r="AP742" s="1488"/>
      <c r="AQ742" s="1488"/>
      <c r="AR742" s="1488"/>
      <c r="AS742" s="1488"/>
      <c r="AT742" s="1542"/>
      <c r="AU742" s="1599">
        <f t="shared" si="384"/>
        <v>0</v>
      </c>
      <c r="AV742" s="1544">
        <f t="shared" si="412"/>
        <v>0</v>
      </c>
      <c r="AW742" s="1452">
        <f t="shared" si="385"/>
        <v>0</v>
      </c>
      <c r="AX742" s="1452">
        <f t="shared" si="386"/>
        <v>0</v>
      </c>
      <c r="AY742" s="1452">
        <f t="shared" si="387"/>
        <v>0</v>
      </c>
      <c r="AZ742" s="1452">
        <f t="shared" si="388"/>
        <v>0</v>
      </c>
      <c r="BA742" s="1452">
        <f t="shared" si="389"/>
        <v>0</v>
      </c>
      <c r="BB742" s="1452">
        <f t="shared" si="390"/>
        <v>0</v>
      </c>
      <c r="BC742" s="1452">
        <f t="shared" si="391"/>
        <v>0</v>
      </c>
      <c r="BD742" s="1452">
        <f t="shared" si="392"/>
        <v>0</v>
      </c>
      <c r="BE742" s="1452">
        <f t="shared" si="393"/>
        <v>0</v>
      </c>
      <c r="BF742" s="1452">
        <f t="shared" si="394"/>
        <v>0</v>
      </c>
      <c r="BG742" s="1452">
        <f t="shared" si="395"/>
        <v>0</v>
      </c>
      <c r="BH742" s="1452">
        <f t="shared" si="396"/>
        <v>0</v>
      </c>
      <c r="BI742" s="1452">
        <f t="shared" si="413"/>
        <v>0</v>
      </c>
      <c r="BJ742" s="1452" t="str">
        <f t="shared" si="397"/>
        <v/>
      </c>
      <c r="BK742" s="1452" t="str">
        <f t="shared" si="398"/>
        <v/>
      </c>
      <c r="BL742" s="1452" t="str">
        <f t="shared" si="399"/>
        <v/>
      </c>
      <c r="BM742" s="1452" t="str">
        <f t="shared" si="400"/>
        <v/>
      </c>
      <c r="BN742" s="1452" t="str">
        <f t="shared" ca="1" si="401"/>
        <v/>
      </c>
      <c r="BO742" s="1452" t="str">
        <f t="shared" si="414"/>
        <v/>
      </c>
      <c r="BP742" s="1452" t="str">
        <f t="shared" si="402"/>
        <v/>
      </c>
      <c r="BQ742" s="1452" t="str">
        <f t="shared" si="403"/>
        <v/>
      </c>
      <c r="BR742" s="1452" t="str">
        <f t="shared" si="404"/>
        <v/>
      </c>
      <c r="BS742" s="1452" t="str">
        <f t="shared" si="405"/>
        <v/>
      </c>
      <c r="BT742" s="1452" t="str">
        <f t="shared" si="406"/>
        <v/>
      </c>
      <c r="BU742" s="1452" t="str">
        <f t="shared" si="407"/>
        <v/>
      </c>
      <c r="BV742" s="1452" t="str">
        <f t="shared" si="408"/>
        <v/>
      </c>
      <c r="BW742" s="1558">
        <f t="shared" ca="1" si="415"/>
        <v>0</v>
      </c>
    </row>
    <row r="743" spans="1:75" s="9" customFormat="1" ht="12.5">
      <c r="A743" s="1483" t="str">
        <f t="shared" si="409"/>
        <v>Public Health Wales Trust</v>
      </c>
      <c r="B743" s="1583"/>
      <c r="C743" s="1583"/>
      <c r="D743" s="1583"/>
      <c r="E743" s="1436"/>
      <c r="F743" s="1436"/>
      <c r="G743" s="1547">
        <f t="shared" si="410"/>
        <v>0</v>
      </c>
      <c r="H743" s="1484"/>
      <c r="I743" s="1547">
        <f t="shared" si="411"/>
        <v>0</v>
      </c>
      <c r="J743" s="1485"/>
      <c r="K743" s="1485"/>
      <c r="L743" s="1436"/>
      <c r="M743" s="1439"/>
      <c r="N743" s="1439"/>
      <c r="O743" s="1485"/>
      <c r="P743" s="1486"/>
      <c r="Q743" s="1486"/>
      <c r="R743" s="1487"/>
      <c r="S743" s="1444"/>
      <c r="T743" s="1444"/>
      <c r="U743" s="1444"/>
      <c r="V743" s="1488"/>
      <c r="W743" s="1488"/>
      <c r="X743" s="1488"/>
      <c r="Y743" s="1488"/>
      <c r="Z743" s="1488"/>
      <c r="AA743" s="1488"/>
      <c r="AB743" s="1488"/>
      <c r="AC743" s="1488"/>
      <c r="AD743" s="1488"/>
      <c r="AE743" s="1488"/>
      <c r="AF743" s="1488"/>
      <c r="AG743" s="1488"/>
      <c r="AH743" s="1451">
        <f t="shared" si="383"/>
        <v>0</v>
      </c>
      <c r="AI743" s="1488"/>
      <c r="AJ743" s="1488"/>
      <c r="AK743" s="1488"/>
      <c r="AL743" s="1488"/>
      <c r="AM743" s="1488"/>
      <c r="AN743" s="1488"/>
      <c r="AO743" s="1488"/>
      <c r="AP743" s="1488"/>
      <c r="AQ743" s="1488"/>
      <c r="AR743" s="1488"/>
      <c r="AS743" s="1488"/>
      <c r="AT743" s="1542"/>
      <c r="AU743" s="1599">
        <f t="shared" si="384"/>
        <v>0</v>
      </c>
      <c r="AV743" s="1544">
        <f t="shared" si="412"/>
        <v>0</v>
      </c>
      <c r="AW743" s="1452">
        <f t="shared" si="385"/>
        <v>0</v>
      </c>
      <c r="AX743" s="1452">
        <f t="shared" si="386"/>
        <v>0</v>
      </c>
      <c r="AY743" s="1452">
        <f t="shared" si="387"/>
        <v>0</v>
      </c>
      <c r="AZ743" s="1452">
        <f t="shared" si="388"/>
        <v>0</v>
      </c>
      <c r="BA743" s="1452">
        <f t="shared" si="389"/>
        <v>0</v>
      </c>
      <c r="BB743" s="1452">
        <f t="shared" si="390"/>
        <v>0</v>
      </c>
      <c r="BC743" s="1452">
        <f t="shared" si="391"/>
        <v>0</v>
      </c>
      <c r="BD743" s="1452">
        <f t="shared" si="392"/>
        <v>0</v>
      </c>
      <c r="BE743" s="1452">
        <f t="shared" si="393"/>
        <v>0</v>
      </c>
      <c r="BF743" s="1452">
        <f t="shared" si="394"/>
        <v>0</v>
      </c>
      <c r="BG743" s="1452">
        <f t="shared" si="395"/>
        <v>0</v>
      </c>
      <c r="BH743" s="1452">
        <f t="shared" si="396"/>
        <v>0</v>
      </c>
      <c r="BI743" s="1452">
        <f t="shared" si="413"/>
        <v>0</v>
      </c>
      <c r="BJ743" s="1452" t="str">
        <f t="shared" si="397"/>
        <v/>
      </c>
      <c r="BK743" s="1452" t="str">
        <f t="shared" si="398"/>
        <v/>
      </c>
      <c r="BL743" s="1452" t="str">
        <f t="shared" si="399"/>
        <v/>
      </c>
      <c r="BM743" s="1452" t="str">
        <f t="shared" si="400"/>
        <v/>
      </c>
      <c r="BN743" s="1452" t="str">
        <f t="shared" ca="1" si="401"/>
        <v/>
      </c>
      <c r="BO743" s="1452" t="str">
        <f t="shared" si="414"/>
        <v/>
      </c>
      <c r="BP743" s="1452" t="str">
        <f t="shared" si="402"/>
        <v/>
      </c>
      <c r="BQ743" s="1452" t="str">
        <f t="shared" si="403"/>
        <v/>
      </c>
      <c r="BR743" s="1452" t="str">
        <f t="shared" si="404"/>
        <v/>
      </c>
      <c r="BS743" s="1452" t="str">
        <f t="shared" si="405"/>
        <v/>
      </c>
      <c r="BT743" s="1452" t="str">
        <f t="shared" si="406"/>
        <v/>
      </c>
      <c r="BU743" s="1452" t="str">
        <f t="shared" si="407"/>
        <v/>
      </c>
      <c r="BV743" s="1452" t="str">
        <f t="shared" si="408"/>
        <v/>
      </c>
      <c r="BW743" s="1558">
        <f t="shared" ca="1" si="415"/>
        <v>0</v>
      </c>
    </row>
    <row r="744" spans="1:75" s="9" customFormat="1" ht="12.5">
      <c r="A744" s="1483" t="str">
        <f t="shared" si="409"/>
        <v>Public Health Wales Trust</v>
      </c>
      <c r="B744" s="1583"/>
      <c r="C744" s="1583"/>
      <c r="D744" s="1583"/>
      <c r="E744" s="1436"/>
      <c r="F744" s="1436"/>
      <c r="G744" s="1547">
        <f t="shared" si="410"/>
        <v>0</v>
      </c>
      <c r="H744" s="1484"/>
      <c r="I744" s="1547">
        <f t="shared" si="411"/>
        <v>0</v>
      </c>
      <c r="J744" s="1485"/>
      <c r="K744" s="1485"/>
      <c r="L744" s="1436"/>
      <c r="M744" s="1439"/>
      <c r="N744" s="1439"/>
      <c r="O744" s="1485"/>
      <c r="P744" s="1486"/>
      <c r="Q744" s="1486"/>
      <c r="R744" s="1487"/>
      <c r="S744" s="1444"/>
      <c r="T744" s="1444"/>
      <c r="U744" s="1444"/>
      <c r="V744" s="1488"/>
      <c r="W744" s="1488"/>
      <c r="X744" s="1488"/>
      <c r="Y744" s="1488"/>
      <c r="Z744" s="1488"/>
      <c r="AA744" s="1488"/>
      <c r="AB744" s="1488"/>
      <c r="AC744" s="1488"/>
      <c r="AD744" s="1488"/>
      <c r="AE744" s="1488"/>
      <c r="AF744" s="1488"/>
      <c r="AG744" s="1488"/>
      <c r="AH744" s="1451">
        <f t="shared" si="383"/>
        <v>0</v>
      </c>
      <c r="AI744" s="1488"/>
      <c r="AJ744" s="1488"/>
      <c r="AK744" s="1488"/>
      <c r="AL744" s="1488"/>
      <c r="AM744" s="1488"/>
      <c r="AN744" s="1488"/>
      <c r="AO744" s="1488"/>
      <c r="AP744" s="1488"/>
      <c r="AQ744" s="1488"/>
      <c r="AR744" s="1488"/>
      <c r="AS744" s="1488"/>
      <c r="AT744" s="1542"/>
      <c r="AU744" s="1599">
        <f t="shared" si="384"/>
        <v>0</v>
      </c>
      <c r="AV744" s="1544">
        <f t="shared" si="412"/>
        <v>0</v>
      </c>
      <c r="AW744" s="1452">
        <f t="shared" si="385"/>
        <v>0</v>
      </c>
      <c r="AX744" s="1452">
        <f t="shared" si="386"/>
        <v>0</v>
      </c>
      <c r="AY744" s="1452">
        <f t="shared" si="387"/>
        <v>0</v>
      </c>
      <c r="AZ744" s="1452">
        <f t="shared" si="388"/>
        <v>0</v>
      </c>
      <c r="BA744" s="1452">
        <f t="shared" si="389"/>
        <v>0</v>
      </c>
      <c r="BB744" s="1452">
        <f t="shared" si="390"/>
        <v>0</v>
      </c>
      <c r="BC744" s="1452">
        <f t="shared" si="391"/>
        <v>0</v>
      </c>
      <c r="BD744" s="1452">
        <f t="shared" si="392"/>
        <v>0</v>
      </c>
      <c r="BE744" s="1452">
        <f t="shared" si="393"/>
        <v>0</v>
      </c>
      <c r="BF744" s="1452">
        <f t="shared" si="394"/>
        <v>0</v>
      </c>
      <c r="BG744" s="1452">
        <f t="shared" si="395"/>
        <v>0</v>
      </c>
      <c r="BH744" s="1452">
        <f t="shared" si="396"/>
        <v>0</v>
      </c>
      <c r="BI744" s="1452">
        <f t="shared" si="413"/>
        <v>0</v>
      </c>
      <c r="BJ744" s="1452" t="str">
        <f t="shared" si="397"/>
        <v/>
      </c>
      <c r="BK744" s="1452" t="str">
        <f t="shared" si="398"/>
        <v/>
      </c>
      <c r="BL744" s="1452" t="str">
        <f t="shared" si="399"/>
        <v/>
      </c>
      <c r="BM744" s="1452" t="str">
        <f t="shared" si="400"/>
        <v/>
      </c>
      <c r="BN744" s="1452" t="str">
        <f t="shared" ca="1" si="401"/>
        <v/>
      </c>
      <c r="BO744" s="1452" t="str">
        <f t="shared" si="414"/>
        <v/>
      </c>
      <c r="BP744" s="1452" t="str">
        <f t="shared" si="402"/>
        <v/>
      </c>
      <c r="BQ744" s="1452" t="str">
        <f t="shared" si="403"/>
        <v/>
      </c>
      <c r="BR744" s="1452" t="str">
        <f t="shared" si="404"/>
        <v/>
      </c>
      <c r="BS744" s="1452" t="str">
        <f t="shared" si="405"/>
        <v/>
      </c>
      <c r="BT744" s="1452" t="str">
        <f t="shared" si="406"/>
        <v/>
      </c>
      <c r="BU744" s="1452" t="str">
        <f t="shared" si="407"/>
        <v/>
      </c>
      <c r="BV744" s="1452" t="str">
        <f t="shared" si="408"/>
        <v/>
      </c>
      <c r="BW744" s="1558">
        <f t="shared" ca="1" si="415"/>
        <v>0</v>
      </c>
    </row>
    <row r="745" spans="1:75" s="9" customFormat="1" ht="12.5">
      <c r="A745" s="1483" t="str">
        <f t="shared" si="409"/>
        <v>Public Health Wales Trust</v>
      </c>
      <c r="B745" s="1583"/>
      <c r="C745" s="1583"/>
      <c r="D745" s="1583"/>
      <c r="E745" s="1436"/>
      <c r="F745" s="1436"/>
      <c r="G745" s="1547">
        <f t="shared" si="410"/>
        <v>0</v>
      </c>
      <c r="H745" s="1484"/>
      <c r="I745" s="1547">
        <f t="shared" si="411"/>
        <v>0</v>
      </c>
      <c r="J745" s="1485"/>
      <c r="K745" s="1485"/>
      <c r="L745" s="1436"/>
      <c r="M745" s="1439"/>
      <c r="N745" s="1439"/>
      <c r="O745" s="1485"/>
      <c r="P745" s="1486"/>
      <c r="Q745" s="1486"/>
      <c r="R745" s="1487"/>
      <c r="S745" s="1444"/>
      <c r="T745" s="1444"/>
      <c r="U745" s="1444"/>
      <c r="V745" s="1488"/>
      <c r="W745" s="1488"/>
      <c r="X745" s="1488"/>
      <c r="Y745" s="1488"/>
      <c r="Z745" s="1488"/>
      <c r="AA745" s="1488"/>
      <c r="AB745" s="1488"/>
      <c r="AC745" s="1488"/>
      <c r="AD745" s="1488"/>
      <c r="AE745" s="1488"/>
      <c r="AF745" s="1488"/>
      <c r="AG745" s="1488"/>
      <c r="AH745" s="1451">
        <f t="shared" si="383"/>
        <v>0</v>
      </c>
      <c r="AI745" s="1488"/>
      <c r="AJ745" s="1488"/>
      <c r="AK745" s="1488"/>
      <c r="AL745" s="1488"/>
      <c r="AM745" s="1488"/>
      <c r="AN745" s="1488"/>
      <c r="AO745" s="1488"/>
      <c r="AP745" s="1488"/>
      <c r="AQ745" s="1488"/>
      <c r="AR745" s="1488"/>
      <c r="AS745" s="1488"/>
      <c r="AT745" s="1542"/>
      <c r="AU745" s="1599">
        <f t="shared" si="384"/>
        <v>0</v>
      </c>
      <c r="AV745" s="1544">
        <f t="shared" si="412"/>
        <v>0</v>
      </c>
      <c r="AW745" s="1452">
        <f t="shared" si="385"/>
        <v>0</v>
      </c>
      <c r="AX745" s="1452">
        <f t="shared" si="386"/>
        <v>0</v>
      </c>
      <c r="AY745" s="1452">
        <f t="shared" si="387"/>
        <v>0</v>
      </c>
      <c r="AZ745" s="1452">
        <f t="shared" si="388"/>
        <v>0</v>
      </c>
      <c r="BA745" s="1452">
        <f t="shared" si="389"/>
        <v>0</v>
      </c>
      <c r="BB745" s="1452">
        <f t="shared" si="390"/>
        <v>0</v>
      </c>
      <c r="BC745" s="1452">
        <f t="shared" si="391"/>
        <v>0</v>
      </c>
      <c r="BD745" s="1452">
        <f t="shared" si="392"/>
        <v>0</v>
      </c>
      <c r="BE745" s="1452">
        <f t="shared" si="393"/>
        <v>0</v>
      </c>
      <c r="BF745" s="1452">
        <f t="shared" si="394"/>
        <v>0</v>
      </c>
      <c r="BG745" s="1452">
        <f t="shared" si="395"/>
        <v>0</v>
      </c>
      <c r="BH745" s="1452">
        <f t="shared" si="396"/>
        <v>0</v>
      </c>
      <c r="BI745" s="1452">
        <f t="shared" si="413"/>
        <v>0</v>
      </c>
      <c r="BJ745" s="1452" t="str">
        <f t="shared" si="397"/>
        <v/>
      </c>
      <c r="BK745" s="1452" t="str">
        <f t="shared" si="398"/>
        <v/>
      </c>
      <c r="BL745" s="1452" t="str">
        <f t="shared" si="399"/>
        <v/>
      </c>
      <c r="BM745" s="1452" t="str">
        <f t="shared" si="400"/>
        <v/>
      </c>
      <c r="BN745" s="1452" t="str">
        <f t="shared" ca="1" si="401"/>
        <v/>
      </c>
      <c r="BO745" s="1452" t="str">
        <f t="shared" si="414"/>
        <v/>
      </c>
      <c r="BP745" s="1452" t="str">
        <f t="shared" si="402"/>
        <v/>
      </c>
      <c r="BQ745" s="1452" t="str">
        <f t="shared" si="403"/>
        <v/>
      </c>
      <c r="BR745" s="1452" t="str">
        <f t="shared" si="404"/>
        <v/>
      </c>
      <c r="BS745" s="1452" t="str">
        <f t="shared" si="405"/>
        <v/>
      </c>
      <c r="BT745" s="1452" t="str">
        <f t="shared" si="406"/>
        <v/>
      </c>
      <c r="BU745" s="1452" t="str">
        <f t="shared" si="407"/>
        <v/>
      </c>
      <c r="BV745" s="1452" t="str">
        <f t="shared" si="408"/>
        <v/>
      </c>
      <c r="BW745" s="1558">
        <f t="shared" ca="1" si="415"/>
        <v>0</v>
      </c>
    </row>
    <row r="746" spans="1:75" s="9" customFormat="1" ht="12.5">
      <c r="A746" s="1483" t="str">
        <f t="shared" si="409"/>
        <v>Public Health Wales Trust</v>
      </c>
      <c r="B746" s="1583"/>
      <c r="C746" s="1583"/>
      <c r="D746" s="1583"/>
      <c r="E746" s="1436"/>
      <c r="F746" s="1436"/>
      <c r="G746" s="1547">
        <f t="shared" si="410"/>
        <v>0</v>
      </c>
      <c r="H746" s="1484"/>
      <c r="I746" s="1547">
        <f t="shared" si="411"/>
        <v>0</v>
      </c>
      <c r="J746" s="1485"/>
      <c r="K746" s="1485"/>
      <c r="L746" s="1436"/>
      <c r="M746" s="1439"/>
      <c r="N746" s="1439"/>
      <c r="O746" s="1485"/>
      <c r="P746" s="1486"/>
      <c r="Q746" s="1486"/>
      <c r="R746" s="1487"/>
      <c r="S746" s="1444"/>
      <c r="T746" s="1444"/>
      <c r="U746" s="1444"/>
      <c r="V746" s="1488"/>
      <c r="W746" s="1488"/>
      <c r="X746" s="1488"/>
      <c r="Y746" s="1488"/>
      <c r="Z746" s="1488"/>
      <c r="AA746" s="1488"/>
      <c r="AB746" s="1488"/>
      <c r="AC746" s="1488"/>
      <c r="AD746" s="1488"/>
      <c r="AE746" s="1488"/>
      <c r="AF746" s="1488"/>
      <c r="AG746" s="1488"/>
      <c r="AH746" s="1451">
        <f t="shared" si="383"/>
        <v>0</v>
      </c>
      <c r="AI746" s="1488"/>
      <c r="AJ746" s="1488"/>
      <c r="AK746" s="1488"/>
      <c r="AL746" s="1488"/>
      <c r="AM746" s="1488"/>
      <c r="AN746" s="1488"/>
      <c r="AO746" s="1488"/>
      <c r="AP746" s="1488"/>
      <c r="AQ746" s="1488"/>
      <c r="AR746" s="1488"/>
      <c r="AS746" s="1488"/>
      <c r="AT746" s="1542"/>
      <c r="AU746" s="1599">
        <f t="shared" si="384"/>
        <v>0</v>
      </c>
      <c r="AV746" s="1544">
        <f t="shared" si="412"/>
        <v>0</v>
      </c>
      <c r="AW746" s="1452">
        <f t="shared" si="385"/>
        <v>0</v>
      </c>
      <c r="AX746" s="1452">
        <f t="shared" si="386"/>
        <v>0</v>
      </c>
      <c r="AY746" s="1452">
        <f t="shared" si="387"/>
        <v>0</v>
      </c>
      <c r="AZ746" s="1452">
        <f t="shared" si="388"/>
        <v>0</v>
      </c>
      <c r="BA746" s="1452">
        <f t="shared" si="389"/>
        <v>0</v>
      </c>
      <c r="BB746" s="1452">
        <f t="shared" si="390"/>
        <v>0</v>
      </c>
      <c r="BC746" s="1452">
        <f t="shared" si="391"/>
        <v>0</v>
      </c>
      <c r="BD746" s="1452">
        <f t="shared" si="392"/>
        <v>0</v>
      </c>
      <c r="BE746" s="1452">
        <f t="shared" si="393"/>
        <v>0</v>
      </c>
      <c r="BF746" s="1452">
        <f t="shared" si="394"/>
        <v>0</v>
      </c>
      <c r="BG746" s="1452">
        <f t="shared" si="395"/>
        <v>0</v>
      </c>
      <c r="BH746" s="1452">
        <f t="shared" si="396"/>
        <v>0</v>
      </c>
      <c r="BI746" s="1452">
        <f t="shared" si="413"/>
        <v>0</v>
      </c>
      <c r="BJ746" s="1452" t="str">
        <f t="shared" si="397"/>
        <v/>
      </c>
      <c r="BK746" s="1452" t="str">
        <f t="shared" si="398"/>
        <v/>
      </c>
      <c r="BL746" s="1452" t="str">
        <f t="shared" si="399"/>
        <v/>
      </c>
      <c r="BM746" s="1452" t="str">
        <f t="shared" si="400"/>
        <v/>
      </c>
      <c r="BN746" s="1452" t="str">
        <f t="shared" ca="1" si="401"/>
        <v/>
      </c>
      <c r="BO746" s="1452" t="str">
        <f t="shared" si="414"/>
        <v/>
      </c>
      <c r="BP746" s="1452" t="str">
        <f t="shared" si="402"/>
        <v/>
      </c>
      <c r="BQ746" s="1452" t="str">
        <f t="shared" si="403"/>
        <v/>
      </c>
      <c r="BR746" s="1452" t="str">
        <f t="shared" si="404"/>
        <v/>
      </c>
      <c r="BS746" s="1452" t="str">
        <f t="shared" si="405"/>
        <v/>
      </c>
      <c r="BT746" s="1452" t="str">
        <f t="shared" si="406"/>
        <v/>
      </c>
      <c r="BU746" s="1452" t="str">
        <f t="shared" si="407"/>
        <v/>
      </c>
      <c r="BV746" s="1452" t="str">
        <f t="shared" si="408"/>
        <v/>
      </c>
      <c r="BW746" s="1558">
        <f t="shared" ca="1" si="415"/>
        <v>0</v>
      </c>
    </row>
    <row r="747" spans="1:75" s="9" customFormat="1" ht="12.5">
      <c r="A747" s="1483" t="str">
        <f t="shared" si="409"/>
        <v>Public Health Wales Trust</v>
      </c>
      <c r="B747" s="1583"/>
      <c r="C747" s="1583"/>
      <c r="D747" s="1583"/>
      <c r="E747" s="1436"/>
      <c r="F747" s="1436"/>
      <c r="G747" s="1547">
        <f t="shared" si="410"/>
        <v>0</v>
      </c>
      <c r="H747" s="1484"/>
      <c r="I747" s="1547">
        <f t="shared" si="411"/>
        <v>0</v>
      </c>
      <c r="J747" s="1485"/>
      <c r="K747" s="1485"/>
      <c r="L747" s="1436"/>
      <c r="M747" s="1439"/>
      <c r="N747" s="1439"/>
      <c r="O747" s="1485"/>
      <c r="P747" s="1486"/>
      <c r="Q747" s="1486"/>
      <c r="R747" s="1487"/>
      <c r="S747" s="1444"/>
      <c r="T747" s="1444"/>
      <c r="U747" s="1444"/>
      <c r="V747" s="1488"/>
      <c r="W747" s="1488"/>
      <c r="X747" s="1488"/>
      <c r="Y747" s="1488"/>
      <c r="Z747" s="1488"/>
      <c r="AA747" s="1488"/>
      <c r="AB747" s="1488"/>
      <c r="AC747" s="1488"/>
      <c r="AD747" s="1488"/>
      <c r="AE747" s="1488"/>
      <c r="AF747" s="1488"/>
      <c r="AG747" s="1488"/>
      <c r="AH747" s="1451">
        <f t="shared" ref="AH747:AH810" si="416">SUM(V747:AG747)</f>
        <v>0</v>
      </c>
      <c r="AI747" s="1488"/>
      <c r="AJ747" s="1488"/>
      <c r="AK747" s="1488"/>
      <c r="AL747" s="1488"/>
      <c r="AM747" s="1488"/>
      <c r="AN747" s="1488"/>
      <c r="AO747" s="1488"/>
      <c r="AP747" s="1488"/>
      <c r="AQ747" s="1488"/>
      <c r="AR747" s="1488"/>
      <c r="AS747" s="1488"/>
      <c r="AT747" s="1542"/>
      <c r="AU747" s="1599">
        <f t="shared" ref="AU747:AU810" si="417">SUMPRODUCT($AC$40:$AN$40,AI747:AT747)</f>
        <v>0</v>
      </c>
      <c r="AV747" s="1544">
        <f t="shared" si="412"/>
        <v>0</v>
      </c>
      <c r="AW747" s="1452">
        <f t="shared" ref="AW747:AW810" si="418">AI747-V747</f>
        <v>0</v>
      </c>
      <c r="AX747" s="1452">
        <f t="shared" ref="AX747:AX810" si="419">AJ747-W747</f>
        <v>0</v>
      </c>
      <c r="AY747" s="1452">
        <f t="shared" ref="AY747:AY810" si="420">AK747-X747</f>
        <v>0</v>
      </c>
      <c r="AZ747" s="1452">
        <f t="shared" ref="AZ747:AZ810" si="421">AL747-Y747</f>
        <v>0</v>
      </c>
      <c r="BA747" s="1452">
        <f t="shared" ref="BA747:BA810" si="422">AM747-Z747</f>
        <v>0</v>
      </c>
      <c r="BB747" s="1452">
        <f t="shared" ref="BB747:BB810" si="423">AN747-AA747</f>
        <v>0</v>
      </c>
      <c r="BC747" s="1452">
        <f t="shared" ref="BC747:BC810" si="424">AO747-AB747</f>
        <v>0</v>
      </c>
      <c r="BD747" s="1452">
        <f t="shared" ref="BD747:BD810" si="425">AP747-AC747</f>
        <v>0</v>
      </c>
      <c r="BE747" s="1452">
        <f t="shared" ref="BE747:BE810" si="426">AQ747-AD747</f>
        <v>0</v>
      </c>
      <c r="BF747" s="1452">
        <f t="shared" ref="BF747:BF810" si="427">AR747-AE747</f>
        <v>0</v>
      </c>
      <c r="BG747" s="1452">
        <f t="shared" ref="BG747:BG810" si="428">AS747-AF747</f>
        <v>0</v>
      </c>
      <c r="BH747" s="1452">
        <f t="shared" ref="BH747:BH810" si="429">AT747-AG747</f>
        <v>0</v>
      </c>
      <c r="BI747" s="1452">
        <f t="shared" si="413"/>
        <v>0</v>
      </c>
      <c r="BJ747" s="1452" t="str">
        <f t="shared" ref="BJ747:BJ810" si="430">IF(OR(G747&gt;0,I747&gt;0),IF(AND(B747&lt;&gt;"",C747&lt;&gt;"",D747&lt;&gt;"",E747&lt;&gt;"",F747&lt;&gt;"",L747&lt;&gt;"",M747&lt;&gt;"",N747&lt;&gt;"",O747&lt;&gt;"",P747&lt;&gt;"",Q747&lt;&gt;"",R747&lt;&gt;""),"","ERROR"),"")</f>
        <v/>
      </c>
      <c r="BK747" s="1452" t="str">
        <f t="shared" ref="BK747:BK810" si="431">IF(COUNTIF($D$43:$D$1496,D747)&gt;1,"ERROR","")</f>
        <v/>
      </c>
      <c r="BL747" s="1452" t="str">
        <f t="shared" ref="BL747:BL810" si="432">IF(AND(OR(R747=$CQ$1,R747=$CQ$3),S747=""),"ERROR","")</f>
        <v/>
      </c>
      <c r="BM747" s="1452" t="str">
        <f t="shared" ref="BM747:BM810" si="433">IF(AND(OR(R747=$CQ$2),S747&lt;&gt;""),"ERROR","")</f>
        <v/>
      </c>
      <c r="BN747" s="1452" t="str">
        <f t="shared" ref="BN747:BN810" ca="1" si="434">IF(AND(O747=$CA$2,N747&lt;TODAY()),"ERROR","")</f>
        <v/>
      </c>
      <c r="BO747" s="1452" t="str">
        <f t="shared" si="414"/>
        <v/>
      </c>
      <c r="BP747" s="1452" t="str">
        <f t="shared" ref="BP747:BP810" si="435">IF(AND(F747=$BZ$1,G747&gt;H747),"ERROR","")</f>
        <v/>
      </c>
      <c r="BQ747" s="1452" t="str">
        <f t="shared" ref="BQ747:BQ810" si="436">IF(AND(F747=$BZ$1,I747&gt;J747),"ERROR","")</f>
        <v/>
      </c>
      <c r="BR747" s="1452" t="str">
        <f t="shared" ref="BR747:BR810" si="437">IF(AND(F747=$BZ$2,SUM(H747,J747)&gt;0),"ERROR","")</f>
        <v/>
      </c>
      <c r="BS747" s="1452" t="str">
        <f t="shared" ref="BS747:BS810" si="438">IF(AND(I747=0,J747&gt;0),"ERROR","")</f>
        <v/>
      </c>
      <c r="BT747" s="1452" t="str">
        <f t="shared" ref="BT747:BT810" si="439">IF(AND(O747=$CA$1,K747&lt;&gt;0),"ERROR","")</f>
        <v/>
      </c>
      <c r="BU747" s="1452" t="str">
        <f t="shared" ref="BU747:BU810" si="440">IF(AND(O747=$CA$2,I747-AU747-K747&lt;0),"ERROR","")</f>
        <v/>
      </c>
      <c r="BV747" s="1452" t="str">
        <f t="shared" ref="BV747:BV810" si="441">IF(S747="","",VLOOKUP(S747,$CS$1:$CT$14,2,0))</f>
        <v/>
      </c>
      <c r="BW747" s="1558">
        <f t="shared" ca="1" si="415"/>
        <v>0</v>
      </c>
    </row>
    <row r="748" spans="1:75" s="9" customFormat="1" ht="12.5">
      <c r="A748" s="1483" t="str">
        <f t="shared" ref="A748:A811" si="442">$A$1</f>
        <v>Public Health Wales Trust</v>
      </c>
      <c r="B748" s="1583"/>
      <c r="C748" s="1583"/>
      <c r="D748" s="1583"/>
      <c r="E748" s="1581"/>
      <c r="F748" s="1436"/>
      <c r="G748" s="1547">
        <f t="shared" ref="G748:G811" si="443">AH748</f>
        <v>0</v>
      </c>
      <c r="H748" s="1484"/>
      <c r="I748" s="1547">
        <f t="shared" ref="I748:I811" si="444">AV748</f>
        <v>0</v>
      </c>
      <c r="J748" s="1485"/>
      <c r="K748" s="1485"/>
      <c r="L748" s="1436"/>
      <c r="M748" s="1439"/>
      <c r="N748" s="1439"/>
      <c r="O748" s="1485"/>
      <c r="P748" s="1486"/>
      <c r="Q748" s="1486"/>
      <c r="R748" s="1487"/>
      <c r="S748" s="1444"/>
      <c r="T748" s="1444"/>
      <c r="U748" s="1444"/>
      <c r="V748" s="1488"/>
      <c r="W748" s="1488"/>
      <c r="X748" s="1488"/>
      <c r="Y748" s="1488"/>
      <c r="Z748" s="1488"/>
      <c r="AA748" s="1488"/>
      <c r="AB748" s="1488"/>
      <c r="AC748" s="1488"/>
      <c r="AD748" s="1488"/>
      <c r="AE748" s="1488"/>
      <c r="AF748" s="1488"/>
      <c r="AG748" s="1488"/>
      <c r="AH748" s="1451">
        <f t="shared" si="416"/>
        <v>0</v>
      </c>
      <c r="AI748" s="1488"/>
      <c r="AJ748" s="1488"/>
      <c r="AK748" s="1488"/>
      <c r="AL748" s="1488"/>
      <c r="AM748" s="1488"/>
      <c r="AN748" s="1488"/>
      <c r="AO748" s="1488"/>
      <c r="AP748" s="1488"/>
      <c r="AQ748" s="1488"/>
      <c r="AR748" s="1488"/>
      <c r="AS748" s="1488"/>
      <c r="AT748" s="1542"/>
      <c r="AU748" s="1599">
        <f t="shared" si="417"/>
        <v>0</v>
      </c>
      <c r="AV748" s="1544">
        <f t="shared" ref="AV748:AV811" si="445">SUM(AI748:AT748)</f>
        <v>0</v>
      </c>
      <c r="AW748" s="1452">
        <f t="shared" si="418"/>
        <v>0</v>
      </c>
      <c r="AX748" s="1452">
        <f t="shared" si="419"/>
        <v>0</v>
      </c>
      <c r="AY748" s="1452">
        <f t="shared" si="420"/>
        <v>0</v>
      </c>
      <c r="AZ748" s="1452">
        <f t="shared" si="421"/>
        <v>0</v>
      </c>
      <c r="BA748" s="1452">
        <f t="shared" si="422"/>
        <v>0</v>
      </c>
      <c r="BB748" s="1452">
        <f t="shared" si="423"/>
        <v>0</v>
      </c>
      <c r="BC748" s="1452">
        <f t="shared" si="424"/>
        <v>0</v>
      </c>
      <c r="BD748" s="1452">
        <f t="shared" si="425"/>
        <v>0</v>
      </c>
      <c r="BE748" s="1452">
        <f t="shared" si="426"/>
        <v>0</v>
      </c>
      <c r="BF748" s="1452">
        <f t="shared" si="427"/>
        <v>0</v>
      </c>
      <c r="BG748" s="1452">
        <f t="shared" si="428"/>
        <v>0</v>
      </c>
      <c r="BH748" s="1452">
        <f t="shared" si="429"/>
        <v>0</v>
      </c>
      <c r="BI748" s="1452">
        <f t="shared" ref="BI748:BI811" si="446">SUM(AW748:BH748)</f>
        <v>0</v>
      </c>
      <c r="BJ748" s="1452" t="str">
        <f t="shared" si="430"/>
        <v/>
      </c>
      <c r="BK748" s="1452" t="str">
        <f t="shared" si="431"/>
        <v/>
      </c>
      <c r="BL748" s="1452" t="str">
        <f t="shared" si="432"/>
        <v/>
      </c>
      <c r="BM748" s="1452" t="str">
        <f t="shared" si="433"/>
        <v/>
      </c>
      <c r="BN748" s="1452" t="str">
        <f t="shared" ca="1" si="434"/>
        <v/>
      </c>
      <c r="BO748" s="1452" t="str">
        <f t="shared" ref="BO748:BO811" si="447">IF(AND(AV748&gt;0,AH748=0),"ERROR","")</f>
        <v/>
      </c>
      <c r="BP748" s="1452" t="str">
        <f t="shared" si="435"/>
        <v/>
      </c>
      <c r="BQ748" s="1452" t="str">
        <f t="shared" si="436"/>
        <v/>
      </c>
      <c r="BR748" s="1452" t="str">
        <f t="shared" si="437"/>
        <v/>
      </c>
      <c r="BS748" s="1452" t="str">
        <f t="shared" si="438"/>
        <v/>
      </c>
      <c r="BT748" s="1452" t="str">
        <f t="shared" si="439"/>
        <v/>
      </c>
      <c r="BU748" s="1452" t="str">
        <f t="shared" si="440"/>
        <v/>
      </c>
      <c r="BV748" s="1452" t="str">
        <f t="shared" si="441"/>
        <v/>
      </c>
      <c r="BW748" s="1558">
        <f t="shared" ref="BW748:BW811" ca="1" si="448">COUNTIF(BJ748:BU748,"ERROR")</f>
        <v>0</v>
      </c>
    </row>
    <row r="749" spans="1:75" s="9" customFormat="1" ht="12.5">
      <c r="A749" s="1483" t="str">
        <f t="shared" si="442"/>
        <v>Public Health Wales Trust</v>
      </c>
      <c r="B749" s="1587"/>
      <c r="C749" s="1587"/>
      <c r="D749" s="1587"/>
      <c r="E749" s="1589"/>
      <c r="F749" s="1436"/>
      <c r="G749" s="1547">
        <f t="shared" si="443"/>
        <v>0</v>
      </c>
      <c r="H749" s="1484"/>
      <c r="I749" s="1547">
        <f t="shared" si="444"/>
        <v>0</v>
      </c>
      <c r="J749" s="1493"/>
      <c r="K749" s="1493"/>
      <c r="L749" s="1436"/>
      <c r="M749" s="1441"/>
      <c r="N749" s="1441"/>
      <c r="O749" s="1485"/>
      <c r="P749" s="1486"/>
      <c r="Q749" s="1486"/>
      <c r="R749" s="1487"/>
      <c r="S749" s="1444"/>
      <c r="T749" s="1444"/>
      <c r="U749" s="1444"/>
      <c r="V749" s="1488"/>
      <c r="W749" s="1488"/>
      <c r="X749" s="1488"/>
      <c r="Y749" s="1488"/>
      <c r="Z749" s="1488"/>
      <c r="AA749" s="1488"/>
      <c r="AB749" s="1488"/>
      <c r="AC749" s="1488"/>
      <c r="AD749" s="1488"/>
      <c r="AE749" s="1488"/>
      <c r="AF749" s="1488"/>
      <c r="AG749" s="1488"/>
      <c r="AH749" s="1451">
        <f t="shared" si="416"/>
        <v>0</v>
      </c>
      <c r="AI749" s="1488"/>
      <c r="AJ749" s="1488"/>
      <c r="AK749" s="1488"/>
      <c r="AL749" s="1488"/>
      <c r="AM749" s="1488"/>
      <c r="AN749" s="1488"/>
      <c r="AO749" s="1488"/>
      <c r="AP749" s="1488"/>
      <c r="AQ749" s="1488"/>
      <c r="AR749" s="1488"/>
      <c r="AS749" s="1488"/>
      <c r="AT749" s="1542"/>
      <c r="AU749" s="1599">
        <f t="shared" si="417"/>
        <v>0</v>
      </c>
      <c r="AV749" s="1544">
        <f t="shared" si="445"/>
        <v>0</v>
      </c>
      <c r="AW749" s="1452">
        <f t="shared" si="418"/>
        <v>0</v>
      </c>
      <c r="AX749" s="1452">
        <f t="shared" si="419"/>
        <v>0</v>
      </c>
      <c r="AY749" s="1452">
        <f t="shared" si="420"/>
        <v>0</v>
      </c>
      <c r="AZ749" s="1452">
        <f t="shared" si="421"/>
        <v>0</v>
      </c>
      <c r="BA749" s="1452">
        <f t="shared" si="422"/>
        <v>0</v>
      </c>
      <c r="BB749" s="1452">
        <f t="shared" si="423"/>
        <v>0</v>
      </c>
      <c r="BC749" s="1452">
        <f t="shared" si="424"/>
        <v>0</v>
      </c>
      <c r="BD749" s="1452">
        <f t="shared" si="425"/>
        <v>0</v>
      </c>
      <c r="BE749" s="1452">
        <f t="shared" si="426"/>
        <v>0</v>
      </c>
      <c r="BF749" s="1452">
        <f t="shared" si="427"/>
        <v>0</v>
      </c>
      <c r="BG749" s="1452">
        <f t="shared" si="428"/>
        <v>0</v>
      </c>
      <c r="BH749" s="1452">
        <f t="shared" si="429"/>
        <v>0</v>
      </c>
      <c r="BI749" s="1452">
        <f t="shared" si="446"/>
        <v>0</v>
      </c>
      <c r="BJ749" s="1452" t="str">
        <f t="shared" si="430"/>
        <v/>
      </c>
      <c r="BK749" s="1452" t="str">
        <f t="shared" si="431"/>
        <v/>
      </c>
      <c r="BL749" s="1452" t="str">
        <f t="shared" si="432"/>
        <v/>
      </c>
      <c r="BM749" s="1452" t="str">
        <f t="shared" si="433"/>
        <v/>
      </c>
      <c r="BN749" s="1452" t="str">
        <f t="shared" ca="1" si="434"/>
        <v/>
      </c>
      <c r="BO749" s="1452" t="str">
        <f t="shared" si="447"/>
        <v/>
      </c>
      <c r="BP749" s="1452" t="str">
        <f t="shared" si="435"/>
        <v/>
      </c>
      <c r="BQ749" s="1452" t="str">
        <f t="shared" si="436"/>
        <v/>
      </c>
      <c r="BR749" s="1452" t="str">
        <f t="shared" si="437"/>
        <v/>
      </c>
      <c r="BS749" s="1452" t="str">
        <f t="shared" si="438"/>
        <v/>
      </c>
      <c r="BT749" s="1452" t="str">
        <f t="shared" si="439"/>
        <v/>
      </c>
      <c r="BU749" s="1452" t="str">
        <f t="shared" si="440"/>
        <v/>
      </c>
      <c r="BV749" s="1452" t="str">
        <f t="shared" si="441"/>
        <v/>
      </c>
      <c r="BW749" s="1558">
        <f t="shared" ca="1" si="448"/>
        <v>0</v>
      </c>
    </row>
    <row r="750" spans="1:75" s="9" customFormat="1" ht="12.5">
      <c r="A750" s="1483" t="str">
        <f t="shared" si="442"/>
        <v>Public Health Wales Trust</v>
      </c>
      <c r="B750" s="1583"/>
      <c r="C750" s="1583"/>
      <c r="D750" s="1583"/>
      <c r="E750" s="1581"/>
      <c r="F750" s="1436"/>
      <c r="G750" s="1547">
        <f t="shared" si="443"/>
        <v>0</v>
      </c>
      <c r="H750" s="1484"/>
      <c r="I750" s="1547">
        <f t="shared" si="444"/>
        <v>0</v>
      </c>
      <c r="J750" s="1485"/>
      <c r="K750" s="1485"/>
      <c r="L750" s="1436"/>
      <c r="M750" s="1439"/>
      <c r="N750" s="1439"/>
      <c r="O750" s="1485"/>
      <c r="P750" s="1486"/>
      <c r="Q750" s="1486"/>
      <c r="R750" s="1487"/>
      <c r="S750" s="1444"/>
      <c r="T750" s="1444"/>
      <c r="U750" s="1444"/>
      <c r="V750" s="1488"/>
      <c r="W750" s="1488"/>
      <c r="X750" s="1488"/>
      <c r="Y750" s="1488"/>
      <c r="Z750" s="1488"/>
      <c r="AA750" s="1488"/>
      <c r="AB750" s="1488"/>
      <c r="AC750" s="1488"/>
      <c r="AD750" s="1488"/>
      <c r="AE750" s="1488"/>
      <c r="AF750" s="1488"/>
      <c r="AG750" s="1488"/>
      <c r="AH750" s="1451">
        <f t="shared" si="416"/>
        <v>0</v>
      </c>
      <c r="AI750" s="1488"/>
      <c r="AJ750" s="1488"/>
      <c r="AK750" s="1488"/>
      <c r="AL750" s="1488"/>
      <c r="AM750" s="1488"/>
      <c r="AN750" s="1488"/>
      <c r="AO750" s="1488"/>
      <c r="AP750" s="1488"/>
      <c r="AQ750" s="1488"/>
      <c r="AR750" s="1488"/>
      <c r="AS750" s="1488"/>
      <c r="AT750" s="1542"/>
      <c r="AU750" s="1599">
        <f t="shared" si="417"/>
        <v>0</v>
      </c>
      <c r="AV750" s="1544">
        <f t="shared" si="445"/>
        <v>0</v>
      </c>
      <c r="AW750" s="1452">
        <f t="shared" si="418"/>
        <v>0</v>
      </c>
      <c r="AX750" s="1452">
        <f t="shared" si="419"/>
        <v>0</v>
      </c>
      <c r="AY750" s="1452">
        <f t="shared" si="420"/>
        <v>0</v>
      </c>
      <c r="AZ750" s="1452">
        <f t="shared" si="421"/>
        <v>0</v>
      </c>
      <c r="BA750" s="1452">
        <f t="shared" si="422"/>
        <v>0</v>
      </c>
      <c r="BB750" s="1452">
        <f t="shared" si="423"/>
        <v>0</v>
      </c>
      <c r="BC750" s="1452">
        <f t="shared" si="424"/>
        <v>0</v>
      </c>
      <c r="BD750" s="1452">
        <f t="shared" si="425"/>
        <v>0</v>
      </c>
      <c r="BE750" s="1452">
        <f t="shared" si="426"/>
        <v>0</v>
      </c>
      <c r="BF750" s="1452">
        <f t="shared" si="427"/>
        <v>0</v>
      </c>
      <c r="BG750" s="1452">
        <f t="shared" si="428"/>
        <v>0</v>
      </c>
      <c r="BH750" s="1452">
        <f t="shared" si="429"/>
        <v>0</v>
      </c>
      <c r="BI750" s="1452">
        <f t="shared" si="446"/>
        <v>0</v>
      </c>
      <c r="BJ750" s="1452" t="str">
        <f t="shared" si="430"/>
        <v/>
      </c>
      <c r="BK750" s="1452" t="str">
        <f t="shared" si="431"/>
        <v/>
      </c>
      <c r="BL750" s="1452" t="str">
        <f t="shared" si="432"/>
        <v/>
      </c>
      <c r="BM750" s="1452" t="str">
        <f t="shared" si="433"/>
        <v/>
      </c>
      <c r="BN750" s="1452" t="str">
        <f t="shared" ca="1" si="434"/>
        <v/>
      </c>
      <c r="BO750" s="1452" t="str">
        <f t="shared" si="447"/>
        <v/>
      </c>
      <c r="BP750" s="1452" t="str">
        <f t="shared" si="435"/>
        <v/>
      </c>
      <c r="BQ750" s="1452" t="str">
        <f t="shared" si="436"/>
        <v/>
      </c>
      <c r="BR750" s="1452" t="str">
        <f t="shared" si="437"/>
        <v/>
      </c>
      <c r="BS750" s="1452" t="str">
        <f t="shared" si="438"/>
        <v/>
      </c>
      <c r="BT750" s="1452" t="str">
        <f t="shared" si="439"/>
        <v/>
      </c>
      <c r="BU750" s="1452" t="str">
        <f t="shared" si="440"/>
        <v/>
      </c>
      <c r="BV750" s="1452" t="str">
        <f t="shared" si="441"/>
        <v/>
      </c>
      <c r="BW750" s="1558">
        <f t="shared" ca="1" si="448"/>
        <v>0</v>
      </c>
    </row>
    <row r="751" spans="1:75" s="9" customFormat="1" ht="12.5">
      <c r="A751" s="1483" t="str">
        <f t="shared" si="442"/>
        <v>Public Health Wales Trust</v>
      </c>
      <c r="B751" s="1583"/>
      <c r="C751" s="1583"/>
      <c r="D751" s="1583"/>
      <c r="E751" s="1581"/>
      <c r="F751" s="1436"/>
      <c r="G751" s="1547">
        <f t="shared" si="443"/>
        <v>0</v>
      </c>
      <c r="H751" s="1484"/>
      <c r="I751" s="1547">
        <f t="shared" si="444"/>
        <v>0</v>
      </c>
      <c r="J751" s="1485"/>
      <c r="K751" s="1485"/>
      <c r="L751" s="1436"/>
      <c r="M751" s="1439"/>
      <c r="N751" s="1439"/>
      <c r="O751" s="1485"/>
      <c r="P751" s="1486"/>
      <c r="Q751" s="1486"/>
      <c r="R751" s="1487"/>
      <c r="S751" s="1444"/>
      <c r="T751" s="1444"/>
      <c r="U751" s="1444"/>
      <c r="V751" s="1488"/>
      <c r="W751" s="1488"/>
      <c r="X751" s="1488"/>
      <c r="Y751" s="1488"/>
      <c r="Z751" s="1488"/>
      <c r="AA751" s="1488"/>
      <c r="AB751" s="1488"/>
      <c r="AC751" s="1488"/>
      <c r="AD751" s="1488"/>
      <c r="AE751" s="1488"/>
      <c r="AF751" s="1488"/>
      <c r="AG751" s="1488"/>
      <c r="AH751" s="1451">
        <f t="shared" si="416"/>
        <v>0</v>
      </c>
      <c r="AI751" s="1488"/>
      <c r="AJ751" s="1488"/>
      <c r="AK751" s="1488"/>
      <c r="AL751" s="1488"/>
      <c r="AM751" s="1488"/>
      <c r="AN751" s="1488"/>
      <c r="AO751" s="1488"/>
      <c r="AP751" s="1488"/>
      <c r="AQ751" s="1488"/>
      <c r="AR751" s="1488"/>
      <c r="AS751" s="1488"/>
      <c r="AT751" s="1542"/>
      <c r="AU751" s="1599">
        <f t="shared" si="417"/>
        <v>0</v>
      </c>
      <c r="AV751" s="1544">
        <f t="shared" si="445"/>
        <v>0</v>
      </c>
      <c r="AW751" s="1452">
        <f t="shared" si="418"/>
        <v>0</v>
      </c>
      <c r="AX751" s="1452">
        <f t="shared" si="419"/>
        <v>0</v>
      </c>
      <c r="AY751" s="1452">
        <f t="shared" si="420"/>
        <v>0</v>
      </c>
      <c r="AZ751" s="1452">
        <f t="shared" si="421"/>
        <v>0</v>
      </c>
      <c r="BA751" s="1452">
        <f t="shared" si="422"/>
        <v>0</v>
      </c>
      <c r="BB751" s="1452">
        <f t="shared" si="423"/>
        <v>0</v>
      </c>
      <c r="BC751" s="1452">
        <f t="shared" si="424"/>
        <v>0</v>
      </c>
      <c r="BD751" s="1452">
        <f t="shared" si="425"/>
        <v>0</v>
      </c>
      <c r="BE751" s="1452">
        <f t="shared" si="426"/>
        <v>0</v>
      </c>
      <c r="BF751" s="1452">
        <f t="shared" si="427"/>
        <v>0</v>
      </c>
      <c r="BG751" s="1452">
        <f t="shared" si="428"/>
        <v>0</v>
      </c>
      <c r="BH751" s="1452">
        <f t="shared" si="429"/>
        <v>0</v>
      </c>
      <c r="BI751" s="1452">
        <f t="shared" si="446"/>
        <v>0</v>
      </c>
      <c r="BJ751" s="1452" t="str">
        <f t="shared" si="430"/>
        <v/>
      </c>
      <c r="BK751" s="1452" t="str">
        <f t="shared" si="431"/>
        <v/>
      </c>
      <c r="BL751" s="1452" t="str">
        <f t="shared" si="432"/>
        <v/>
      </c>
      <c r="BM751" s="1452" t="str">
        <f t="shared" si="433"/>
        <v/>
      </c>
      <c r="BN751" s="1452" t="str">
        <f t="shared" ca="1" si="434"/>
        <v/>
      </c>
      <c r="BO751" s="1452" t="str">
        <f t="shared" si="447"/>
        <v/>
      </c>
      <c r="BP751" s="1452" t="str">
        <f t="shared" si="435"/>
        <v/>
      </c>
      <c r="BQ751" s="1452" t="str">
        <f t="shared" si="436"/>
        <v/>
      </c>
      <c r="BR751" s="1452" t="str">
        <f t="shared" si="437"/>
        <v/>
      </c>
      <c r="BS751" s="1452" t="str">
        <f t="shared" si="438"/>
        <v/>
      </c>
      <c r="BT751" s="1452" t="str">
        <f t="shared" si="439"/>
        <v/>
      </c>
      <c r="BU751" s="1452" t="str">
        <f t="shared" si="440"/>
        <v/>
      </c>
      <c r="BV751" s="1452" t="str">
        <f t="shared" si="441"/>
        <v/>
      </c>
      <c r="BW751" s="1558">
        <f t="shared" ca="1" si="448"/>
        <v>0</v>
      </c>
    </row>
    <row r="752" spans="1:75" s="9" customFormat="1" ht="12.5">
      <c r="A752" s="1483" t="str">
        <f t="shared" si="442"/>
        <v>Public Health Wales Trust</v>
      </c>
      <c r="B752" s="1583"/>
      <c r="C752" s="1583"/>
      <c r="D752" s="1583"/>
      <c r="E752" s="1581"/>
      <c r="F752" s="1436"/>
      <c r="G752" s="1547">
        <f t="shared" si="443"/>
        <v>0</v>
      </c>
      <c r="H752" s="1484"/>
      <c r="I752" s="1547">
        <f t="shared" si="444"/>
        <v>0</v>
      </c>
      <c r="J752" s="1485"/>
      <c r="K752" s="1485"/>
      <c r="L752" s="1436"/>
      <c r="M752" s="1439"/>
      <c r="N752" s="1439"/>
      <c r="O752" s="1485"/>
      <c r="P752" s="1486"/>
      <c r="Q752" s="1486"/>
      <c r="R752" s="1487"/>
      <c r="S752" s="1444"/>
      <c r="T752" s="1444"/>
      <c r="U752" s="1444"/>
      <c r="V752" s="1488"/>
      <c r="W752" s="1488"/>
      <c r="X752" s="1488"/>
      <c r="Y752" s="1488"/>
      <c r="Z752" s="1488"/>
      <c r="AA752" s="1488"/>
      <c r="AB752" s="1488"/>
      <c r="AC752" s="1488"/>
      <c r="AD752" s="1488"/>
      <c r="AE752" s="1488"/>
      <c r="AF752" s="1488"/>
      <c r="AG752" s="1488"/>
      <c r="AH752" s="1451">
        <f t="shared" si="416"/>
        <v>0</v>
      </c>
      <c r="AI752" s="1488"/>
      <c r="AJ752" s="1488"/>
      <c r="AK752" s="1488"/>
      <c r="AL752" s="1488"/>
      <c r="AM752" s="1488"/>
      <c r="AN752" s="1488"/>
      <c r="AO752" s="1488"/>
      <c r="AP752" s="1488"/>
      <c r="AQ752" s="1488"/>
      <c r="AR752" s="1488"/>
      <c r="AS752" s="1488"/>
      <c r="AT752" s="1542"/>
      <c r="AU752" s="1599">
        <f t="shared" si="417"/>
        <v>0</v>
      </c>
      <c r="AV752" s="1544">
        <f t="shared" si="445"/>
        <v>0</v>
      </c>
      <c r="AW752" s="1452">
        <f t="shared" si="418"/>
        <v>0</v>
      </c>
      <c r="AX752" s="1452">
        <f t="shared" si="419"/>
        <v>0</v>
      </c>
      <c r="AY752" s="1452">
        <f t="shared" si="420"/>
        <v>0</v>
      </c>
      <c r="AZ752" s="1452">
        <f t="shared" si="421"/>
        <v>0</v>
      </c>
      <c r="BA752" s="1452">
        <f t="shared" si="422"/>
        <v>0</v>
      </c>
      <c r="BB752" s="1452">
        <f t="shared" si="423"/>
        <v>0</v>
      </c>
      <c r="BC752" s="1452">
        <f t="shared" si="424"/>
        <v>0</v>
      </c>
      <c r="BD752" s="1452">
        <f t="shared" si="425"/>
        <v>0</v>
      </c>
      <c r="BE752" s="1452">
        <f t="shared" si="426"/>
        <v>0</v>
      </c>
      <c r="BF752" s="1452">
        <f t="shared" si="427"/>
        <v>0</v>
      </c>
      <c r="BG752" s="1452">
        <f t="shared" si="428"/>
        <v>0</v>
      </c>
      <c r="BH752" s="1452">
        <f t="shared" si="429"/>
        <v>0</v>
      </c>
      <c r="BI752" s="1452">
        <f t="shared" si="446"/>
        <v>0</v>
      </c>
      <c r="BJ752" s="1452" t="str">
        <f t="shared" si="430"/>
        <v/>
      </c>
      <c r="BK752" s="1452" t="str">
        <f t="shared" si="431"/>
        <v/>
      </c>
      <c r="BL752" s="1452" t="str">
        <f t="shared" si="432"/>
        <v/>
      </c>
      <c r="BM752" s="1452" t="str">
        <f t="shared" si="433"/>
        <v/>
      </c>
      <c r="BN752" s="1452" t="str">
        <f t="shared" ca="1" si="434"/>
        <v/>
      </c>
      <c r="BO752" s="1452" t="str">
        <f t="shared" si="447"/>
        <v/>
      </c>
      <c r="BP752" s="1452" t="str">
        <f t="shared" si="435"/>
        <v/>
      </c>
      <c r="BQ752" s="1452" t="str">
        <f t="shared" si="436"/>
        <v/>
      </c>
      <c r="BR752" s="1452" t="str">
        <f t="shared" si="437"/>
        <v/>
      </c>
      <c r="BS752" s="1452" t="str">
        <f t="shared" si="438"/>
        <v/>
      </c>
      <c r="BT752" s="1452" t="str">
        <f t="shared" si="439"/>
        <v/>
      </c>
      <c r="BU752" s="1452" t="str">
        <f t="shared" si="440"/>
        <v/>
      </c>
      <c r="BV752" s="1452" t="str">
        <f t="shared" si="441"/>
        <v/>
      </c>
      <c r="BW752" s="1558">
        <f t="shared" ca="1" si="448"/>
        <v>0</v>
      </c>
    </row>
    <row r="753" spans="1:75" s="9" customFormat="1" ht="12.5">
      <c r="A753" s="1483" t="str">
        <f t="shared" si="442"/>
        <v>Public Health Wales Trust</v>
      </c>
      <c r="B753" s="1583"/>
      <c r="C753" s="1583"/>
      <c r="D753" s="1583"/>
      <c r="E753" s="1581"/>
      <c r="F753" s="1436"/>
      <c r="G753" s="1547">
        <f t="shared" si="443"/>
        <v>0</v>
      </c>
      <c r="H753" s="1484"/>
      <c r="I753" s="1547">
        <f t="shared" si="444"/>
        <v>0</v>
      </c>
      <c r="J753" s="1485"/>
      <c r="K753" s="1485"/>
      <c r="L753" s="1436"/>
      <c r="M753" s="1439"/>
      <c r="N753" s="1439"/>
      <c r="O753" s="1485"/>
      <c r="P753" s="1486"/>
      <c r="Q753" s="1486"/>
      <c r="R753" s="1487"/>
      <c r="S753" s="1444"/>
      <c r="T753" s="1444"/>
      <c r="U753" s="1444"/>
      <c r="V753" s="1488"/>
      <c r="W753" s="1488"/>
      <c r="X753" s="1488"/>
      <c r="Y753" s="1488"/>
      <c r="Z753" s="1488"/>
      <c r="AA753" s="1488"/>
      <c r="AB753" s="1488"/>
      <c r="AC753" s="1488"/>
      <c r="AD753" s="1488"/>
      <c r="AE753" s="1488"/>
      <c r="AF753" s="1488"/>
      <c r="AG753" s="1488"/>
      <c r="AH753" s="1451">
        <f t="shared" si="416"/>
        <v>0</v>
      </c>
      <c r="AI753" s="1488"/>
      <c r="AJ753" s="1488"/>
      <c r="AK753" s="1488"/>
      <c r="AL753" s="1488"/>
      <c r="AM753" s="1488"/>
      <c r="AN753" s="1488"/>
      <c r="AO753" s="1488"/>
      <c r="AP753" s="1488"/>
      <c r="AQ753" s="1488"/>
      <c r="AR753" s="1488"/>
      <c r="AS753" s="1488"/>
      <c r="AT753" s="1542"/>
      <c r="AU753" s="1599">
        <f t="shared" si="417"/>
        <v>0</v>
      </c>
      <c r="AV753" s="1544">
        <f t="shared" si="445"/>
        <v>0</v>
      </c>
      <c r="AW753" s="1452">
        <f t="shared" si="418"/>
        <v>0</v>
      </c>
      <c r="AX753" s="1452">
        <f t="shared" si="419"/>
        <v>0</v>
      </c>
      <c r="AY753" s="1452">
        <f t="shared" si="420"/>
        <v>0</v>
      </c>
      <c r="AZ753" s="1452">
        <f t="shared" si="421"/>
        <v>0</v>
      </c>
      <c r="BA753" s="1452">
        <f t="shared" si="422"/>
        <v>0</v>
      </c>
      <c r="BB753" s="1452">
        <f t="shared" si="423"/>
        <v>0</v>
      </c>
      <c r="BC753" s="1452">
        <f t="shared" si="424"/>
        <v>0</v>
      </c>
      <c r="BD753" s="1452">
        <f t="shared" si="425"/>
        <v>0</v>
      </c>
      <c r="BE753" s="1452">
        <f t="shared" si="426"/>
        <v>0</v>
      </c>
      <c r="BF753" s="1452">
        <f t="shared" si="427"/>
        <v>0</v>
      </c>
      <c r="BG753" s="1452">
        <f t="shared" si="428"/>
        <v>0</v>
      </c>
      <c r="BH753" s="1452">
        <f t="shared" si="429"/>
        <v>0</v>
      </c>
      <c r="BI753" s="1452">
        <f t="shared" si="446"/>
        <v>0</v>
      </c>
      <c r="BJ753" s="1452" t="str">
        <f t="shared" si="430"/>
        <v/>
      </c>
      <c r="BK753" s="1452" t="str">
        <f t="shared" si="431"/>
        <v/>
      </c>
      <c r="BL753" s="1452" t="str">
        <f t="shared" si="432"/>
        <v/>
      </c>
      <c r="BM753" s="1452" t="str">
        <f t="shared" si="433"/>
        <v/>
      </c>
      <c r="BN753" s="1452" t="str">
        <f t="shared" ca="1" si="434"/>
        <v/>
      </c>
      <c r="BO753" s="1452" t="str">
        <f t="shared" si="447"/>
        <v/>
      </c>
      <c r="BP753" s="1452" t="str">
        <f t="shared" si="435"/>
        <v/>
      </c>
      <c r="BQ753" s="1452" t="str">
        <f t="shared" si="436"/>
        <v/>
      </c>
      <c r="BR753" s="1452" t="str">
        <f t="shared" si="437"/>
        <v/>
      </c>
      <c r="BS753" s="1452" t="str">
        <f t="shared" si="438"/>
        <v/>
      </c>
      <c r="BT753" s="1452" t="str">
        <f t="shared" si="439"/>
        <v/>
      </c>
      <c r="BU753" s="1452" t="str">
        <f t="shared" si="440"/>
        <v/>
      </c>
      <c r="BV753" s="1452" t="str">
        <f t="shared" si="441"/>
        <v/>
      </c>
      <c r="BW753" s="1558">
        <f t="shared" ca="1" si="448"/>
        <v>0</v>
      </c>
    </row>
    <row r="754" spans="1:75" s="9" customFormat="1" ht="12.5">
      <c r="A754" s="1483" t="str">
        <f t="shared" si="442"/>
        <v>Public Health Wales Trust</v>
      </c>
      <c r="B754" s="1583"/>
      <c r="C754" s="1583"/>
      <c r="D754" s="1583"/>
      <c r="E754" s="1581"/>
      <c r="F754" s="1436"/>
      <c r="G754" s="1547">
        <f t="shared" si="443"/>
        <v>0</v>
      </c>
      <c r="H754" s="1484"/>
      <c r="I754" s="1547">
        <f t="shared" si="444"/>
        <v>0</v>
      </c>
      <c r="J754" s="1485"/>
      <c r="K754" s="1485"/>
      <c r="L754" s="1436"/>
      <c r="M754" s="1439"/>
      <c r="N754" s="1439"/>
      <c r="O754" s="1485"/>
      <c r="P754" s="1486"/>
      <c r="Q754" s="1486"/>
      <c r="R754" s="1487"/>
      <c r="S754" s="1444"/>
      <c r="T754" s="1444"/>
      <c r="U754" s="1444"/>
      <c r="V754" s="1488"/>
      <c r="W754" s="1488"/>
      <c r="X754" s="1488"/>
      <c r="Y754" s="1488"/>
      <c r="Z754" s="1488"/>
      <c r="AA754" s="1488"/>
      <c r="AB754" s="1488"/>
      <c r="AC754" s="1488"/>
      <c r="AD754" s="1488"/>
      <c r="AE754" s="1488"/>
      <c r="AF754" s="1488"/>
      <c r="AG754" s="1488"/>
      <c r="AH754" s="1451">
        <f t="shared" si="416"/>
        <v>0</v>
      </c>
      <c r="AI754" s="1488"/>
      <c r="AJ754" s="1488"/>
      <c r="AK754" s="1488"/>
      <c r="AL754" s="1488"/>
      <c r="AM754" s="1488"/>
      <c r="AN754" s="1488"/>
      <c r="AO754" s="1488"/>
      <c r="AP754" s="1488"/>
      <c r="AQ754" s="1488"/>
      <c r="AR754" s="1488"/>
      <c r="AS754" s="1488"/>
      <c r="AT754" s="1542"/>
      <c r="AU754" s="1599">
        <f t="shared" si="417"/>
        <v>0</v>
      </c>
      <c r="AV754" s="1544">
        <f t="shared" si="445"/>
        <v>0</v>
      </c>
      <c r="AW754" s="1452">
        <f t="shared" si="418"/>
        <v>0</v>
      </c>
      <c r="AX754" s="1452">
        <f t="shared" si="419"/>
        <v>0</v>
      </c>
      <c r="AY754" s="1452">
        <f t="shared" si="420"/>
        <v>0</v>
      </c>
      <c r="AZ754" s="1452">
        <f t="shared" si="421"/>
        <v>0</v>
      </c>
      <c r="BA754" s="1452">
        <f t="shared" si="422"/>
        <v>0</v>
      </c>
      <c r="BB754" s="1452">
        <f t="shared" si="423"/>
        <v>0</v>
      </c>
      <c r="BC754" s="1452">
        <f t="shared" si="424"/>
        <v>0</v>
      </c>
      <c r="BD754" s="1452">
        <f t="shared" si="425"/>
        <v>0</v>
      </c>
      <c r="BE754" s="1452">
        <f t="shared" si="426"/>
        <v>0</v>
      </c>
      <c r="BF754" s="1452">
        <f t="shared" si="427"/>
        <v>0</v>
      </c>
      <c r="BG754" s="1452">
        <f t="shared" si="428"/>
        <v>0</v>
      </c>
      <c r="BH754" s="1452">
        <f t="shared" si="429"/>
        <v>0</v>
      </c>
      <c r="BI754" s="1452">
        <f t="shared" si="446"/>
        <v>0</v>
      </c>
      <c r="BJ754" s="1452" t="str">
        <f t="shared" si="430"/>
        <v/>
      </c>
      <c r="BK754" s="1452" t="str">
        <f t="shared" si="431"/>
        <v/>
      </c>
      <c r="BL754" s="1452" t="str">
        <f t="shared" si="432"/>
        <v/>
      </c>
      <c r="BM754" s="1452" t="str">
        <f t="shared" si="433"/>
        <v/>
      </c>
      <c r="BN754" s="1452" t="str">
        <f t="shared" ca="1" si="434"/>
        <v/>
      </c>
      <c r="BO754" s="1452" t="str">
        <f t="shared" si="447"/>
        <v/>
      </c>
      <c r="BP754" s="1452" t="str">
        <f t="shared" si="435"/>
        <v/>
      </c>
      <c r="BQ754" s="1452" t="str">
        <f t="shared" si="436"/>
        <v/>
      </c>
      <c r="BR754" s="1452" t="str">
        <f t="shared" si="437"/>
        <v/>
      </c>
      <c r="BS754" s="1452" t="str">
        <f t="shared" si="438"/>
        <v/>
      </c>
      <c r="BT754" s="1452" t="str">
        <f t="shared" si="439"/>
        <v/>
      </c>
      <c r="BU754" s="1452" t="str">
        <f t="shared" si="440"/>
        <v/>
      </c>
      <c r="BV754" s="1452" t="str">
        <f t="shared" si="441"/>
        <v/>
      </c>
      <c r="BW754" s="1558">
        <f t="shared" ca="1" si="448"/>
        <v>0</v>
      </c>
    </row>
    <row r="755" spans="1:75" s="9" customFormat="1" ht="12.5">
      <c r="A755" s="1483" t="str">
        <f t="shared" si="442"/>
        <v>Public Health Wales Trust</v>
      </c>
      <c r="B755" s="1583"/>
      <c r="C755" s="1583"/>
      <c r="D755" s="1583"/>
      <c r="E755" s="1581"/>
      <c r="F755" s="1436"/>
      <c r="G755" s="1547">
        <f t="shared" si="443"/>
        <v>0</v>
      </c>
      <c r="H755" s="1484"/>
      <c r="I755" s="1547">
        <f t="shared" si="444"/>
        <v>0</v>
      </c>
      <c r="J755" s="1485"/>
      <c r="K755" s="1485"/>
      <c r="L755" s="1436"/>
      <c r="M755" s="1439"/>
      <c r="N755" s="1439"/>
      <c r="O755" s="1485"/>
      <c r="P755" s="1486"/>
      <c r="Q755" s="1486"/>
      <c r="R755" s="1487"/>
      <c r="S755" s="1444"/>
      <c r="T755" s="1444"/>
      <c r="U755" s="1444"/>
      <c r="V755" s="1488"/>
      <c r="W755" s="1488"/>
      <c r="X755" s="1488"/>
      <c r="Y755" s="1488"/>
      <c r="Z755" s="1488"/>
      <c r="AA755" s="1488"/>
      <c r="AB755" s="1488"/>
      <c r="AC755" s="1488"/>
      <c r="AD755" s="1488"/>
      <c r="AE755" s="1488"/>
      <c r="AF755" s="1488"/>
      <c r="AG755" s="1488"/>
      <c r="AH755" s="1451">
        <f t="shared" si="416"/>
        <v>0</v>
      </c>
      <c r="AI755" s="1488"/>
      <c r="AJ755" s="1488"/>
      <c r="AK755" s="1488"/>
      <c r="AL755" s="1488"/>
      <c r="AM755" s="1488"/>
      <c r="AN755" s="1488"/>
      <c r="AO755" s="1488"/>
      <c r="AP755" s="1488"/>
      <c r="AQ755" s="1488"/>
      <c r="AR755" s="1488"/>
      <c r="AS755" s="1488"/>
      <c r="AT755" s="1542"/>
      <c r="AU755" s="1599">
        <f t="shared" si="417"/>
        <v>0</v>
      </c>
      <c r="AV755" s="1544">
        <f t="shared" si="445"/>
        <v>0</v>
      </c>
      <c r="AW755" s="1452">
        <f t="shared" si="418"/>
        <v>0</v>
      </c>
      <c r="AX755" s="1452">
        <f t="shared" si="419"/>
        <v>0</v>
      </c>
      <c r="AY755" s="1452">
        <f t="shared" si="420"/>
        <v>0</v>
      </c>
      <c r="AZ755" s="1452">
        <f t="shared" si="421"/>
        <v>0</v>
      </c>
      <c r="BA755" s="1452">
        <f t="shared" si="422"/>
        <v>0</v>
      </c>
      <c r="BB755" s="1452">
        <f t="shared" si="423"/>
        <v>0</v>
      </c>
      <c r="BC755" s="1452">
        <f t="shared" si="424"/>
        <v>0</v>
      </c>
      <c r="BD755" s="1452">
        <f t="shared" si="425"/>
        <v>0</v>
      </c>
      <c r="BE755" s="1452">
        <f t="shared" si="426"/>
        <v>0</v>
      </c>
      <c r="BF755" s="1452">
        <f t="shared" si="427"/>
        <v>0</v>
      </c>
      <c r="BG755" s="1452">
        <f t="shared" si="428"/>
        <v>0</v>
      </c>
      <c r="BH755" s="1452">
        <f t="shared" si="429"/>
        <v>0</v>
      </c>
      <c r="BI755" s="1452">
        <f t="shared" si="446"/>
        <v>0</v>
      </c>
      <c r="BJ755" s="1452" t="str">
        <f t="shared" si="430"/>
        <v/>
      </c>
      <c r="BK755" s="1452" t="str">
        <f t="shared" si="431"/>
        <v/>
      </c>
      <c r="BL755" s="1452" t="str">
        <f t="shared" si="432"/>
        <v/>
      </c>
      <c r="BM755" s="1452" t="str">
        <f t="shared" si="433"/>
        <v/>
      </c>
      <c r="BN755" s="1452" t="str">
        <f t="shared" ca="1" si="434"/>
        <v/>
      </c>
      <c r="BO755" s="1452" t="str">
        <f t="shared" si="447"/>
        <v/>
      </c>
      <c r="BP755" s="1452" t="str">
        <f t="shared" si="435"/>
        <v/>
      </c>
      <c r="BQ755" s="1452" t="str">
        <f t="shared" si="436"/>
        <v/>
      </c>
      <c r="BR755" s="1452" t="str">
        <f t="shared" si="437"/>
        <v/>
      </c>
      <c r="BS755" s="1452" t="str">
        <f t="shared" si="438"/>
        <v/>
      </c>
      <c r="BT755" s="1452" t="str">
        <f t="shared" si="439"/>
        <v/>
      </c>
      <c r="BU755" s="1452" t="str">
        <f t="shared" si="440"/>
        <v/>
      </c>
      <c r="BV755" s="1452" t="str">
        <f t="shared" si="441"/>
        <v/>
      </c>
      <c r="BW755" s="1558">
        <f t="shared" ca="1" si="448"/>
        <v>0</v>
      </c>
    </row>
    <row r="756" spans="1:75" s="9" customFormat="1" ht="12.5">
      <c r="A756" s="1483" t="str">
        <f t="shared" si="442"/>
        <v>Public Health Wales Trust</v>
      </c>
      <c r="B756" s="1583"/>
      <c r="C756" s="1583"/>
      <c r="D756" s="1583"/>
      <c r="E756" s="1581"/>
      <c r="F756" s="1436"/>
      <c r="G756" s="1547">
        <f t="shared" si="443"/>
        <v>0</v>
      </c>
      <c r="H756" s="1484"/>
      <c r="I756" s="1547">
        <f t="shared" si="444"/>
        <v>0</v>
      </c>
      <c r="J756" s="1485"/>
      <c r="K756" s="1485"/>
      <c r="L756" s="1436"/>
      <c r="M756" s="1439"/>
      <c r="N756" s="1439"/>
      <c r="O756" s="1485"/>
      <c r="P756" s="1486"/>
      <c r="Q756" s="1486"/>
      <c r="R756" s="1487"/>
      <c r="S756" s="1444"/>
      <c r="T756" s="1444"/>
      <c r="U756" s="1444"/>
      <c r="V756" s="1488"/>
      <c r="W756" s="1488"/>
      <c r="X756" s="1488"/>
      <c r="Y756" s="1488"/>
      <c r="Z756" s="1488"/>
      <c r="AA756" s="1488"/>
      <c r="AB756" s="1488"/>
      <c r="AC756" s="1488"/>
      <c r="AD756" s="1488"/>
      <c r="AE756" s="1488"/>
      <c r="AF756" s="1488"/>
      <c r="AG756" s="1488"/>
      <c r="AH756" s="1451">
        <f t="shared" si="416"/>
        <v>0</v>
      </c>
      <c r="AI756" s="1488"/>
      <c r="AJ756" s="1488"/>
      <c r="AK756" s="1488"/>
      <c r="AL756" s="1488"/>
      <c r="AM756" s="1488"/>
      <c r="AN756" s="1488"/>
      <c r="AO756" s="1488"/>
      <c r="AP756" s="1488"/>
      <c r="AQ756" s="1488"/>
      <c r="AR756" s="1488"/>
      <c r="AS756" s="1488"/>
      <c r="AT756" s="1542"/>
      <c r="AU756" s="1599">
        <f t="shared" si="417"/>
        <v>0</v>
      </c>
      <c r="AV756" s="1544">
        <f t="shared" si="445"/>
        <v>0</v>
      </c>
      <c r="AW756" s="1452">
        <f t="shared" si="418"/>
        <v>0</v>
      </c>
      <c r="AX756" s="1452">
        <f t="shared" si="419"/>
        <v>0</v>
      </c>
      <c r="AY756" s="1452">
        <f t="shared" si="420"/>
        <v>0</v>
      </c>
      <c r="AZ756" s="1452">
        <f t="shared" si="421"/>
        <v>0</v>
      </c>
      <c r="BA756" s="1452">
        <f t="shared" si="422"/>
        <v>0</v>
      </c>
      <c r="BB756" s="1452">
        <f t="shared" si="423"/>
        <v>0</v>
      </c>
      <c r="BC756" s="1452">
        <f t="shared" si="424"/>
        <v>0</v>
      </c>
      <c r="BD756" s="1452">
        <f t="shared" si="425"/>
        <v>0</v>
      </c>
      <c r="BE756" s="1452">
        <f t="shared" si="426"/>
        <v>0</v>
      </c>
      <c r="BF756" s="1452">
        <f t="shared" si="427"/>
        <v>0</v>
      </c>
      <c r="BG756" s="1452">
        <f t="shared" si="428"/>
        <v>0</v>
      </c>
      <c r="BH756" s="1452">
        <f t="shared" si="429"/>
        <v>0</v>
      </c>
      <c r="BI756" s="1452">
        <f t="shared" si="446"/>
        <v>0</v>
      </c>
      <c r="BJ756" s="1452" t="str">
        <f t="shared" si="430"/>
        <v/>
      </c>
      <c r="BK756" s="1452" t="str">
        <f t="shared" si="431"/>
        <v/>
      </c>
      <c r="BL756" s="1452" t="str">
        <f t="shared" si="432"/>
        <v/>
      </c>
      <c r="BM756" s="1452" t="str">
        <f t="shared" si="433"/>
        <v/>
      </c>
      <c r="BN756" s="1452" t="str">
        <f t="shared" ca="1" si="434"/>
        <v/>
      </c>
      <c r="BO756" s="1452" t="str">
        <f t="shared" si="447"/>
        <v/>
      </c>
      <c r="BP756" s="1452" t="str">
        <f t="shared" si="435"/>
        <v/>
      </c>
      <c r="BQ756" s="1452" t="str">
        <f t="shared" si="436"/>
        <v/>
      </c>
      <c r="BR756" s="1452" t="str">
        <f t="shared" si="437"/>
        <v/>
      </c>
      <c r="BS756" s="1452" t="str">
        <f t="shared" si="438"/>
        <v/>
      </c>
      <c r="BT756" s="1452" t="str">
        <f t="shared" si="439"/>
        <v/>
      </c>
      <c r="BU756" s="1452" t="str">
        <f t="shared" si="440"/>
        <v/>
      </c>
      <c r="BV756" s="1452" t="str">
        <f t="shared" si="441"/>
        <v/>
      </c>
      <c r="BW756" s="1558">
        <f t="shared" ca="1" si="448"/>
        <v>0</v>
      </c>
    </row>
    <row r="757" spans="1:75" s="9" customFormat="1" ht="12.5">
      <c r="A757" s="1483" t="str">
        <f t="shared" si="442"/>
        <v>Public Health Wales Trust</v>
      </c>
      <c r="B757" s="1583"/>
      <c r="C757" s="1583"/>
      <c r="D757" s="1583"/>
      <c r="E757" s="1581"/>
      <c r="F757" s="1436"/>
      <c r="G757" s="1547">
        <f t="shared" si="443"/>
        <v>0</v>
      </c>
      <c r="H757" s="1484"/>
      <c r="I757" s="1547">
        <f t="shared" si="444"/>
        <v>0</v>
      </c>
      <c r="J757" s="1485"/>
      <c r="K757" s="1485"/>
      <c r="L757" s="1436"/>
      <c r="M757" s="1439"/>
      <c r="N757" s="1439"/>
      <c r="O757" s="1485"/>
      <c r="P757" s="1486"/>
      <c r="Q757" s="1486"/>
      <c r="R757" s="1487"/>
      <c r="S757" s="1444"/>
      <c r="T757" s="1444"/>
      <c r="U757" s="1444"/>
      <c r="V757" s="1488"/>
      <c r="W757" s="1488"/>
      <c r="X757" s="1488"/>
      <c r="Y757" s="1488"/>
      <c r="Z757" s="1488"/>
      <c r="AA757" s="1488"/>
      <c r="AB757" s="1488"/>
      <c r="AC757" s="1488"/>
      <c r="AD757" s="1488"/>
      <c r="AE757" s="1488"/>
      <c r="AF757" s="1488"/>
      <c r="AG757" s="1488"/>
      <c r="AH757" s="1451">
        <f t="shared" si="416"/>
        <v>0</v>
      </c>
      <c r="AI757" s="1488"/>
      <c r="AJ757" s="1488"/>
      <c r="AK757" s="1488"/>
      <c r="AL757" s="1488"/>
      <c r="AM757" s="1488"/>
      <c r="AN757" s="1488"/>
      <c r="AO757" s="1488"/>
      <c r="AP757" s="1488"/>
      <c r="AQ757" s="1488"/>
      <c r="AR757" s="1488"/>
      <c r="AS757" s="1488"/>
      <c r="AT757" s="1542"/>
      <c r="AU757" s="1599">
        <f t="shared" si="417"/>
        <v>0</v>
      </c>
      <c r="AV757" s="1544">
        <f t="shared" si="445"/>
        <v>0</v>
      </c>
      <c r="AW757" s="1452">
        <f t="shared" si="418"/>
        <v>0</v>
      </c>
      <c r="AX757" s="1452">
        <f t="shared" si="419"/>
        <v>0</v>
      </c>
      <c r="AY757" s="1452">
        <f t="shared" si="420"/>
        <v>0</v>
      </c>
      <c r="AZ757" s="1452">
        <f t="shared" si="421"/>
        <v>0</v>
      </c>
      <c r="BA757" s="1452">
        <f t="shared" si="422"/>
        <v>0</v>
      </c>
      <c r="BB757" s="1452">
        <f t="shared" si="423"/>
        <v>0</v>
      </c>
      <c r="BC757" s="1452">
        <f t="shared" si="424"/>
        <v>0</v>
      </c>
      <c r="BD757" s="1452">
        <f t="shared" si="425"/>
        <v>0</v>
      </c>
      <c r="BE757" s="1452">
        <f t="shared" si="426"/>
        <v>0</v>
      </c>
      <c r="BF757" s="1452">
        <f t="shared" si="427"/>
        <v>0</v>
      </c>
      <c r="BG757" s="1452">
        <f t="shared" si="428"/>
        <v>0</v>
      </c>
      <c r="BH757" s="1452">
        <f t="shared" si="429"/>
        <v>0</v>
      </c>
      <c r="BI757" s="1452">
        <f t="shared" si="446"/>
        <v>0</v>
      </c>
      <c r="BJ757" s="1452" t="str">
        <f t="shared" si="430"/>
        <v/>
      </c>
      <c r="BK757" s="1452" t="str">
        <f t="shared" si="431"/>
        <v/>
      </c>
      <c r="BL757" s="1452" t="str">
        <f t="shared" si="432"/>
        <v/>
      </c>
      <c r="BM757" s="1452" t="str">
        <f t="shared" si="433"/>
        <v/>
      </c>
      <c r="BN757" s="1452" t="str">
        <f t="shared" ca="1" si="434"/>
        <v/>
      </c>
      <c r="BO757" s="1452" t="str">
        <f t="shared" si="447"/>
        <v/>
      </c>
      <c r="BP757" s="1452" t="str">
        <f t="shared" si="435"/>
        <v/>
      </c>
      <c r="BQ757" s="1452" t="str">
        <f t="shared" si="436"/>
        <v/>
      </c>
      <c r="BR757" s="1452" t="str">
        <f t="shared" si="437"/>
        <v/>
      </c>
      <c r="BS757" s="1452" t="str">
        <f t="shared" si="438"/>
        <v/>
      </c>
      <c r="BT757" s="1452" t="str">
        <f t="shared" si="439"/>
        <v/>
      </c>
      <c r="BU757" s="1452" t="str">
        <f t="shared" si="440"/>
        <v/>
      </c>
      <c r="BV757" s="1452" t="str">
        <f t="shared" si="441"/>
        <v/>
      </c>
      <c r="BW757" s="1558">
        <f t="shared" ca="1" si="448"/>
        <v>0</v>
      </c>
    </row>
    <row r="758" spans="1:75" s="9" customFormat="1" ht="12.5">
      <c r="A758" s="1483" t="str">
        <f t="shared" si="442"/>
        <v>Public Health Wales Trust</v>
      </c>
      <c r="B758" s="1583"/>
      <c r="C758" s="1583"/>
      <c r="D758" s="1583"/>
      <c r="E758" s="1581"/>
      <c r="F758" s="1436"/>
      <c r="G758" s="1547">
        <f t="shared" si="443"/>
        <v>0</v>
      </c>
      <c r="H758" s="1484"/>
      <c r="I758" s="1547">
        <f t="shared" si="444"/>
        <v>0</v>
      </c>
      <c r="J758" s="1485"/>
      <c r="K758" s="1485"/>
      <c r="L758" s="1436"/>
      <c r="M758" s="1439"/>
      <c r="N758" s="1439"/>
      <c r="O758" s="1485"/>
      <c r="P758" s="1486"/>
      <c r="Q758" s="1486"/>
      <c r="R758" s="1487"/>
      <c r="S758" s="1444"/>
      <c r="T758" s="1444"/>
      <c r="U758" s="1444"/>
      <c r="V758" s="1488"/>
      <c r="W758" s="1488"/>
      <c r="X758" s="1488"/>
      <c r="Y758" s="1488"/>
      <c r="Z758" s="1488"/>
      <c r="AA758" s="1488"/>
      <c r="AB758" s="1488"/>
      <c r="AC758" s="1488"/>
      <c r="AD758" s="1488"/>
      <c r="AE758" s="1488"/>
      <c r="AF758" s="1488"/>
      <c r="AG758" s="1488"/>
      <c r="AH758" s="1451">
        <f t="shared" si="416"/>
        <v>0</v>
      </c>
      <c r="AI758" s="1488"/>
      <c r="AJ758" s="1488"/>
      <c r="AK758" s="1488"/>
      <c r="AL758" s="1488"/>
      <c r="AM758" s="1488"/>
      <c r="AN758" s="1488"/>
      <c r="AO758" s="1488"/>
      <c r="AP758" s="1488"/>
      <c r="AQ758" s="1488"/>
      <c r="AR758" s="1488"/>
      <c r="AS758" s="1488"/>
      <c r="AT758" s="1542"/>
      <c r="AU758" s="1599">
        <f t="shared" si="417"/>
        <v>0</v>
      </c>
      <c r="AV758" s="1544">
        <f t="shared" si="445"/>
        <v>0</v>
      </c>
      <c r="AW758" s="1452">
        <f t="shared" si="418"/>
        <v>0</v>
      </c>
      <c r="AX758" s="1452">
        <f t="shared" si="419"/>
        <v>0</v>
      </c>
      <c r="AY758" s="1452">
        <f t="shared" si="420"/>
        <v>0</v>
      </c>
      <c r="AZ758" s="1452">
        <f t="shared" si="421"/>
        <v>0</v>
      </c>
      <c r="BA758" s="1452">
        <f t="shared" si="422"/>
        <v>0</v>
      </c>
      <c r="BB758" s="1452">
        <f t="shared" si="423"/>
        <v>0</v>
      </c>
      <c r="BC758" s="1452">
        <f t="shared" si="424"/>
        <v>0</v>
      </c>
      <c r="BD758" s="1452">
        <f t="shared" si="425"/>
        <v>0</v>
      </c>
      <c r="BE758" s="1452">
        <f t="shared" si="426"/>
        <v>0</v>
      </c>
      <c r="BF758" s="1452">
        <f t="shared" si="427"/>
        <v>0</v>
      </c>
      <c r="BG758" s="1452">
        <f t="shared" si="428"/>
        <v>0</v>
      </c>
      <c r="BH758" s="1452">
        <f t="shared" si="429"/>
        <v>0</v>
      </c>
      <c r="BI758" s="1452">
        <f t="shared" si="446"/>
        <v>0</v>
      </c>
      <c r="BJ758" s="1452" t="str">
        <f t="shared" si="430"/>
        <v/>
      </c>
      <c r="BK758" s="1452" t="str">
        <f t="shared" si="431"/>
        <v/>
      </c>
      <c r="BL758" s="1452" t="str">
        <f t="shared" si="432"/>
        <v/>
      </c>
      <c r="BM758" s="1452" t="str">
        <f t="shared" si="433"/>
        <v/>
      </c>
      <c r="BN758" s="1452" t="str">
        <f t="shared" ca="1" si="434"/>
        <v/>
      </c>
      <c r="BO758" s="1452" t="str">
        <f t="shared" si="447"/>
        <v/>
      </c>
      <c r="BP758" s="1452" t="str">
        <f t="shared" si="435"/>
        <v/>
      </c>
      <c r="BQ758" s="1452" t="str">
        <f t="shared" si="436"/>
        <v/>
      </c>
      <c r="BR758" s="1452" t="str">
        <f t="shared" si="437"/>
        <v/>
      </c>
      <c r="BS758" s="1452" t="str">
        <f t="shared" si="438"/>
        <v/>
      </c>
      <c r="BT758" s="1452" t="str">
        <f t="shared" si="439"/>
        <v/>
      </c>
      <c r="BU758" s="1452" t="str">
        <f t="shared" si="440"/>
        <v/>
      </c>
      <c r="BV758" s="1452" t="str">
        <f t="shared" si="441"/>
        <v/>
      </c>
      <c r="BW758" s="1558">
        <f t="shared" ca="1" si="448"/>
        <v>0</v>
      </c>
    </row>
    <row r="759" spans="1:75" s="9" customFormat="1" ht="12.5">
      <c r="A759" s="1483" t="str">
        <f t="shared" si="442"/>
        <v>Public Health Wales Trust</v>
      </c>
      <c r="B759" s="1583"/>
      <c r="C759" s="1583"/>
      <c r="D759" s="1583"/>
      <c r="E759" s="1581"/>
      <c r="F759" s="1436"/>
      <c r="G759" s="1547">
        <f t="shared" si="443"/>
        <v>0</v>
      </c>
      <c r="H759" s="1484"/>
      <c r="I759" s="1547">
        <f t="shared" si="444"/>
        <v>0</v>
      </c>
      <c r="J759" s="1485"/>
      <c r="K759" s="1485"/>
      <c r="L759" s="1436"/>
      <c r="M759" s="1439"/>
      <c r="N759" s="1439"/>
      <c r="O759" s="1485"/>
      <c r="P759" s="1486"/>
      <c r="Q759" s="1486"/>
      <c r="R759" s="1487"/>
      <c r="S759" s="1444"/>
      <c r="T759" s="1444"/>
      <c r="U759" s="1444"/>
      <c r="V759" s="1488"/>
      <c r="W759" s="1488"/>
      <c r="X759" s="1488"/>
      <c r="Y759" s="1488"/>
      <c r="Z759" s="1488"/>
      <c r="AA759" s="1488"/>
      <c r="AB759" s="1488"/>
      <c r="AC759" s="1488"/>
      <c r="AD759" s="1488"/>
      <c r="AE759" s="1488"/>
      <c r="AF759" s="1488"/>
      <c r="AG759" s="1488"/>
      <c r="AH759" s="1451">
        <f t="shared" si="416"/>
        <v>0</v>
      </c>
      <c r="AI759" s="1488"/>
      <c r="AJ759" s="1488"/>
      <c r="AK759" s="1488"/>
      <c r="AL759" s="1488"/>
      <c r="AM759" s="1488"/>
      <c r="AN759" s="1488"/>
      <c r="AO759" s="1488"/>
      <c r="AP759" s="1488"/>
      <c r="AQ759" s="1488"/>
      <c r="AR759" s="1488"/>
      <c r="AS759" s="1488"/>
      <c r="AT759" s="1542"/>
      <c r="AU759" s="1599">
        <f t="shared" si="417"/>
        <v>0</v>
      </c>
      <c r="AV759" s="1544">
        <f t="shared" si="445"/>
        <v>0</v>
      </c>
      <c r="AW759" s="1452">
        <f t="shared" si="418"/>
        <v>0</v>
      </c>
      <c r="AX759" s="1452">
        <f t="shared" si="419"/>
        <v>0</v>
      </c>
      <c r="AY759" s="1452">
        <f t="shared" si="420"/>
        <v>0</v>
      </c>
      <c r="AZ759" s="1452">
        <f t="shared" si="421"/>
        <v>0</v>
      </c>
      <c r="BA759" s="1452">
        <f t="shared" si="422"/>
        <v>0</v>
      </c>
      <c r="BB759" s="1452">
        <f t="shared" si="423"/>
        <v>0</v>
      </c>
      <c r="BC759" s="1452">
        <f t="shared" si="424"/>
        <v>0</v>
      </c>
      <c r="BD759" s="1452">
        <f t="shared" si="425"/>
        <v>0</v>
      </c>
      <c r="BE759" s="1452">
        <f t="shared" si="426"/>
        <v>0</v>
      </c>
      <c r="BF759" s="1452">
        <f t="shared" si="427"/>
        <v>0</v>
      </c>
      <c r="BG759" s="1452">
        <f t="shared" si="428"/>
        <v>0</v>
      </c>
      <c r="BH759" s="1452">
        <f t="shared" si="429"/>
        <v>0</v>
      </c>
      <c r="BI759" s="1452">
        <f t="shared" si="446"/>
        <v>0</v>
      </c>
      <c r="BJ759" s="1452" t="str">
        <f t="shared" si="430"/>
        <v/>
      </c>
      <c r="BK759" s="1452" t="str">
        <f t="shared" si="431"/>
        <v/>
      </c>
      <c r="BL759" s="1452" t="str">
        <f t="shared" si="432"/>
        <v/>
      </c>
      <c r="BM759" s="1452" t="str">
        <f t="shared" si="433"/>
        <v/>
      </c>
      <c r="BN759" s="1452" t="str">
        <f t="shared" ca="1" si="434"/>
        <v/>
      </c>
      <c r="BO759" s="1452" t="str">
        <f t="shared" si="447"/>
        <v/>
      </c>
      <c r="BP759" s="1452" t="str">
        <f t="shared" si="435"/>
        <v/>
      </c>
      <c r="BQ759" s="1452" t="str">
        <f t="shared" si="436"/>
        <v/>
      </c>
      <c r="BR759" s="1452" t="str">
        <f t="shared" si="437"/>
        <v/>
      </c>
      <c r="BS759" s="1452" t="str">
        <f t="shared" si="438"/>
        <v/>
      </c>
      <c r="BT759" s="1452" t="str">
        <f t="shared" si="439"/>
        <v/>
      </c>
      <c r="BU759" s="1452" t="str">
        <f t="shared" si="440"/>
        <v/>
      </c>
      <c r="BV759" s="1452" t="str">
        <f t="shared" si="441"/>
        <v/>
      </c>
      <c r="BW759" s="1558">
        <f t="shared" ca="1" si="448"/>
        <v>0</v>
      </c>
    </row>
    <row r="760" spans="1:75" s="9" customFormat="1" ht="12.5">
      <c r="A760" s="1483" t="str">
        <f t="shared" si="442"/>
        <v>Public Health Wales Trust</v>
      </c>
      <c r="B760" s="1587"/>
      <c r="C760" s="1587"/>
      <c r="D760" s="1587"/>
      <c r="E760" s="1589"/>
      <c r="F760" s="1436"/>
      <c r="G760" s="1547">
        <f t="shared" si="443"/>
        <v>0</v>
      </c>
      <c r="H760" s="1484"/>
      <c r="I760" s="1547">
        <f t="shared" si="444"/>
        <v>0</v>
      </c>
      <c r="J760" s="1493"/>
      <c r="K760" s="1493"/>
      <c r="L760" s="1436"/>
      <c r="M760" s="1441"/>
      <c r="N760" s="1441"/>
      <c r="O760" s="1485"/>
      <c r="P760" s="1486"/>
      <c r="Q760" s="1486"/>
      <c r="R760" s="1487"/>
      <c r="S760" s="1444"/>
      <c r="T760" s="1444"/>
      <c r="U760" s="1444"/>
      <c r="V760" s="1488"/>
      <c r="W760" s="1488"/>
      <c r="X760" s="1488"/>
      <c r="Y760" s="1488"/>
      <c r="Z760" s="1488"/>
      <c r="AA760" s="1488"/>
      <c r="AB760" s="1488"/>
      <c r="AC760" s="1488"/>
      <c r="AD760" s="1488"/>
      <c r="AE760" s="1488"/>
      <c r="AF760" s="1488"/>
      <c r="AG760" s="1488"/>
      <c r="AH760" s="1451">
        <f t="shared" si="416"/>
        <v>0</v>
      </c>
      <c r="AI760" s="1488"/>
      <c r="AJ760" s="1488"/>
      <c r="AK760" s="1488"/>
      <c r="AL760" s="1488"/>
      <c r="AM760" s="1488"/>
      <c r="AN760" s="1488"/>
      <c r="AO760" s="1488"/>
      <c r="AP760" s="1488"/>
      <c r="AQ760" s="1488"/>
      <c r="AR760" s="1488"/>
      <c r="AS760" s="1488"/>
      <c r="AT760" s="1542"/>
      <c r="AU760" s="1599">
        <f t="shared" si="417"/>
        <v>0</v>
      </c>
      <c r="AV760" s="1544">
        <f t="shared" si="445"/>
        <v>0</v>
      </c>
      <c r="AW760" s="1452">
        <f t="shared" si="418"/>
        <v>0</v>
      </c>
      <c r="AX760" s="1452">
        <f t="shared" si="419"/>
        <v>0</v>
      </c>
      <c r="AY760" s="1452">
        <f t="shared" si="420"/>
        <v>0</v>
      </c>
      <c r="AZ760" s="1452">
        <f t="shared" si="421"/>
        <v>0</v>
      </c>
      <c r="BA760" s="1452">
        <f t="shared" si="422"/>
        <v>0</v>
      </c>
      <c r="BB760" s="1452">
        <f t="shared" si="423"/>
        <v>0</v>
      </c>
      <c r="BC760" s="1452">
        <f t="shared" si="424"/>
        <v>0</v>
      </c>
      <c r="BD760" s="1452">
        <f t="shared" si="425"/>
        <v>0</v>
      </c>
      <c r="BE760" s="1452">
        <f t="shared" si="426"/>
        <v>0</v>
      </c>
      <c r="BF760" s="1452">
        <f t="shared" si="427"/>
        <v>0</v>
      </c>
      <c r="BG760" s="1452">
        <f t="shared" si="428"/>
        <v>0</v>
      </c>
      <c r="BH760" s="1452">
        <f t="shared" si="429"/>
        <v>0</v>
      </c>
      <c r="BI760" s="1452">
        <f t="shared" si="446"/>
        <v>0</v>
      </c>
      <c r="BJ760" s="1452" t="str">
        <f t="shared" si="430"/>
        <v/>
      </c>
      <c r="BK760" s="1452" t="str">
        <f t="shared" si="431"/>
        <v/>
      </c>
      <c r="BL760" s="1452" t="str">
        <f t="shared" si="432"/>
        <v/>
      </c>
      <c r="BM760" s="1452" t="str">
        <f t="shared" si="433"/>
        <v/>
      </c>
      <c r="BN760" s="1452" t="str">
        <f t="shared" ca="1" si="434"/>
        <v/>
      </c>
      <c r="BO760" s="1452" t="str">
        <f t="shared" si="447"/>
        <v/>
      </c>
      <c r="BP760" s="1452" t="str">
        <f t="shared" si="435"/>
        <v/>
      </c>
      <c r="BQ760" s="1452" t="str">
        <f t="shared" si="436"/>
        <v/>
      </c>
      <c r="BR760" s="1452" t="str">
        <f t="shared" si="437"/>
        <v/>
      </c>
      <c r="BS760" s="1452" t="str">
        <f t="shared" si="438"/>
        <v/>
      </c>
      <c r="BT760" s="1452" t="str">
        <f t="shared" si="439"/>
        <v/>
      </c>
      <c r="BU760" s="1452" t="str">
        <f t="shared" si="440"/>
        <v/>
      </c>
      <c r="BV760" s="1452" t="str">
        <f t="shared" si="441"/>
        <v/>
      </c>
      <c r="BW760" s="1558">
        <f t="shared" ca="1" si="448"/>
        <v>0</v>
      </c>
    </row>
    <row r="761" spans="1:75" s="9" customFormat="1" ht="12.5">
      <c r="A761" s="1483" t="str">
        <f t="shared" si="442"/>
        <v>Public Health Wales Trust</v>
      </c>
      <c r="B761" s="1583"/>
      <c r="C761" s="1583"/>
      <c r="D761" s="1583"/>
      <c r="E761" s="1581"/>
      <c r="F761" s="1436"/>
      <c r="G761" s="1547">
        <f t="shared" si="443"/>
        <v>0</v>
      </c>
      <c r="H761" s="1484"/>
      <c r="I761" s="1547">
        <f t="shared" si="444"/>
        <v>0</v>
      </c>
      <c r="J761" s="1485"/>
      <c r="K761" s="1485"/>
      <c r="L761" s="1436"/>
      <c r="M761" s="1439"/>
      <c r="N761" s="1439"/>
      <c r="O761" s="1485"/>
      <c r="P761" s="1486"/>
      <c r="Q761" s="1486"/>
      <c r="R761" s="1487"/>
      <c r="S761" s="1444"/>
      <c r="T761" s="1444"/>
      <c r="U761" s="1444"/>
      <c r="V761" s="1488"/>
      <c r="W761" s="1488"/>
      <c r="X761" s="1488"/>
      <c r="Y761" s="1488"/>
      <c r="Z761" s="1488"/>
      <c r="AA761" s="1488"/>
      <c r="AB761" s="1488"/>
      <c r="AC761" s="1488"/>
      <c r="AD761" s="1488"/>
      <c r="AE761" s="1488"/>
      <c r="AF761" s="1488"/>
      <c r="AG761" s="1488"/>
      <c r="AH761" s="1451">
        <f t="shared" si="416"/>
        <v>0</v>
      </c>
      <c r="AI761" s="1488"/>
      <c r="AJ761" s="1488"/>
      <c r="AK761" s="1488"/>
      <c r="AL761" s="1488"/>
      <c r="AM761" s="1488"/>
      <c r="AN761" s="1488"/>
      <c r="AO761" s="1488"/>
      <c r="AP761" s="1488"/>
      <c r="AQ761" s="1488"/>
      <c r="AR761" s="1488"/>
      <c r="AS761" s="1488"/>
      <c r="AT761" s="1542"/>
      <c r="AU761" s="1599">
        <f t="shared" si="417"/>
        <v>0</v>
      </c>
      <c r="AV761" s="1544">
        <f t="shared" si="445"/>
        <v>0</v>
      </c>
      <c r="AW761" s="1452">
        <f t="shared" si="418"/>
        <v>0</v>
      </c>
      <c r="AX761" s="1452">
        <f t="shared" si="419"/>
        <v>0</v>
      </c>
      <c r="AY761" s="1452">
        <f t="shared" si="420"/>
        <v>0</v>
      </c>
      <c r="AZ761" s="1452">
        <f t="shared" si="421"/>
        <v>0</v>
      </c>
      <c r="BA761" s="1452">
        <f t="shared" si="422"/>
        <v>0</v>
      </c>
      <c r="BB761" s="1452">
        <f t="shared" si="423"/>
        <v>0</v>
      </c>
      <c r="BC761" s="1452">
        <f t="shared" si="424"/>
        <v>0</v>
      </c>
      <c r="BD761" s="1452">
        <f t="shared" si="425"/>
        <v>0</v>
      </c>
      <c r="BE761" s="1452">
        <f t="shared" si="426"/>
        <v>0</v>
      </c>
      <c r="BF761" s="1452">
        <f t="shared" si="427"/>
        <v>0</v>
      </c>
      <c r="BG761" s="1452">
        <f t="shared" si="428"/>
        <v>0</v>
      </c>
      <c r="BH761" s="1452">
        <f t="shared" si="429"/>
        <v>0</v>
      </c>
      <c r="BI761" s="1452">
        <f t="shared" si="446"/>
        <v>0</v>
      </c>
      <c r="BJ761" s="1452" t="str">
        <f t="shared" si="430"/>
        <v/>
      </c>
      <c r="BK761" s="1452" t="str">
        <f t="shared" si="431"/>
        <v/>
      </c>
      <c r="BL761" s="1452" t="str">
        <f t="shared" si="432"/>
        <v/>
      </c>
      <c r="BM761" s="1452" t="str">
        <f t="shared" si="433"/>
        <v/>
      </c>
      <c r="BN761" s="1452" t="str">
        <f t="shared" ca="1" si="434"/>
        <v/>
      </c>
      <c r="BO761" s="1452" t="str">
        <f t="shared" si="447"/>
        <v/>
      </c>
      <c r="BP761" s="1452" t="str">
        <f t="shared" si="435"/>
        <v/>
      </c>
      <c r="BQ761" s="1452" t="str">
        <f t="shared" si="436"/>
        <v/>
      </c>
      <c r="BR761" s="1452" t="str">
        <f t="shared" si="437"/>
        <v/>
      </c>
      <c r="BS761" s="1452" t="str">
        <f t="shared" si="438"/>
        <v/>
      </c>
      <c r="BT761" s="1452" t="str">
        <f t="shared" si="439"/>
        <v/>
      </c>
      <c r="BU761" s="1452" t="str">
        <f t="shared" si="440"/>
        <v/>
      </c>
      <c r="BV761" s="1452" t="str">
        <f t="shared" si="441"/>
        <v/>
      </c>
      <c r="BW761" s="1558">
        <f t="shared" ca="1" si="448"/>
        <v>0</v>
      </c>
    </row>
    <row r="762" spans="1:75" s="9" customFormat="1" ht="12.5">
      <c r="A762" s="1483" t="str">
        <f t="shared" si="442"/>
        <v>Public Health Wales Trust</v>
      </c>
      <c r="B762" s="1583"/>
      <c r="C762" s="1583"/>
      <c r="D762" s="1583"/>
      <c r="E762" s="1581"/>
      <c r="F762" s="1436"/>
      <c r="G762" s="1547">
        <f t="shared" si="443"/>
        <v>0</v>
      </c>
      <c r="H762" s="1484"/>
      <c r="I762" s="1547">
        <f t="shared" si="444"/>
        <v>0</v>
      </c>
      <c r="J762" s="1485"/>
      <c r="K762" s="1485"/>
      <c r="L762" s="1436"/>
      <c r="M762" s="1439"/>
      <c r="N762" s="1439"/>
      <c r="O762" s="1485"/>
      <c r="P762" s="1486"/>
      <c r="Q762" s="1486"/>
      <c r="R762" s="1487"/>
      <c r="S762" s="1444"/>
      <c r="T762" s="1444"/>
      <c r="U762" s="1444"/>
      <c r="V762" s="1488"/>
      <c r="W762" s="1488"/>
      <c r="X762" s="1488"/>
      <c r="Y762" s="1488"/>
      <c r="Z762" s="1488"/>
      <c r="AA762" s="1488"/>
      <c r="AB762" s="1488"/>
      <c r="AC762" s="1488"/>
      <c r="AD762" s="1488"/>
      <c r="AE762" s="1488"/>
      <c r="AF762" s="1488"/>
      <c r="AG762" s="1488"/>
      <c r="AH762" s="1451">
        <f t="shared" si="416"/>
        <v>0</v>
      </c>
      <c r="AI762" s="1488"/>
      <c r="AJ762" s="1488"/>
      <c r="AK762" s="1488"/>
      <c r="AL762" s="1488"/>
      <c r="AM762" s="1488"/>
      <c r="AN762" s="1488"/>
      <c r="AO762" s="1488"/>
      <c r="AP762" s="1488"/>
      <c r="AQ762" s="1488"/>
      <c r="AR762" s="1488"/>
      <c r="AS762" s="1488"/>
      <c r="AT762" s="1542"/>
      <c r="AU762" s="1599">
        <f t="shared" si="417"/>
        <v>0</v>
      </c>
      <c r="AV762" s="1544">
        <f t="shared" si="445"/>
        <v>0</v>
      </c>
      <c r="AW762" s="1452">
        <f t="shared" si="418"/>
        <v>0</v>
      </c>
      <c r="AX762" s="1452">
        <f t="shared" si="419"/>
        <v>0</v>
      </c>
      <c r="AY762" s="1452">
        <f t="shared" si="420"/>
        <v>0</v>
      </c>
      <c r="AZ762" s="1452">
        <f t="shared" si="421"/>
        <v>0</v>
      </c>
      <c r="BA762" s="1452">
        <f t="shared" si="422"/>
        <v>0</v>
      </c>
      <c r="BB762" s="1452">
        <f t="shared" si="423"/>
        <v>0</v>
      </c>
      <c r="BC762" s="1452">
        <f t="shared" si="424"/>
        <v>0</v>
      </c>
      <c r="BD762" s="1452">
        <f t="shared" si="425"/>
        <v>0</v>
      </c>
      <c r="BE762" s="1452">
        <f t="shared" si="426"/>
        <v>0</v>
      </c>
      <c r="BF762" s="1452">
        <f t="shared" si="427"/>
        <v>0</v>
      </c>
      <c r="BG762" s="1452">
        <f t="shared" si="428"/>
        <v>0</v>
      </c>
      <c r="BH762" s="1452">
        <f t="shared" si="429"/>
        <v>0</v>
      </c>
      <c r="BI762" s="1452">
        <f t="shared" si="446"/>
        <v>0</v>
      </c>
      <c r="BJ762" s="1452" t="str">
        <f t="shared" si="430"/>
        <v/>
      </c>
      <c r="BK762" s="1452" t="str">
        <f t="shared" si="431"/>
        <v/>
      </c>
      <c r="BL762" s="1452" t="str">
        <f t="shared" si="432"/>
        <v/>
      </c>
      <c r="BM762" s="1452" t="str">
        <f t="shared" si="433"/>
        <v/>
      </c>
      <c r="BN762" s="1452" t="str">
        <f t="shared" ca="1" si="434"/>
        <v/>
      </c>
      <c r="BO762" s="1452" t="str">
        <f t="shared" si="447"/>
        <v/>
      </c>
      <c r="BP762" s="1452" t="str">
        <f t="shared" si="435"/>
        <v/>
      </c>
      <c r="BQ762" s="1452" t="str">
        <f t="shared" si="436"/>
        <v/>
      </c>
      <c r="BR762" s="1452" t="str">
        <f t="shared" si="437"/>
        <v/>
      </c>
      <c r="BS762" s="1452" t="str">
        <f t="shared" si="438"/>
        <v/>
      </c>
      <c r="BT762" s="1452" t="str">
        <f t="shared" si="439"/>
        <v/>
      </c>
      <c r="BU762" s="1452" t="str">
        <f t="shared" si="440"/>
        <v/>
      </c>
      <c r="BV762" s="1452" t="str">
        <f t="shared" si="441"/>
        <v/>
      </c>
      <c r="BW762" s="1558">
        <f t="shared" ca="1" si="448"/>
        <v>0</v>
      </c>
    </row>
    <row r="763" spans="1:75" s="9" customFormat="1" ht="12.5">
      <c r="A763" s="1483" t="str">
        <f t="shared" si="442"/>
        <v>Public Health Wales Trust</v>
      </c>
      <c r="B763" s="1583"/>
      <c r="C763" s="1583"/>
      <c r="D763" s="1583"/>
      <c r="E763" s="1581"/>
      <c r="F763" s="1436"/>
      <c r="G763" s="1547">
        <f t="shared" si="443"/>
        <v>0</v>
      </c>
      <c r="H763" s="1484"/>
      <c r="I763" s="1547">
        <f t="shared" si="444"/>
        <v>0</v>
      </c>
      <c r="J763" s="1485"/>
      <c r="K763" s="1485"/>
      <c r="L763" s="1436"/>
      <c r="M763" s="1439"/>
      <c r="N763" s="1439"/>
      <c r="O763" s="1485"/>
      <c r="P763" s="1486"/>
      <c r="Q763" s="1486"/>
      <c r="R763" s="1487"/>
      <c r="S763" s="1444"/>
      <c r="T763" s="1444"/>
      <c r="U763" s="1444"/>
      <c r="V763" s="1488"/>
      <c r="W763" s="1488"/>
      <c r="X763" s="1488"/>
      <c r="Y763" s="1488"/>
      <c r="Z763" s="1488"/>
      <c r="AA763" s="1488"/>
      <c r="AB763" s="1488"/>
      <c r="AC763" s="1488"/>
      <c r="AD763" s="1488"/>
      <c r="AE763" s="1488"/>
      <c r="AF763" s="1488"/>
      <c r="AG763" s="1488"/>
      <c r="AH763" s="1451">
        <f t="shared" si="416"/>
        <v>0</v>
      </c>
      <c r="AI763" s="1488"/>
      <c r="AJ763" s="1488"/>
      <c r="AK763" s="1488"/>
      <c r="AL763" s="1488"/>
      <c r="AM763" s="1488"/>
      <c r="AN763" s="1488"/>
      <c r="AO763" s="1488"/>
      <c r="AP763" s="1488"/>
      <c r="AQ763" s="1488"/>
      <c r="AR763" s="1488"/>
      <c r="AS763" s="1488"/>
      <c r="AT763" s="1542"/>
      <c r="AU763" s="1599">
        <f t="shared" si="417"/>
        <v>0</v>
      </c>
      <c r="AV763" s="1544">
        <f t="shared" si="445"/>
        <v>0</v>
      </c>
      <c r="AW763" s="1452">
        <f t="shared" si="418"/>
        <v>0</v>
      </c>
      <c r="AX763" s="1452">
        <f t="shared" si="419"/>
        <v>0</v>
      </c>
      <c r="AY763" s="1452">
        <f t="shared" si="420"/>
        <v>0</v>
      </c>
      <c r="AZ763" s="1452">
        <f t="shared" si="421"/>
        <v>0</v>
      </c>
      <c r="BA763" s="1452">
        <f t="shared" si="422"/>
        <v>0</v>
      </c>
      <c r="BB763" s="1452">
        <f t="shared" si="423"/>
        <v>0</v>
      </c>
      <c r="BC763" s="1452">
        <f t="shared" si="424"/>
        <v>0</v>
      </c>
      <c r="BD763" s="1452">
        <f t="shared" si="425"/>
        <v>0</v>
      </c>
      <c r="BE763" s="1452">
        <f t="shared" si="426"/>
        <v>0</v>
      </c>
      <c r="BF763" s="1452">
        <f t="shared" si="427"/>
        <v>0</v>
      </c>
      <c r="BG763" s="1452">
        <f t="shared" si="428"/>
        <v>0</v>
      </c>
      <c r="BH763" s="1452">
        <f t="shared" si="429"/>
        <v>0</v>
      </c>
      <c r="BI763" s="1452">
        <f t="shared" si="446"/>
        <v>0</v>
      </c>
      <c r="BJ763" s="1452" t="str">
        <f t="shared" si="430"/>
        <v/>
      </c>
      <c r="BK763" s="1452" t="str">
        <f t="shared" si="431"/>
        <v/>
      </c>
      <c r="BL763" s="1452" t="str">
        <f t="shared" si="432"/>
        <v/>
      </c>
      <c r="BM763" s="1452" t="str">
        <f t="shared" si="433"/>
        <v/>
      </c>
      <c r="BN763" s="1452" t="str">
        <f t="shared" ca="1" si="434"/>
        <v/>
      </c>
      <c r="BO763" s="1452" t="str">
        <f t="shared" si="447"/>
        <v/>
      </c>
      <c r="BP763" s="1452" t="str">
        <f t="shared" si="435"/>
        <v/>
      </c>
      <c r="BQ763" s="1452" t="str">
        <f t="shared" si="436"/>
        <v/>
      </c>
      <c r="BR763" s="1452" t="str">
        <f t="shared" si="437"/>
        <v/>
      </c>
      <c r="BS763" s="1452" t="str">
        <f t="shared" si="438"/>
        <v/>
      </c>
      <c r="BT763" s="1452" t="str">
        <f t="shared" si="439"/>
        <v/>
      </c>
      <c r="BU763" s="1452" t="str">
        <f t="shared" si="440"/>
        <v/>
      </c>
      <c r="BV763" s="1452" t="str">
        <f t="shared" si="441"/>
        <v/>
      </c>
      <c r="BW763" s="1558">
        <f t="shared" ca="1" si="448"/>
        <v>0</v>
      </c>
    </row>
    <row r="764" spans="1:75" s="9" customFormat="1" ht="12.5">
      <c r="A764" s="1483" t="str">
        <f t="shared" si="442"/>
        <v>Public Health Wales Trust</v>
      </c>
      <c r="B764" s="1583"/>
      <c r="C764" s="1583"/>
      <c r="D764" s="1583"/>
      <c r="E764" s="1581"/>
      <c r="F764" s="1436"/>
      <c r="G764" s="1547">
        <f t="shared" si="443"/>
        <v>0</v>
      </c>
      <c r="H764" s="1484"/>
      <c r="I764" s="1547">
        <f t="shared" si="444"/>
        <v>0</v>
      </c>
      <c r="J764" s="1485"/>
      <c r="K764" s="1485"/>
      <c r="L764" s="1436"/>
      <c r="M764" s="1439"/>
      <c r="N764" s="1439"/>
      <c r="O764" s="1485"/>
      <c r="P764" s="1486"/>
      <c r="Q764" s="1486"/>
      <c r="R764" s="1487"/>
      <c r="S764" s="1444"/>
      <c r="T764" s="1444"/>
      <c r="U764" s="1444"/>
      <c r="V764" s="1488"/>
      <c r="W764" s="1488"/>
      <c r="X764" s="1488"/>
      <c r="Y764" s="1488"/>
      <c r="Z764" s="1488"/>
      <c r="AA764" s="1488"/>
      <c r="AB764" s="1488"/>
      <c r="AC764" s="1488"/>
      <c r="AD764" s="1488"/>
      <c r="AE764" s="1488"/>
      <c r="AF764" s="1488"/>
      <c r="AG764" s="1488"/>
      <c r="AH764" s="1451">
        <f t="shared" si="416"/>
        <v>0</v>
      </c>
      <c r="AI764" s="1488"/>
      <c r="AJ764" s="1488"/>
      <c r="AK764" s="1488"/>
      <c r="AL764" s="1488"/>
      <c r="AM764" s="1488"/>
      <c r="AN764" s="1488"/>
      <c r="AO764" s="1488"/>
      <c r="AP764" s="1488"/>
      <c r="AQ764" s="1488"/>
      <c r="AR764" s="1488"/>
      <c r="AS764" s="1488"/>
      <c r="AT764" s="1542"/>
      <c r="AU764" s="1599">
        <f t="shared" si="417"/>
        <v>0</v>
      </c>
      <c r="AV764" s="1544">
        <f t="shared" si="445"/>
        <v>0</v>
      </c>
      <c r="AW764" s="1452">
        <f t="shared" si="418"/>
        <v>0</v>
      </c>
      <c r="AX764" s="1452">
        <f t="shared" si="419"/>
        <v>0</v>
      </c>
      <c r="AY764" s="1452">
        <f t="shared" si="420"/>
        <v>0</v>
      </c>
      <c r="AZ764" s="1452">
        <f t="shared" si="421"/>
        <v>0</v>
      </c>
      <c r="BA764" s="1452">
        <f t="shared" si="422"/>
        <v>0</v>
      </c>
      <c r="BB764" s="1452">
        <f t="shared" si="423"/>
        <v>0</v>
      </c>
      <c r="BC764" s="1452">
        <f t="shared" si="424"/>
        <v>0</v>
      </c>
      <c r="BD764" s="1452">
        <f t="shared" si="425"/>
        <v>0</v>
      </c>
      <c r="BE764" s="1452">
        <f t="shared" si="426"/>
        <v>0</v>
      </c>
      <c r="BF764" s="1452">
        <f t="shared" si="427"/>
        <v>0</v>
      </c>
      <c r="BG764" s="1452">
        <f t="shared" si="428"/>
        <v>0</v>
      </c>
      <c r="BH764" s="1452">
        <f t="shared" si="429"/>
        <v>0</v>
      </c>
      <c r="BI764" s="1452">
        <f t="shared" si="446"/>
        <v>0</v>
      </c>
      <c r="BJ764" s="1452" t="str">
        <f t="shared" si="430"/>
        <v/>
      </c>
      <c r="BK764" s="1452" t="str">
        <f t="shared" si="431"/>
        <v/>
      </c>
      <c r="BL764" s="1452" t="str">
        <f t="shared" si="432"/>
        <v/>
      </c>
      <c r="BM764" s="1452" t="str">
        <f t="shared" si="433"/>
        <v/>
      </c>
      <c r="BN764" s="1452" t="str">
        <f t="shared" ca="1" si="434"/>
        <v/>
      </c>
      <c r="BO764" s="1452" t="str">
        <f t="shared" si="447"/>
        <v/>
      </c>
      <c r="BP764" s="1452" t="str">
        <f t="shared" si="435"/>
        <v/>
      </c>
      <c r="BQ764" s="1452" t="str">
        <f t="shared" si="436"/>
        <v/>
      </c>
      <c r="BR764" s="1452" t="str">
        <f t="shared" si="437"/>
        <v/>
      </c>
      <c r="BS764" s="1452" t="str">
        <f t="shared" si="438"/>
        <v/>
      </c>
      <c r="BT764" s="1452" t="str">
        <f t="shared" si="439"/>
        <v/>
      </c>
      <c r="BU764" s="1452" t="str">
        <f t="shared" si="440"/>
        <v/>
      </c>
      <c r="BV764" s="1452" t="str">
        <f t="shared" si="441"/>
        <v/>
      </c>
      <c r="BW764" s="1558">
        <f t="shared" ca="1" si="448"/>
        <v>0</v>
      </c>
    </row>
    <row r="765" spans="1:75" s="9" customFormat="1" ht="12.5">
      <c r="A765" s="1483" t="str">
        <f t="shared" si="442"/>
        <v>Public Health Wales Trust</v>
      </c>
      <c r="B765" s="1583"/>
      <c r="C765" s="1583"/>
      <c r="D765" s="1583"/>
      <c r="E765" s="1581"/>
      <c r="F765" s="1436"/>
      <c r="G765" s="1547">
        <f t="shared" si="443"/>
        <v>0</v>
      </c>
      <c r="H765" s="1484"/>
      <c r="I765" s="1547">
        <f t="shared" si="444"/>
        <v>0</v>
      </c>
      <c r="J765" s="1485"/>
      <c r="K765" s="1485"/>
      <c r="L765" s="1436"/>
      <c r="M765" s="1439"/>
      <c r="N765" s="1439"/>
      <c r="O765" s="1485"/>
      <c r="P765" s="1486"/>
      <c r="Q765" s="1486"/>
      <c r="R765" s="1487"/>
      <c r="S765" s="1444"/>
      <c r="T765" s="1444"/>
      <c r="U765" s="1444"/>
      <c r="V765" s="1488"/>
      <c r="W765" s="1488"/>
      <c r="X765" s="1488"/>
      <c r="Y765" s="1488"/>
      <c r="Z765" s="1488"/>
      <c r="AA765" s="1488"/>
      <c r="AB765" s="1488"/>
      <c r="AC765" s="1488"/>
      <c r="AD765" s="1488"/>
      <c r="AE765" s="1488"/>
      <c r="AF765" s="1488"/>
      <c r="AG765" s="1488"/>
      <c r="AH765" s="1451">
        <f t="shared" si="416"/>
        <v>0</v>
      </c>
      <c r="AI765" s="1488"/>
      <c r="AJ765" s="1488"/>
      <c r="AK765" s="1488"/>
      <c r="AL765" s="1488"/>
      <c r="AM765" s="1488"/>
      <c r="AN765" s="1488"/>
      <c r="AO765" s="1488"/>
      <c r="AP765" s="1488"/>
      <c r="AQ765" s="1488"/>
      <c r="AR765" s="1488"/>
      <c r="AS765" s="1488"/>
      <c r="AT765" s="1542"/>
      <c r="AU765" s="1599">
        <f t="shared" si="417"/>
        <v>0</v>
      </c>
      <c r="AV765" s="1544">
        <f t="shared" si="445"/>
        <v>0</v>
      </c>
      <c r="AW765" s="1452">
        <f t="shared" si="418"/>
        <v>0</v>
      </c>
      <c r="AX765" s="1452">
        <f t="shared" si="419"/>
        <v>0</v>
      </c>
      <c r="AY765" s="1452">
        <f t="shared" si="420"/>
        <v>0</v>
      </c>
      <c r="AZ765" s="1452">
        <f t="shared" si="421"/>
        <v>0</v>
      </c>
      <c r="BA765" s="1452">
        <f t="shared" si="422"/>
        <v>0</v>
      </c>
      <c r="BB765" s="1452">
        <f t="shared" si="423"/>
        <v>0</v>
      </c>
      <c r="BC765" s="1452">
        <f t="shared" si="424"/>
        <v>0</v>
      </c>
      <c r="BD765" s="1452">
        <f t="shared" si="425"/>
        <v>0</v>
      </c>
      <c r="BE765" s="1452">
        <f t="shared" si="426"/>
        <v>0</v>
      </c>
      <c r="BF765" s="1452">
        <f t="shared" si="427"/>
        <v>0</v>
      </c>
      <c r="BG765" s="1452">
        <f t="shared" si="428"/>
        <v>0</v>
      </c>
      <c r="BH765" s="1452">
        <f t="shared" si="429"/>
        <v>0</v>
      </c>
      <c r="BI765" s="1452">
        <f t="shared" si="446"/>
        <v>0</v>
      </c>
      <c r="BJ765" s="1452" t="str">
        <f t="shared" si="430"/>
        <v/>
      </c>
      <c r="BK765" s="1452" t="str">
        <f t="shared" si="431"/>
        <v/>
      </c>
      <c r="BL765" s="1452" t="str">
        <f t="shared" si="432"/>
        <v/>
      </c>
      <c r="BM765" s="1452" t="str">
        <f t="shared" si="433"/>
        <v/>
      </c>
      <c r="BN765" s="1452" t="str">
        <f t="shared" ca="1" si="434"/>
        <v/>
      </c>
      <c r="BO765" s="1452" t="str">
        <f t="shared" si="447"/>
        <v/>
      </c>
      <c r="BP765" s="1452" t="str">
        <f t="shared" si="435"/>
        <v/>
      </c>
      <c r="BQ765" s="1452" t="str">
        <f t="shared" si="436"/>
        <v/>
      </c>
      <c r="BR765" s="1452" t="str">
        <f t="shared" si="437"/>
        <v/>
      </c>
      <c r="BS765" s="1452" t="str">
        <f t="shared" si="438"/>
        <v/>
      </c>
      <c r="BT765" s="1452" t="str">
        <f t="shared" si="439"/>
        <v/>
      </c>
      <c r="BU765" s="1452" t="str">
        <f t="shared" si="440"/>
        <v/>
      </c>
      <c r="BV765" s="1452" t="str">
        <f t="shared" si="441"/>
        <v/>
      </c>
      <c r="BW765" s="1558">
        <f t="shared" ca="1" si="448"/>
        <v>0</v>
      </c>
    </row>
    <row r="766" spans="1:75" s="9" customFormat="1" ht="12.5">
      <c r="A766" s="1483" t="str">
        <f t="shared" si="442"/>
        <v>Public Health Wales Trust</v>
      </c>
      <c r="B766" s="1583"/>
      <c r="C766" s="1583"/>
      <c r="D766" s="1583"/>
      <c r="E766" s="1581"/>
      <c r="F766" s="1436"/>
      <c r="G766" s="1547">
        <f t="shared" si="443"/>
        <v>0</v>
      </c>
      <c r="H766" s="1484"/>
      <c r="I766" s="1547">
        <f t="shared" si="444"/>
        <v>0</v>
      </c>
      <c r="J766" s="1485"/>
      <c r="K766" s="1485"/>
      <c r="L766" s="1436"/>
      <c r="M766" s="1439"/>
      <c r="N766" s="1439"/>
      <c r="O766" s="1485"/>
      <c r="P766" s="1486"/>
      <c r="Q766" s="1486"/>
      <c r="R766" s="1487"/>
      <c r="S766" s="1444"/>
      <c r="T766" s="1444"/>
      <c r="U766" s="1444"/>
      <c r="V766" s="1488"/>
      <c r="W766" s="1488"/>
      <c r="X766" s="1488"/>
      <c r="Y766" s="1488"/>
      <c r="Z766" s="1488"/>
      <c r="AA766" s="1488"/>
      <c r="AB766" s="1488"/>
      <c r="AC766" s="1488"/>
      <c r="AD766" s="1488"/>
      <c r="AE766" s="1488"/>
      <c r="AF766" s="1488"/>
      <c r="AG766" s="1488"/>
      <c r="AH766" s="1451">
        <f t="shared" si="416"/>
        <v>0</v>
      </c>
      <c r="AI766" s="1488"/>
      <c r="AJ766" s="1488"/>
      <c r="AK766" s="1488"/>
      <c r="AL766" s="1488"/>
      <c r="AM766" s="1488"/>
      <c r="AN766" s="1488"/>
      <c r="AO766" s="1488"/>
      <c r="AP766" s="1488"/>
      <c r="AQ766" s="1488"/>
      <c r="AR766" s="1488"/>
      <c r="AS766" s="1488"/>
      <c r="AT766" s="1542"/>
      <c r="AU766" s="1599">
        <f t="shared" si="417"/>
        <v>0</v>
      </c>
      <c r="AV766" s="1544">
        <f t="shared" si="445"/>
        <v>0</v>
      </c>
      <c r="AW766" s="1452">
        <f t="shared" si="418"/>
        <v>0</v>
      </c>
      <c r="AX766" s="1452">
        <f t="shared" si="419"/>
        <v>0</v>
      </c>
      <c r="AY766" s="1452">
        <f t="shared" si="420"/>
        <v>0</v>
      </c>
      <c r="AZ766" s="1452">
        <f t="shared" si="421"/>
        <v>0</v>
      </c>
      <c r="BA766" s="1452">
        <f t="shared" si="422"/>
        <v>0</v>
      </c>
      <c r="BB766" s="1452">
        <f t="shared" si="423"/>
        <v>0</v>
      </c>
      <c r="BC766" s="1452">
        <f t="shared" si="424"/>
        <v>0</v>
      </c>
      <c r="BD766" s="1452">
        <f t="shared" si="425"/>
        <v>0</v>
      </c>
      <c r="BE766" s="1452">
        <f t="shared" si="426"/>
        <v>0</v>
      </c>
      <c r="BF766" s="1452">
        <f t="shared" si="427"/>
        <v>0</v>
      </c>
      <c r="BG766" s="1452">
        <f t="shared" si="428"/>
        <v>0</v>
      </c>
      <c r="BH766" s="1452">
        <f t="shared" si="429"/>
        <v>0</v>
      </c>
      <c r="BI766" s="1452">
        <f t="shared" si="446"/>
        <v>0</v>
      </c>
      <c r="BJ766" s="1452" t="str">
        <f t="shared" si="430"/>
        <v/>
      </c>
      <c r="BK766" s="1452" t="str">
        <f t="shared" si="431"/>
        <v/>
      </c>
      <c r="BL766" s="1452" t="str">
        <f t="shared" si="432"/>
        <v/>
      </c>
      <c r="BM766" s="1452" t="str">
        <f t="shared" si="433"/>
        <v/>
      </c>
      <c r="BN766" s="1452" t="str">
        <f t="shared" ca="1" si="434"/>
        <v/>
      </c>
      <c r="BO766" s="1452" t="str">
        <f t="shared" si="447"/>
        <v/>
      </c>
      <c r="BP766" s="1452" t="str">
        <f t="shared" si="435"/>
        <v/>
      </c>
      <c r="BQ766" s="1452" t="str">
        <f t="shared" si="436"/>
        <v/>
      </c>
      <c r="BR766" s="1452" t="str">
        <f t="shared" si="437"/>
        <v/>
      </c>
      <c r="BS766" s="1452" t="str">
        <f t="shared" si="438"/>
        <v/>
      </c>
      <c r="BT766" s="1452" t="str">
        <f t="shared" si="439"/>
        <v/>
      </c>
      <c r="BU766" s="1452" t="str">
        <f t="shared" si="440"/>
        <v/>
      </c>
      <c r="BV766" s="1452" t="str">
        <f t="shared" si="441"/>
        <v/>
      </c>
      <c r="BW766" s="1558">
        <f t="shared" ca="1" si="448"/>
        <v>0</v>
      </c>
    </row>
    <row r="767" spans="1:75" s="9" customFormat="1" ht="12.5">
      <c r="A767" s="1483" t="str">
        <f t="shared" si="442"/>
        <v>Public Health Wales Trust</v>
      </c>
      <c r="B767" s="1583"/>
      <c r="C767" s="1583"/>
      <c r="D767" s="1583"/>
      <c r="E767" s="1581"/>
      <c r="F767" s="1436"/>
      <c r="G767" s="1547">
        <f t="shared" si="443"/>
        <v>0</v>
      </c>
      <c r="H767" s="1484"/>
      <c r="I767" s="1547">
        <f t="shared" si="444"/>
        <v>0</v>
      </c>
      <c r="J767" s="1485"/>
      <c r="K767" s="1485"/>
      <c r="L767" s="1436"/>
      <c r="M767" s="1439"/>
      <c r="N767" s="1439"/>
      <c r="O767" s="1485"/>
      <c r="P767" s="1486"/>
      <c r="Q767" s="1486"/>
      <c r="R767" s="1487"/>
      <c r="S767" s="1444"/>
      <c r="T767" s="1444"/>
      <c r="U767" s="1444"/>
      <c r="V767" s="1488"/>
      <c r="W767" s="1488"/>
      <c r="X767" s="1488"/>
      <c r="Y767" s="1488"/>
      <c r="Z767" s="1488"/>
      <c r="AA767" s="1488"/>
      <c r="AB767" s="1488"/>
      <c r="AC767" s="1488"/>
      <c r="AD767" s="1488"/>
      <c r="AE767" s="1488"/>
      <c r="AF767" s="1488"/>
      <c r="AG767" s="1488"/>
      <c r="AH767" s="1451">
        <f t="shared" si="416"/>
        <v>0</v>
      </c>
      <c r="AI767" s="1488"/>
      <c r="AJ767" s="1488"/>
      <c r="AK767" s="1488"/>
      <c r="AL767" s="1488"/>
      <c r="AM767" s="1488"/>
      <c r="AN767" s="1488"/>
      <c r="AO767" s="1488"/>
      <c r="AP767" s="1488"/>
      <c r="AQ767" s="1488"/>
      <c r="AR767" s="1488"/>
      <c r="AS767" s="1488"/>
      <c r="AT767" s="1542"/>
      <c r="AU767" s="1599">
        <f t="shared" si="417"/>
        <v>0</v>
      </c>
      <c r="AV767" s="1544">
        <f t="shared" si="445"/>
        <v>0</v>
      </c>
      <c r="AW767" s="1452">
        <f t="shared" si="418"/>
        <v>0</v>
      </c>
      <c r="AX767" s="1452">
        <f t="shared" si="419"/>
        <v>0</v>
      </c>
      <c r="AY767" s="1452">
        <f t="shared" si="420"/>
        <v>0</v>
      </c>
      <c r="AZ767" s="1452">
        <f t="shared" si="421"/>
        <v>0</v>
      </c>
      <c r="BA767" s="1452">
        <f t="shared" si="422"/>
        <v>0</v>
      </c>
      <c r="BB767" s="1452">
        <f t="shared" si="423"/>
        <v>0</v>
      </c>
      <c r="BC767" s="1452">
        <f t="shared" si="424"/>
        <v>0</v>
      </c>
      <c r="BD767" s="1452">
        <f t="shared" si="425"/>
        <v>0</v>
      </c>
      <c r="BE767" s="1452">
        <f t="shared" si="426"/>
        <v>0</v>
      </c>
      <c r="BF767" s="1452">
        <f t="shared" si="427"/>
        <v>0</v>
      </c>
      <c r="BG767" s="1452">
        <f t="shared" si="428"/>
        <v>0</v>
      </c>
      <c r="BH767" s="1452">
        <f t="shared" si="429"/>
        <v>0</v>
      </c>
      <c r="BI767" s="1452">
        <f t="shared" si="446"/>
        <v>0</v>
      </c>
      <c r="BJ767" s="1452" t="str">
        <f t="shared" si="430"/>
        <v/>
      </c>
      <c r="BK767" s="1452" t="str">
        <f t="shared" si="431"/>
        <v/>
      </c>
      <c r="BL767" s="1452" t="str">
        <f t="shared" si="432"/>
        <v/>
      </c>
      <c r="BM767" s="1452" t="str">
        <f t="shared" si="433"/>
        <v/>
      </c>
      <c r="BN767" s="1452" t="str">
        <f t="shared" ca="1" si="434"/>
        <v/>
      </c>
      <c r="BO767" s="1452" t="str">
        <f t="shared" si="447"/>
        <v/>
      </c>
      <c r="BP767" s="1452" t="str">
        <f t="shared" si="435"/>
        <v/>
      </c>
      <c r="BQ767" s="1452" t="str">
        <f t="shared" si="436"/>
        <v/>
      </c>
      <c r="BR767" s="1452" t="str">
        <f t="shared" si="437"/>
        <v/>
      </c>
      <c r="BS767" s="1452" t="str">
        <f t="shared" si="438"/>
        <v/>
      </c>
      <c r="BT767" s="1452" t="str">
        <f t="shared" si="439"/>
        <v/>
      </c>
      <c r="BU767" s="1452" t="str">
        <f t="shared" si="440"/>
        <v/>
      </c>
      <c r="BV767" s="1452" t="str">
        <f t="shared" si="441"/>
        <v/>
      </c>
      <c r="BW767" s="1558">
        <f t="shared" ca="1" si="448"/>
        <v>0</v>
      </c>
    </row>
    <row r="768" spans="1:75" s="9" customFormat="1" ht="12.5">
      <c r="A768" s="1483" t="str">
        <f t="shared" si="442"/>
        <v>Public Health Wales Trust</v>
      </c>
      <c r="B768" s="1583"/>
      <c r="C768" s="1583"/>
      <c r="D768" s="1583"/>
      <c r="E768" s="1581"/>
      <c r="F768" s="1436"/>
      <c r="G768" s="1547">
        <f t="shared" si="443"/>
        <v>0</v>
      </c>
      <c r="H768" s="1484"/>
      <c r="I768" s="1547">
        <f t="shared" si="444"/>
        <v>0</v>
      </c>
      <c r="J768" s="1485"/>
      <c r="K768" s="1485"/>
      <c r="L768" s="1436"/>
      <c r="M768" s="1439"/>
      <c r="N768" s="1439"/>
      <c r="O768" s="1485"/>
      <c r="P768" s="1486"/>
      <c r="Q768" s="1486"/>
      <c r="R768" s="1487"/>
      <c r="S768" s="1444"/>
      <c r="T768" s="1444"/>
      <c r="U768" s="1444"/>
      <c r="V768" s="1488"/>
      <c r="W768" s="1488"/>
      <c r="X768" s="1488"/>
      <c r="Y768" s="1488"/>
      <c r="Z768" s="1488"/>
      <c r="AA768" s="1488"/>
      <c r="AB768" s="1488"/>
      <c r="AC768" s="1488"/>
      <c r="AD768" s="1488"/>
      <c r="AE768" s="1488"/>
      <c r="AF768" s="1488"/>
      <c r="AG768" s="1488"/>
      <c r="AH768" s="1451">
        <f t="shared" si="416"/>
        <v>0</v>
      </c>
      <c r="AI768" s="1488"/>
      <c r="AJ768" s="1488"/>
      <c r="AK768" s="1488"/>
      <c r="AL768" s="1488"/>
      <c r="AM768" s="1488"/>
      <c r="AN768" s="1488"/>
      <c r="AO768" s="1488"/>
      <c r="AP768" s="1488"/>
      <c r="AQ768" s="1488"/>
      <c r="AR768" s="1488"/>
      <c r="AS768" s="1488"/>
      <c r="AT768" s="1542"/>
      <c r="AU768" s="1599">
        <f t="shared" si="417"/>
        <v>0</v>
      </c>
      <c r="AV768" s="1544">
        <f t="shared" si="445"/>
        <v>0</v>
      </c>
      <c r="AW768" s="1452">
        <f t="shared" si="418"/>
        <v>0</v>
      </c>
      <c r="AX768" s="1452">
        <f t="shared" si="419"/>
        <v>0</v>
      </c>
      <c r="AY768" s="1452">
        <f t="shared" si="420"/>
        <v>0</v>
      </c>
      <c r="AZ768" s="1452">
        <f t="shared" si="421"/>
        <v>0</v>
      </c>
      <c r="BA768" s="1452">
        <f t="shared" si="422"/>
        <v>0</v>
      </c>
      <c r="BB768" s="1452">
        <f t="shared" si="423"/>
        <v>0</v>
      </c>
      <c r="BC768" s="1452">
        <f t="shared" si="424"/>
        <v>0</v>
      </c>
      <c r="BD768" s="1452">
        <f t="shared" si="425"/>
        <v>0</v>
      </c>
      <c r="BE768" s="1452">
        <f t="shared" si="426"/>
        <v>0</v>
      </c>
      <c r="BF768" s="1452">
        <f t="shared" si="427"/>
        <v>0</v>
      </c>
      <c r="BG768" s="1452">
        <f t="shared" si="428"/>
        <v>0</v>
      </c>
      <c r="BH768" s="1452">
        <f t="shared" si="429"/>
        <v>0</v>
      </c>
      <c r="BI768" s="1452">
        <f t="shared" si="446"/>
        <v>0</v>
      </c>
      <c r="BJ768" s="1452" t="str">
        <f t="shared" si="430"/>
        <v/>
      </c>
      <c r="BK768" s="1452" t="str">
        <f t="shared" si="431"/>
        <v/>
      </c>
      <c r="BL768" s="1452" t="str">
        <f t="shared" si="432"/>
        <v/>
      </c>
      <c r="BM768" s="1452" t="str">
        <f t="shared" si="433"/>
        <v/>
      </c>
      <c r="BN768" s="1452" t="str">
        <f t="shared" ca="1" si="434"/>
        <v/>
      </c>
      <c r="BO768" s="1452" t="str">
        <f t="shared" si="447"/>
        <v/>
      </c>
      <c r="BP768" s="1452" t="str">
        <f t="shared" si="435"/>
        <v/>
      </c>
      <c r="BQ768" s="1452" t="str">
        <f t="shared" si="436"/>
        <v/>
      </c>
      <c r="BR768" s="1452" t="str">
        <f t="shared" si="437"/>
        <v/>
      </c>
      <c r="BS768" s="1452" t="str">
        <f t="shared" si="438"/>
        <v/>
      </c>
      <c r="BT768" s="1452" t="str">
        <f t="shared" si="439"/>
        <v/>
      </c>
      <c r="BU768" s="1452" t="str">
        <f t="shared" si="440"/>
        <v/>
      </c>
      <c r="BV768" s="1452" t="str">
        <f t="shared" si="441"/>
        <v/>
      </c>
      <c r="BW768" s="1558">
        <f t="shared" ca="1" si="448"/>
        <v>0</v>
      </c>
    </row>
    <row r="769" spans="1:75" s="9" customFormat="1" ht="12.5">
      <c r="A769" s="1483" t="str">
        <f t="shared" si="442"/>
        <v>Public Health Wales Trust</v>
      </c>
      <c r="B769" s="1583"/>
      <c r="C769" s="1583"/>
      <c r="D769" s="1583"/>
      <c r="E769" s="1581"/>
      <c r="F769" s="1436"/>
      <c r="G769" s="1547">
        <f t="shared" si="443"/>
        <v>0</v>
      </c>
      <c r="H769" s="1484"/>
      <c r="I769" s="1547">
        <f t="shared" si="444"/>
        <v>0</v>
      </c>
      <c r="J769" s="1485"/>
      <c r="K769" s="1485"/>
      <c r="L769" s="1436"/>
      <c r="M769" s="1439"/>
      <c r="N769" s="1439"/>
      <c r="O769" s="1485"/>
      <c r="P769" s="1486"/>
      <c r="Q769" s="1486"/>
      <c r="R769" s="1487"/>
      <c r="S769" s="1444"/>
      <c r="T769" s="1444"/>
      <c r="U769" s="1444"/>
      <c r="V769" s="1488"/>
      <c r="W769" s="1488"/>
      <c r="X769" s="1488"/>
      <c r="Y769" s="1488"/>
      <c r="Z769" s="1488"/>
      <c r="AA769" s="1488"/>
      <c r="AB769" s="1488"/>
      <c r="AC769" s="1488"/>
      <c r="AD769" s="1488"/>
      <c r="AE769" s="1488"/>
      <c r="AF769" s="1488"/>
      <c r="AG769" s="1488"/>
      <c r="AH769" s="1451">
        <f t="shared" si="416"/>
        <v>0</v>
      </c>
      <c r="AI769" s="1488"/>
      <c r="AJ769" s="1488"/>
      <c r="AK769" s="1488"/>
      <c r="AL769" s="1488"/>
      <c r="AM769" s="1488"/>
      <c r="AN769" s="1488"/>
      <c r="AO769" s="1488"/>
      <c r="AP769" s="1488"/>
      <c r="AQ769" s="1488"/>
      <c r="AR769" s="1488"/>
      <c r="AS769" s="1488"/>
      <c r="AT769" s="1542"/>
      <c r="AU769" s="1599">
        <f t="shared" si="417"/>
        <v>0</v>
      </c>
      <c r="AV769" s="1544">
        <f t="shared" si="445"/>
        <v>0</v>
      </c>
      <c r="AW769" s="1452">
        <f t="shared" si="418"/>
        <v>0</v>
      </c>
      <c r="AX769" s="1452">
        <f t="shared" si="419"/>
        <v>0</v>
      </c>
      <c r="AY769" s="1452">
        <f t="shared" si="420"/>
        <v>0</v>
      </c>
      <c r="AZ769" s="1452">
        <f t="shared" si="421"/>
        <v>0</v>
      </c>
      <c r="BA769" s="1452">
        <f t="shared" si="422"/>
        <v>0</v>
      </c>
      <c r="BB769" s="1452">
        <f t="shared" si="423"/>
        <v>0</v>
      </c>
      <c r="BC769" s="1452">
        <f t="shared" si="424"/>
        <v>0</v>
      </c>
      <c r="BD769" s="1452">
        <f t="shared" si="425"/>
        <v>0</v>
      </c>
      <c r="BE769" s="1452">
        <f t="shared" si="426"/>
        <v>0</v>
      </c>
      <c r="BF769" s="1452">
        <f t="shared" si="427"/>
        <v>0</v>
      </c>
      <c r="BG769" s="1452">
        <f t="shared" si="428"/>
        <v>0</v>
      </c>
      <c r="BH769" s="1452">
        <f t="shared" si="429"/>
        <v>0</v>
      </c>
      <c r="BI769" s="1452">
        <f t="shared" si="446"/>
        <v>0</v>
      </c>
      <c r="BJ769" s="1452" t="str">
        <f t="shared" si="430"/>
        <v/>
      </c>
      <c r="BK769" s="1452" t="str">
        <f t="shared" si="431"/>
        <v/>
      </c>
      <c r="BL769" s="1452" t="str">
        <f t="shared" si="432"/>
        <v/>
      </c>
      <c r="BM769" s="1452" t="str">
        <f t="shared" si="433"/>
        <v/>
      </c>
      <c r="BN769" s="1452" t="str">
        <f t="shared" ca="1" si="434"/>
        <v/>
      </c>
      <c r="BO769" s="1452" t="str">
        <f t="shared" si="447"/>
        <v/>
      </c>
      <c r="BP769" s="1452" t="str">
        <f t="shared" si="435"/>
        <v/>
      </c>
      <c r="BQ769" s="1452" t="str">
        <f t="shared" si="436"/>
        <v/>
      </c>
      <c r="BR769" s="1452" t="str">
        <f t="shared" si="437"/>
        <v/>
      </c>
      <c r="BS769" s="1452" t="str">
        <f t="shared" si="438"/>
        <v/>
      </c>
      <c r="BT769" s="1452" t="str">
        <f t="shared" si="439"/>
        <v/>
      </c>
      <c r="BU769" s="1452" t="str">
        <f t="shared" si="440"/>
        <v/>
      </c>
      <c r="BV769" s="1452" t="str">
        <f t="shared" si="441"/>
        <v/>
      </c>
      <c r="BW769" s="1558">
        <f t="shared" ca="1" si="448"/>
        <v>0</v>
      </c>
    </row>
    <row r="770" spans="1:75" s="9" customFormat="1" ht="12.5">
      <c r="A770" s="1483" t="str">
        <f t="shared" si="442"/>
        <v>Public Health Wales Trust</v>
      </c>
      <c r="B770" s="1583"/>
      <c r="C770" s="1583"/>
      <c r="D770" s="1583"/>
      <c r="E770" s="1581"/>
      <c r="F770" s="1436"/>
      <c r="G770" s="1547">
        <f t="shared" si="443"/>
        <v>0</v>
      </c>
      <c r="H770" s="1484"/>
      <c r="I770" s="1547">
        <f t="shared" si="444"/>
        <v>0</v>
      </c>
      <c r="J770" s="1485"/>
      <c r="K770" s="1485"/>
      <c r="L770" s="1436"/>
      <c r="M770" s="1439"/>
      <c r="N770" s="1439"/>
      <c r="O770" s="1485"/>
      <c r="P770" s="1486"/>
      <c r="Q770" s="1486"/>
      <c r="R770" s="1487"/>
      <c r="S770" s="1444"/>
      <c r="T770" s="1444"/>
      <c r="U770" s="1444"/>
      <c r="V770" s="1488"/>
      <c r="W770" s="1488"/>
      <c r="X770" s="1488"/>
      <c r="Y770" s="1488"/>
      <c r="Z770" s="1488"/>
      <c r="AA770" s="1488"/>
      <c r="AB770" s="1488"/>
      <c r="AC770" s="1488"/>
      <c r="AD770" s="1488"/>
      <c r="AE770" s="1488"/>
      <c r="AF770" s="1488"/>
      <c r="AG770" s="1488"/>
      <c r="AH770" s="1451">
        <f t="shared" si="416"/>
        <v>0</v>
      </c>
      <c r="AI770" s="1488"/>
      <c r="AJ770" s="1488"/>
      <c r="AK770" s="1488"/>
      <c r="AL770" s="1488"/>
      <c r="AM770" s="1488"/>
      <c r="AN770" s="1488"/>
      <c r="AO770" s="1488"/>
      <c r="AP770" s="1488"/>
      <c r="AQ770" s="1488"/>
      <c r="AR770" s="1488"/>
      <c r="AS770" s="1488"/>
      <c r="AT770" s="1542"/>
      <c r="AU770" s="1599">
        <f t="shared" si="417"/>
        <v>0</v>
      </c>
      <c r="AV770" s="1544">
        <f t="shared" si="445"/>
        <v>0</v>
      </c>
      <c r="AW770" s="1452">
        <f t="shared" si="418"/>
        <v>0</v>
      </c>
      <c r="AX770" s="1452">
        <f t="shared" si="419"/>
        <v>0</v>
      </c>
      <c r="AY770" s="1452">
        <f t="shared" si="420"/>
        <v>0</v>
      </c>
      <c r="AZ770" s="1452">
        <f t="shared" si="421"/>
        <v>0</v>
      </c>
      <c r="BA770" s="1452">
        <f t="shared" si="422"/>
        <v>0</v>
      </c>
      <c r="BB770" s="1452">
        <f t="shared" si="423"/>
        <v>0</v>
      </c>
      <c r="BC770" s="1452">
        <f t="shared" si="424"/>
        <v>0</v>
      </c>
      <c r="BD770" s="1452">
        <f t="shared" si="425"/>
        <v>0</v>
      </c>
      <c r="BE770" s="1452">
        <f t="shared" si="426"/>
        <v>0</v>
      </c>
      <c r="BF770" s="1452">
        <f t="shared" si="427"/>
        <v>0</v>
      </c>
      <c r="BG770" s="1452">
        <f t="shared" si="428"/>
        <v>0</v>
      </c>
      <c r="BH770" s="1452">
        <f t="shared" si="429"/>
        <v>0</v>
      </c>
      <c r="BI770" s="1452">
        <f t="shared" si="446"/>
        <v>0</v>
      </c>
      <c r="BJ770" s="1452" t="str">
        <f t="shared" si="430"/>
        <v/>
      </c>
      <c r="BK770" s="1452" t="str">
        <f t="shared" si="431"/>
        <v/>
      </c>
      <c r="BL770" s="1452" t="str">
        <f t="shared" si="432"/>
        <v/>
      </c>
      <c r="BM770" s="1452" t="str">
        <f t="shared" si="433"/>
        <v/>
      </c>
      <c r="BN770" s="1452" t="str">
        <f t="shared" ca="1" si="434"/>
        <v/>
      </c>
      <c r="BO770" s="1452" t="str">
        <f t="shared" si="447"/>
        <v/>
      </c>
      <c r="BP770" s="1452" t="str">
        <f t="shared" si="435"/>
        <v/>
      </c>
      <c r="BQ770" s="1452" t="str">
        <f t="shared" si="436"/>
        <v/>
      </c>
      <c r="BR770" s="1452" t="str">
        <f t="shared" si="437"/>
        <v/>
      </c>
      <c r="BS770" s="1452" t="str">
        <f t="shared" si="438"/>
        <v/>
      </c>
      <c r="BT770" s="1452" t="str">
        <f t="shared" si="439"/>
        <v/>
      </c>
      <c r="BU770" s="1452" t="str">
        <f t="shared" si="440"/>
        <v/>
      </c>
      <c r="BV770" s="1452" t="str">
        <f t="shared" si="441"/>
        <v/>
      </c>
      <c r="BW770" s="1558">
        <f t="shared" ca="1" si="448"/>
        <v>0</v>
      </c>
    </row>
    <row r="771" spans="1:75" s="9" customFormat="1" ht="12.5">
      <c r="A771" s="1483" t="str">
        <f t="shared" si="442"/>
        <v>Public Health Wales Trust</v>
      </c>
      <c r="B771" s="1583"/>
      <c r="C771" s="1583"/>
      <c r="D771" s="1583"/>
      <c r="E771" s="1581"/>
      <c r="F771" s="1436"/>
      <c r="G771" s="1547">
        <f t="shared" si="443"/>
        <v>0</v>
      </c>
      <c r="H771" s="1484"/>
      <c r="I771" s="1547">
        <f t="shared" si="444"/>
        <v>0</v>
      </c>
      <c r="J771" s="1485"/>
      <c r="K771" s="1485"/>
      <c r="L771" s="1436"/>
      <c r="M771" s="1439"/>
      <c r="N771" s="1439"/>
      <c r="O771" s="1485"/>
      <c r="P771" s="1486"/>
      <c r="Q771" s="1486"/>
      <c r="R771" s="1487"/>
      <c r="S771" s="1444"/>
      <c r="T771" s="1444"/>
      <c r="U771" s="1444"/>
      <c r="V771" s="1488"/>
      <c r="W771" s="1488"/>
      <c r="X771" s="1488"/>
      <c r="Y771" s="1488"/>
      <c r="Z771" s="1488"/>
      <c r="AA771" s="1488"/>
      <c r="AB771" s="1488"/>
      <c r="AC771" s="1488"/>
      <c r="AD771" s="1488"/>
      <c r="AE771" s="1488"/>
      <c r="AF771" s="1488"/>
      <c r="AG771" s="1488"/>
      <c r="AH771" s="1451">
        <f t="shared" si="416"/>
        <v>0</v>
      </c>
      <c r="AI771" s="1488"/>
      <c r="AJ771" s="1488"/>
      <c r="AK771" s="1488"/>
      <c r="AL771" s="1488"/>
      <c r="AM771" s="1488"/>
      <c r="AN771" s="1488"/>
      <c r="AO771" s="1488"/>
      <c r="AP771" s="1488"/>
      <c r="AQ771" s="1488"/>
      <c r="AR771" s="1488"/>
      <c r="AS771" s="1488"/>
      <c r="AT771" s="1542"/>
      <c r="AU771" s="1599">
        <f t="shared" si="417"/>
        <v>0</v>
      </c>
      <c r="AV771" s="1544">
        <f t="shared" si="445"/>
        <v>0</v>
      </c>
      <c r="AW771" s="1452">
        <f t="shared" si="418"/>
        <v>0</v>
      </c>
      <c r="AX771" s="1452">
        <f t="shared" si="419"/>
        <v>0</v>
      </c>
      <c r="AY771" s="1452">
        <f t="shared" si="420"/>
        <v>0</v>
      </c>
      <c r="AZ771" s="1452">
        <f t="shared" si="421"/>
        <v>0</v>
      </c>
      <c r="BA771" s="1452">
        <f t="shared" si="422"/>
        <v>0</v>
      </c>
      <c r="BB771" s="1452">
        <f t="shared" si="423"/>
        <v>0</v>
      </c>
      <c r="BC771" s="1452">
        <f t="shared" si="424"/>
        <v>0</v>
      </c>
      <c r="BD771" s="1452">
        <f t="shared" si="425"/>
        <v>0</v>
      </c>
      <c r="BE771" s="1452">
        <f t="shared" si="426"/>
        <v>0</v>
      </c>
      <c r="BF771" s="1452">
        <f t="shared" si="427"/>
        <v>0</v>
      </c>
      <c r="BG771" s="1452">
        <f t="shared" si="428"/>
        <v>0</v>
      </c>
      <c r="BH771" s="1452">
        <f t="shared" si="429"/>
        <v>0</v>
      </c>
      <c r="BI771" s="1452">
        <f t="shared" si="446"/>
        <v>0</v>
      </c>
      <c r="BJ771" s="1452" t="str">
        <f t="shared" si="430"/>
        <v/>
      </c>
      <c r="BK771" s="1452" t="str">
        <f t="shared" si="431"/>
        <v/>
      </c>
      <c r="BL771" s="1452" t="str">
        <f t="shared" si="432"/>
        <v/>
      </c>
      <c r="BM771" s="1452" t="str">
        <f t="shared" si="433"/>
        <v/>
      </c>
      <c r="BN771" s="1452" t="str">
        <f t="shared" ca="1" si="434"/>
        <v/>
      </c>
      <c r="BO771" s="1452" t="str">
        <f t="shared" si="447"/>
        <v/>
      </c>
      <c r="BP771" s="1452" t="str">
        <f t="shared" si="435"/>
        <v/>
      </c>
      <c r="BQ771" s="1452" t="str">
        <f t="shared" si="436"/>
        <v/>
      </c>
      <c r="BR771" s="1452" t="str">
        <f t="shared" si="437"/>
        <v/>
      </c>
      <c r="BS771" s="1452" t="str">
        <f t="shared" si="438"/>
        <v/>
      </c>
      <c r="BT771" s="1452" t="str">
        <f t="shared" si="439"/>
        <v/>
      </c>
      <c r="BU771" s="1452" t="str">
        <f t="shared" si="440"/>
        <v/>
      </c>
      <c r="BV771" s="1452" t="str">
        <f t="shared" si="441"/>
        <v/>
      </c>
      <c r="BW771" s="1558">
        <f t="shared" ca="1" si="448"/>
        <v>0</v>
      </c>
    </row>
    <row r="772" spans="1:75" s="9" customFormat="1" ht="12.5">
      <c r="A772" s="1483" t="str">
        <f t="shared" si="442"/>
        <v>Public Health Wales Trust</v>
      </c>
      <c r="B772" s="1587"/>
      <c r="C772" s="1587"/>
      <c r="D772" s="1587"/>
      <c r="E772" s="1589"/>
      <c r="F772" s="1436"/>
      <c r="G772" s="1547">
        <f t="shared" si="443"/>
        <v>0</v>
      </c>
      <c r="H772" s="1484"/>
      <c r="I772" s="1547">
        <f t="shared" si="444"/>
        <v>0</v>
      </c>
      <c r="J772" s="1493"/>
      <c r="K772" s="1493"/>
      <c r="L772" s="1436"/>
      <c r="M772" s="1441"/>
      <c r="N772" s="1441"/>
      <c r="O772" s="1485"/>
      <c r="P772" s="1486"/>
      <c r="Q772" s="1486"/>
      <c r="R772" s="1487"/>
      <c r="S772" s="1444"/>
      <c r="T772" s="1444"/>
      <c r="U772" s="1444"/>
      <c r="V772" s="1488"/>
      <c r="W772" s="1488"/>
      <c r="X772" s="1488"/>
      <c r="Y772" s="1488"/>
      <c r="Z772" s="1488"/>
      <c r="AA772" s="1488"/>
      <c r="AB772" s="1488"/>
      <c r="AC772" s="1488"/>
      <c r="AD772" s="1488"/>
      <c r="AE772" s="1488"/>
      <c r="AF772" s="1488"/>
      <c r="AG772" s="1488"/>
      <c r="AH772" s="1451">
        <f t="shared" si="416"/>
        <v>0</v>
      </c>
      <c r="AI772" s="1488"/>
      <c r="AJ772" s="1488"/>
      <c r="AK772" s="1488"/>
      <c r="AL772" s="1488"/>
      <c r="AM772" s="1488"/>
      <c r="AN772" s="1488"/>
      <c r="AO772" s="1488"/>
      <c r="AP772" s="1488"/>
      <c r="AQ772" s="1488"/>
      <c r="AR772" s="1488"/>
      <c r="AS772" s="1488"/>
      <c r="AT772" s="1542"/>
      <c r="AU772" s="1599">
        <f t="shared" si="417"/>
        <v>0</v>
      </c>
      <c r="AV772" s="1544">
        <f t="shared" si="445"/>
        <v>0</v>
      </c>
      <c r="AW772" s="1452">
        <f t="shared" si="418"/>
        <v>0</v>
      </c>
      <c r="AX772" s="1452">
        <f t="shared" si="419"/>
        <v>0</v>
      </c>
      <c r="AY772" s="1452">
        <f t="shared" si="420"/>
        <v>0</v>
      </c>
      <c r="AZ772" s="1452">
        <f t="shared" si="421"/>
        <v>0</v>
      </c>
      <c r="BA772" s="1452">
        <f t="shared" si="422"/>
        <v>0</v>
      </c>
      <c r="BB772" s="1452">
        <f t="shared" si="423"/>
        <v>0</v>
      </c>
      <c r="BC772" s="1452">
        <f t="shared" si="424"/>
        <v>0</v>
      </c>
      <c r="BD772" s="1452">
        <f t="shared" si="425"/>
        <v>0</v>
      </c>
      <c r="BE772" s="1452">
        <f t="shared" si="426"/>
        <v>0</v>
      </c>
      <c r="BF772" s="1452">
        <f t="shared" si="427"/>
        <v>0</v>
      </c>
      <c r="BG772" s="1452">
        <f t="shared" si="428"/>
        <v>0</v>
      </c>
      <c r="BH772" s="1452">
        <f t="shared" si="429"/>
        <v>0</v>
      </c>
      <c r="BI772" s="1452">
        <f t="shared" si="446"/>
        <v>0</v>
      </c>
      <c r="BJ772" s="1452" t="str">
        <f t="shared" si="430"/>
        <v/>
      </c>
      <c r="BK772" s="1452" t="str">
        <f t="shared" si="431"/>
        <v/>
      </c>
      <c r="BL772" s="1452" t="str">
        <f t="shared" si="432"/>
        <v/>
      </c>
      <c r="BM772" s="1452" t="str">
        <f t="shared" si="433"/>
        <v/>
      </c>
      <c r="BN772" s="1452" t="str">
        <f t="shared" ca="1" si="434"/>
        <v/>
      </c>
      <c r="BO772" s="1452" t="str">
        <f t="shared" si="447"/>
        <v/>
      </c>
      <c r="BP772" s="1452" t="str">
        <f t="shared" si="435"/>
        <v/>
      </c>
      <c r="BQ772" s="1452" t="str">
        <f t="shared" si="436"/>
        <v/>
      </c>
      <c r="BR772" s="1452" t="str">
        <f t="shared" si="437"/>
        <v/>
      </c>
      <c r="BS772" s="1452" t="str">
        <f t="shared" si="438"/>
        <v/>
      </c>
      <c r="BT772" s="1452" t="str">
        <f t="shared" si="439"/>
        <v/>
      </c>
      <c r="BU772" s="1452" t="str">
        <f t="shared" si="440"/>
        <v/>
      </c>
      <c r="BV772" s="1452" t="str">
        <f t="shared" si="441"/>
        <v/>
      </c>
      <c r="BW772" s="1558">
        <f t="shared" ca="1" si="448"/>
        <v>0</v>
      </c>
    </row>
    <row r="773" spans="1:75" s="9" customFormat="1" ht="12.5">
      <c r="A773" s="1483" t="str">
        <f t="shared" si="442"/>
        <v>Public Health Wales Trust</v>
      </c>
      <c r="B773" s="1587"/>
      <c r="C773" s="1587"/>
      <c r="D773" s="1587"/>
      <c r="E773" s="1589"/>
      <c r="F773" s="1436"/>
      <c r="G773" s="1547">
        <f t="shared" si="443"/>
        <v>0</v>
      </c>
      <c r="H773" s="1484"/>
      <c r="I773" s="1547">
        <f t="shared" si="444"/>
        <v>0</v>
      </c>
      <c r="J773" s="1493"/>
      <c r="K773" s="1493"/>
      <c r="L773" s="1436"/>
      <c r="M773" s="1441"/>
      <c r="N773" s="1441"/>
      <c r="O773" s="1485"/>
      <c r="P773" s="1486"/>
      <c r="Q773" s="1486"/>
      <c r="R773" s="1487"/>
      <c r="S773" s="1444"/>
      <c r="T773" s="1444"/>
      <c r="U773" s="1444"/>
      <c r="V773" s="1488"/>
      <c r="W773" s="1488"/>
      <c r="X773" s="1488"/>
      <c r="Y773" s="1488"/>
      <c r="Z773" s="1488"/>
      <c r="AA773" s="1488"/>
      <c r="AB773" s="1488"/>
      <c r="AC773" s="1488"/>
      <c r="AD773" s="1488"/>
      <c r="AE773" s="1488"/>
      <c r="AF773" s="1488"/>
      <c r="AG773" s="1488"/>
      <c r="AH773" s="1451">
        <f t="shared" si="416"/>
        <v>0</v>
      </c>
      <c r="AI773" s="1488"/>
      <c r="AJ773" s="1488"/>
      <c r="AK773" s="1488"/>
      <c r="AL773" s="1488"/>
      <c r="AM773" s="1488"/>
      <c r="AN773" s="1488"/>
      <c r="AO773" s="1488"/>
      <c r="AP773" s="1488"/>
      <c r="AQ773" s="1488"/>
      <c r="AR773" s="1488"/>
      <c r="AS773" s="1488"/>
      <c r="AT773" s="1542"/>
      <c r="AU773" s="1599">
        <f t="shared" si="417"/>
        <v>0</v>
      </c>
      <c r="AV773" s="1544">
        <f t="shared" si="445"/>
        <v>0</v>
      </c>
      <c r="AW773" s="1452">
        <f t="shared" si="418"/>
        <v>0</v>
      </c>
      <c r="AX773" s="1452">
        <f t="shared" si="419"/>
        <v>0</v>
      </c>
      <c r="AY773" s="1452">
        <f t="shared" si="420"/>
        <v>0</v>
      </c>
      <c r="AZ773" s="1452">
        <f t="shared" si="421"/>
        <v>0</v>
      </c>
      <c r="BA773" s="1452">
        <f t="shared" si="422"/>
        <v>0</v>
      </c>
      <c r="BB773" s="1452">
        <f t="shared" si="423"/>
        <v>0</v>
      </c>
      <c r="BC773" s="1452">
        <f t="shared" si="424"/>
        <v>0</v>
      </c>
      <c r="BD773" s="1452">
        <f t="shared" si="425"/>
        <v>0</v>
      </c>
      <c r="BE773" s="1452">
        <f t="shared" si="426"/>
        <v>0</v>
      </c>
      <c r="BF773" s="1452">
        <f t="shared" si="427"/>
        <v>0</v>
      </c>
      <c r="BG773" s="1452">
        <f t="shared" si="428"/>
        <v>0</v>
      </c>
      <c r="BH773" s="1452">
        <f t="shared" si="429"/>
        <v>0</v>
      </c>
      <c r="BI773" s="1452">
        <f t="shared" si="446"/>
        <v>0</v>
      </c>
      <c r="BJ773" s="1452" t="str">
        <f t="shared" si="430"/>
        <v/>
      </c>
      <c r="BK773" s="1452" t="str">
        <f t="shared" si="431"/>
        <v/>
      </c>
      <c r="BL773" s="1452" t="str">
        <f t="shared" si="432"/>
        <v/>
      </c>
      <c r="BM773" s="1452" t="str">
        <f t="shared" si="433"/>
        <v/>
      </c>
      <c r="BN773" s="1452" t="str">
        <f t="shared" ca="1" si="434"/>
        <v/>
      </c>
      <c r="BO773" s="1452" t="str">
        <f t="shared" si="447"/>
        <v/>
      </c>
      <c r="BP773" s="1452" t="str">
        <f t="shared" si="435"/>
        <v/>
      </c>
      <c r="BQ773" s="1452" t="str">
        <f t="shared" si="436"/>
        <v/>
      </c>
      <c r="BR773" s="1452" t="str">
        <f t="shared" si="437"/>
        <v/>
      </c>
      <c r="BS773" s="1452" t="str">
        <f t="shared" si="438"/>
        <v/>
      </c>
      <c r="BT773" s="1452" t="str">
        <f t="shared" si="439"/>
        <v/>
      </c>
      <c r="BU773" s="1452" t="str">
        <f t="shared" si="440"/>
        <v/>
      </c>
      <c r="BV773" s="1452" t="str">
        <f t="shared" si="441"/>
        <v/>
      </c>
      <c r="BW773" s="1558">
        <f t="shared" ca="1" si="448"/>
        <v>0</v>
      </c>
    </row>
    <row r="774" spans="1:75" s="9" customFormat="1" ht="12.5">
      <c r="A774" s="1483" t="str">
        <f t="shared" si="442"/>
        <v>Public Health Wales Trust</v>
      </c>
      <c r="B774" s="1583"/>
      <c r="C774" s="1583"/>
      <c r="D774" s="1583"/>
      <c r="E774" s="1581"/>
      <c r="F774" s="1436"/>
      <c r="G774" s="1547">
        <f t="shared" si="443"/>
        <v>0</v>
      </c>
      <c r="H774" s="1484"/>
      <c r="I774" s="1547">
        <f t="shared" si="444"/>
        <v>0</v>
      </c>
      <c r="J774" s="1485"/>
      <c r="K774" s="1485"/>
      <c r="L774" s="1436"/>
      <c r="M774" s="1439"/>
      <c r="N774" s="1439"/>
      <c r="O774" s="1485"/>
      <c r="P774" s="1486"/>
      <c r="Q774" s="1486"/>
      <c r="R774" s="1487"/>
      <c r="S774" s="1444"/>
      <c r="T774" s="1444"/>
      <c r="U774" s="1444"/>
      <c r="V774" s="1488"/>
      <c r="W774" s="1488"/>
      <c r="X774" s="1488"/>
      <c r="Y774" s="1488"/>
      <c r="Z774" s="1488"/>
      <c r="AA774" s="1488"/>
      <c r="AB774" s="1488"/>
      <c r="AC774" s="1488"/>
      <c r="AD774" s="1488"/>
      <c r="AE774" s="1488"/>
      <c r="AF774" s="1488"/>
      <c r="AG774" s="1488"/>
      <c r="AH774" s="1451">
        <f t="shared" si="416"/>
        <v>0</v>
      </c>
      <c r="AI774" s="1488"/>
      <c r="AJ774" s="1488"/>
      <c r="AK774" s="1488"/>
      <c r="AL774" s="1488"/>
      <c r="AM774" s="1488"/>
      <c r="AN774" s="1488"/>
      <c r="AO774" s="1488"/>
      <c r="AP774" s="1488"/>
      <c r="AQ774" s="1488"/>
      <c r="AR774" s="1488"/>
      <c r="AS774" s="1488"/>
      <c r="AT774" s="1542"/>
      <c r="AU774" s="1599">
        <f t="shared" si="417"/>
        <v>0</v>
      </c>
      <c r="AV774" s="1544">
        <f t="shared" si="445"/>
        <v>0</v>
      </c>
      <c r="AW774" s="1452">
        <f t="shared" si="418"/>
        <v>0</v>
      </c>
      <c r="AX774" s="1452">
        <f t="shared" si="419"/>
        <v>0</v>
      </c>
      <c r="AY774" s="1452">
        <f t="shared" si="420"/>
        <v>0</v>
      </c>
      <c r="AZ774" s="1452">
        <f t="shared" si="421"/>
        <v>0</v>
      </c>
      <c r="BA774" s="1452">
        <f t="shared" si="422"/>
        <v>0</v>
      </c>
      <c r="BB774" s="1452">
        <f t="shared" si="423"/>
        <v>0</v>
      </c>
      <c r="BC774" s="1452">
        <f t="shared" si="424"/>
        <v>0</v>
      </c>
      <c r="BD774" s="1452">
        <f t="shared" si="425"/>
        <v>0</v>
      </c>
      <c r="BE774" s="1452">
        <f t="shared" si="426"/>
        <v>0</v>
      </c>
      <c r="BF774" s="1452">
        <f t="shared" si="427"/>
        <v>0</v>
      </c>
      <c r="BG774" s="1452">
        <f t="shared" si="428"/>
        <v>0</v>
      </c>
      <c r="BH774" s="1452">
        <f t="shared" si="429"/>
        <v>0</v>
      </c>
      <c r="BI774" s="1452">
        <f t="shared" si="446"/>
        <v>0</v>
      </c>
      <c r="BJ774" s="1452" t="str">
        <f t="shared" si="430"/>
        <v/>
      </c>
      <c r="BK774" s="1452" t="str">
        <f t="shared" si="431"/>
        <v/>
      </c>
      <c r="BL774" s="1452" t="str">
        <f t="shared" si="432"/>
        <v/>
      </c>
      <c r="BM774" s="1452" t="str">
        <f t="shared" si="433"/>
        <v/>
      </c>
      <c r="BN774" s="1452" t="str">
        <f t="shared" ca="1" si="434"/>
        <v/>
      </c>
      <c r="BO774" s="1452" t="str">
        <f t="shared" si="447"/>
        <v/>
      </c>
      <c r="BP774" s="1452" t="str">
        <f t="shared" si="435"/>
        <v/>
      </c>
      <c r="BQ774" s="1452" t="str">
        <f t="shared" si="436"/>
        <v/>
      </c>
      <c r="BR774" s="1452" t="str">
        <f t="shared" si="437"/>
        <v/>
      </c>
      <c r="BS774" s="1452" t="str">
        <f t="shared" si="438"/>
        <v/>
      </c>
      <c r="BT774" s="1452" t="str">
        <f t="shared" si="439"/>
        <v/>
      </c>
      <c r="BU774" s="1452" t="str">
        <f t="shared" si="440"/>
        <v/>
      </c>
      <c r="BV774" s="1452" t="str">
        <f t="shared" si="441"/>
        <v/>
      </c>
      <c r="BW774" s="1558">
        <f t="shared" ca="1" si="448"/>
        <v>0</v>
      </c>
    </row>
    <row r="775" spans="1:75" s="9" customFormat="1" ht="12.5">
      <c r="A775" s="1483" t="str">
        <f t="shared" si="442"/>
        <v>Public Health Wales Trust</v>
      </c>
      <c r="B775" s="1583"/>
      <c r="C775" s="1583"/>
      <c r="D775" s="1583"/>
      <c r="E775" s="1581"/>
      <c r="F775" s="1436"/>
      <c r="G775" s="1547">
        <f t="shared" si="443"/>
        <v>0</v>
      </c>
      <c r="H775" s="1484"/>
      <c r="I775" s="1547">
        <f t="shared" si="444"/>
        <v>0</v>
      </c>
      <c r="J775" s="1485"/>
      <c r="K775" s="1485"/>
      <c r="L775" s="1436"/>
      <c r="M775" s="1439"/>
      <c r="N775" s="1439"/>
      <c r="O775" s="1485"/>
      <c r="P775" s="1486"/>
      <c r="Q775" s="1486"/>
      <c r="R775" s="1487"/>
      <c r="S775" s="1444"/>
      <c r="T775" s="1444"/>
      <c r="U775" s="1444"/>
      <c r="V775" s="1488"/>
      <c r="W775" s="1488"/>
      <c r="X775" s="1488"/>
      <c r="Y775" s="1488"/>
      <c r="Z775" s="1488"/>
      <c r="AA775" s="1488"/>
      <c r="AB775" s="1488"/>
      <c r="AC775" s="1488"/>
      <c r="AD775" s="1488"/>
      <c r="AE775" s="1488"/>
      <c r="AF775" s="1488"/>
      <c r="AG775" s="1488"/>
      <c r="AH775" s="1451">
        <f t="shared" si="416"/>
        <v>0</v>
      </c>
      <c r="AI775" s="1488"/>
      <c r="AJ775" s="1488"/>
      <c r="AK775" s="1488"/>
      <c r="AL775" s="1488"/>
      <c r="AM775" s="1488"/>
      <c r="AN775" s="1488"/>
      <c r="AO775" s="1488"/>
      <c r="AP775" s="1488"/>
      <c r="AQ775" s="1488"/>
      <c r="AR775" s="1488"/>
      <c r="AS775" s="1488"/>
      <c r="AT775" s="1542"/>
      <c r="AU775" s="1599">
        <f t="shared" si="417"/>
        <v>0</v>
      </c>
      <c r="AV775" s="1544">
        <f t="shared" si="445"/>
        <v>0</v>
      </c>
      <c r="AW775" s="1452">
        <f t="shared" si="418"/>
        <v>0</v>
      </c>
      <c r="AX775" s="1452">
        <f t="shared" si="419"/>
        <v>0</v>
      </c>
      <c r="AY775" s="1452">
        <f t="shared" si="420"/>
        <v>0</v>
      </c>
      <c r="AZ775" s="1452">
        <f t="shared" si="421"/>
        <v>0</v>
      </c>
      <c r="BA775" s="1452">
        <f t="shared" si="422"/>
        <v>0</v>
      </c>
      <c r="BB775" s="1452">
        <f t="shared" si="423"/>
        <v>0</v>
      </c>
      <c r="BC775" s="1452">
        <f t="shared" si="424"/>
        <v>0</v>
      </c>
      <c r="BD775" s="1452">
        <f t="shared" si="425"/>
        <v>0</v>
      </c>
      <c r="BE775" s="1452">
        <f t="shared" si="426"/>
        <v>0</v>
      </c>
      <c r="BF775" s="1452">
        <f t="shared" si="427"/>
        <v>0</v>
      </c>
      <c r="BG775" s="1452">
        <f t="shared" si="428"/>
        <v>0</v>
      </c>
      <c r="BH775" s="1452">
        <f t="shared" si="429"/>
        <v>0</v>
      </c>
      <c r="BI775" s="1452">
        <f t="shared" si="446"/>
        <v>0</v>
      </c>
      <c r="BJ775" s="1452" t="str">
        <f t="shared" si="430"/>
        <v/>
      </c>
      <c r="BK775" s="1452" t="str">
        <f t="shared" si="431"/>
        <v/>
      </c>
      <c r="BL775" s="1452" t="str">
        <f t="shared" si="432"/>
        <v/>
      </c>
      <c r="BM775" s="1452" t="str">
        <f t="shared" si="433"/>
        <v/>
      </c>
      <c r="BN775" s="1452" t="str">
        <f t="shared" ca="1" si="434"/>
        <v/>
      </c>
      <c r="BO775" s="1452" t="str">
        <f t="shared" si="447"/>
        <v/>
      </c>
      <c r="BP775" s="1452" t="str">
        <f t="shared" si="435"/>
        <v/>
      </c>
      <c r="BQ775" s="1452" t="str">
        <f t="shared" si="436"/>
        <v/>
      </c>
      <c r="BR775" s="1452" t="str">
        <f t="shared" si="437"/>
        <v/>
      </c>
      <c r="BS775" s="1452" t="str">
        <f t="shared" si="438"/>
        <v/>
      </c>
      <c r="BT775" s="1452" t="str">
        <f t="shared" si="439"/>
        <v/>
      </c>
      <c r="BU775" s="1452" t="str">
        <f t="shared" si="440"/>
        <v/>
      </c>
      <c r="BV775" s="1452" t="str">
        <f t="shared" si="441"/>
        <v/>
      </c>
      <c r="BW775" s="1558">
        <f t="shared" ca="1" si="448"/>
        <v>0</v>
      </c>
    </row>
    <row r="776" spans="1:75" s="9" customFormat="1" ht="12.5">
      <c r="A776" s="1483" t="str">
        <f t="shared" si="442"/>
        <v>Public Health Wales Trust</v>
      </c>
      <c r="B776" s="1583"/>
      <c r="C776" s="1583"/>
      <c r="D776" s="1583"/>
      <c r="E776" s="1581"/>
      <c r="F776" s="1436"/>
      <c r="G776" s="1547">
        <f t="shared" si="443"/>
        <v>0</v>
      </c>
      <c r="H776" s="1484"/>
      <c r="I776" s="1547">
        <f t="shared" si="444"/>
        <v>0</v>
      </c>
      <c r="J776" s="1485"/>
      <c r="K776" s="1485"/>
      <c r="L776" s="1436"/>
      <c r="M776" s="1439"/>
      <c r="N776" s="1439"/>
      <c r="O776" s="1485"/>
      <c r="P776" s="1486"/>
      <c r="Q776" s="1486"/>
      <c r="R776" s="1487"/>
      <c r="S776" s="1444"/>
      <c r="T776" s="1444"/>
      <c r="U776" s="1444"/>
      <c r="V776" s="1488"/>
      <c r="W776" s="1488"/>
      <c r="X776" s="1488"/>
      <c r="Y776" s="1488"/>
      <c r="Z776" s="1488"/>
      <c r="AA776" s="1488"/>
      <c r="AB776" s="1488"/>
      <c r="AC776" s="1488"/>
      <c r="AD776" s="1488"/>
      <c r="AE776" s="1488"/>
      <c r="AF776" s="1488"/>
      <c r="AG776" s="1488"/>
      <c r="AH776" s="1451">
        <f t="shared" si="416"/>
        <v>0</v>
      </c>
      <c r="AI776" s="1488"/>
      <c r="AJ776" s="1488"/>
      <c r="AK776" s="1488"/>
      <c r="AL776" s="1488"/>
      <c r="AM776" s="1488"/>
      <c r="AN776" s="1488"/>
      <c r="AO776" s="1488"/>
      <c r="AP776" s="1488"/>
      <c r="AQ776" s="1488"/>
      <c r="AR776" s="1488"/>
      <c r="AS776" s="1488"/>
      <c r="AT776" s="1542"/>
      <c r="AU776" s="1599">
        <f t="shared" si="417"/>
        <v>0</v>
      </c>
      <c r="AV776" s="1544">
        <f t="shared" si="445"/>
        <v>0</v>
      </c>
      <c r="AW776" s="1452">
        <f t="shared" si="418"/>
        <v>0</v>
      </c>
      <c r="AX776" s="1452">
        <f t="shared" si="419"/>
        <v>0</v>
      </c>
      <c r="AY776" s="1452">
        <f t="shared" si="420"/>
        <v>0</v>
      </c>
      <c r="AZ776" s="1452">
        <f t="shared" si="421"/>
        <v>0</v>
      </c>
      <c r="BA776" s="1452">
        <f t="shared" si="422"/>
        <v>0</v>
      </c>
      <c r="BB776" s="1452">
        <f t="shared" si="423"/>
        <v>0</v>
      </c>
      <c r="BC776" s="1452">
        <f t="shared" si="424"/>
        <v>0</v>
      </c>
      <c r="BD776" s="1452">
        <f t="shared" si="425"/>
        <v>0</v>
      </c>
      <c r="BE776" s="1452">
        <f t="shared" si="426"/>
        <v>0</v>
      </c>
      <c r="BF776" s="1452">
        <f t="shared" si="427"/>
        <v>0</v>
      </c>
      <c r="BG776" s="1452">
        <f t="shared" si="428"/>
        <v>0</v>
      </c>
      <c r="BH776" s="1452">
        <f t="shared" si="429"/>
        <v>0</v>
      </c>
      <c r="BI776" s="1452">
        <f t="shared" si="446"/>
        <v>0</v>
      </c>
      <c r="BJ776" s="1452" t="str">
        <f t="shared" si="430"/>
        <v/>
      </c>
      <c r="BK776" s="1452" t="str">
        <f t="shared" si="431"/>
        <v/>
      </c>
      <c r="BL776" s="1452" t="str">
        <f t="shared" si="432"/>
        <v/>
      </c>
      <c r="BM776" s="1452" t="str">
        <f t="shared" si="433"/>
        <v/>
      </c>
      <c r="BN776" s="1452" t="str">
        <f t="shared" ca="1" si="434"/>
        <v/>
      </c>
      <c r="BO776" s="1452" t="str">
        <f t="shared" si="447"/>
        <v/>
      </c>
      <c r="BP776" s="1452" t="str">
        <f t="shared" si="435"/>
        <v/>
      </c>
      <c r="BQ776" s="1452" t="str">
        <f t="shared" si="436"/>
        <v/>
      </c>
      <c r="BR776" s="1452" t="str">
        <f t="shared" si="437"/>
        <v/>
      </c>
      <c r="BS776" s="1452" t="str">
        <f t="shared" si="438"/>
        <v/>
      </c>
      <c r="BT776" s="1452" t="str">
        <f t="shared" si="439"/>
        <v/>
      </c>
      <c r="BU776" s="1452" t="str">
        <f t="shared" si="440"/>
        <v/>
      </c>
      <c r="BV776" s="1452" t="str">
        <f t="shared" si="441"/>
        <v/>
      </c>
      <c r="BW776" s="1558">
        <f t="shared" ca="1" si="448"/>
        <v>0</v>
      </c>
    </row>
    <row r="777" spans="1:75" s="9" customFormat="1" ht="12.5">
      <c r="A777" s="1483" t="str">
        <f t="shared" si="442"/>
        <v>Public Health Wales Trust</v>
      </c>
      <c r="B777" s="1583"/>
      <c r="C777" s="1583"/>
      <c r="D777" s="1583"/>
      <c r="E777" s="1581"/>
      <c r="F777" s="1436"/>
      <c r="G777" s="1547">
        <f t="shared" si="443"/>
        <v>0</v>
      </c>
      <c r="H777" s="1484"/>
      <c r="I777" s="1547">
        <f t="shared" si="444"/>
        <v>0</v>
      </c>
      <c r="J777" s="1485"/>
      <c r="K777" s="1485"/>
      <c r="L777" s="1436"/>
      <c r="M777" s="1439"/>
      <c r="N777" s="1439"/>
      <c r="O777" s="1485"/>
      <c r="P777" s="1486"/>
      <c r="Q777" s="1486"/>
      <c r="R777" s="1487"/>
      <c r="S777" s="1444"/>
      <c r="T777" s="1444"/>
      <c r="U777" s="1444"/>
      <c r="V777" s="1488"/>
      <c r="W777" s="1488"/>
      <c r="X777" s="1488"/>
      <c r="Y777" s="1488"/>
      <c r="Z777" s="1488"/>
      <c r="AA777" s="1488"/>
      <c r="AB777" s="1488"/>
      <c r="AC777" s="1488"/>
      <c r="AD777" s="1488"/>
      <c r="AE777" s="1488"/>
      <c r="AF777" s="1488"/>
      <c r="AG777" s="1488"/>
      <c r="AH777" s="1451">
        <f t="shared" si="416"/>
        <v>0</v>
      </c>
      <c r="AI777" s="1488"/>
      <c r="AJ777" s="1488"/>
      <c r="AK777" s="1488"/>
      <c r="AL777" s="1488"/>
      <c r="AM777" s="1488"/>
      <c r="AN777" s="1488"/>
      <c r="AO777" s="1488"/>
      <c r="AP777" s="1488"/>
      <c r="AQ777" s="1488"/>
      <c r="AR777" s="1488"/>
      <c r="AS777" s="1488"/>
      <c r="AT777" s="1542"/>
      <c r="AU777" s="1599">
        <f t="shared" si="417"/>
        <v>0</v>
      </c>
      <c r="AV777" s="1544">
        <f t="shared" si="445"/>
        <v>0</v>
      </c>
      <c r="AW777" s="1452">
        <f t="shared" si="418"/>
        <v>0</v>
      </c>
      <c r="AX777" s="1452">
        <f t="shared" si="419"/>
        <v>0</v>
      </c>
      <c r="AY777" s="1452">
        <f t="shared" si="420"/>
        <v>0</v>
      </c>
      <c r="AZ777" s="1452">
        <f t="shared" si="421"/>
        <v>0</v>
      </c>
      <c r="BA777" s="1452">
        <f t="shared" si="422"/>
        <v>0</v>
      </c>
      <c r="BB777" s="1452">
        <f t="shared" si="423"/>
        <v>0</v>
      </c>
      <c r="BC777" s="1452">
        <f t="shared" si="424"/>
        <v>0</v>
      </c>
      <c r="BD777" s="1452">
        <f t="shared" si="425"/>
        <v>0</v>
      </c>
      <c r="BE777" s="1452">
        <f t="shared" si="426"/>
        <v>0</v>
      </c>
      <c r="BF777" s="1452">
        <f t="shared" si="427"/>
        <v>0</v>
      </c>
      <c r="BG777" s="1452">
        <f t="shared" si="428"/>
        <v>0</v>
      </c>
      <c r="BH777" s="1452">
        <f t="shared" si="429"/>
        <v>0</v>
      </c>
      <c r="BI777" s="1452">
        <f t="shared" si="446"/>
        <v>0</v>
      </c>
      <c r="BJ777" s="1452" t="str">
        <f t="shared" si="430"/>
        <v/>
      </c>
      <c r="BK777" s="1452" t="str">
        <f t="shared" si="431"/>
        <v/>
      </c>
      <c r="BL777" s="1452" t="str">
        <f t="shared" si="432"/>
        <v/>
      </c>
      <c r="BM777" s="1452" t="str">
        <f t="shared" si="433"/>
        <v/>
      </c>
      <c r="BN777" s="1452" t="str">
        <f t="shared" ca="1" si="434"/>
        <v/>
      </c>
      <c r="BO777" s="1452" t="str">
        <f t="shared" si="447"/>
        <v/>
      </c>
      <c r="BP777" s="1452" t="str">
        <f t="shared" si="435"/>
        <v/>
      </c>
      <c r="BQ777" s="1452" t="str">
        <f t="shared" si="436"/>
        <v/>
      </c>
      <c r="BR777" s="1452" t="str">
        <f t="shared" si="437"/>
        <v/>
      </c>
      <c r="BS777" s="1452" t="str">
        <f t="shared" si="438"/>
        <v/>
      </c>
      <c r="BT777" s="1452" t="str">
        <f t="shared" si="439"/>
        <v/>
      </c>
      <c r="BU777" s="1452" t="str">
        <f t="shared" si="440"/>
        <v/>
      </c>
      <c r="BV777" s="1452" t="str">
        <f t="shared" si="441"/>
        <v/>
      </c>
      <c r="BW777" s="1558">
        <f t="shared" ca="1" si="448"/>
        <v>0</v>
      </c>
    </row>
    <row r="778" spans="1:75" s="9" customFormat="1" ht="12.5">
      <c r="A778" s="1483" t="str">
        <f t="shared" si="442"/>
        <v>Public Health Wales Trust</v>
      </c>
      <c r="B778" s="1583"/>
      <c r="C778" s="1583"/>
      <c r="D778" s="1583"/>
      <c r="E778" s="1581"/>
      <c r="F778" s="1436"/>
      <c r="G778" s="1547">
        <f t="shared" si="443"/>
        <v>0</v>
      </c>
      <c r="H778" s="1484"/>
      <c r="I778" s="1547">
        <f t="shared" si="444"/>
        <v>0</v>
      </c>
      <c r="J778" s="1485"/>
      <c r="K778" s="1485"/>
      <c r="L778" s="1436"/>
      <c r="M778" s="1439"/>
      <c r="N778" s="1439"/>
      <c r="O778" s="1485"/>
      <c r="P778" s="1486"/>
      <c r="Q778" s="1486"/>
      <c r="R778" s="1487"/>
      <c r="S778" s="1444"/>
      <c r="T778" s="1444"/>
      <c r="U778" s="1444"/>
      <c r="V778" s="1488"/>
      <c r="W778" s="1488"/>
      <c r="X778" s="1488"/>
      <c r="Y778" s="1488"/>
      <c r="Z778" s="1488"/>
      <c r="AA778" s="1488"/>
      <c r="AB778" s="1488"/>
      <c r="AC778" s="1488"/>
      <c r="AD778" s="1488"/>
      <c r="AE778" s="1488"/>
      <c r="AF778" s="1488"/>
      <c r="AG778" s="1488"/>
      <c r="AH778" s="1451">
        <f t="shared" si="416"/>
        <v>0</v>
      </c>
      <c r="AI778" s="1488"/>
      <c r="AJ778" s="1488"/>
      <c r="AK778" s="1488"/>
      <c r="AL778" s="1488"/>
      <c r="AM778" s="1488"/>
      <c r="AN778" s="1488"/>
      <c r="AO778" s="1488"/>
      <c r="AP778" s="1488"/>
      <c r="AQ778" s="1488"/>
      <c r="AR778" s="1488"/>
      <c r="AS778" s="1488"/>
      <c r="AT778" s="1542"/>
      <c r="AU778" s="1599">
        <f t="shared" si="417"/>
        <v>0</v>
      </c>
      <c r="AV778" s="1544">
        <f t="shared" si="445"/>
        <v>0</v>
      </c>
      <c r="AW778" s="1452">
        <f t="shared" si="418"/>
        <v>0</v>
      </c>
      <c r="AX778" s="1452">
        <f t="shared" si="419"/>
        <v>0</v>
      </c>
      <c r="AY778" s="1452">
        <f t="shared" si="420"/>
        <v>0</v>
      </c>
      <c r="AZ778" s="1452">
        <f t="shared" si="421"/>
        <v>0</v>
      </c>
      <c r="BA778" s="1452">
        <f t="shared" si="422"/>
        <v>0</v>
      </c>
      <c r="BB778" s="1452">
        <f t="shared" si="423"/>
        <v>0</v>
      </c>
      <c r="BC778" s="1452">
        <f t="shared" si="424"/>
        <v>0</v>
      </c>
      <c r="BD778" s="1452">
        <f t="shared" si="425"/>
        <v>0</v>
      </c>
      <c r="BE778" s="1452">
        <f t="shared" si="426"/>
        <v>0</v>
      </c>
      <c r="BF778" s="1452">
        <f t="shared" si="427"/>
        <v>0</v>
      </c>
      <c r="BG778" s="1452">
        <f t="shared" si="428"/>
        <v>0</v>
      </c>
      <c r="BH778" s="1452">
        <f t="shared" si="429"/>
        <v>0</v>
      </c>
      <c r="BI778" s="1452">
        <f t="shared" si="446"/>
        <v>0</v>
      </c>
      <c r="BJ778" s="1452" t="str">
        <f t="shared" si="430"/>
        <v/>
      </c>
      <c r="BK778" s="1452" t="str">
        <f t="shared" si="431"/>
        <v/>
      </c>
      <c r="BL778" s="1452" t="str">
        <f t="shared" si="432"/>
        <v/>
      </c>
      <c r="BM778" s="1452" t="str">
        <f t="shared" si="433"/>
        <v/>
      </c>
      <c r="BN778" s="1452" t="str">
        <f t="shared" ca="1" si="434"/>
        <v/>
      </c>
      <c r="BO778" s="1452" t="str">
        <f t="shared" si="447"/>
        <v/>
      </c>
      <c r="BP778" s="1452" t="str">
        <f t="shared" si="435"/>
        <v/>
      </c>
      <c r="BQ778" s="1452" t="str">
        <f t="shared" si="436"/>
        <v/>
      </c>
      <c r="BR778" s="1452" t="str">
        <f t="shared" si="437"/>
        <v/>
      </c>
      <c r="BS778" s="1452" t="str">
        <f t="shared" si="438"/>
        <v/>
      </c>
      <c r="BT778" s="1452" t="str">
        <f t="shared" si="439"/>
        <v/>
      </c>
      <c r="BU778" s="1452" t="str">
        <f t="shared" si="440"/>
        <v/>
      </c>
      <c r="BV778" s="1452" t="str">
        <f t="shared" si="441"/>
        <v/>
      </c>
      <c r="BW778" s="1558">
        <f t="shared" ca="1" si="448"/>
        <v>0</v>
      </c>
    </row>
    <row r="779" spans="1:75" s="9" customFormat="1" ht="12.5">
      <c r="A779" s="1483" t="str">
        <f t="shared" si="442"/>
        <v>Public Health Wales Trust</v>
      </c>
      <c r="B779" s="1583"/>
      <c r="C779" s="1583"/>
      <c r="D779" s="1583"/>
      <c r="E779" s="1581"/>
      <c r="F779" s="1436"/>
      <c r="G779" s="1547">
        <f t="shared" si="443"/>
        <v>0</v>
      </c>
      <c r="H779" s="1484"/>
      <c r="I779" s="1547">
        <f t="shared" si="444"/>
        <v>0</v>
      </c>
      <c r="J779" s="1485"/>
      <c r="K779" s="1485"/>
      <c r="L779" s="1436"/>
      <c r="M779" s="1439"/>
      <c r="N779" s="1439"/>
      <c r="O779" s="1485"/>
      <c r="P779" s="1486"/>
      <c r="Q779" s="1486"/>
      <c r="R779" s="1487"/>
      <c r="S779" s="1444"/>
      <c r="T779" s="1444"/>
      <c r="U779" s="1444"/>
      <c r="V779" s="1488"/>
      <c r="W779" s="1488"/>
      <c r="X779" s="1488"/>
      <c r="Y779" s="1488"/>
      <c r="Z779" s="1488"/>
      <c r="AA779" s="1488"/>
      <c r="AB779" s="1488"/>
      <c r="AC779" s="1488"/>
      <c r="AD779" s="1488"/>
      <c r="AE779" s="1488"/>
      <c r="AF779" s="1488"/>
      <c r="AG779" s="1488"/>
      <c r="AH779" s="1451">
        <f t="shared" si="416"/>
        <v>0</v>
      </c>
      <c r="AI779" s="1488"/>
      <c r="AJ779" s="1488"/>
      <c r="AK779" s="1488"/>
      <c r="AL779" s="1488"/>
      <c r="AM779" s="1488"/>
      <c r="AN779" s="1488"/>
      <c r="AO779" s="1488"/>
      <c r="AP779" s="1488"/>
      <c r="AQ779" s="1488"/>
      <c r="AR779" s="1488"/>
      <c r="AS779" s="1488"/>
      <c r="AT779" s="1542"/>
      <c r="AU779" s="1599">
        <f t="shared" si="417"/>
        <v>0</v>
      </c>
      <c r="AV779" s="1544">
        <f t="shared" si="445"/>
        <v>0</v>
      </c>
      <c r="AW779" s="1452">
        <f t="shared" si="418"/>
        <v>0</v>
      </c>
      <c r="AX779" s="1452">
        <f t="shared" si="419"/>
        <v>0</v>
      </c>
      <c r="AY779" s="1452">
        <f t="shared" si="420"/>
        <v>0</v>
      </c>
      <c r="AZ779" s="1452">
        <f t="shared" si="421"/>
        <v>0</v>
      </c>
      <c r="BA779" s="1452">
        <f t="shared" si="422"/>
        <v>0</v>
      </c>
      <c r="BB779" s="1452">
        <f t="shared" si="423"/>
        <v>0</v>
      </c>
      <c r="BC779" s="1452">
        <f t="shared" si="424"/>
        <v>0</v>
      </c>
      <c r="BD779" s="1452">
        <f t="shared" si="425"/>
        <v>0</v>
      </c>
      <c r="BE779" s="1452">
        <f t="shared" si="426"/>
        <v>0</v>
      </c>
      <c r="BF779" s="1452">
        <f t="shared" si="427"/>
        <v>0</v>
      </c>
      <c r="BG779" s="1452">
        <f t="shared" si="428"/>
        <v>0</v>
      </c>
      <c r="BH779" s="1452">
        <f t="shared" si="429"/>
        <v>0</v>
      </c>
      <c r="BI779" s="1452">
        <f t="shared" si="446"/>
        <v>0</v>
      </c>
      <c r="BJ779" s="1452" t="str">
        <f t="shared" si="430"/>
        <v/>
      </c>
      <c r="BK779" s="1452" t="str">
        <f t="shared" si="431"/>
        <v/>
      </c>
      <c r="BL779" s="1452" t="str">
        <f t="shared" si="432"/>
        <v/>
      </c>
      <c r="BM779" s="1452" t="str">
        <f t="shared" si="433"/>
        <v/>
      </c>
      <c r="BN779" s="1452" t="str">
        <f t="shared" ca="1" si="434"/>
        <v/>
      </c>
      <c r="BO779" s="1452" t="str">
        <f t="shared" si="447"/>
        <v/>
      </c>
      <c r="BP779" s="1452" t="str">
        <f t="shared" si="435"/>
        <v/>
      </c>
      <c r="BQ779" s="1452" t="str">
        <f t="shared" si="436"/>
        <v/>
      </c>
      <c r="BR779" s="1452" t="str">
        <f t="shared" si="437"/>
        <v/>
      </c>
      <c r="BS779" s="1452" t="str">
        <f t="shared" si="438"/>
        <v/>
      </c>
      <c r="BT779" s="1452" t="str">
        <f t="shared" si="439"/>
        <v/>
      </c>
      <c r="BU779" s="1452" t="str">
        <f t="shared" si="440"/>
        <v/>
      </c>
      <c r="BV779" s="1452" t="str">
        <f t="shared" si="441"/>
        <v/>
      </c>
      <c r="BW779" s="1558">
        <f t="shared" ca="1" si="448"/>
        <v>0</v>
      </c>
    </row>
    <row r="780" spans="1:75" s="9" customFormat="1" ht="12.5">
      <c r="A780" s="1483" t="str">
        <f t="shared" si="442"/>
        <v>Public Health Wales Trust</v>
      </c>
      <c r="B780" s="1583"/>
      <c r="C780" s="1583"/>
      <c r="D780" s="1583"/>
      <c r="E780" s="1581"/>
      <c r="F780" s="1436"/>
      <c r="G780" s="1547">
        <f t="shared" si="443"/>
        <v>0</v>
      </c>
      <c r="H780" s="1484"/>
      <c r="I780" s="1547">
        <f t="shared" si="444"/>
        <v>0</v>
      </c>
      <c r="J780" s="1485"/>
      <c r="K780" s="1485"/>
      <c r="L780" s="1436"/>
      <c r="M780" s="1439"/>
      <c r="N780" s="1439"/>
      <c r="O780" s="1485"/>
      <c r="P780" s="1486"/>
      <c r="Q780" s="1486"/>
      <c r="R780" s="1487"/>
      <c r="S780" s="1444"/>
      <c r="T780" s="1444"/>
      <c r="U780" s="1444"/>
      <c r="V780" s="1488"/>
      <c r="W780" s="1488"/>
      <c r="X780" s="1488"/>
      <c r="Y780" s="1488"/>
      <c r="Z780" s="1488"/>
      <c r="AA780" s="1488"/>
      <c r="AB780" s="1488"/>
      <c r="AC780" s="1488"/>
      <c r="AD780" s="1488"/>
      <c r="AE780" s="1488"/>
      <c r="AF780" s="1488"/>
      <c r="AG780" s="1488"/>
      <c r="AH780" s="1451">
        <f t="shared" si="416"/>
        <v>0</v>
      </c>
      <c r="AI780" s="1488"/>
      <c r="AJ780" s="1488"/>
      <c r="AK780" s="1488"/>
      <c r="AL780" s="1488"/>
      <c r="AM780" s="1488"/>
      <c r="AN780" s="1488"/>
      <c r="AO780" s="1488"/>
      <c r="AP780" s="1488"/>
      <c r="AQ780" s="1488"/>
      <c r="AR780" s="1488"/>
      <c r="AS780" s="1488"/>
      <c r="AT780" s="1542"/>
      <c r="AU780" s="1599">
        <f t="shared" si="417"/>
        <v>0</v>
      </c>
      <c r="AV780" s="1544">
        <f t="shared" si="445"/>
        <v>0</v>
      </c>
      <c r="AW780" s="1452">
        <f t="shared" si="418"/>
        <v>0</v>
      </c>
      <c r="AX780" s="1452">
        <f t="shared" si="419"/>
        <v>0</v>
      </c>
      <c r="AY780" s="1452">
        <f t="shared" si="420"/>
        <v>0</v>
      </c>
      <c r="AZ780" s="1452">
        <f t="shared" si="421"/>
        <v>0</v>
      </c>
      <c r="BA780" s="1452">
        <f t="shared" si="422"/>
        <v>0</v>
      </c>
      <c r="BB780" s="1452">
        <f t="shared" si="423"/>
        <v>0</v>
      </c>
      <c r="BC780" s="1452">
        <f t="shared" si="424"/>
        <v>0</v>
      </c>
      <c r="BD780" s="1452">
        <f t="shared" si="425"/>
        <v>0</v>
      </c>
      <c r="BE780" s="1452">
        <f t="shared" si="426"/>
        <v>0</v>
      </c>
      <c r="BF780" s="1452">
        <f t="shared" si="427"/>
        <v>0</v>
      </c>
      <c r="BG780" s="1452">
        <f t="shared" si="428"/>
        <v>0</v>
      </c>
      <c r="BH780" s="1452">
        <f t="shared" si="429"/>
        <v>0</v>
      </c>
      <c r="BI780" s="1452">
        <f t="shared" si="446"/>
        <v>0</v>
      </c>
      <c r="BJ780" s="1452" t="str">
        <f t="shared" si="430"/>
        <v/>
      </c>
      <c r="BK780" s="1452" t="str">
        <f t="shared" si="431"/>
        <v/>
      </c>
      <c r="BL780" s="1452" t="str">
        <f t="shared" si="432"/>
        <v/>
      </c>
      <c r="BM780" s="1452" t="str">
        <f t="shared" si="433"/>
        <v/>
      </c>
      <c r="BN780" s="1452" t="str">
        <f t="shared" ca="1" si="434"/>
        <v/>
      </c>
      <c r="BO780" s="1452" t="str">
        <f t="shared" si="447"/>
        <v/>
      </c>
      <c r="BP780" s="1452" t="str">
        <f t="shared" si="435"/>
        <v/>
      </c>
      <c r="BQ780" s="1452" t="str">
        <f t="shared" si="436"/>
        <v/>
      </c>
      <c r="BR780" s="1452" t="str">
        <f t="shared" si="437"/>
        <v/>
      </c>
      <c r="BS780" s="1452" t="str">
        <f t="shared" si="438"/>
        <v/>
      </c>
      <c r="BT780" s="1452" t="str">
        <f t="shared" si="439"/>
        <v/>
      </c>
      <c r="BU780" s="1452" t="str">
        <f t="shared" si="440"/>
        <v/>
      </c>
      <c r="BV780" s="1452" t="str">
        <f t="shared" si="441"/>
        <v/>
      </c>
      <c r="BW780" s="1558">
        <f t="shared" ca="1" si="448"/>
        <v>0</v>
      </c>
    </row>
    <row r="781" spans="1:75" s="9" customFormat="1" ht="12.5">
      <c r="A781" s="1483" t="str">
        <f t="shared" si="442"/>
        <v>Public Health Wales Trust</v>
      </c>
      <c r="B781" s="1587"/>
      <c r="C781" s="1587"/>
      <c r="D781" s="1587"/>
      <c r="E781" s="1589"/>
      <c r="F781" s="1436"/>
      <c r="G781" s="1547">
        <f t="shared" si="443"/>
        <v>0</v>
      </c>
      <c r="H781" s="1484"/>
      <c r="I781" s="1547">
        <f t="shared" si="444"/>
        <v>0</v>
      </c>
      <c r="J781" s="1493"/>
      <c r="K781" s="1493"/>
      <c r="L781" s="1436"/>
      <c r="M781" s="1441"/>
      <c r="N781" s="1441"/>
      <c r="O781" s="1485"/>
      <c r="P781" s="1486"/>
      <c r="Q781" s="1486"/>
      <c r="R781" s="1487"/>
      <c r="S781" s="1444"/>
      <c r="T781" s="1444"/>
      <c r="U781" s="1444"/>
      <c r="V781" s="1488"/>
      <c r="W781" s="1488"/>
      <c r="X781" s="1488"/>
      <c r="Y781" s="1488"/>
      <c r="Z781" s="1488"/>
      <c r="AA781" s="1488"/>
      <c r="AB781" s="1488"/>
      <c r="AC781" s="1488"/>
      <c r="AD781" s="1488"/>
      <c r="AE781" s="1488"/>
      <c r="AF781" s="1488"/>
      <c r="AG781" s="1488"/>
      <c r="AH781" s="1451">
        <f t="shared" si="416"/>
        <v>0</v>
      </c>
      <c r="AI781" s="1488"/>
      <c r="AJ781" s="1488"/>
      <c r="AK781" s="1488"/>
      <c r="AL781" s="1488"/>
      <c r="AM781" s="1488"/>
      <c r="AN781" s="1488"/>
      <c r="AO781" s="1488"/>
      <c r="AP781" s="1488"/>
      <c r="AQ781" s="1488"/>
      <c r="AR781" s="1488"/>
      <c r="AS781" s="1488"/>
      <c r="AT781" s="1542"/>
      <c r="AU781" s="1599">
        <f t="shared" si="417"/>
        <v>0</v>
      </c>
      <c r="AV781" s="1544">
        <f t="shared" si="445"/>
        <v>0</v>
      </c>
      <c r="AW781" s="1452">
        <f t="shared" si="418"/>
        <v>0</v>
      </c>
      <c r="AX781" s="1452">
        <f t="shared" si="419"/>
        <v>0</v>
      </c>
      <c r="AY781" s="1452">
        <f t="shared" si="420"/>
        <v>0</v>
      </c>
      <c r="AZ781" s="1452">
        <f t="shared" si="421"/>
        <v>0</v>
      </c>
      <c r="BA781" s="1452">
        <f t="shared" si="422"/>
        <v>0</v>
      </c>
      <c r="BB781" s="1452">
        <f t="shared" si="423"/>
        <v>0</v>
      </c>
      <c r="BC781" s="1452">
        <f t="shared" si="424"/>
        <v>0</v>
      </c>
      <c r="BD781" s="1452">
        <f t="shared" si="425"/>
        <v>0</v>
      </c>
      <c r="BE781" s="1452">
        <f t="shared" si="426"/>
        <v>0</v>
      </c>
      <c r="BF781" s="1452">
        <f t="shared" si="427"/>
        <v>0</v>
      </c>
      <c r="BG781" s="1452">
        <f t="shared" si="428"/>
        <v>0</v>
      </c>
      <c r="BH781" s="1452">
        <f t="shared" si="429"/>
        <v>0</v>
      </c>
      <c r="BI781" s="1452">
        <f t="shared" si="446"/>
        <v>0</v>
      </c>
      <c r="BJ781" s="1452" t="str">
        <f t="shared" si="430"/>
        <v/>
      </c>
      <c r="BK781" s="1452" t="str">
        <f t="shared" si="431"/>
        <v/>
      </c>
      <c r="BL781" s="1452" t="str">
        <f t="shared" si="432"/>
        <v/>
      </c>
      <c r="BM781" s="1452" t="str">
        <f t="shared" si="433"/>
        <v/>
      </c>
      <c r="BN781" s="1452" t="str">
        <f t="shared" ca="1" si="434"/>
        <v/>
      </c>
      <c r="BO781" s="1452" t="str">
        <f t="shared" si="447"/>
        <v/>
      </c>
      <c r="BP781" s="1452" t="str">
        <f t="shared" si="435"/>
        <v/>
      </c>
      <c r="BQ781" s="1452" t="str">
        <f t="shared" si="436"/>
        <v/>
      </c>
      <c r="BR781" s="1452" t="str">
        <f t="shared" si="437"/>
        <v/>
      </c>
      <c r="BS781" s="1452" t="str">
        <f t="shared" si="438"/>
        <v/>
      </c>
      <c r="BT781" s="1452" t="str">
        <f t="shared" si="439"/>
        <v/>
      </c>
      <c r="BU781" s="1452" t="str">
        <f t="shared" si="440"/>
        <v/>
      </c>
      <c r="BV781" s="1452" t="str">
        <f t="shared" si="441"/>
        <v/>
      </c>
      <c r="BW781" s="1558">
        <f t="shared" ca="1" si="448"/>
        <v>0</v>
      </c>
    </row>
    <row r="782" spans="1:75" s="9" customFormat="1" ht="12.5">
      <c r="A782" s="1483" t="str">
        <f t="shared" si="442"/>
        <v>Public Health Wales Trust</v>
      </c>
      <c r="B782" s="1583"/>
      <c r="C782" s="1583"/>
      <c r="D782" s="1583"/>
      <c r="E782" s="1581"/>
      <c r="F782" s="1436"/>
      <c r="G782" s="1547">
        <f t="shared" si="443"/>
        <v>0</v>
      </c>
      <c r="H782" s="1484"/>
      <c r="I782" s="1547">
        <f t="shared" si="444"/>
        <v>0</v>
      </c>
      <c r="J782" s="1485"/>
      <c r="K782" s="1485"/>
      <c r="L782" s="1436"/>
      <c r="M782" s="1439"/>
      <c r="N782" s="1439"/>
      <c r="O782" s="1485"/>
      <c r="P782" s="1486"/>
      <c r="Q782" s="1486"/>
      <c r="R782" s="1487"/>
      <c r="S782" s="1444"/>
      <c r="T782" s="1444"/>
      <c r="U782" s="1444"/>
      <c r="V782" s="1488"/>
      <c r="W782" s="1488"/>
      <c r="X782" s="1488"/>
      <c r="Y782" s="1488"/>
      <c r="Z782" s="1488"/>
      <c r="AA782" s="1488"/>
      <c r="AB782" s="1488"/>
      <c r="AC782" s="1488"/>
      <c r="AD782" s="1488"/>
      <c r="AE782" s="1488"/>
      <c r="AF782" s="1488"/>
      <c r="AG782" s="1488"/>
      <c r="AH782" s="1451">
        <f t="shared" si="416"/>
        <v>0</v>
      </c>
      <c r="AI782" s="1488"/>
      <c r="AJ782" s="1488"/>
      <c r="AK782" s="1488"/>
      <c r="AL782" s="1488"/>
      <c r="AM782" s="1488"/>
      <c r="AN782" s="1488"/>
      <c r="AO782" s="1488"/>
      <c r="AP782" s="1488"/>
      <c r="AQ782" s="1488"/>
      <c r="AR782" s="1488"/>
      <c r="AS782" s="1488"/>
      <c r="AT782" s="1542"/>
      <c r="AU782" s="1599">
        <f t="shared" si="417"/>
        <v>0</v>
      </c>
      <c r="AV782" s="1544">
        <f t="shared" si="445"/>
        <v>0</v>
      </c>
      <c r="AW782" s="1452">
        <f t="shared" si="418"/>
        <v>0</v>
      </c>
      <c r="AX782" s="1452">
        <f t="shared" si="419"/>
        <v>0</v>
      </c>
      <c r="AY782" s="1452">
        <f t="shared" si="420"/>
        <v>0</v>
      </c>
      <c r="AZ782" s="1452">
        <f t="shared" si="421"/>
        <v>0</v>
      </c>
      <c r="BA782" s="1452">
        <f t="shared" si="422"/>
        <v>0</v>
      </c>
      <c r="BB782" s="1452">
        <f t="shared" si="423"/>
        <v>0</v>
      </c>
      <c r="BC782" s="1452">
        <f t="shared" si="424"/>
        <v>0</v>
      </c>
      <c r="BD782" s="1452">
        <f t="shared" si="425"/>
        <v>0</v>
      </c>
      <c r="BE782" s="1452">
        <f t="shared" si="426"/>
        <v>0</v>
      </c>
      <c r="BF782" s="1452">
        <f t="shared" si="427"/>
        <v>0</v>
      </c>
      <c r="BG782" s="1452">
        <f t="shared" si="428"/>
        <v>0</v>
      </c>
      <c r="BH782" s="1452">
        <f t="shared" si="429"/>
        <v>0</v>
      </c>
      <c r="BI782" s="1452">
        <f t="shared" si="446"/>
        <v>0</v>
      </c>
      <c r="BJ782" s="1452" t="str">
        <f t="shared" si="430"/>
        <v/>
      </c>
      <c r="BK782" s="1452" t="str">
        <f t="shared" si="431"/>
        <v/>
      </c>
      <c r="BL782" s="1452" t="str">
        <f t="shared" si="432"/>
        <v/>
      </c>
      <c r="BM782" s="1452" t="str">
        <f t="shared" si="433"/>
        <v/>
      </c>
      <c r="BN782" s="1452" t="str">
        <f t="shared" ca="1" si="434"/>
        <v/>
      </c>
      <c r="BO782" s="1452" t="str">
        <f t="shared" si="447"/>
        <v/>
      </c>
      <c r="BP782" s="1452" t="str">
        <f t="shared" si="435"/>
        <v/>
      </c>
      <c r="BQ782" s="1452" t="str">
        <f t="shared" si="436"/>
        <v/>
      </c>
      <c r="BR782" s="1452" t="str">
        <f t="shared" si="437"/>
        <v/>
      </c>
      <c r="BS782" s="1452" t="str">
        <f t="shared" si="438"/>
        <v/>
      </c>
      <c r="BT782" s="1452" t="str">
        <f t="shared" si="439"/>
        <v/>
      </c>
      <c r="BU782" s="1452" t="str">
        <f t="shared" si="440"/>
        <v/>
      </c>
      <c r="BV782" s="1452" t="str">
        <f t="shared" si="441"/>
        <v/>
      </c>
      <c r="BW782" s="1558">
        <f t="shared" ca="1" si="448"/>
        <v>0</v>
      </c>
    </row>
    <row r="783" spans="1:75" s="9" customFormat="1" ht="12.5">
      <c r="A783" s="1483" t="str">
        <f t="shared" si="442"/>
        <v>Public Health Wales Trust</v>
      </c>
      <c r="B783" s="1583"/>
      <c r="C783" s="1583"/>
      <c r="D783" s="1583"/>
      <c r="E783" s="1581"/>
      <c r="F783" s="1436"/>
      <c r="G783" s="1547">
        <f t="shared" si="443"/>
        <v>0</v>
      </c>
      <c r="H783" s="1484"/>
      <c r="I783" s="1547">
        <f t="shared" si="444"/>
        <v>0</v>
      </c>
      <c r="J783" s="1485"/>
      <c r="K783" s="1485"/>
      <c r="L783" s="1436"/>
      <c r="M783" s="1439"/>
      <c r="N783" s="1439"/>
      <c r="O783" s="1485"/>
      <c r="P783" s="1486"/>
      <c r="Q783" s="1486"/>
      <c r="R783" s="1487"/>
      <c r="S783" s="1444"/>
      <c r="T783" s="1444"/>
      <c r="U783" s="1444"/>
      <c r="V783" s="1488"/>
      <c r="W783" s="1488"/>
      <c r="X783" s="1488"/>
      <c r="Y783" s="1488"/>
      <c r="Z783" s="1488"/>
      <c r="AA783" s="1488"/>
      <c r="AB783" s="1488"/>
      <c r="AC783" s="1488"/>
      <c r="AD783" s="1488"/>
      <c r="AE783" s="1488"/>
      <c r="AF783" s="1488"/>
      <c r="AG783" s="1488"/>
      <c r="AH783" s="1451">
        <f t="shared" si="416"/>
        <v>0</v>
      </c>
      <c r="AI783" s="1488"/>
      <c r="AJ783" s="1488"/>
      <c r="AK783" s="1488"/>
      <c r="AL783" s="1488"/>
      <c r="AM783" s="1488"/>
      <c r="AN783" s="1488"/>
      <c r="AO783" s="1488"/>
      <c r="AP783" s="1488"/>
      <c r="AQ783" s="1488"/>
      <c r="AR783" s="1488"/>
      <c r="AS783" s="1488"/>
      <c r="AT783" s="1542"/>
      <c r="AU783" s="1599">
        <f t="shared" si="417"/>
        <v>0</v>
      </c>
      <c r="AV783" s="1544">
        <f t="shared" si="445"/>
        <v>0</v>
      </c>
      <c r="AW783" s="1452">
        <f t="shared" si="418"/>
        <v>0</v>
      </c>
      <c r="AX783" s="1452">
        <f t="shared" si="419"/>
        <v>0</v>
      </c>
      <c r="AY783" s="1452">
        <f t="shared" si="420"/>
        <v>0</v>
      </c>
      <c r="AZ783" s="1452">
        <f t="shared" si="421"/>
        <v>0</v>
      </c>
      <c r="BA783" s="1452">
        <f t="shared" si="422"/>
        <v>0</v>
      </c>
      <c r="BB783" s="1452">
        <f t="shared" si="423"/>
        <v>0</v>
      </c>
      <c r="BC783" s="1452">
        <f t="shared" si="424"/>
        <v>0</v>
      </c>
      <c r="BD783" s="1452">
        <f t="shared" si="425"/>
        <v>0</v>
      </c>
      <c r="BE783" s="1452">
        <f t="shared" si="426"/>
        <v>0</v>
      </c>
      <c r="BF783" s="1452">
        <f t="shared" si="427"/>
        <v>0</v>
      </c>
      <c r="BG783" s="1452">
        <f t="shared" si="428"/>
        <v>0</v>
      </c>
      <c r="BH783" s="1452">
        <f t="shared" si="429"/>
        <v>0</v>
      </c>
      <c r="BI783" s="1452">
        <f t="shared" si="446"/>
        <v>0</v>
      </c>
      <c r="BJ783" s="1452" t="str">
        <f t="shared" si="430"/>
        <v/>
      </c>
      <c r="BK783" s="1452" t="str">
        <f t="shared" si="431"/>
        <v/>
      </c>
      <c r="BL783" s="1452" t="str">
        <f t="shared" si="432"/>
        <v/>
      </c>
      <c r="BM783" s="1452" t="str">
        <f t="shared" si="433"/>
        <v/>
      </c>
      <c r="BN783" s="1452" t="str">
        <f t="shared" ca="1" si="434"/>
        <v/>
      </c>
      <c r="BO783" s="1452" t="str">
        <f t="shared" si="447"/>
        <v/>
      </c>
      <c r="BP783" s="1452" t="str">
        <f t="shared" si="435"/>
        <v/>
      </c>
      <c r="BQ783" s="1452" t="str">
        <f t="shared" si="436"/>
        <v/>
      </c>
      <c r="BR783" s="1452" t="str">
        <f t="shared" si="437"/>
        <v/>
      </c>
      <c r="BS783" s="1452" t="str">
        <f t="shared" si="438"/>
        <v/>
      </c>
      <c r="BT783" s="1452" t="str">
        <f t="shared" si="439"/>
        <v/>
      </c>
      <c r="BU783" s="1452" t="str">
        <f t="shared" si="440"/>
        <v/>
      </c>
      <c r="BV783" s="1452" t="str">
        <f t="shared" si="441"/>
        <v/>
      </c>
      <c r="BW783" s="1558">
        <f t="shared" ca="1" si="448"/>
        <v>0</v>
      </c>
    </row>
    <row r="784" spans="1:75" s="9" customFormat="1" ht="12.5">
      <c r="A784" s="1483" t="str">
        <f t="shared" si="442"/>
        <v>Public Health Wales Trust</v>
      </c>
      <c r="B784" s="1583"/>
      <c r="C784" s="1583"/>
      <c r="D784" s="1583"/>
      <c r="E784" s="1581"/>
      <c r="F784" s="1436"/>
      <c r="G784" s="1547">
        <f t="shared" si="443"/>
        <v>0</v>
      </c>
      <c r="H784" s="1484"/>
      <c r="I784" s="1547">
        <f t="shared" si="444"/>
        <v>0</v>
      </c>
      <c r="J784" s="1485"/>
      <c r="K784" s="1485"/>
      <c r="L784" s="1436"/>
      <c r="M784" s="1439"/>
      <c r="N784" s="1439"/>
      <c r="O784" s="1485"/>
      <c r="P784" s="1486"/>
      <c r="Q784" s="1486"/>
      <c r="R784" s="1487"/>
      <c r="S784" s="1444"/>
      <c r="T784" s="1444"/>
      <c r="U784" s="1444"/>
      <c r="V784" s="1488"/>
      <c r="W784" s="1488"/>
      <c r="X784" s="1488"/>
      <c r="Y784" s="1488"/>
      <c r="Z784" s="1488"/>
      <c r="AA784" s="1488"/>
      <c r="AB784" s="1488"/>
      <c r="AC784" s="1488"/>
      <c r="AD784" s="1488"/>
      <c r="AE784" s="1488"/>
      <c r="AF784" s="1488"/>
      <c r="AG784" s="1488"/>
      <c r="AH784" s="1451">
        <f t="shared" si="416"/>
        <v>0</v>
      </c>
      <c r="AI784" s="1488"/>
      <c r="AJ784" s="1488"/>
      <c r="AK784" s="1488"/>
      <c r="AL784" s="1488"/>
      <c r="AM784" s="1488"/>
      <c r="AN784" s="1488"/>
      <c r="AO784" s="1488"/>
      <c r="AP784" s="1488"/>
      <c r="AQ784" s="1488"/>
      <c r="AR784" s="1488"/>
      <c r="AS784" s="1488"/>
      <c r="AT784" s="1542"/>
      <c r="AU784" s="1599">
        <f t="shared" si="417"/>
        <v>0</v>
      </c>
      <c r="AV784" s="1544">
        <f t="shared" si="445"/>
        <v>0</v>
      </c>
      <c r="AW784" s="1452">
        <f t="shared" si="418"/>
        <v>0</v>
      </c>
      <c r="AX784" s="1452">
        <f t="shared" si="419"/>
        <v>0</v>
      </c>
      <c r="AY784" s="1452">
        <f t="shared" si="420"/>
        <v>0</v>
      </c>
      <c r="AZ784" s="1452">
        <f t="shared" si="421"/>
        <v>0</v>
      </c>
      <c r="BA784" s="1452">
        <f t="shared" si="422"/>
        <v>0</v>
      </c>
      <c r="BB784" s="1452">
        <f t="shared" si="423"/>
        <v>0</v>
      </c>
      <c r="BC784" s="1452">
        <f t="shared" si="424"/>
        <v>0</v>
      </c>
      <c r="BD784" s="1452">
        <f t="shared" si="425"/>
        <v>0</v>
      </c>
      <c r="BE784" s="1452">
        <f t="shared" si="426"/>
        <v>0</v>
      </c>
      <c r="BF784" s="1452">
        <f t="shared" si="427"/>
        <v>0</v>
      </c>
      <c r="BG784" s="1452">
        <f t="shared" si="428"/>
        <v>0</v>
      </c>
      <c r="BH784" s="1452">
        <f t="shared" si="429"/>
        <v>0</v>
      </c>
      <c r="BI784" s="1452">
        <f t="shared" si="446"/>
        <v>0</v>
      </c>
      <c r="BJ784" s="1452" t="str">
        <f t="shared" si="430"/>
        <v/>
      </c>
      <c r="BK784" s="1452" t="str">
        <f t="shared" si="431"/>
        <v/>
      </c>
      <c r="BL784" s="1452" t="str">
        <f t="shared" si="432"/>
        <v/>
      </c>
      <c r="BM784" s="1452" t="str">
        <f t="shared" si="433"/>
        <v/>
      </c>
      <c r="BN784" s="1452" t="str">
        <f t="shared" ca="1" si="434"/>
        <v/>
      </c>
      <c r="BO784" s="1452" t="str">
        <f t="shared" si="447"/>
        <v/>
      </c>
      <c r="BP784" s="1452" t="str">
        <f t="shared" si="435"/>
        <v/>
      </c>
      <c r="BQ784" s="1452" t="str">
        <f t="shared" si="436"/>
        <v/>
      </c>
      <c r="BR784" s="1452" t="str">
        <f t="shared" si="437"/>
        <v/>
      </c>
      <c r="BS784" s="1452" t="str">
        <f t="shared" si="438"/>
        <v/>
      </c>
      <c r="BT784" s="1452" t="str">
        <f t="shared" si="439"/>
        <v/>
      </c>
      <c r="BU784" s="1452" t="str">
        <f t="shared" si="440"/>
        <v/>
      </c>
      <c r="BV784" s="1452" t="str">
        <f t="shared" si="441"/>
        <v/>
      </c>
      <c r="BW784" s="1558">
        <f t="shared" ca="1" si="448"/>
        <v>0</v>
      </c>
    </row>
    <row r="785" spans="1:75" s="9" customFormat="1" ht="12.5">
      <c r="A785" s="1483" t="str">
        <f t="shared" si="442"/>
        <v>Public Health Wales Trust</v>
      </c>
      <c r="B785" s="1583"/>
      <c r="C785" s="1583"/>
      <c r="D785" s="1583"/>
      <c r="E785" s="1581"/>
      <c r="F785" s="1436"/>
      <c r="G785" s="1547">
        <f t="shared" si="443"/>
        <v>0</v>
      </c>
      <c r="H785" s="1484"/>
      <c r="I785" s="1547">
        <f t="shared" si="444"/>
        <v>0</v>
      </c>
      <c r="J785" s="1485"/>
      <c r="K785" s="1485"/>
      <c r="L785" s="1436"/>
      <c r="M785" s="1439"/>
      <c r="N785" s="1439"/>
      <c r="O785" s="1485"/>
      <c r="P785" s="1486"/>
      <c r="Q785" s="1486"/>
      <c r="R785" s="1487"/>
      <c r="S785" s="1444"/>
      <c r="T785" s="1444"/>
      <c r="U785" s="1444"/>
      <c r="V785" s="1488"/>
      <c r="W785" s="1488"/>
      <c r="X785" s="1488"/>
      <c r="Y785" s="1488"/>
      <c r="Z785" s="1488"/>
      <c r="AA785" s="1488"/>
      <c r="AB785" s="1488"/>
      <c r="AC785" s="1488"/>
      <c r="AD785" s="1488"/>
      <c r="AE785" s="1488"/>
      <c r="AF785" s="1488"/>
      <c r="AG785" s="1488"/>
      <c r="AH785" s="1451">
        <f t="shared" si="416"/>
        <v>0</v>
      </c>
      <c r="AI785" s="1488"/>
      <c r="AJ785" s="1488"/>
      <c r="AK785" s="1488"/>
      <c r="AL785" s="1488"/>
      <c r="AM785" s="1488"/>
      <c r="AN785" s="1488"/>
      <c r="AO785" s="1488"/>
      <c r="AP785" s="1488"/>
      <c r="AQ785" s="1488"/>
      <c r="AR785" s="1488"/>
      <c r="AS785" s="1488"/>
      <c r="AT785" s="1542"/>
      <c r="AU785" s="1599">
        <f t="shared" si="417"/>
        <v>0</v>
      </c>
      <c r="AV785" s="1544">
        <f t="shared" si="445"/>
        <v>0</v>
      </c>
      <c r="AW785" s="1452">
        <f t="shared" si="418"/>
        <v>0</v>
      </c>
      <c r="AX785" s="1452">
        <f t="shared" si="419"/>
        <v>0</v>
      </c>
      <c r="AY785" s="1452">
        <f t="shared" si="420"/>
        <v>0</v>
      </c>
      <c r="AZ785" s="1452">
        <f t="shared" si="421"/>
        <v>0</v>
      </c>
      <c r="BA785" s="1452">
        <f t="shared" si="422"/>
        <v>0</v>
      </c>
      <c r="BB785" s="1452">
        <f t="shared" si="423"/>
        <v>0</v>
      </c>
      <c r="BC785" s="1452">
        <f t="shared" si="424"/>
        <v>0</v>
      </c>
      <c r="BD785" s="1452">
        <f t="shared" si="425"/>
        <v>0</v>
      </c>
      <c r="BE785" s="1452">
        <f t="shared" si="426"/>
        <v>0</v>
      </c>
      <c r="BF785" s="1452">
        <f t="shared" si="427"/>
        <v>0</v>
      </c>
      <c r="BG785" s="1452">
        <f t="shared" si="428"/>
        <v>0</v>
      </c>
      <c r="BH785" s="1452">
        <f t="shared" si="429"/>
        <v>0</v>
      </c>
      <c r="BI785" s="1452">
        <f t="shared" si="446"/>
        <v>0</v>
      </c>
      <c r="BJ785" s="1452" t="str">
        <f t="shared" si="430"/>
        <v/>
      </c>
      <c r="BK785" s="1452" t="str">
        <f t="shared" si="431"/>
        <v/>
      </c>
      <c r="BL785" s="1452" t="str">
        <f t="shared" si="432"/>
        <v/>
      </c>
      <c r="BM785" s="1452" t="str">
        <f t="shared" si="433"/>
        <v/>
      </c>
      <c r="BN785" s="1452" t="str">
        <f t="shared" ca="1" si="434"/>
        <v/>
      </c>
      <c r="BO785" s="1452" t="str">
        <f t="shared" si="447"/>
        <v/>
      </c>
      <c r="BP785" s="1452" t="str">
        <f t="shared" si="435"/>
        <v/>
      </c>
      <c r="BQ785" s="1452" t="str">
        <f t="shared" si="436"/>
        <v/>
      </c>
      <c r="BR785" s="1452" t="str">
        <f t="shared" si="437"/>
        <v/>
      </c>
      <c r="BS785" s="1452" t="str">
        <f t="shared" si="438"/>
        <v/>
      </c>
      <c r="BT785" s="1452" t="str">
        <f t="shared" si="439"/>
        <v/>
      </c>
      <c r="BU785" s="1452" t="str">
        <f t="shared" si="440"/>
        <v/>
      </c>
      <c r="BV785" s="1452" t="str">
        <f t="shared" si="441"/>
        <v/>
      </c>
      <c r="BW785" s="1558">
        <f t="shared" ca="1" si="448"/>
        <v>0</v>
      </c>
    </row>
    <row r="786" spans="1:75" s="9" customFormat="1" ht="12.5">
      <c r="A786" s="1483" t="str">
        <f t="shared" si="442"/>
        <v>Public Health Wales Trust</v>
      </c>
      <c r="B786" s="1587"/>
      <c r="C786" s="1587"/>
      <c r="D786" s="1587"/>
      <c r="E786" s="1590"/>
      <c r="F786" s="1436"/>
      <c r="G786" s="1547">
        <f t="shared" si="443"/>
        <v>0</v>
      </c>
      <c r="H786" s="1484"/>
      <c r="I786" s="1547">
        <f t="shared" si="444"/>
        <v>0</v>
      </c>
      <c r="J786" s="1493"/>
      <c r="K786" s="1493"/>
      <c r="L786" s="1436"/>
      <c r="M786" s="1441"/>
      <c r="N786" s="1441"/>
      <c r="O786" s="1485"/>
      <c r="P786" s="1486"/>
      <c r="Q786" s="1486"/>
      <c r="R786" s="1487"/>
      <c r="S786" s="1444"/>
      <c r="T786" s="1444"/>
      <c r="U786" s="1444"/>
      <c r="V786" s="1488"/>
      <c r="W786" s="1488"/>
      <c r="X786" s="1488"/>
      <c r="Y786" s="1488"/>
      <c r="Z786" s="1488"/>
      <c r="AA786" s="1488"/>
      <c r="AB786" s="1488"/>
      <c r="AC786" s="1488"/>
      <c r="AD786" s="1488"/>
      <c r="AE786" s="1488"/>
      <c r="AF786" s="1488"/>
      <c r="AG786" s="1488"/>
      <c r="AH786" s="1451">
        <f t="shared" si="416"/>
        <v>0</v>
      </c>
      <c r="AI786" s="1488"/>
      <c r="AJ786" s="1488"/>
      <c r="AK786" s="1488"/>
      <c r="AL786" s="1488"/>
      <c r="AM786" s="1488"/>
      <c r="AN786" s="1488"/>
      <c r="AO786" s="1488"/>
      <c r="AP786" s="1488"/>
      <c r="AQ786" s="1488"/>
      <c r="AR786" s="1488"/>
      <c r="AS786" s="1488"/>
      <c r="AT786" s="1542"/>
      <c r="AU786" s="1599">
        <f t="shared" si="417"/>
        <v>0</v>
      </c>
      <c r="AV786" s="1544">
        <f t="shared" si="445"/>
        <v>0</v>
      </c>
      <c r="AW786" s="1452">
        <f t="shared" si="418"/>
        <v>0</v>
      </c>
      <c r="AX786" s="1452">
        <f t="shared" si="419"/>
        <v>0</v>
      </c>
      <c r="AY786" s="1452">
        <f t="shared" si="420"/>
        <v>0</v>
      </c>
      <c r="AZ786" s="1452">
        <f t="shared" si="421"/>
        <v>0</v>
      </c>
      <c r="BA786" s="1452">
        <f t="shared" si="422"/>
        <v>0</v>
      </c>
      <c r="BB786" s="1452">
        <f t="shared" si="423"/>
        <v>0</v>
      </c>
      <c r="BC786" s="1452">
        <f t="shared" si="424"/>
        <v>0</v>
      </c>
      <c r="BD786" s="1452">
        <f t="shared" si="425"/>
        <v>0</v>
      </c>
      <c r="BE786" s="1452">
        <f t="shared" si="426"/>
        <v>0</v>
      </c>
      <c r="BF786" s="1452">
        <f t="shared" si="427"/>
        <v>0</v>
      </c>
      <c r="BG786" s="1452">
        <f t="shared" si="428"/>
        <v>0</v>
      </c>
      <c r="BH786" s="1452">
        <f t="shared" si="429"/>
        <v>0</v>
      </c>
      <c r="BI786" s="1452">
        <f t="shared" si="446"/>
        <v>0</v>
      </c>
      <c r="BJ786" s="1452" t="str">
        <f t="shared" si="430"/>
        <v/>
      </c>
      <c r="BK786" s="1452" t="str">
        <f t="shared" si="431"/>
        <v/>
      </c>
      <c r="BL786" s="1452" t="str">
        <f t="shared" si="432"/>
        <v/>
      </c>
      <c r="BM786" s="1452" t="str">
        <f t="shared" si="433"/>
        <v/>
      </c>
      <c r="BN786" s="1452" t="str">
        <f t="shared" ca="1" si="434"/>
        <v/>
      </c>
      <c r="BO786" s="1452" t="str">
        <f t="shared" si="447"/>
        <v/>
      </c>
      <c r="BP786" s="1452" t="str">
        <f t="shared" si="435"/>
        <v/>
      </c>
      <c r="BQ786" s="1452" t="str">
        <f t="shared" si="436"/>
        <v/>
      </c>
      <c r="BR786" s="1452" t="str">
        <f t="shared" si="437"/>
        <v/>
      </c>
      <c r="BS786" s="1452" t="str">
        <f t="shared" si="438"/>
        <v/>
      </c>
      <c r="BT786" s="1452" t="str">
        <f t="shared" si="439"/>
        <v/>
      </c>
      <c r="BU786" s="1452" t="str">
        <f t="shared" si="440"/>
        <v/>
      </c>
      <c r="BV786" s="1452" t="str">
        <f t="shared" si="441"/>
        <v/>
      </c>
      <c r="BW786" s="1558">
        <f t="shared" ca="1" si="448"/>
        <v>0</v>
      </c>
    </row>
    <row r="787" spans="1:75" s="9" customFormat="1" ht="12.5">
      <c r="A787" s="1483" t="str">
        <f t="shared" si="442"/>
        <v>Public Health Wales Trust</v>
      </c>
      <c r="B787" s="1583"/>
      <c r="C787" s="1583"/>
      <c r="D787" s="1583"/>
      <c r="E787" s="1510"/>
      <c r="F787" s="1436"/>
      <c r="G787" s="1547">
        <f t="shared" si="443"/>
        <v>0</v>
      </c>
      <c r="H787" s="1484"/>
      <c r="I787" s="1547">
        <f t="shared" si="444"/>
        <v>0</v>
      </c>
      <c r="J787" s="1485"/>
      <c r="K787" s="1485"/>
      <c r="L787" s="1436"/>
      <c r="M787" s="1439"/>
      <c r="N787" s="1439"/>
      <c r="O787" s="1485"/>
      <c r="P787" s="1486"/>
      <c r="Q787" s="1486"/>
      <c r="R787" s="1487"/>
      <c r="S787" s="1444"/>
      <c r="T787" s="1444"/>
      <c r="U787" s="1444"/>
      <c r="V787" s="1488"/>
      <c r="W787" s="1488"/>
      <c r="X787" s="1488"/>
      <c r="Y787" s="1488"/>
      <c r="Z787" s="1488"/>
      <c r="AA787" s="1488"/>
      <c r="AB787" s="1488"/>
      <c r="AC787" s="1488"/>
      <c r="AD787" s="1488"/>
      <c r="AE787" s="1488"/>
      <c r="AF787" s="1488"/>
      <c r="AG787" s="1488"/>
      <c r="AH787" s="1451">
        <f t="shared" si="416"/>
        <v>0</v>
      </c>
      <c r="AI787" s="1488"/>
      <c r="AJ787" s="1488"/>
      <c r="AK787" s="1488"/>
      <c r="AL787" s="1488"/>
      <c r="AM787" s="1488"/>
      <c r="AN787" s="1488"/>
      <c r="AO787" s="1488"/>
      <c r="AP787" s="1488"/>
      <c r="AQ787" s="1488"/>
      <c r="AR787" s="1488"/>
      <c r="AS787" s="1488"/>
      <c r="AT787" s="1542"/>
      <c r="AU787" s="1599">
        <f t="shared" si="417"/>
        <v>0</v>
      </c>
      <c r="AV787" s="1544">
        <f t="shared" si="445"/>
        <v>0</v>
      </c>
      <c r="AW787" s="1452">
        <f t="shared" si="418"/>
        <v>0</v>
      </c>
      <c r="AX787" s="1452">
        <f t="shared" si="419"/>
        <v>0</v>
      </c>
      <c r="AY787" s="1452">
        <f t="shared" si="420"/>
        <v>0</v>
      </c>
      <c r="AZ787" s="1452">
        <f t="shared" si="421"/>
        <v>0</v>
      </c>
      <c r="BA787" s="1452">
        <f t="shared" si="422"/>
        <v>0</v>
      </c>
      <c r="BB787" s="1452">
        <f t="shared" si="423"/>
        <v>0</v>
      </c>
      <c r="BC787" s="1452">
        <f t="shared" si="424"/>
        <v>0</v>
      </c>
      <c r="BD787" s="1452">
        <f t="shared" si="425"/>
        <v>0</v>
      </c>
      <c r="BE787" s="1452">
        <f t="shared" si="426"/>
        <v>0</v>
      </c>
      <c r="BF787" s="1452">
        <f t="shared" si="427"/>
        <v>0</v>
      </c>
      <c r="BG787" s="1452">
        <f t="shared" si="428"/>
        <v>0</v>
      </c>
      <c r="BH787" s="1452">
        <f t="shared" si="429"/>
        <v>0</v>
      </c>
      <c r="BI787" s="1452">
        <f t="shared" si="446"/>
        <v>0</v>
      </c>
      <c r="BJ787" s="1452" t="str">
        <f t="shared" si="430"/>
        <v/>
      </c>
      <c r="BK787" s="1452" t="str">
        <f t="shared" si="431"/>
        <v/>
      </c>
      <c r="BL787" s="1452" t="str">
        <f t="shared" si="432"/>
        <v/>
      </c>
      <c r="BM787" s="1452" t="str">
        <f t="shared" si="433"/>
        <v/>
      </c>
      <c r="BN787" s="1452" t="str">
        <f t="shared" ca="1" si="434"/>
        <v/>
      </c>
      <c r="BO787" s="1452" t="str">
        <f t="shared" si="447"/>
        <v/>
      </c>
      <c r="BP787" s="1452" t="str">
        <f t="shared" si="435"/>
        <v/>
      </c>
      <c r="BQ787" s="1452" t="str">
        <f t="shared" si="436"/>
        <v/>
      </c>
      <c r="BR787" s="1452" t="str">
        <f t="shared" si="437"/>
        <v/>
      </c>
      <c r="BS787" s="1452" t="str">
        <f t="shared" si="438"/>
        <v/>
      </c>
      <c r="BT787" s="1452" t="str">
        <f t="shared" si="439"/>
        <v/>
      </c>
      <c r="BU787" s="1452" t="str">
        <f t="shared" si="440"/>
        <v/>
      </c>
      <c r="BV787" s="1452" t="str">
        <f t="shared" si="441"/>
        <v/>
      </c>
      <c r="BW787" s="1558">
        <f t="shared" ca="1" si="448"/>
        <v>0</v>
      </c>
    </row>
    <row r="788" spans="1:75" s="9" customFormat="1" ht="12.5">
      <c r="A788" s="1483" t="str">
        <f t="shared" si="442"/>
        <v>Public Health Wales Trust</v>
      </c>
      <c r="B788" s="1583"/>
      <c r="C788" s="1583"/>
      <c r="D788" s="1583"/>
      <c r="E788" s="1510"/>
      <c r="F788" s="1436"/>
      <c r="G788" s="1547">
        <f t="shared" si="443"/>
        <v>0</v>
      </c>
      <c r="H788" s="1484"/>
      <c r="I788" s="1547">
        <f t="shared" si="444"/>
        <v>0</v>
      </c>
      <c r="J788" s="1485"/>
      <c r="K788" s="1485"/>
      <c r="L788" s="1436"/>
      <c r="M788" s="1439"/>
      <c r="N788" s="1439"/>
      <c r="O788" s="1485"/>
      <c r="P788" s="1486"/>
      <c r="Q788" s="1486"/>
      <c r="R788" s="1487"/>
      <c r="S788" s="1444"/>
      <c r="T788" s="1444"/>
      <c r="U788" s="1444"/>
      <c r="V788" s="1488"/>
      <c r="W788" s="1488"/>
      <c r="X788" s="1488"/>
      <c r="Y788" s="1488"/>
      <c r="Z788" s="1488"/>
      <c r="AA788" s="1488"/>
      <c r="AB788" s="1488"/>
      <c r="AC788" s="1488"/>
      <c r="AD788" s="1488"/>
      <c r="AE788" s="1488"/>
      <c r="AF788" s="1488"/>
      <c r="AG788" s="1488"/>
      <c r="AH788" s="1451">
        <f t="shared" si="416"/>
        <v>0</v>
      </c>
      <c r="AI788" s="1488"/>
      <c r="AJ788" s="1488"/>
      <c r="AK788" s="1488"/>
      <c r="AL788" s="1488"/>
      <c r="AM788" s="1488"/>
      <c r="AN788" s="1488"/>
      <c r="AO788" s="1488"/>
      <c r="AP788" s="1488"/>
      <c r="AQ788" s="1488"/>
      <c r="AR788" s="1488"/>
      <c r="AS788" s="1488"/>
      <c r="AT788" s="1542"/>
      <c r="AU788" s="1599">
        <f t="shared" si="417"/>
        <v>0</v>
      </c>
      <c r="AV788" s="1544">
        <f t="shared" si="445"/>
        <v>0</v>
      </c>
      <c r="AW788" s="1452">
        <f t="shared" si="418"/>
        <v>0</v>
      </c>
      <c r="AX788" s="1452">
        <f t="shared" si="419"/>
        <v>0</v>
      </c>
      <c r="AY788" s="1452">
        <f t="shared" si="420"/>
        <v>0</v>
      </c>
      <c r="AZ788" s="1452">
        <f t="shared" si="421"/>
        <v>0</v>
      </c>
      <c r="BA788" s="1452">
        <f t="shared" si="422"/>
        <v>0</v>
      </c>
      <c r="BB788" s="1452">
        <f t="shared" si="423"/>
        <v>0</v>
      </c>
      <c r="BC788" s="1452">
        <f t="shared" si="424"/>
        <v>0</v>
      </c>
      <c r="BD788" s="1452">
        <f t="shared" si="425"/>
        <v>0</v>
      </c>
      <c r="BE788" s="1452">
        <f t="shared" si="426"/>
        <v>0</v>
      </c>
      <c r="BF788" s="1452">
        <f t="shared" si="427"/>
        <v>0</v>
      </c>
      <c r="BG788" s="1452">
        <f t="shared" si="428"/>
        <v>0</v>
      </c>
      <c r="BH788" s="1452">
        <f t="shared" si="429"/>
        <v>0</v>
      </c>
      <c r="BI788" s="1452">
        <f t="shared" si="446"/>
        <v>0</v>
      </c>
      <c r="BJ788" s="1452" t="str">
        <f t="shared" si="430"/>
        <v/>
      </c>
      <c r="BK788" s="1452" t="str">
        <f t="shared" si="431"/>
        <v/>
      </c>
      <c r="BL788" s="1452" t="str">
        <f t="shared" si="432"/>
        <v/>
      </c>
      <c r="BM788" s="1452" t="str">
        <f t="shared" si="433"/>
        <v/>
      </c>
      <c r="BN788" s="1452" t="str">
        <f t="shared" ca="1" si="434"/>
        <v/>
      </c>
      <c r="BO788" s="1452" t="str">
        <f t="shared" si="447"/>
        <v/>
      </c>
      <c r="BP788" s="1452" t="str">
        <f t="shared" si="435"/>
        <v/>
      </c>
      <c r="BQ788" s="1452" t="str">
        <f t="shared" si="436"/>
        <v/>
      </c>
      <c r="BR788" s="1452" t="str">
        <f t="shared" si="437"/>
        <v/>
      </c>
      <c r="BS788" s="1452" t="str">
        <f t="shared" si="438"/>
        <v/>
      </c>
      <c r="BT788" s="1452" t="str">
        <f t="shared" si="439"/>
        <v/>
      </c>
      <c r="BU788" s="1452" t="str">
        <f t="shared" si="440"/>
        <v/>
      </c>
      <c r="BV788" s="1452" t="str">
        <f t="shared" si="441"/>
        <v/>
      </c>
      <c r="BW788" s="1558">
        <f t="shared" ca="1" si="448"/>
        <v>0</v>
      </c>
    </row>
    <row r="789" spans="1:75" s="9" customFormat="1" ht="12.5">
      <c r="A789" s="1483" t="str">
        <f t="shared" si="442"/>
        <v>Public Health Wales Trust</v>
      </c>
      <c r="B789" s="1583"/>
      <c r="C789" s="1583"/>
      <c r="D789" s="1583"/>
      <c r="E789" s="1510"/>
      <c r="F789" s="1436"/>
      <c r="G789" s="1547">
        <f t="shared" si="443"/>
        <v>0</v>
      </c>
      <c r="H789" s="1484"/>
      <c r="I789" s="1547">
        <f t="shared" si="444"/>
        <v>0</v>
      </c>
      <c r="J789" s="1485"/>
      <c r="K789" s="1485"/>
      <c r="L789" s="1436"/>
      <c r="M789" s="1439"/>
      <c r="N789" s="1439"/>
      <c r="O789" s="1485"/>
      <c r="P789" s="1486"/>
      <c r="Q789" s="1486"/>
      <c r="R789" s="1487"/>
      <c r="S789" s="1444"/>
      <c r="T789" s="1444"/>
      <c r="U789" s="1444"/>
      <c r="V789" s="1488"/>
      <c r="W789" s="1488"/>
      <c r="X789" s="1488"/>
      <c r="Y789" s="1488"/>
      <c r="Z789" s="1488"/>
      <c r="AA789" s="1488"/>
      <c r="AB789" s="1488"/>
      <c r="AC789" s="1488"/>
      <c r="AD789" s="1488"/>
      <c r="AE789" s="1488"/>
      <c r="AF789" s="1488"/>
      <c r="AG789" s="1488"/>
      <c r="AH789" s="1451">
        <f t="shared" si="416"/>
        <v>0</v>
      </c>
      <c r="AI789" s="1488"/>
      <c r="AJ789" s="1488"/>
      <c r="AK789" s="1488"/>
      <c r="AL789" s="1488"/>
      <c r="AM789" s="1488"/>
      <c r="AN789" s="1488"/>
      <c r="AO789" s="1488"/>
      <c r="AP789" s="1488"/>
      <c r="AQ789" s="1488"/>
      <c r="AR789" s="1488"/>
      <c r="AS789" s="1488"/>
      <c r="AT789" s="1542"/>
      <c r="AU789" s="1599">
        <f t="shared" si="417"/>
        <v>0</v>
      </c>
      <c r="AV789" s="1544">
        <f t="shared" si="445"/>
        <v>0</v>
      </c>
      <c r="AW789" s="1452">
        <f t="shared" si="418"/>
        <v>0</v>
      </c>
      <c r="AX789" s="1452">
        <f t="shared" si="419"/>
        <v>0</v>
      </c>
      <c r="AY789" s="1452">
        <f t="shared" si="420"/>
        <v>0</v>
      </c>
      <c r="AZ789" s="1452">
        <f t="shared" si="421"/>
        <v>0</v>
      </c>
      <c r="BA789" s="1452">
        <f t="shared" si="422"/>
        <v>0</v>
      </c>
      <c r="BB789" s="1452">
        <f t="shared" si="423"/>
        <v>0</v>
      </c>
      <c r="BC789" s="1452">
        <f t="shared" si="424"/>
        <v>0</v>
      </c>
      <c r="BD789" s="1452">
        <f t="shared" si="425"/>
        <v>0</v>
      </c>
      <c r="BE789" s="1452">
        <f t="shared" si="426"/>
        <v>0</v>
      </c>
      <c r="BF789" s="1452">
        <f t="shared" si="427"/>
        <v>0</v>
      </c>
      <c r="BG789" s="1452">
        <f t="shared" si="428"/>
        <v>0</v>
      </c>
      <c r="BH789" s="1452">
        <f t="shared" si="429"/>
        <v>0</v>
      </c>
      <c r="BI789" s="1452">
        <f t="shared" si="446"/>
        <v>0</v>
      </c>
      <c r="BJ789" s="1452" t="str">
        <f t="shared" si="430"/>
        <v/>
      </c>
      <c r="BK789" s="1452" t="str">
        <f t="shared" si="431"/>
        <v/>
      </c>
      <c r="BL789" s="1452" t="str">
        <f t="shared" si="432"/>
        <v/>
      </c>
      <c r="BM789" s="1452" t="str">
        <f t="shared" si="433"/>
        <v/>
      </c>
      <c r="BN789" s="1452" t="str">
        <f t="shared" ca="1" si="434"/>
        <v/>
      </c>
      <c r="BO789" s="1452" t="str">
        <f t="shared" si="447"/>
        <v/>
      </c>
      <c r="BP789" s="1452" t="str">
        <f t="shared" si="435"/>
        <v/>
      </c>
      <c r="BQ789" s="1452" t="str">
        <f t="shared" si="436"/>
        <v/>
      </c>
      <c r="BR789" s="1452" t="str">
        <f t="shared" si="437"/>
        <v/>
      </c>
      <c r="BS789" s="1452" t="str">
        <f t="shared" si="438"/>
        <v/>
      </c>
      <c r="BT789" s="1452" t="str">
        <f t="shared" si="439"/>
        <v/>
      </c>
      <c r="BU789" s="1452" t="str">
        <f t="shared" si="440"/>
        <v/>
      </c>
      <c r="BV789" s="1452" t="str">
        <f t="shared" si="441"/>
        <v/>
      </c>
      <c r="BW789" s="1558">
        <f t="shared" ca="1" si="448"/>
        <v>0</v>
      </c>
    </row>
    <row r="790" spans="1:75" s="9" customFormat="1" ht="12.5">
      <c r="A790" s="1483" t="str">
        <f t="shared" si="442"/>
        <v>Public Health Wales Trust</v>
      </c>
      <c r="B790" s="1587"/>
      <c r="C790" s="1587"/>
      <c r="D790" s="1587"/>
      <c r="E790" s="1589"/>
      <c r="F790" s="1436"/>
      <c r="G790" s="1547">
        <f t="shared" si="443"/>
        <v>0</v>
      </c>
      <c r="H790" s="1484"/>
      <c r="I790" s="1547">
        <f t="shared" si="444"/>
        <v>0</v>
      </c>
      <c r="J790" s="1493"/>
      <c r="K790" s="1493"/>
      <c r="L790" s="1436"/>
      <c r="M790" s="1441"/>
      <c r="N790" s="1441"/>
      <c r="O790" s="1485"/>
      <c r="P790" s="1486"/>
      <c r="Q790" s="1486"/>
      <c r="R790" s="1487"/>
      <c r="S790" s="1444"/>
      <c r="T790" s="1444"/>
      <c r="U790" s="1444"/>
      <c r="V790" s="1488"/>
      <c r="W790" s="1488"/>
      <c r="X790" s="1488"/>
      <c r="Y790" s="1488"/>
      <c r="Z790" s="1488"/>
      <c r="AA790" s="1488"/>
      <c r="AB790" s="1488"/>
      <c r="AC790" s="1488"/>
      <c r="AD790" s="1488"/>
      <c r="AE790" s="1488"/>
      <c r="AF790" s="1488"/>
      <c r="AG790" s="1488"/>
      <c r="AH790" s="1451">
        <f t="shared" si="416"/>
        <v>0</v>
      </c>
      <c r="AI790" s="1488"/>
      <c r="AJ790" s="1488"/>
      <c r="AK790" s="1488"/>
      <c r="AL790" s="1488"/>
      <c r="AM790" s="1488"/>
      <c r="AN790" s="1488"/>
      <c r="AO790" s="1488"/>
      <c r="AP790" s="1488"/>
      <c r="AQ790" s="1488"/>
      <c r="AR790" s="1488"/>
      <c r="AS790" s="1488"/>
      <c r="AT790" s="1542"/>
      <c r="AU790" s="1599">
        <f t="shared" si="417"/>
        <v>0</v>
      </c>
      <c r="AV790" s="1544">
        <f t="shared" si="445"/>
        <v>0</v>
      </c>
      <c r="AW790" s="1452">
        <f t="shared" si="418"/>
        <v>0</v>
      </c>
      <c r="AX790" s="1452">
        <f t="shared" si="419"/>
        <v>0</v>
      </c>
      <c r="AY790" s="1452">
        <f t="shared" si="420"/>
        <v>0</v>
      </c>
      <c r="AZ790" s="1452">
        <f t="shared" si="421"/>
        <v>0</v>
      </c>
      <c r="BA790" s="1452">
        <f t="shared" si="422"/>
        <v>0</v>
      </c>
      <c r="BB790" s="1452">
        <f t="shared" si="423"/>
        <v>0</v>
      </c>
      <c r="BC790" s="1452">
        <f t="shared" si="424"/>
        <v>0</v>
      </c>
      <c r="BD790" s="1452">
        <f t="shared" si="425"/>
        <v>0</v>
      </c>
      <c r="BE790" s="1452">
        <f t="shared" si="426"/>
        <v>0</v>
      </c>
      <c r="BF790" s="1452">
        <f t="shared" si="427"/>
        <v>0</v>
      </c>
      <c r="BG790" s="1452">
        <f t="shared" si="428"/>
        <v>0</v>
      </c>
      <c r="BH790" s="1452">
        <f t="shared" si="429"/>
        <v>0</v>
      </c>
      <c r="BI790" s="1452">
        <f t="shared" si="446"/>
        <v>0</v>
      </c>
      <c r="BJ790" s="1452" t="str">
        <f t="shared" si="430"/>
        <v/>
      </c>
      <c r="BK790" s="1452" t="str">
        <f t="shared" si="431"/>
        <v/>
      </c>
      <c r="BL790" s="1452" t="str">
        <f t="shared" si="432"/>
        <v/>
      </c>
      <c r="BM790" s="1452" t="str">
        <f t="shared" si="433"/>
        <v/>
      </c>
      <c r="BN790" s="1452" t="str">
        <f t="shared" ca="1" si="434"/>
        <v/>
      </c>
      <c r="BO790" s="1452" t="str">
        <f t="shared" si="447"/>
        <v/>
      </c>
      <c r="BP790" s="1452" t="str">
        <f t="shared" si="435"/>
        <v/>
      </c>
      <c r="BQ790" s="1452" t="str">
        <f t="shared" si="436"/>
        <v/>
      </c>
      <c r="BR790" s="1452" t="str">
        <f t="shared" si="437"/>
        <v/>
      </c>
      <c r="BS790" s="1452" t="str">
        <f t="shared" si="438"/>
        <v/>
      </c>
      <c r="BT790" s="1452" t="str">
        <f t="shared" si="439"/>
        <v/>
      </c>
      <c r="BU790" s="1452" t="str">
        <f t="shared" si="440"/>
        <v/>
      </c>
      <c r="BV790" s="1452" t="str">
        <f t="shared" si="441"/>
        <v/>
      </c>
      <c r="BW790" s="1558">
        <f t="shared" ca="1" si="448"/>
        <v>0</v>
      </c>
    </row>
    <row r="791" spans="1:75" s="9" customFormat="1" ht="12.5">
      <c r="A791" s="1483" t="str">
        <f t="shared" si="442"/>
        <v>Public Health Wales Trust</v>
      </c>
      <c r="B791" s="1583"/>
      <c r="C791" s="1583"/>
      <c r="D791" s="1583"/>
      <c r="E791" s="1581"/>
      <c r="F791" s="1436"/>
      <c r="G791" s="1547">
        <f t="shared" si="443"/>
        <v>0</v>
      </c>
      <c r="H791" s="1484"/>
      <c r="I791" s="1547">
        <f t="shared" si="444"/>
        <v>0</v>
      </c>
      <c r="J791" s="1491"/>
      <c r="K791" s="1491"/>
      <c r="L791" s="1436"/>
      <c r="M791" s="1439"/>
      <c r="N791" s="1439"/>
      <c r="O791" s="1485"/>
      <c r="P791" s="1486"/>
      <c r="Q791" s="1486"/>
      <c r="R791" s="1487"/>
      <c r="S791" s="1444"/>
      <c r="T791" s="1444"/>
      <c r="U791" s="1444"/>
      <c r="V791" s="1488"/>
      <c r="W791" s="1488"/>
      <c r="X791" s="1488"/>
      <c r="Y791" s="1488"/>
      <c r="Z791" s="1488"/>
      <c r="AA791" s="1488"/>
      <c r="AB791" s="1488"/>
      <c r="AC791" s="1488"/>
      <c r="AD791" s="1488"/>
      <c r="AE791" s="1488"/>
      <c r="AF791" s="1488"/>
      <c r="AG791" s="1488"/>
      <c r="AH791" s="1451">
        <f t="shared" si="416"/>
        <v>0</v>
      </c>
      <c r="AI791" s="1488"/>
      <c r="AJ791" s="1488"/>
      <c r="AK791" s="1488"/>
      <c r="AL791" s="1488"/>
      <c r="AM791" s="1488"/>
      <c r="AN791" s="1488"/>
      <c r="AO791" s="1488"/>
      <c r="AP791" s="1488"/>
      <c r="AQ791" s="1488"/>
      <c r="AR791" s="1488"/>
      <c r="AS791" s="1488"/>
      <c r="AT791" s="1542"/>
      <c r="AU791" s="1599">
        <f t="shared" si="417"/>
        <v>0</v>
      </c>
      <c r="AV791" s="1544">
        <f t="shared" si="445"/>
        <v>0</v>
      </c>
      <c r="AW791" s="1452">
        <f t="shared" si="418"/>
        <v>0</v>
      </c>
      <c r="AX791" s="1452">
        <f t="shared" si="419"/>
        <v>0</v>
      </c>
      <c r="AY791" s="1452">
        <f t="shared" si="420"/>
        <v>0</v>
      </c>
      <c r="AZ791" s="1452">
        <f t="shared" si="421"/>
        <v>0</v>
      </c>
      <c r="BA791" s="1452">
        <f t="shared" si="422"/>
        <v>0</v>
      </c>
      <c r="BB791" s="1452">
        <f t="shared" si="423"/>
        <v>0</v>
      </c>
      <c r="BC791" s="1452">
        <f t="shared" si="424"/>
        <v>0</v>
      </c>
      <c r="BD791" s="1452">
        <f t="shared" si="425"/>
        <v>0</v>
      </c>
      <c r="BE791" s="1452">
        <f t="shared" si="426"/>
        <v>0</v>
      </c>
      <c r="BF791" s="1452">
        <f t="shared" si="427"/>
        <v>0</v>
      </c>
      <c r="BG791" s="1452">
        <f t="shared" si="428"/>
        <v>0</v>
      </c>
      <c r="BH791" s="1452">
        <f t="shared" si="429"/>
        <v>0</v>
      </c>
      <c r="BI791" s="1452">
        <f t="shared" si="446"/>
        <v>0</v>
      </c>
      <c r="BJ791" s="1452" t="str">
        <f t="shared" si="430"/>
        <v/>
      </c>
      <c r="BK791" s="1452" t="str">
        <f t="shared" si="431"/>
        <v/>
      </c>
      <c r="BL791" s="1452" t="str">
        <f t="shared" si="432"/>
        <v/>
      </c>
      <c r="BM791" s="1452" t="str">
        <f t="shared" si="433"/>
        <v/>
      </c>
      <c r="BN791" s="1452" t="str">
        <f t="shared" ca="1" si="434"/>
        <v/>
      </c>
      <c r="BO791" s="1452" t="str">
        <f t="shared" si="447"/>
        <v/>
      </c>
      <c r="BP791" s="1452" t="str">
        <f t="shared" si="435"/>
        <v/>
      </c>
      <c r="BQ791" s="1452" t="str">
        <f t="shared" si="436"/>
        <v/>
      </c>
      <c r="BR791" s="1452" t="str">
        <f t="shared" si="437"/>
        <v/>
      </c>
      <c r="BS791" s="1452" t="str">
        <f t="shared" si="438"/>
        <v/>
      </c>
      <c r="BT791" s="1452" t="str">
        <f t="shared" si="439"/>
        <v/>
      </c>
      <c r="BU791" s="1452" t="str">
        <f t="shared" si="440"/>
        <v/>
      </c>
      <c r="BV791" s="1452" t="str">
        <f t="shared" si="441"/>
        <v/>
      </c>
      <c r="BW791" s="1558">
        <f t="shared" ca="1" si="448"/>
        <v>0</v>
      </c>
    </row>
    <row r="792" spans="1:75" s="9" customFormat="1" ht="12.5">
      <c r="A792" s="1483" t="str">
        <f t="shared" si="442"/>
        <v>Public Health Wales Trust</v>
      </c>
      <c r="B792" s="1583"/>
      <c r="C792" s="1583"/>
      <c r="D792" s="1583"/>
      <c r="E792" s="1581"/>
      <c r="F792" s="1436"/>
      <c r="G792" s="1547">
        <f t="shared" si="443"/>
        <v>0</v>
      </c>
      <c r="H792" s="1484"/>
      <c r="I792" s="1547">
        <f t="shared" si="444"/>
        <v>0</v>
      </c>
      <c r="J792" s="1485"/>
      <c r="K792" s="1485"/>
      <c r="L792" s="1436"/>
      <c r="M792" s="1439"/>
      <c r="N792" s="1439"/>
      <c r="O792" s="1485"/>
      <c r="P792" s="1486"/>
      <c r="Q792" s="1486"/>
      <c r="R792" s="1487"/>
      <c r="S792" s="1444"/>
      <c r="T792" s="1444"/>
      <c r="U792" s="1444"/>
      <c r="V792" s="1488"/>
      <c r="W792" s="1488"/>
      <c r="X792" s="1488"/>
      <c r="Y792" s="1488"/>
      <c r="Z792" s="1488"/>
      <c r="AA792" s="1488"/>
      <c r="AB792" s="1488"/>
      <c r="AC792" s="1488"/>
      <c r="AD792" s="1488"/>
      <c r="AE792" s="1488"/>
      <c r="AF792" s="1488"/>
      <c r="AG792" s="1488"/>
      <c r="AH792" s="1451">
        <f t="shared" si="416"/>
        <v>0</v>
      </c>
      <c r="AI792" s="1488"/>
      <c r="AJ792" s="1488"/>
      <c r="AK792" s="1488"/>
      <c r="AL792" s="1488"/>
      <c r="AM792" s="1488"/>
      <c r="AN792" s="1488"/>
      <c r="AO792" s="1488"/>
      <c r="AP792" s="1488"/>
      <c r="AQ792" s="1488"/>
      <c r="AR792" s="1488"/>
      <c r="AS792" s="1488"/>
      <c r="AT792" s="1542"/>
      <c r="AU792" s="1599">
        <f t="shared" si="417"/>
        <v>0</v>
      </c>
      <c r="AV792" s="1544">
        <f t="shared" si="445"/>
        <v>0</v>
      </c>
      <c r="AW792" s="1452">
        <f t="shared" si="418"/>
        <v>0</v>
      </c>
      <c r="AX792" s="1452">
        <f t="shared" si="419"/>
        <v>0</v>
      </c>
      <c r="AY792" s="1452">
        <f t="shared" si="420"/>
        <v>0</v>
      </c>
      <c r="AZ792" s="1452">
        <f t="shared" si="421"/>
        <v>0</v>
      </c>
      <c r="BA792" s="1452">
        <f t="shared" si="422"/>
        <v>0</v>
      </c>
      <c r="BB792" s="1452">
        <f t="shared" si="423"/>
        <v>0</v>
      </c>
      <c r="BC792" s="1452">
        <f t="shared" si="424"/>
        <v>0</v>
      </c>
      <c r="BD792" s="1452">
        <f t="shared" si="425"/>
        <v>0</v>
      </c>
      <c r="BE792" s="1452">
        <f t="shared" si="426"/>
        <v>0</v>
      </c>
      <c r="BF792" s="1452">
        <f t="shared" si="427"/>
        <v>0</v>
      </c>
      <c r="BG792" s="1452">
        <f t="shared" si="428"/>
        <v>0</v>
      </c>
      <c r="BH792" s="1452">
        <f t="shared" si="429"/>
        <v>0</v>
      </c>
      <c r="BI792" s="1452">
        <f t="shared" si="446"/>
        <v>0</v>
      </c>
      <c r="BJ792" s="1452" t="str">
        <f t="shared" si="430"/>
        <v/>
      </c>
      <c r="BK792" s="1452" t="str">
        <f t="shared" si="431"/>
        <v/>
      </c>
      <c r="BL792" s="1452" t="str">
        <f t="shared" si="432"/>
        <v/>
      </c>
      <c r="BM792" s="1452" t="str">
        <f t="shared" si="433"/>
        <v/>
      </c>
      <c r="BN792" s="1452" t="str">
        <f t="shared" ca="1" si="434"/>
        <v/>
      </c>
      <c r="BO792" s="1452" t="str">
        <f t="shared" si="447"/>
        <v/>
      </c>
      <c r="BP792" s="1452" t="str">
        <f t="shared" si="435"/>
        <v/>
      </c>
      <c r="BQ792" s="1452" t="str">
        <f t="shared" si="436"/>
        <v/>
      </c>
      <c r="BR792" s="1452" t="str">
        <f t="shared" si="437"/>
        <v/>
      </c>
      <c r="BS792" s="1452" t="str">
        <f t="shared" si="438"/>
        <v/>
      </c>
      <c r="BT792" s="1452" t="str">
        <f t="shared" si="439"/>
        <v/>
      </c>
      <c r="BU792" s="1452" t="str">
        <f t="shared" si="440"/>
        <v/>
      </c>
      <c r="BV792" s="1452" t="str">
        <f t="shared" si="441"/>
        <v/>
      </c>
      <c r="BW792" s="1558">
        <f t="shared" ca="1" si="448"/>
        <v>0</v>
      </c>
    </row>
    <row r="793" spans="1:75" s="9" customFormat="1" ht="12.5">
      <c r="A793" s="1483" t="str">
        <f t="shared" si="442"/>
        <v>Public Health Wales Trust</v>
      </c>
      <c r="B793" s="1587"/>
      <c r="C793" s="1587"/>
      <c r="D793" s="1587"/>
      <c r="E793" s="1589"/>
      <c r="F793" s="1436"/>
      <c r="G793" s="1547">
        <f t="shared" si="443"/>
        <v>0</v>
      </c>
      <c r="H793" s="1484"/>
      <c r="I793" s="1547">
        <f t="shared" si="444"/>
        <v>0</v>
      </c>
      <c r="J793" s="1493"/>
      <c r="K793" s="1493"/>
      <c r="L793" s="1436"/>
      <c r="M793" s="1441"/>
      <c r="N793" s="1441"/>
      <c r="O793" s="1485"/>
      <c r="P793" s="1486"/>
      <c r="Q793" s="1486"/>
      <c r="R793" s="1487"/>
      <c r="S793" s="1444"/>
      <c r="T793" s="1444"/>
      <c r="U793" s="1444"/>
      <c r="V793" s="1488"/>
      <c r="W793" s="1488"/>
      <c r="X793" s="1488"/>
      <c r="Y793" s="1488"/>
      <c r="Z793" s="1488"/>
      <c r="AA793" s="1488"/>
      <c r="AB793" s="1488"/>
      <c r="AC793" s="1488"/>
      <c r="AD793" s="1488"/>
      <c r="AE793" s="1488"/>
      <c r="AF793" s="1488"/>
      <c r="AG793" s="1488"/>
      <c r="AH793" s="1451">
        <f t="shared" si="416"/>
        <v>0</v>
      </c>
      <c r="AI793" s="1488"/>
      <c r="AJ793" s="1488"/>
      <c r="AK793" s="1488"/>
      <c r="AL793" s="1488"/>
      <c r="AM793" s="1488"/>
      <c r="AN793" s="1488"/>
      <c r="AO793" s="1488"/>
      <c r="AP793" s="1488"/>
      <c r="AQ793" s="1488"/>
      <c r="AR793" s="1488"/>
      <c r="AS793" s="1488"/>
      <c r="AT793" s="1542"/>
      <c r="AU793" s="1599">
        <f t="shared" si="417"/>
        <v>0</v>
      </c>
      <c r="AV793" s="1544">
        <f t="shared" si="445"/>
        <v>0</v>
      </c>
      <c r="AW793" s="1452">
        <f t="shared" si="418"/>
        <v>0</v>
      </c>
      <c r="AX793" s="1452">
        <f t="shared" si="419"/>
        <v>0</v>
      </c>
      <c r="AY793" s="1452">
        <f t="shared" si="420"/>
        <v>0</v>
      </c>
      <c r="AZ793" s="1452">
        <f t="shared" si="421"/>
        <v>0</v>
      </c>
      <c r="BA793" s="1452">
        <f t="shared" si="422"/>
        <v>0</v>
      </c>
      <c r="BB793" s="1452">
        <f t="shared" si="423"/>
        <v>0</v>
      </c>
      <c r="BC793" s="1452">
        <f t="shared" si="424"/>
        <v>0</v>
      </c>
      <c r="BD793" s="1452">
        <f t="shared" si="425"/>
        <v>0</v>
      </c>
      <c r="BE793" s="1452">
        <f t="shared" si="426"/>
        <v>0</v>
      </c>
      <c r="BF793" s="1452">
        <f t="shared" si="427"/>
        <v>0</v>
      </c>
      <c r="BG793" s="1452">
        <f t="shared" si="428"/>
        <v>0</v>
      </c>
      <c r="BH793" s="1452">
        <f t="shared" si="429"/>
        <v>0</v>
      </c>
      <c r="BI793" s="1452">
        <f t="shared" si="446"/>
        <v>0</v>
      </c>
      <c r="BJ793" s="1452" t="str">
        <f t="shared" si="430"/>
        <v/>
      </c>
      <c r="BK793" s="1452" t="str">
        <f t="shared" si="431"/>
        <v/>
      </c>
      <c r="BL793" s="1452" t="str">
        <f t="shared" si="432"/>
        <v/>
      </c>
      <c r="BM793" s="1452" t="str">
        <f t="shared" si="433"/>
        <v/>
      </c>
      <c r="BN793" s="1452" t="str">
        <f t="shared" ca="1" si="434"/>
        <v/>
      </c>
      <c r="BO793" s="1452" t="str">
        <f t="shared" si="447"/>
        <v/>
      </c>
      <c r="BP793" s="1452" t="str">
        <f t="shared" si="435"/>
        <v/>
      </c>
      <c r="BQ793" s="1452" t="str">
        <f t="shared" si="436"/>
        <v/>
      </c>
      <c r="BR793" s="1452" t="str">
        <f t="shared" si="437"/>
        <v/>
      </c>
      <c r="BS793" s="1452" t="str">
        <f t="shared" si="438"/>
        <v/>
      </c>
      <c r="BT793" s="1452" t="str">
        <f t="shared" si="439"/>
        <v/>
      </c>
      <c r="BU793" s="1452" t="str">
        <f t="shared" si="440"/>
        <v/>
      </c>
      <c r="BV793" s="1452" t="str">
        <f t="shared" si="441"/>
        <v/>
      </c>
      <c r="BW793" s="1558">
        <f t="shared" ca="1" si="448"/>
        <v>0</v>
      </c>
    </row>
    <row r="794" spans="1:75" s="9" customFormat="1" ht="12.5">
      <c r="A794" s="1483" t="str">
        <f t="shared" si="442"/>
        <v>Public Health Wales Trust</v>
      </c>
      <c r="B794" s="1583"/>
      <c r="C794" s="1583"/>
      <c r="D794" s="1583"/>
      <c r="E794" s="1581"/>
      <c r="F794" s="1436"/>
      <c r="G794" s="1547">
        <f t="shared" si="443"/>
        <v>0</v>
      </c>
      <c r="H794" s="1484"/>
      <c r="I794" s="1547">
        <f t="shared" si="444"/>
        <v>0</v>
      </c>
      <c r="J794" s="1485"/>
      <c r="K794" s="1485"/>
      <c r="L794" s="1436"/>
      <c r="M794" s="1439"/>
      <c r="N794" s="1439"/>
      <c r="O794" s="1485"/>
      <c r="P794" s="1486"/>
      <c r="Q794" s="1486"/>
      <c r="R794" s="1487"/>
      <c r="S794" s="1444"/>
      <c r="T794" s="1444"/>
      <c r="U794" s="1444"/>
      <c r="V794" s="1488"/>
      <c r="W794" s="1488"/>
      <c r="X794" s="1488"/>
      <c r="Y794" s="1488"/>
      <c r="Z794" s="1488"/>
      <c r="AA794" s="1488"/>
      <c r="AB794" s="1488"/>
      <c r="AC794" s="1488"/>
      <c r="AD794" s="1488"/>
      <c r="AE794" s="1488"/>
      <c r="AF794" s="1488"/>
      <c r="AG794" s="1488"/>
      <c r="AH794" s="1451">
        <f t="shared" si="416"/>
        <v>0</v>
      </c>
      <c r="AI794" s="1488"/>
      <c r="AJ794" s="1488"/>
      <c r="AK794" s="1488"/>
      <c r="AL794" s="1488"/>
      <c r="AM794" s="1488"/>
      <c r="AN794" s="1488"/>
      <c r="AO794" s="1488"/>
      <c r="AP794" s="1488"/>
      <c r="AQ794" s="1488"/>
      <c r="AR794" s="1488"/>
      <c r="AS794" s="1488"/>
      <c r="AT794" s="1542"/>
      <c r="AU794" s="1599">
        <f t="shared" si="417"/>
        <v>0</v>
      </c>
      <c r="AV794" s="1544">
        <f t="shared" si="445"/>
        <v>0</v>
      </c>
      <c r="AW794" s="1452">
        <f t="shared" si="418"/>
        <v>0</v>
      </c>
      <c r="AX794" s="1452">
        <f t="shared" si="419"/>
        <v>0</v>
      </c>
      <c r="AY794" s="1452">
        <f t="shared" si="420"/>
        <v>0</v>
      </c>
      <c r="AZ794" s="1452">
        <f t="shared" si="421"/>
        <v>0</v>
      </c>
      <c r="BA794" s="1452">
        <f t="shared" si="422"/>
        <v>0</v>
      </c>
      <c r="BB794" s="1452">
        <f t="shared" si="423"/>
        <v>0</v>
      </c>
      <c r="BC794" s="1452">
        <f t="shared" si="424"/>
        <v>0</v>
      </c>
      <c r="BD794" s="1452">
        <f t="shared" si="425"/>
        <v>0</v>
      </c>
      <c r="BE794" s="1452">
        <f t="shared" si="426"/>
        <v>0</v>
      </c>
      <c r="BF794" s="1452">
        <f t="shared" si="427"/>
        <v>0</v>
      </c>
      <c r="BG794" s="1452">
        <f t="shared" si="428"/>
        <v>0</v>
      </c>
      <c r="BH794" s="1452">
        <f t="shared" si="429"/>
        <v>0</v>
      </c>
      <c r="BI794" s="1452">
        <f t="shared" si="446"/>
        <v>0</v>
      </c>
      <c r="BJ794" s="1452" t="str">
        <f t="shared" si="430"/>
        <v/>
      </c>
      <c r="BK794" s="1452" t="str">
        <f t="shared" si="431"/>
        <v/>
      </c>
      <c r="BL794" s="1452" t="str">
        <f t="shared" si="432"/>
        <v/>
      </c>
      <c r="BM794" s="1452" t="str">
        <f t="shared" si="433"/>
        <v/>
      </c>
      <c r="BN794" s="1452" t="str">
        <f t="shared" ca="1" si="434"/>
        <v/>
      </c>
      <c r="BO794" s="1452" t="str">
        <f t="shared" si="447"/>
        <v/>
      </c>
      <c r="BP794" s="1452" t="str">
        <f t="shared" si="435"/>
        <v/>
      </c>
      <c r="BQ794" s="1452" t="str">
        <f t="shared" si="436"/>
        <v/>
      </c>
      <c r="BR794" s="1452" t="str">
        <f t="shared" si="437"/>
        <v/>
      </c>
      <c r="BS794" s="1452" t="str">
        <f t="shared" si="438"/>
        <v/>
      </c>
      <c r="BT794" s="1452" t="str">
        <f t="shared" si="439"/>
        <v/>
      </c>
      <c r="BU794" s="1452" t="str">
        <f t="shared" si="440"/>
        <v/>
      </c>
      <c r="BV794" s="1452" t="str">
        <f t="shared" si="441"/>
        <v/>
      </c>
      <c r="BW794" s="1558">
        <f t="shared" ca="1" si="448"/>
        <v>0</v>
      </c>
    </row>
    <row r="795" spans="1:75" s="9" customFormat="1" ht="12.5">
      <c r="A795" s="1483" t="str">
        <f t="shared" si="442"/>
        <v>Public Health Wales Trust</v>
      </c>
      <c r="B795" s="1583"/>
      <c r="C795" s="1583"/>
      <c r="D795" s="1583"/>
      <c r="E795" s="1581"/>
      <c r="F795" s="1436"/>
      <c r="G795" s="1547">
        <f t="shared" si="443"/>
        <v>0</v>
      </c>
      <c r="H795" s="1484"/>
      <c r="I795" s="1547">
        <f t="shared" si="444"/>
        <v>0</v>
      </c>
      <c r="J795" s="1485"/>
      <c r="K795" s="1485"/>
      <c r="L795" s="1436"/>
      <c r="M795" s="1439"/>
      <c r="N795" s="1439"/>
      <c r="O795" s="1485"/>
      <c r="P795" s="1486"/>
      <c r="Q795" s="1486"/>
      <c r="R795" s="1487"/>
      <c r="S795" s="1444"/>
      <c r="T795" s="1444"/>
      <c r="U795" s="1444"/>
      <c r="V795" s="1488"/>
      <c r="W795" s="1488"/>
      <c r="X795" s="1488"/>
      <c r="Y795" s="1488"/>
      <c r="Z795" s="1488"/>
      <c r="AA795" s="1488"/>
      <c r="AB795" s="1488"/>
      <c r="AC795" s="1488"/>
      <c r="AD795" s="1488"/>
      <c r="AE795" s="1488"/>
      <c r="AF795" s="1488"/>
      <c r="AG795" s="1488"/>
      <c r="AH795" s="1451">
        <f t="shared" si="416"/>
        <v>0</v>
      </c>
      <c r="AI795" s="1488"/>
      <c r="AJ795" s="1488"/>
      <c r="AK795" s="1488"/>
      <c r="AL795" s="1488"/>
      <c r="AM795" s="1488"/>
      <c r="AN795" s="1488"/>
      <c r="AO795" s="1488"/>
      <c r="AP795" s="1488"/>
      <c r="AQ795" s="1488"/>
      <c r="AR795" s="1488"/>
      <c r="AS795" s="1488"/>
      <c r="AT795" s="1542"/>
      <c r="AU795" s="1599">
        <f t="shared" si="417"/>
        <v>0</v>
      </c>
      <c r="AV795" s="1544">
        <f t="shared" si="445"/>
        <v>0</v>
      </c>
      <c r="AW795" s="1452">
        <f t="shared" si="418"/>
        <v>0</v>
      </c>
      <c r="AX795" s="1452">
        <f t="shared" si="419"/>
        <v>0</v>
      </c>
      <c r="AY795" s="1452">
        <f t="shared" si="420"/>
        <v>0</v>
      </c>
      <c r="AZ795" s="1452">
        <f t="shared" si="421"/>
        <v>0</v>
      </c>
      <c r="BA795" s="1452">
        <f t="shared" si="422"/>
        <v>0</v>
      </c>
      <c r="BB795" s="1452">
        <f t="shared" si="423"/>
        <v>0</v>
      </c>
      <c r="BC795" s="1452">
        <f t="shared" si="424"/>
        <v>0</v>
      </c>
      <c r="BD795" s="1452">
        <f t="shared" si="425"/>
        <v>0</v>
      </c>
      <c r="BE795" s="1452">
        <f t="shared" si="426"/>
        <v>0</v>
      </c>
      <c r="BF795" s="1452">
        <f t="shared" si="427"/>
        <v>0</v>
      </c>
      <c r="BG795" s="1452">
        <f t="shared" si="428"/>
        <v>0</v>
      </c>
      <c r="BH795" s="1452">
        <f t="shared" si="429"/>
        <v>0</v>
      </c>
      <c r="BI795" s="1452">
        <f t="shared" si="446"/>
        <v>0</v>
      </c>
      <c r="BJ795" s="1452" t="str">
        <f t="shared" si="430"/>
        <v/>
      </c>
      <c r="BK795" s="1452" t="str">
        <f t="shared" si="431"/>
        <v/>
      </c>
      <c r="BL795" s="1452" t="str">
        <f t="shared" si="432"/>
        <v/>
      </c>
      <c r="BM795" s="1452" t="str">
        <f t="shared" si="433"/>
        <v/>
      </c>
      <c r="BN795" s="1452" t="str">
        <f t="shared" ca="1" si="434"/>
        <v/>
      </c>
      <c r="BO795" s="1452" t="str">
        <f t="shared" si="447"/>
        <v/>
      </c>
      <c r="BP795" s="1452" t="str">
        <f t="shared" si="435"/>
        <v/>
      </c>
      <c r="BQ795" s="1452" t="str">
        <f t="shared" si="436"/>
        <v/>
      </c>
      <c r="BR795" s="1452" t="str">
        <f t="shared" si="437"/>
        <v/>
      </c>
      <c r="BS795" s="1452" t="str">
        <f t="shared" si="438"/>
        <v/>
      </c>
      <c r="BT795" s="1452" t="str">
        <f t="shared" si="439"/>
        <v/>
      </c>
      <c r="BU795" s="1452" t="str">
        <f t="shared" si="440"/>
        <v/>
      </c>
      <c r="BV795" s="1452" t="str">
        <f t="shared" si="441"/>
        <v/>
      </c>
      <c r="BW795" s="1558">
        <f t="shared" ca="1" si="448"/>
        <v>0</v>
      </c>
    </row>
    <row r="796" spans="1:75" s="9" customFormat="1" ht="12.5">
      <c r="A796" s="1483" t="str">
        <f t="shared" si="442"/>
        <v>Public Health Wales Trust</v>
      </c>
      <c r="B796" s="1583"/>
      <c r="C796" s="1583"/>
      <c r="D796" s="1583"/>
      <c r="E796" s="1581"/>
      <c r="F796" s="1436"/>
      <c r="G796" s="1547">
        <f t="shared" si="443"/>
        <v>0</v>
      </c>
      <c r="H796" s="1484"/>
      <c r="I796" s="1547">
        <f t="shared" si="444"/>
        <v>0</v>
      </c>
      <c r="J796" s="1485"/>
      <c r="K796" s="1485"/>
      <c r="L796" s="1436"/>
      <c r="M796" s="1439"/>
      <c r="N796" s="1439"/>
      <c r="O796" s="1485"/>
      <c r="P796" s="1486"/>
      <c r="Q796" s="1486"/>
      <c r="R796" s="1487"/>
      <c r="S796" s="1444"/>
      <c r="T796" s="1444"/>
      <c r="U796" s="1444"/>
      <c r="V796" s="1488"/>
      <c r="W796" s="1488"/>
      <c r="X796" s="1488"/>
      <c r="Y796" s="1488"/>
      <c r="Z796" s="1488"/>
      <c r="AA796" s="1488"/>
      <c r="AB796" s="1488"/>
      <c r="AC796" s="1488"/>
      <c r="AD796" s="1488"/>
      <c r="AE796" s="1488"/>
      <c r="AF796" s="1488"/>
      <c r="AG796" s="1488"/>
      <c r="AH796" s="1451">
        <f t="shared" si="416"/>
        <v>0</v>
      </c>
      <c r="AI796" s="1488"/>
      <c r="AJ796" s="1488"/>
      <c r="AK796" s="1488"/>
      <c r="AL796" s="1488"/>
      <c r="AM796" s="1488"/>
      <c r="AN796" s="1488"/>
      <c r="AO796" s="1488"/>
      <c r="AP796" s="1488"/>
      <c r="AQ796" s="1488"/>
      <c r="AR796" s="1488"/>
      <c r="AS796" s="1488"/>
      <c r="AT796" s="1542"/>
      <c r="AU796" s="1599">
        <f t="shared" si="417"/>
        <v>0</v>
      </c>
      <c r="AV796" s="1544">
        <f t="shared" si="445"/>
        <v>0</v>
      </c>
      <c r="AW796" s="1452">
        <f t="shared" si="418"/>
        <v>0</v>
      </c>
      <c r="AX796" s="1452">
        <f t="shared" si="419"/>
        <v>0</v>
      </c>
      <c r="AY796" s="1452">
        <f t="shared" si="420"/>
        <v>0</v>
      </c>
      <c r="AZ796" s="1452">
        <f t="shared" si="421"/>
        <v>0</v>
      </c>
      <c r="BA796" s="1452">
        <f t="shared" si="422"/>
        <v>0</v>
      </c>
      <c r="BB796" s="1452">
        <f t="shared" si="423"/>
        <v>0</v>
      </c>
      <c r="BC796" s="1452">
        <f t="shared" si="424"/>
        <v>0</v>
      </c>
      <c r="BD796" s="1452">
        <f t="shared" si="425"/>
        <v>0</v>
      </c>
      <c r="BE796" s="1452">
        <f t="shared" si="426"/>
        <v>0</v>
      </c>
      <c r="BF796" s="1452">
        <f t="shared" si="427"/>
        <v>0</v>
      </c>
      <c r="BG796" s="1452">
        <f t="shared" si="428"/>
        <v>0</v>
      </c>
      <c r="BH796" s="1452">
        <f t="shared" si="429"/>
        <v>0</v>
      </c>
      <c r="BI796" s="1452">
        <f t="shared" si="446"/>
        <v>0</v>
      </c>
      <c r="BJ796" s="1452" t="str">
        <f t="shared" si="430"/>
        <v/>
      </c>
      <c r="BK796" s="1452" t="str">
        <f t="shared" si="431"/>
        <v/>
      </c>
      <c r="BL796" s="1452" t="str">
        <f t="shared" si="432"/>
        <v/>
      </c>
      <c r="BM796" s="1452" t="str">
        <f t="shared" si="433"/>
        <v/>
      </c>
      <c r="BN796" s="1452" t="str">
        <f t="shared" ca="1" si="434"/>
        <v/>
      </c>
      <c r="BO796" s="1452" t="str">
        <f t="shared" si="447"/>
        <v/>
      </c>
      <c r="BP796" s="1452" t="str">
        <f t="shared" si="435"/>
        <v/>
      </c>
      <c r="BQ796" s="1452" t="str">
        <f t="shared" si="436"/>
        <v/>
      </c>
      <c r="BR796" s="1452" t="str">
        <f t="shared" si="437"/>
        <v/>
      </c>
      <c r="BS796" s="1452" t="str">
        <f t="shared" si="438"/>
        <v/>
      </c>
      <c r="BT796" s="1452" t="str">
        <f t="shared" si="439"/>
        <v/>
      </c>
      <c r="BU796" s="1452" t="str">
        <f t="shared" si="440"/>
        <v/>
      </c>
      <c r="BV796" s="1452" t="str">
        <f t="shared" si="441"/>
        <v/>
      </c>
      <c r="BW796" s="1558">
        <f t="shared" ca="1" si="448"/>
        <v>0</v>
      </c>
    </row>
    <row r="797" spans="1:75" s="9" customFormat="1" ht="12.5">
      <c r="A797" s="1483" t="str">
        <f t="shared" si="442"/>
        <v>Public Health Wales Trust</v>
      </c>
      <c r="B797" s="1583"/>
      <c r="C797" s="1583"/>
      <c r="D797" s="1583"/>
      <c r="E797" s="1586"/>
      <c r="F797" s="1436"/>
      <c r="G797" s="1547">
        <f t="shared" si="443"/>
        <v>0</v>
      </c>
      <c r="H797" s="1484"/>
      <c r="I797" s="1547">
        <f t="shared" si="444"/>
        <v>0</v>
      </c>
      <c r="J797" s="1485"/>
      <c r="K797" s="1485"/>
      <c r="L797" s="1436"/>
      <c r="M797" s="1439"/>
      <c r="N797" s="1439"/>
      <c r="O797" s="1485"/>
      <c r="P797" s="1486"/>
      <c r="Q797" s="1486"/>
      <c r="R797" s="1487"/>
      <c r="S797" s="1444"/>
      <c r="T797" s="1444"/>
      <c r="U797" s="1444"/>
      <c r="V797" s="1488"/>
      <c r="W797" s="1488"/>
      <c r="X797" s="1488"/>
      <c r="Y797" s="1488"/>
      <c r="Z797" s="1488"/>
      <c r="AA797" s="1488"/>
      <c r="AB797" s="1488"/>
      <c r="AC797" s="1488"/>
      <c r="AD797" s="1488"/>
      <c r="AE797" s="1488"/>
      <c r="AF797" s="1488"/>
      <c r="AG797" s="1488"/>
      <c r="AH797" s="1451">
        <f t="shared" si="416"/>
        <v>0</v>
      </c>
      <c r="AI797" s="1488"/>
      <c r="AJ797" s="1488"/>
      <c r="AK797" s="1488"/>
      <c r="AL797" s="1488"/>
      <c r="AM797" s="1488"/>
      <c r="AN797" s="1488"/>
      <c r="AO797" s="1488"/>
      <c r="AP797" s="1488"/>
      <c r="AQ797" s="1488"/>
      <c r="AR797" s="1488"/>
      <c r="AS797" s="1488"/>
      <c r="AT797" s="1542"/>
      <c r="AU797" s="1599">
        <f t="shared" si="417"/>
        <v>0</v>
      </c>
      <c r="AV797" s="1544">
        <f t="shared" si="445"/>
        <v>0</v>
      </c>
      <c r="AW797" s="1452">
        <f t="shared" si="418"/>
        <v>0</v>
      </c>
      <c r="AX797" s="1452">
        <f t="shared" si="419"/>
        <v>0</v>
      </c>
      <c r="AY797" s="1452">
        <f t="shared" si="420"/>
        <v>0</v>
      </c>
      <c r="AZ797" s="1452">
        <f t="shared" si="421"/>
        <v>0</v>
      </c>
      <c r="BA797" s="1452">
        <f t="shared" si="422"/>
        <v>0</v>
      </c>
      <c r="BB797" s="1452">
        <f t="shared" si="423"/>
        <v>0</v>
      </c>
      <c r="BC797" s="1452">
        <f t="shared" si="424"/>
        <v>0</v>
      </c>
      <c r="BD797" s="1452">
        <f t="shared" si="425"/>
        <v>0</v>
      </c>
      <c r="BE797" s="1452">
        <f t="shared" si="426"/>
        <v>0</v>
      </c>
      <c r="BF797" s="1452">
        <f t="shared" si="427"/>
        <v>0</v>
      </c>
      <c r="BG797" s="1452">
        <f t="shared" si="428"/>
        <v>0</v>
      </c>
      <c r="BH797" s="1452">
        <f t="shared" si="429"/>
        <v>0</v>
      </c>
      <c r="BI797" s="1452">
        <f t="shared" si="446"/>
        <v>0</v>
      </c>
      <c r="BJ797" s="1452" t="str">
        <f t="shared" si="430"/>
        <v/>
      </c>
      <c r="BK797" s="1452" t="str">
        <f t="shared" si="431"/>
        <v/>
      </c>
      <c r="BL797" s="1452" t="str">
        <f t="shared" si="432"/>
        <v/>
      </c>
      <c r="BM797" s="1452" t="str">
        <f t="shared" si="433"/>
        <v/>
      </c>
      <c r="BN797" s="1452" t="str">
        <f t="shared" ca="1" si="434"/>
        <v/>
      </c>
      <c r="BO797" s="1452" t="str">
        <f t="shared" si="447"/>
        <v/>
      </c>
      <c r="BP797" s="1452" t="str">
        <f t="shared" si="435"/>
        <v/>
      </c>
      <c r="BQ797" s="1452" t="str">
        <f t="shared" si="436"/>
        <v/>
      </c>
      <c r="BR797" s="1452" t="str">
        <f t="shared" si="437"/>
        <v/>
      </c>
      <c r="BS797" s="1452" t="str">
        <f t="shared" si="438"/>
        <v/>
      </c>
      <c r="BT797" s="1452" t="str">
        <f t="shared" si="439"/>
        <v/>
      </c>
      <c r="BU797" s="1452" t="str">
        <f t="shared" si="440"/>
        <v/>
      </c>
      <c r="BV797" s="1452" t="str">
        <f t="shared" si="441"/>
        <v/>
      </c>
      <c r="BW797" s="1558">
        <f t="shared" ca="1" si="448"/>
        <v>0</v>
      </c>
    </row>
    <row r="798" spans="1:75" s="9" customFormat="1" ht="12.5">
      <c r="A798" s="1483" t="str">
        <f t="shared" si="442"/>
        <v>Public Health Wales Trust</v>
      </c>
      <c r="B798" s="1583"/>
      <c r="C798" s="1583"/>
      <c r="D798" s="1583"/>
      <c r="E798" s="1581"/>
      <c r="F798" s="1436"/>
      <c r="G798" s="1547">
        <f t="shared" si="443"/>
        <v>0</v>
      </c>
      <c r="H798" s="1484"/>
      <c r="I798" s="1547">
        <f t="shared" si="444"/>
        <v>0</v>
      </c>
      <c r="J798" s="1485"/>
      <c r="K798" s="1485"/>
      <c r="L798" s="1436"/>
      <c r="M798" s="1439"/>
      <c r="N798" s="1439"/>
      <c r="O798" s="1485"/>
      <c r="P798" s="1486"/>
      <c r="Q798" s="1486"/>
      <c r="R798" s="1487"/>
      <c r="S798" s="1444"/>
      <c r="T798" s="1444"/>
      <c r="U798" s="1444"/>
      <c r="V798" s="1488"/>
      <c r="W798" s="1488"/>
      <c r="X798" s="1488"/>
      <c r="Y798" s="1488"/>
      <c r="Z798" s="1488"/>
      <c r="AA798" s="1488"/>
      <c r="AB798" s="1488"/>
      <c r="AC798" s="1488"/>
      <c r="AD798" s="1488"/>
      <c r="AE798" s="1488"/>
      <c r="AF798" s="1488"/>
      <c r="AG798" s="1488"/>
      <c r="AH798" s="1451">
        <f t="shared" si="416"/>
        <v>0</v>
      </c>
      <c r="AI798" s="1488"/>
      <c r="AJ798" s="1488"/>
      <c r="AK798" s="1488"/>
      <c r="AL798" s="1488"/>
      <c r="AM798" s="1488"/>
      <c r="AN798" s="1488"/>
      <c r="AO798" s="1488"/>
      <c r="AP798" s="1488"/>
      <c r="AQ798" s="1488"/>
      <c r="AR798" s="1488"/>
      <c r="AS798" s="1488"/>
      <c r="AT798" s="1542"/>
      <c r="AU798" s="1599">
        <f t="shared" si="417"/>
        <v>0</v>
      </c>
      <c r="AV798" s="1544">
        <f t="shared" si="445"/>
        <v>0</v>
      </c>
      <c r="AW798" s="1452">
        <f t="shared" si="418"/>
        <v>0</v>
      </c>
      <c r="AX798" s="1452">
        <f t="shared" si="419"/>
        <v>0</v>
      </c>
      <c r="AY798" s="1452">
        <f t="shared" si="420"/>
        <v>0</v>
      </c>
      <c r="AZ798" s="1452">
        <f t="shared" si="421"/>
        <v>0</v>
      </c>
      <c r="BA798" s="1452">
        <f t="shared" si="422"/>
        <v>0</v>
      </c>
      <c r="BB798" s="1452">
        <f t="shared" si="423"/>
        <v>0</v>
      </c>
      <c r="BC798" s="1452">
        <f t="shared" si="424"/>
        <v>0</v>
      </c>
      <c r="BD798" s="1452">
        <f t="shared" si="425"/>
        <v>0</v>
      </c>
      <c r="BE798" s="1452">
        <f t="shared" si="426"/>
        <v>0</v>
      </c>
      <c r="BF798" s="1452">
        <f t="shared" si="427"/>
        <v>0</v>
      </c>
      <c r="BG798" s="1452">
        <f t="shared" si="428"/>
        <v>0</v>
      </c>
      <c r="BH798" s="1452">
        <f t="shared" si="429"/>
        <v>0</v>
      </c>
      <c r="BI798" s="1452">
        <f t="shared" si="446"/>
        <v>0</v>
      </c>
      <c r="BJ798" s="1452" t="str">
        <f t="shared" si="430"/>
        <v/>
      </c>
      <c r="BK798" s="1452" t="str">
        <f t="shared" si="431"/>
        <v/>
      </c>
      <c r="BL798" s="1452" t="str">
        <f t="shared" si="432"/>
        <v/>
      </c>
      <c r="BM798" s="1452" t="str">
        <f t="shared" si="433"/>
        <v/>
      </c>
      <c r="BN798" s="1452" t="str">
        <f t="shared" ca="1" si="434"/>
        <v/>
      </c>
      <c r="BO798" s="1452" t="str">
        <f t="shared" si="447"/>
        <v/>
      </c>
      <c r="BP798" s="1452" t="str">
        <f t="shared" si="435"/>
        <v/>
      </c>
      <c r="BQ798" s="1452" t="str">
        <f t="shared" si="436"/>
        <v/>
      </c>
      <c r="BR798" s="1452" t="str">
        <f t="shared" si="437"/>
        <v/>
      </c>
      <c r="BS798" s="1452" t="str">
        <f t="shared" si="438"/>
        <v/>
      </c>
      <c r="BT798" s="1452" t="str">
        <f t="shared" si="439"/>
        <v/>
      </c>
      <c r="BU798" s="1452" t="str">
        <f t="shared" si="440"/>
        <v/>
      </c>
      <c r="BV798" s="1452" t="str">
        <f t="shared" si="441"/>
        <v/>
      </c>
      <c r="BW798" s="1558">
        <f t="shared" ca="1" si="448"/>
        <v>0</v>
      </c>
    </row>
    <row r="799" spans="1:75" s="9" customFormat="1" ht="12.5">
      <c r="A799" s="1483" t="str">
        <f t="shared" si="442"/>
        <v>Public Health Wales Trust</v>
      </c>
      <c r="B799" s="1583"/>
      <c r="C799" s="1583"/>
      <c r="D799" s="1583"/>
      <c r="E799" s="1581"/>
      <c r="F799" s="1436"/>
      <c r="G799" s="1547">
        <f t="shared" si="443"/>
        <v>0</v>
      </c>
      <c r="H799" s="1484"/>
      <c r="I799" s="1547">
        <f t="shared" si="444"/>
        <v>0</v>
      </c>
      <c r="J799" s="1485"/>
      <c r="K799" s="1485"/>
      <c r="L799" s="1436"/>
      <c r="M799" s="1439"/>
      <c r="N799" s="1439"/>
      <c r="O799" s="1485"/>
      <c r="P799" s="1486"/>
      <c r="Q799" s="1486"/>
      <c r="R799" s="1487"/>
      <c r="S799" s="1444"/>
      <c r="T799" s="1444"/>
      <c r="U799" s="1444"/>
      <c r="V799" s="1488"/>
      <c r="W799" s="1488"/>
      <c r="X799" s="1488"/>
      <c r="Y799" s="1488"/>
      <c r="Z799" s="1488"/>
      <c r="AA799" s="1488"/>
      <c r="AB799" s="1488"/>
      <c r="AC799" s="1488"/>
      <c r="AD799" s="1488"/>
      <c r="AE799" s="1488"/>
      <c r="AF799" s="1488"/>
      <c r="AG799" s="1488"/>
      <c r="AH799" s="1451">
        <f t="shared" si="416"/>
        <v>0</v>
      </c>
      <c r="AI799" s="1488"/>
      <c r="AJ799" s="1488"/>
      <c r="AK799" s="1488"/>
      <c r="AL799" s="1488"/>
      <c r="AM799" s="1488"/>
      <c r="AN799" s="1488"/>
      <c r="AO799" s="1488"/>
      <c r="AP799" s="1488"/>
      <c r="AQ799" s="1488"/>
      <c r="AR799" s="1488"/>
      <c r="AS799" s="1488"/>
      <c r="AT799" s="1542"/>
      <c r="AU799" s="1599">
        <f t="shared" si="417"/>
        <v>0</v>
      </c>
      <c r="AV799" s="1544">
        <f t="shared" si="445"/>
        <v>0</v>
      </c>
      <c r="AW799" s="1452">
        <f t="shared" si="418"/>
        <v>0</v>
      </c>
      <c r="AX799" s="1452">
        <f t="shared" si="419"/>
        <v>0</v>
      </c>
      <c r="AY799" s="1452">
        <f t="shared" si="420"/>
        <v>0</v>
      </c>
      <c r="AZ799" s="1452">
        <f t="shared" si="421"/>
        <v>0</v>
      </c>
      <c r="BA799" s="1452">
        <f t="shared" si="422"/>
        <v>0</v>
      </c>
      <c r="BB799" s="1452">
        <f t="shared" si="423"/>
        <v>0</v>
      </c>
      <c r="BC799" s="1452">
        <f t="shared" si="424"/>
        <v>0</v>
      </c>
      <c r="BD799" s="1452">
        <f t="shared" si="425"/>
        <v>0</v>
      </c>
      <c r="BE799" s="1452">
        <f t="shared" si="426"/>
        <v>0</v>
      </c>
      <c r="BF799" s="1452">
        <f t="shared" si="427"/>
        <v>0</v>
      </c>
      <c r="BG799" s="1452">
        <f t="shared" si="428"/>
        <v>0</v>
      </c>
      <c r="BH799" s="1452">
        <f t="shared" si="429"/>
        <v>0</v>
      </c>
      <c r="BI799" s="1452">
        <f t="shared" si="446"/>
        <v>0</v>
      </c>
      <c r="BJ799" s="1452" t="str">
        <f t="shared" si="430"/>
        <v/>
      </c>
      <c r="BK799" s="1452" t="str">
        <f t="shared" si="431"/>
        <v/>
      </c>
      <c r="BL799" s="1452" t="str">
        <f t="shared" si="432"/>
        <v/>
      </c>
      <c r="BM799" s="1452" t="str">
        <f t="shared" si="433"/>
        <v/>
      </c>
      <c r="BN799" s="1452" t="str">
        <f t="shared" ca="1" si="434"/>
        <v/>
      </c>
      <c r="BO799" s="1452" t="str">
        <f t="shared" si="447"/>
        <v/>
      </c>
      <c r="BP799" s="1452" t="str">
        <f t="shared" si="435"/>
        <v/>
      </c>
      <c r="BQ799" s="1452" t="str">
        <f t="shared" si="436"/>
        <v/>
      </c>
      <c r="BR799" s="1452" t="str">
        <f t="shared" si="437"/>
        <v/>
      </c>
      <c r="BS799" s="1452" t="str">
        <f t="shared" si="438"/>
        <v/>
      </c>
      <c r="BT799" s="1452" t="str">
        <f t="shared" si="439"/>
        <v/>
      </c>
      <c r="BU799" s="1452" t="str">
        <f t="shared" si="440"/>
        <v/>
      </c>
      <c r="BV799" s="1452" t="str">
        <f t="shared" si="441"/>
        <v/>
      </c>
      <c r="BW799" s="1558">
        <f t="shared" ca="1" si="448"/>
        <v>0</v>
      </c>
    </row>
    <row r="800" spans="1:75" s="9" customFormat="1" ht="12.5">
      <c r="A800" s="1483" t="str">
        <f t="shared" si="442"/>
        <v>Public Health Wales Trust</v>
      </c>
      <c r="B800" s="1583"/>
      <c r="C800" s="1583"/>
      <c r="D800" s="1583"/>
      <c r="E800" s="1591"/>
      <c r="F800" s="1436"/>
      <c r="G800" s="1547">
        <f t="shared" si="443"/>
        <v>0</v>
      </c>
      <c r="H800" s="1484"/>
      <c r="I800" s="1547">
        <f t="shared" si="444"/>
        <v>0</v>
      </c>
      <c r="J800" s="1485"/>
      <c r="K800" s="1485"/>
      <c r="L800" s="1436"/>
      <c r="M800" s="1439"/>
      <c r="N800" s="1439"/>
      <c r="O800" s="1485"/>
      <c r="P800" s="1486"/>
      <c r="Q800" s="1486"/>
      <c r="R800" s="1487"/>
      <c r="S800" s="1444"/>
      <c r="T800" s="1444"/>
      <c r="U800" s="1444"/>
      <c r="V800" s="1488"/>
      <c r="W800" s="1488"/>
      <c r="X800" s="1488"/>
      <c r="Y800" s="1488"/>
      <c r="Z800" s="1488"/>
      <c r="AA800" s="1488"/>
      <c r="AB800" s="1488"/>
      <c r="AC800" s="1488"/>
      <c r="AD800" s="1488"/>
      <c r="AE800" s="1488"/>
      <c r="AF800" s="1488"/>
      <c r="AG800" s="1488"/>
      <c r="AH800" s="1451">
        <f t="shared" si="416"/>
        <v>0</v>
      </c>
      <c r="AI800" s="1488"/>
      <c r="AJ800" s="1488"/>
      <c r="AK800" s="1488"/>
      <c r="AL800" s="1488"/>
      <c r="AM800" s="1488"/>
      <c r="AN800" s="1488"/>
      <c r="AO800" s="1488"/>
      <c r="AP800" s="1488"/>
      <c r="AQ800" s="1488"/>
      <c r="AR800" s="1488"/>
      <c r="AS800" s="1488"/>
      <c r="AT800" s="1542"/>
      <c r="AU800" s="1599">
        <f t="shared" si="417"/>
        <v>0</v>
      </c>
      <c r="AV800" s="1544">
        <f t="shared" si="445"/>
        <v>0</v>
      </c>
      <c r="AW800" s="1452">
        <f t="shared" si="418"/>
        <v>0</v>
      </c>
      <c r="AX800" s="1452">
        <f t="shared" si="419"/>
        <v>0</v>
      </c>
      <c r="AY800" s="1452">
        <f t="shared" si="420"/>
        <v>0</v>
      </c>
      <c r="AZ800" s="1452">
        <f t="shared" si="421"/>
        <v>0</v>
      </c>
      <c r="BA800" s="1452">
        <f t="shared" si="422"/>
        <v>0</v>
      </c>
      <c r="BB800" s="1452">
        <f t="shared" si="423"/>
        <v>0</v>
      </c>
      <c r="BC800" s="1452">
        <f t="shared" si="424"/>
        <v>0</v>
      </c>
      <c r="BD800" s="1452">
        <f t="shared" si="425"/>
        <v>0</v>
      </c>
      <c r="BE800" s="1452">
        <f t="shared" si="426"/>
        <v>0</v>
      </c>
      <c r="BF800" s="1452">
        <f t="shared" si="427"/>
        <v>0</v>
      </c>
      <c r="BG800" s="1452">
        <f t="shared" si="428"/>
        <v>0</v>
      </c>
      <c r="BH800" s="1452">
        <f t="shared" si="429"/>
        <v>0</v>
      </c>
      <c r="BI800" s="1452">
        <f t="shared" si="446"/>
        <v>0</v>
      </c>
      <c r="BJ800" s="1452" t="str">
        <f t="shared" si="430"/>
        <v/>
      </c>
      <c r="BK800" s="1452" t="str">
        <f t="shared" si="431"/>
        <v/>
      </c>
      <c r="BL800" s="1452" t="str">
        <f t="shared" si="432"/>
        <v/>
      </c>
      <c r="BM800" s="1452" t="str">
        <f t="shared" si="433"/>
        <v/>
      </c>
      <c r="BN800" s="1452" t="str">
        <f t="shared" ca="1" si="434"/>
        <v/>
      </c>
      <c r="BO800" s="1452" t="str">
        <f t="shared" si="447"/>
        <v/>
      </c>
      <c r="BP800" s="1452" t="str">
        <f t="shared" si="435"/>
        <v/>
      </c>
      <c r="BQ800" s="1452" t="str">
        <f t="shared" si="436"/>
        <v/>
      </c>
      <c r="BR800" s="1452" t="str">
        <f t="shared" si="437"/>
        <v/>
      </c>
      <c r="BS800" s="1452" t="str">
        <f t="shared" si="438"/>
        <v/>
      </c>
      <c r="BT800" s="1452" t="str">
        <f t="shared" si="439"/>
        <v/>
      </c>
      <c r="BU800" s="1452" t="str">
        <f t="shared" si="440"/>
        <v/>
      </c>
      <c r="BV800" s="1452" t="str">
        <f t="shared" si="441"/>
        <v/>
      </c>
      <c r="BW800" s="1558">
        <f t="shared" ca="1" si="448"/>
        <v>0</v>
      </c>
    </row>
    <row r="801" spans="1:75" s="9" customFormat="1" ht="12.5">
      <c r="A801" s="1483" t="str">
        <f t="shared" si="442"/>
        <v>Public Health Wales Trust</v>
      </c>
      <c r="B801" s="1583"/>
      <c r="C801" s="1583"/>
      <c r="D801" s="1583"/>
      <c r="E801" s="1510"/>
      <c r="F801" s="1436"/>
      <c r="G801" s="1547">
        <f t="shared" si="443"/>
        <v>0</v>
      </c>
      <c r="H801" s="1484"/>
      <c r="I801" s="1547">
        <f t="shared" si="444"/>
        <v>0</v>
      </c>
      <c r="J801" s="1485"/>
      <c r="K801" s="1485"/>
      <c r="L801" s="1436"/>
      <c r="M801" s="1439"/>
      <c r="N801" s="1439"/>
      <c r="O801" s="1485"/>
      <c r="P801" s="1486"/>
      <c r="Q801" s="1486"/>
      <c r="R801" s="1487"/>
      <c r="S801" s="1444"/>
      <c r="T801" s="1444"/>
      <c r="U801" s="1444"/>
      <c r="V801" s="1488"/>
      <c r="W801" s="1488"/>
      <c r="X801" s="1488"/>
      <c r="Y801" s="1488"/>
      <c r="Z801" s="1488"/>
      <c r="AA801" s="1488"/>
      <c r="AB801" s="1488"/>
      <c r="AC801" s="1488"/>
      <c r="AD801" s="1488"/>
      <c r="AE801" s="1488"/>
      <c r="AF801" s="1488"/>
      <c r="AG801" s="1488"/>
      <c r="AH801" s="1451">
        <f t="shared" si="416"/>
        <v>0</v>
      </c>
      <c r="AI801" s="1488"/>
      <c r="AJ801" s="1488"/>
      <c r="AK801" s="1488"/>
      <c r="AL801" s="1488"/>
      <c r="AM801" s="1488"/>
      <c r="AN801" s="1488"/>
      <c r="AO801" s="1488"/>
      <c r="AP801" s="1488"/>
      <c r="AQ801" s="1488"/>
      <c r="AR801" s="1488"/>
      <c r="AS801" s="1488"/>
      <c r="AT801" s="1542"/>
      <c r="AU801" s="1599">
        <f t="shared" si="417"/>
        <v>0</v>
      </c>
      <c r="AV801" s="1544">
        <f t="shared" si="445"/>
        <v>0</v>
      </c>
      <c r="AW801" s="1452">
        <f t="shared" si="418"/>
        <v>0</v>
      </c>
      <c r="AX801" s="1452">
        <f t="shared" si="419"/>
        <v>0</v>
      </c>
      <c r="AY801" s="1452">
        <f t="shared" si="420"/>
        <v>0</v>
      </c>
      <c r="AZ801" s="1452">
        <f t="shared" si="421"/>
        <v>0</v>
      </c>
      <c r="BA801" s="1452">
        <f t="shared" si="422"/>
        <v>0</v>
      </c>
      <c r="BB801" s="1452">
        <f t="shared" si="423"/>
        <v>0</v>
      </c>
      <c r="BC801" s="1452">
        <f t="shared" si="424"/>
        <v>0</v>
      </c>
      <c r="BD801" s="1452">
        <f t="shared" si="425"/>
        <v>0</v>
      </c>
      <c r="BE801" s="1452">
        <f t="shared" si="426"/>
        <v>0</v>
      </c>
      <c r="BF801" s="1452">
        <f t="shared" si="427"/>
        <v>0</v>
      </c>
      <c r="BG801" s="1452">
        <f t="shared" si="428"/>
        <v>0</v>
      </c>
      <c r="BH801" s="1452">
        <f t="shared" si="429"/>
        <v>0</v>
      </c>
      <c r="BI801" s="1452">
        <f t="shared" si="446"/>
        <v>0</v>
      </c>
      <c r="BJ801" s="1452" t="str">
        <f t="shared" si="430"/>
        <v/>
      </c>
      <c r="BK801" s="1452" t="str">
        <f t="shared" si="431"/>
        <v/>
      </c>
      <c r="BL801" s="1452" t="str">
        <f t="shared" si="432"/>
        <v/>
      </c>
      <c r="BM801" s="1452" t="str">
        <f t="shared" si="433"/>
        <v/>
      </c>
      <c r="BN801" s="1452" t="str">
        <f t="shared" ca="1" si="434"/>
        <v/>
      </c>
      <c r="BO801" s="1452" t="str">
        <f t="shared" si="447"/>
        <v/>
      </c>
      <c r="BP801" s="1452" t="str">
        <f t="shared" si="435"/>
        <v/>
      </c>
      <c r="BQ801" s="1452" t="str">
        <f t="shared" si="436"/>
        <v/>
      </c>
      <c r="BR801" s="1452" t="str">
        <f t="shared" si="437"/>
        <v/>
      </c>
      <c r="BS801" s="1452" t="str">
        <f t="shared" si="438"/>
        <v/>
      </c>
      <c r="BT801" s="1452" t="str">
        <f t="shared" si="439"/>
        <v/>
      </c>
      <c r="BU801" s="1452" t="str">
        <f t="shared" si="440"/>
        <v/>
      </c>
      <c r="BV801" s="1452" t="str">
        <f t="shared" si="441"/>
        <v/>
      </c>
      <c r="BW801" s="1558">
        <f t="shared" ca="1" si="448"/>
        <v>0</v>
      </c>
    </row>
    <row r="802" spans="1:75" s="9" customFormat="1" ht="12.5">
      <c r="A802" s="1483" t="str">
        <f t="shared" si="442"/>
        <v>Public Health Wales Trust</v>
      </c>
      <c r="B802" s="1583"/>
      <c r="C802" s="1583"/>
      <c r="D802" s="1583"/>
      <c r="E802" s="1581"/>
      <c r="F802" s="1436"/>
      <c r="G802" s="1547">
        <f t="shared" si="443"/>
        <v>0</v>
      </c>
      <c r="H802" s="1484"/>
      <c r="I802" s="1547">
        <f t="shared" si="444"/>
        <v>0</v>
      </c>
      <c r="J802" s="1485"/>
      <c r="K802" s="1485"/>
      <c r="L802" s="1436"/>
      <c r="M802" s="1439"/>
      <c r="N802" s="1439"/>
      <c r="O802" s="1485"/>
      <c r="P802" s="1486"/>
      <c r="Q802" s="1486"/>
      <c r="R802" s="1487"/>
      <c r="S802" s="1444"/>
      <c r="T802" s="1444"/>
      <c r="U802" s="1444"/>
      <c r="V802" s="1488"/>
      <c r="W802" s="1488"/>
      <c r="X802" s="1488"/>
      <c r="Y802" s="1488"/>
      <c r="Z802" s="1488"/>
      <c r="AA802" s="1488"/>
      <c r="AB802" s="1488"/>
      <c r="AC802" s="1488"/>
      <c r="AD802" s="1488"/>
      <c r="AE802" s="1488"/>
      <c r="AF802" s="1488"/>
      <c r="AG802" s="1488"/>
      <c r="AH802" s="1451">
        <f t="shared" si="416"/>
        <v>0</v>
      </c>
      <c r="AI802" s="1488"/>
      <c r="AJ802" s="1488"/>
      <c r="AK802" s="1488"/>
      <c r="AL802" s="1488"/>
      <c r="AM802" s="1488"/>
      <c r="AN802" s="1488"/>
      <c r="AO802" s="1488"/>
      <c r="AP802" s="1488"/>
      <c r="AQ802" s="1488"/>
      <c r="AR802" s="1488"/>
      <c r="AS802" s="1488"/>
      <c r="AT802" s="1542"/>
      <c r="AU802" s="1599">
        <f t="shared" si="417"/>
        <v>0</v>
      </c>
      <c r="AV802" s="1544">
        <f t="shared" si="445"/>
        <v>0</v>
      </c>
      <c r="AW802" s="1452">
        <f t="shared" si="418"/>
        <v>0</v>
      </c>
      <c r="AX802" s="1452">
        <f t="shared" si="419"/>
        <v>0</v>
      </c>
      <c r="AY802" s="1452">
        <f t="shared" si="420"/>
        <v>0</v>
      </c>
      <c r="AZ802" s="1452">
        <f t="shared" si="421"/>
        <v>0</v>
      </c>
      <c r="BA802" s="1452">
        <f t="shared" si="422"/>
        <v>0</v>
      </c>
      <c r="BB802" s="1452">
        <f t="shared" si="423"/>
        <v>0</v>
      </c>
      <c r="BC802" s="1452">
        <f t="shared" si="424"/>
        <v>0</v>
      </c>
      <c r="BD802" s="1452">
        <f t="shared" si="425"/>
        <v>0</v>
      </c>
      <c r="BE802" s="1452">
        <f t="shared" si="426"/>
        <v>0</v>
      </c>
      <c r="BF802" s="1452">
        <f t="shared" si="427"/>
        <v>0</v>
      </c>
      <c r="BG802" s="1452">
        <f t="shared" si="428"/>
        <v>0</v>
      </c>
      <c r="BH802" s="1452">
        <f t="shared" si="429"/>
        <v>0</v>
      </c>
      <c r="BI802" s="1452">
        <f t="shared" si="446"/>
        <v>0</v>
      </c>
      <c r="BJ802" s="1452" t="str">
        <f t="shared" si="430"/>
        <v/>
      </c>
      <c r="BK802" s="1452" t="str">
        <f t="shared" si="431"/>
        <v/>
      </c>
      <c r="BL802" s="1452" t="str">
        <f t="shared" si="432"/>
        <v/>
      </c>
      <c r="BM802" s="1452" t="str">
        <f t="shared" si="433"/>
        <v/>
      </c>
      <c r="BN802" s="1452" t="str">
        <f t="shared" ca="1" si="434"/>
        <v/>
      </c>
      <c r="BO802" s="1452" t="str">
        <f t="shared" si="447"/>
        <v/>
      </c>
      <c r="BP802" s="1452" t="str">
        <f t="shared" si="435"/>
        <v/>
      </c>
      <c r="BQ802" s="1452" t="str">
        <f t="shared" si="436"/>
        <v/>
      </c>
      <c r="BR802" s="1452" t="str">
        <f t="shared" si="437"/>
        <v/>
      </c>
      <c r="BS802" s="1452" t="str">
        <f t="shared" si="438"/>
        <v/>
      </c>
      <c r="BT802" s="1452" t="str">
        <f t="shared" si="439"/>
        <v/>
      </c>
      <c r="BU802" s="1452" t="str">
        <f t="shared" si="440"/>
        <v/>
      </c>
      <c r="BV802" s="1452" t="str">
        <f t="shared" si="441"/>
        <v/>
      </c>
      <c r="BW802" s="1558">
        <f t="shared" ca="1" si="448"/>
        <v>0</v>
      </c>
    </row>
    <row r="803" spans="1:75" s="9" customFormat="1" ht="12.5">
      <c r="A803" s="1483" t="str">
        <f t="shared" si="442"/>
        <v>Public Health Wales Trust</v>
      </c>
      <c r="B803" s="1583"/>
      <c r="C803" s="1583"/>
      <c r="D803" s="1583"/>
      <c r="E803" s="1581"/>
      <c r="F803" s="1436"/>
      <c r="G803" s="1547">
        <f t="shared" si="443"/>
        <v>0</v>
      </c>
      <c r="H803" s="1484"/>
      <c r="I803" s="1547">
        <f t="shared" si="444"/>
        <v>0</v>
      </c>
      <c r="J803" s="1485"/>
      <c r="K803" s="1485"/>
      <c r="L803" s="1436"/>
      <c r="M803" s="1439"/>
      <c r="N803" s="1439"/>
      <c r="O803" s="1485"/>
      <c r="P803" s="1486"/>
      <c r="Q803" s="1486"/>
      <c r="R803" s="1487"/>
      <c r="S803" s="1444"/>
      <c r="T803" s="1444"/>
      <c r="U803" s="1444"/>
      <c r="V803" s="1488"/>
      <c r="W803" s="1488"/>
      <c r="X803" s="1488"/>
      <c r="Y803" s="1488"/>
      <c r="Z803" s="1488"/>
      <c r="AA803" s="1488"/>
      <c r="AB803" s="1488"/>
      <c r="AC803" s="1488"/>
      <c r="AD803" s="1488"/>
      <c r="AE803" s="1488"/>
      <c r="AF803" s="1488"/>
      <c r="AG803" s="1488"/>
      <c r="AH803" s="1451">
        <f t="shared" si="416"/>
        <v>0</v>
      </c>
      <c r="AI803" s="1488"/>
      <c r="AJ803" s="1488"/>
      <c r="AK803" s="1488"/>
      <c r="AL803" s="1488"/>
      <c r="AM803" s="1488"/>
      <c r="AN803" s="1488"/>
      <c r="AO803" s="1488"/>
      <c r="AP803" s="1488"/>
      <c r="AQ803" s="1488"/>
      <c r="AR803" s="1488"/>
      <c r="AS803" s="1488"/>
      <c r="AT803" s="1542"/>
      <c r="AU803" s="1599">
        <f t="shared" si="417"/>
        <v>0</v>
      </c>
      <c r="AV803" s="1544">
        <f t="shared" si="445"/>
        <v>0</v>
      </c>
      <c r="AW803" s="1452">
        <f t="shared" si="418"/>
        <v>0</v>
      </c>
      <c r="AX803" s="1452">
        <f t="shared" si="419"/>
        <v>0</v>
      </c>
      <c r="AY803" s="1452">
        <f t="shared" si="420"/>
        <v>0</v>
      </c>
      <c r="AZ803" s="1452">
        <f t="shared" si="421"/>
        <v>0</v>
      </c>
      <c r="BA803" s="1452">
        <f t="shared" si="422"/>
        <v>0</v>
      </c>
      <c r="BB803" s="1452">
        <f t="shared" si="423"/>
        <v>0</v>
      </c>
      <c r="BC803" s="1452">
        <f t="shared" si="424"/>
        <v>0</v>
      </c>
      <c r="BD803" s="1452">
        <f t="shared" si="425"/>
        <v>0</v>
      </c>
      <c r="BE803" s="1452">
        <f t="shared" si="426"/>
        <v>0</v>
      </c>
      <c r="BF803" s="1452">
        <f t="shared" si="427"/>
        <v>0</v>
      </c>
      <c r="BG803" s="1452">
        <f t="shared" si="428"/>
        <v>0</v>
      </c>
      <c r="BH803" s="1452">
        <f t="shared" si="429"/>
        <v>0</v>
      </c>
      <c r="BI803" s="1452">
        <f t="shared" si="446"/>
        <v>0</v>
      </c>
      <c r="BJ803" s="1452" t="str">
        <f t="shared" si="430"/>
        <v/>
      </c>
      <c r="BK803" s="1452" t="str">
        <f t="shared" si="431"/>
        <v/>
      </c>
      <c r="BL803" s="1452" t="str">
        <f t="shared" si="432"/>
        <v/>
      </c>
      <c r="BM803" s="1452" t="str">
        <f t="shared" si="433"/>
        <v/>
      </c>
      <c r="BN803" s="1452" t="str">
        <f t="shared" ca="1" si="434"/>
        <v/>
      </c>
      <c r="BO803" s="1452" t="str">
        <f t="shared" si="447"/>
        <v/>
      </c>
      <c r="BP803" s="1452" t="str">
        <f t="shared" si="435"/>
        <v/>
      </c>
      <c r="BQ803" s="1452" t="str">
        <f t="shared" si="436"/>
        <v/>
      </c>
      <c r="BR803" s="1452" t="str">
        <f t="shared" si="437"/>
        <v/>
      </c>
      <c r="BS803" s="1452" t="str">
        <f t="shared" si="438"/>
        <v/>
      </c>
      <c r="BT803" s="1452" t="str">
        <f t="shared" si="439"/>
        <v/>
      </c>
      <c r="BU803" s="1452" t="str">
        <f t="shared" si="440"/>
        <v/>
      </c>
      <c r="BV803" s="1452" t="str">
        <f t="shared" si="441"/>
        <v/>
      </c>
      <c r="BW803" s="1558">
        <f t="shared" ca="1" si="448"/>
        <v>0</v>
      </c>
    </row>
    <row r="804" spans="1:75" s="9" customFormat="1" ht="12.5">
      <c r="A804" s="1483" t="str">
        <f t="shared" si="442"/>
        <v>Public Health Wales Trust</v>
      </c>
      <c r="B804" s="1583"/>
      <c r="C804" s="1583"/>
      <c r="D804" s="1583"/>
      <c r="E804" s="1581"/>
      <c r="F804" s="1436"/>
      <c r="G804" s="1547">
        <f t="shared" si="443"/>
        <v>0</v>
      </c>
      <c r="H804" s="1484"/>
      <c r="I804" s="1547">
        <f t="shared" si="444"/>
        <v>0</v>
      </c>
      <c r="J804" s="1485"/>
      <c r="K804" s="1485"/>
      <c r="L804" s="1436"/>
      <c r="M804" s="1439"/>
      <c r="N804" s="1439"/>
      <c r="O804" s="1485"/>
      <c r="P804" s="1486"/>
      <c r="Q804" s="1486"/>
      <c r="R804" s="1487"/>
      <c r="S804" s="1444"/>
      <c r="T804" s="1444"/>
      <c r="U804" s="1444"/>
      <c r="V804" s="1488"/>
      <c r="W804" s="1488"/>
      <c r="X804" s="1488"/>
      <c r="Y804" s="1488"/>
      <c r="Z804" s="1488"/>
      <c r="AA804" s="1488"/>
      <c r="AB804" s="1488"/>
      <c r="AC804" s="1488"/>
      <c r="AD804" s="1488"/>
      <c r="AE804" s="1488"/>
      <c r="AF804" s="1488"/>
      <c r="AG804" s="1488"/>
      <c r="AH804" s="1451">
        <f t="shared" si="416"/>
        <v>0</v>
      </c>
      <c r="AI804" s="1488"/>
      <c r="AJ804" s="1488"/>
      <c r="AK804" s="1488"/>
      <c r="AL804" s="1488"/>
      <c r="AM804" s="1488"/>
      <c r="AN804" s="1488"/>
      <c r="AO804" s="1488"/>
      <c r="AP804" s="1488"/>
      <c r="AQ804" s="1488"/>
      <c r="AR804" s="1488"/>
      <c r="AS804" s="1488"/>
      <c r="AT804" s="1542"/>
      <c r="AU804" s="1599">
        <f t="shared" si="417"/>
        <v>0</v>
      </c>
      <c r="AV804" s="1544">
        <f t="shared" si="445"/>
        <v>0</v>
      </c>
      <c r="AW804" s="1452">
        <f t="shared" si="418"/>
        <v>0</v>
      </c>
      <c r="AX804" s="1452">
        <f t="shared" si="419"/>
        <v>0</v>
      </c>
      <c r="AY804" s="1452">
        <f t="shared" si="420"/>
        <v>0</v>
      </c>
      <c r="AZ804" s="1452">
        <f t="shared" si="421"/>
        <v>0</v>
      </c>
      <c r="BA804" s="1452">
        <f t="shared" si="422"/>
        <v>0</v>
      </c>
      <c r="BB804" s="1452">
        <f t="shared" si="423"/>
        <v>0</v>
      </c>
      <c r="BC804" s="1452">
        <f t="shared" si="424"/>
        <v>0</v>
      </c>
      <c r="BD804" s="1452">
        <f t="shared" si="425"/>
        <v>0</v>
      </c>
      <c r="BE804" s="1452">
        <f t="shared" si="426"/>
        <v>0</v>
      </c>
      <c r="BF804" s="1452">
        <f t="shared" si="427"/>
        <v>0</v>
      </c>
      <c r="BG804" s="1452">
        <f t="shared" si="428"/>
        <v>0</v>
      </c>
      <c r="BH804" s="1452">
        <f t="shared" si="429"/>
        <v>0</v>
      </c>
      <c r="BI804" s="1452">
        <f t="shared" si="446"/>
        <v>0</v>
      </c>
      <c r="BJ804" s="1452" t="str">
        <f t="shared" si="430"/>
        <v/>
      </c>
      <c r="BK804" s="1452" t="str">
        <f t="shared" si="431"/>
        <v/>
      </c>
      <c r="BL804" s="1452" t="str">
        <f t="shared" si="432"/>
        <v/>
      </c>
      <c r="BM804" s="1452" t="str">
        <f t="shared" si="433"/>
        <v/>
      </c>
      <c r="BN804" s="1452" t="str">
        <f t="shared" ca="1" si="434"/>
        <v/>
      </c>
      <c r="BO804" s="1452" t="str">
        <f t="shared" si="447"/>
        <v/>
      </c>
      <c r="BP804" s="1452" t="str">
        <f t="shared" si="435"/>
        <v/>
      </c>
      <c r="BQ804" s="1452" t="str">
        <f t="shared" si="436"/>
        <v/>
      </c>
      <c r="BR804" s="1452" t="str">
        <f t="shared" si="437"/>
        <v/>
      </c>
      <c r="BS804" s="1452" t="str">
        <f t="shared" si="438"/>
        <v/>
      </c>
      <c r="BT804" s="1452" t="str">
        <f t="shared" si="439"/>
        <v/>
      </c>
      <c r="BU804" s="1452" t="str">
        <f t="shared" si="440"/>
        <v/>
      </c>
      <c r="BV804" s="1452" t="str">
        <f t="shared" si="441"/>
        <v/>
      </c>
      <c r="BW804" s="1558">
        <f t="shared" ca="1" si="448"/>
        <v>0</v>
      </c>
    </row>
    <row r="805" spans="1:75" s="9" customFormat="1" ht="12.5">
      <c r="A805" s="1483" t="str">
        <f t="shared" si="442"/>
        <v>Public Health Wales Trust</v>
      </c>
      <c r="B805" s="1583"/>
      <c r="C805" s="1583"/>
      <c r="D805" s="1583"/>
      <c r="E805" s="1581"/>
      <c r="F805" s="1436"/>
      <c r="G805" s="1547">
        <f t="shared" si="443"/>
        <v>0</v>
      </c>
      <c r="H805" s="1484"/>
      <c r="I805" s="1547">
        <f t="shared" si="444"/>
        <v>0</v>
      </c>
      <c r="J805" s="1485"/>
      <c r="K805" s="1485"/>
      <c r="L805" s="1436"/>
      <c r="M805" s="1439"/>
      <c r="N805" s="1439"/>
      <c r="O805" s="1485"/>
      <c r="P805" s="1486"/>
      <c r="Q805" s="1486"/>
      <c r="R805" s="1487"/>
      <c r="S805" s="1444"/>
      <c r="T805" s="1444"/>
      <c r="U805" s="1444"/>
      <c r="V805" s="1488"/>
      <c r="W805" s="1488"/>
      <c r="X805" s="1488"/>
      <c r="Y805" s="1488"/>
      <c r="Z805" s="1488"/>
      <c r="AA805" s="1488"/>
      <c r="AB805" s="1488"/>
      <c r="AC805" s="1488"/>
      <c r="AD805" s="1488"/>
      <c r="AE805" s="1488"/>
      <c r="AF805" s="1488"/>
      <c r="AG805" s="1488"/>
      <c r="AH805" s="1451">
        <f t="shared" si="416"/>
        <v>0</v>
      </c>
      <c r="AI805" s="1488"/>
      <c r="AJ805" s="1488"/>
      <c r="AK805" s="1488"/>
      <c r="AL805" s="1488"/>
      <c r="AM805" s="1488"/>
      <c r="AN805" s="1488"/>
      <c r="AO805" s="1488"/>
      <c r="AP805" s="1488"/>
      <c r="AQ805" s="1488"/>
      <c r="AR805" s="1488"/>
      <c r="AS805" s="1488"/>
      <c r="AT805" s="1542"/>
      <c r="AU805" s="1599">
        <f t="shared" si="417"/>
        <v>0</v>
      </c>
      <c r="AV805" s="1544">
        <f t="shared" si="445"/>
        <v>0</v>
      </c>
      <c r="AW805" s="1452">
        <f t="shared" si="418"/>
        <v>0</v>
      </c>
      <c r="AX805" s="1452">
        <f t="shared" si="419"/>
        <v>0</v>
      </c>
      <c r="AY805" s="1452">
        <f t="shared" si="420"/>
        <v>0</v>
      </c>
      <c r="AZ805" s="1452">
        <f t="shared" si="421"/>
        <v>0</v>
      </c>
      <c r="BA805" s="1452">
        <f t="shared" si="422"/>
        <v>0</v>
      </c>
      <c r="BB805" s="1452">
        <f t="shared" si="423"/>
        <v>0</v>
      </c>
      <c r="BC805" s="1452">
        <f t="shared" si="424"/>
        <v>0</v>
      </c>
      <c r="BD805" s="1452">
        <f t="shared" si="425"/>
        <v>0</v>
      </c>
      <c r="BE805" s="1452">
        <f t="shared" si="426"/>
        <v>0</v>
      </c>
      <c r="BF805" s="1452">
        <f t="shared" si="427"/>
        <v>0</v>
      </c>
      <c r="BG805" s="1452">
        <f t="shared" si="428"/>
        <v>0</v>
      </c>
      <c r="BH805" s="1452">
        <f t="shared" si="429"/>
        <v>0</v>
      </c>
      <c r="BI805" s="1452">
        <f t="shared" si="446"/>
        <v>0</v>
      </c>
      <c r="BJ805" s="1452" t="str">
        <f t="shared" si="430"/>
        <v/>
      </c>
      <c r="BK805" s="1452" t="str">
        <f t="shared" si="431"/>
        <v/>
      </c>
      <c r="BL805" s="1452" t="str">
        <f t="shared" si="432"/>
        <v/>
      </c>
      <c r="BM805" s="1452" t="str">
        <f t="shared" si="433"/>
        <v/>
      </c>
      <c r="BN805" s="1452" t="str">
        <f t="shared" ca="1" si="434"/>
        <v/>
      </c>
      <c r="BO805" s="1452" t="str">
        <f t="shared" si="447"/>
        <v/>
      </c>
      <c r="BP805" s="1452" t="str">
        <f t="shared" si="435"/>
        <v/>
      </c>
      <c r="BQ805" s="1452" t="str">
        <f t="shared" si="436"/>
        <v/>
      </c>
      <c r="BR805" s="1452" t="str">
        <f t="shared" si="437"/>
        <v/>
      </c>
      <c r="BS805" s="1452" t="str">
        <f t="shared" si="438"/>
        <v/>
      </c>
      <c r="BT805" s="1452" t="str">
        <f t="shared" si="439"/>
        <v/>
      </c>
      <c r="BU805" s="1452" t="str">
        <f t="shared" si="440"/>
        <v/>
      </c>
      <c r="BV805" s="1452" t="str">
        <f t="shared" si="441"/>
        <v/>
      </c>
      <c r="BW805" s="1558">
        <f t="shared" ca="1" si="448"/>
        <v>0</v>
      </c>
    </row>
    <row r="806" spans="1:75" s="9" customFormat="1" ht="12.5">
      <c r="A806" s="1483" t="str">
        <f t="shared" si="442"/>
        <v>Public Health Wales Trust</v>
      </c>
      <c r="B806" s="1583"/>
      <c r="C806" s="1583"/>
      <c r="D806" s="1583"/>
      <c r="E806" s="1581"/>
      <c r="F806" s="1436"/>
      <c r="G806" s="1547">
        <f t="shared" si="443"/>
        <v>0</v>
      </c>
      <c r="H806" s="1484"/>
      <c r="I806" s="1547">
        <f t="shared" si="444"/>
        <v>0</v>
      </c>
      <c r="J806" s="1485"/>
      <c r="K806" s="1485"/>
      <c r="L806" s="1436"/>
      <c r="M806" s="1439"/>
      <c r="N806" s="1439"/>
      <c r="O806" s="1485"/>
      <c r="P806" s="1486"/>
      <c r="Q806" s="1486"/>
      <c r="R806" s="1487"/>
      <c r="S806" s="1444"/>
      <c r="T806" s="1444"/>
      <c r="U806" s="1444"/>
      <c r="V806" s="1488"/>
      <c r="W806" s="1488"/>
      <c r="X806" s="1488"/>
      <c r="Y806" s="1488"/>
      <c r="Z806" s="1488"/>
      <c r="AA806" s="1488"/>
      <c r="AB806" s="1488"/>
      <c r="AC806" s="1488"/>
      <c r="AD806" s="1488"/>
      <c r="AE806" s="1488"/>
      <c r="AF806" s="1488"/>
      <c r="AG806" s="1488"/>
      <c r="AH806" s="1451">
        <f t="shared" si="416"/>
        <v>0</v>
      </c>
      <c r="AI806" s="1488"/>
      <c r="AJ806" s="1488"/>
      <c r="AK806" s="1488"/>
      <c r="AL806" s="1488"/>
      <c r="AM806" s="1488"/>
      <c r="AN806" s="1488"/>
      <c r="AO806" s="1488"/>
      <c r="AP806" s="1488"/>
      <c r="AQ806" s="1488"/>
      <c r="AR806" s="1488"/>
      <c r="AS806" s="1488"/>
      <c r="AT806" s="1542"/>
      <c r="AU806" s="1599">
        <f t="shared" si="417"/>
        <v>0</v>
      </c>
      <c r="AV806" s="1544">
        <f t="shared" si="445"/>
        <v>0</v>
      </c>
      <c r="AW806" s="1452">
        <f t="shared" si="418"/>
        <v>0</v>
      </c>
      <c r="AX806" s="1452">
        <f t="shared" si="419"/>
        <v>0</v>
      </c>
      <c r="AY806" s="1452">
        <f t="shared" si="420"/>
        <v>0</v>
      </c>
      <c r="AZ806" s="1452">
        <f t="shared" si="421"/>
        <v>0</v>
      </c>
      <c r="BA806" s="1452">
        <f t="shared" si="422"/>
        <v>0</v>
      </c>
      <c r="BB806" s="1452">
        <f t="shared" si="423"/>
        <v>0</v>
      </c>
      <c r="BC806" s="1452">
        <f t="shared" si="424"/>
        <v>0</v>
      </c>
      <c r="BD806" s="1452">
        <f t="shared" si="425"/>
        <v>0</v>
      </c>
      <c r="BE806" s="1452">
        <f t="shared" si="426"/>
        <v>0</v>
      </c>
      <c r="BF806" s="1452">
        <f t="shared" si="427"/>
        <v>0</v>
      </c>
      <c r="BG806" s="1452">
        <f t="shared" si="428"/>
        <v>0</v>
      </c>
      <c r="BH806" s="1452">
        <f t="shared" si="429"/>
        <v>0</v>
      </c>
      <c r="BI806" s="1452">
        <f t="shared" si="446"/>
        <v>0</v>
      </c>
      <c r="BJ806" s="1452" t="str">
        <f t="shared" si="430"/>
        <v/>
      </c>
      <c r="BK806" s="1452" t="str">
        <f t="shared" si="431"/>
        <v/>
      </c>
      <c r="BL806" s="1452" t="str">
        <f t="shared" si="432"/>
        <v/>
      </c>
      <c r="BM806" s="1452" t="str">
        <f t="shared" si="433"/>
        <v/>
      </c>
      <c r="BN806" s="1452" t="str">
        <f t="shared" ca="1" si="434"/>
        <v/>
      </c>
      <c r="BO806" s="1452" t="str">
        <f t="shared" si="447"/>
        <v/>
      </c>
      <c r="BP806" s="1452" t="str">
        <f t="shared" si="435"/>
        <v/>
      </c>
      <c r="BQ806" s="1452" t="str">
        <f t="shared" si="436"/>
        <v/>
      </c>
      <c r="BR806" s="1452" t="str">
        <f t="shared" si="437"/>
        <v/>
      </c>
      <c r="BS806" s="1452" t="str">
        <f t="shared" si="438"/>
        <v/>
      </c>
      <c r="BT806" s="1452" t="str">
        <f t="shared" si="439"/>
        <v/>
      </c>
      <c r="BU806" s="1452" t="str">
        <f t="shared" si="440"/>
        <v/>
      </c>
      <c r="BV806" s="1452" t="str">
        <f t="shared" si="441"/>
        <v/>
      </c>
      <c r="BW806" s="1558">
        <f t="shared" ca="1" si="448"/>
        <v>0</v>
      </c>
    </row>
    <row r="807" spans="1:75" s="9" customFormat="1" ht="12.5">
      <c r="A807" s="1483" t="str">
        <f t="shared" si="442"/>
        <v>Public Health Wales Trust</v>
      </c>
      <c r="B807" s="1583"/>
      <c r="C807" s="1583"/>
      <c r="D807" s="1583"/>
      <c r="E807" s="1436"/>
      <c r="F807" s="1436"/>
      <c r="G807" s="1547">
        <f t="shared" si="443"/>
        <v>0</v>
      </c>
      <c r="H807" s="1484"/>
      <c r="I807" s="1547">
        <f t="shared" si="444"/>
        <v>0</v>
      </c>
      <c r="J807" s="1485"/>
      <c r="K807" s="1485"/>
      <c r="L807" s="1436"/>
      <c r="M807" s="1439"/>
      <c r="N807" s="1439"/>
      <c r="O807" s="1485"/>
      <c r="P807" s="1486"/>
      <c r="Q807" s="1486"/>
      <c r="R807" s="1487"/>
      <c r="S807" s="1444"/>
      <c r="T807" s="1444"/>
      <c r="U807" s="1444"/>
      <c r="V807" s="1488"/>
      <c r="W807" s="1488"/>
      <c r="X807" s="1488"/>
      <c r="Y807" s="1488"/>
      <c r="Z807" s="1488"/>
      <c r="AA807" s="1488"/>
      <c r="AB807" s="1488"/>
      <c r="AC807" s="1488"/>
      <c r="AD807" s="1488"/>
      <c r="AE807" s="1488"/>
      <c r="AF807" s="1488"/>
      <c r="AG807" s="1488"/>
      <c r="AH807" s="1451">
        <f t="shared" si="416"/>
        <v>0</v>
      </c>
      <c r="AI807" s="1488"/>
      <c r="AJ807" s="1488"/>
      <c r="AK807" s="1488"/>
      <c r="AL807" s="1488"/>
      <c r="AM807" s="1488"/>
      <c r="AN807" s="1488"/>
      <c r="AO807" s="1488"/>
      <c r="AP807" s="1488"/>
      <c r="AQ807" s="1488"/>
      <c r="AR807" s="1488"/>
      <c r="AS807" s="1488"/>
      <c r="AT807" s="1542"/>
      <c r="AU807" s="1599">
        <f t="shared" si="417"/>
        <v>0</v>
      </c>
      <c r="AV807" s="1544">
        <f t="shared" si="445"/>
        <v>0</v>
      </c>
      <c r="AW807" s="1452">
        <f t="shared" si="418"/>
        <v>0</v>
      </c>
      <c r="AX807" s="1452">
        <f t="shared" si="419"/>
        <v>0</v>
      </c>
      <c r="AY807" s="1452">
        <f t="shared" si="420"/>
        <v>0</v>
      </c>
      <c r="AZ807" s="1452">
        <f t="shared" si="421"/>
        <v>0</v>
      </c>
      <c r="BA807" s="1452">
        <f t="shared" si="422"/>
        <v>0</v>
      </c>
      <c r="BB807" s="1452">
        <f t="shared" si="423"/>
        <v>0</v>
      </c>
      <c r="BC807" s="1452">
        <f t="shared" si="424"/>
        <v>0</v>
      </c>
      <c r="BD807" s="1452">
        <f t="shared" si="425"/>
        <v>0</v>
      </c>
      <c r="BE807" s="1452">
        <f t="shared" si="426"/>
        <v>0</v>
      </c>
      <c r="BF807" s="1452">
        <f t="shared" si="427"/>
        <v>0</v>
      </c>
      <c r="BG807" s="1452">
        <f t="shared" si="428"/>
        <v>0</v>
      </c>
      <c r="BH807" s="1452">
        <f t="shared" si="429"/>
        <v>0</v>
      </c>
      <c r="BI807" s="1452">
        <f t="shared" si="446"/>
        <v>0</v>
      </c>
      <c r="BJ807" s="1452" t="str">
        <f t="shared" si="430"/>
        <v/>
      </c>
      <c r="BK807" s="1452" t="str">
        <f t="shared" si="431"/>
        <v/>
      </c>
      <c r="BL807" s="1452" t="str">
        <f t="shared" si="432"/>
        <v/>
      </c>
      <c r="BM807" s="1452" t="str">
        <f t="shared" si="433"/>
        <v/>
      </c>
      <c r="BN807" s="1452" t="str">
        <f t="shared" ca="1" si="434"/>
        <v/>
      </c>
      <c r="BO807" s="1452" t="str">
        <f t="shared" si="447"/>
        <v/>
      </c>
      <c r="BP807" s="1452" t="str">
        <f t="shared" si="435"/>
        <v/>
      </c>
      <c r="BQ807" s="1452" t="str">
        <f t="shared" si="436"/>
        <v/>
      </c>
      <c r="BR807" s="1452" t="str">
        <f t="shared" si="437"/>
        <v/>
      </c>
      <c r="BS807" s="1452" t="str">
        <f t="shared" si="438"/>
        <v/>
      </c>
      <c r="BT807" s="1452" t="str">
        <f t="shared" si="439"/>
        <v/>
      </c>
      <c r="BU807" s="1452" t="str">
        <f t="shared" si="440"/>
        <v/>
      </c>
      <c r="BV807" s="1452" t="str">
        <f t="shared" si="441"/>
        <v/>
      </c>
      <c r="BW807" s="1558">
        <f t="shared" ca="1" si="448"/>
        <v>0</v>
      </c>
    </row>
    <row r="808" spans="1:75" s="9" customFormat="1" ht="12.5">
      <c r="A808" s="1483" t="str">
        <f t="shared" si="442"/>
        <v>Public Health Wales Trust</v>
      </c>
      <c r="B808" s="1583"/>
      <c r="C808" s="1583"/>
      <c r="D808" s="1583"/>
      <c r="E808" s="1581"/>
      <c r="F808" s="1436"/>
      <c r="G808" s="1547">
        <f t="shared" si="443"/>
        <v>0</v>
      </c>
      <c r="H808" s="1484"/>
      <c r="I808" s="1547">
        <f t="shared" si="444"/>
        <v>0</v>
      </c>
      <c r="J808" s="1485"/>
      <c r="K808" s="1485"/>
      <c r="L808" s="1436"/>
      <c r="M808" s="1439"/>
      <c r="N808" s="1439"/>
      <c r="O808" s="1485"/>
      <c r="P808" s="1486"/>
      <c r="Q808" s="1486"/>
      <c r="R808" s="1487"/>
      <c r="S808" s="1444"/>
      <c r="T808" s="1444"/>
      <c r="U808" s="1444"/>
      <c r="V808" s="1488"/>
      <c r="W808" s="1488"/>
      <c r="X808" s="1488"/>
      <c r="Y808" s="1488"/>
      <c r="Z808" s="1488"/>
      <c r="AA808" s="1488"/>
      <c r="AB808" s="1488"/>
      <c r="AC808" s="1488"/>
      <c r="AD808" s="1488"/>
      <c r="AE808" s="1488"/>
      <c r="AF808" s="1488"/>
      <c r="AG808" s="1488"/>
      <c r="AH808" s="1451">
        <f t="shared" si="416"/>
        <v>0</v>
      </c>
      <c r="AI808" s="1488"/>
      <c r="AJ808" s="1488"/>
      <c r="AK808" s="1488"/>
      <c r="AL808" s="1488"/>
      <c r="AM808" s="1488"/>
      <c r="AN808" s="1488"/>
      <c r="AO808" s="1488"/>
      <c r="AP808" s="1488"/>
      <c r="AQ808" s="1488"/>
      <c r="AR808" s="1488"/>
      <c r="AS808" s="1488"/>
      <c r="AT808" s="1542"/>
      <c r="AU808" s="1599">
        <f t="shared" si="417"/>
        <v>0</v>
      </c>
      <c r="AV808" s="1544">
        <f t="shared" si="445"/>
        <v>0</v>
      </c>
      <c r="AW808" s="1452">
        <f t="shared" si="418"/>
        <v>0</v>
      </c>
      <c r="AX808" s="1452">
        <f t="shared" si="419"/>
        <v>0</v>
      </c>
      <c r="AY808" s="1452">
        <f t="shared" si="420"/>
        <v>0</v>
      </c>
      <c r="AZ808" s="1452">
        <f t="shared" si="421"/>
        <v>0</v>
      </c>
      <c r="BA808" s="1452">
        <f t="shared" si="422"/>
        <v>0</v>
      </c>
      <c r="BB808" s="1452">
        <f t="shared" si="423"/>
        <v>0</v>
      </c>
      <c r="BC808" s="1452">
        <f t="shared" si="424"/>
        <v>0</v>
      </c>
      <c r="BD808" s="1452">
        <f t="shared" si="425"/>
        <v>0</v>
      </c>
      <c r="BE808" s="1452">
        <f t="shared" si="426"/>
        <v>0</v>
      </c>
      <c r="BF808" s="1452">
        <f t="shared" si="427"/>
        <v>0</v>
      </c>
      <c r="BG808" s="1452">
        <f t="shared" si="428"/>
        <v>0</v>
      </c>
      <c r="BH808" s="1452">
        <f t="shared" si="429"/>
        <v>0</v>
      </c>
      <c r="BI808" s="1452">
        <f t="shared" si="446"/>
        <v>0</v>
      </c>
      <c r="BJ808" s="1452" t="str">
        <f t="shared" si="430"/>
        <v/>
      </c>
      <c r="BK808" s="1452" t="str">
        <f t="shared" si="431"/>
        <v/>
      </c>
      <c r="BL808" s="1452" t="str">
        <f t="shared" si="432"/>
        <v/>
      </c>
      <c r="BM808" s="1452" t="str">
        <f t="shared" si="433"/>
        <v/>
      </c>
      <c r="BN808" s="1452" t="str">
        <f t="shared" ca="1" si="434"/>
        <v/>
      </c>
      <c r="BO808" s="1452" t="str">
        <f t="shared" si="447"/>
        <v/>
      </c>
      <c r="BP808" s="1452" t="str">
        <f t="shared" si="435"/>
        <v/>
      </c>
      <c r="BQ808" s="1452" t="str">
        <f t="shared" si="436"/>
        <v/>
      </c>
      <c r="BR808" s="1452" t="str">
        <f t="shared" si="437"/>
        <v/>
      </c>
      <c r="BS808" s="1452" t="str">
        <f t="shared" si="438"/>
        <v/>
      </c>
      <c r="BT808" s="1452" t="str">
        <f t="shared" si="439"/>
        <v/>
      </c>
      <c r="BU808" s="1452" t="str">
        <f t="shared" si="440"/>
        <v/>
      </c>
      <c r="BV808" s="1452" t="str">
        <f t="shared" si="441"/>
        <v/>
      </c>
      <c r="BW808" s="1558">
        <f t="shared" ca="1" si="448"/>
        <v>0</v>
      </c>
    </row>
    <row r="809" spans="1:75" s="9" customFormat="1" ht="12.5">
      <c r="A809" s="1483" t="str">
        <f t="shared" si="442"/>
        <v>Public Health Wales Trust</v>
      </c>
      <c r="B809" s="1583"/>
      <c r="C809" s="1583"/>
      <c r="D809" s="1583"/>
      <c r="E809" s="1581"/>
      <c r="F809" s="1436"/>
      <c r="G809" s="1547">
        <f t="shared" si="443"/>
        <v>0</v>
      </c>
      <c r="H809" s="1484"/>
      <c r="I809" s="1547">
        <f t="shared" si="444"/>
        <v>0</v>
      </c>
      <c r="J809" s="1485"/>
      <c r="K809" s="1485"/>
      <c r="L809" s="1436"/>
      <c r="M809" s="1439"/>
      <c r="N809" s="1439"/>
      <c r="O809" s="1485"/>
      <c r="P809" s="1486"/>
      <c r="Q809" s="1486"/>
      <c r="R809" s="1487"/>
      <c r="S809" s="1444"/>
      <c r="T809" s="1444"/>
      <c r="U809" s="1444"/>
      <c r="V809" s="1488"/>
      <c r="W809" s="1488"/>
      <c r="X809" s="1488"/>
      <c r="Y809" s="1488"/>
      <c r="Z809" s="1488"/>
      <c r="AA809" s="1488"/>
      <c r="AB809" s="1488"/>
      <c r="AC809" s="1488"/>
      <c r="AD809" s="1488"/>
      <c r="AE809" s="1488"/>
      <c r="AF809" s="1488"/>
      <c r="AG809" s="1488"/>
      <c r="AH809" s="1451">
        <f t="shared" si="416"/>
        <v>0</v>
      </c>
      <c r="AI809" s="1488"/>
      <c r="AJ809" s="1488"/>
      <c r="AK809" s="1488"/>
      <c r="AL809" s="1488"/>
      <c r="AM809" s="1488"/>
      <c r="AN809" s="1488"/>
      <c r="AO809" s="1488"/>
      <c r="AP809" s="1488"/>
      <c r="AQ809" s="1488"/>
      <c r="AR809" s="1488"/>
      <c r="AS809" s="1488"/>
      <c r="AT809" s="1542"/>
      <c r="AU809" s="1599">
        <f t="shared" si="417"/>
        <v>0</v>
      </c>
      <c r="AV809" s="1544">
        <f t="shared" si="445"/>
        <v>0</v>
      </c>
      <c r="AW809" s="1452">
        <f t="shared" si="418"/>
        <v>0</v>
      </c>
      <c r="AX809" s="1452">
        <f t="shared" si="419"/>
        <v>0</v>
      </c>
      <c r="AY809" s="1452">
        <f t="shared" si="420"/>
        <v>0</v>
      </c>
      <c r="AZ809" s="1452">
        <f t="shared" si="421"/>
        <v>0</v>
      </c>
      <c r="BA809" s="1452">
        <f t="shared" si="422"/>
        <v>0</v>
      </c>
      <c r="BB809" s="1452">
        <f t="shared" si="423"/>
        <v>0</v>
      </c>
      <c r="BC809" s="1452">
        <f t="shared" si="424"/>
        <v>0</v>
      </c>
      <c r="BD809" s="1452">
        <f t="shared" si="425"/>
        <v>0</v>
      </c>
      <c r="BE809" s="1452">
        <f t="shared" si="426"/>
        <v>0</v>
      </c>
      <c r="BF809" s="1452">
        <f t="shared" si="427"/>
        <v>0</v>
      </c>
      <c r="BG809" s="1452">
        <f t="shared" si="428"/>
        <v>0</v>
      </c>
      <c r="BH809" s="1452">
        <f t="shared" si="429"/>
        <v>0</v>
      </c>
      <c r="BI809" s="1452">
        <f t="shared" si="446"/>
        <v>0</v>
      </c>
      <c r="BJ809" s="1452" t="str">
        <f t="shared" si="430"/>
        <v/>
      </c>
      <c r="BK809" s="1452" t="str">
        <f t="shared" si="431"/>
        <v/>
      </c>
      <c r="BL809" s="1452" t="str">
        <f t="shared" si="432"/>
        <v/>
      </c>
      <c r="BM809" s="1452" t="str">
        <f t="shared" si="433"/>
        <v/>
      </c>
      <c r="BN809" s="1452" t="str">
        <f t="shared" ca="1" si="434"/>
        <v/>
      </c>
      <c r="BO809" s="1452" t="str">
        <f t="shared" si="447"/>
        <v/>
      </c>
      <c r="BP809" s="1452" t="str">
        <f t="shared" si="435"/>
        <v/>
      </c>
      <c r="BQ809" s="1452" t="str">
        <f t="shared" si="436"/>
        <v/>
      </c>
      <c r="BR809" s="1452" t="str">
        <f t="shared" si="437"/>
        <v/>
      </c>
      <c r="BS809" s="1452" t="str">
        <f t="shared" si="438"/>
        <v/>
      </c>
      <c r="BT809" s="1452" t="str">
        <f t="shared" si="439"/>
        <v/>
      </c>
      <c r="BU809" s="1452" t="str">
        <f t="shared" si="440"/>
        <v/>
      </c>
      <c r="BV809" s="1452" t="str">
        <f t="shared" si="441"/>
        <v/>
      </c>
      <c r="BW809" s="1558">
        <f t="shared" ca="1" si="448"/>
        <v>0</v>
      </c>
    </row>
    <row r="810" spans="1:75" s="9" customFormat="1" ht="12.5">
      <c r="A810" s="1483" t="str">
        <f t="shared" si="442"/>
        <v>Public Health Wales Trust</v>
      </c>
      <c r="B810" s="1583"/>
      <c r="C810" s="1583"/>
      <c r="D810" s="1583"/>
      <c r="E810" s="1581"/>
      <c r="F810" s="1436"/>
      <c r="G810" s="1547">
        <f t="shared" si="443"/>
        <v>0</v>
      </c>
      <c r="H810" s="1484"/>
      <c r="I810" s="1547">
        <f t="shared" si="444"/>
        <v>0</v>
      </c>
      <c r="J810" s="1485"/>
      <c r="K810" s="1485"/>
      <c r="L810" s="1436"/>
      <c r="M810" s="1439"/>
      <c r="N810" s="1439"/>
      <c r="O810" s="1485"/>
      <c r="P810" s="1486"/>
      <c r="Q810" s="1486"/>
      <c r="R810" s="1487"/>
      <c r="S810" s="1444"/>
      <c r="T810" s="1444"/>
      <c r="U810" s="1444"/>
      <c r="V810" s="1488"/>
      <c r="W810" s="1488"/>
      <c r="X810" s="1488"/>
      <c r="Y810" s="1488"/>
      <c r="Z810" s="1488"/>
      <c r="AA810" s="1488"/>
      <c r="AB810" s="1488"/>
      <c r="AC810" s="1488"/>
      <c r="AD810" s="1488"/>
      <c r="AE810" s="1488"/>
      <c r="AF810" s="1488"/>
      <c r="AG810" s="1488"/>
      <c r="AH810" s="1451">
        <f t="shared" si="416"/>
        <v>0</v>
      </c>
      <c r="AI810" s="1488"/>
      <c r="AJ810" s="1488"/>
      <c r="AK810" s="1488"/>
      <c r="AL810" s="1488"/>
      <c r="AM810" s="1488"/>
      <c r="AN810" s="1488"/>
      <c r="AO810" s="1488"/>
      <c r="AP810" s="1488"/>
      <c r="AQ810" s="1488"/>
      <c r="AR810" s="1488"/>
      <c r="AS810" s="1488"/>
      <c r="AT810" s="1542"/>
      <c r="AU810" s="1599">
        <f t="shared" si="417"/>
        <v>0</v>
      </c>
      <c r="AV810" s="1544">
        <f t="shared" si="445"/>
        <v>0</v>
      </c>
      <c r="AW810" s="1452">
        <f t="shared" si="418"/>
        <v>0</v>
      </c>
      <c r="AX810" s="1452">
        <f t="shared" si="419"/>
        <v>0</v>
      </c>
      <c r="AY810" s="1452">
        <f t="shared" si="420"/>
        <v>0</v>
      </c>
      <c r="AZ810" s="1452">
        <f t="shared" si="421"/>
        <v>0</v>
      </c>
      <c r="BA810" s="1452">
        <f t="shared" si="422"/>
        <v>0</v>
      </c>
      <c r="BB810" s="1452">
        <f t="shared" si="423"/>
        <v>0</v>
      </c>
      <c r="BC810" s="1452">
        <f t="shared" si="424"/>
        <v>0</v>
      </c>
      <c r="BD810" s="1452">
        <f t="shared" si="425"/>
        <v>0</v>
      </c>
      <c r="BE810" s="1452">
        <f t="shared" si="426"/>
        <v>0</v>
      </c>
      <c r="BF810" s="1452">
        <f t="shared" si="427"/>
        <v>0</v>
      </c>
      <c r="BG810" s="1452">
        <f t="shared" si="428"/>
        <v>0</v>
      </c>
      <c r="BH810" s="1452">
        <f t="shared" si="429"/>
        <v>0</v>
      </c>
      <c r="BI810" s="1452">
        <f t="shared" si="446"/>
        <v>0</v>
      </c>
      <c r="BJ810" s="1452" t="str">
        <f t="shared" si="430"/>
        <v/>
      </c>
      <c r="BK810" s="1452" t="str">
        <f t="shared" si="431"/>
        <v/>
      </c>
      <c r="BL810" s="1452" t="str">
        <f t="shared" si="432"/>
        <v/>
      </c>
      <c r="BM810" s="1452" t="str">
        <f t="shared" si="433"/>
        <v/>
      </c>
      <c r="BN810" s="1452" t="str">
        <f t="shared" ca="1" si="434"/>
        <v/>
      </c>
      <c r="BO810" s="1452" t="str">
        <f t="shared" si="447"/>
        <v/>
      </c>
      <c r="BP810" s="1452" t="str">
        <f t="shared" si="435"/>
        <v/>
      </c>
      <c r="BQ810" s="1452" t="str">
        <f t="shared" si="436"/>
        <v/>
      </c>
      <c r="BR810" s="1452" t="str">
        <f t="shared" si="437"/>
        <v/>
      </c>
      <c r="BS810" s="1452" t="str">
        <f t="shared" si="438"/>
        <v/>
      </c>
      <c r="BT810" s="1452" t="str">
        <f t="shared" si="439"/>
        <v/>
      </c>
      <c r="BU810" s="1452" t="str">
        <f t="shared" si="440"/>
        <v/>
      </c>
      <c r="BV810" s="1452" t="str">
        <f t="shared" si="441"/>
        <v/>
      </c>
      <c r="BW810" s="1558">
        <f t="shared" ca="1" si="448"/>
        <v>0</v>
      </c>
    </row>
    <row r="811" spans="1:75" s="9" customFormat="1" ht="12.5">
      <c r="A811" s="1483" t="str">
        <f t="shared" si="442"/>
        <v>Public Health Wales Trust</v>
      </c>
      <c r="B811" s="1583"/>
      <c r="C811" s="1583"/>
      <c r="D811" s="1583"/>
      <c r="E811" s="1581"/>
      <c r="F811" s="1436"/>
      <c r="G811" s="1547">
        <f t="shared" si="443"/>
        <v>0</v>
      </c>
      <c r="H811" s="1484"/>
      <c r="I811" s="1547">
        <f t="shared" si="444"/>
        <v>0</v>
      </c>
      <c r="J811" s="1485"/>
      <c r="K811" s="1485"/>
      <c r="L811" s="1436"/>
      <c r="M811" s="1439"/>
      <c r="N811" s="1439"/>
      <c r="O811" s="1485"/>
      <c r="P811" s="1486"/>
      <c r="Q811" s="1486"/>
      <c r="R811" s="1487"/>
      <c r="S811" s="1444"/>
      <c r="T811" s="1444"/>
      <c r="U811" s="1444"/>
      <c r="V811" s="1488"/>
      <c r="W811" s="1488"/>
      <c r="X811" s="1488"/>
      <c r="Y811" s="1488"/>
      <c r="Z811" s="1488"/>
      <c r="AA811" s="1488"/>
      <c r="AB811" s="1488"/>
      <c r="AC811" s="1488"/>
      <c r="AD811" s="1488"/>
      <c r="AE811" s="1488"/>
      <c r="AF811" s="1488"/>
      <c r="AG811" s="1488"/>
      <c r="AH811" s="1451">
        <f t="shared" ref="AH811:AH874" si="449">SUM(V811:AG811)</f>
        <v>0</v>
      </c>
      <c r="AI811" s="1488"/>
      <c r="AJ811" s="1488"/>
      <c r="AK811" s="1488"/>
      <c r="AL811" s="1488"/>
      <c r="AM811" s="1488"/>
      <c r="AN811" s="1488"/>
      <c r="AO811" s="1488"/>
      <c r="AP811" s="1488"/>
      <c r="AQ811" s="1488"/>
      <c r="AR811" s="1488"/>
      <c r="AS811" s="1488"/>
      <c r="AT811" s="1542"/>
      <c r="AU811" s="1599">
        <f t="shared" ref="AU811:AU874" si="450">SUMPRODUCT($AC$40:$AN$40,AI811:AT811)</f>
        <v>0</v>
      </c>
      <c r="AV811" s="1544">
        <f t="shared" si="445"/>
        <v>0</v>
      </c>
      <c r="AW811" s="1452">
        <f t="shared" ref="AW811:AW874" si="451">AI811-V811</f>
        <v>0</v>
      </c>
      <c r="AX811" s="1452">
        <f t="shared" ref="AX811:AX874" si="452">AJ811-W811</f>
        <v>0</v>
      </c>
      <c r="AY811" s="1452">
        <f t="shared" ref="AY811:AY874" si="453">AK811-X811</f>
        <v>0</v>
      </c>
      <c r="AZ811" s="1452">
        <f t="shared" ref="AZ811:AZ874" si="454">AL811-Y811</f>
        <v>0</v>
      </c>
      <c r="BA811" s="1452">
        <f t="shared" ref="BA811:BA874" si="455">AM811-Z811</f>
        <v>0</v>
      </c>
      <c r="BB811" s="1452">
        <f t="shared" ref="BB811:BB874" si="456">AN811-AA811</f>
        <v>0</v>
      </c>
      <c r="BC811" s="1452">
        <f t="shared" ref="BC811:BC874" si="457">AO811-AB811</f>
        <v>0</v>
      </c>
      <c r="BD811" s="1452">
        <f t="shared" ref="BD811:BD874" si="458">AP811-AC811</f>
        <v>0</v>
      </c>
      <c r="BE811" s="1452">
        <f t="shared" ref="BE811:BE874" si="459">AQ811-AD811</f>
        <v>0</v>
      </c>
      <c r="BF811" s="1452">
        <f t="shared" ref="BF811:BF874" si="460">AR811-AE811</f>
        <v>0</v>
      </c>
      <c r="BG811" s="1452">
        <f t="shared" ref="BG811:BG874" si="461">AS811-AF811</f>
        <v>0</v>
      </c>
      <c r="BH811" s="1452">
        <f t="shared" ref="BH811:BH874" si="462">AT811-AG811</f>
        <v>0</v>
      </c>
      <c r="BI811" s="1452">
        <f t="shared" si="446"/>
        <v>0</v>
      </c>
      <c r="BJ811" s="1452" t="str">
        <f t="shared" ref="BJ811:BJ874" si="463">IF(OR(G811&gt;0,I811&gt;0),IF(AND(B811&lt;&gt;"",C811&lt;&gt;"",D811&lt;&gt;"",E811&lt;&gt;"",F811&lt;&gt;"",L811&lt;&gt;"",M811&lt;&gt;"",N811&lt;&gt;"",O811&lt;&gt;"",P811&lt;&gt;"",Q811&lt;&gt;"",R811&lt;&gt;""),"","ERROR"),"")</f>
        <v/>
      </c>
      <c r="BK811" s="1452" t="str">
        <f t="shared" ref="BK811:BK874" si="464">IF(COUNTIF($D$43:$D$1496,D811)&gt;1,"ERROR","")</f>
        <v/>
      </c>
      <c r="BL811" s="1452" t="str">
        <f t="shared" ref="BL811:BL874" si="465">IF(AND(OR(R811=$CQ$1,R811=$CQ$3),S811=""),"ERROR","")</f>
        <v/>
      </c>
      <c r="BM811" s="1452" t="str">
        <f t="shared" ref="BM811:BM874" si="466">IF(AND(OR(R811=$CQ$2),S811&lt;&gt;""),"ERROR","")</f>
        <v/>
      </c>
      <c r="BN811" s="1452" t="str">
        <f t="shared" ref="BN811:BN874" ca="1" si="467">IF(AND(O811=$CA$2,N811&lt;TODAY()),"ERROR","")</f>
        <v/>
      </c>
      <c r="BO811" s="1452" t="str">
        <f t="shared" si="447"/>
        <v/>
      </c>
      <c r="BP811" s="1452" t="str">
        <f t="shared" ref="BP811:BP874" si="468">IF(AND(F811=$BZ$1,G811&gt;H811),"ERROR","")</f>
        <v/>
      </c>
      <c r="BQ811" s="1452" t="str">
        <f t="shared" ref="BQ811:BQ874" si="469">IF(AND(F811=$BZ$1,I811&gt;J811),"ERROR","")</f>
        <v/>
      </c>
      <c r="BR811" s="1452" t="str">
        <f t="shared" ref="BR811:BR874" si="470">IF(AND(F811=$BZ$2,SUM(H811,J811)&gt;0),"ERROR","")</f>
        <v/>
      </c>
      <c r="BS811" s="1452" t="str">
        <f t="shared" ref="BS811:BS874" si="471">IF(AND(I811=0,J811&gt;0),"ERROR","")</f>
        <v/>
      </c>
      <c r="BT811" s="1452" t="str">
        <f t="shared" ref="BT811:BT874" si="472">IF(AND(O811=$CA$1,K811&lt;&gt;0),"ERROR","")</f>
        <v/>
      </c>
      <c r="BU811" s="1452" t="str">
        <f t="shared" ref="BU811:BU874" si="473">IF(AND(O811=$CA$2,I811-AU811-K811&lt;0),"ERROR","")</f>
        <v/>
      </c>
      <c r="BV811" s="1452" t="str">
        <f t="shared" ref="BV811:BV874" si="474">IF(S811="","",VLOOKUP(S811,$CS$1:$CT$14,2,0))</f>
        <v/>
      </c>
      <c r="BW811" s="1558">
        <f t="shared" ca="1" si="448"/>
        <v>0</v>
      </c>
    </row>
    <row r="812" spans="1:75" s="9" customFormat="1" ht="12.5">
      <c r="A812" s="1483" t="str">
        <f t="shared" ref="A812:A875" si="475">$A$1</f>
        <v>Public Health Wales Trust</v>
      </c>
      <c r="B812" s="1583"/>
      <c r="C812" s="1583"/>
      <c r="D812" s="1583"/>
      <c r="E812" s="1581"/>
      <c r="F812" s="1436"/>
      <c r="G812" s="1547">
        <f t="shared" ref="G812:G875" si="476">AH812</f>
        <v>0</v>
      </c>
      <c r="H812" s="1484"/>
      <c r="I812" s="1547">
        <f t="shared" ref="I812:I875" si="477">AV812</f>
        <v>0</v>
      </c>
      <c r="J812" s="1485"/>
      <c r="K812" s="1485"/>
      <c r="L812" s="1436"/>
      <c r="M812" s="1439"/>
      <c r="N812" s="1439"/>
      <c r="O812" s="1485"/>
      <c r="P812" s="1486"/>
      <c r="Q812" s="1486"/>
      <c r="R812" s="1487"/>
      <c r="S812" s="1444"/>
      <c r="T812" s="1444"/>
      <c r="U812" s="1444"/>
      <c r="V812" s="1488"/>
      <c r="W812" s="1488"/>
      <c r="X812" s="1488"/>
      <c r="Y812" s="1488"/>
      <c r="Z812" s="1488"/>
      <c r="AA812" s="1488"/>
      <c r="AB812" s="1488"/>
      <c r="AC812" s="1488"/>
      <c r="AD812" s="1488"/>
      <c r="AE812" s="1488"/>
      <c r="AF812" s="1488"/>
      <c r="AG812" s="1488"/>
      <c r="AH812" s="1451">
        <f t="shared" si="449"/>
        <v>0</v>
      </c>
      <c r="AI812" s="1488"/>
      <c r="AJ812" s="1488"/>
      <c r="AK812" s="1488"/>
      <c r="AL812" s="1488"/>
      <c r="AM812" s="1488"/>
      <c r="AN812" s="1488"/>
      <c r="AO812" s="1488"/>
      <c r="AP812" s="1488"/>
      <c r="AQ812" s="1488"/>
      <c r="AR812" s="1488"/>
      <c r="AS812" s="1488"/>
      <c r="AT812" s="1542"/>
      <c r="AU812" s="1599">
        <f t="shared" si="450"/>
        <v>0</v>
      </c>
      <c r="AV812" s="1544">
        <f t="shared" ref="AV812:AV875" si="478">SUM(AI812:AT812)</f>
        <v>0</v>
      </c>
      <c r="AW812" s="1452">
        <f t="shared" si="451"/>
        <v>0</v>
      </c>
      <c r="AX812" s="1452">
        <f t="shared" si="452"/>
        <v>0</v>
      </c>
      <c r="AY812" s="1452">
        <f t="shared" si="453"/>
        <v>0</v>
      </c>
      <c r="AZ812" s="1452">
        <f t="shared" si="454"/>
        <v>0</v>
      </c>
      <c r="BA812" s="1452">
        <f t="shared" si="455"/>
        <v>0</v>
      </c>
      <c r="BB812" s="1452">
        <f t="shared" si="456"/>
        <v>0</v>
      </c>
      <c r="BC812" s="1452">
        <f t="shared" si="457"/>
        <v>0</v>
      </c>
      <c r="BD812" s="1452">
        <f t="shared" si="458"/>
        <v>0</v>
      </c>
      <c r="BE812" s="1452">
        <f t="shared" si="459"/>
        <v>0</v>
      </c>
      <c r="BF812" s="1452">
        <f t="shared" si="460"/>
        <v>0</v>
      </c>
      <c r="BG812" s="1452">
        <f t="shared" si="461"/>
        <v>0</v>
      </c>
      <c r="BH812" s="1452">
        <f t="shared" si="462"/>
        <v>0</v>
      </c>
      <c r="BI812" s="1452">
        <f t="shared" ref="BI812:BI875" si="479">SUM(AW812:BH812)</f>
        <v>0</v>
      </c>
      <c r="BJ812" s="1452" t="str">
        <f t="shared" si="463"/>
        <v/>
      </c>
      <c r="BK812" s="1452" t="str">
        <f t="shared" si="464"/>
        <v/>
      </c>
      <c r="BL812" s="1452" t="str">
        <f t="shared" si="465"/>
        <v/>
      </c>
      <c r="BM812" s="1452" t="str">
        <f t="shared" si="466"/>
        <v/>
      </c>
      <c r="BN812" s="1452" t="str">
        <f t="shared" ca="1" si="467"/>
        <v/>
      </c>
      <c r="BO812" s="1452" t="str">
        <f t="shared" ref="BO812:BO875" si="480">IF(AND(AV812&gt;0,AH812=0),"ERROR","")</f>
        <v/>
      </c>
      <c r="BP812" s="1452" t="str">
        <f t="shared" si="468"/>
        <v/>
      </c>
      <c r="BQ812" s="1452" t="str">
        <f t="shared" si="469"/>
        <v/>
      </c>
      <c r="BR812" s="1452" t="str">
        <f t="shared" si="470"/>
        <v/>
      </c>
      <c r="BS812" s="1452" t="str">
        <f t="shared" si="471"/>
        <v/>
      </c>
      <c r="BT812" s="1452" t="str">
        <f t="shared" si="472"/>
        <v/>
      </c>
      <c r="BU812" s="1452" t="str">
        <f t="shared" si="473"/>
        <v/>
      </c>
      <c r="BV812" s="1452" t="str">
        <f t="shared" si="474"/>
        <v/>
      </c>
      <c r="BW812" s="1558">
        <f t="shared" ref="BW812:BW875" ca="1" si="481">COUNTIF(BJ812:BU812,"ERROR")</f>
        <v>0</v>
      </c>
    </row>
    <row r="813" spans="1:75" s="9" customFormat="1" ht="12.5">
      <c r="A813" s="1483" t="str">
        <f t="shared" si="475"/>
        <v>Public Health Wales Trust</v>
      </c>
      <c r="B813" s="1583"/>
      <c r="C813" s="1583"/>
      <c r="D813" s="1583"/>
      <c r="E813" s="1581"/>
      <c r="F813" s="1436"/>
      <c r="G813" s="1547">
        <f t="shared" si="476"/>
        <v>0</v>
      </c>
      <c r="H813" s="1484"/>
      <c r="I813" s="1547">
        <f t="shared" si="477"/>
        <v>0</v>
      </c>
      <c r="J813" s="1485"/>
      <c r="K813" s="1485"/>
      <c r="L813" s="1436"/>
      <c r="M813" s="1439"/>
      <c r="N813" s="1439"/>
      <c r="O813" s="1485"/>
      <c r="P813" s="1486"/>
      <c r="Q813" s="1486"/>
      <c r="R813" s="1487"/>
      <c r="S813" s="1444"/>
      <c r="T813" s="1444"/>
      <c r="U813" s="1444"/>
      <c r="V813" s="1488"/>
      <c r="W813" s="1488"/>
      <c r="X813" s="1488"/>
      <c r="Y813" s="1488"/>
      <c r="Z813" s="1488"/>
      <c r="AA813" s="1488"/>
      <c r="AB813" s="1488"/>
      <c r="AC813" s="1488"/>
      <c r="AD813" s="1488"/>
      <c r="AE813" s="1488"/>
      <c r="AF813" s="1488"/>
      <c r="AG813" s="1488"/>
      <c r="AH813" s="1451">
        <f t="shared" si="449"/>
        <v>0</v>
      </c>
      <c r="AI813" s="1488"/>
      <c r="AJ813" s="1488"/>
      <c r="AK813" s="1488"/>
      <c r="AL813" s="1488"/>
      <c r="AM813" s="1488"/>
      <c r="AN813" s="1488"/>
      <c r="AO813" s="1488"/>
      <c r="AP813" s="1488"/>
      <c r="AQ813" s="1488"/>
      <c r="AR813" s="1488"/>
      <c r="AS813" s="1488"/>
      <c r="AT813" s="1542"/>
      <c r="AU813" s="1599">
        <f t="shared" si="450"/>
        <v>0</v>
      </c>
      <c r="AV813" s="1544">
        <f t="shared" si="478"/>
        <v>0</v>
      </c>
      <c r="AW813" s="1452">
        <f t="shared" si="451"/>
        <v>0</v>
      </c>
      <c r="AX813" s="1452">
        <f t="shared" si="452"/>
        <v>0</v>
      </c>
      <c r="AY813" s="1452">
        <f t="shared" si="453"/>
        <v>0</v>
      </c>
      <c r="AZ813" s="1452">
        <f t="shared" si="454"/>
        <v>0</v>
      </c>
      <c r="BA813" s="1452">
        <f t="shared" si="455"/>
        <v>0</v>
      </c>
      <c r="BB813" s="1452">
        <f t="shared" si="456"/>
        <v>0</v>
      </c>
      <c r="BC813" s="1452">
        <f t="shared" si="457"/>
        <v>0</v>
      </c>
      <c r="BD813" s="1452">
        <f t="shared" si="458"/>
        <v>0</v>
      </c>
      <c r="BE813" s="1452">
        <f t="shared" si="459"/>
        <v>0</v>
      </c>
      <c r="BF813" s="1452">
        <f t="shared" si="460"/>
        <v>0</v>
      </c>
      <c r="BG813" s="1452">
        <f t="shared" si="461"/>
        <v>0</v>
      </c>
      <c r="BH813" s="1452">
        <f t="shared" si="462"/>
        <v>0</v>
      </c>
      <c r="BI813" s="1452">
        <f t="shared" si="479"/>
        <v>0</v>
      </c>
      <c r="BJ813" s="1452" t="str">
        <f t="shared" si="463"/>
        <v/>
      </c>
      <c r="BK813" s="1452" t="str">
        <f t="shared" si="464"/>
        <v/>
      </c>
      <c r="BL813" s="1452" t="str">
        <f t="shared" si="465"/>
        <v/>
      </c>
      <c r="BM813" s="1452" t="str">
        <f t="shared" si="466"/>
        <v/>
      </c>
      <c r="BN813" s="1452" t="str">
        <f t="shared" ca="1" si="467"/>
        <v/>
      </c>
      <c r="BO813" s="1452" t="str">
        <f t="shared" si="480"/>
        <v/>
      </c>
      <c r="BP813" s="1452" t="str">
        <f t="shared" si="468"/>
        <v/>
      </c>
      <c r="BQ813" s="1452" t="str">
        <f t="shared" si="469"/>
        <v/>
      </c>
      <c r="BR813" s="1452" t="str">
        <f t="shared" si="470"/>
        <v/>
      </c>
      <c r="BS813" s="1452" t="str">
        <f t="shared" si="471"/>
        <v/>
      </c>
      <c r="BT813" s="1452" t="str">
        <f t="shared" si="472"/>
        <v/>
      </c>
      <c r="BU813" s="1452" t="str">
        <f t="shared" si="473"/>
        <v/>
      </c>
      <c r="BV813" s="1452" t="str">
        <f t="shared" si="474"/>
        <v/>
      </c>
      <c r="BW813" s="1558">
        <f t="shared" ca="1" si="481"/>
        <v>0</v>
      </c>
    </row>
    <row r="814" spans="1:75" s="9" customFormat="1" ht="12.5">
      <c r="A814" s="1483" t="str">
        <f t="shared" si="475"/>
        <v>Public Health Wales Trust</v>
      </c>
      <c r="B814" s="1583"/>
      <c r="C814" s="1583"/>
      <c r="D814" s="1583"/>
      <c r="E814" s="1581"/>
      <c r="F814" s="1436"/>
      <c r="G814" s="1547">
        <f t="shared" si="476"/>
        <v>0</v>
      </c>
      <c r="H814" s="1484"/>
      <c r="I814" s="1547">
        <f t="shared" si="477"/>
        <v>0</v>
      </c>
      <c r="J814" s="1485"/>
      <c r="K814" s="1485"/>
      <c r="L814" s="1436"/>
      <c r="M814" s="1439"/>
      <c r="N814" s="1439"/>
      <c r="O814" s="1485"/>
      <c r="P814" s="1486"/>
      <c r="Q814" s="1486"/>
      <c r="R814" s="1487"/>
      <c r="S814" s="1444"/>
      <c r="T814" s="1444"/>
      <c r="U814" s="1444"/>
      <c r="V814" s="1488"/>
      <c r="W814" s="1488"/>
      <c r="X814" s="1488"/>
      <c r="Y814" s="1488"/>
      <c r="Z814" s="1488"/>
      <c r="AA814" s="1488"/>
      <c r="AB814" s="1488"/>
      <c r="AC814" s="1488"/>
      <c r="AD814" s="1488"/>
      <c r="AE814" s="1488"/>
      <c r="AF814" s="1488"/>
      <c r="AG814" s="1488"/>
      <c r="AH814" s="1451">
        <f t="shared" si="449"/>
        <v>0</v>
      </c>
      <c r="AI814" s="1488"/>
      <c r="AJ814" s="1488"/>
      <c r="AK814" s="1488"/>
      <c r="AL814" s="1488"/>
      <c r="AM814" s="1488"/>
      <c r="AN814" s="1488"/>
      <c r="AO814" s="1488"/>
      <c r="AP814" s="1488"/>
      <c r="AQ814" s="1488"/>
      <c r="AR814" s="1488"/>
      <c r="AS814" s="1488"/>
      <c r="AT814" s="1542"/>
      <c r="AU814" s="1599">
        <f t="shared" si="450"/>
        <v>0</v>
      </c>
      <c r="AV814" s="1544">
        <f t="shared" si="478"/>
        <v>0</v>
      </c>
      <c r="AW814" s="1452">
        <f t="shared" si="451"/>
        <v>0</v>
      </c>
      <c r="AX814" s="1452">
        <f t="shared" si="452"/>
        <v>0</v>
      </c>
      <c r="AY814" s="1452">
        <f t="shared" si="453"/>
        <v>0</v>
      </c>
      <c r="AZ814" s="1452">
        <f t="shared" si="454"/>
        <v>0</v>
      </c>
      <c r="BA814" s="1452">
        <f t="shared" si="455"/>
        <v>0</v>
      </c>
      <c r="BB814" s="1452">
        <f t="shared" si="456"/>
        <v>0</v>
      </c>
      <c r="BC814" s="1452">
        <f t="shared" si="457"/>
        <v>0</v>
      </c>
      <c r="BD814" s="1452">
        <f t="shared" si="458"/>
        <v>0</v>
      </c>
      <c r="BE814" s="1452">
        <f t="shared" si="459"/>
        <v>0</v>
      </c>
      <c r="BF814" s="1452">
        <f t="shared" si="460"/>
        <v>0</v>
      </c>
      <c r="BG814" s="1452">
        <f t="shared" si="461"/>
        <v>0</v>
      </c>
      <c r="BH814" s="1452">
        <f t="shared" si="462"/>
        <v>0</v>
      </c>
      <c r="BI814" s="1452">
        <f t="shared" si="479"/>
        <v>0</v>
      </c>
      <c r="BJ814" s="1452" t="str">
        <f t="shared" si="463"/>
        <v/>
      </c>
      <c r="BK814" s="1452" t="str">
        <f t="shared" si="464"/>
        <v/>
      </c>
      <c r="BL814" s="1452" t="str">
        <f t="shared" si="465"/>
        <v/>
      </c>
      <c r="BM814" s="1452" t="str">
        <f t="shared" si="466"/>
        <v/>
      </c>
      <c r="BN814" s="1452" t="str">
        <f t="shared" ca="1" si="467"/>
        <v/>
      </c>
      <c r="BO814" s="1452" t="str">
        <f t="shared" si="480"/>
        <v/>
      </c>
      <c r="BP814" s="1452" t="str">
        <f t="shared" si="468"/>
        <v/>
      </c>
      <c r="BQ814" s="1452" t="str">
        <f t="shared" si="469"/>
        <v/>
      </c>
      <c r="BR814" s="1452" t="str">
        <f t="shared" si="470"/>
        <v/>
      </c>
      <c r="BS814" s="1452" t="str">
        <f t="shared" si="471"/>
        <v/>
      </c>
      <c r="BT814" s="1452" t="str">
        <f t="shared" si="472"/>
        <v/>
      </c>
      <c r="BU814" s="1452" t="str">
        <f t="shared" si="473"/>
        <v/>
      </c>
      <c r="BV814" s="1452" t="str">
        <f t="shared" si="474"/>
        <v/>
      </c>
      <c r="BW814" s="1558">
        <f t="shared" ca="1" si="481"/>
        <v>0</v>
      </c>
    </row>
    <row r="815" spans="1:75" s="9" customFormat="1" ht="12.5">
      <c r="A815" s="1483" t="str">
        <f t="shared" si="475"/>
        <v>Public Health Wales Trust</v>
      </c>
      <c r="B815" s="1583"/>
      <c r="C815" s="1583"/>
      <c r="D815" s="1583"/>
      <c r="E815" s="1581"/>
      <c r="F815" s="1436"/>
      <c r="G815" s="1547">
        <f t="shared" si="476"/>
        <v>0</v>
      </c>
      <c r="H815" s="1484"/>
      <c r="I815" s="1547">
        <f t="shared" si="477"/>
        <v>0</v>
      </c>
      <c r="J815" s="1485"/>
      <c r="K815" s="1485"/>
      <c r="L815" s="1436"/>
      <c r="M815" s="1439"/>
      <c r="N815" s="1439"/>
      <c r="O815" s="1485"/>
      <c r="P815" s="1486"/>
      <c r="Q815" s="1486"/>
      <c r="R815" s="1487"/>
      <c r="S815" s="1444"/>
      <c r="T815" s="1444"/>
      <c r="U815" s="1444"/>
      <c r="V815" s="1488"/>
      <c r="W815" s="1488"/>
      <c r="X815" s="1488"/>
      <c r="Y815" s="1488"/>
      <c r="Z815" s="1488"/>
      <c r="AA815" s="1488"/>
      <c r="AB815" s="1488"/>
      <c r="AC815" s="1488"/>
      <c r="AD815" s="1488"/>
      <c r="AE815" s="1488"/>
      <c r="AF815" s="1488"/>
      <c r="AG815" s="1488"/>
      <c r="AH815" s="1451">
        <f t="shared" si="449"/>
        <v>0</v>
      </c>
      <c r="AI815" s="1488"/>
      <c r="AJ815" s="1488"/>
      <c r="AK815" s="1488"/>
      <c r="AL815" s="1488"/>
      <c r="AM815" s="1488"/>
      <c r="AN815" s="1488"/>
      <c r="AO815" s="1488"/>
      <c r="AP815" s="1488"/>
      <c r="AQ815" s="1488"/>
      <c r="AR815" s="1488"/>
      <c r="AS815" s="1488"/>
      <c r="AT815" s="1542"/>
      <c r="AU815" s="1599">
        <f t="shared" si="450"/>
        <v>0</v>
      </c>
      <c r="AV815" s="1544">
        <f t="shared" si="478"/>
        <v>0</v>
      </c>
      <c r="AW815" s="1452">
        <f t="shared" si="451"/>
        <v>0</v>
      </c>
      <c r="AX815" s="1452">
        <f t="shared" si="452"/>
        <v>0</v>
      </c>
      <c r="AY815" s="1452">
        <f t="shared" si="453"/>
        <v>0</v>
      </c>
      <c r="AZ815" s="1452">
        <f t="shared" si="454"/>
        <v>0</v>
      </c>
      <c r="BA815" s="1452">
        <f t="shared" si="455"/>
        <v>0</v>
      </c>
      <c r="BB815" s="1452">
        <f t="shared" si="456"/>
        <v>0</v>
      </c>
      <c r="BC815" s="1452">
        <f t="shared" si="457"/>
        <v>0</v>
      </c>
      <c r="BD815" s="1452">
        <f t="shared" si="458"/>
        <v>0</v>
      </c>
      <c r="BE815" s="1452">
        <f t="shared" si="459"/>
        <v>0</v>
      </c>
      <c r="BF815" s="1452">
        <f t="shared" si="460"/>
        <v>0</v>
      </c>
      <c r="BG815" s="1452">
        <f t="shared" si="461"/>
        <v>0</v>
      </c>
      <c r="BH815" s="1452">
        <f t="shared" si="462"/>
        <v>0</v>
      </c>
      <c r="BI815" s="1452">
        <f t="shared" si="479"/>
        <v>0</v>
      </c>
      <c r="BJ815" s="1452" t="str">
        <f t="shared" si="463"/>
        <v/>
      </c>
      <c r="BK815" s="1452" t="str">
        <f t="shared" si="464"/>
        <v/>
      </c>
      <c r="BL815" s="1452" t="str">
        <f t="shared" si="465"/>
        <v/>
      </c>
      <c r="BM815" s="1452" t="str">
        <f t="shared" si="466"/>
        <v/>
      </c>
      <c r="BN815" s="1452" t="str">
        <f t="shared" ca="1" si="467"/>
        <v/>
      </c>
      <c r="BO815" s="1452" t="str">
        <f t="shared" si="480"/>
        <v/>
      </c>
      <c r="BP815" s="1452" t="str">
        <f t="shared" si="468"/>
        <v/>
      </c>
      <c r="BQ815" s="1452" t="str">
        <f t="shared" si="469"/>
        <v/>
      </c>
      <c r="BR815" s="1452" t="str">
        <f t="shared" si="470"/>
        <v/>
      </c>
      <c r="BS815" s="1452" t="str">
        <f t="shared" si="471"/>
        <v/>
      </c>
      <c r="BT815" s="1452" t="str">
        <f t="shared" si="472"/>
        <v/>
      </c>
      <c r="BU815" s="1452" t="str">
        <f t="shared" si="473"/>
        <v/>
      </c>
      <c r="BV815" s="1452" t="str">
        <f t="shared" si="474"/>
        <v/>
      </c>
      <c r="BW815" s="1558">
        <f t="shared" ca="1" si="481"/>
        <v>0</v>
      </c>
    </row>
    <row r="816" spans="1:75" s="9" customFormat="1" ht="12.5">
      <c r="A816" s="1483" t="str">
        <f t="shared" si="475"/>
        <v>Public Health Wales Trust</v>
      </c>
      <c r="B816" s="1583"/>
      <c r="C816" s="1583"/>
      <c r="D816" s="1583"/>
      <c r="E816" s="1581"/>
      <c r="F816" s="1436"/>
      <c r="G816" s="1547">
        <f t="shared" si="476"/>
        <v>0</v>
      </c>
      <c r="H816" s="1484"/>
      <c r="I816" s="1547">
        <f t="shared" si="477"/>
        <v>0</v>
      </c>
      <c r="J816" s="1485"/>
      <c r="K816" s="1485"/>
      <c r="L816" s="1436"/>
      <c r="M816" s="1439"/>
      <c r="N816" s="1439"/>
      <c r="O816" s="1485"/>
      <c r="P816" s="1486"/>
      <c r="Q816" s="1486"/>
      <c r="R816" s="1487"/>
      <c r="S816" s="1444"/>
      <c r="T816" s="1444"/>
      <c r="U816" s="1444"/>
      <c r="V816" s="1488"/>
      <c r="W816" s="1488"/>
      <c r="X816" s="1488"/>
      <c r="Y816" s="1488"/>
      <c r="Z816" s="1488"/>
      <c r="AA816" s="1488"/>
      <c r="AB816" s="1488"/>
      <c r="AC816" s="1488"/>
      <c r="AD816" s="1488"/>
      <c r="AE816" s="1488"/>
      <c r="AF816" s="1488"/>
      <c r="AG816" s="1488"/>
      <c r="AH816" s="1451">
        <f t="shared" si="449"/>
        <v>0</v>
      </c>
      <c r="AI816" s="1488"/>
      <c r="AJ816" s="1488"/>
      <c r="AK816" s="1488"/>
      <c r="AL816" s="1488"/>
      <c r="AM816" s="1488"/>
      <c r="AN816" s="1488"/>
      <c r="AO816" s="1488"/>
      <c r="AP816" s="1488"/>
      <c r="AQ816" s="1488"/>
      <c r="AR816" s="1488"/>
      <c r="AS816" s="1488"/>
      <c r="AT816" s="1542"/>
      <c r="AU816" s="1599">
        <f t="shared" si="450"/>
        <v>0</v>
      </c>
      <c r="AV816" s="1544">
        <f t="shared" si="478"/>
        <v>0</v>
      </c>
      <c r="AW816" s="1452">
        <f t="shared" si="451"/>
        <v>0</v>
      </c>
      <c r="AX816" s="1452">
        <f t="shared" si="452"/>
        <v>0</v>
      </c>
      <c r="AY816" s="1452">
        <f t="shared" si="453"/>
        <v>0</v>
      </c>
      <c r="AZ816" s="1452">
        <f t="shared" si="454"/>
        <v>0</v>
      </c>
      <c r="BA816" s="1452">
        <f t="shared" si="455"/>
        <v>0</v>
      </c>
      <c r="BB816" s="1452">
        <f t="shared" si="456"/>
        <v>0</v>
      </c>
      <c r="BC816" s="1452">
        <f t="shared" si="457"/>
        <v>0</v>
      </c>
      <c r="BD816" s="1452">
        <f t="shared" si="458"/>
        <v>0</v>
      </c>
      <c r="BE816" s="1452">
        <f t="shared" si="459"/>
        <v>0</v>
      </c>
      <c r="BF816" s="1452">
        <f t="shared" si="460"/>
        <v>0</v>
      </c>
      <c r="BG816" s="1452">
        <f t="shared" si="461"/>
        <v>0</v>
      </c>
      <c r="BH816" s="1452">
        <f t="shared" si="462"/>
        <v>0</v>
      </c>
      <c r="BI816" s="1452">
        <f t="shared" si="479"/>
        <v>0</v>
      </c>
      <c r="BJ816" s="1452" t="str">
        <f t="shared" si="463"/>
        <v/>
      </c>
      <c r="BK816" s="1452" t="str">
        <f t="shared" si="464"/>
        <v/>
      </c>
      <c r="BL816" s="1452" t="str">
        <f t="shared" si="465"/>
        <v/>
      </c>
      <c r="BM816" s="1452" t="str">
        <f t="shared" si="466"/>
        <v/>
      </c>
      <c r="BN816" s="1452" t="str">
        <f t="shared" ca="1" si="467"/>
        <v/>
      </c>
      <c r="BO816" s="1452" t="str">
        <f t="shared" si="480"/>
        <v/>
      </c>
      <c r="BP816" s="1452" t="str">
        <f t="shared" si="468"/>
        <v/>
      </c>
      <c r="BQ816" s="1452" t="str">
        <f t="shared" si="469"/>
        <v/>
      </c>
      <c r="BR816" s="1452" t="str">
        <f t="shared" si="470"/>
        <v/>
      </c>
      <c r="BS816" s="1452" t="str">
        <f t="shared" si="471"/>
        <v/>
      </c>
      <c r="BT816" s="1452" t="str">
        <f t="shared" si="472"/>
        <v/>
      </c>
      <c r="BU816" s="1452" t="str">
        <f t="shared" si="473"/>
        <v/>
      </c>
      <c r="BV816" s="1452" t="str">
        <f t="shared" si="474"/>
        <v/>
      </c>
      <c r="BW816" s="1558">
        <f t="shared" ca="1" si="481"/>
        <v>0</v>
      </c>
    </row>
    <row r="817" spans="1:75" s="9" customFormat="1" ht="12.5">
      <c r="A817" s="1483" t="str">
        <f t="shared" si="475"/>
        <v>Public Health Wales Trust</v>
      </c>
      <c r="B817" s="1583"/>
      <c r="C817" s="1583"/>
      <c r="D817" s="1583"/>
      <c r="E817" s="1581"/>
      <c r="F817" s="1436"/>
      <c r="G817" s="1547">
        <f t="shared" si="476"/>
        <v>0</v>
      </c>
      <c r="H817" s="1484"/>
      <c r="I817" s="1547">
        <f t="shared" si="477"/>
        <v>0</v>
      </c>
      <c r="J817" s="1485"/>
      <c r="K817" s="1485"/>
      <c r="L817" s="1436"/>
      <c r="M817" s="1439"/>
      <c r="N817" s="1439"/>
      <c r="O817" s="1485"/>
      <c r="P817" s="1486"/>
      <c r="Q817" s="1486"/>
      <c r="R817" s="1487"/>
      <c r="S817" s="1444"/>
      <c r="T817" s="1444"/>
      <c r="U817" s="1444"/>
      <c r="V817" s="1488"/>
      <c r="W817" s="1488"/>
      <c r="X817" s="1488"/>
      <c r="Y817" s="1488"/>
      <c r="Z817" s="1488"/>
      <c r="AA817" s="1488"/>
      <c r="AB817" s="1488"/>
      <c r="AC817" s="1488"/>
      <c r="AD817" s="1488"/>
      <c r="AE817" s="1488"/>
      <c r="AF817" s="1488"/>
      <c r="AG817" s="1488"/>
      <c r="AH817" s="1451">
        <f t="shared" si="449"/>
        <v>0</v>
      </c>
      <c r="AI817" s="1488"/>
      <c r="AJ817" s="1488"/>
      <c r="AK817" s="1488"/>
      <c r="AL817" s="1488"/>
      <c r="AM817" s="1488"/>
      <c r="AN817" s="1488"/>
      <c r="AO817" s="1488"/>
      <c r="AP817" s="1488"/>
      <c r="AQ817" s="1488"/>
      <c r="AR817" s="1488"/>
      <c r="AS817" s="1488"/>
      <c r="AT817" s="1542"/>
      <c r="AU817" s="1599">
        <f t="shared" si="450"/>
        <v>0</v>
      </c>
      <c r="AV817" s="1544">
        <f t="shared" si="478"/>
        <v>0</v>
      </c>
      <c r="AW817" s="1452">
        <f t="shared" si="451"/>
        <v>0</v>
      </c>
      <c r="AX817" s="1452">
        <f t="shared" si="452"/>
        <v>0</v>
      </c>
      <c r="AY817" s="1452">
        <f t="shared" si="453"/>
        <v>0</v>
      </c>
      <c r="AZ817" s="1452">
        <f t="shared" si="454"/>
        <v>0</v>
      </c>
      <c r="BA817" s="1452">
        <f t="shared" si="455"/>
        <v>0</v>
      </c>
      <c r="BB817" s="1452">
        <f t="shared" si="456"/>
        <v>0</v>
      </c>
      <c r="BC817" s="1452">
        <f t="shared" si="457"/>
        <v>0</v>
      </c>
      <c r="BD817" s="1452">
        <f t="shared" si="458"/>
        <v>0</v>
      </c>
      <c r="BE817" s="1452">
        <f t="shared" si="459"/>
        <v>0</v>
      </c>
      <c r="BF817" s="1452">
        <f t="shared" si="460"/>
        <v>0</v>
      </c>
      <c r="BG817" s="1452">
        <f t="shared" si="461"/>
        <v>0</v>
      </c>
      <c r="BH817" s="1452">
        <f t="shared" si="462"/>
        <v>0</v>
      </c>
      <c r="BI817" s="1452">
        <f t="shared" si="479"/>
        <v>0</v>
      </c>
      <c r="BJ817" s="1452" t="str">
        <f t="shared" si="463"/>
        <v/>
      </c>
      <c r="BK817" s="1452" t="str">
        <f t="shared" si="464"/>
        <v/>
      </c>
      <c r="BL817" s="1452" t="str">
        <f t="shared" si="465"/>
        <v/>
      </c>
      <c r="BM817" s="1452" t="str">
        <f t="shared" si="466"/>
        <v/>
      </c>
      <c r="BN817" s="1452" t="str">
        <f t="shared" ca="1" si="467"/>
        <v/>
      </c>
      <c r="BO817" s="1452" t="str">
        <f t="shared" si="480"/>
        <v/>
      </c>
      <c r="BP817" s="1452" t="str">
        <f t="shared" si="468"/>
        <v/>
      </c>
      <c r="BQ817" s="1452" t="str">
        <f t="shared" si="469"/>
        <v/>
      </c>
      <c r="BR817" s="1452" t="str">
        <f t="shared" si="470"/>
        <v/>
      </c>
      <c r="BS817" s="1452" t="str">
        <f t="shared" si="471"/>
        <v/>
      </c>
      <c r="BT817" s="1452" t="str">
        <f t="shared" si="472"/>
        <v/>
      </c>
      <c r="BU817" s="1452" t="str">
        <f t="shared" si="473"/>
        <v/>
      </c>
      <c r="BV817" s="1452" t="str">
        <f t="shared" si="474"/>
        <v/>
      </c>
      <c r="BW817" s="1558">
        <f t="shared" ca="1" si="481"/>
        <v>0</v>
      </c>
    </row>
    <row r="818" spans="1:75" s="9" customFormat="1" ht="12.5">
      <c r="A818" s="1483" t="str">
        <f t="shared" si="475"/>
        <v>Public Health Wales Trust</v>
      </c>
      <c r="B818" s="1583"/>
      <c r="C818" s="1583"/>
      <c r="D818" s="1583"/>
      <c r="E818" s="1581"/>
      <c r="F818" s="1436"/>
      <c r="G818" s="1547">
        <f t="shared" si="476"/>
        <v>0</v>
      </c>
      <c r="H818" s="1484"/>
      <c r="I818" s="1547">
        <f t="shared" si="477"/>
        <v>0</v>
      </c>
      <c r="J818" s="1485"/>
      <c r="K818" s="1485"/>
      <c r="L818" s="1436"/>
      <c r="M818" s="1439"/>
      <c r="N818" s="1439"/>
      <c r="O818" s="1485"/>
      <c r="P818" s="1486"/>
      <c r="Q818" s="1486"/>
      <c r="R818" s="1487"/>
      <c r="S818" s="1444"/>
      <c r="T818" s="1444"/>
      <c r="U818" s="1444"/>
      <c r="V818" s="1488"/>
      <c r="W818" s="1488"/>
      <c r="X818" s="1488"/>
      <c r="Y818" s="1488"/>
      <c r="Z818" s="1488"/>
      <c r="AA818" s="1488"/>
      <c r="AB818" s="1488"/>
      <c r="AC818" s="1488"/>
      <c r="AD818" s="1488"/>
      <c r="AE818" s="1488"/>
      <c r="AF818" s="1488"/>
      <c r="AG818" s="1488"/>
      <c r="AH818" s="1451">
        <f t="shared" si="449"/>
        <v>0</v>
      </c>
      <c r="AI818" s="1488"/>
      <c r="AJ818" s="1488"/>
      <c r="AK818" s="1488"/>
      <c r="AL818" s="1488"/>
      <c r="AM818" s="1488"/>
      <c r="AN818" s="1488"/>
      <c r="AO818" s="1488"/>
      <c r="AP818" s="1488"/>
      <c r="AQ818" s="1488"/>
      <c r="AR818" s="1488"/>
      <c r="AS818" s="1488"/>
      <c r="AT818" s="1542"/>
      <c r="AU818" s="1599">
        <f t="shared" si="450"/>
        <v>0</v>
      </c>
      <c r="AV818" s="1544">
        <f t="shared" si="478"/>
        <v>0</v>
      </c>
      <c r="AW818" s="1452">
        <f t="shared" si="451"/>
        <v>0</v>
      </c>
      <c r="AX818" s="1452">
        <f t="shared" si="452"/>
        <v>0</v>
      </c>
      <c r="AY818" s="1452">
        <f t="shared" si="453"/>
        <v>0</v>
      </c>
      <c r="AZ818" s="1452">
        <f t="shared" si="454"/>
        <v>0</v>
      </c>
      <c r="BA818" s="1452">
        <f t="shared" si="455"/>
        <v>0</v>
      </c>
      <c r="BB818" s="1452">
        <f t="shared" si="456"/>
        <v>0</v>
      </c>
      <c r="BC818" s="1452">
        <f t="shared" si="457"/>
        <v>0</v>
      </c>
      <c r="BD818" s="1452">
        <f t="shared" si="458"/>
        <v>0</v>
      </c>
      <c r="BE818" s="1452">
        <f t="shared" si="459"/>
        <v>0</v>
      </c>
      <c r="BF818" s="1452">
        <f t="shared" si="460"/>
        <v>0</v>
      </c>
      <c r="BG818" s="1452">
        <f t="shared" si="461"/>
        <v>0</v>
      </c>
      <c r="BH818" s="1452">
        <f t="shared" si="462"/>
        <v>0</v>
      </c>
      <c r="BI818" s="1452">
        <f t="shared" si="479"/>
        <v>0</v>
      </c>
      <c r="BJ818" s="1452" t="str">
        <f t="shared" si="463"/>
        <v/>
      </c>
      <c r="BK818" s="1452" t="str">
        <f t="shared" si="464"/>
        <v/>
      </c>
      <c r="BL818" s="1452" t="str">
        <f t="shared" si="465"/>
        <v/>
      </c>
      <c r="BM818" s="1452" t="str">
        <f t="shared" si="466"/>
        <v/>
      </c>
      <c r="BN818" s="1452" t="str">
        <f t="shared" ca="1" si="467"/>
        <v/>
      </c>
      <c r="BO818" s="1452" t="str">
        <f t="shared" si="480"/>
        <v/>
      </c>
      <c r="BP818" s="1452" t="str">
        <f t="shared" si="468"/>
        <v/>
      </c>
      <c r="BQ818" s="1452" t="str">
        <f t="shared" si="469"/>
        <v/>
      </c>
      <c r="BR818" s="1452" t="str">
        <f t="shared" si="470"/>
        <v/>
      </c>
      <c r="BS818" s="1452" t="str">
        <f t="shared" si="471"/>
        <v/>
      </c>
      <c r="BT818" s="1452" t="str">
        <f t="shared" si="472"/>
        <v/>
      </c>
      <c r="BU818" s="1452" t="str">
        <f t="shared" si="473"/>
        <v/>
      </c>
      <c r="BV818" s="1452" t="str">
        <f t="shared" si="474"/>
        <v/>
      </c>
      <c r="BW818" s="1558">
        <f t="shared" ca="1" si="481"/>
        <v>0</v>
      </c>
    </row>
    <row r="819" spans="1:75" s="9" customFormat="1" ht="12.5">
      <c r="A819" s="1483" t="str">
        <f t="shared" si="475"/>
        <v>Public Health Wales Trust</v>
      </c>
      <c r="B819" s="1583"/>
      <c r="C819" s="1583"/>
      <c r="D819" s="1583"/>
      <c r="E819" s="1581"/>
      <c r="F819" s="1436"/>
      <c r="G819" s="1547">
        <f t="shared" si="476"/>
        <v>0</v>
      </c>
      <c r="H819" s="1484"/>
      <c r="I819" s="1547">
        <f t="shared" si="477"/>
        <v>0</v>
      </c>
      <c r="J819" s="1485"/>
      <c r="K819" s="1485"/>
      <c r="L819" s="1436"/>
      <c r="M819" s="1439"/>
      <c r="N819" s="1439"/>
      <c r="O819" s="1485"/>
      <c r="P819" s="1486"/>
      <c r="Q819" s="1486"/>
      <c r="R819" s="1487"/>
      <c r="S819" s="1444"/>
      <c r="T819" s="1444"/>
      <c r="U819" s="1444"/>
      <c r="V819" s="1488"/>
      <c r="W819" s="1488"/>
      <c r="X819" s="1488"/>
      <c r="Y819" s="1488"/>
      <c r="Z819" s="1488"/>
      <c r="AA819" s="1488"/>
      <c r="AB819" s="1488"/>
      <c r="AC819" s="1488"/>
      <c r="AD819" s="1488"/>
      <c r="AE819" s="1488"/>
      <c r="AF819" s="1488"/>
      <c r="AG819" s="1488"/>
      <c r="AH819" s="1451">
        <f t="shared" si="449"/>
        <v>0</v>
      </c>
      <c r="AI819" s="1488"/>
      <c r="AJ819" s="1488"/>
      <c r="AK819" s="1488"/>
      <c r="AL819" s="1488"/>
      <c r="AM819" s="1488"/>
      <c r="AN819" s="1488"/>
      <c r="AO819" s="1488"/>
      <c r="AP819" s="1488"/>
      <c r="AQ819" s="1488"/>
      <c r="AR819" s="1488"/>
      <c r="AS819" s="1488"/>
      <c r="AT819" s="1542"/>
      <c r="AU819" s="1599">
        <f t="shared" si="450"/>
        <v>0</v>
      </c>
      <c r="AV819" s="1544">
        <f t="shared" si="478"/>
        <v>0</v>
      </c>
      <c r="AW819" s="1452">
        <f t="shared" si="451"/>
        <v>0</v>
      </c>
      <c r="AX819" s="1452">
        <f t="shared" si="452"/>
        <v>0</v>
      </c>
      <c r="AY819" s="1452">
        <f t="shared" si="453"/>
        <v>0</v>
      </c>
      <c r="AZ819" s="1452">
        <f t="shared" si="454"/>
        <v>0</v>
      </c>
      <c r="BA819" s="1452">
        <f t="shared" si="455"/>
        <v>0</v>
      </c>
      <c r="BB819" s="1452">
        <f t="shared" si="456"/>
        <v>0</v>
      </c>
      <c r="BC819" s="1452">
        <f t="shared" si="457"/>
        <v>0</v>
      </c>
      <c r="BD819" s="1452">
        <f t="shared" si="458"/>
        <v>0</v>
      </c>
      <c r="BE819" s="1452">
        <f t="shared" si="459"/>
        <v>0</v>
      </c>
      <c r="BF819" s="1452">
        <f t="shared" si="460"/>
        <v>0</v>
      </c>
      <c r="BG819" s="1452">
        <f t="shared" si="461"/>
        <v>0</v>
      </c>
      <c r="BH819" s="1452">
        <f t="shared" si="462"/>
        <v>0</v>
      </c>
      <c r="BI819" s="1452">
        <f t="shared" si="479"/>
        <v>0</v>
      </c>
      <c r="BJ819" s="1452" t="str">
        <f t="shared" si="463"/>
        <v/>
      </c>
      <c r="BK819" s="1452" t="str">
        <f t="shared" si="464"/>
        <v/>
      </c>
      <c r="BL819" s="1452" t="str">
        <f t="shared" si="465"/>
        <v/>
      </c>
      <c r="BM819" s="1452" t="str">
        <f t="shared" si="466"/>
        <v/>
      </c>
      <c r="BN819" s="1452" t="str">
        <f t="shared" ca="1" si="467"/>
        <v/>
      </c>
      <c r="BO819" s="1452" t="str">
        <f t="shared" si="480"/>
        <v/>
      </c>
      <c r="BP819" s="1452" t="str">
        <f t="shared" si="468"/>
        <v/>
      </c>
      <c r="BQ819" s="1452" t="str">
        <f t="shared" si="469"/>
        <v/>
      </c>
      <c r="BR819" s="1452" t="str">
        <f t="shared" si="470"/>
        <v/>
      </c>
      <c r="BS819" s="1452" t="str">
        <f t="shared" si="471"/>
        <v/>
      </c>
      <c r="BT819" s="1452" t="str">
        <f t="shared" si="472"/>
        <v/>
      </c>
      <c r="BU819" s="1452" t="str">
        <f t="shared" si="473"/>
        <v/>
      </c>
      <c r="BV819" s="1452" t="str">
        <f t="shared" si="474"/>
        <v/>
      </c>
      <c r="BW819" s="1558">
        <f t="shared" ca="1" si="481"/>
        <v>0</v>
      </c>
    </row>
    <row r="820" spans="1:75" s="9" customFormat="1" ht="12.5">
      <c r="A820" s="1483" t="str">
        <f t="shared" si="475"/>
        <v>Public Health Wales Trust</v>
      </c>
      <c r="B820" s="1583"/>
      <c r="C820" s="1583"/>
      <c r="D820" s="1583"/>
      <c r="E820" s="1581"/>
      <c r="F820" s="1436"/>
      <c r="G820" s="1547">
        <f t="shared" si="476"/>
        <v>0</v>
      </c>
      <c r="H820" s="1484"/>
      <c r="I820" s="1547">
        <f t="shared" si="477"/>
        <v>0</v>
      </c>
      <c r="J820" s="1485"/>
      <c r="K820" s="1485"/>
      <c r="L820" s="1436"/>
      <c r="M820" s="1439"/>
      <c r="N820" s="1439"/>
      <c r="O820" s="1485"/>
      <c r="P820" s="1486"/>
      <c r="Q820" s="1486"/>
      <c r="R820" s="1487"/>
      <c r="S820" s="1444"/>
      <c r="T820" s="1444"/>
      <c r="U820" s="1444"/>
      <c r="V820" s="1488"/>
      <c r="W820" s="1488"/>
      <c r="X820" s="1488"/>
      <c r="Y820" s="1488"/>
      <c r="Z820" s="1488"/>
      <c r="AA820" s="1488"/>
      <c r="AB820" s="1488"/>
      <c r="AC820" s="1488"/>
      <c r="AD820" s="1488"/>
      <c r="AE820" s="1488"/>
      <c r="AF820" s="1488"/>
      <c r="AG820" s="1488"/>
      <c r="AH820" s="1451">
        <f t="shared" si="449"/>
        <v>0</v>
      </c>
      <c r="AI820" s="1488"/>
      <c r="AJ820" s="1488"/>
      <c r="AK820" s="1488"/>
      <c r="AL820" s="1488"/>
      <c r="AM820" s="1488"/>
      <c r="AN820" s="1488"/>
      <c r="AO820" s="1488"/>
      <c r="AP820" s="1488"/>
      <c r="AQ820" s="1488"/>
      <c r="AR820" s="1488"/>
      <c r="AS820" s="1488"/>
      <c r="AT820" s="1542"/>
      <c r="AU820" s="1599">
        <f t="shared" si="450"/>
        <v>0</v>
      </c>
      <c r="AV820" s="1544">
        <f t="shared" si="478"/>
        <v>0</v>
      </c>
      <c r="AW820" s="1452">
        <f t="shared" si="451"/>
        <v>0</v>
      </c>
      <c r="AX820" s="1452">
        <f t="shared" si="452"/>
        <v>0</v>
      </c>
      <c r="AY820" s="1452">
        <f t="shared" si="453"/>
        <v>0</v>
      </c>
      <c r="AZ820" s="1452">
        <f t="shared" si="454"/>
        <v>0</v>
      </c>
      <c r="BA820" s="1452">
        <f t="shared" si="455"/>
        <v>0</v>
      </c>
      <c r="BB820" s="1452">
        <f t="shared" si="456"/>
        <v>0</v>
      </c>
      <c r="BC820" s="1452">
        <f t="shared" si="457"/>
        <v>0</v>
      </c>
      <c r="BD820" s="1452">
        <f t="shared" si="458"/>
        <v>0</v>
      </c>
      <c r="BE820" s="1452">
        <f t="shared" si="459"/>
        <v>0</v>
      </c>
      <c r="BF820" s="1452">
        <f t="shared" si="460"/>
        <v>0</v>
      </c>
      <c r="BG820" s="1452">
        <f t="shared" si="461"/>
        <v>0</v>
      </c>
      <c r="BH820" s="1452">
        <f t="shared" si="462"/>
        <v>0</v>
      </c>
      <c r="BI820" s="1452">
        <f t="shared" si="479"/>
        <v>0</v>
      </c>
      <c r="BJ820" s="1452" t="str">
        <f t="shared" si="463"/>
        <v/>
      </c>
      <c r="BK820" s="1452" t="str">
        <f t="shared" si="464"/>
        <v/>
      </c>
      <c r="BL820" s="1452" t="str">
        <f t="shared" si="465"/>
        <v/>
      </c>
      <c r="BM820" s="1452" t="str">
        <f t="shared" si="466"/>
        <v/>
      </c>
      <c r="BN820" s="1452" t="str">
        <f t="shared" ca="1" si="467"/>
        <v/>
      </c>
      <c r="BO820" s="1452" t="str">
        <f t="shared" si="480"/>
        <v/>
      </c>
      <c r="BP820" s="1452" t="str">
        <f t="shared" si="468"/>
        <v/>
      </c>
      <c r="BQ820" s="1452" t="str">
        <f t="shared" si="469"/>
        <v/>
      </c>
      <c r="BR820" s="1452" t="str">
        <f t="shared" si="470"/>
        <v/>
      </c>
      <c r="BS820" s="1452" t="str">
        <f t="shared" si="471"/>
        <v/>
      </c>
      <c r="BT820" s="1452" t="str">
        <f t="shared" si="472"/>
        <v/>
      </c>
      <c r="BU820" s="1452" t="str">
        <f t="shared" si="473"/>
        <v/>
      </c>
      <c r="BV820" s="1452" t="str">
        <f t="shared" si="474"/>
        <v/>
      </c>
      <c r="BW820" s="1558">
        <f t="shared" ca="1" si="481"/>
        <v>0</v>
      </c>
    </row>
    <row r="821" spans="1:75" s="9" customFormat="1" ht="12.5">
      <c r="A821" s="1483" t="str">
        <f t="shared" si="475"/>
        <v>Public Health Wales Trust</v>
      </c>
      <c r="B821" s="1583"/>
      <c r="C821" s="1583"/>
      <c r="D821" s="1583"/>
      <c r="E821" s="1581"/>
      <c r="F821" s="1436"/>
      <c r="G821" s="1547">
        <f t="shared" si="476"/>
        <v>0</v>
      </c>
      <c r="H821" s="1484"/>
      <c r="I821" s="1547">
        <f t="shared" si="477"/>
        <v>0</v>
      </c>
      <c r="J821" s="1485"/>
      <c r="K821" s="1485"/>
      <c r="L821" s="1436"/>
      <c r="M821" s="1439"/>
      <c r="N821" s="1439"/>
      <c r="O821" s="1485"/>
      <c r="P821" s="1486"/>
      <c r="Q821" s="1486"/>
      <c r="R821" s="1487"/>
      <c r="S821" s="1444"/>
      <c r="T821" s="1444"/>
      <c r="U821" s="1444"/>
      <c r="V821" s="1488"/>
      <c r="W821" s="1488"/>
      <c r="X821" s="1488"/>
      <c r="Y821" s="1488"/>
      <c r="Z821" s="1488"/>
      <c r="AA821" s="1488"/>
      <c r="AB821" s="1488"/>
      <c r="AC821" s="1488"/>
      <c r="AD821" s="1488"/>
      <c r="AE821" s="1488"/>
      <c r="AF821" s="1488"/>
      <c r="AG821" s="1488"/>
      <c r="AH821" s="1451">
        <f t="shared" si="449"/>
        <v>0</v>
      </c>
      <c r="AI821" s="1488"/>
      <c r="AJ821" s="1488"/>
      <c r="AK821" s="1488"/>
      <c r="AL821" s="1488"/>
      <c r="AM821" s="1488"/>
      <c r="AN821" s="1488"/>
      <c r="AO821" s="1488"/>
      <c r="AP821" s="1488"/>
      <c r="AQ821" s="1488"/>
      <c r="AR821" s="1488"/>
      <c r="AS821" s="1488"/>
      <c r="AT821" s="1542"/>
      <c r="AU821" s="1599">
        <f t="shared" si="450"/>
        <v>0</v>
      </c>
      <c r="AV821" s="1544">
        <f t="shared" si="478"/>
        <v>0</v>
      </c>
      <c r="AW821" s="1452">
        <f t="shared" si="451"/>
        <v>0</v>
      </c>
      <c r="AX821" s="1452">
        <f t="shared" si="452"/>
        <v>0</v>
      </c>
      <c r="AY821" s="1452">
        <f t="shared" si="453"/>
        <v>0</v>
      </c>
      <c r="AZ821" s="1452">
        <f t="shared" si="454"/>
        <v>0</v>
      </c>
      <c r="BA821" s="1452">
        <f t="shared" si="455"/>
        <v>0</v>
      </c>
      <c r="BB821" s="1452">
        <f t="shared" si="456"/>
        <v>0</v>
      </c>
      <c r="BC821" s="1452">
        <f t="shared" si="457"/>
        <v>0</v>
      </c>
      <c r="BD821" s="1452">
        <f t="shared" si="458"/>
        <v>0</v>
      </c>
      <c r="BE821" s="1452">
        <f t="shared" si="459"/>
        <v>0</v>
      </c>
      <c r="BF821" s="1452">
        <f t="shared" si="460"/>
        <v>0</v>
      </c>
      <c r="BG821" s="1452">
        <f t="shared" si="461"/>
        <v>0</v>
      </c>
      <c r="BH821" s="1452">
        <f t="shared" si="462"/>
        <v>0</v>
      </c>
      <c r="BI821" s="1452">
        <f t="shared" si="479"/>
        <v>0</v>
      </c>
      <c r="BJ821" s="1452" t="str">
        <f t="shared" si="463"/>
        <v/>
      </c>
      <c r="BK821" s="1452" t="str">
        <f t="shared" si="464"/>
        <v/>
      </c>
      <c r="BL821" s="1452" t="str">
        <f t="shared" si="465"/>
        <v/>
      </c>
      <c r="BM821" s="1452" t="str">
        <f t="shared" si="466"/>
        <v/>
      </c>
      <c r="BN821" s="1452" t="str">
        <f t="shared" ca="1" si="467"/>
        <v/>
      </c>
      <c r="BO821" s="1452" t="str">
        <f t="shared" si="480"/>
        <v/>
      </c>
      <c r="BP821" s="1452" t="str">
        <f t="shared" si="468"/>
        <v/>
      </c>
      <c r="BQ821" s="1452" t="str">
        <f t="shared" si="469"/>
        <v/>
      </c>
      <c r="BR821" s="1452" t="str">
        <f t="shared" si="470"/>
        <v/>
      </c>
      <c r="BS821" s="1452" t="str">
        <f t="shared" si="471"/>
        <v/>
      </c>
      <c r="BT821" s="1452" t="str">
        <f t="shared" si="472"/>
        <v/>
      </c>
      <c r="BU821" s="1452" t="str">
        <f t="shared" si="473"/>
        <v/>
      </c>
      <c r="BV821" s="1452" t="str">
        <f t="shared" si="474"/>
        <v/>
      </c>
      <c r="BW821" s="1558">
        <f t="shared" ca="1" si="481"/>
        <v>0</v>
      </c>
    </row>
    <row r="822" spans="1:75" s="9" customFormat="1" ht="12.5">
      <c r="A822" s="1483" t="str">
        <f t="shared" si="475"/>
        <v>Public Health Wales Trust</v>
      </c>
      <c r="B822" s="1583"/>
      <c r="C822" s="1583"/>
      <c r="D822" s="1583"/>
      <c r="E822" s="1581"/>
      <c r="F822" s="1436"/>
      <c r="G822" s="1547">
        <f t="shared" si="476"/>
        <v>0</v>
      </c>
      <c r="H822" s="1484"/>
      <c r="I822" s="1547">
        <f t="shared" si="477"/>
        <v>0</v>
      </c>
      <c r="J822" s="1485"/>
      <c r="K822" s="1485"/>
      <c r="L822" s="1436"/>
      <c r="M822" s="1439"/>
      <c r="N822" s="1439"/>
      <c r="O822" s="1485"/>
      <c r="P822" s="1486"/>
      <c r="Q822" s="1486"/>
      <c r="R822" s="1487"/>
      <c r="S822" s="1444"/>
      <c r="T822" s="1444"/>
      <c r="U822" s="1444"/>
      <c r="V822" s="1488"/>
      <c r="W822" s="1488"/>
      <c r="X822" s="1488"/>
      <c r="Y822" s="1488"/>
      <c r="Z822" s="1488"/>
      <c r="AA822" s="1488"/>
      <c r="AB822" s="1488"/>
      <c r="AC822" s="1488"/>
      <c r="AD822" s="1488"/>
      <c r="AE822" s="1488"/>
      <c r="AF822" s="1488"/>
      <c r="AG822" s="1488"/>
      <c r="AH822" s="1451">
        <f t="shared" si="449"/>
        <v>0</v>
      </c>
      <c r="AI822" s="1488"/>
      <c r="AJ822" s="1488"/>
      <c r="AK822" s="1488"/>
      <c r="AL822" s="1488"/>
      <c r="AM822" s="1488"/>
      <c r="AN822" s="1488"/>
      <c r="AO822" s="1488"/>
      <c r="AP822" s="1488"/>
      <c r="AQ822" s="1488"/>
      <c r="AR822" s="1488"/>
      <c r="AS822" s="1488"/>
      <c r="AT822" s="1542"/>
      <c r="AU822" s="1599">
        <f t="shared" si="450"/>
        <v>0</v>
      </c>
      <c r="AV822" s="1544">
        <f t="shared" si="478"/>
        <v>0</v>
      </c>
      <c r="AW822" s="1452">
        <f t="shared" si="451"/>
        <v>0</v>
      </c>
      <c r="AX822" s="1452">
        <f t="shared" si="452"/>
        <v>0</v>
      </c>
      <c r="AY822" s="1452">
        <f t="shared" si="453"/>
        <v>0</v>
      </c>
      <c r="AZ822" s="1452">
        <f t="shared" si="454"/>
        <v>0</v>
      </c>
      <c r="BA822" s="1452">
        <f t="shared" si="455"/>
        <v>0</v>
      </c>
      <c r="BB822" s="1452">
        <f t="shared" si="456"/>
        <v>0</v>
      </c>
      <c r="BC822" s="1452">
        <f t="shared" si="457"/>
        <v>0</v>
      </c>
      <c r="BD822" s="1452">
        <f t="shared" si="458"/>
        <v>0</v>
      </c>
      <c r="BE822" s="1452">
        <f t="shared" si="459"/>
        <v>0</v>
      </c>
      <c r="BF822" s="1452">
        <f t="shared" si="460"/>
        <v>0</v>
      </c>
      <c r="BG822" s="1452">
        <f t="shared" si="461"/>
        <v>0</v>
      </c>
      <c r="BH822" s="1452">
        <f t="shared" si="462"/>
        <v>0</v>
      </c>
      <c r="BI822" s="1452">
        <f t="shared" si="479"/>
        <v>0</v>
      </c>
      <c r="BJ822" s="1452" t="str">
        <f t="shared" si="463"/>
        <v/>
      </c>
      <c r="BK822" s="1452" t="str">
        <f t="shared" si="464"/>
        <v/>
      </c>
      <c r="BL822" s="1452" t="str">
        <f t="shared" si="465"/>
        <v/>
      </c>
      <c r="BM822" s="1452" t="str">
        <f t="shared" si="466"/>
        <v/>
      </c>
      <c r="BN822" s="1452" t="str">
        <f t="shared" ca="1" si="467"/>
        <v/>
      </c>
      <c r="BO822" s="1452" t="str">
        <f t="shared" si="480"/>
        <v/>
      </c>
      <c r="BP822" s="1452" t="str">
        <f t="shared" si="468"/>
        <v/>
      </c>
      <c r="BQ822" s="1452" t="str">
        <f t="shared" si="469"/>
        <v/>
      </c>
      <c r="BR822" s="1452" t="str">
        <f t="shared" si="470"/>
        <v/>
      </c>
      <c r="BS822" s="1452" t="str">
        <f t="shared" si="471"/>
        <v/>
      </c>
      <c r="BT822" s="1452" t="str">
        <f t="shared" si="472"/>
        <v/>
      </c>
      <c r="BU822" s="1452" t="str">
        <f t="shared" si="473"/>
        <v/>
      </c>
      <c r="BV822" s="1452" t="str">
        <f t="shared" si="474"/>
        <v/>
      </c>
      <c r="BW822" s="1558">
        <f t="shared" ca="1" si="481"/>
        <v>0</v>
      </c>
    </row>
    <row r="823" spans="1:75" s="9" customFormat="1" ht="12.5">
      <c r="A823" s="1483" t="str">
        <f t="shared" si="475"/>
        <v>Public Health Wales Trust</v>
      </c>
      <c r="B823" s="1583"/>
      <c r="C823" s="1583"/>
      <c r="D823" s="1583"/>
      <c r="E823" s="1581"/>
      <c r="F823" s="1436"/>
      <c r="G823" s="1547">
        <f t="shared" si="476"/>
        <v>0</v>
      </c>
      <c r="H823" s="1484"/>
      <c r="I823" s="1547">
        <f t="shared" si="477"/>
        <v>0</v>
      </c>
      <c r="J823" s="1485"/>
      <c r="K823" s="1485"/>
      <c r="L823" s="1436"/>
      <c r="M823" s="1439"/>
      <c r="N823" s="1439"/>
      <c r="O823" s="1485"/>
      <c r="P823" s="1486"/>
      <c r="Q823" s="1486"/>
      <c r="R823" s="1487"/>
      <c r="S823" s="1444"/>
      <c r="T823" s="1444"/>
      <c r="U823" s="1444"/>
      <c r="V823" s="1488"/>
      <c r="W823" s="1488"/>
      <c r="X823" s="1488"/>
      <c r="Y823" s="1488"/>
      <c r="Z823" s="1488"/>
      <c r="AA823" s="1488"/>
      <c r="AB823" s="1488"/>
      <c r="AC823" s="1488"/>
      <c r="AD823" s="1488"/>
      <c r="AE823" s="1488"/>
      <c r="AF823" s="1488"/>
      <c r="AG823" s="1488"/>
      <c r="AH823" s="1451">
        <f t="shared" si="449"/>
        <v>0</v>
      </c>
      <c r="AI823" s="1488"/>
      <c r="AJ823" s="1488"/>
      <c r="AK823" s="1488"/>
      <c r="AL823" s="1488"/>
      <c r="AM823" s="1488"/>
      <c r="AN823" s="1488"/>
      <c r="AO823" s="1488"/>
      <c r="AP823" s="1488"/>
      <c r="AQ823" s="1488"/>
      <c r="AR823" s="1488"/>
      <c r="AS823" s="1488"/>
      <c r="AT823" s="1542"/>
      <c r="AU823" s="1599">
        <f t="shared" si="450"/>
        <v>0</v>
      </c>
      <c r="AV823" s="1544">
        <f t="shared" si="478"/>
        <v>0</v>
      </c>
      <c r="AW823" s="1452">
        <f t="shared" si="451"/>
        <v>0</v>
      </c>
      <c r="AX823" s="1452">
        <f t="shared" si="452"/>
        <v>0</v>
      </c>
      <c r="AY823" s="1452">
        <f t="shared" si="453"/>
        <v>0</v>
      </c>
      <c r="AZ823" s="1452">
        <f t="shared" si="454"/>
        <v>0</v>
      </c>
      <c r="BA823" s="1452">
        <f t="shared" si="455"/>
        <v>0</v>
      </c>
      <c r="BB823" s="1452">
        <f t="shared" si="456"/>
        <v>0</v>
      </c>
      <c r="BC823" s="1452">
        <f t="shared" si="457"/>
        <v>0</v>
      </c>
      <c r="BD823" s="1452">
        <f t="shared" si="458"/>
        <v>0</v>
      </c>
      <c r="BE823" s="1452">
        <f t="shared" si="459"/>
        <v>0</v>
      </c>
      <c r="BF823" s="1452">
        <f t="shared" si="460"/>
        <v>0</v>
      </c>
      <c r="BG823" s="1452">
        <f t="shared" si="461"/>
        <v>0</v>
      </c>
      <c r="BH823" s="1452">
        <f t="shared" si="462"/>
        <v>0</v>
      </c>
      <c r="BI823" s="1452">
        <f t="shared" si="479"/>
        <v>0</v>
      </c>
      <c r="BJ823" s="1452" t="str">
        <f t="shared" si="463"/>
        <v/>
      </c>
      <c r="BK823" s="1452" t="str">
        <f t="shared" si="464"/>
        <v/>
      </c>
      <c r="BL823" s="1452" t="str">
        <f t="shared" si="465"/>
        <v/>
      </c>
      <c r="BM823" s="1452" t="str">
        <f t="shared" si="466"/>
        <v/>
      </c>
      <c r="BN823" s="1452" t="str">
        <f t="shared" ca="1" si="467"/>
        <v/>
      </c>
      <c r="BO823" s="1452" t="str">
        <f t="shared" si="480"/>
        <v/>
      </c>
      <c r="BP823" s="1452" t="str">
        <f t="shared" si="468"/>
        <v/>
      </c>
      <c r="BQ823" s="1452" t="str">
        <f t="shared" si="469"/>
        <v/>
      </c>
      <c r="BR823" s="1452" t="str">
        <f t="shared" si="470"/>
        <v/>
      </c>
      <c r="BS823" s="1452" t="str">
        <f t="shared" si="471"/>
        <v/>
      </c>
      <c r="BT823" s="1452" t="str">
        <f t="shared" si="472"/>
        <v/>
      </c>
      <c r="BU823" s="1452" t="str">
        <f t="shared" si="473"/>
        <v/>
      </c>
      <c r="BV823" s="1452" t="str">
        <f t="shared" si="474"/>
        <v/>
      </c>
      <c r="BW823" s="1558">
        <f t="shared" ca="1" si="481"/>
        <v>0</v>
      </c>
    </row>
    <row r="824" spans="1:75" s="9" customFormat="1" ht="12.5">
      <c r="A824" s="1483" t="str">
        <f t="shared" si="475"/>
        <v>Public Health Wales Trust</v>
      </c>
      <c r="B824" s="1583"/>
      <c r="C824" s="1583"/>
      <c r="D824" s="1583"/>
      <c r="E824" s="1581"/>
      <c r="F824" s="1436"/>
      <c r="G824" s="1547">
        <f t="shared" si="476"/>
        <v>0</v>
      </c>
      <c r="H824" s="1484"/>
      <c r="I824" s="1547">
        <f t="shared" si="477"/>
        <v>0</v>
      </c>
      <c r="J824" s="1485"/>
      <c r="K824" s="1485"/>
      <c r="L824" s="1436"/>
      <c r="M824" s="1439"/>
      <c r="N824" s="1439"/>
      <c r="O824" s="1485"/>
      <c r="P824" s="1486"/>
      <c r="Q824" s="1486"/>
      <c r="R824" s="1487"/>
      <c r="S824" s="1444"/>
      <c r="T824" s="1444"/>
      <c r="U824" s="1444"/>
      <c r="V824" s="1488"/>
      <c r="W824" s="1488"/>
      <c r="X824" s="1488"/>
      <c r="Y824" s="1488"/>
      <c r="Z824" s="1488"/>
      <c r="AA824" s="1488"/>
      <c r="AB824" s="1488"/>
      <c r="AC824" s="1488"/>
      <c r="AD824" s="1488"/>
      <c r="AE824" s="1488"/>
      <c r="AF824" s="1488"/>
      <c r="AG824" s="1488"/>
      <c r="AH824" s="1451">
        <f t="shared" si="449"/>
        <v>0</v>
      </c>
      <c r="AI824" s="1488"/>
      <c r="AJ824" s="1488"/>
      <c r="AK824" s="1488"/>
      <c r="AL824" s="1488"/>
      <c r="AM824" s="1488"/>
      <c r="AN824" s="1488"/>
      <c r="AO824" s="1488"/>
      <c r="AP824" s="1488"/>
      <c r="AQ824" s="1488"/>
      <c r="AR824" s="1488"/>
      <c r="AS824" s="1488"/>
      <c r="AT824" s="1542"/>
      <c r="AU824" s="1599">
        <f t="shared" si="450"/>
        <v>0</v>
      </c>
      <c r="AV824" s="1544">
        <f t="shared" si="478"/>
        <v>0</v>
      </c>
      <c r="AW824" s="1452">
        <f t="shared" si="451"/>
        <v>0</v>
      </c>
      <c r="AX824" s="1452">
        <f t="shared" si="452"/>
        <v>0</v>
      </c>
      <c r="AY824" s="1452">
        <f t="shared" si="453"/>
        <v>0</v>
      </c>
      <c r="AZ824" s="1452">
        <f t="shared" si="454"/>
        <v>0</v>
      </c>
      <c r="BA824" s="1452">
        <f t="shared" si="455"/>
        <v>0</v>
      </c>
      <c r="BB824" s="1452">
        <f t="shared" si="456"/>
        <v>0</v>
      </c>
      <c r="BC824" s="1452">
        <f t="shared" si="457"/>
        <v>0</v>
      </c>
      <c r="BD824" s="1452">
        <f t="shared" si="458"/>
        <v>0</v>
      </c>
      <c r="BE824" s="1452">
        <f t="shared" si="459"/>
        <v>0</v>
      </c>
      <c r="BF824" s="1452">
        <f t="shared" si="460"/>
        <v>0</v>
      </c>
      <c r="BG824" s="1452">
        <f t="shared" si="461"/>
        <v>0</v>
      </c>
      <c r="BH824" s="1452">
        <f t="shared" si="462"/>
        <v>0</v>
      </c>
      <c r="BI824" s="1452">
        <f t="shared" si="479"/>
        <v>0</v>
      </c>
      <c r="BJ824" s="1452" t="str">
        <f t="shared" si="463"/>
        <v/>
      </c>
      <c r="BK824" s="1452" t="str">
        <f t="shared" si="464"/>
        <v/>
      </c>
      <c r="BL824" s="1452" t="str">
        <f t="shared" si="465"/>
        <v/>
      </c>
      <c r="BM824" s="1452" t="str">
        <f t="shared" si="466"/>
        <v/>
      </c>
      <c r="BN824" s="1452" t="str">
        <f t="shared" ca="1" si="467"/>
        <v/>
      </c>
      <c r="BO824" s="1452" t="str">
        <f t="shared" si="480"/>
        <v/>
      </c>
      <c r="BP824" s="1452" t="str">
        <f t="shared" si="468"/>
        <v/>
      </c>
      <c r="BQ824" s="1452" t="str">
        <f t="shared" si="469"/>
        <v/>
      </c>
      <c r="BR824" s="1452" t="str">
        <f t="shared" si="470"/>
        <v/>
      </c>
      <c r="BS824" s="1452" t="str">
        <f t="shared" si="471"/>
        <v/>
      </c>
      <c r="BT824" s="1452" t="str">
        <f t="shared" si="472"/>
        <v/>
      </c>
      <c r="BU824" s="1452" t="str">
        <f t="shared" si="473"/>
        <v/>
      </c>
      <c r="BV824" s="1452" t="str">
        <f t="shared" si="474"/>
        <v/>
      </c>
      <c r="BW824" s="1558">
        <f t="shared" ca="1" si="481"/>
        <v>0</v>
      </c>
    </row>
    <row r="825" spans="1:75" s="9" customFormat="1" ht="12.5">
      <c r="A825" s="1483" t="str">
        <f t="shared" si="475"/>
        <v>Public Health Wales Trust</v>
      </c>
      <c r="B825" s="1583"/>
      <c r="C825" s="1583"/>
      <c r="D825" s="1583"/>
      <c r="E825" s="1581"/>
      <c r="F825" s="1436"/>
      <c r="G825" s="1547">
        <f t="shared" si="476"/>
        <v>0</v>
      </c>
      <c r="H825" s="1484"/>
      <c r="I825" s="1547">
        <f t="shared" si="477"/>
        <v>0</v>
      </c>
      <c r="J825" s="1485"/>
      <c r="K825" s="1485"/>
      <c r="L825" s="1436"/>
      <c r="M825" s="1439"/>
      <c r="N825" s="1439"/>
      <c r="O825" s="1485"/>
      <c r="P825" s="1486"/>
      <c r="Q825" s="1486"/>
      <c r="R825" s="1487"/>
      <c r="S825" s="1444"/>
      <c r="T825" s="1444"/>
      <c r="U825" s="1444"/>
      <c r="V825" s="1488"/>
      <c r="W825" s="1488"/>
      <c r="X825" s="1488"/>
      <c r="Y825" s="1488"/>
      <c r="Z825" s="1488"/>
      <c r="AA825" s="1488"/>
      <c r="AB825" s="1488"/>
      <c r="AC825" s="1488"/>
      <c r="AD825" s="1488"/>
      <c r="AE825" s="1488"/>
      <c r="AF825" s="1488"/>
      <c r="AG825" s="1488"/>
      <c r="AH825" s="1451">
        <f t="shared" si="449"/>
        <v>0</v>
      </c>
      <c r="AI825" s="1488"/>
      <c r="AJ825" s="1488"/>
      <c r="AK825" s="1488"/>
      <c r="AL825" s="1488"/>
      <c r="AM825" s="1488"/>
      <c r="AN825" s="1488"/>
      <c r="AO825" s="1488"/>
      <c r="AP825" s="1488"/>
      <c r="AQ825" s="1488"/>
      <c r="AR825" s="1488"/>
      <c r="AS825" s="1488"/>
      <c r="AT825" s="1542"/>
      <c r="AU825" s="1599">
        <f t="shared" si="450"/>
        <v>0</v>
      </c>
      <c r="AV825" s="1544">
        <f t="shared" si="478"/>
        <v>0</v>
      </c>
      <c r="AW825" s="1452">
        <f t="shared" si="451"/>
        <v>0</v>
      </c>
      <c r="AX825" s="1452">
        <f t="shared" si="452"/>
        <v>0</v>
      </c>
      <c r="AY825" s="1452">
        <f t="shared" si="453"/>
        <v>0</v>
      </c>
      <c r="AZ825" s="1452">
        <f t="shared" si="454"/>
        <v>0</v>
      </c>
      <c r="BA825" s="1452">
        <f t="shared" si="455"/>
        <v>0</v>
      </c>
      <c r="BB825" s="1452">
        <f t="shared" si="456"/>
        <v>0</v>
      </c>
      <c r="BC825" s="1452">
        <f t="shared" si="457"/>
        <v>0</v>
      </c>
      <c r="BD825" s="1452">
        <f t="shared" si="458"/>
        <v>0</v>
      </c>
      <c r="BE825" s="1452">
        <f t="shared" si="459"/>
        <v>0</v>
      </c>
      <c r="BF825" s="1452">
        <f t="shared" si="460"/>
        <v>0</v>
      </c>
      <c r="BG825" s="1452">
        <f t="shared" si="461"/>
        <v>0</v>
      </c>
      <c r="BH825" s="1452">
        <f t="shared" si="462"/>
        <v>0</v>
      </c>
      <c r="BI825" s="1452">
        <f t="shared" si="479"/>
        <v>0</v>
      </c>
      <c r="BJ825" s="1452" t="str">
        <f t="shared" si="463"/>
        <v/>
      </c>
      <c r="BK825" s="1452" t="str">
        <f t="shared" si="464"/>
        <v/>
      </c>
      <c r="BL825" s="1452" t="str">
        <f t="shared" si="465"/>
        <v/>
      </c>
      <c r="BM825" s="1452" t="str">
        <f t="shared" si="466"/>
        <v/>
      </c>
      <c r="BN825" s="1452" t="str">
        <f t="shared" ca="1" si="467"/>
        <v/>
      </c>
      <c r="BO825" s="1452" t="str">
        <f t="shared" si="480"/>
        <v/>
      </c>
      <c r="BP825" s="1452" t="str">
        <f t="shared" si="468"/>
        <v/>
      </c>
      <c r="BQ825" s="1452" t="str">
        <f t="shared" si="469"/>
        <v/>
      </c>
      <c r="BR825" s="1452" t="str">
        <f t="shared" si="470"/>
        <v/>
      </c>
      <c r="BS825" s="1452" t="str">
        <f t="shared" si="471"/>
        <v/>
      </c>
      <c r="BT825" s="1452" t="str">
        <f t="shared" si="472"/>
        <v/>
      </c>
      <c r="BU825" s="1452" t="str">
        <f t="shared" si="473"/>
        <v/>
      </c>
      <c r="BV825" s="1452" t="str">
        <f t="shared" si="474"/>
        <v/>
      </c>
      <c r="BW825" s="1558">
        <f t="shared" ca="1" si="481"/>
        <v>0</v>
      </c>
    </row>
    <row r="826" spans="1:75" s="9" customFormat="1" ht="12.5">
      <c r="A826" s="1483" t="str">
        <f t="shared" si="475"/>
        <v>Public Health Wales Trust</v>
      </c>
      <c r="B826" s="1583"/>
      <c r="C826" s="1583"/>
      <c r="D826" s="1583"/>
      <c r="E826" s="1581"/>
      <c r="F826" s="1436"/>
      <c r="G826" s="1547">
        <f t="shared" si="476"/>
        <v>0</v>
      </c>
      <c r="H826" s="1484"/>
      <c r="I826" s="1547">
        <f t="shared" si="477"/>
        <v>0</v>
      </c>
      <c r="J826" s="1485"/>
      <c r="K826" s="1485"/>
      <c r="L826" s="1436"/>
      <c r="M826" s="1439"/>
      <c r="N826" s="1439"/>
      <c r="O826" s="1485"/>
      <c r="P826" s="1486"/>
      <c r="Q826" s="1486"/>
      <c r="R826" s="1487"/>
      <c r="S826" s="1444"/>
      <c r="T826" s="1444"/>
      <c r="U826" s="1444"/>
      <c r="V826" s="1488"/>
      <c r="W826" s="1488"/>
      <c r="X826" s="1488"/>
      <c r="Y826" s="1488"/>
      <c r="Z826" s="1488"/>
      <c r="AA826" s="1488"/>
      <c r="AB826" s="1488"/>
      <c r="AC826" s="1488"/>
      <c r="AD826" s="1488"/>
      <c r="AE826" s="1488"/>
      <c r="AF826" s="1488"/>
      <c r="AG826" s="1488"/>
      <c r="AH826" s="1451">
        <f t="shared" si="449"/>
        <v>0</v>
      </c>
      <c r="AI826" s="1488"/>
      <c r="AJ826" s="1488"/>
      <c r="AK826" s="1488"/>
      <c r="AL826" s="1488"/>
      <c r="AM826" s="1488"/>
      <c r="AN826" s="1488"/>
      <c r="AO826" s="1488"/>
      <c r="AP826" s="1488"/>
      <c r="AQ826" s="1488"/>
      <c r="AR826" s="1488"/>
      <c r="AS826" s="1488"/>
      <c r="AT826" s="1542"/>
      <c r="AU826" s="1599">
        <f t="shared" si="450"/>
        <v>0</v>
      </c>
      <c r="AV826" s="1544">
        <f t="shared" si="478"/>
        <v>0</v>
      </c>
      <c r="AW826" s="1452">
        <f t="shared" si="451"/>
        <v>0</v>
      </c>
      <c r="AX826" s="1452">
        <f t="shared" si="452"/>
        <v>0</v>
      </c>
      <c r="AY826" s="1452">
        <f t="shared" si="453"/>
        <v>0</v>
      </c>
      <c r="AZ826" s="1452">
        <f t="shared" si="454"/>
        <v>0</v>
      </c>
      <c r="BA826" s="1452">
        <f t="shared" si="455"/>
        <v>0</v>
      </c>
      <c r="BB826" s="1452">
        <f t="shared" si="456"/>
        <v>0</v>
      </c>
      <c r="BC826" s="1452">
        <f t="shared" si="457"/>
        <v>0</v>
      </c>
      <c r="BD826" s="1452">
        <f t="shared" si="458"/>
        <v>0</v>
      </c>
      <c r="BE826" s="1452">
        <f t="shared" si="459"/>
        <v>0</v>
      </c>
      <c r="BF826" s="1452">
        <f t="shared" si="460"/>
        <v>0</v>
      </c>
      <c r="BG826" s="1452">
        <f t="shared" si="461"/>
        <v>0</v>
      </c>
      <c r="BH826" s="1452">
        <f t="shared" si="462"/>
        <v>0</v>
      </c>
      <c r="BI826" s="1452">
        <f t="shared" si="479"/>
        <v>0</v>
      </c>
      <c r="BJ826" s="1452" t="str">
        <f t="shared" si="463"/>
        <v/>
      </c>
      <c r="BK826" s="1452" t="str">
        <f t="shared" si="464"/>
        <v/>
      </c>
      <c r="BL826" s="1452" t="str">
        <f t="shared" si="465"/>
        <v/>
      </c>
      <c r="BM826" s="1452" t="str">
        <f t="shared" si="466"/>
        <v/>
      </c>
      <c r="BN826" s="1452" t="str">
        <f t="shared" ca="1" si="467"/>
        <v/>
      </c>
      <c r="BO826" s="1452" t="str">
        <f t="shared" si="480"/>
        <v/>
      </c>
      <c r="BP826" s="1452" t="str">
        <f t="shared" si="468"/>
        <v/>
      </c>
      <c r="BQ826" s="1452" t="str">
        <f t="shared" si="469"/>
        <v/>
      </c>
      <c r="BR826" s="1452" t="str">
        <f t="shared" si="470"/>
        <v/>
      </c>
      <c r="BS826" s="1452" t="str">
        <f t="shared" si="471"/>
        <v/>
      </c>
      <c r="BT826" s="1452" t="str">
        <f t="shared" si="472"/>
        <v/>
      </c>
      <c r="BU826" s="1452" t="str">
        <f t="shared" si="473"/>
        <v/>
      </c>
      <c r="BV826" s="1452" t="str">
        <f t="shared" si="474"/>
        <v/>
      </c>
      <c r="BW826" s="1558">
        <f t="shared" ca="1" si="481"/>
        <v>0</v>
      </c>
    </row>
    <row r="827" spans="1:75" s="9" customFormat="1" ht="12.5">
      <c r="A827" s="1483" t="str">
        <f t="shared" si="475"/>
        <v>Public Health Wales Trust</v>
      </c>
      <c r="B827" s="1583"/>
      <c r="C827" s="1583"/>
      <c r="D827" s="1583"/>
      <c r="E827" s="1581"/>
      <c r="F827" s="1436"/>
      <c r="G827" s="1547">
        <f t="shared" si="476"/>
        <v>0</v>
      </c>
      <c r="H827" s="1484"/>
      <c r="I827" s="1547">
        <f t="shared" si="477"/>
        <v>0</v>
      </c>
      <c r="J827" s="1485"/>
      <c r="K827" s="1485"/>
      <c r="L827" s="1436"/>
      <c r="M827" s="1439"/>
      <c r="N827" s="1439"/>
      <c r="O827" s="1485"/>
      <c r="P827" s="1486"/>
      <c r="Q827" s="1486"/>
      <c r="R827" s="1487"/>
      <c r="S827" s="1444"/>
      <c r="T827" s="1444"/>
      <c r="U827" s="1444"/>
      <c r="V827" s="1488"/>
      <c r="W827" s="1488"/>
      <c r="X827" s="1488"/>
      <c r="Y827" s="1488"/>
      <c r="Z827" s="1488"/>
      <c r="AA827" s="1488"/>
      <c r="AB827" s="1488"/>
      <c r="AC827" s="1488"/>
      <c r="AD827" s="1488"/>
      <c r="AE827" s="1488"/>
      <c r="AF827" s="1488"/>
      <c r="AG827" s="1488"/>
      <c r="AH827" s="1451">
        <f t="shared" si="449"/>
        <v>0</v>
      </c>
      <c r="AI827" s="1488"/>
      <c r="AJ827" s="1488"/>
      <c r="AK827" s="1488"/>
      <c r="AL827" s="1488"/>
      <c r="AM827" s="1488"/>
      <c r="AN827" s="1488"/>
      <c r="AO827" s="1488"/>
      <c r="AP827" s="1488"/>
      <c r="AQ827" s="1488"/>
      <c r="AR827" s="1488"/>
      <c r="AS827" s="1488"/>
      <c r="AT827" s="1542"/>
      <c r="AU827" s="1599">
        <f t="shared" si="450"/>
        <v>0</v>
      </c>
      <c r="AV827" s="1544">
        <f t="shared" si="478"/>
        <v>0</v>
      </c>
      <c r="AW827" s="1452">
        <f t="shared" si="451"/>
        <v>0</v>
      </c>
      <c r="AX827" s="1452">
        <f t="shared" si="452"/>
        <v>0</v>
      </c>
      <c r="AY827" s="1452">
        <f t="shared" si="453"/>
        <v>0</v>
      </c>
      <c r="AZ827" s="1452">
        <f t="shared" si="454"/>
        <v>0</v>
      </c>
      <c r="BA827" s="1452">
        <f t="shared" si="455"/>
        <v>0</v>
      </c>
      <c r="BB827" s="1452">
        <f t="shared" si="456"/>
        <v>0</v>
      </c>
      <c r="BC827" s="1452">
        <f t="shared" si="457"/>
        <v>0</v>
      </c>
      <c r="BD827" s="1452">
        <f t="shared" si="458"/>
        <v>0</v>
      </c>
      <c r="BE827" s="1452">
        <f t="shared" si="459"/>
        <v>0</v>
      </c>
      <c r="BF827" s="1452">
        <f t="shared" si="460"/>
        <v>0</v>
      </c>
      <c r="BG827" s="1452">
        <f t="shared" si="461"/>
        <v>0</v>
      </c>
      <c r="BH827" s="1452">
        <f t="shared" si="462"/>
        <v>0</v>
      </c>
      <c r="BI827" s="1452">
        <f t="shared" si="479"/>
        <v>0</v>
      </c>
      <c r="BJ827" s="1452" t="str">
        <f t="shared" si="463"/>
        <v/>
      </c>
      <c r="BK827" s="1452" t="str">
        <f t="shared" si="464"/>
        <v/>
      </c>
      <c r="BL827" s="1452" t="str">
        <f t="shared" si="465"/>
        <v/>
      </c>
      <c r="BM827" s="1452" t="str">
        <f t="shared" si="466"/>
        <v/>
      </c>
      <c r="BN827" s="1452" t="str">
        <f t="shared" ca="1" si="467"/>
        <v/>
      </c>
      <c r="BO827" s="1452" t="str">
        <f t="shared" si="480"/>
        <v/>
      </c>
      <c r="BP827" s="1452" t="str">
        <f t="shared" si="468"/>
        <v/>
      </c>
      <c r="BQ827" s="1452" t="str">
        <f t="shared" si="469"/>
        <v/>
      </c>
      <c r="BR827" s="1452" t="str">
        <f t="shared" si="470"/>
        <v/>
      </c>
      <c r="BS827" s="1452" t="str">
        <f t="shared" si="471"/>
        <v/>
      </c>
      <c r="BT827" s="1452" t="str">
        <f t="shared" si="472"/>
        <v/>
      </c>
      <c r="BU827" s="1452" t="str">
        <f t="shared" si="473"/>
        <v/>
      </c>
      <c r="BV827" s="1452" t="str">
        <f t="shared" si="474"/>
        <v/>
      </c>
      <c r="BW827" s="1558">
        <f t="shared" ca="1" si="481"/>
        <v>0</v>
      </c>
    </row>
    <row r="828" spans="1:75" s="9" customFormat="1" ht="12.5">
      <c r="A828" s="1483" t="str">
        <f t="shared" si="475"/>
        <v>Public Health Wales Trust</v>
      </c>
      <c r="B828" s="1583"/>
      <c r="C828" s="1583"/>
      <c r="D828" s="1583"/>
      <c r="E828" s="1581"/>
      <c r="F828" s="1436"/>
      <c r="G828" s="1547">
        <f t="shared" si="476"/>
        <v>0</v>
      </c>
      <c r="H828" s="1484"/>
      <c r="I828" s="1547">
        <f t="shared" si="477"/>
        <v>0</v>
      </c>
      <c r="J828" s="1485"/>
      <c r="K828" s="1485"/>
      <c r="L828" s="1436"/>
      <c r="M828" s="1439"/>
      <c r="N828" s="1439"/>
      <c r="O828" s="1485"/>
      <c r="P828" s="1486"/>
      <c r="Q828" s="1486"/>
      <c r="R828" s="1487"/>
      <c r="S828" s="1444"/>
      <c r="T828" s="1444"/>
      <c r="U828" s="1444"/>
      <c r="V828" s="1488"/>
      <c r="W828" s="1488"/>
      <c r="X828" s="1488"/>
      <c r="Y828" s="1488"/>
      <c r="Z828" s="1488"/>
      <c r="AA828" s="1488"/>
      <c r="AB828" s="1488"/>
      <c r="AC828" s="1488"/>
      <c r="AD828" s="1488"/>
      <c r="AE828" s="1488"/>
      <c r="AF828" s="1488"/>
      <c r="AG828" s="1488"/>
      <c r="AH828" s="1451">
        <f t="shared" si="449"/>
        <v>0</v>
      </c>
      <c r="AI828" s="1488"/>
      <c r="AJ828" s="1488"/>
      <c r="AK828" s="1488"/>
      <c r="AL828" s="1488"/>
      <c r="AM828" s="1488"/>
      <c r="AN828" s="1488"/>
      <c r="AO828" s="1488"/>
      <c r="AP828" s="1488"/>
      <c r="AQ828" s="1488"/>
      <c r="AR828" s="1488"/>
      <c r="AS828" s="1488"/>
      <c r="AT828" s="1542"/>
      <c r="AU828" s="1599">
        <f t="shared" si="450"/>
        <v>0</v>
      </c>
      <c r="AV828" s="1544">
        <f t="shared" si="478"/>
        <v>0</v>
      </c>
      <c r="AW828" s="1452">
        <f t="shared" si="451"/>
        <v>0</v>
      </c>
      <c r="AX828" s="1452">
        <f t="shared" si="452"/>
        <v>0</v>
      </c>
      <c r="AY828" s="1452">
        <f t="shared" si="453"/>
        <v>0</v>
      </c>
      <c r="AZ828" s="1452">
        <f t="shared" si="454"/>
        <v>0</v>
      </c>
      <c r="BA828" s="1452">
        <f t="shared" si="455"/>
        <v>0</v>
      </c>
      <c r="BB828" s="1452">
        <f t="shared" si="456"/>
        <v>0</v>
      </c>
      <c r="BC828" s="1452">
        <f t="shared" si="457"/>
        <v>0</v>
      </c>
      <c r="BD828" s="1452">
        <f t="shared" si="458"/>
        <v>0</v>
      </c>
      <c r="BE828" s="1452">
        <f t="shared" si="459"/>
        <v>0</v>
      </c>
      <c r="BF828" s="1452">
        <f t="shared" si="460"/>
        <v>0</v>
      </c>
      <c r="BG828" s="1452">
        <f t="shared" si="461"/>
        <v>0</v>
      </c>
      <c r="BH828" s="1452">
        <f t="shared" si="462"/>
        <v>0</v>
      </c>
      <c r="BI828" s="1452">
        <f t="shared" si="479"/>
        <v>0</v>
      </c>
      <c r="BJ828" s="1452" t="str">
        <f t="shared" si="463"/>
        <v/>
      </c>
      <c r="BK828" s="1452" t="str">
        <f t="shared" si="464"/>
        <v/>
      </c>
      <c r="BL828" s="1452" t="str">
        <f t="shared" si="465"/>
        <v/>
      </c>
      <c r="BM828" s="1452" t="str">
        <f t="shared" si="466"/>
        <v/>
      </c>
      <c r="BN828" s="1452" t="str">
        <f t="shared" ca="1" si="467"/>
        <v/>
      </c>
      <c r="BO828" s="1452" t="str">
        <f t="shared" si="480"/>
        <v/>
      </c>
      <c r="BP828" s="1452" t="str">
        <f t="shared" si="468"/>
        <v/>
      </c>
      <c r="BQ828" s="1452" t="str">
        <f t="shared" si="469"/>
        <v/>
      </c>
      <c r="BR828" s="1452" t="str">
        <f t="shared" si="470"/>
        <v/>
      </c>
      <c r="BS828" s="1452" t="str">
        <f t="shared" si="471"/>
        <v/>
      </c>
      <c r="BT828" s="1452" t="str">
        <f t="shared" si="472"/>
        <v/>
      </c>
      <c r="BU828" s="1452" t="str">
        <f t="shared" si="473"/>
        <v/>
      </c>
      <c r="BV828" s="1452" t="str">
        <f t="shared" si="474"/>
        <v/>
      </c>
      <c r="BW828" s="1558">
        <f t="shared" ca="1" si="481"/>
        <v>0</v>
      </c>
    </row>
    <row r="829" spans="1:75" s="9" customFormat="1" ht="12.5">
      <c r="A829" s="1483" t="str">
        <f t="shared" si="475"/>
        <v>Public Health Wales Trust</v>
      </c>
      <c r="B829" s="1583"/>
      <c r="C829" s="1583"/>
      <c r="D829" s="1583"/>
      <c r="E829" s="1581"/>
      <c r="F829" s="1436"/>
      <c r="G829" s="1547">
        <f t="shared" si="476"/>
        <v>0</v>
      </c>
      <c r="H829" s="1484"/>
      <c r="I829" s="1547">
        <f t="shared" si="477"/>
        <v>0</v>
      </c>
      <c r="J829" s="1485"/>
      <c r="K829" s="1485"/>
      <c r="L829" s="1436"/>
      <c r="M829" s="1439"/>
      <c r="N829" s="1439"/>
      <c r="O829" s="1485"/>
      <c r="P829" s="1486"/>
      <c r="Q829" s="1486"/>
      <c r="R829" s="1487"/>
      <c r="S829" s="1444"/>
      <c r="T829" s="1444"/>
      <c r="U829" s="1444"/>
      <c r="V829" s="1488"/>
      <c r="W829" s="1488"/>
      <c r="X829" s="1488"/>
      <c r="Y829" s="1488"/>
      <c r="Z829" s="1488"/>
      <c r="AA829" s="1488"/>
      <c r="AB829" s="1488"/>
      <c r="AC829" s="1488"/>
      <c r="AD829" s="1488"/>
      <c r="AE829" s="1488"/>
      <c r="AF829" s="1488"/>
      <c r="AG829" s="1488"/>
      <c r="AH829" s="1451">
        <f t="shared" si="449"/>
        <v>0</v>
      </c>
      <c r="AI829" s="1488"/>
      <c r="AJ829" s="1488"/>
      <c r="AK829" s="1488"/>
      <c r="AL829" s="1488"/>
      <c r="AM829" s="1488"/>
      <c r="AN829" s="1488"/>
      <c r="AO829" s="1488"/>
      <c r="AP829" s="1488"/>
      <c r="AQ829" s="1488"/>
      <c r="AR829" s="1488"/>
      <c r="AS829" s="1488"/>
      <c r="AT829" s="1542"/>
      <c r="AU829" s="1599">
        <f t="shared" si="450"/>
        <v>0</v>
      </c>
      <c r="AV829" s="1544">
        <f t="shared" si="478"/>
        <v>0</v>
      </c>
      <c r="AW829" s="1452">
        <f t="shared" si="451"/>
        <v>0</v>
      </c>
      <c r="AX829" s="1452">
        <f t="shared" si="452"/>
        <v>0</v>
      </c>
      <c r="AY829" s="1452">
        <f t="shared" si="453"/>
        <v>0</v>
      </c>
      <c r="AZ829" s="1452">
        <f t="shared" si="454"/>
        <v>0</v>
      </c>
      <c r="BA829" s="1452">
        <f t="shared" si="455"/>
        <v>0</v>
      </c>
      <c r="BB829" s="1452">
        <f t="shared" si="456"/>
        <v>0</v>
      </c>
      <c r="BC829" s="1452">
        <f t="shared" si="457"/>
        <v>0</v>
      </c>
      <c r="BD829" s="1452">
        <f t="shared" si="458"/>
        <v>0</v>
      </c>
      <c r="BE829" s="1452">
        <f t="shared" si="459"/>
        <v>0</v>
      </c>
      <c r="BF829" s="1452">
        <f t="shared" si="460"/>
        <v>0</v>
      </c>
      <c r="BG829" s="1452">
        <f t="shared" si="461"/>
        <v>0</v>
      </c>
      <c r="BH829" s="1452">
        <f t="shared" si="462"/>
        <v>0</v>
      </c>
      <c r="BI829" s="1452">
        <f t="shared" si="479"/>
        <v>0</v>
      </c>
      <c r="BJ829" s="1452" t="str">
        <f t="shared" si="463"/>
        <v/>
      </c>
      <c r="BK829" s="1452" t="str">
        <f t="shared" si="464"/>
        <v/>
      </c>
      <c r="BL829" s="1452" t="str">
        <f t="shared" si="465"/>
        <v/>
      </c>
      <c r="BM829" s="1452" t="str">
        <f t="shared" si="466"/>
        <v/>
      </c>
      <c r="BN829" s="1452" t="str">
        <f t="shared" ca="1" si="467"/>
        <v/>
      </c>
      <c r="BO829" s="1452" t="str">
        <f t="shared" si="480"/>
        <v/>
      </c>
      <c r="BP829" s="1452" t="str">
        <f t="shared" si="468"/>
        <v/>
      </c>
      <c r="BQ829" s="1452" t="str">
        <f t="shared" si="469"/>
        <v/>
      </c>
      <c r="BR829" s="1452" t="str">
        <f t="shared" si="470"/>
        <v/>
      </c>
      <c r="BS829" s="1452" t="str">
        <f t="shared" si="471"/>
        <v/>
      </c>
      <c r="BT829" s="1452" t="str">
        <f t="shared" si="472"/>
        <v/>
      </c>
      <c r="BU829" s="1452" t="str">
        <f t="shared" si="473"/>
        <v/>
      </c>
      <c r="BV829" s="1452" t="str">
        <f t="shared" si="474"/>
        <v/>
      </c>
      <c r="BW829" s="1558">
        <f t="shared" ca="1" si="481"/>
        <v>0</v>
      </c>
    </row>
    <row r="830" spans="1:75" s="9" customFormat="1" ht="12.5">
      <c r="A830" s="1483" t="str">
        <f t="shared" si="475"/>
        <v>Public Health Wales Trust</v>
      </c>
      <c r="B830" s="1583"/>
      <c r="C830" s="1583"/>
      <c r="D830" s="1583"/>
      <c r="E830" s="1581"/>
      <c r="F830" s="1436"/>
      <c r="G830" s="1547">
        <f t="shared" si="476"/>
        <v>0</v>
      </c>
      <c r="H830" s="1484"/>
      <c r="I830" s="1547">
        <f t="shared" si="477"/>
        <v>0</v>
      </c>
      <c r="J830" s="1485"/>
      <c r="K830" s="1485"/>
      <c r="L830" s="1436"/>
      <c r="M830" s="1439"/>
      <c r="N830" s="1439"/>
      <c r="O830" s="1485"/>
      <c r="P830" s="1486"/>
      <c r="Q830" s="1486"/>
      <c r="R830" s="1487"/>
      <c r="S830" s="1444"/>
      <c r="T830" s="1444"/>
      <c r="U830" s="1444"/>
      <c r="V830" s="1488"/>
      <c r="W830" s="1488"/>
      <c r="X830" s="1488"/>
      <c r="Y830" s="1488"/>
      <c r="Z830" s="1488"/>
      <c r="AA830" s="1488"/>
      <c r="AB830" s="1488"/>
      <c r="AC830" s="1488"/>
      <c r="AD830" s="1488"/>
      <c r="AE830" s="1488"/>
      <c r="AF830" s="1488"/>
      <c r="AG830" s="1488"/>
      <c r="AH830" s="1451">
        <f t="shared" si="449"/>
        <v>0</v>
      </c>
      <c r="AI830" s="1488"/>
      <c r="AJ830" s="1488"/>
      <c r="AK830" s="1488"/>
      <c r="AL830" s="1488"/>
      <c r="AM830" s="1488"/>
      <c r="AN830" s="1488"/>
      <c r="AO830" s="1488"/>
      <c r="AP830" s="1488"/>
      <c r="AQ830" s="1488"/>
      <c r="AR830" s="1488"/>
      <c r="AS830" s="1488"/>
      <c r="AT830" s="1542"/>
      <c r="AU830" s="1599">
        <f t="shared" si="450"/>
        <v>0</v>
      </c>
      <c r="AV830" s="1544">
        <f t="shared" si="478"/>
        <v>0</v>
      </c>
      <c r="AW830" s="1452">
        <f t="shared" si="451"/>
        <v>0</v>
      </c>
      <c r="AX830" s="1452">
        <f t="shared" si="452"/>
        <v>0</v>
      </c>
      <c r="AY830" s="1452">
        <f t="shared" si="453"/>
        <v>0</v>
      </c>
      <c r="AZ830" s="1452">
        <f t="shared" si="454"/>
        <v>0</v>
      </c>
      <c r="BA830" s="1452">
        <f t="shared" si="455"/>
        <v>0</v>
      </c>
      <c r="BB830" s="1452">
        <f t="shared" si="456"/>
        <v>0</v>
      </c>
      <c r="BC830" s="1452">
        <f t="shared" si="457"/>
        <v>0</v>
      </c>
      <c r="BD830" s="1452">
        <f t="shared" si="458"/>
        <v>0</v>
      </c>
      <c r="BE830" s="1452">
        <f t="shared" si="459"/>
        <v>0</v>
      </c>
      <c r="BF830" s="1452">
        <f t="shared" si="460"/>
        <v>0</v>
      </c>
      <c r="BG830" s="1452">
        <f t="shared" si="461"/>
        <v>0</v>
      </c>
      <c r="BH830" s="1452">
        <f t="shared" si="462"/>
        <v>0</v>
      </c>
      <c r="BI830" s="1452">
        <f t="shared" si="479"/>
        <v>0</v>
      </c>
      <c r="BJ830" s="1452" t="str">
        <f t="shared" si="463"/>
        <v/>
      </c>
      <c r="BK830" s="1452" t="str">
        <f t="shared" si="464"/>
        <v/>
      </c>
      <c r="BL830" s="1452" t="str">
        <f t="shared" si="465"/>
        <v/>
      </c>
      <c r="BM830" s="1452" t="str">
        <f t="shared" si="466"/>
        <v/>
      </c>
      <c r="BN830" s="1452" t="str">
        <f t="shared" ca="1" si="467"/>
        <v/>
      </c>
      <c r="BO830" s="1452" t="str">
        <f t="shared" si="480"/>
        <v/>
      </c>
      <c r="BP830" s="1452" t="str">
        <f t="shared" si="468"/>
        <v/>
      </c>
      <c r="BQ830" s="1452" t="str">
        <f t="shared" si="469"/>
        <v/>
      </c>
      <c r="BR830" s="1452" t="str">
        <f t="shared" si="470"/>
        <v/>
      </c>
      <c r="BS830" s="1452" t="str">
        <f t="shared" si="471"/>
        <v/>
      </c>
      <c r="BT830" s="1452" t="str">
        <f t="shared" si="472"/>
        <v/>
      </c>
      <c r="BU830" s="1452" t="str">
        <f t="shared" si="473"/>
        <v/>
      </c>
      <c r="BV830" s="1452" t="str">
        <f t="shared" si="474"/>
        <v/>
      </c>
      <c r="BW830" s="1558">
        <f t="shared" ca="1" si="481"/>
        <v>0</v>
      </c>
    </row>
    <row r="831" spans="1:75" s="9" customFormat="1" ht="12.5">
      <c r="A831" s="1483" t="str">
        <f t="shared" si="475"/>
        <v>Public Health Wales Trust</v>
      </c>
      <c r="B831" s="1583"/>
      <c r="C831" s="1583"/>
      <c r="D831" s="1583"/>
      <c r="E831" s="1581"/>
      <c r="F831" s="1436"/>
      <c r="G831" s="1547">
        <f t="shared" si="476"/>
        <v>0</v>
      </c>
      <c r="H831" s="1484"/>
      <c r="I831" s="1547">
        <f t="shared" si="477"/>
        <v>0</v>
      </c>
      <c r="J831" s="1485"/>
      <c r="K831" s="1485"/>
      <c r="L831" s="1436"/>
      <c r="M831" s="1439"/>
      <c r="N831" s="1439"/>
      <c r="O831" s="1485"/>
      <c r="P831" s="1486"/>
      <c r="Q831" s="1486"/>
      <c r="R831" s="1487"/>
      <c r="S831" s="1444"/>
      <c r="T831" s="1444"/>
      <c r="U831" s="1444"/>
      <c r="V831" s="1488"/>
      <c r="W831" s="1488"/>
      <c r="X831" s="1488"/>
      <c r="Y831" s="1488"/>
      <c r="Z831" s="1488"/>
      <c r="AA831" s="1488"/>
      <c r="AB831" s="1488"/>
      <c r="AC831" s="1488"/>
      <c r="AD831" s="1488"/>
      <c r="AE831" s="1488"/>
      <c r="AF831" s="1488"/>
      <c r="AG831" s="1488"/>
      <c r="AH831" s="1451">
        <f t="shared" si="449"/>
        <v>0</v>
      </c>
      <c r="AI831" s="1488"/>
      <c r="AJ831" s="1488"/>
      <c r="AK831" s="1488"/>
      <c r="AL831" s="1488"/>
      <c r="AM831" s="1488"/>
      <c r="AN831" s="1488"/>
      <c r="AO831" s="1488"/>
      <c r="AP831" s="1488"/>
      <c r="AQ831" s="1488"/>
      <c r="AR831" s="1488"/>
      <c r="AS831" s="1488"/>
      <c r="AT831" s="1542"/>
      <c r="AU831" s="1599">
        <f t="shared" si="450"/>
        <v>0</v>
      </c>
      <c r="AV831" s="1544">
        <f t="shared" si="478"/>
        <v>0</v>
      </c>
      <c r="AW831" s="1452">
        <f t="shared" si="451"/>
        <v>0</v>
      </c>
      <c r="AX831" s="1452">
        <f t="shared" si="452"/>
        <v>0</v>
      </c>
      <c r="AY831" s="1452">
        <f t="shared" si="453"/>
        <v>0</v>
      </c>
      <c r="AZ831" s="1452">
        <f t="shared" si="454"/>
        <v>0</v>
      </c>
      <c r="BA831" s="1452">
        <f t="shared" si="455"/>
        <v>0</v>
      </c>
      <c r="BB831" s="1452">
        <f t="shared" si="456"/>
        <v>0</v>
      </c>
      <c r="BC831" s="1452">
        <f t="shared" si="457"/>
        <v>0</v>
      </c>
      <c r="BD831" s="1452">
        <f t="shared" si="458"/>
        <v>0</v>
      </c>
      <c r="BE831" s="1452">
        <f t="shared" si="459"/>
        <v>0</v>
      </c>
      <c r="BF831" s="1452">
        <f t="shared" si="460"/>
        <v>0</v>
      </c>
      <c r="BG831" s="1452">
        <f t="shared" si="461"/>
        <v>0</v>
      </c>
      <c r="BH831" s="1452">
        <f t="shared" si="462"/>
        <v>0</v>
      </c>
      <c r="BI831" s="1452">
        <f t="shared" si="479"/>
        <v>0</v>
      </c>
      <c r="BJ831" s="1452" t="str">
        <f t="shared" si="463"/>
        <v/>
      </c>
      <c r="BK831" s="1452" t="str">
        <f t="shared" si="464"/>
        <v/>
      </c>
      <c r="BL831" s="1452" t="str">
        <f t="shared" si="465"/>
        <v/>
      </c>
      <c r="BM831" s="1452" t="str">
        <f t="shared" si="466"/>
        <v/>
      </c>
      <c r="BN831" s="1452" t="str">
        <f t="shared" ca="1" si="467"/>
        <v/>
      </c>
      <c r="BO831" s="1452" t="str">
        <f t="shared" si="480"/>
        <v/>
      </c>
      <c r="BP831" s="1452" t="str">
        <f t="shared" si="468"/>
        <v/>
      </c>
      <c r="BQ831" s="1452" t="str">
        <f t="shared" si="469"/>
        <v/>
      </c>
      <c r="BR831" s="1452" t="str">
        <f t="shared" si="470"/>
        <v/>
      </c>
      <c r="BS831" s="1452" t="str">
        <f t="shared" si="471"/>
        <v/>
      </c>
      <c r="BT831" s="1452" t="str">
        <f t="shared" si="472"/>
        <v/>
      </c>
      <c r="BU831" s="1452" t="str">
        <f t="shared" si="473"/>
        <v/>
      </c>
      <c r="BV831" s="1452" t="str">
        <f t="shared" si="474"/>
        <v/>
      </c>
      <c r="BW831" s="1558">
        <f t="shared" ca="1" si="481"/>
        <v>0</v>
      </c>
    </row>
    <row r="832" spans="1:75" s="9" customFormat="1" ht="12.5">
      <c r="A832" s="1483" t="str">
        <f t="shared" si="475"/>
        <v>Public Health Wales Trust</v>
      </c>
      <c r="B832" s="1583"/>
      <c r="C832" s="1583"/>
      <c r="D832" s="1583"/>
      <c r="E832" s="1581"/>
      <c r="F832" s="1436"/>
      <c r="G832" s="1547">
        <f t="shared" si="476"/>
        <v>0</v>
      </c>
      <c r="H832" s="1484"/>
      <c r="I832" s="1547">
        <f t="shared" si="477"/>
        <v>0</v>
      </c>
      <c r="J832" s="1485"/>
      <c r="K832" s="1485"/>
      <c r="L832" s="1436"/>
      <c r="M832" s="1439"/>
      <c r="N832" s="1439"/>
      <c r="O832" s="1485"/>
      <c r="P832" s="1486"/>
      <c r="Q832" s="1486"/>
      <c r="R832" s="1487"/>
      <c r="S832" s="1444"/>
      <c r="T832" s="1444"/>
      <c r="U832" s="1444"/>
      <c r="V832" s="1488"/>
      <c r="W832" s="1488"/>
      <c r="X832" s="1488"/>
      <c r="Y832" s="1488"/>
      <c r="Z832" s="1488"/>
      <c r="AA832" s="1488"/>
      <c r="AB832" s="1488"/>
      <c r="AC832" s="1488"/>
      <c r="AD832" s="1488"/>
      <c r="AE832" s="1488"/>
      <c r="AF832" s="1488"/>
      <c r="AG832" s="1488"/>
      <c r="AH832" s="1451">
        <f t="shared" si="449"/>
        <v>0</v>
      </c>
      <c r="AI832" s="1488"/>
      <c r="AJ832" s="1488"/>
      <c r="AK832" s="1488"/>
      <c r="AL832" s="1488"/>
      <c r="AM832" s="1488"/>
      <c r="AN832" s="1488"/>
      <c r="AO832" s="1488"/>
      <c r="AP832" s="1488"/>
      <c r="AQ832" s="1488"/>
      <c r="AR832" s="1488"/>
      <c r="AS832" s="1488"/>
      <c r="AT832" s="1542"/>
      <c r="AU832" s="1599">
        <f t="shared" si="450"/>
        <v>0</v>
      </c>
      <c r="AV832" s="1544">
        <f t="shared" si="478"/>
        <v>0</v>
      </c>
      <c r="AW832" s="1452">
        <f t="shared" si="451"/>
        <v>0</v>
      </c>
      <c r="AX832" s="1452">
        <f t="shared" si="452"/>
        <v>0</v>
      </c>
      <c r="AY832" s="1452">
        <f t="shared" si="453"/>
        <v>0</v>
      </c>
      <c r="AZ832" s="1452">
        <f t="shared" si="454"/>
        <v>0</v>
      </c>
      <c r="BA832" s="1452">
        <f t="shared" si="455"/>
        <v>0</v>
      </c>
      <c r="BB832" s="1452">
        <f t="shared" si="456"/>
        <v>0</v>
      </c>
      <c r="BC832" s="1452">
        <f t="shared" si="457"/>
        <v>0</v>
      </c>
      <c r="BD832" s="1452">
        <f t="shared" si="458"/>
        <v>0</v>
      </c>
      <c r="BE832" s="1452">
        <f t="shared" si="459"/>
        <v>0</v>
      </c>
      <c r="BF832" s="1452">
        <f t="shared" si="460"/>
        <v>0</v>
      </c>
      <c r="BG832" s="1452">
        <f t="shared" si="461"/>
        <v>0</v>
      </c>
      <c r="BH832" s="1452">
        <f t="shared" si="462"/>
        <v>0</v>
      </c>
      <c r="BI832" s="1452">
        <f t="shared" si="479"/>
        <v>0</v>
      </c>
      <c r="BJ832" s="1452" t="str">
        <f t="shared" si="463"/>
        <v/>
      </c>
      <c r="BK832" s="1452" t="str">
        <f t="shared" si="464"/>
        <v/>
      </c>
      <c r="BL832" s="1452" t="str">
        <f t="shared" si="465"/>
        <v/>
      </c>
      <c r="BM832" s="1452" t="str">
        <f t="shared" si="466"/>
        <v/>
      </c>
      <c r="BN832" s="1452" t="str">
        <f t="shared" ca="1" si="467"/>
        <v/>
      </c>
      <c r="BO832" s="1452" t="str">
        <f t="shared" si="480"/>
        <v/>
      </c>
      <c r="BP832" s="1452" t="str">
        <f t="shared" si="468"/>
        <v/>
      </c>
      <c r="BQ832" s="1452" t="str">
        <f t="shared" si="469"/>
        <v/>
      </c>
      <c r="BR832" s="1452" t="str">
        <f t="shared" si="470"/>
        <v/>
      </c>
      <c r="BS832" s="1452" t="str">
        <f t="shared" si="471"/>
        <v/>
      </c>
      <c r="BT832" s="1452" t="str">
        <f t="shared" si="472"/>
        <v/>
      </c>
      <c r="BU832" s="1452" t="str">
        <f t="shared" si="473"/>
        <v/>
      </c>
      <c r="BV832" s="1452" t="str">
        <f t="shared" si="474"/>
        <v/>
      </c>
      <c r="BW832" s="1558">
        <f t="shared" ca="1" si="481"/>
        <v>0</v>
      </c>
    </row>
    <row r="833" spans="1:103" s="9" customFormat="1" ht="12.5">
      <c r="A833" s="1483" t="str">
        <f t="shared" si="475"/>
        <v>Public Health Wales Trust</v>
      </c>
      <c r="B833" s="1583"/>
      <c r="C833" s="1583"/>
      <c r="D833" s="1583"/>
      <c r="E833" s="1581"/>
      <c r="F833" s="1436"/>
      <c r="G833" s="1547">
        <f t="shared" si="476"/>
        <v>0</v>
      </c>
      <c r="H833" s="1484"/>
      <c r="I833" s="1547">
        <f t="shared" si="477"/>
        <v>0</v>
      </c>
      <c r="J833" s="1485"/>
      <c r="K833" s="1485"/>
      <c r="L833" s="1436"/>
      <c r="M833" s="1439"/>
      <c r="N833" s="1439"/>
      <c r="O833" s="1485"/>
      <c r="P833" s="1486"/>
      <c r="Q833" s="1486"/>
      <c r="R833" s="1487"/>
      <c r="S833" s="1444"/>
      <c r="T833" s="1444"/>
      <c r="U833" s="1444"/>
      <c r="V833" s="1488"/>
      <c r="W833" s="1488"/>
      <c r="X833" s="1488"/>
      <c r="Y833" s="1488"/>
      <c r="Z833" s="1488"/>
      <c r="AA833" s="1488"/>
      <c r="AB833" s="1488"/>
      <c r="AC833" s="1488"/>
      <c r="AD833" s="1488"/>
      <c r="AE833" s="1488"/>
      <c r="AF833" s="1488"/>
      <c r="AG833" s="1488"/>
      <c r="AH833" s="1451">
        <f t="shared" si="449"/>
        <v>0</v>
      </c>
      <c r="AI833" s="1488"/>
      <c r="AJ833" s="1488"/>
      <c r="AK833" s="1488"/>
      <c r="AL833" s="1488"/>
      <c r="AM833" s="1488"/>
      <c r="AN833" s="1488"/>
      <c r="AO833" s="1488"/>
      <c r="AP833" s="1488"/>
      <c r="AQ833" s="1488"/>
      <c r="AR833" s="1488"/>
      <c r="AS833" s="1488"/>
      <c r="AT833" s="1542"/>
      <c r="AU833" s="1599">
        <f t="shared" si="450"/>
        <v>0</v>
      </c>
      <c r="AV833" s="1544">
        <f t="shared" si="478"/>
        <v>0</v>
      </c>
      <c r="AW833" s="1452">
        <f t="shared" si="451"/>
        <v>0</v>
      </c>
      <c r="AX833" s="1452">
        <f t="shared" si="452"/>
        <v>0</v>
      </c>
      <c r="AY833" s="1452">
        <f t="shared" si="453"/>
        <v>0</v>
      </c>
      <c r="AZ833" s="1452">
        <f t="shared" si="454"/>
        <v>0</v>
      </c>
      <c r="BA833" s="1452">
        <f t="shared" si="455"/>
        <v>0</v>
      </c>
      <c r="BB833" s="1452">
        <f t="shared" si="456"/>
        <v>0</v>
      </c>
      <c r="BC833" s="1452">
        <f t="shared" si="457"/>
        <v>0</v>
      </c>
      <c r="BD833" s="1452">
        <f t="shared" si="458"/>
        <v>0</v>
      </c>
      <c r="BE833" s="1452">
        <f t="shared" si="459"/>
        <v>0</v>
      </c>
      <c r="BF833" s="1452">
        <f t="shared" si="460"/>
        <v>0</v>
      </c>
      <c r="BG833" s="1452">
        <f t="shared" si="461"/>
        <v>0</v>
      </c>
      <c r="BH833" s="1452">
        <f t="shared" si="462"/>
        <v>0</v>
      </c>
      <c r="BI833" s="1452">
        <f t="shared" si="479"/>
        <v>0</v>
      </c>
      <c r="BJ833" s="1452" t="str">
        <f t="shared" si="463"/>
        <v/>
      </c>
      <c r="BK833" s="1452" t="str">
        <f t="shared" si="464"/>
        <v/>
      </c>
      <c r="BL833" s="1452" t="str">
        <f t="shared" si="465"/>
        <v/>
      </c>
      <c r="BM833" s="1452" t="str">
        <f t="shared" si="466"/>
        <v/>
      </c>
      <c r="BN833" s="1452" t="str">
        <f t="shared" ca="1" si="467"/>
        <v/>
      </c>
      <c r="BO833" s="1452" t="str">
        <f t="shared" si="480"/>
        <v/>
      </c>
      <c r="BP833" s="1452" t="str">
        <f t="shared" si="468"/>
        <v/>
      </c>
      <c r="BQ833" s="1452" t="str">
        <f t="shared" si="469"/>
        <v/>
      </c>
      <c r="BR833" s="1452" t="str">
        <f t="shared" si="470"/>
        <v/>
      </c>
      <c r="BS833" s="1452" t="str">
        <f t="shared" si="471"/>
        <v/>
      </c>
      <c r="BT833" s="1452" t="str">
        <f t="shared" si="472"/>
        <v/>
      </c>
      <c r="BU833" s="1452" t="str">
        <f t="shared" si="473"/>
        <v/>
      </c>
      <c r="BV833" s="1452" t="str">
        <f t="shared" si="474"/>
        <v/>
      </c>
      <c r="BW833" s="1558">
        <f t="shared" ca="1" si="481"/>
        <v>0</v>
      </c>
    </row>
    <row r="834" spans="1:103" s="9" customFormat="1" ht="12.5">
      <c r="A834" s="1483" t="str">
        <f t="shared" si="475"/>
        <v>Public Health Wales Trust</v>
      </c>
      <c r="B834" s="1583"/>
      <c r="C834" s="1583"/>
      <c r="D834" s="1583"/>
      <c r="E834" s="1581"/>
      <c r="F834" s="1436"/>
      <c r="G834" s="1547">
        <f t="shared" si="476"/>
        <v>0</v>
      </c>
      <c r="H834" s="1484"/>
      <c r="I834" s="1547">
        <f t="shared" si="477"/>
        <v>0</v>
      </c>
      <c r="J834" s="1485"/>
      <c r="K834" s="1485"/>
      <c r="L834" s="1436"/>
      <c r="M834" s="1439"/>
      <c r="N834" s="1439"/>
      <c r="O834" s="1485"/>
      <c r="P834" s="1486"/>
      <c r="Q834" s="1486"/>
      <c r="R834" s="1487"/>
      <c r="S834" s="1444"/>
      <c r="T834" s="1444"/>
      <c r="U834" s="1444"/>
      <c r="V834" s="1488"/>
      <c r="W834" s="1488"/>
      <c r="X834" s="1488"/>
      <c r="Y834" s="1488"/>
      <c r="Z834" s="1488"/>
      <c r="AA834" s="1488"/>
      <c r="AB834" s="1488"/>
      <c r="AC834" s="1488"/>
      <c r="AD834" s="1488"/>
      <c r="AE834" s="1488"/>
      <c r="AF834" s="1488"/>
      <c r="AG834" s="1488"/>
      <c r="AH834" s="1451">
        <f t="shared" si="449"/>
        <v>0</v>
      </c>
      <c r="AI834" s="1488"/>
      <c r="AJ834" s="1488"/>
      <c r="AK834" s="1488"/>
      <c r="AL834" s="1488"/>
      <c r="AM834" s="1488"/>
      <c r="AN834" s="1488"/>
      <c r="AO834" s="1488"/>
      <c r="AP834" s="1488"/>
      <c r="AQ834" s="1488"/>
      <c r="AR834" s="1488"/>
      <c r="AS834" s="1488"/>
      <c r="AT834" s="1542"/>
      <c r="AU834" s="1599">
        <f t="shared" si="450"/>
        <v>0</v>
      </c>
      <c r="AV834" s="1544">
        <f t="shared" si="478"/>
        <v>0</v>
      </c>
      <c r="AW834" s="1452">
        <f t="shared" si="451"/>
        <v>0</v>
      </c>
      <c r="AX834" s="1452">
        <f t="shared" si="452"/>
        <v>0</v>
      </c>
      <c r="AY834" s="1452">
        <f t="shared" si="453"/>
        <v>0</v>
      </c>
      <c r="AZ834" s="1452">
        <f t="shared" si="454"/>
        <v>0</v>
      </c>
      <c r="BA834" s="1452">
        <f t="shared" si="455"/>
        <v>0</v>
      </c>
      <c r="BB834" s="1452">
        <f t="shared" si="456"/>
        <v>0</v>
      </c>
      <c r="BC834" s="1452">
        <f t="shared" si="457"/>
        <v>0</v>
      </c>
      <c r="BD834" s="1452">
        <f t="shared" si="458"/>
        <v>0</v>
      </c>
      <c r="BE834" s="1452">
        <f t="shared" si="459"/>
        <v>0</v>
      </c>
      <c r="BF834" s="1452">
        <f t="shared" si="460"/>
        <v>0</v>
      </c>
      <c r="BG834" s="1452">
        <f t="shared" si="461"/>
        <v>0</v>
      </c>
      <c r="BH834" s="1452">
        <f t="shared" si="462"/>
        <v>0</v>
      </c>
      <c r="BI834" s="1452">
        <f t="shared" si="479"/>
        <v>0</v>
      </c>
      <c r="BJ834" s="1452" t="str">
        <f t="shared" si="463"/>
        <v/>
      </c>
      <c r="BK834" s="1452" t="str">
        <f t="shared" si="464"/>
        <v/>
      </c>
      <c r="BL834" s="1452" t="str">
        <f t="shared" si="465"/>
        <v/>
      </c>
      <c r="BM834" s="1452" t="str">
        <f t="shared" si="466"/>
        <v/>
      </c>
      <c r="BN834" s="1452" t="str">
        <f t="shared" ca="1" si="467"/>
        <v/>
      </c>
      <c r="BO834" s="1452" t="str">
        <f t="shared" si="480"/>
        <v/>
      </c>
      <c r="BP834" s="1452" t="str">
        <f t="shared" si="468"/>
        <v/>
      </c>
      <c r="BQ834" s="1452" t="str">
        <f t="shared" si="469"/>
        <v/>
      </c>
      <c r="BR834" s="1452" t="str">
        <f t="shared" si="470"/>
        <v/>
      </c>
      <c r="BS834" s="1452" t="str">
        <f t="shared" si="471"/>
        <v/>
      </c>
      <c r="BT834" s="1452" t="str">
        <f t="shared" si="472"/>
        <v/>
      </c>
      <c r="BU834" s="1452" t="str">
        <f t="shared" si="473"/>
        <v/>
      </c>
      <c r="BV834" s="1452" t="str">
        <f t="shared" si="474"/>
        <v/>
      </c>
      <c r="BW834" s="1558">
        <f t="shared" ca="1" si="481"/>
        <v>0</v>
      </c>
    </row>
    <row r="835" spans="1:103" s="9" customFormat="1" ht="12.5">
      <c r="A835" s="1483" t="str">
        <f t="shared" si="475"/>
        <v>Public Health Wales Trust</v>
      </c>
      <c r="B835" s="1583"/>
      <c r="C835" s="1583"/>
      <c r="D835" s="1583"/>
      <c r="E835" s="1581"/>
      <c r="F835" s="1436"/>
      <c r="G835" s="1547">
        <f t="shared" si="476"/>
        <v>0</v>
      </c>
      <c r="H835" s="1484"/>
      <c r="I835" s="1547">
        <f t="shared" si="477"/>
        <v>0</v>
      </c>
      <c r="J835" s="1485"/>
      <c r="K835" s="1485"/>
      <c r="L835" s="1436"/>
      <c r="M835" s="1439"/>
      <c r="N835" s="1439"/>
      <c r="O835" s="1485"/>
      <c r="P835" s="1486"/>
      <c r="Q835" s="1486"/>
      <c r="R835" s="1487"/>
      <c r="S835" s="1444"/>
      <c r="T835" s="1444"/>
      <c r="U835" s="1444"/>
      <c r="V835" s="1488"/>
      <c r="W835" s="1488"/>
      <c r="X835" s="1488"/>
      <c r="Y835" s="1488"/>
      <c r="Z835" s="1488"/>
      <c r="AA835" s="1488"/>
      <c r="AB835" s="1488"/>
      <c r="AC835" s="1488"/>
      <c r="AD835" s="1488"/>
      <c r="AE835" s="1488"/>
      <c r="AF835" s="1488"/>
      <c r="AG835" s="1488"/>
      <c r="AH835" s="1451">
        <f t="shared" si="449"/>
        <v>0</v>
      </c>
      <c r="AI835" s="1488"/>
      <c r="AJ835" s="1488"/>
      <c r="AK835" s="1488"/>
      <c r="AL835" s="1488"/>
      <c r="AM835" s="1488"/>
      <c r="AN835" s="1488"/>
      <c r="AO835" s="1488"/>
      <c r="AP835" s="1488"/>
      <c r="AQ835" s="1488"/>
      <c r="AR835" s="1488"/>
      <c r="AS835" s="1488"/>
      <c r="AT835" s="1542"/>
      <c r="AU835" s="1599">
        <f t="shared" si="450"/>
        <v>0</v>
      </c>
      <c r="AV835" s="1544">
        <f t="shared" si="478"/>
        <v>0</v>
      </c>
      <c r="AW835" s="1452">
        <f t="shared" si="451"/>
        <v>0</v>
      </c>
      <c r="AX835" s="1452">
        <f t="shared" si="452"/>
        <v>0</v>
      </c>
      <c r="AY835" s="1452">
        <f t="shared" si="453"/>
        <v>0</v>
      </c>
      <c r="AZ835" s="1452">
        <f t="shared" si="454"/>
        <v>0</v>
      </c>
      <c r="BA835" s="1452">
        <f t="shared" si="455"/>
        <v>0</v>
      </c>
      <c r="BB835" s="1452">
        <f t="shared" si="456"/>
        <v>0</v>
      </c>
      <c r="BC835" s="1452">
        <f t="shared" si="457"/>
        <v>0</v>
      </c>
      <c r="BD835" s="1452">
        <f t="shared" si="458"/>
        <v>0</v>
      </c>
      <c r="BE835" s="1452">
        <f t="shared" si="459"/>
        <v>0</v>
      </c>
      <c r="BF835" s="1452">
        <f t="shared" si="460"/>
        <v>0</v>
      </c>
      <c r="BG835" s="1452">
        <f t="shared" si="461"/>
        <v>0</v>
      </c>
      <c r="BH835" s="1452">
        <f t="shared" si="462"/>
        <v>0</v>
      </c>
      <c r="BI835" s="1452">
        <f t="shared" si="479"/>
        <v>0</v>
      </c>
      <c r="BJ835" s="1452" t="str">
        <f t="shared" si="463"/>
        <v/>
      </c>
      <c r="BK835" s="1452" t="str">
        <f t="shared" si="464"/>
        <v/>
      </c>
      <c r="BL835" s="1452" t="str">
        <f t="shared" si="465"/>
        <v/>
      </c>
      <c r="BM835" s="1452" t="str">
        <f t="shared" si="466"/>
        <v/>
      </c>
      <c r="BN835" s="1452" t="str">
        <f t="shared" ca="1" si="467"/>
        <v/>
      </c>
      <c r="BO835" s="1452" t="str">
        <f t="shared" si="480"/>
        <v/>
      </c>
      <c r="BP835" s="1452" t="str">
        <f t="shared" si="468"/>
        <v/>
      </c>
      <c r="BQ835" s="1452" t="str">
        <f t="shared" si="469"/>
        <v/>
      </c>
      <c r="BR835" s="1452" t="str">
        <f t="shared" si="470"/>
        <v/>
      </c>
      <c r="BS835" s="1452" t="str">
        <f t="shared" si="471"/>
        <v/>
      </c>
      <c r="BT835" s="1452" t="str">
        <f t="shared" si="472"/>
        <v/>
      </c>
      <c r="BU835" s="1452" t="str">
        <f t="shared" si="473"/>
        <v/>
      </c>
      <c r="BV835" s="1452" t="str">
        <f t="shared" si="474"/>
        <v/>
      </c>
      <c r="BW835" s="1558">
        <f t="shared" ca="1" si="481"/>
        <v>0</v>
      </c>
    </row>
    <row r="836" spans="1:103" s="9" customFormat="1" ht="12.5">
      <c r="A836" s="1483" t="str">
        <f t="shared" si="475"/>
        <v>Public Health Wales Trust</v>
      </c>
      <c r="B836" s="1583"/>
      <c r="C836" s="1510"/>
      <c r="D836" s="1494"/>
      <c r="E836" s="1592"/>
      <c r="F836" s="1436"/>
      <c r="G836" s="1547">
        <f t="shared" si="476"/>
        <v>0</v>
      </c>
      <c r="H836" s="1484"/>
      <c r="I836" s="1547">
        <f t="shared" si="477"/>
        <v>0</v>
      </c>
      <c r="J836" s="1495"/>
      <c r="K836" s="1495"/>
      <c r="L836" s="1436"/>
      <c r="M836" s="1439"/>
      <c r="N836" s="1439"/>
      <c r="O836" s="1485"/>
      <c r="P836" s="1486"/>
      <c r="Q836" s="1486"/>
      <c r="R836" s="1487"/>
      <c r="S836" s="1444"/>
      <c r="T836" s="1444"/>
      <c r="U836" s="1444"/>
      <c r="V836" s="1488"/>
      <c r="W836" s="1488"/>
      <c r="X836" s="1488"/>
      <c r="Y836" s="1488"/>
      <c r="Z836" s="1488"/>
      <c r="AA836" s="1488"/>
      <c r="AB836" s="1488"/>
      <c r="AC836" s="1488"/>
      <c r="AD836" s="1488"/>
      <c r="AE836" s="1488"/>
      <c r="AF836" s="1488"/>
      <c r="AG836" s="1488"/>
      <c r="AH836" s="1451">
        <f t="shared" si="449"/>
        <v>0</v>
      </c>
      <c r="AI836" s="1488"/>
      <c r="AJ836" s="1488"/>
      <c r="AK836" s="1488"/>
      <c r="AL836" s="1488"/>
      <c r="AM836" s="1488"/>
      <c r="AN836" s="1488"/>
      <c r="AO836" s="1488"/>
      <c r="AP836" s="1488"/>
      <c r="AQ836" s="1488"/>
      <c r="AR836" s="1488"/>
      <c r="AS836" s="1488"/>
      <c r="AT836" s="1542"/>
      <c r="AU836" s="1599">
        <f t="shared" si="450"/>
        <v>0</v>
      </c>
      <c r="AV836" s="1544">
        <f t="shared" si="478"/>
        <v>0</v>
      </c>
      <c r="AW836" s="1452">
        <f t="shared" si="451"/>
        <v>0</v>
      </c>
      <c r="AX836" s="1452">
        <f t="shared" si="452"/>
        <v>0</v>
      </c>
      <c r="AY836" s="1452">
        <f t="shared" si="453"/>
        <v>0</v>
      </c>
      <c r="AZ836" s="1452">
        <f t="shared" si="454"/>
        <v>0</v>
      </c>
      <c r="BA836" s="1452">
        <f t="shared" si="455"/>
        <v>0</v>
      </c>
      <c r="BB836" s="1452">
        <f t="shared" si="456"/>
        <v>0</v>
      </c>
      <c r="BC836" s="1452">
        <f t="shared" si="457"/>
        <v>0</v>
      </c>
      <c r="BD836" s="1452">
        <f t="shared" si="458"/>
        <v>0</v>
      </c>
      <c r="BE836" s="1452">
        <f t="shared" si="459"/>
        <v>0</v>
      </c>
      <c r="BF836" s="1452">
        <f t="shared" si="460"/>
        <v>0</v>
      </c>
      <c r="BG836" s="1452">
        <f t="shared" si="461"/>
        <v>0</v>
      </c>
      <c r="BH836" s="1452">
        <f t="shared" si="462"/>
        <v>0</v>
      </c>
      <c r="BI836" s="1452">
        <f t="shared" si="479"/>
        <v>0</v>
      </c>
      <c r="BJ836" s="1452" t="str">
        <f t="shared" si="463"/>
        <v/>
      </c>
      <c r="BK836" s="1452" t="str">
        <f t="shared" si="464"/>
        <v/>
      </c>
      <c r="BL836" s="1452" t="str">
        <f t="shared" si="465"/>
        <v/>
      </c>
      <c r="BM836" s="1452" t="str">
        <f t="shared" si="466"/>
        <v/>
      </c>
      <c r="BN836" s="1452" t="str">
        <f t="shared" ca="1" si="467"/>
        <v/>
      </c>
      <c r="BO836" s="1452" t="str">
        <f t="shared" si="480"/>
        <v/>
      </c>
      <c r="BP836" s="1452" t="str">
        <f t="shared" si="468"/>
        <v/>
      </c>
      <c r="BQ836" s="1452" t="str">
        <f t="shared" si="469"/>
        <v/>
      </c>
      <c r="BR836" s="1452" t="str">
        <f t="shared" si="470"/>
        <v/>
      </c>
      <c r="BS836" s="1452" t="str">
        <f t="shared" si="471"/>
        <v/>
      </c>
      <c r="BT836" s="1452" t="str">
        <f t="shared" si="472"/>
        <v/>
      </c>
      <c r="BU836" s="1452" t="str">
        <f t="shared" si="473"/>
        <v/>
      </c>
      <c r="BV836" s="1452" t="str">
        <f t="shared" si="474"/>
        <v/>
      </c>
      <c r="BW836" s="1558">
        <f t="shared" ca="1" si="481"/>
        <v>0</v>
      </c>
    </row>
    <row r="837" spans="1:103" s="9" customFormat="1" ht="12.5">
      <c r="A837" s="1483" t="str">
        <f t="shared" si="475"/>
        <v>Public Health Wales Trust</v>
      </c>
      <c r="B837" s="1583"/>
      <c r="C837" s="1510"/>
      <c r="D837" s="1494"/>
      <c r="E837" s="1436"/>
      <c r="F837" s="1436"/>
      <c r="G837" s="1547">
        <f t="shared" si="476"/>
        <v>0</v>
      </c>
      <c r="H837" s="1484"/>
      <c r="I837" s="1547">
        <f t="shared" si="477"/>
        <v>0</v>
      </c>
      <c r="J837" s="1496"/>
      <c r="K837" s="1496"/>
      <c r="L837" s="1436"/>
      <c r="M837" s="1439"/>
      <c r="N837" s="1439"/>
      <c r="O837" s="1485"/>
      <c r="P837" s="1486"/>
      <c r="Q837" s="1486"/>
      <c r="R837" s="1487"/>
      <c r="S837" s="1444"/>
      <c r="T837" s="1444"/>
      <c r="U837" s="1444"/>
      <c r="V837" s="1488"/>
      <c r="W837" s="1488"/>
      <c r="X837" s="1488"/>
      <c r="Y837" s="1488"/>
      <c r="Z837" s="1488"/>
      <c r="AA837" s="1488"/>
      <c r="AB837" s="1488"/>
      <c r="AC837" s="1488"/>
      <c r="AD837" s="1488"/>
      <c r="AE837" s="1488"/>
      <c r="AF837" s="1488"/>
      <c r="AG837" s="1488"/>
      <c r="AH837" s="1451">
        <f t="shared" si="449"/>
        <v>0</v>
      </c>
      <c r="AI837" s="1488"/>
      <c r="AJ837" s="1488"/>
      <c r="AK837" s="1488"/>
      <c r="AL837" s="1488"/>
      <c r="AM837" s="1488"/>
      <c r="AN837" s="1488"/>
      <c r="AO837" s="1488"/>
      <c r="AP837" s="1488"/>
      <c r="AQ837" s="1488"/>
      <c r="AR837" s="1488"/>
      <c r="AS837" s="1488"/>
      <c r="AT837" s="1542"/>
      <c r="AU837" s="1599">
        <f t="shared" si="450"/>
        <v>0</v>
      </c>
      <c r="AV837" s="1544">
        <f t="shared" si="478"/>
        <v>0</v>
      </c>
      <c r="AW837" s="1452">
        <f t="shared" si="451"/>
        <v>0</v>
      </c>
      <c r="AX837" s="1452">
        <f t="shared" si="452"/>
        <v>0</v>
      </c>
      <c r="AY837" s="1452">
        <f t="shared" si="453"/>
        <v>0</v>
      </c>
      <c r="AZ837" s="1452">
        <f t="shared" si="454"/>
        <v>0</v>
      </c>
      <c r="BA837" s="1452">
        <f t="shared" si="455"/>
        <v>0</v>
      </c>
      <c r="BB837" s="1452">
        <f t="shared" si="456"/>
        <v>0</v>
      </c>
      <c r="BC837" s="1452">
        <f t="shared" si="457"/>
        <v>0</v>
      </c>
      <c r="BD837" s="1452">
        <f t="shared" si="458"/>
        <v>0</v>
      </c>
      <c r="BE837" s="1452">
        <f t="shared" si="459"/>
        <v>0</v>
      </c>
      <c r="BF837" s="1452">
        <f t="shared" si="460"/>
        <v>0</v>
      </c>
      <c r="BG837" s="1452">
        <f t="shared" si="461"/>
        <v>0</v>
      </c>
      <c r="BH837" s="1452">
        <f t="shared" si="462"/>
        <v>0</v>
      </c>
      <c r="BI837" s="1452">
        <f t="shared" si="479"/>
        <v>0</v>
      </c>
      <c r="BJ837" s="1452" t="str">
        <f t="shared" si="463"/>
        <v/>
      </c>
      <c r="BK837" s="1452" t="str">
        <f t="shared" si="464"/>
        <v/>
      </c>
      <c r="BL837" s="1452" t="str">
        <f t="shared" si="465"/>
        <v/>
      </c>
      <c r="BM837" s="1452" t="str">
        <f t="shared" si="466"/>
        <v/>
      </c>
      <c r="BN837" s="1452" t="str">
        <f t="shared" ca="1" si="467"/>
        <v/>
      </c>
      <c r="BO837" s="1452" t="str">
        <f t="shared" si="480"/>
        <v/>
      </c>
      <c r="BP837" s="1452" t="str">
        <f t="shared" si="468"/>
        <v/>
      </c>
      <c r="BQ837" s="1452" t="str">
        <f t="shared" si="469"/>
        <v/>
      </c>
      <c r="BR837" s="1452" t="str">
        <f t="shared" si="470"/>
        <v/>
      </c>
      <c r="BS837" s="1452" t="str">
        <f t="shared" si="471"/>
        <v/>
      </c>
      <c r="BT837" s="1452" t="str">
        <f t="shared" si="472"/>
        <v/>
      </c>
      <c r="BU837" s="1452" t="str">
        <f t="shared" si="473"/>
        <v/>
      </c>
      <c r="BV837" s="1452" t="str">
        <f t="shared" si="474"/>
        <v/>
      </c>
      <c r="BW837" s="1558">
        <f t="shared" ca="1" si="481"/>
        <v>0</v>
      </c>
    </row>
    <row r="838" spans="1:103" s="9" customFormat="1" ht="12.5">
      <c r="A838" s="1483" t="str">
        <f t="shared" si="475"/>
        <v>Public Health Wales Trust</v>
      </c>
      <c r="B838" s="1583"/>
      <c r="C838" s="1510"/>
      <c r="D838" s="1494"/>
      <c r="E838" s="1436"/>
      <c r="F838" s="1436"/>
      <c r="G838" s="1547">
        <f t="shared" si="476"/>
        <v>0</v>
      </c>
      <c r="H838" s="1484"/>
      <c r="I838" s="1547">
        <f t="shared" si="477"/>
        <v>0</v>
      </c>
      <c r="J838" s="1496"/>
      <c r="K838" s="1496"/>
      <c r="L838" s="1436"/>
      <c r="M838" s="1439"/>
      <c r="N838" s="1439"/>
      <c r="O838" s="1485"/>
      <c r="P838" s="1486"/>
      <c r="Q838" s="1486"/>
      <c r="R838" s="1487"/>
      <c r="S838" s="1444"/>
      <c r="T838" s="1444"/>
      <c r="U838" s="1444"/>
      <c r="V838" s="1488"/>
      <c r="W838" s="1488"/>
      <c r="X838" s="1488"/>
      <c r="Y838" s="1488"/>
      <c r="Z838" s="1488"/>
      <c r="AA838" s="1488"/>
      <c r="AB838" s="1488"/>
      <c r="AC838" s="1488"/>
      <c r="AD838" s="1488"/>
      <c r="AE838" s="1488"/>
      <c r="AF838" s="1488"/>
      <c r="AG838" s="1488"/>
      <c r="AH838" s="1451">
        <f t="shared" si="449"/>
        <v>0</v>
      </c>
      <c r="AI838" s="1488"/>
      <c r="AJ838" s="1488"/>
      <c r="AK838" s="1488"/>
      <c r="AL838" s="1488"/>
      <c r="AM838" s="1488"/>
      <c r="AN838" s="1488"/>
      <c r="AO838" s="1488"/>
      <c r="AP838" s="1488"/>
      <c r="AQ838" s="1488"/>
      <c r="AR838" s="1488"/>
      <c r="AS838" s="1488"/>
      <c r="AT838" s="1542"/>
      <c r="AU838" s="1599">
        <f t="shared" si="450"/>
        <v>0</v>
      </c>
      <c r="AV838" s="1544">
        <f t="shared" si="478"/>
        <v>0</v>
      </c>
      <c r="AW838" s="1452">
        <f t="shared" si="451"/>
        <v>0</v>
      </c>
      <c r="AX838" s="1452">
        <f t="shared" si="452"/>
        <v>0</v>
      </c>
      <c r="AY838" s="1452">
        <f t="shared" si="453"/>
        <v>0</v>
      </c>
      <c r="AZ838" s="1452">
        <f t="shared" si="454"/>
        <v>0</v>
      </c>
      <c r="BA838" s="1452">
        <f t="shared" si="455"/>
        <v>0</v>
      </c>
      <c r="BB838" s="1452">
        <f t="shared" si="456"/>
        <v>0</v>
      </c>
      <c r="BC838" s="1452">
        <f t="shared" si="457"/>
        <v>0</v>
      </c>
      <c r="BD838" s="1452">
        <f t="shared" si="458"/>
        <v>0</v>
      </c>
      <c r="BE838" s="1452">
        <f t="shared" si="459"/>
        <v>0</v>
      </c>
      <c r="BF838" s="1452">
        <f t="shared" si="460"/>
        <v>0</v>
      </c>
      <c r="BG838" s="1452">
        <f t="shared" si="461"/>
        <v>0</v>
      </c>
      <c r="BH838" s="1452">
        <f t="shared" si="462"/>
        <v>0</v>
      </c>
      <c r="BI838" s="1452">
        <f t="shared" si="479"/>
        <v>0</v>
      </c>
      <c r="BJ838" s="1452" t="str">
        <f t="shared" si="463"/>
        <v/>
      </c>
      <c r="BK838" s="1452" t="str">
        <f t="shared" si="464"/>
        <v/>
      </c>
      <c r="BL838" s="1452" t="str">
        <f t="shared" si="465"/>
        <v/>
      </c>
      <c r="BM838" s="1452" t="str">
        <f t="shared" si="466"/>
        <v/>
      </c>
      <c r="BN838" s="1452" t="str">
        <f t="shared" ca="1" si="467"/>
        <v/>
      </c>
      <c r="BO838" s="1452" t="str">
        <f t="shared" si="480"/>
        <v/>
      </c>
      <c r="BP838" s="1452" t="str">
        <f t="shared" si="468"/>
        <v/>
      </c>
      <c r="BQ838" s="1452" t="str">
        <f t="shared" si="469"/>
        <v/>
      </c>
      <c r="BR838" s="1452" t="str">
        <f t="shared" si="470"/>
        <v/>
      </c>
      <c r="BS838" s="1452" t="str">
        <f t="shared" si="471"/>
        <v/>
      </c>
      <c r="BT838" s="1452" t="str">
        <f t="shared" si="472"/>
        <v/>
      </c>
      <c r="BU838" s="1452" t="str">
        <f t="shared" si="473"/>
        <v/>
      </c>
      <c r="BV838" s="1452" t="str">
        <f t="shared" si="474"/>
        <v/>
      </c>
      <c r="BW838" s="1558">
        <f t="shared" ca="1" si="481"/>
        <v>0</v>
      </c>
    </row>
    <row r="839" spans="1:103" s="9" customFormat="1" ht="12.5">
      <c r="A839" s="1483" t="str">
        <f t="shared" si="475"/>
        <v>Public Health Wales Trust</v>
      </c>
      <c r="B839" s="1583"/>
      <c r="C839" s="1510"/>
      <c r="D839" s="1494"/>
      <c r="E839" s="1436"/>
      <c r="F839" s="1436"/>
      <c r="G839" s="1547">
        <f t="shared" si="476"/>
        <v>0</v>
      </c>
      <c r="H839" s="1484"/>
      <c r="I839" s="1547">
        <f t="shared" si="477"/>
        <v>0</v>
      </c>
      <c r="J839" s="1495"/>
      <c r="K839" s="1495"/>
      <c r="L839" s="1436"/>
      <c r="M839" s="1439"/>
      <c r="N839" s="1439"/>
      <c r="O839" s="1485"/>
      <c r="P839" s="1486"/>
      <c r="Q839" s="1486"/>
      <c r="R839" s="1487"/>
      <c r="S839" s="1444"/>
      <c r="T839" s="1444"/>
      <c r="U839" s="1444"/>
      <c r="V839" s="1488"/>
      <c r="W839" s="1488"/>
      <c r="X839" s="1488"/>
      <c r="Y839" s="1488"/>
      <c r="Z839" s="1488"/>
      <c r="AA839" s="1488"/>
      <c r="AB839" s="1488"/>
      <c r="AC839" s="1488"/>
      <c r="AD839" s="1488"/>
      <c r="AE839" s="1488"/>
      <c r="AF839" s="1488"/>
      <c r="AG839" s="1488"/>
      <c r="AH839" s="1451">
        <f t="shared" si="449"/>
        <v>0</v>
      </c>
      <c r="AI839" s="1488"/>
      <c r="AJ839" s="1488"/>
      <c r="AK839" s="1488"/>
      <c r="AL839" s="1488"/>
      <c r="AM839" s="1488"/>
      <c r="AN839" s="1488"/>
      <c r="AO839" s="1488"/>
      <c r="AP839" s="1488"/>
      <c r="AQ839" s="1488"/>
      <c r="AR839" s="1488"/>
      <c r="AS839" s="1488"/>
      <c r="AT839" s="1542"/>
      <c r="AU839" s="1599">
        <f t="shared" si="450"/>
        <v>0</v>
      </c>
      <c r="AV839" s="1544">
        <f t="shared" si="478"/>
        <v>0</v>
      </c>
      <c r="AW839" s="1452">
        <f t="shared" si="451"/>
        <v>0</v>
      </c>
      <c r="AX839" s="1452">
        <f t="shared" si="452"/>
        <v>0</v>
      </c>
      <c r="AY839" s="1452">
        <f t="shared" si="453"/>
        <v>0</v>
      </c>
      <c r="AZ839" s="1452">
        <f t="shared" si="454"/>
        <v>0</v>
      </c>
      <c r="BA839" s="1452">
        <f t="shared" si="455"/>
        <v>0</v>
      </c>
      <c r="BB839" s="1452">
        <f t="shared" si="456"/>
        <v>0</v>
      </c>
      <c r="BC839" s="1452">
        <f t="shared" si="457"/>
        <v>0</v>
      </c>
      <c r="BD839" s="1452">
        <f t="shared" si="458"/>
        <v>0</v>
      </c>
      <c r="BE839" s="1452">
        <f t="shared" si="459"/>
        <v>0</v>
      </c>
      <c r="BF839" s="1452">
        <f t="shared" si="460"/>
        <v>0</v>
      </c>
      <c r="BG839" s="1452">
        <f t="shared" si="461"/>
        <v>0</v>
      </c>
      <c r="BH839" s="1452">
        <f t="shared" si="462"/>
        <v>0</v>
      </c>
      <c r="BI839" s="1452">
        <f t="shared" si="479"/>
        <v>0</v>
      </c>
      <c r="BJ839" s="1452" t="str">
        <f t="shared" si="463"/>
        <v/>
      </c>
      <c r="BK839" s="1452" t="str">
        <f t="shared" si="464"/>
        <v/>
      </c>
      <c r="BL839" s="1452" t="str">
        <f t="shared" si="465"/>
        <v/>
      </c>
      <c r="BM839" s="1452" t="str">
        <f t="shared" si="466"/>
        <v/>
      </c>
      <c r="BN839" s="1452" t="str">
        <f t="shared" ca="1" si="467"/>
        <v/>
      </c>
      <c r="BO839" s="1452" t="str">
        <f t="shared" si="480"/>
        <v/>
      </c>
      <c r="BP839" s="1452" t="str">
        <f t="shared" si="468"/>
        <v/>
      </c>
      <c r="BQ839" s="1452" t="str">
        <f t="shared" si="469"/>
        <v/>
      </c>
      <c r="BR839" s="1452" t="str">
        <f t="shared" si="470"/>
        <v/>
      </c>
      <c r="BS839" s="1452" t="str">
        <f t="shared" si="471"/>
        <v/>
      </c>
      <c r="BT839" s="1452" t="str">
        <f t="shared" si="472"/>
        <v/>
      </c>
      <c r="BU839" s="1452" t="str">
        <f t="shared" si="473"/>
        <v/>
      </c>
      <c r="BV839" s="1452" t="str">
        <f t="shared" si="474"/>
        <v/>
      </c>
      <c r="BW839" s="1558">
        <f t="shared" ca="1" si="481"/>
        <v>0</v>
      </c>
    </row>
    <row r="840" spans="1:103" s="9" customFormat="1" ht="12.5">
      <c r="A840" s="1483" t="str">
        <f t="shared" si="475"/>
        <v>Public Health Wales Trust</v>
      </c>
      <c r="B840" s="1583"/>
      <c r="C840" s="1510"/>
      <c r="D840" s="1494"/>
      <c r="E840" s="1436"/>
      <c r="F840" s="1436"/>
      <c r="G840" s="1547">
        <f t="shared" si="476"/>
        <v>0</v>
      </c>
      <c r="H840" s="1484"/>
      <c r="I840" s="1547">
        <f t="shared" si="477"/>
        <v>0</v>
      </c>
      <c r="J840" s="1496"/>
      <c r="K840" s="1496"/>
      <c r="L840" s="1436"/>
      <c r="M840" s="1439"/>
      <c r="N840" s="1439"/>
      <c r="O840" s="1485"/>
      <c r="P840" s="1486"/>
      <c r="Q840" s="1486"/>
      <c r="R840" s="1487"/>
      <c r="S840" s="1444"/>
      <c r="T840" s="1444"/>
      <c r="U840" s="1444"/>
      <c r="V840" s="1488"/>
      <c r="W840" s="1488"/>
      <c r="X840" s="1488"/>
      <c r="Y840" s="1488"/>
      <c r="Z840" s="1488"/>
      <c r="AA840" s="1488"/>
      <c r="AB840" s="1488"/>
      <c r="AC840" s="1488"/>
      <c r="AD840" s="1488"/>
      <c r="AE840" s="1488"/>
      <c r="AF840" s="1488"/>
      <c r="AG840" s="1488"/>
      <c r="AH840" s="1451">
        <f t="shared" si="449"/>
        <v>0</v>
      </c>
      <c r="AI840" s="1488"/>
      <c r="AJ840" s="1488"/>
      <c r="AK840" s="1488"/>
      <c r="AL840" s="1488"/>
      <c r="AM840" s="1488"/>
      <c r="AN840" s="1488"/>
      <c r="AO840" s="1488"/>
      <c r="AP840" s="1488"/>
      <c r="AQ840" s="1488"/>
      <c r="AR840" s="1488"/>
      <c r="AS840" s="1488"/>
      <c r="AT840" s="1542"/>
      <c r="AU840" s="1599">
        <f t="shared" si="450"/>
        <v>0</v>
      </c>
      <c r="AV840" s="1544">
        <f t="shared" si="478"/>
        <v>0</v>
      </c>
      <c r="AW840" s="1452">
        <f t="shared" si="451"/>
        <v>0</v>
      </c>
      <c r="AX840" s="1452">
        <f t="shared" si="452"/>
        <v>0</v>
      </c>
      <c r="AY840" s="1452">
        <f t="shared" si="453"/>
        <v>0</v>
      </c>
      <c r="AZ840" s="1452">
        <f t="shared" si="454"/>
        <v>0</v>
      </c>
      <c r="BA840" s="1452">
        <f t="shared" si="455"/>
        <v>0</v>
      </c>
      <c r="BB840" s="1452">
        <f t="shared" si="456"/>
        <v>0</v>
      </c>
      <c r="BC840" s="1452">
        <f t="shared" si="457"/>
        <v>0</v>
      </c>
      <c r="BD840" s="1452">
        <f t="shared" si="458"/>
        <v>0</v>
      </c>
      <c r="BE840" s="1452">
        <f t="shared" si="459"/>
        <v>0</v>
      </c>
      <c r="BF840" s="1452">
        <f t="shared" si="460"/>
        <v>0</v>
      </c>
      <c r="BG840" s="1452">
        <f t="shared" si="461"/>
        <v>0</v>
      </c>
      <c r="BH840" s="1452">
        <f t="shared" si="462"/>
        <v>0</v>
      </c>
      <c r="BI840" s="1452">
        <f t="shared" si="479"/>
        <v>0</v>
      </c>
      <c r="BJ840" s="1452" t="str">
        <f t="shared" si="463"/>
        <v/>
      </c>
      <c r="BK840" s="1452" t="str">
        <f t="shared" si="464"/>
        <v/>
      </c>
      <c r="BL840" s="1452" t="str">
        <f t="shared" si="465"/>
        <v/>
      </c>
      <c r="BM840" s="1452" t="str">
        <f t="shared" si="466"/>
        <v/>
      </c>
      <c r="BN840" s="1452" t="str">
        <f t="shared" ca="1" si="467"/>
        <v/>
      </c>
      <c r="BO840" s="1452" t="str">
        <f t="shared" si="480"/>
        <v/>
      </c>
      <c r="BP840" s="1452" t="str">
        <f t="shared" si="468"/>
        <v/>
      </c>
      <c r="BQ840" s="1452" t="str">
        <f t="shared" si="469"/>
        <v/>
      </c>
      <c r="BR840" s="1452" t="str">
        <f t="shared" si="470"/>
        <v/>
      </c>
      <c r="BS840" s="1452" t="str">
        <f t="shared" si="471"/>
        <v/>
      </c>
      <c r="BT840" s="1452" t="str">
        <f t="shared" si="472"/>
        <v/>
      </c>
      <c r="BU840" s="1452" t="str">
        <f t="shared" si="473"/>
        <v/>
      </c>
      <c r="BV840" s="1452" t="str">
        <f t="shared" si="474"/>
        <v/>
      </c>
      <c r="BW840" s="1558">
        <f t="shared" ca="1" si="481"/>
        <v>0</v>
      </c>
    </row>
    <row r="841" spans="1:103" s="9" customFormat="1" ht="12.5">
      <c r="A841" s="1483" t="str">
        <f t="shared" si="475"/>
        <v>Public Health Wales Trust</v>
      </c>
      <c r="B841" s="1583"/>
      <c r="C841" s="1510"/>
      <c r="D841" s="1494"/>
      <c r="E841" s="1592"/>
      <c r="F841" s="1436"/>
      <c r="G841" s="1547">
        <f t="shared" si="476"/>
        <v>0</v>
      </c>
      <c r="H841" s="1484"/>
      <c r="I841" s="1547">
        <f t="shared" si="477"/>
        <v>0</v>
      </c>
      <c r="J841" s="1495"/>
      <c r="K841" s="1495"/>
      <c r="L841" s="1436"/>
      <c r="M841" s="1439"/>
      <c r="N841" s="1439"/>
      <c r="O841" s="1485"/>
      <c r="P841" s="1486"/>
      <c r="Q841" s="1486"/>
      <c r="R841" s="1487"/>
      <c r="S841" s="1444"/>
      <c r="T841" s="1444"/>
      <c r="U841" s="1444"/>
      <c r="V841" s="1488"/>
      <c r="W841" s="1488"/>
      <c r="X841" s="1488"/>
      <c r="Y841" s="1488"/>
      <c r="Z841" s="1488"/>
      <c r="AA841" s="1488"/>
      <c r="AB841" s="1488"/>
      <c r="AC841" s="1488"/>
      <c r="AD841" s="1488"/>
      <c r="AE841" s="1488"/>
      <c r="AF841" s="1488"/>
      <c r="AG841" s="1488"/>
      <c r="AH841" s="1451">
        <f t="shared" si="449"/>
        <v>0</v>
      </c>
      <c r="AI841" s="1488"/>
      <c r="AJ841" s="1488"/>
      <c r="AK841" s="1488"/>
      <c r="AL841" s="1488"/>
      <c r="AM841" s="1488"/>
      <c r="AN841" s="1488"/>
      <c r="AO841" s="1488"/>
      <c r="AP841" s="1488"/>
      <c r="AQ841" s="1488"/>
      <c r="AR841" s="1488"/>
      <c r="AS841" s="1488"/>
      <c r="AT841" s="1542"/>
      <c r="AU841" s="1599">
        <f t="shared" si="450"/>
        <v>0</v>
      </c>
      <c r="AV841" s="1544">
        <f t="shared" si="478"/>
        <v>0</v>
      </c>
      <c r="AW841" s="1452">
        <f t="shared" si="451"/>
        <v>0</v>
      </c>
      <c r="AX841" s="1452">
        <f t="shared" si="452"/>
        <v>0</v>
      </c>
      <c r="AY841" s="1452">
        <f t="shared" si="453"/>
        <v>0</v>
      </c>
      <c r="AZ841" s="1452">
        <f t="shared" si="454"/>
        <v>0</v>
      </c>
      <c r="BA841" s="1452">
        <f t="shared" si="455"/>
        <v>0</v>
      </c>
      <c r="BB841" s="1452">
        <f t="shared" si="456"/>
        <v>0</v>
      </c>
      <c r="BC841" s="1452">
        <f t="shared" si="457"/>
        <v>0</v>
      </c>
      <c r="BD841" s="1452">
        <f t="shared" si="458"/>
        <v>0</v>
      </c>
      <c r="BE841" s="1452">
        <f t="shared" si="459"/>
        <v>0</v>
      </c>
      <c r="BF841" s="1452">
        <f t="shared" si="460"/>
        <v>0</v>
      </c>
      <c r="BG841" s="1452">
        <f t="shared" si="461"/>
        <v>0</v>
      </c>
      <c r="BH841" s="1452">
        <f t="shared" si="462"/>
        <v>0</v>
      </c>
      <c r="BI841" s="1452">
        <f t="shared" si="479"/>
        <v>0</v>
      </c>
      <c r="BJ841" s="1452" t="str">
        <f t="shared" si="463"/>
        <v/>
      </c>
      <c r="BK841" s="1452" t="str">
        <f t="shared" si="464"/>
        <v/>
      </c>
      <c r="BL841" s="1452" t="str">
        <f t="shared" si="465"/>
        <v/>
      </c>
      <c r="BM841" s="1452" t="str">
        <f t="shared" si="466"/>
        <v/>
      </c>
      <c r="BN841" s="1452" t="str">
        <f t="shared" ca="1" si="467"/>
        <v/>
      </c>
      <c r="BO841" s="1452" t="str">
        <f t="shared" si="480"/>
        <v/>
      </c>
      <c r="BP841" s="1452" t="str">
        <f t="shared" si="468"/>
        <v/>
      </c>
      <c r="BQ841" s="1452" t="str">
        <f t="shared" si="469"/>
        <v/>
      </c>
      <c r="BR841" s="1452" t="str">
        <f t="shared" si="470"/>
        <v/>
      </c>
      <c r="BS841" s="1452" t="str">
        <f t="shared" si="471"/>
        <v/>
      </c>
      <c r="BT841" s="1452" t="str">
        <f t="shared" si="472"/>
        <v/>
      </c>
      <c r="BU841" s="1452" t="str">
        <f t="shared" si="473"/>
        <v/>
      </c>
      <c r="BV841" s="1452" t="str">
        <f t="shared" si="474"/>
        <v/>
      </c>
      <c r="BW841" s="1558">
        <f t="shared" ca="1" si="481"/>
        <v>0</v>
      </c>
    </row>
    <row r="842" spans="1:103" s="9" customFormat="1" ht="12.5">
      <c r="A842" s="1483" t="str">
        <f t="shared" si="475"/>
        <v>Public Health Wales Trust</v>
      </c>
      <c r="B842" s="1583"/>
      <c r="C842" s="1510"/>
      <c r="D842" s="1494"/>
      <c r="E842" s="1436"/>
      <c r="F842" s="1436"/>
      <c r="G842" s="1547">
        <f t="shared" si="476"/>
        <v>0</v>
      </c>
      <c r="H842" s="1484"/>
      <c r="I842" s="1547">
        <f t="shared" si="477"/>
        <v>0</v>
      </c>
      <c r="J842" s="1495"/>
      <c r="K842" s="1495"/>
      <c r="L842" s="1436"/>
      <c r="M842" s="1439"/>
      <c r="N842" s="1439"/>
      <c r="O842" s="1485"/>
      <c r="P842" s="1486"/>
      <c r="Q842" s="1486"/>
      <c r="R842" s="1487"/>
      <c r="S842" s="1444"/>
      <c r="T842" s="1444"/>
      <c r="U842" s="1444"/>
      <c r="V842" s="1488"/>
      <c r="W842" s="1488"/>
      <c r="X842" s="1488"/>
      <c r="Y842" s="1488"/>
      <c r="Z842" s="1488"/>
      <c r="AA842" s="1488"/>
      <c r="AB842" s="1488"/>
      <c r="AC842" s="1488"/>
      <c r="AD842" s="1488"/>
      <c r="AE842" s="1488"/>
      <c r="AF842" s="1488"/>
      <c r="AG842" s="1488"/>
      <c r="AH842" s="1451">
        <f t="shared" si="449"/>
        <v>0</v>
      </c>
      <c r="AI842" s="1488"/>
      <c r="AJ842" s="1488"/>
      <c r="AK842" s="1488"/>
      <c r="AL842" s="1488"/>
      <c r="AM842" s="1488"/>
      <c r="AN842" s="1488"/>
      <c r="AO842" s="1488"/>
      <c r="AP842" s="1488"/>
      <c r="AQ842" s="1488"/>
      <c r="AR842" s="1488"/>
      <c r="AS842" s="1488"/>
      <c r="AT842" s="1542"/>
      <c r="AU842" s="1599">
        <f t="shared" si="450"/>
        <v>0</v>
      </c>
      <c r="AV842" s="1544">
        <f t="shared" si="478"/>
        <v>0</v>
      </c>
      <c r="AW842" s="1452">
        <f t="shared" si="451"/>
        <v>0</v>
      </c>
      <c r="AX842" s="1452">
        <f t="shared" si="452"/>
        <v>0</v>
      </c>
      <c r="AY842" s="1452">
        <f t="shared" si="453"/>
        <v>0</v>
      </c>
      <c r="AZ842" s="1452">
        <f t="shared" si="454"/>
        <v>0</v>
      </c>
      <c r="BA842" s="1452">
        <f t="shared" si="455"/>
        <v>0</v>
      </c>
      <c r="BB842" s="1452">
        <f t="shared" si="456"/>
        <v>0</v>
      </c>
      <c r="BC842" s="1452">
        <f t="shared" si="457"/>
        <v>0</v>
      </c>
      <c r="BD842" s="1452">
        <f t="shared" si="458"/>
        <v>0</v>
      </c>
      <c r="BE842" s="1452">
        <f t="shared" si="459"/>
        <v>0</v>
      </c>
      <c r="BF842" s="1452">
        <f t="shared" si="460"/>
        <v>0</v>
      </c>
      <c r="BG842" s="1452">
        <f t="shared" si="461"/>
        <v>0</v>
      </c>
      <c r="BH842" s="1452">
        <f t="shared" si="462"/>
        <v>0</v>
      </c>
      <c r="BI842" s="1452">
        <f t="shared" si="479"/>
        <v>0</v>
      </c>
      <c r="BJ842" s="1452" t="str">
        <f t="shared" si="463"/>
        <v/>
      </c>
      <c r="BK842" s="1452" t="str">
        <f t="shared" si="464"/>
        <v/>
      </c>
      <c r="BL842" s="1452" t="str">
        <f t="shared" si="465"/>
        <v/>
      </c>
      <c r="BM842" s="1452" t="str">
        <f t="shared" si="466"/>
        <v/>
      </c>
      <c r="BN842" s="1452" t="str">
        <f t="shared" ca="1" si="467"/>
        <v/>
      </c>
      <c r="BO842" s="1452" t="str">
        <f t="shared" si="480"/>
        <v/>
      </c>
      <c r="BP842" s="1452" t="str">
        <f t="shared" si="468"/>
        <v/>
      </c>
      <c r="BQ842" s="1452" t="str">
        <f t="shared" si="469"/>
        <v/>
      </c>
      <c r="BR842" s="1452" t="str">
        <f t="shared" si="470"/>
        <v/>
      </c>
      <c r="BS842" s="1452" t="str">
        <f t="shared" si="471"/>
        <v/>
      </c>
      <c r="BT842" s="1452" t="str">
        <f t="shared" si="472"/>
        <v/>
      </c>
      <c r="BU842" s="1452" t="str">
        <f t="shared" si="473"/>
        <v/>
      </c>
      <c r="BV842" s="1452" t="str">
        <f t="shared" si="474"/>
        <v/>
      </c>
      <c r="BW842" s="1558">
        <f t="shared" ca="1" si="481"/>
        <v>0</v>
      </c>
    </row>
    <row r="843" spans="1:103" s="9" customFormat="1" ht="12.5">
      <c r="A843" s="1483" t="str">
        <f t="shared" si="475"/>
        <v>Public Health Wales Trust</v>
      </c>
      <c r="B843" s="1583"/>
      <c r="C843" s="1510"/>
      <c r="D843" s="1494"/>
      <c r="E843" s="1592"/>
      <c r="F843" s="1436"/>
      <c r="G843" s="1547">
        <f t="shared" si="476"/>
        <v>0</v>
      </c>
      <c r="H843" s="1484"/>
      <c r="I843" s="1547">
        <f t="shared" si="477"/>
        <v>0</v>
      </c>
      <c r="J843" s="1495"/>
      <c r="K843" s="1495"/>
      <c r="L843" s="1436"/>
      <c r="M843" s="1439"/>
      <c r="N843" s="1439"/>
      <c r="O843" s="1485"/>
      <c r="P843" s="1486"/>
      <c r="Q843" s="1486"/>
      <c r="R843" s="1487"/>
      <c r="S843" s="1444"/>
      <c r="T843" s="1444"/>
      <c r="U843" s="1444"/>
      <c r="V843" s="1488"/>
      <c r="W843" s="1488"/>
      <c r="X843" s="1488"/>
      <c r="Y843" s="1488"/>
      <c r="Z843" s="1488"/>
      <c r="AA843" s="1488"/>
      <c r="AB843" s="1488"/>
      <c r="AC843" s="1488"/>
      <c r="AD843" s="1488"/>
      <c r="AE843" s="1488"/>
      <c r="AF843" s="1488"/>
      <c r="AG843" s="1488"/>
      <c r="AH843" s="1451">
        <f t="shared" si="449"/>
        <v>0</v>
      </c>
      <c r="AI843" s="1488"/>
      <c r="AJ843" s="1488"/>
      <c r="AK843" s="1488"/>
      <c r="AL843" s="1488"/>
      <c r="AM843" s="1488"/>
      <c r="AN843" s="1488"/>
      <c r="AO843" s="1488"/>
      <c r="AP843" s="1488"/>
      <c r="AQ843" s="1488"/>
      <c r="AR843" s="1488"/>
      <c r="AS843" s="1488"/>
      <c r="AT843" s="1542"/>
      <c r="AU843" s="1599">
        <f t="shared" si="450"/>
        <v>0</v>
      </c>
      <c r="AV843" s="1544">
        <f t="shared" si="478"/>
        <v>0</v>
      </c>
      <c r="AW843" s="1452">
        <f t="shared" si="451"/>
        <v>0</v>
      </c>
      <c r="AX843" s="1452">
        <f t="shared" si="452"/>
        <v>0</v>
      </c>
      <c r="AY843" s="1452">
        <f t="shared" si="453"/>
        <v>0</v>
      </c>
      <c r="AZ843" s="1452">
        <f t="shared" si="454"/>
        <v>0</v>
      </c>
      <c r="BA843" s="1452">
        <f t="shared" si="455"/>
        <v>0</v>
      </c>
      <c r="BB843" s="1452">
        <f t="shared" si="456"/>
        <v>0</v>
      </c>
      <c r="BC843" s="1452">
        <f t="shared" si="457"/>
        <v>0</v>
      </c>
      <c r="BD843" s="1452">
        <f t="shared" si="458"/>
        <v>0</v>
      </c>
      <c r="BE843" s="1452">
        <f t="shared" si="459"/>
        <v>0</v>
      </c>
      <c r="BF843" s="1452">
        <f t="shared" si="460"/>
        <v>0</v>
      </c>
      <c r="BG843" s="1452">
        <f t="shared" si="461"/>
        <v>0</v>
      </c>
      <c r="BH843" s="1452">
        <f t="shared" si="462"/>
        <v>0</v>
      </c>
      <c r="BI843" s="1452">
        <f t="shared" si="479"/>
        <v>0</v>
      </c>
      <c r="BJ843" s="1452" t="str">
        <f t="shared" si="463"/>
        <v/>
      </c>
      <c r="BK843" s="1452" t="str">
        <f t="shared" si="464"/>
        <v/>
      </c>
      <c r="BL843" s="1452" t="str">
        <f t="shared" si="465"/>
        <v/>
      </c>
      <c r="BM843" s="1452" t="str">
        <f t="shared" si="466"/>
        <v/>
      </c>
      <c r="BN843" s="1452" t="str">
        <f t="shared" ca="1" si="467"/>
        <v/>
      </c>
      <c r="BO843" s="1452" t="str">
        <f t="shared" si="480"/>
        <v/>
      </c>
      <c r="BP843" s="1452" t="str">
        <f t="shared" si="468"/>
        <v/>
      </c>
      <c r="BQ843" s="1452" t="str">
        <f t="shared" si="469"/>
        <v/>
      </c>
      <c r="BR843" s="1452" t="str">
        <f t="shared" si="470"/>
        <v/>
      </c>
      <c r="BS843" s="1452" t="str">
        <f t="shared" si="471"/>
        <v/>
      </c>
      <c r="BT843" s="1452" t="str">
        <f t="shared" si="472"/>
        <v/>
      </c>
      <c r="BU843" s="1452" t="str">
        <f t="shared" si="473"/>
        <v/>
      </c>
      <c r="BV843" s="1452" t="str">
        <f t="shared" si="474"/>
        <v/>
      </c>
      <c r="BW843" s="1558">
        <f t="shared" ca="1" si="481"/>
        <v>0</v>
      </c>
      <c r="CY843" s="14"/>
    </row>
    <row r="844" spans="1:103" s="9" customFormat="1" ht="12.5">
      <c r="A844" s="1483" t="str">
        <f t="shared" si="475"/>
        <v>Public Health Wales Trust</v>
      </c>
      <c r="B844" s="1583"/>
      <c r="C844" s="1510"/>
      <c r="D844" s="1494"/>
      <c r="E844" s="1436"/>
      <c r="F844" s="1436"/>
      <c r="G844" s="1547">
        <f t="shared" si="476"/>
        <v>0</v>
      </c>
      <c r="H844" s="1484"/>
      <c r="I844" s="1547">
        <f t="shared" si="477"/>
        <v>0</v>
      </c>
      <c r="J844" s="1496"/>
      <c r="K844" s="1496"/>
      <c r="L844" s="1436"/>
      <c r="M844" s="1439"/>
      <c r="N844" s="1439"/>
      <c r="O844" s="1485"/>
      <c r="P844" s="1486"/>
      <c r="Q844" s="1486"/>
      <c r="R844" s="1487"/>
      <c r="S844" s="1444"/>
      <c r="T844" s="1444"/>
      <c r="U844" s="1444"/>
      <c r="V844" s="1488"/>
      <c r="W844" s="1488"/>
      <c r="X844" s="1488"/>
      <c r="Y844" s="1488"/>
      <c r="Z844" s="1488"/>
      <c r="AA844" s="1488"/>
      <c r="AB844" s="1488"/>
      <c r="AC844" s="1488"/>
      <c r="AD844" s="1488"/>
      <c r="AE844" s="1488"/>
      <c r="AF844" s="1488"/>
      <c r="AG844" s="1488"/>
      <c r="AH844" s="1451">
        <f t="shared" si="449"/>
        <v>0</v>
      </c>
      <c r="AI844" s="1488"/>
      <c r="AJ844" s="1488"/>
      <c r="AK844" s="1488"/>
      <c r="AL844" s="1488"/>
      <c r="AM844" s="1488"/>
      <c r="AN844" s="1488"/>
      <c r="AO844" s="1488"/>
      <c r="AP844" s="1488"/>
      <c r="AQ844" s="1488"/>
      <c r="AR844" s="1488"/>
      <c r="AS844" s="1488"/>
      <c r="AT844" s="1542"/>
      <c r="AU844" s="1599">
        <f t="shared" si="450"/>
        <v>0</v>
      </c>
      <c r="AV844" s="1544">
        <f t="shared" si="478"/>
        <v>0</v>
      </c>
      <c r="AW844" s="1452">
        <f t="shared" si="451"/>
        <v>0</v>
      </c>
      <c r="AX844" s="1452">
        <f t="shared" si="452"/>
        <v>0</v>
      </c>
      <c r="AY844" s="1452">
        <f t="shared" si="453"/>
        <v>0</v>
      </c>
      <c r="AZ844" s="1452">
        <f t="shared" si="454"/>
        <v>0</v>
      </c>
      <c r="BA844" s="1452">
        <f t="shared" si="455"/>
        <v>0</v>
      </c>
      <c r="BB844" s="1452">
        <f t="shared" si="456"/>
        <v>0</v>
      </c>
      <c r="BC844" s="1452">
        <f t="shared" si="457"/>
        <v>0</v>
      </c>
      <c r="BD844" s="1452">
        <f t="shared" si="458"/>
        <v>0</v>
      </c>
      <c r="BE844" s="1452">
        <f t="shared" si="459"/>
        <v>0</v>
      </c>
      <c r="BF844" s="1452">
        <f t="shared" si="460"/>
        <v>0</v>
      </c>
      <c r="BG844" s="1452">
        <f t="shared" si="461"/>
        <v>0</v>
      </c>
      <c r="BH844" s="1452">
        <f t="shared" si="462"/>
        <v>0</v>
      </c>
      <c r="BI844" s="1452">
        <f t="shared" si="479"/>
        <v>0</v>
      </c>
      <c r="BJ844" s="1452" t="str">
        <f t="shared" si="463"/>
        <v/>
      </c>
      <c r="BK844" s="1452" t="str">
        <f t="shared" si="464"/>
        <v/>
      </c>
      <c r="BL844" s="1452" t="str">
        <f t="shared" si="465"/>
        <v/>
      </c>
      <c r="BM844" s="1452" t="str">
        <f t="shared" si="466"/>
        <v/>
      </c>
      <c r="BN844" s="1452" t="str">
        <f t="shared" ca="1" si="467"/>
        <v/>
      </c>
      <c r="BO844" s="1452" t="str">
        <f t="shared" si="480"/>
        <v/>
      </c>
      <c r="BP844" s="1452" t="str">
        <f t="shared" si="468"/>
        <v/>
      </c>
      <c r="BQ844" s="1452" t="str">
        <f t="shared" si="469"/>
        <v/>
      </c>
      <c r="BR844" s="1452" t="str">
        <f t="shared" si="470"/>
        <v/>
      </c>
      <c r="BS844" s="1452" t="str">
        <f t="shared" si="471"/>
        <v/>
      </c>
      <c r="BT844" s="1452" t="str">
        <f t="shared" si="472"/>
        <v/>
      </c>
      <c r="BU844" s="1452" t="str">
        <f t="shared" si="473"/>
        <v/>
      </c>
      <c r="BV844" s="1452" t="str">
        <f t="shared" si="474"/>
        <v/>
      </c>
      <c r="BW844" s="1558">
        <f t="shared" ca="1" si="481"/>
        <v>0</v>
      </c>
      <c r="CY844" s="14"/>
    </row>
    <row r="845" spans="1:103" s="14" customFormat="1" ht="12.5">
      <c r="A845" s="1483" t="str">
        <f t="shared" si="475"/>
        <v>Public Health Wales Trust</v>
      </c>
      <c r="B845" s="1583"/>
      <c r="C845" s="1510"/>
      <c r="D845" s="1494"/>
      <c r="E845" s="1436"/>
      <c r="F845" s="1436"/>
      <c r="G845" s="1547">
        <f t="shared" si="476"/>
        <v>0</v>
      </c>
      <c r="H845" s="1484"/>
      <c r="I845" s="1547">
        <f t="shared" si="477"/>
        <v>0</v>
      </c>
      <c r="J845" s="1496"/>
      <c r="K845" s="1496"/>
      <c r="L845" s="1436"/>
      <c r="M845" s="1439"/>
      <c r="N845" s="1439"/>
      <c r="O845" s="1485"/>
      <c r="P845" s="1486"/>
      <c r="Q845" s="1486"/>
      <c r="R845" s="1487"/>
      <c r="S845" s="1444"/>
      <c r="T845" s="1444"/>
      <c r="U845" s="1444"/>
      <c r="V845" s="1488"/>
      <c r="W845" s="1488"/>
      <c r="X845" s="1488"/>
      <c r="Y845" s="1488"/>
      <c r="Z845" s="1488"/>
      <c r="AA845" s="1488"/>
      <c r="AB845" s="1488"/>
      <c r="AC845" s="1488"/>
      <c r="AD845" s="1488"/>
      <c r="AE845" s="1488"/>
      <c r="AF845" s="1488"/>
      <c r="AG845" s="1488"/>
      <c r="AH845" s="1451">
        <f t="shared" si="449"/>
        <v>0</v>
      </c>
      <c r="AI845" s="1488"/>
      <c r="AJ845" s="1488"/>
      <c r="AK845" s="1488"/>
      <c r="AL845" s="1488"/>
      <c r="AM845" s="1488"/>
      <c r="AN845" s="1488"/>
      <c r="AO845" s="1488"/>
      <c r="AP845" s="1488"/>
      <c r="AQ845" s="1488"/>
      <c r="AR845" s="1488"/>
      <c r="AS845" s="1488"/>
      <c r="AT845" s="1542"/>
      <c r="AU845" s="1599">
        <f t="shared" si="450"/>
        <v>0</v>
      </c>
      <c r="AV845" s="1544">
        <f t="shared" si="478"/>
        <v>0</v>
      </c>
      <c r="AW845" s="1452">
        <f t="shared" si="451"/>
        <v>0</v>
      </c>
      <c r="AX845" s="1452">
        <f t="shared" si="452"/>
        <v>0</v>
      </c>
      <c r="AY845" s="1452">
        <f t="shared" si="453"/>
        <v>0</v>
      </c>
      <c r="AZ845" s="1452">
        <f t="shared" si="454"/>
        <v>0</v>
      </c>
      <c r="BA845" s="1452">
        <f t="shared" si="455"/>
        <v>0</v>
      </c>
      <c r="BB845" s="1452">
        <f t="shared" si="456"/>
        <v>0</v>
      </c>
      <c r="BC845" s="1452">
        <f t="shared" si="457"/>
        <v>0</v>
      </c>
      <c r="BD845" s="1452">
        <f t="shared" si="458"/>
        <v>0</v>
      </c>
      <c r="BE845" s="1452">
        <f t="shared" si="459"/>
        <v>0</v>
      </c>
      <c r="BF845" s="1452">
        <f t="shared" si="460"/>
        <v>0</v>
      </c>
      <c r="BG845" s="1452">
        <f t="shared" si="461"/>
        <v>0</v>
      </c>
      <c r="BH845" s="1452">
        <f t="shared" si="462"/>
        <v>0</v>
      </c>
      <c r="BI845" s="1452">
        <f t="shared" si="479"/>
        <v>0</v>
      </c>
      <c r="BJ845" s="1452" t="str">
        <f t="shared" si="463"/>
        <v/>
      </c>
      <c r="BK845" s="1452" t="str">
        <f t="shared" si="464"/>
        <v/>
      </c>
      <c r="BL845" s="1452" t="str">
        <f t="shared" si="465"/>
        <v/>
      </c>
      <c r="BM845" s="1452" t="str">
        <f t="shared" si="466"/>
        <v/>
      </c>
      <c r="BN845" s="1452" t="str">
        <f t="shared" ca="1" si="467"/>
        <v/>
      </c>
      <c r="BO845" s="1452" t="str">
        <f t="shared" si="480"/>
        <v/>
      </c>
      <c r="BP845" s="1452" t="str">
        <f t="shared" si="468"/>
        <v/>
      </c>
      <c r="BQ845" s="1452" t="str">
        <f t="shared" si="469"/>
        <v/>
      </c>
      <c r="BR845" s="1452" t="str">
        <f t="shared" si="470"/>
        <v/>
      </c>
      <c r="BS845" s="1452" t="str">
        <f t="shared" si="471"/>
        <v/>
      </c>
      <c r="BT845" s="1452" t="str">
        <f t="shared" si="472"/>
        <v/>
      </c>
      <c r="BU845" s="1452" t="str">
        <f t="shared" si="473"/>
        <v/>
      </c>
      <c r="BV845" s="1452" t="str">
        <f t="shared" si="474"/>
        <v/>
      </c>
      <c r="BW845" s="1558">
        <f t="shared" ca="1" si="481"/>
        <v>0</v>
      </c>
      <c r="CI845" s="9"/>
      <c r="CY845" s="9"/>
    </row>
    <row r="846" spans="1:103" s="14" customFormat="1" ht="12.5">
      <c r="A846" s="1483" t="str">
        <f t="shared" si="475"/>
        <v>Public Health Wales Trust</v>
      </c>
      <c r="B846" s="1583"/>
      <c r="C846" s="1510"/>
      <c r="D846" s="1494"/>
      <c r="E846" s="1436"/>
      <c r="F846" s="1436"/>
      <c r="G846" s="1547">
        <f t="shared" si="476"/>
        <v>0</v>
      </c>
      <c r="H846" s="1484"/>
      <c r="I846" s="1547">
        <f t="shared" si="477"/>
        <v>0</v>
      </c>
      <c r="J846" s="1496"/>
      <c r="K846" s="1496"/>
      <c r="L846" s="1436"/>
      <c r="M846" s="1439"/>
      <c r="N846" s="1439"/>
      <c r="O846" s="1485"/>
      <c r="P846" s="1486"/>
      <c r="Q846" s="1486"/>
      <c r="R846" s="1487"/>
      <c r="S846" s="1444"/>
      <c r="T846" s="1444"/>
      <c r="U846" s="1444"/>
      <c r="V846" s="1488"/>
      <c r="W846" s="1488"/>
      <c r="X846" s="1488"/>
      <c r="Y846" s="1488"/>
      <c r="Z846" s="1488"/>
      <c r="AA846" s="1488"/>
      <c r="AB846" s="1488"/>
      <c r="AC846" s="1488"/>
      <c r="AD846" s="1488"/>
      <c r="AE846" s="1488"/>
      <c r="AF846" s="1488"/>
      <c r="AG846" s="1488"/>
      <c r="AH846" s="1451">
        <f t="shared" si="449"/>
        <v>0</v>
      </c>
      <c r="AI846" s="1488"/>
      <c r="AJ846" s="1488"/>
      <c r="AK846" s="1488"/>
      <c r="AL846" s="1488"/>
      <c r="AM846" s="1488"/>
      <c r="AN846" s="1488"/>
      <c r="AO846" s="1488"/>
      <c r="AP846" s="1488"/>
      <c r="AQ846" s="1488"/>
      <c r="AR846" s="1488"/>
      <c r="AS846" s="1488"/>
      <c r="AT846" s="1542"/>
      <c r="AU846" s="1599">
        <f t="shared" si="450"/>
        <v>0</v>
      </c>
      <c r="AV846" s="1544">
        <f t="shared" si="478"/>
        <v>0</v>
      </c>
      <c r="AW846" s="1452">
        <f t="shared" si="451"/>
        <v>0</v>
      </c>
      <c r="AX846" s="1452">
        <f t="shared" si="452"/>
        <v>0</v>
      </c>
      <c r="AY846" s="1452">
        <f t="shared" si="453"/>
        <v>0</v>
      </c>
      <c r="AZ846" s="1452">
        <f t="shared" si="454"/>
        <v>0</v>
      </c>
      <c r="BA846" s="1452">
        <f t="shared" si="455"/>
        <v>0</v>
      </c>
      <c r="BB846" s="1452">
        <f t="shared" si="456"/>
        <v>0</v>
      </c>
      <c r="BC846" s="1452">
        <f t="shared" si="457"/>
        <v>0</v>
      </c>
      <c r="BD846" s="1452">
        <f t="shared" si="458"/>
        <v>0</v>
      </c>
      <c r="BE846" s="1452">
        <f t="shared" si="459"/>
        <v>0</v>
      </c>
      <c r="BF846" s="1452">
        <f t="shared" si="460"/>
        <v>0</v>
      </c>
      <c r="BG846" s="1452">
        <f t="shared" si="461"/>
        <v>0</v>
      </c>
      <c r="BH846" s="1452">
        <f t="shared" si="462"/>
        <v>0</v>
      </c>
      <c r="BI846" s="1452">
        <f t="shared" si="479"/>
        <v>0</v>
      </c>
      <c r="BJ846" s="1452" t="str">
        <f t="shared" si="463"/>
        <v/>
      </c>
      <c r="BK846" s="1452" t="str">
        <f t="shared" si="464"/>
        <v/>
      </c>
      <c r="BL846" s="1452" t="str">
        <f t="shared" si="465"/>
        <v/>
      </c>
      <c r="BM846" s="1452" t="str">
        <f t="shared" si="466"/>
        <v/>
      </c>
      <c r="BN846" s="1452" t="str">
        <f t="shared" ca="1" si="467"/>
        <v/>
      </c>
      <c r="BO846" s="1452" t="str">
        <f t="shared" si="480"/>
        <v/>
      </c>
      <c r="BP846" s="1452" t="str">
        <f t="shared" si="468"/>
        <v/>
      </c>
      <c r="BQ846" s="1452" t="str">
        <f t="shared" si="469"/>
        <v/>
      </c>
      <c r="BR846" s="1452" t="str">
        <f t="shared" si="470"/>
        <v/>
      </c>
      <c r="BS846" s="1452" t="str">
        <f t="shared" si="471"/>
        <v/>
      </c>
      <c r="BT846" s="1452" t="str">
        <f t="shared" si="472"/>
        <v/>
      </c>
      <c r="BU846" s="1452" t="str">
        <f t="shared" si="473"/>
        <v/>
      </c>
      <c r="BV846" s="1452" t="str">
        <f t="shared" si="474"/>
        <v/>
      </c>
      <c r="BW846" s="1558">
        <f t="shared" ca="1" si="481"/>
        <v>0</v>
      </c>
      <c r="CY846" s="9"/>
    </row>
    <row r="847" spans="1:103" s="9" customFormat="1" ht="12.5">
      <c r="A847" s="1483" t="str">
        <f t="shared" si="475"/>
        <v>Public Health Wales Trust</v>
      </c>
      <c r="B847" s="1583"/>
      <c r="C847" s="1510"/>
      <c r="D847" s="1494"/>
      <c r="E847" s="1436"/>
      <c r="F847" s="1436"/>
      <c r="G847" s="1547">
        <f t="shared" si="476"/>
        <v>0</v>
      </c>
      <c r="H847" s="1484"/>
      <c r="I847" s="1547">
        <f t="shared" si="477"/>
        <v>0</v>
      </c>
      <c r="J847" s="1495"/>
      <c r="K847" s="1495"/>
      <c r="L847" s="1436"/>
      <c r="M847" s="1439"/>
      <c r="N847" s="1439"/>
      <c r="O847" s="1485"/>
      <c r="P847" s="1486"/>
      <c r="Q847" s="1486"/>
      <c r="R847" s="1487"/>
      <c r="S847" s="1444"/>
      <c r="T847" s="1444"/>
      <c r="U847" s="1444"/>
      <c r="V847" s="1488"/>
      <c r="W847" s="1488"/>
      <c r="X847" s="1488"/>
      <c r="Y847" s="1488"/>
      <c r="Z847" s="1488"/>
      <c r="AA847" s="1488"/>
      <c r="AB847" s="1488"/>
      <c r="AC847" s="1488"/>
      <c r="AD847" s="1488"/>
      <c r="AE847" s="1488"/>
      <c r="AF847" s="1488"/>
      <c r="AG847" s="1488"/>
      <c r="AH847" s="1451">
        <f t="shared" si="449"/>
        <v>0</v>
      </c>
      <c r="AI847" s="1488"/>
      <c r="AJ847" s="1488"/>
      <c r="AK847" s="1488"/>
      <c r="AL847" s="1488"/>
      <c r="AM847" s="1488"/>
      <c r="AN847" s="1488"/>
      <c r="AO847" s="1488"/>
      <c r="AP847" s="1488"/>
      <c r="AQ847" s="1488"/>
      <c r="AR847" s="1488"/>
      <c r="AS847" s="1488"/>
      <c r="AT847" s="1542"/>
      <c r="AU847" s="1599">
        <f t="shared" si="450"/>
        <v>0</v>
      </c>
      <c r="AV847" s="1544">
        <f t="shared" si="478"/>
        <v>0</v>
      </c>
      <c r="AW847" s="1452">
        <f t="shared" si="451"/>
        <v>0</v>
      </c>
      <c r="AX847" s="1452">
        <f t="shared" si="452"/>
        <v>0</v>
      </c>
      <c r="AY847" s="1452">
        <f t="shared" si="453"/>
        <v>0</v>
      </c>
      <c r="AZ847" s="1452">
        <f t="shared" si="454"/>
        <v>0</v>
      </c>
      <c r="BA847" s="1452">
        <f t="shared" si="455"/>
        <v>0</v>
      </c>
      <c r="BB847" s="1452">
        <f t="shared" si="456"/>
        <v>0</v>
      </c>
      <c r="BC847" s="1452">
        <f t="shared" si="457"/>
        <v>0</v>
      </c>
      <c r="BD847" s="1452">
        <f t="shared" si="458"/>
        <v>0</v>
      </c>
      <c r="BE847" s="1452">
        <f t="shared" si="459"/>
        <v>0</v>
      </c>
      <c r="BF847" s="1452">
        <f t="shared" si="460"/>
        <v>0</v>
      </c>
      <c r="BG847" s="1452">
        <f t="shared" si="461"/>
        <v>0</v>
      </c>
      <c r="BH847" s="1452">
        <f t="shared" si="462"/>
        <v>0</v>
      </c>
      <c r="BI847" s="1452">
        <f t="shared" si="479"/>
        <v>0</v>
      </c>
      <c r="BJ847" s="1452" t="str">
        <f t="shared" si="463"/>
        <v/>
      </c>
      <c r="BK847" s="1452" t="str">
        <f t="shared" si="464"/>
        <v/>
      </c>
      <c r="BL847" s="1452" t="str">
        <f t="shared" si="465"/>
        <v/>
      </c>
      <c r="BM847" s="1452" t="str">
        <f t="shared" si="466"/>
        <v/>
      </c>
      <c r="BN847" s="1452" t="str">
        <f t="shared" ca="1" si="467"/>
        <v/>
      </c>
      <c r="BO847" s="1452" t="str">
        <f t="shared" si="480"/>
        <v/>
      </c>
      <c r="BP847" s="1452" t="str">
        <f t="shared" si="468"/>
        <v/>
      </c>
      <c r="BQ847" s="1452" t="str">
        <f t="shared" si="469"/>
        <v/>
      </c>
      <c r="BR847" s="1452" t="str">
        <f t="shared" si="470"/>
        <v/>
      </c>
      <c r="BS847" s="1452" t="str">
        <f t="shared" si="471"/>
        <v/>
      </c>
      <c r="BT847" s="1452" t="str">
        <f t="shared" si="472"/>
        <v/>
      </c>
      <c r="BU847" s="1452" t="str">
        <f t="shared" si="473"/>
        <v/>
      </c>
      <c r="BV847" s="1452" t="str">
        <f t="shared" si="474"/>
        <v/>
      </c>
      <c r="BW847" s="1558">
        <f t="shared" ca="1" si="481"/>
        <v>0</v>
      </c>
      <c r="CI847" s="14"/>
    </row>
    <row r="848" spans="1:103" s="9" customFormat="1" ht="12.5">
      <c r="A848" s="1483" t="str">
        <f t="shared" si="475"/>
        <v>Public Health Wales Trust</v>
      </c>
      <c r="B848" s="1583"/>
      <c r="C848" s="1510"/>
      <c r="D848" s="1494"/>
      <c r="E848" s="1436"/>
      <c r="F848" s="1436"/>
      <c r="G848" s="1547">
        <f t="shared" si="476"/>
        <v>0</v>
      </c>
      <c r="H848" s="1484"/>
      <c r="I848" s="1547">
        <f t="shared" si="477"/>
        <v>0</v>
      </c>
      <c r="J848" s="1497"/>
      <c r="K848" s="1497"/>
      <c r="L848" s="1436"/>
      <c r="M848" s="1439"/>
      <c r="N848" s="1439"/>
      <c r="O848" s="1485"/>
      <c r="P848" s="1486"/>
      <c r="Q848" s="1486"/>
      <c r="R848" s="1487"/>
      <c r="S848" s="1444"/>
      <c r="T848" s="1444"/>
      <c r="U848" s="1444"/>
      <c r="V848" s="1488"/>
      <c r="W848" s="1488"/>
      <c r="X848" s="1488"/>
      <c r="Y848" s="1488"/>
      <c r="Z848" s="1488"/>
      <c r="AA848" s="1488"/>
      <c r="AB848" s="1488"/>
      <c r="AC848" s="1488"/>
      <c r="AD848" s="1488"/>
      <c r="AE848" s="1488"/>
      <c r="AF848" s="1488"/>
      <c r="AG848" s="1488"/>
      <c r="AH848" s="1451">
        <f t="shared" si="449"/>
        <v>0</v>
      </c>
      <c r="AI848" s="1488"/>
      <c r="AJ848" s="1488"/>
      <c r="AK848" s="1488"/>
      <c r="AL848" s="1488"/>
      <c r="AM848" s="1488"/>
      <c r="AN848" s="1488"/>
      <c r="AO848" s="1488"/>
      <c r="AP848" s="1488"/>
      <c r="AQ848" s="1488"/>
      <c r="AR848" s="1488"/>
      <c r="AS848" s="1488"/>
      <c r="AT848" s="1542"/>
      <c r="AU848" s="1599">
        <f t="shared" si="450"/>
        <v>0</v>
      </c>
      <c r="AV848" s="1544">
        <f t="shared" si="478"/>
        <v>0</v>
      </c>
      <c r="AW848" s="1452">
        <f t="shared" si="451"/>
        <v>0</v>
      </c>
      <c r="AX848" s="1452">
        <f t="shared" si="452"/>
        <v>0</v>
      </c>
      <c r="AY848" s="1452">
        <f t="shared" si="453"/>
        <v>0</v>
      </c>
      <c r="AZ848" s="1452">
        <f t="shared" si="454"/>
        <v>0</v>
      </c>
      <c r="BA848" s="1452">
        <f t="shared" si="455"/>
        <v>0</v>
      </c>
      <c r="BB848" s="1452">
        <f t="shared" si="456"/>
        <v>0</v>
      </c>
      <c r="BC848" s="1452">
        <f t="shared" si="457"/>
        <v>0</v>
      </c>
      <c r="BD848" s="1452">
        <f t="shared" si="458"/>
        <v>0</v>
      </c>
      <c r="BE848" s="1452">
        <f t="shared" si="459"/>
        <v>0</v>
      </c>
      <c r="BF848" s="1452">
        <f t="shared" si="460"/>
        <v>0</v>
      </c>
      <c r="BG848" s="1452">
        <f t="shared" si="461"/>
        <v>0</v>
      </c>
      <c r="BH848" s="1452">
        <f t="shared" si="462"/>
        <v>0</v>
      </c>
      <c r="BI848" s="1452">
        <f t="shared" si="479"/>
        <v>0</v>
      </c>
      <c r="BJ848" s="1452" t="str">
        <f t="shared" si="463"/>
        <v/>
      </c>
      <c r="BK848" s="1452" t="str">
        <f t="shared" si="464"/>
        <v/>
      </c>
      <c r="BL848" s="1452" t="str">
        <f t="shared" si="465"/>
        <v/>
      </c>
      <c r="BM848" s="1452" t="str">
        <f t="shared" si="466"/>
        <v/>
      </c>
      <c r="BN848" s="1452" t="str">
        <f t="shared" ca="1" si="467"/>
        <v/>
      </c>
      <c r="BO848" s="1452" t="str">
        <f t="shared" si="480"/>
        <v/>
      </c>
      <c r="BP848" s="1452" t="str">
        <f t="shared" si="468"/>
        <v/>
      </c>
      <c r="BQ848" s="1452" t="str">
        <f t="shared" si="469"/>
        <v/>
      </c>
      <c r="BR848" s="1452" t="str">
        <f t="shared" si="470"/>
        <v/>
      </c>
      <c r="BS848" s="1452" t="str">
        <f t="shared" si="471"/>
        <v/>
      </c>
      <c r="BT848" s="1452" t="str">
        <f t="shared" si="472"/>
        <v/>
      </c>
      <c r="BU848" s="1452" t="str">
        <f t="shared" si="473"/>
        <v/>
      </c>
      <c r="BV848" s="1452" t="str">
        <f t="shared" si="474"/>
        <v/>
      </c>
      <c r="BW848" s="1558">
        <f t="shared" ca="1" si="481"/>
        <v>0</v>
      </c>
    </row>
    <row r="849" spans="1:75" s="9" customFormat="1" ht="12.5">
      <c r="A849" s="1483" t="str">
        <f t="shared" si="475"/>
        <v>Public Health Wales Trust</v>
      </c>
      <c r="B849" s="1583"/>
      <c r="C849" s="1510"/>
      <c r="D849" s="1494"/>
      <c r="E849" s="1436"/>
      <c r="F849" s="1436"/>
      <c r="G849" s="1547">
        <f t="shared" si="476"/>
        <v>0</v>
      </c>
      <c r="H849" s="1484"/>
      <c r="I849" s="1547">
        <f t="shared" si="477"/>
        <v>0</v>
      </c>
      <c r="J849" s="1497"/>
      <c r="K849" s="1497"/>
      <c r="L849" s="1436"/>
      <c r="M849" s="1439"/>
      <c r="N849" s="1439"/>
      <c r="O849" s="1485"/>
      <c r="P849" s="1486"/>
      <c r="Q849" s="1486"/>
      <c r="R849" s="1487"/>
      <c r="S849" s="1444"/>
      <c r="T849" s="1444"/>
      <c r="U849" s="1444"/>
      <c r="V849" s="1488"/>
      <c r="W849" s="1488"/>
      <c r="X849" s="1488"/>
      <c r="Y849" s="1488"/>
      <c r="Z849" s="1488"/>
      <c r="AA849" s="1488"/>
      <c r="AB849" s="1488"/>
      <c r="AC849" s="1488"/>
      <c r="AD849" s="1488"/>
      <c r="AE849" s="1488"/>
      <c r="AF849" s="1488"/>
      <c r="AG849" s="1488"/>
      <c r="AH849" s="1451">
        <f t="shared" si="449"/>
        <v>0</v>
      </c>
      <c r="AI849" s="1488"/>
      <c r="AJ849" s="1488"/>
      <c r="AK849" s="1488"/>
      <c r="AL849" s="1488"/>
      <c r="AM849" s="1488"/>
      <c r="AN849" s="1488"/>
      <c r="AO849" s="1488"/>
      <c r="AP849" s="1488"/>
      <c r="AQ849" s="1488"/>
      <c r="AR849" s="1488"/>
      <c r="AS849" s="1488"/>
      <c r="AT849" s="1542"/>
      <c r="AU849" s="1599">
        <f t="shared" si="450"/>
        <v>0</v>
      </c>
      <c r="AV849" s="1544">
        <f t="shared" si="478"/>
        <v>0</v>
      </c>
      <c r="AW849" s="1452">
        <f t="shared" si="451"/>
        <v>0</v>
      </c>
      <c r="AX849" s="1452">
        <f t="shared" si="452"/>
        <v>0</v>
      </c>
      <c r="AY849" s="1452">
        <f t="shared" si="453"/>
        <v>0</v>
      </c>
      <c r="AZ849" s="1452">
        <f t="shared" si="454"/>
        <v>0</v>
      </c>
      <c r="BA849" s="1452">
        <f t="shared" si="455"/>
        <v>0</v>
      </c>
      <c r="BB849" s="1452">
        <f t="shared" si="456"/>
        <v>0</v>
      </c>
      <c r="BC849" s="1452">
        <f t="shared" si="457"/>
        <v>0</v>
      </c>
      <c r="BD849" s="1452">
        <f t="shared" si="458"/>
        <v>0</v>
      </c>
      <c r="BE849" s="1452">
        <f t="shared" si="459"/>
        <v>0</v>
      </c>
      <c r="BF849" s="1452">
        <f t="shared" si="460"/>
        <v>0</v>
      </c>
      <c r="BG849" s="1452">
        <f t="shared" si="461"/>
        <v>0</v>
      </c>
      <c r="BH849" s="1452">
        <f t="shared" si="462"/>
        <v>0</v>
      </c>
      <c r="BI849" s="1452">
        <f t="shared" si="479"/>
        <v>0</v>
      </c>
      <c r="BJ849" s="1452" t="str">
        <f t="shared" si="463"/>
        <v/>
      </c>
      <c r="BK849" s="1452" t="str">
        <f t="shared" si="464"/>
        <v/>
      </c>
      <c r="BL849" s="1452" t="str">
        <f t="shared" si="465"/>
        <v/>
      </c>
      <c r="BM849" s="1452" t="str">
        <f t="shared" si="466"/>
        <v/>
      </c>
      <c r="BN849" s="1452" t="str">
        <f t="shared" ca="1" si="467"/>
        <v/>
      </c>
      <c r="BO849" s="1452" t="str">
        <f t="shared" si="480"/>
        <v/>
      </c>
      <c r="BP849" s="1452" t="str">
        <f t="shared" si="468"/>
        <v/>
      </c>
      <c r="BQ849" s="1452" t="str">
        <f t="shared" si="469"/>
        <v/>
      </c>
      <c r="BR849" s="1452" t="str">
        <f t="shared" si="470"/>
        <v/>
      </c>
      <c r="BS849" s="1452" t="str">
        <f t="shared" si="471"/>
        <v/>
      </c>
      <c r="BT849" s="1452" t="str">
        <f t="shared" si="472"/>
        <v/>
      </c>
      <c r="BU849" s="1452" t="str">
        <f t="shared" si="473"/>
        <v/>
      </c>
      <c r="BV849" s="1452" t="str">
        <f t="shared" si="474"/>
        <v/>
      </c>
      <c r="BW849" s="1558">
        <f t="shared" ca="1" si="481"/>
        <v>0</v>
      </c>
    </row>
    <row r="850" spans="1:75" s="9" customFormat="1" ht="12.5">
      <c r="A850" s="1483" t="str">
        <f t="shared" si="475"/>
        <v>Public Health Wales Trust</v>
      </c>
      <c r="B850" s="1583"/>
      <c r="C850" s="1510"/>
      <c r="D850" s="1494"/>
      <c r="E850" s="1436"/>
      <c r="F850" s="1436"/>
      <c r="G850" s="1547">
        <f t="shared" si="476"/>
        <v>0</v>
      </c>
      <c r="H850" s="1484"/>
      <c r="I850" s="1547">
        <f t="shared" si="477"/>
        <v>0</v>
      </c>
      <c r="J850" s="1497"/>
      <c r="K850" s="1497"/>
      <c r="L850" s="1436"/>
      <c r="M850" s="1439"/>
      <c r="N850" s="1439"/>
      <c r="O850" s="1485"/>
      <c r="P850" s="1486"/>
      <c r="Q850" s="1486"/>
      <c r="R850" s="1487"/>
      <c r="S850" s="1444"/>
      <c r="T850" s="1444"/>
      <c r="U850" s="1444"/>
      <c r="V850" s="1488"/>
      <c r="W850" s="1488"/>
      <c r="X850" s="1488"/>
      <c r="Y850" s="1488"/>
      <c r="Z850" s="1488"/>
      <c r="AA850" s="1488"/>
      <c r="AB850" s="1488"/>
      <c r="AC850" s="1488"/>
      <c r="AD850" s="1488"/>
      <c r="AE850" s="1488"/>
      <c r="AF850" s="1488"/>
      <c r="AG850" s="1488"/>
      <c r="AH850" s="1451">
        <f t="shared" si="449"/>
        <v>0</v>
      </c>
      <c r="AI850" s="1488"/>
      <c r="AJ850" s="1488"/>
      <c r="AK850" s="1488"/>
      <c r="AL850" s="1488"/>
      <c r="AM850" s="1488"/>
      <c r="AN850" s="1488"/>
      <c r="AO850" s="1488"/>
      <c r="AP850" s="1488"/>
      <c r="AQ850" s="1488"/>
      <c r="AR850" s="1488"/>
      <c r="AS850" s="1488"/>
      <c r="AT850" s="1542"/>
      <c r="AU850" s="1599">
        <f t="shared" si="450"/>
        <v>0</v>
      </c>
      <c r="AV850" s="1544">
        <f t="shared" si="478"/>
        <v>0</v>
      </c>
      <c r="AW850" s="1452">
        <f t="shared" si="451"/>
        <v>0</v>
      </c>
      <c r="AX850" s="1452">
        <f t="shared" si="452"/>
        <v>0</v>
      </c>
      <c r="AY850" s="1452">
        <f t="shared" si="453"/>
        <v>0</v>
      </c>
      <c r="AZ850" s="1452">
        <f t="shared" si="454"/>
        <v>0</v>
      </c>
      <c r="BA850" s="1452">
        <f t="shared" si="455"/>
        <v>0</v>
      </c>
      <c r="BB850" s="1452">
        <f t="shared" si="456"/>
        <v>0</v>
      </c>
      <c r="BC850" s="1452">
        <f t="shared" si="457"/>
        <v>0</v>
      </c>
      <c r="BD850" s="1452">
        <f t="shared" si="458"/>
        <v>0</v>
      </c>
      <c r="BE850" s="1452">
        <f t="shared" si="459"/>
        <v>0</v>
      </c>
      <c r="BF850" s="1452">
        <f t="shared" si="460"/>
        <v>0</v>
      </c>
      <c r="BG850" s="1452">
        <f t="shared" si="461"/>
        <v>0</v>
      </c>
      <c r="BH850" s="1452">
        <f t="shared" si="462"/>
        <v>0</v>
      </c>
      <c r="BI850" s="1452">
        <f t="shared" si="479"/>
        <v>0</v>
      </c>
      <c r="BJ850" s="1452" t="str">
        <f t="shared" si="463"/>
        <v/>
      </c>
      <c r="BK850" s="1452" t="str">
        <f t="shared" si="464"/>
        <v/>
      </c>
      <c r="BL850" s="1452" t="str">
        <f t="shared" si="465"/>
        <v/>
      </c>
      <c r="BM850" s="1452" t="str">
        <f t="shared" si="466"/>
        <v/>
      </c>
      <c r="BN850" s="1452" t="str">
        <f t="shared" ca="1" si="467"/>
        <v/>
      </c>
      <c r="BO850" s="1452" t="str">
        <f t="shared" si="480"/>
        <v/>
      </c>
      <c r="BP850" s="1452" t="str">
        <f t="shared" si="468"/>
        <v/>
      </c>
      <c r="BQ850" s="1452" t="str">
        <f t="shared" si="469"/>
        <v/>
      </c>
      <c r="BR850" s="1452" t="str">
        <f t="shared" si="470"/>
        <v/>
      </c>
      <c r="BS850" s="1452" t="str">
        <f t="shared" si="471"/>
        <v/>
      </c>
      <c r="BT850" s="1452" t="str">
        <f t="shared" si="472"/>
        <v/>
      </c>
      <c r="BU850" s="1452" t="str">
        <f t="shared" si="473"/>
        <v/>
      </c>
      <c r="BV850" s="1452" t="str">
        <f t="shared" si="474"/>
        <v/>
      </c>
      <c r="BW850" s="1558">
        <f t="shared" ca="1" si="481"/>
        <v>0</v>
      </c>
    </row>
    <row r="851" spans="1:75" s="9" customFormat="1" ht="12.5">
      <c r="A851" s="1483" t="str">
        <f t="shared" si="475"/>
        <v>Public Health Wales Trust</v>
      </c>
      <c r="B851" s="1583"/>
      <c r="C851" s="1510"/>
      <c r="D851" s="1494"/>
      <c r="E851" s="1436"/>
      <c r="F851" s="1436"/>
      <c r="G851" s="1547">
        <f t="shared" si="476"/>
        <v>0</v>
      </c>
      <c r="H851" s="1484"/>
      <c r="I851" s="1547">
        <f t="shared" si="477"/>
        <v>0</v>
      </c>
      <c r="J851" s="1496"/>
      <c r="K851" s="1496"/>
      <c r="L851" s="1436"/>
      <c r="M851" s="1439"/>
      <c r="N851" s="1439"/>
      <c r="O851" s="1485"/>
      <c r="P851" s="1486"/>
      <c r="Q851" s="1486"/>
      <c r="R851" s="1487"/>
      <c r="S851" s="1444"/>
      <c r="T851" s="1444"/>
      <c r="U851" s="1444"/>
      <c r="V851" s="1488"/>
      <c r="W851" s="1488"/>
      <c r="X851" s="1488"/>
      <c r="Y851" s="1488"/>
      <c r="Z851" s="1488"/>
      <c r="AA851" s="1488"/>
      <c r="AB851" s="1488"/>
      <c r="AC851" s="1488"/>
      <c r="AD851" s="1488"/>
      <c r="AE851" s="1488"/>
      <c r="AF851" s="1488"/>
      <c r="AG851" s="1488"/>
      <c r="AH851" s="1451">
        <f t="shared" si="449"/>
        <v>0</v>
      </c>
      <c r="AI851" s="1488"/>
      <c r="AJ851" s="1488"/>
      <c r="AK851" s="1488"/>
      <c r="AL851" s="1488"/>
      <c r="AM851" s="1488"/>
      <c r="AN851" s="1488"/>
      <c r="AO851" s="1488"/>
      <c r="AP851" s="1488"/>
      <c r="AQ851" s="1488"/>
      <c r="AR851" s="1488"/>
      <c r="AS851" s="1488"/>
      <c r="AT851" s="1542"/>
      <c r="AU851" s="1599">
        <f t="shared" si="450"/>
        <v>0</v>
      </c>
      <c r="AV851" s="1544">
        <f t="shared" si="478"/>
        <v>0</v>
      </c>
      <c r="AW851" s="1452">
        <f t="shared" si="451"/>
        <v>0</v>
      </c>
      <c r="AX851" s="1452">
        <f t="shared" si="452"/>
        <v>0</v>
      </c>
      <c r="AY851" s="1452">
        <f t="shared" si="453"/>
        <v>0</v>
      </c>
      <c r="AZ851" s="1452">
        <f t="shared" si="454"/>
        <v>0</v>
      </c>
      <c r="BA851" s="1452">
        <f t="shared" si="455"/>
        <v>0</v>
      </c>
      <c r="BB851" s="1452">
        <f t="shared" si="456"/>
        <v>0</v>
      </c>
      <c r="BC851" s="1452">
        <f t="shared" si="457"/>
        <v>0</v>
      </c>
      <c r="BD851" s="1452">
        <f t="shared" si="458"/>
        <v>0</v>
      </c>
      <c r="BE851" s="1452">
        <f t="shared" si="459"/>
        <v>0</v>
      </c>
      <c r="BF851" s="1452">
        <f t="shared" si="460"/>
        <v>0</v>
      </c>
      <c r="BG851" s="1452">
        <f t="shared" si="461"/>
        <v>0</v>
      </c>
      <c r="BH851" s="1452">
        <f t="shared" si="462"/>
        <v>0</v>
      </c>
      <c r="BI851" s="1452">
        <f t="shared" si="479"/>
        <v>0</v>
      </c>
      <c r="BJ851" s="1452" t="str">
        <f t="shared" si="463"/>
        <v/>
      </c>
      <c r="BK851" s="1452" t="str">
        <f t="shared" si="464"/>
        <v/>
      </c>
      <c r="BL851" s="1452" t="str">
        <f t="shared" si="465"/>
        <v/>
      </c>
      <c r="BM851" s="1452" t="str">
        <f t="shared" si="466"/>
        <v/>
      </c>
      <c r="BN851" s="1452" t="str">
        <f t="shared" ca="1" si="467"/>
        <v/>
      </c>
      <c r="BO851" s="1452" t="str">
        <f t="shared" si="480"/>
        <v/>
      </c>
      <c r="BP851" s="1452" t="str">
        <f t="shared" si="468"/>
        <v/>
      </c>
      <c r="BQ851" s="1452" t="str">
        <f t="shared" si="469"/>
        <v/>
      </c>
      <c r="BR851" s="1452" t="str">
        <f t="shared" si="470"/>
        <v/>
      </c>
      <c r="BS851" s="1452" t="str">
        <f t="shared" si="471"/>
        <v/>
      </c>
      <c r="BT851" s="1452" t="str">
        <f t="shared" si="472"/>
        <v/>
      </c>
      <c r="BU851" s="1452" t="str">
        <f t="shared" si="473"/>
        <v/>
      </c>
      <c r="BV851" s="1452" t="str">
        <f t="shared" si="474"/>
        <v/>
      </c>
      <c r="BW851" s="1558">
        <f t="shared" ca="1" si="481"/>
        <v>0</v>
      </c>
    </row>
    <row r="852" spans="1:75" s="9" customFormat="1" ht="12.5">
      <c r="A852" s="1483" t="str">
        <f t="shared" si="475"/>
        <v>Public Health Wales Trust</v>
      </c>
      <c r="B852" s="1583"/>
      <c r="C852" s="1510"/>
      <c r="D852" s="1494"/>
      <c r="E852" s="1436"/>
      <c r="F852" s="1436"/>
      <c r="G852" s="1547">
        <f t="shared" si="476"/>
        <v>0</v>
      </c>
      <c r="H852" s="1484"/>
      <c r="I852" s="1547">
        <f t="shared" si="477"/>
        <v>0</v>
      </c>
      <c r="J852" s="1495"/>
      <c r="K852" s="1495"/>
      <c r="L852" s="1436"/>
      <c r="M852" s="1439"/>
      <c r="N852" s="1439"/>
      <c r="O852" s="1485"/>
      <c r="P852" s="1486"/>
      <c r="Q852" s="1486"/>
      <c r="R852" s="1487"/>
      <c r="S852" s="1444"/>
      <c r="T852" s="1444"/>
      <c r="U852" s="1444"/>
      <c r="V852" s="1488"/>
      <c r="W852" s="1488"/>
      <c r="X852" s="1488"/>
      <c r="Y852" s="1488"/>
      <c r="Z852" s="1488"/>
      <c r="AA852" s="1488"/>
      <c r="AB852" s="1488"/>
      <c r="AC852" s="1488"/>
      <c r="AD852" s="1488"/>
      <c r="AE852" s="1488"/>
      <c r="AF852" s="1488"/>
      <c r="AG852" s="1488"/>
      <c r="AH852" s="1451">
        <f t="shared" si="449"/>
        <v>0</v>
      </c>
      <c r="AI852" s="1488"/>
      <c r="AJ852" s="1488"/>
      <c r="AK852" s="1488"/>
      <c r="AL852" s="1488"/>
      <c r="AM852" s="1488"/>
      <c r="AN852" s="1488"/>
      <c r="AO852" s="1488"/>
      <c r="AP852" s="1488"/>
      <c r="AQ852" s="1488"/>
      <c r="AR852" s="1488"/>
      <c r="AS852" s="1488"/>
      <c r="AT852" s="1542"/>
      <c r="AU852" s="1599">
        <f t="shared" si="450"/>
        <v>0</v>
      </c>
      <c r="AV852" s="1544">
        <f t="shared" si="478"/>
        <v>0</v>
      </c>
      <c r="AW852" s="1452">
        <f t="shared" si="451"/>
        <v>0</v>
      </c>
      <c r="AX852" s="1452">
        <f t="shared" si="452"/>
        <v>0</v>
      </c>
      <c r="AY852" s="1452">
        <f t="shared" si="453"/>
        <v>0</v>
      </c>
      <c r="AZ852" s="1452">
        <f t="shared" si="454"/>
        <v>0</v>
      </c>
      <c r="BA852" s="1452">
        <f t="shared" si="455"/>
        <v>0</v>
      </c>
      <c r="BB852" s="1452">
        <f t="shared" si="456"/>
        <v>0</v>
      </c>
      <c r="BC852" s="1452">
        <f t="shared" si="457"/>
        <v>0</v>
      </c>
      <c r="BD852" s="1452">
        <f t="shared" si="458"/>
        <v>0</v>
      </c>
      <c r="BE852" s="1452">
        <f t="shared" si="459"/>
        <v>0</v>
      </c>
      <c r="BF852" s="1452">
        <f t="shared" si="460"/>
        <v>0</v>
      </c>
      <c r="BG852" s="1452">
        <f t="shared" si="461"/>
        <v>0</v>
      </c>
      <c r="BH852" s="1452">
        <f t="shared" si="462"/>
        <v>0</v>
      </c>
      <c r="BI852" s="1452">
        <f t="shared" si="479"/>
        <v>0</v>
      </c>
      <c r="BJ852" s="1452" t="str">
        <f t="shared" si="463"/>
        <v/>
      </c>
      <c r="BK852" s="1452" t="str">
        <f t="shared" si="464"/>
        <v/>
      </c>
      <c r="BL852" s="1452" t="str">
        <f t="shared" si="465"/>
        <v/>
      </c>
      <c r="BM852" s="1452" t="str">
        <f t="shared" si="466"/>
        <v/>
      </c>
      <c r="BN852" s="1452" t="str">
        <f t="shared" ca="1" si="467"/>
        <v/>
      </c>
      <c r="BO852" s="1452" t="str">
        <f t="shared" si="480"/>
        <v/>
      </c>
      <c r="BP852" s="1452" t="str">
        <f t="shared" si="468"/>
        <v/>
      </c>
      <c r="BQ852" s="1452" t="str">
        <f t="shared" si="469"/>
        <v/>
      </c>
      <c r="BR852" s="1452" t="str">
        <f t="shared" si="470"/>
        <v/>
      </c>
      <c r="BS852" s="1452" t="str">
        <f t="shared" si="471"/>
        <v/>
      </c>
      <c r="BT852" s="1452" t="str">
        <f t="shared" si="472"/>
        <v/>
      </c>
      <c r="BU852" s="1452" t="str">
        <f t="shared" si="473"/>
        <v/>
      </c>
      <c r="BV852" s="1452" t="str">
        <f t="shared" si="474"/>
        <v/>
      </c>
      <c r="BW852" s="1558">
        <f t="shared" ca="1" si="481"/>
        <v>0</v>
      </c>
    </row>
    <row r="853" spans="1:75" s="9" customFormat="1" ht="12.5">
      <c r="A853" s="1483" t="str">
        <f t="shared" si="475"/>
        <v>Public Health Wales Trust</v>
      </c>
      <c r="B853" s="1583"/>
      <c r="C853" s="1510"/>
      <c r="D853" s="1494"/>
      <c r="E853" s="1436"/>
      <c r="F853" s="1436"/>
      <c r="G853" s="1547">
        <f t="shared" si="476"/>
        <v>0</v>
      </c>
      <c r="H853" s="1484"/>
      <c r="I853" s="1547">
        <f t="shared" si="477"/>
        <v>0</v>
      </c>
      <c r="J853" s="1495"/>
      <c r="K853" s="1495"/>
      <c r="L853" s="1436"/>
      <c r="M853" s="1439"/>
      <c r="N853" s="1439"/>
      <c r="O853" s="1485"/>
      <c r="P853" s="1486"/>
      <c r="Q853" s="1486"/>
      <c r="R853" s="1487"/>
      <c r="S853" s="1444"/>
      <c r="T853" s="1444"/>
      <c r="U853" s="1444"/>
      <c r="V853" s="1488"/>
      <c r="W853" s="1488"/>
      <c r="X853" s="1488"/>
      <c r="Y853" s="1488"/>
      <c r="Z853" s="1488"/>
      <c r="AA853" s="1488"/>
      <c r="AB853" s="1488"/>
      <c r="AC853" s="1488"/>
      <c r="AD853" s="1488"/>
      <c r="AE853" s="1488"/>
      <c r="AF853" s="1488"/>
      <c r="AG853" s="1488"/>
      <c r="AH853" s="1451">
        <f t="shared" si="449"/>
        <v>0</v>
      </c>
      <c r="AI853" s="1488"/>
      <c r="AJ853" s="1488"/>
      <c r="AK853" s="1488"/>
      <c r="AL853" s="1488"/>
      <c r="AM853" s="1488"/>
      <c r="AN853" s="1488"/>
      <c r="AO853" s="1488"/>
      <c r="AP853" s="1488"/>
      <c r="AQ853" s="1488"/>
      <c r="AR853" s="1488"/>
      <c r="AS853" s="1488"/>
      <c r="AT853" s="1542"/>
      <c r="AU853" s="1599">
        <f t="shared" si="450"/>
        <v>0</v>
      </c>
      <c r="AV853" s="1544">
        <f t="shared" si="478"/>
        <v>0</v>
      </c>
      <c r="AW853" s="1452">
        <f t="shared" si="451"/>
        <v>0</v>
      </c>
      <c r="AX853" s="1452">
        <f t="shared" si="452"/>
        <v>0</v>
      </c>
      <c r="AY853" s="1452">
        <f t="shared" si="453"/>
        <v>0</v>
      </c>
      <c r="AZ853" s="1452">
        <f t="shared" si="454"/>
        <v>0</v>
      </c>
      <c r="BA853" s="1452">
        <f t="shared" si="455"/>
        <v>0</v>
      </c>
      <c r="BB853" s="1452">
        <f t="shared" si="456"/>
        <v>0</v>
      </c>
      <c r="BC853" s="1452">
        <f t="shared" si="457"/>
        <v>0</v>
      </c>
      <c r="BD853" s="1452">
        <f t="shared" si="458"/>
        <v>0</v>
      </c>
      <c r="BE853" s="1452">
        <f t="shared" si="459"/>
        <v>0</v>
      </c>
      <c r="BF853" s="1452">
        <f t="shared" si="460"/>
        <v>0</v>
      </c>
      <c r="BG853" s="1452">
        <f t="shared" si="461"/>
        <v>0</v>
      </c>
      <c r="BH853" s="1452">
        <f t="shared" si="462"/>
        <v>0</v>
      </c>
      <c r="BI853" s="1452">
        <f t="shared" si="479"/>
        <v>0</v>
      </c>
      <c r="BJ853" s="1452" t="str">
        <f t="shared" si="463"/>
        <v/>
      </c>
      <c r="BK853" s="1452" t="str">
        <f t="shared" si="464"/>
        <v/>
      </c>
      <c r="BL853" s="1452" t="str">
        <f t="shared" si="465"/>
        <v/>
      </c>
      <c r="BM853" s="1452" t="str">
        <f t="shared" si="466"/>
        <v/>
      </c>
      <c r="BN853" s="1452" t="str">
        <f t="shared" ca="1" si="467"/>
        <v/>
      </c>
      <c r="BO853" s="1452" t="str">
        <f t="shared" si="480"/>
        <v/>
      </c>
      <c r="BP853" s="1452" t="str">
        <f t="shared" si="468"/>
        <v/>
      </c>
      <c r="BQ853" s="1452" t="str">
        <f t="shared" si="469"/>
        <v/>
      </c>
      <c r="BR853" s="1452" t="str">
        <f t="shared" si="470"/>
        <v/>
      </c>
      <c r="BS853" s="1452" t="str">
        <f t="shared" si="471"/>
        <v/>
      </c>
      <c r="BT853" s="1452" t="str">
        <f t="shared" si="472"/>
        <v/>
      </c>
      <c r="BU853" s="1452" t="str">
        <f t="shared" si="473"/>
        <v/>
      </c>
      <c r="BV853" s="1452" t="str">
        <f t="shared" si="474"/>
        <v/>
      </c>
      <c r="BW853" s="1558">
        <f t="shared" ca="1" si="481"/>
        <v>0</v>
      </c>
    </row>
    <row r="854" spans="1:75" s="9" customFormat="1" ht="12.5">
      <c r="A854" s="1483" t="str">
        <f t="shared" si="475"/>
        <v>Public Health Wales Trust</v>
      </c>
      <c r="B854" s="1583"/>
      <c r="C854" s="1510"/>
      <c r="D854" s="1494"/>
      <c r="E854" s="1436"/>
      <c r="F854" s="1436"/>
      <c r="G854" s="1547">
        <f t="shared" si="476"/>
        <v>0</v>
      </c>
      <c r="H854" s="1484"/>
      <c r="I854" s="1547">
        <f t="shared" si="477"/>
        <v>0</v>
      </c>
      <c r="J854" s="1495"/>
      <c r="K854" s="1495"/>
      <c r="L854" s="1436"/>
      <c r="M854" s="1439"/>
      <c r="N854" s="1439"/>
      <c r="O854" s="1485"/>
      <c r="P854" s="1486"/>
      <c r="Q854" s="1486"/>
      <c r="R854" s="1487"/>
      <c r="S854" s="1444"/>
      <c r="T854" s="1444"/>
      <c r="U854" s="1444"/>
      <c r="V854" s="1488"/>
      <c r="W854" s="1488"/>
      <c r="X854" s="1488"/>
      <c r="Y854" s="1488"/>
      <c r="Z854" s="1488"/>
      <c r="AA854" s="1488"/>
      <c r="AB854" s="1488"/>
      <c r="AC854" s="1488"/>
      <c r="AD854" s="1488"/>
      <c r="AE854" s="1488"/>
      <c r="AF854" s="1488"/>
      <c r="AG854" s="1488"/>
      <c r="AH854" s="1451">
        <f t="shared" si="449"/>
        <v>0</v>
      </c>
      <c r="AI854" s="1488"/>
      <c r="AJ854" s="1488"/>
      <c r="AK854" s="1488"/>
      <c r="AL854" s="1488"/>
      <c r="AM854" s="1488"/>
      <c r="AN854" s="1488"/>
      <c r="AO854" s="1488"/>
      <c r="AP854" s="1488"/>
      <c r="AQ854" s="1488"/>
      <c r="AR854" s="1488"/>
      <c r="AS854" s="1488"/>
      <c r="AT854" s="1542"/>
      <c r="AU854" s="1599">
        <f t="shared" si="450"/>
        <v>0</v>
      </c>
      <c r="AV854" s="1544">
        <f t="shared" si="478"/>
        <v>0</v>
      </c>
      <c r="AW854" s="1452">
        <f t="shared" si="451"/>
        <v>0</v>
      </c>
      <c r="AX854" s="1452">
        <f t="shared" si="452"/>
        <v>0</v>
      </c>
      <c r="AY854" s="1452">
        <f t="shared" si="453"/>
        <v>0</v>
      </c>
      <c r="AZ854" s="1452">
        <f t="shared" si="454"/>
        <v>0</v>
      </c>
      <c r="BA854" s="1452">
        <f t="shared" si="455"/>
        <v>0</v>
      </c>
      <c r="BB854" s="1452">
        <f t="shared" si="456"/>
        <v>0</v>
      </c>
      <c r="BC854" s="1452">
        <f t="shared" si="457"/>
        <v>0</v>
      </c>
      <c r="BD854" s="1452">
        <f t="shared" si="458"/>
        <v>0</v>
      </c>
      <c r="BE854" s="1452">
        <f t="shared" si="459"/>
        <v>0</v>
      </c>
      <c r="BF854" s="1452">
        <f t="shared" si="460"/>
        <v>0</v>
      </c>
      <c r="BG854" s="1452">
        <f t="shared" si="461"/>
        <v>0</v>
      </c>
      <c r="BH854" s="1452">
        <f t="shared" si="462"/>
        <v>0</v>
      </c>
      <c r="BI854" s="1452">
        <f t="shared" si="479"/>
        <v>0</v>
      </c>
      <c r="BJ854" s="1452" t="str">
        <f t="shared" si="463"/>
        <v/>
      </c>
      <c r="BK854" s="1452" t="str">
        <f t="shared" si="464"/>
        <v/>
      </c>
      <c r="BL854" s="1452" t="str">
        <f t="shared" si="465"/>
        <v/>
      </c>
      <c r="BM854" s="1452" t="str">
        <f t="shared" si="466"/>
        <v/>
      </c>
      <c r="BN854" s="1452" t="str">
        <f t="shared" ca="1" si="467"/>
        <v/>
      </c>
      <c r="BO854" s="1452" t="str">
        <f t="shared" si="480"/>
        <v/>
      </c>
      <c r="BP854" s="1452" t="str">
        <f t="shared" si="468"/>
        <v/>
      </c>
      <c r="BQ854" s="1452" t="str">
        <f t="shared" si="469"/>
        <v/>
      </c>
      <c r="BR854" s="1452" t="str">
        <f t="shared" si="470"/>
        <v/>
      </c>
      <c r="BS854" s="1452" t="str">
        <f t="shared" si="471"/>
        <v/>
      </c>
      <c r="BT854" s="1452" t="str">
        <f t="shared" si="472"/>
        <v/>
      </c>
      <c r="BU854" s="1452" t="str">
        <f t="shared" si="473"/>
        <v/>
      </c>
      <c r="BV854" s="1452" t="str">
        <f t="shared" si="474"/>
        <v/>
      </c>
      <c r="BW854" s="1558">
        <f t="shared" ca="1" si="481"/>
        <v>0</v>
      </c>
    </row>
    <row r="855" spans="1:75" s="9" customFormat="1" ht="12.5">
      <c r="A855" s="1483" t="str">
        <f t="shared" si="475"/>
        <v>Public Health Wales Trust</v>
      </c>
      <c r="B855" s="1583"/>
      <c r="C855" s="1510"/>
      <c r="D855" s="1494"/>
      <c r="E855" s="1592"/>
      <c r="F855" s="1436"/>
      <c r="G855" s="1547">
        <f t="shared" si="476"/>
        <v>0</v>
      </c>
      <c r="H855" s="1484"/>
      <c r="I855" s="1547">
        <f t="shared" si="477"/>
        <v>0</v>
      </c>
      <c r="J855" s="1496"/>
      <c r="K855" s="1496"/>
      <c r="L855" s="1436"/>
      <c r="M855" s="1439"/>
      <c r="N855" s="1439"/>
      <c r="O855" s="1485"/>
      <c r="P855" s="1486"/>
      <c r="Q855" s="1486"/>
      <c r="R855" s="1487"/>
      <c r="S855" s="1444"/>
      <c r="T855" s="1444"/>
      <c r="U855" s="1444"/>
      <c r="V855" s="1488"/>
      <c r="W855" s="1488"/>
      <c r="X855" s="1488"/>
      <c r="Y855" s="1488"/>
      <c r="Z855" s="1488"/>
      <c r="AA855" s="1488"/>
      <c r="AB855" s="1488"/>
      <c r="AC855" s="1488"/>
      <c r="AD855" s="1488"/>
      <c r="AE855" s="1488"/>
      <c r="AF855" s="1488"/>
      <c r="AG855" s="1488"/>
      <c r="AH855" s="1451">
        <f t="shared" si="449"/>
        <v>0</v>
      </c>
      <c r="AI855" s="1488"/>
      <c r="AJ855" s="1488"/>
      <c r="AK855" s="1488"/>
      <c r="AL855" s="1488"/>
      <c r="AM855" s="1488"/>
      <c r="AN855" s="1488"/>
      <c r="AO855" s="1488"/>
      <c r="AP855" s="1488"/>
      <c r="AQ855" s="1488"/>
      <c r="AR855" s="1488"/>
      <c r="AS855" s="1488"/>
      <c r="AT855" s="1542"/>
      <c r="AU855" s="1599">
        <f t="shared" si="450"/>
        <v>0</v>
      </c>
      <c r="AV855" s="1544">
        <f t="shared" si="478"/>
        <v>0</v>
      </c>
      <c r="AW855" s="1452">
        <f t="shared" si="451"/>
        <v>0</v>
      </c>
      <c r="AX855" s="1452">
        <f t="shared" si="452"/>
        <v>0</v>
      </c>
      <c r="AY855" s="1452">
        <f t="shared" si="453"/>
        <v>0</v>
      </c>
      <c r="AZ855" s="1452">
        <f t="shared" si="454"/>
        <v>0</v>
      </c>
      <c r="BA855" s="1452">
        <f t="shared" si="455"/>
        <v>0</v>
      </c>
      <c r="BB855" s="1452">
        <f t="shared" si="456"/>
        <v>0</v>
      </c>
      <c r="BC855" s="1452">
        <f t="shared" si="457"/>
        <v>0</v>
      </c>
      <c r="BD855" s="1452">
        <f t="shared" si="458"/>
        <v>0</v>
      </c>
      <c r="BE855" s="1452">
        <f t="shared" si="459"/>
        <v>0</v>
      </c>
      <c r="BF855" s="1452">
        <f t="shared" si="460"/>
        <v>0</v>
      </c>
      <c r="BG855" s="1452">
        <f t="shared" si="461"/>
        <v>0</v>
      </c>
      <c r="BH855" s="1452">
        <f t="shared" si="462"/>
        <v>0</v>
      </c>
      <c r="BI855" s="1452">
        <f t="shared" si="479"/>
        <v>0</v>
      </c>
      <c r="BJ855" s="1452" t="str">
        <f t="shared" si="463"/>
        <v/>
      </c>
      <c r="BK855" s="1452" t="str">
        <f t="shared" si="464"/>
        <v/>
      </c>
      <c r="BL855" s="1452" t="str">
        <f t="shared" si="465"/>
        <v/>
      </c>
      <c r="BM855" s="1452" t="str">
        <f t="shared" si="466"/>
        <v/>
      </c>
      <c r="BN855" s="1452" t="str">
        <f t="shared" ca="1" si="467"/>
        <v/>
      </c>
      <c r="BO855" s="1452" t="str">
        <f t="shared" si="480"/>
        <v/>
      </c>
      <c r="BP855" s="1452" t="str">
        <f t="shared" si="468"/>
        <v/>
      </c>
      <c r="BQ855" s="1452" t="str">
        <f t="shared" si="469"/>
        <v/>
      </c>
      <c r="BR855" s="1452" t="str">
        <f t="shared" si="470"/>
        <v/>
      </c>
      <c r="BS855" s="1452" t="str">
        <f t="shared" si="471"/>
        <v/>
      </c>
      <c r="BT855" s="1452" t="str">
        <f t="shared" si="472"/>
        <v/>
      </c>
      <c r="BU855" s="1452" t="str">
        <f t="shared" si="473"/>
        <v/>
      </c>
      <c r="BV855" s="1452" t="str">
        <f t="shared" si="474"/>
        <v/>
      </c>
      <c r="BW855" s="1558">
        <f t="shared" ca="1" si="481"/>
        <v>0</v>
      </c>
    </row>
    <row r="856" spans="1:75" s="9" customFormat="1" ht="12.5">
      <c r="A856" s="1483" t="str">
        <f t="shared" si="475"/>
        <v>Public Health Wales Trust</v>
      </c>
      <c r="B856" s="1583"/>
      <c r="C856" s="1510"/>
      <c r="D856" s="1494"/>
      <c r="E856" s="1592"/>
      <c r="F856" s="1436"/>
      <c r="G856" s="1547">
        <f t="shared" si="476"/>
        <v>0</v>
      </c>
      <c r="H856" s="1484"/>
      <c r="I856" s="1547">
        <f t="shared" si="477"/>
        <v>0</v>
      </c>
      <c r="J856" s="1497"/>
      <c r="K856" s="1497"/>
      <c r="L856" s="1436"/>
      <c r="M856" s="1439"/>
      <c r="N856" s="1439"/>
      <c r="O856" s="1485"/>
      <c r="P856" s="1486"/>
      <c r="Q856" s="1486"/>
      <c r="R856" s="1487"/>
      <c r="S856" s="1444"/>
      <c r="T856" s="1444"/>
      <c r="U856" s="1444"/>
      <c r="V856" s="1488"/>
      <c r="W856" s="1488"/>
      <c r="X856" s="1488"/>
      <c r="Y856" s="1488"/>
      <c r="Z856" s="1488"/>
      <c r="AA856" s="1488"/>
      <c r="AB856" s="1488"/>
      <c r="AC856" s="1488"/>
      <c r="AD856" s="1488"/>
      <c r="AE856" s="1488"/>
      <c r="AF856" s="1488"/>
      <c r="AG856" s="1488"/>
      <c r="AH856" s="1451">
        <f t="shared" si="449"/>
        <v>0</v>
      </c>
      <c r="AI856" s="1488"/>
      <c r="AJ856" s="1488"/>
      <c r="AK856" s="1488"/>
      <c r="AL856" s="1488"/>
      <c r="AM856" s="1488"/>
      <c r="AN856" s="1488"/>
      <c r="AO856" s="1488"/>
      <c r="AP856" s="1488"/>
      <c r="AQ856" s="1488"/>
      <c r="AR856" s="1488"/>
      <c r="AS856" s="1488"/>
      <c r="AT856" s="1542"/>
      <c r="AU856" s="1599">
        <f t="shared" si="450"/>
        <v>0</v>
      </c>
      <c r="AV856" s="1544">
        <f t="shared" si="478"/>
        <v>0</v>
      </c>
      <c r="AW856" s="1452">
        <f t="shared" si="451"/>
        <v>0</v>
      </c>
      <c r="AX856" s="1452">
        <f t="shared" si="452"/>
        <v>0</v>
      </c>
      <c r="AY856" s="1452">
        <f t="shared" si="453"/>
        <v>0</v>
      </c>
      <c r="AZ856" s="1452">
        <f t="shared" si="454"/>
        <v>0</v>
      </c>
      <c r="BA856" s="1452">
        <f t="shared" si="455"/>
        <v>0</v>
      </c>
      <c r="BB856" s="1452">
        <f t="shared" si="456"/>
        <v>0</v>
      </c>
      <c r="BC856" s="1452">
        <f t="shared" si="457"/>
        <v>0</v>
      </c>
      <c r="BD856" s="1452">
        <f t="shared" si="458"/>
        <v>0</v>
      </c>
      <c r="BE856" s="1452">
        <f t="shared" si="459"/>
        <v>0</v>
      </c>
      <c r="BF856" s="1452">
        <f t="shared" si="460"/>
        <v>0</v>
      </c>
      <c r="BG856" s="1452">
        <f t="shared" si="461"/>
        <v>0</v>
      </c>
      <c r="BH856" s="1452">
        <f t="shared" si="462"/>
        <v>0</v>
      </c>
      <c r="BI856" s="1452">
        <f t="shared" si="479"/>
        <v>0</v>
      </c>
      <c r="BJ856" s="1452" t="str">
        <f t="shared" si="463"/>
        <v/>
      </c>
      <c r="BK856" s="1452" t="str">
        <f t="shared" si="464"/>
        <v/>
      </c>
      <c r="BL856" s="1452" t="str">
        <f t="shared" si="465"/>
        <v/>
      </c>
      <c r="BM856" s="1452" t="str">
        <f t="shared" si="466"/>
        <v/>
      </c>
      <c r="BN856" s="1452" t="str">
        <f t="shared" ca="1" si="467"/>
        <v/>
      </c>
      <c r="BO856" s="1452" t="str">
        <f t="shared" si="480"/>
        <v/>
      </c>
      <c r="BP856" s="1452" t="str">
        <f t="shared" si="468"/>
        <v/>
      </c>
      <c r="BQ856" s="1452" t="str">
        <f t="shared" si="469"/>
        <v/>
      </c>
      <c r="BR856" s="1452" t="str">
        <f t="shared" si="470"/>
        <v/>
      </c>
      <c r="BS856" s="1452" t="str">
        <f t="shared" si="471"/>
        <v/>
      </c>
      <c r="BT856" s="1452" t="str">
        <f t="shared" si="472"/>
        <v/>
      </c>
      <c r="BU856" s="1452" t="str">
        <f t="shared" si="473"/>
        <v/>
      </c>
      <c r="BV856" s="1452" t="str">
        <f t="shared" si="474"/>
        <v/>
      </c>
      <c r="BW856" s="1558">
        <f t="shared" ca="1" si="481"/>
        <v>0</v>
      </c>
    </row>
    <row r="857" spans="1:75" s="9" customFormat="1" ht="12.5">
      <c r="A857" s="1483" t="str">
        <f t="shared" si="475"/>
        <v>Public Health Wales Trust</v>
      </c>
      <c r="B857" s="1583"/>
      <c r="C857" s="1510"/>
      <c r="D857" s="1494"/>
      <c r="E857" s="1592"/>
      <c r="F857" s="1436"/>
      <c r="G857" s="1547">
        <f t="shared" si="476"/>
        <v>0</v>
      </c>
      <c r="H857" s="1484"/>
      <c r="I857" s="1547">
        <f t="shared" si="477"/>
        <v>0</v>
      </c>
      <c r="J857" s="1497"/>
      <c r="K857" s="1497"/>
      <c r="L857" s="1436"/>
      <c r="M857" s="1439"/>
      <c r="N857" s="1439"/>
      <c r="O857" s="1485"/>
      <c r="P857" s="1486"/>
      <c r="Q857" s="1486"/>
      <c r="R857" s="1487"/>
      <c r="S857" s="1444"/>
      <c r="T857" s="1444"/>
      <c r="U857" s="1444"/>
      <c r="V857" s="1488"/>
      <c r="W857" s="1488"/>
      <c r="X857" s="1488"/>
      <c r="Y857" s="1488"/>
      <c r="Z857" s="1488"/>
      <c r="AA857" s="1488"/>
      <c r="AB857" s="1488"/>
      <c r="AC857" s="1488"/>
      <c r="AD857" s="1488"/>
      <c r="AE857" s="1488"/>
      <c r="AF857" s="1488"/>
      <c r="AG857" s="1488"/>
      <c r="AH857" s="1451">
        <f t="shared" si="449"/>
        <v>0</v>
      </c>
      <c r="AI857" s="1488"/>
      <c r="AJ857" s="1488"/>
      <c r="AK857" s="1488"/>
      <c r="AL857" s="1488"/>
      <c r="AM857" s="1488"/>
      <c r="AN857" s="1488"/>
      <c r="AO857" s="1488"/>
      <c r="AP857" s="1488"/>
      <c r="AQ857" s="1488"/>
      <c r="AR857" s="1488"/>
      <c r="AS857" s="1488"/>
      <c r="AT857" s="1542"/>
      <c r="AU857" s="1599">
        <f t="shared" si="450"/>
        <v>0</v>
      </c>
      <c r="AV857" s="1544">
        <f t="shared" si="478"/>
        <v>0</v>
      </c>
      <c r="AW857" s="1452">
        <f t="shared" si="451"/>
        <v>0</v>
      </c>
      <c r="AX857" s="1452">
        <f t="shared" si="452"/>
        <v>0</v>
      </c>
      <c r="AY857" s="1452">
        <f t="shared" si="453"/>
        <v>0</v>
      </c>
      <c r="AZ857" s="1452">
        <f t="shared" si="454"/>
        <v>0</v>
      </c>
      <c r="BA857" s="1452">
        <f t="shared" si="455"/>
        <v>0</v>
      </c>
      <c r="BB857" s="1452">
        <f t="shared" si="456"/>
        <v>0</v>
      </c>
      <c r="BC857" s="1452">
        <f t="shared" si="457"/>
        <v>0</v>
      </c>
      <c r="BD857" s="1452">
        <f t="shared" si="458"/>
        <v>0</v>
      </c>
      <c r="BE857" s="1452">
        <f t="shared" si="459"/>
        <v>0</v>
      </c>
      <c r="BF857" s="1452">
        <f t="shared" si="460"/>
        <v>0</v>
      </c>
      <c r="BG857" s="1452">
        <f t="shared" si="461"/>
        <v>0</v>
      </c>
      <c r="BH857" s="1452">
        <f t="shared" si="462"/>
        <v>0</v>
      </c>
      <c r="BI857" s="1452">
        <f t="shared" si="479"/>
        <v>0</v>
      </c>
      <c r="BJ857" s="1452" t="str">
        <f t="shared" si="463"/>
        <v/>
      </c>
      <c r="BK857" s="1452" t="str">
        <f t="shared" si="464"/>
        <v/>
      </c>
      <c r="BL857" s="1452" t="str">
        <f t="shared" si="465"/>
        <v/>
      </c>
      <c r="BM857" s="1452" t="str">
        <f t="shared" si="466"/>
        <v/>
      </c>
      <c r="BN857" s="1452" t="str">
        <f t="shared" ca="1" si="467"/>
        <v/>
      </c>
      <c r="BO857" s="1452" t="str">
        <f t="shared" si="480"/>
        <v/>
      </c>
      <c r="BP857" s="1452" t="str">
        <f t="shared" si="468"/>
        <v/>
      </c>
      <c r="BQ857" s="1452" t="str">
        <f t="shared" si="469"/>
        <v/>
      </c>
      <c r="BR857" s="1452" t="str">
        <f t="shared" si="470"/>
        <v/>
      </c>
      <c r="BS857" s="1452" t="str">
        <f t="shared" si="471"/>
        <v/>
      </c>
      <c r="BT857" s="1452" t="str">
        <f t="shared" si="472"/>
        <v/>
      </c>
      <c r="BU857" s="1452" t="str">
        <f t="shared" si="473"/>
        <v/>
      </c>
      <c r="BV857" s="1452" t="str">
        <f t="shared" si="474"/>
        <v/>
      </c>
      <c r="BW857" s="1558">
        <f t="shared" ca="1" si="481"/>
        <v>0</v>
      </c>
    </row>
    <row r="858" spans="1:75" s="9" customFormat="1" ht="12.5">
      <c r="A858" s="1483" t="str">
        <f t="shared" si="475"/>
        <v>Public Health Wales Trust</v>
      </c>
      <c r="B858" s="1583"/>
      <c r="C858" s="1510"/>
      <c r="D858" s="1498"/>
      <c r="E858" s="1592"/>
      <c r="F858" s="1436"/>
      <c r="G858" s="1547">
        <f t="shared" si="476"/>
        <v>0</v>
      </c>
      <c r="H858" s="1484"/>
      <c r="I858" s="1547">
        <f t="shared" si="477"/>
        <v>0</v>
      </c>
      <c r="J858" s="1499"/>
      <c r="K858" s="1499"/>
      <c r="L858" s="1436"/>
      <c r="M858" s="1439"/>
      <c r="N858" s="1439"/>
      <c r="O858" s="1485"/>
      <c r="P858" s="1486"/>
      <c r="Q858" s="1486"/>
      <c r="R858" s="1487"/>
      <c r="S858" s="1444"/>
      <c r="T858" s="1444"/>
      <c r="U858" s="1444"/>
      <c r="V858" s="1488"/>
      <c r="W858" s="1488"/>
      <c r="X858" s="1488"/>
      <c r="Y858" s="1488"/>
      <c r="Z858" s="1488"/>
      <c r="AA858" s="1488"/>
      <c r="AB858" s="1488"/>
      <c r="AC858" s="1488"/>
      <c r="AD858" s="1488"/>
      <c r="AE858" s="1488"/>
      <c r="AF858" s="1488"/>
      <c r="AG858" s="1488"/>
      <c r="AH858" s="1451">
        <f t="shared" si="449"/>
        <v>0</v>
      </c>
      <c r="AI858" s="1488"/>
      <c r="AJ858" s="1488"/>
      <c r="AK858" s="1488"/>
      <c r="AL858" s="1488"/>
      <c r="AM858" s="1488"/>
      <c r="AN858" s="1488"/>
      <c r="AO858" s="1488"/>
      <c r="AP858" s="1488"/>
      <c r="AQ858" s="1488"/>
      <c r="AR858" s="1488"/>
      <c r="AS858" s="1488"/>
      <c r="AT858" s="1542"/>
      <c r="AU858" s="1599">
        <f t="shared" si="450"/>
        <v>0</v>
      </c>
      <c r="AV858" s="1544">
        <f t="shared" si="478"/>
        <v>0</v>
      </c>
      <c r="AW858" s="1452">
        <f t="shared" si="451"/>
        <v>0</v>
      </c>
      <c r="AX858" s="1452">
        <f t="shared" si="452"/>
        <v>0</v>
      </c>
      <c r="AY858" s="1452">
        <f t="shared" si="453"/>
        <v>0</v>
      </c>
      <c r="AZ858" s="1452">
        <f t="shared" si="454"/>
        <v>0</v>
      </c>
      <c r="BA858" s="1452">
        <f t="shared" si="455"/>
        <v>0</v>
      </c>
      <c r="BB858" s="1452">
        <f t="shared" si="456"/>
        <v>0</v>
      </c>
      <c r="BC858" s="1452">
        <f t="shared" si="457"/>
        <v>0</v>
      </c>
      <c r="BD858" s="1452">
        <f t="shared" si="458"/>
        <v>0</v>
      </c>
      <c r="BE858" s="1452">
        <f t="shared" si="459"/>
        <v>0</v>
      </c>
      <c r="BF858" s="1452">
        <f t="shared" si="460"/>
        <v>0</v>
      </c>
      <c r="BG858" s="1452">
        <f t="shared" si="461"/>
        <v>0</v>
      </c>
      <c r="BH858" s="1452">
        <f t="shared" si="462"/>
        <v>0</v>
      </c>
      <c r="BI858" s="1452">
        <f t="shared" si="479"/>
        <v>0</v>
      </c>
      <c r="BJ858" s="1452" t="str">
        <f t="shared" si="463"/>
        <v/>
      </c>
      <c r="BK858" s="1452" t="str">
        <f t="shared" si="464"/>
        <v/>
      </c>
      <c r="BL858" s="1452" t="str">
        <f t="shared" si="465"/>
        <v/>
      </c>
      <c r="BM858" s="1452" t="str">
        <f t="shared" si="466"/>
        <v/>
      </c>
      <c r="BN858" s="1452" t="str">
        <f t="shared" ca="1" si="467"/>
        <v/>
      </c>
      <c r="BO858" s="1452" t="str">
        <f t="shared" si="480"/>
        <v/>
      </c>
      <c r="BP858" s="1452" t="str">
        <f t="shared" si="468"/>
        <v/>
      </c>
      <c r="BQ858" s="1452" t="str">
        <f t="shared" si="469"/>
        <v/>
      </c>
      <c r="BR858" s="1452" t="str">
        <f t="shared" si="470"/>
        <v/>
      </c>
      <c r="BS858" s="1452" t="str">
        <f t="shared" si="471"/>
        <v/>
      </c>
      <c r="BT858" s="1452" t="str">
        <f t="shared" si="472"/>
        <v/>
      </c>
      <c r="BU858" s="1452" t="str">
        <f t="shared" si="473"/>
        <v/>
      </c>
      <c r="BV858" s="1452" t="str">
        <f t="shared" si="474"/>
        <v/>
      </c>
      <c r="BW858" s="1558">
        <f t="shared" ca="1" si="481"/>
        <v>0</v>
      </c>
    </row>
    <row r="859" spans="1:75" s="9" customFormat="1" ht="12.5">
      <c r="A859" s="1483" t="str">
        <f t="shared" si="475"/>
        <v>Public Health Wales Trust</v>
      </c>
      <c r="B859" s="1583"/>
      <c r="C859" s="1510"/>
      <c r="D859" s="1498"/>
      <c r="E859" s="1592"/>
      <c r="F859" s="1436"/>
      <c r="G859" s="1547">
        <f t="shared" si="476"/>
        <v>0</v>
      </c>
      <c r="H859" s="1484"/>
      <c r="I859" s="1547">
        <f t="shared" si="477"/>
        <v>0</v>
      </c>
      <c r="J859" s="1496"/>
      <c r="K859" s="1496"/>
      <c r="L859" s="1436"/>
      <c r="M859" s="1439"/>
      <c r="N859" s="1439"/>
      <c r="O859" s="1485"/>
      <c r="P859" s="1486"/>
      <c r="Q859" s="1486"/>
      <c r="R859" s="1487"/>
      <c r="S859" s="1444"/>
      <c r="T859" s="1444"/>
      <c r="U859" s="1444"/>
      <c r="V859" s="1488"/>
      <c r="W859" s="1488"/>
      <c r="X859" s="1488"/>
      <c r="Y859" s="1488"/>
      <c r="Z859" s="1488"/>
      <c r="AA859" s="1488"/>
      <c r="AB859" s="1488"/>
      <c r="AC859" s="1488"/>
      <c r="AD859" s="1488"/>
      <c r="AE859" s="1488"/>
      <c r="AF859" s="1488"/>
      <c r="AG859" s="1488"/>
      <c r="AH859" s="1451">
        <f t="shared" si="449"/>
        <v>0</v>
      </c>
      <c r="AI859" s="1488"/>
      <c r="AJ859" s="1488"/>
      <c r="AK859" s="1488"/>
      <c r="AL859" s="1488"/>
      <c r="AM859" s="1488"/>
      <c r="AN859" s="1488"/>
      <c r="AO859" s="1488"/>
      <c r="AP859" s="1488"/>
      <c r="AQ859" s="1488"/>
      <c r="AR859" s="1488"/>
      <c r="AS859" s="1488"/>
      <c r="AT859" s="1542"/>
      <c r="AU859" s="1599">
        <f t="shared" si="450"/>
        <v>0</v>
      </c>
      <c r="AV859" s="1544">
        <f t="shared" si="478"/>
        <v>0</v>
      </c>
      <c r="AW859" s="1452">
        <f t="shared" si="451"/>
        <v>0</v>
      </c>
      <c r="AX859" s="1452">
        <f t="shared" si="452"/>
        <v>0</v>
      </c>
      <c r="AY859" s="1452">
        <f t="shared" si="453"/>
        <v>0</v>
      </c>
      <c r="AZ859" s="1452">
        <f t="shared" si="454"/>
        <v>0</v>
      </c>
      <c r="BA859" s="1452">
        <f t="shared" si="455"/>
        <v>0</v>
      </c>
      <c r="BB859" s="1452">
        <f t="shared" si="456"/>
        <v>0</v>
      </c>
      <c r="BC859" s="1452">
        <f t="shared" si="457"/>
        <v>0</v>
      </c>
      <c r="BD859" s="1452">
        <f t="shared" si="458"/>
        <v>0</v>
      </c>
      <c r="BE859" s="1452">
        <f t="shared" si="459"/>
        <v>0</v>
      </c>
      <c r="BF859" s="1452">
        <f t="shared" si="460"/>
        <v>0</v>
      </c>
      <c r="BG859" s="1452">
        <f t="shared" si="461"/>
        <v>0</v>
      </c>
      <c r="BH859" s="1452">
        <f t="shared" si="462"/>
        <v>0</v>
      </c>
      <c r="BI859" s="1452">
        <f t="shared" si="479"/>
        <v>0</v>
      </c>
      <c r="BJ859" s="1452" t="str">
        <f t="shared" si="463"/>
        <v/>
      </c>
      <c r="BK859" s="1452" t="str">
        <f t="shared" si="464"/>
        <v/>
      </c>
      <c r="BL859" s="1452" t="str">
        <f t="shared" si="465"/>
        <v/>
      </c>
      <c r="BM859" s="1452" t="str">
        <f t="shared" si="466"/>
        <v/>
      </c>
      <c r="BN859" s="1452" t="str">
        <f t="shared" ca="1" si="467"/>
        <v/>
      </c>
      <c r="BO859" s="1452" t="str">
        <f t="shared" si="480"/>
        <v/>
      </c>
      <c r="BP859" s="1452" t="str">
        <f t="shared" si="468"/>
        <v/>
      </c>
      <c r="BQ859" s="1452" t="str">
        <f t="shared" si="469"/>
        <v/>
      </c>
      <c r="BR859" s="1452" t="str">
        <f t="shared" si="470"/>
        <v/>
      </c>
      <c r="BS859" s="1452" t="str">
        <f t="shared" si="471"/>
        <v/>
      </c>
      <c r="BT859" s="1452" t="str">
        <f t="shared" si="472"/>
        <v/>
      </c>
      <c r="BU859" s="1452" t="str">
        <f t="shared" si="473"/>
        <v/>
      </c>
      <c r="BV859" s="1452" t="str">
        <f t="shared" si="474"/>
        <v/>
      </c>
      <c r="BW859" s="1558">
        <f t="shared" ca="1" si="481"/>
        <v>0</v>
      </c>
    </row>
    <row r="860" spans="1:75" s="9" customFormat="1" ht="12.5">
      <c r="A860" s="1483" t="str">
        <f t="shared" si="475"/>
        <v>Public Health Wales Trust</v>
      </c>
      <c r="B860" s="1583"/>
      <c r="C860" s="1510"/>
      <c r="D860" s="1498"/>
      <c r="E860" s="1436"/>
      <c r="F860" s="1436"/>
      <c r="G860" s="1547">
        <f t="shared" si="476"/>
        <v>0</v>
      </c>
      <c r="H860" s="1484"/>
      <c r="I860" s="1547">
        <f t="shared" si="477"/>
        <v>0</v>
      </c>
      <c r="J860" s="1495"/>
      <c r="K860" s="1495"/>
      <c r="L860" s="1436"/>
      <c r="M860" s="1439"/>
      <c r="N860" s="1439"/>
      <c r="O860" s="1485"/>
      <c r="P860" s="1486"/>
      <c r="Q860" s="1486"/>
      <c r="R860" s="1487"/>
      <c r="S860" s="1444"/>
      <c r="T860" s="1444"/>
      <c r="U860" s="1444"/>
      <c r="V860" s="1488"/>
      <c r="W860" s="1488"/>
      <c r="X860" s="1488"/>
      <c r="Y860" s="1488"/>
      <c r="Z860" s="1488"/>
      <c r="AA860" s="1488"/>
      <c r="AB860" s="1488"/>
      <c r="AC860" s="1488"/>
      <c r="AD860" s="1488"/>
      <c r="AE860" s="1488"/>
      <c r="AF860" s="1488"/>
      <c r="AG860" s="1488"/>
      <c r="AH860" s="1451">
        <f t="shared" si="449"/>
        <v>0</v>
      </c>
      <c r="AI860" s="1488"/>
      <c r="AJ860" s="1488"/>
      <c r="AK860" s="1488"/>
      <c r="AL860" s="1488"/>
      <c r="AM860" s="1488"/>
      <c r="AN860" s="1488"/>
      <c r="AO860" s="1488"/>
      <c r="AP860" s="1488"/>
      <c r="AQ860" s="1488"/>
      <c r="AR860" s="1488"/>
      <c r="AS860" s="1488"/>
      <c r="AT860" s="1542"/>
      <c r="AU860" s="1599">
        <f t="shared" si="450"/>
        <v>0</v>
      </c>
      <c r="AV860" s="1544">
        <f t="shared" si="478"/>
        <v>0</v>
      </c>
      <c r="AW860" s="1452">
        <f t="shared" si="451"/>
        <v>0</v>
      </c>
      <c r="AX860" s="1452">
        <f t="shared" si="452"/>
        <v>0</v>
      </c>
      <c r="AY860" s="1452">
        <f t="shared" si="453"/>
        <v>0</v>
      </c>
      <c r="AZ860" s="1452">
        <f t="shared" si="454"/>
        <v>0</v>
      </c>
      <c r="BA860" s="1452">
        <f t="shared" si="455"/>
        <v>0</v>
      </c>
      <c r="BB860" s="1452">
        <f t="shared" si="456"/>
        <v>0</v>
      </c>
      <c r="BC860" s="1452">
        <f t="shared" si="457"/>
        <v>0</v>
      </c>
      <c r="BD860" s="1452">
        <f t="shared" si="458"/>
        <v>0</v>
      </c>
      <c r="BE860" s="1452">
        <f t="shared" si="459"/>
        <v>0</v>
      </c>
      <c r="BF860" s="1452">
        <f t="shared" si="460"/>
        <v>0</v>
      </c>
      <c r="BG860" s="1452">
        <f t="shared" si="461"/>
        <v>0</v>
      </c>
      <c r="BH860" s="1452">
        <f t="shared" si="462"/>
        <v>0</v>
      </c>
      <c r="BI860" s="1452">
        <f t="shared" si="479"/>
        <v>0</v>
      </c>
      <c r="BJ860" s="1452" t="str">
        <f t="shared" si="463"/>
        <v/>
      </c>
      <c r="BK860" s="1452" t="str">
        <f t="shared" si="464"/>
        <v/>
      </c>
      <c r="BL860" s="1452" t="str">
        <f t="shared" si="465"/>
        <v/>
      </c>
      <c r="BM860" s="1452" t="str">
        <f t="shared" si="466"/>
        <v/>
      </c>
      <c r="BN860" s="1452" t="str">
        <f t="shared" ca="1" si="467"/>
        <v/>
      </c>
      <c r="BO860" s="1452" t="str">
        <f t="shared" si="480"/>
        <v/>
      </c>
      <c r="BP860" s="1452" t="str">
        <f t="shared" si="468"/>
        <v/>
      </c>
      <c r="BQ860" s="1452" t="str">
        <f t="shared" si="469"/>
        <v/>
      </c>
      <c r="BR860" s="1452" t="str">
        <f t="shared" si="470"/>
        <v/>
      </c>
      <c r="BS860" s="1452" t="str">
        <f t="shared" si="471"/>
        <v/>
      </c>
      <c r="BT860" s="1452" t="str">
        <f t="shared" si="472"/>
        <v/>
      </c>
      <c r="BU860" s="1452" t="str">
        <f t="shared" si="473"/>
        <v/>
      </c>
      <c r="BV860" s="1452" t="str">
        <f t="shared" si="474"/>
        <v/>
      </c>
      <c r="BW860" s="1558">
        <f t="shared" ca="1" si="481"/>
        <v>0</v>
      </c>
    </row>
    <row r="861" spans="1:75" s="9" customFormat="1" ht="12.5">
      <c r="A861" s="1483" t="str">
        <f t="shared" si="475"/>
        <v>Public Health Wales Trust</v>
      </c>
      <c r="B861" s="1583"/>
      <c r="C861" s="1510"/>
      <c r="D861" s="1498"/>
      <c r="E861" s="1436"/>
      <c r="F861" s="1436"/>
      <c r="G861" s="1547">
        <f t="shared" si="476"/>
        <v>0</v>
      </c>
      <c r="H861" s="1484"/>
      <c r="I861" s="1547">
        <f t="shared" si="477"/>
        <v>0</v>
      </c>
      <c r="J861" s="1496"/>
      <c r="K861" s="1496"/>
      <c r="L861" s="1436"/>
      <c r="M861" s="1439"/>
      <c r="N861" s="1439"/>
      <c r="O861" s="1485"/>
      <c r="P861" s="1486"/>
      <c r="Q861" s="1486"/>
      <c r="R861" s="1487"/>
      <c r="S861" s="1444"/>
      <c r="T861" s="1444"/>
      <c r="U861" s="1444"/>
      <c r="V861" s="1488"/>
      <c r="W861" s="1488"/>
      <c r="X861" s="1488"/>
      <c r="Y861" s="1488"/>
      <c r="Z861" s="1488"/>
      <c r="AA861" s="1488"/>
      <c r="AB861" s="1488"/>
      <c r="AC861" s="1488"/>
      <c r="AD861" s="1488"/>
      <c r="AE861" s="1488"/>
      <c r="AF861" s="1488"/>
      <c r="AG861" s="1488"/>
      <c r="AH861" s="1451">
        <f t="shared" si="449"/>
        <v>0</v>
      </c>
      <c r="AI861" s="1488"/>
      <c r="AJ861" s="1488"/>
      <c r="AK861" s="1488"/>
      <c r="AL861" s="1488"/>
      <c r="AM861" s="1488"/>
      <c r="AN861" s="1488"/>
      <c r="AO861" s="1488"/>
      <c r="AP861" s="1488"/>
      <c r="AQ861" s="1488"/>
      <c r="AR861" s="1488"/>
      <c r="AS861" s="1488"/>
      <c r="AT861" s="1542"/>
      <c r="AU861" s="1599">
        <f t="shared" si="450"/>
        <v>0</v>
      </c>
      <c r="AV861" s="1544">
        <f t="shared" si="478"/>
        <v>0</v>
      </c>
      <c r="AW861" s="1452">
        <f t="shared" si="451"/>
        <v>0</v>
      </c>
      <c r="AX861" s="1452">
        <f t="shared" si="452"/>
        <v>0</v>
      </c>
      <c r="AY861" s="1452">
        <f t="shared" si="453"/>
        <v>0</v>
      </c>
      <c r="AZ861" s="1452">
        <f t="shared" si="454"/>
        <v>0</v>
      </c>
      <c r="BA861" s="1452">
        <f t="shared" si="455"/>
        <v>0</v>
      </c>
      <c r="BB861" s="1452">
        <f t="shared" si="456"/>
        <v>0</v>
      </c>
      <c r="BC861" s="1452">
        <f t="shared" si="457"/>
        <v>0</v>
      </c>
      <c r="BD861" s="1452">
        <f t="shared" si="458"/>
        <v>0</v>
      </c>
      <c r="BE861" s="1452">
        <f t="shared" si="459"/>
        <v>0</v>
      </c>
      <c r="BF861" s="1452">
        <f t="shared" si="460"/>
        <v>0</v>
      </c>
      <c r="BG861" s="1452">
        <f t="shared" si="461"/>
        <v>0</v>
      </c>
      <c r="BH861" s="1452">
        <f t="shared" si="462"/>
        <v>0</v>
      </c>
      <c r="BI861" s="1452">
        <f t="shared" si="479"/>
        <v>0</v>
      </c>
      <c r="BJ861" s="1452" t="str">
        <f t="shared" si="463"/>
        <v/>
      </c>
      <c r="BK861" s="1452" t="str">
        <f t="shared" si="464"/>
        <v/>
      </c>
      <c r="BL861" s="1452" t="str">
        <f t="shared" si="465"/>
        <v/>
      </c>
      <c r="BM861" s="1452" t="str">
        <f t="shared" si="466"/>
        <v/>
      </c>
      <c r="BN861" s="1452" t="str">
        <f t="shared" ca="1" si="467"/>
        <v/>
      </c>
      <c r="BO861" s="1452" t="str">
        <f t="shared" si="480"/>
        <v/>
      </c>
      <c r="BP861" s="1452" t="str">
        <f t="shared" si="468"/>
        <v/>
      </c>
      <c r="BQ861" s="1452" t="str">
        <f t="shared" si="469"/>
        <v/>
      </c>
      <c r="BR861" s="1452" t="str">
        <f t="shared" si="470"/>
        <v/>
      </c>
      <c r="BS861" s="1452" t="str">
        <f t="shared" si="471"/>
        <v/>
      </c>
      <c r="BT861" s="1452" t="str">
        <f t="shared" si="472"/>
        <v/>
      </c>
      <c r="BU861" s="1452" t="str">
        <f t="shared" si="473"/>
        <v/>
      </c>
      <c r="BV861" s="1452" t="str">
        <f t="shared" si="474"/>
        <v/>
      </c>
      <c r="BW861" s="1558">
        <f t="shared" ca="1" si="481"/>
        <v>0</v>
      </c>
    </row>
    <row r="862" spans="1:75" s="9" customFormat="1" ht="12.5">
      <c r="A862" s="1483" t="str">
        <f t="shared" si="475"/>
        <v>Public Health Wales Trust</v>
      </c>
      <c r="B862" s="1583"/>
      <c r="C862" s="1510"/>
      <c r="D862" s="1494"/>
      <c r="E862" s="1593"/>
      <c r="F862" s="1436"/>
      <c r="G862" s="1547">
        <f t="shared" si="476"/>
        <v>0</v>
      </c>
      <c r="H862" s="1484"/>
      <c r="I862" s="1547">
        <f t="shared" si="477"/>
        <v>0</v>
      </c>
      <c r="J862" s="1495"/>
      <c r="K862" s="1495"/>
      <c r="L862" s="1436"/>
      <c r="M862" s="1439"/>
      <c r="N862" s="1439"/>
      <c r="O862" s="1485"/>
      <c r="P862" s="1486"/>
      <c r="Q862" s="1486"/>
      <c r="R862" s="1487"/>
      <c r="S862" s="1444"/>
      <c r="T862" s="1444"/>
      <c r="U862" s="1444"/>
      <c r="V862" s="1488"/>
      <c r="W862" s="1488"/>
      <c r="X862" s="1488"/>
      <c r="Y862" s="1488"/>
      <c r="Z862" s="1488"/>
      <c r="AA862" s="1488"/>
      <c r="AB862" s="1488"/>
      <c r="AC862" s="1488"/>
      <c r="AD862" s="1488"/>
      <c r="AE862" s="1488"/>
      <c r="AF862" s="1488"/>
      <c r="AG862" s="1488"/>
      <c r="AH862" s="1451">
        <f t="shared" si="449"/>
        <v>0</v>
      </c>
      <c r="AI862" s="1488"/>
      <c r="AJ862" s="1488"/>
      <c r="AK862" s="1488"/>
      <c r="AL862" s="1488"/>
      <c r="AM862" s="1488"/>
      <c r="AN862" s="1488"/>
      <c r="AO862" s="1488"/>
      <c r="AP862" s="1488"/>
      <c r="AQ862" s="1488"/>
      <c r="AR862" s="1488"/>
      <c r="AS862" s="1488"/>
      <c r="AT862" s="1542"/>
      <c r="AU862" s="1599">
        <f t="shared" si="450"/>
        <v>0</v>
      </c>
      <c r="AV862" s="1544">
        <f t="shared" si="478"/>
        <v>0</v>
      </c>
      <c r="AW862" s="1452">
        <f t="shared" si="451"/>
        <v>0</v>
      </c>
      <c r="AX862" s="1452">
        <f t="shared" si="452"/>
        <v>0</v>
      </c>
      <c r="AY862" s="1452">
        <f t="shared" si="453"/>
        <v>0</v>
      </c>
      <c r="AZ862" s="1452">
        <f t="shared" si="454"/>
        <v>0</v>
      </c>
      <c r="BA862" s="1452">
        <f t="shared" si="455"/>
        <v>0</v>
      </c>
      <c r="BB862" s="1452">
        <f t="shared" si="456"/>
        <v>0</v>
      </c>
      <c r="BC862" s="1452">
        <f t="shared" si="457"/>
        <v>0</v>
      </c>
      <c r="BD862" s="1452">
        <f t="shared" si="458"/>
        <v>0</v>
      </c>
      <c r="BE862" s="1452">
        <f t="shared" si="459"/>
        <v>0</v>
      </c>
      <c r="BF862" s="1452">
        <f t="shared" si="460"/>
        <v>0</v>
      </c>
      <c r="BG862" s="1452">
        <f t="shared" si="461"/>
        <v>0</v>
      </c>
      <c r="BH862" s="1452">
        <f t="shared" si="462"/>
        <v>0</v>
      </c>
      <c r="BI862" s="1452">
        <f t="shared" si="479"/>
        <v>0</v>
      </c>
      <c r="BJ862" s="1452" t="str">
        <f t="shared" si="463"/>
        <v/>
      </c>
      <c r="BK862" s="1452" t="str">
        <f t="shared" si="464"/>
        <v/>
      </c>
      <c r="BL862" s="1452" t="str">
        <f t="shared" si="465"/>
        <v/>
      </c>
      <c r="BM862" s="1452" t="str">
        <f t="shared" si="466"/>
        <v/>
      </c>
      <c r="BN862" s="1452" t="str">
        <f t="shared" ca="1" si="467"/>
        <v/>
      </c>
      <c r="BO862" s="1452" t="str">
        <f t="shared" si="480"/>
        <v/>
      </c>
      <c r="BP862" s="1452" t="str">
        <f t="shared" si="468"/>
        <v/>
      </c>
      <c r="BQ862" s="1452" t="str">
        <f t="shared" si="469"/>
        <v/>
      </c>
      <c r="BR862" s="1452" t="str">
        <f t="shared" si="470"/>
        <v/>
      </c>
      <c r="BS862" s="1452" t="str">
        <f t="shared" si="471"/>
        <v/>
      </c>
      <c r="BT862" s="1452" t="str">
        <f t="shared" si="472"/>
        <v/>
      </c>
      <c r="BU862" s="1452" t="str">
        <f t="shared" si="473"/>
        <v/>
      </c>
      <c r="BV862" s="1452" t="str">
        <f t="shared" si="474"/>
        <v/>
      </c>
      <c r="BW862" s="1558">
        <f t="shared" ca="1" si="481"/>
        <v>0</v>
      </c>
    </row>
    <row r="863" spans="1:75" s="9" customFormat="1" ht="12.5">
      <c r="A863" s="1483" t="str">
        <f t="shared" si="475"/>
        <v>Public Health Wales Trust</v>
      </c>
      <c r="B863" s="1583"/>
      <c r="C863" s="1510"/>
      <c r="D863" s="1494"/>
      <c r="E863" s="1593"/>
      <c r="F863" s="1436"/>
      <c r="G863" s="1547">
        <f t="shared" si="476"/>
        <v>0</v>
      </c>
      <c r="H863" s="1484"/>
      <c r="I863" s="1547">
        <f t="shared" si="477"/>
        <v>0</v>
      </c>
      <c r="J863" s="1495"/>
      <c r="K863" s="1495"/>
      <c r="L863" s="1436"/>
      <c r="M863" s="1439"/>
      <c r="N863" s="1439"/>
      <c r="O863" s="1485"/>
      <c r="P863" s="1486"/>
      <c r="Q863" s="1486"/>
      <c r="R863" s="1487"/>
      <c r="S863" s="1444"/>
      <c r="T863" s="1444"/>
      <c r="U863" s="1444"/>
      <c r="V863" s="1488"/>
      <c r="W863" s="1488"/>
      <c r="X863" s="1488"/>
      <c r="Y863" s="1488"/>
      <c r="Z863" s="1488"/>
      <c r="AA863" s="1488"/>
      <c r="AB863" s="1488"/>
      <c r="AC863" s="1488"/>
      <c r="AD863" s="1488"/>
      <c r="AE863" s="1488"/>
      <c r="AF863" s="1488"/>
      <c r="AG863" s="1488"/>
      <c r="AH863" s="1451">
        <f t="shared" si="449"/>
        <v>0</v>
      </c>
      <c r="AI863" s="1488"/>
      <c r="AJ863" s="1488"/>
      <c r="AK863" s="1488"/>
      <c r="AL863" s="1488"/>
      <c r="AM863" s="1488"/>
      <c r="AN863" s="1488"/>
      <c r="AO863" s="1488"/>
      <c r="AP863" s="1488"/>
      <c r="AQ863" s="1488"/>
      <c r="AR863" s="1488"/>
      <c r="AS863" s="1488"/>
      <c r="AT863" s="1542"/>
      <c r="AU863" s="1599">
        <f t="shared" si="450"/>
        <v>0</v>
      </c>
      <c r="AV863" s="1544">
        <f t="shared" si="478"/>
        <v>0</v>
      </c>
      <c r="AW863" s="1452">
        <f t="shared" si="451"/>
        <v>0</v>
      </c>
      <c r="AX863" s="1452">
        <f t="shared" si="452"/>
        <v>0</v>
      </c>
      <c r="AY863" s="1452">
        <f t="shared" si="453"/>
        <v>0</v>
      </c>
      <c r="AZ863" s="1452">
        <f t="shared" si="454"/>
        <v>0</v>
      </c>
      <c r="BA863" s="1452">
        <f t="shared" si="455"/>
        <v>0</v>
      </c>
      <c r="BB863" s="1452">
        <f t="shared" si="456"/>
        <v>0</v>
      </c>
      <c r="BC863" s="1452">
        <f t="shared" si="457"/>
        <v>0</v>
      </c>
      <c r="BD863" s="1452">
        <f t="shared" si="458"/>
        <v>0</v>
      </c>
      <c r="BE863" s="1452">
        <f t="shared" si="459"/>
        <v>0</v>
      </c>
      <c r="BF863" s="1452">
        <f t="shared" si="460"/>
        <v>0</v>
      </c>
      <c r="BG863" s="1452">
        <f t="shared" si="461"/>
        <v>0</v>
      </c>
      <c r="BH863" s="1452">
        <f t="shared" si="462"/>
        <v>0</v>
      </c>
      <c r="BI863" s="1452">
        <f t="shared" si="479"/>
        <v>0</v>
      </c>
      <c r="BJ863" s="1452" t="str">
        <f t="shared" si="463"/>
        <v/>
      </c>
      <c r="BK863" s="1452" t="str">
        <f t="shared" si="464"/>
        <v/>
      </c>
      <c r="BL863" s="1452" t="str">
        <f t="shared" si="465"/>
        <v/>
      </c>
      <c r="BM863" s="1452" t="str">
        <f t="shared" si="466"/>
        <v/>
      </c>
      <c r="BN863" s="1452" t="str">
        <f t="shared" ca="1" si="467"/>
        <v/>
      </c>
      <c r="BO863" s="1452" t="str">
        <f t="shared" si="480"/>
        <v/>
      </c>
      <c r="BP863" s="1452" t="str">
        <f t="shared" si="468"/>
        <v/>
      </c>
      <c r="BQ863" s="1452" t="str">
        <f t="shared" si="469"/>
        <v/>
      </c>
      <c r="BR863" s="1452" t="str">
        <f t="shared" si="470"/>
        <v/>
      </c>
      <c r="BS863" s="1452" t="str">
        <f t="shared" si="471"/>
        <v/>
      </c>
      <c r="BT863" s="1452" t="str">
        <f t="shared" si="472"/>
        <v/>
      </c>
      <c r="BU863" s="1452" t="str">
        <f t="shared" si="473"/>
        <v/>
      </c>
      <c r="BV863" s="1452" t="str">
        <f t="shared" si="474"/>
        <v/>
      </c>
      <c r="BW863" s="1558">
        <f t="shared" ca="1" si="481"/>
        <v>0</v>
      </c>
    </row>
    <row r="864" spans="1:75" s="9" customFormat="1" ht="12.5">
      <c r="A864" s="1483" t="str">
        <f t="shared" si="475"/>
        <v>Public Health Wales Trust</v>
      </c>
      <c r="B864" s="1583"/>
      <c r="C864" s="1510"/>
      <c r="D864" s="1494"/>
      <c r="E864" s="1593"/>
      <c r="F864" s="1436"/>
      <c r="G864" s="1547">
        <f t="shared" si="476"/>
        <v>0</v>
      </c>
      <c r="H864" s="1484"/>
      <c r="I864" s="1547">
        <f t="shared" si="477"/>
        <v>0</v>
      </c>
      <c r="J864" s="1495"/>
      <c r="K864" s="1495"/>
      <c r="L864" s="1436"/>
      <c r="M864" s="1439"/>
      <c r="N864" s="1439"/>
      <c r="O864" s="1485"/>
      <c r="P864" s="1486"/>
      <c r="Q864" s="1486"/>
      <c r="R864" s="1487"/>
      <c r="S864" s="1444"/>
      <c r="T864" s="1444"/>
      <c r="U864" s="1444"/>
      <c r="V864" s="1488"/>
      <c r="W864" s="1488"/>
      <c r="X864" s="1488"/>
      <c r="Y864" s="1488"/>
      <c r="Z864" s="1488"/>
      <c r="AA864" s="1488"/>
      <c r="AB864" s="1488"/>
      <c r="AC864" s="1488"/>
      <c r="AD864" s="1488"/>
      <c r="AE864" s="1488"/>
      <c r="AF864" s="1488"/>
      <c r="AG864" s="1488"/>
      <c r="AH864" s="1451">
        <f t="shared" si="449"/>
        <v>0</v>
      </c>
      <c r="AI864" s="1488"/>
      <c r="AJ864" s="1488"/>
      <c r="AK864" s="1488"/>
      <c r="AL864" s="1488"/>
      <c r="AM864" s="1488"/>
      <c r="AN864" s="1488"/>
      <c r="AO864" s="1488"/>
      <c r="AP864" s="1488"/>
      <c r="AQ864" s="1488"/>
      <c r="AR864" s="1488"/>
      <c r="AS864" s="1488"/>
      <c r="AT864" s="1542"/>
      <c r="AU864" s="1599">
        <f t="shared" si="450"/>
        <v>0</v>
      </c>
      <c r="AV864" s="1544">
        <f t="shared" si="478"/>
        <v>0</v>
      </c>
      <c r="AW864" s="1452">
        <f t="shared" si="451"/>
        <v>0</v>
      </c>
      <c r="AX864" s="1452">
        <f t="shared" si="452"/>
        <v>0</v>
      </c>
      <c r="AY864" s="1452">
        <f t="shared" si="453"/>
        <v>0</v>
      </c>
      <c r="AZ864" s="1452">
        <f t="shared" si="454"/>
        <v>0</v>
      </c>
      <c r="BA864" s="1452">
        <f t="shared" si="455"/>
        <v>0</v>
      </c>
      <c r="BB864" s="1452">
        <f t="shared" si="456"/>
        <v>0</v>
      </c>
      <c r="BC864" s="1452">
        <f t="shared" si="457"/>
        <v>0</v>
      </c>
      <c r="BD864" s="1452">
        <f t="shared" si="458"/>
        <v>0</v>
      </c>
      <c r="BE864" s="1452">
        <f t="shared" si="459"/>
        <v>0</v>
      </c>
      <c r="BF864" s="1452">
        <f t="shared" si="460"/>
        <v>0</v>
      </c>
      <c r="BG864" s="1452">
        <f t="shared" si="461"/>
        <v>0</v>
      </c>
      <c r="BH864" s="1452">
        <f t="shared" si="462"/>
        <v>0</v>
      </c>
      <c r="BI864" s="1452">
        <f t="shared" si="479"/>
        <v>0</v>
      </c>
      <c r="BJ864" s="1452" t="str">
        <f t="shared" si="463"/>
        <v/>
      </c>
      <c r="BK864" s="1452" t="str">
        <f t="shared" si="464"/>
        <v/>
      </c>
      <c r="BL864" s="1452" t="str">
        <f t="shared" si="465"/>
        <v/>
      </c>
      <c r="BM864" s="1452" t="str">
        <f t="shared" si="466"/>
        <v/>
      </c>
      <c r="BN864" s="1452" t="str">
        <f t="shared" ca="1" si="467"/>
        <v/>
      </c>
      <c r="BO864" s="1452" t="str">
        <f t="shared" si="480"/>
        <v/>
      </c>
      <c r="BP864" s="1452" t="str">
        <f t="shared" si="468"/>
        <v/>
      </c>
      <c r="BQ864" s="1452" t="str">
        <f t="shared" si="469"/>
        <v/>
      </c>
      <c r="BR864" s="1452" t="str">
        <f t="shared" si="470"/>
        <v/>
      </c>
      <c r="BS864" s="1452" t="str">
        <f t="shared" si="471"/>
        <v/>
      </c>
      <c r="BT864" s="1452" t="str">
        <f t="shared" si="472"/>
        <v/>
      </c>
      <c r="BU864" s="1452" t="str">
        <f t="shared" si="473"/>
        <v/>
      </c>
      <c r="BV864" s="1452" t="str">
        <f t="shared" si="474"/>
        <v/>
      </c>
      <c r="BW864" s="1558">
        <f t="shared" ca="1" si="481"/>
        <v>0</v>
      </c>
    </row>
    <row r="865" spans="1:103" s="9" customFormat="1" ht="12.5">
      <c r="A865" s="1483" t="str">
        <f t="shared" si="475"/>
        <v>Public Health Wales Trust</v>
      </c>
      <c r="B865" s="1583"/>
      <c r="C865" s="1510"/>
      <c r="D865" s="1494"/>
      <c r="E865" s="1593"/>
      <c r="F865" s="1436"/>
      <c r="G865" s="1547">
        <f t="shared" si="476"/>
        <v>0</v>
      </c>
      <c r="H865" s="1484"/>
      <c r="I865" s="1547">
        <f t="shared" si="477"/>
        <v>0</v>
      </c>
      <c r="J865" s="1495"/>
      <c r="K865" s="1495"/>
      <c r="L865" s="1436"/>
      <c r="M865" s="1439"/>
      <c r="N865" s="1439"/>
      <c r="O865" s="1485"/>
      <c r="P865" s="1486"/>
      <c r="Q865" s="1486"/>
      <c r="R865" s="1487"/>
      <c r="S865" s="1444"/>
      <c r="T865" s="1444"/>
      <c r="U865" s="1444"/>
      <c r="V865" s="1488"/>
      <c r="W865" s="1488"/>
      <c r="X865" s="1488"/>
      <c r="Y865" s="1488"/>
      <c r="Z865" s="1488"/>
      <c r="AA865" s="1488"/>
      <c r="AB865" s="1488"/>
      <c r="AC865" s="1488"/>
      <c r="AD865" s="1488"/>
      <c r="AE865" s="1488"/>
      <c r="AF865" s="1488"/>
      <c r="AG865" s="1488"/>
      <c r="AH865" s="1451">
        <f t="shared" si="449"/>
        <v>0</v>
      </c>
      <c r="AI865" s="1488"/>
      <c r="AJ865" s="1488"/>
      <c r="AK865" s="1488"/>
      <c r="AL865" s="1488"/>
      <c r="AM865" s="1488"/>
      <c r="AN865" s="1488"/>
      <c r="AO865" s="1488"/>
      <c r="AP865" s="1488"/>
      <c r="AQ865" s="1488"/>
      <c r="AR865" s="1488"/>
      <c r="AS865" s="1488"/>
      <c r="AT865" s="1542"/>
      <c r="AU865" s="1599">
        <f t="shared" si="450"/>
        <v>0</v>
      </c>
      <c r="AV865" s="1544">
        <f t="shared" si="478"/>
        <v>0</v>
      </c>
      <c r="AW865" s="1452">
        <f t="shared" si="451"/>
        <v>0</v>
      </c>
      <c r="AX865" s="1452">
        <f t="shared" si="452"/>
        <v>0</v>
      </c>
      <c r="AY865" s="1452">
        <f t="shared" si="453"/>
        <v>0</v>
      </c>
      <c r="AZ865" s="1452">
        <f t="shared" si="454"/>
        <v>0</v>
      </c>
      <c r="BA865" s="1452">
        <f t="shared" si="455"/>
        <v>0</v>
      </c>
      <c r="BB865" s="1452">
        <f t="shared" si="456"/>
        <v>0</v>
      </c>
      <c r="BC865" s="1452">
        <f t="shared" si="457"/>
        <v>0</v>
      </c>
      <c r="BD865" s="1452">
        <f t="shared" si="458"/>
        <v>0</v>
      </c>
      <c r="BE865" s="1452">
        <f t="shared" si="459"/>
        <v>0</v>
      </c>
      <c r="BF865" s="1452">
        <f t="shared" si="460"/>
        <v>0</v>
      </c>
      <c r="BG865" s="1452">
        <f t="shared" si="461"/>
        <v>0</v>
      </c>
      <c r="BH865" s="1452">
        <f t="shared" si="462"/>
        <v>0</v>
      </c>
      <c r="BI865" s="1452">
        <f t="shared" si="479"/>
        <v>0</v>
      </c>
      <c r="BJ865" s="1452" t="str">
        <f t="shared" si="463"/>
        <v/>
      </c>
      <c r="BK865" s="1452" t="str">
        <f t="shared" si="464"/>
        <v/>
      </c>
      <c r="BL865" s="1452" t="str">
        <f t="shared" si="465"/>
        <v/>
      </c>
      <c r="BM865" s="1452" t="str">
        <f t="shared" si="466"/>
        <v/>
      </c>
      <c r="BN865" s="1452" t="str">
        <f t="shared" ca="1" si="467"/>
        <v/>
      </c>
      <c r="BO865" s="1452" t="str">
        <f t="shared" si="480"/>
        <v/>
      </c>
      <c r="BP865" s="1452" t="str">
        <f t="shared" si="468"/>
        <v/>
      </c>
      <c r="BQ865" s="1452" t="str">
        <f t="shared" si="469"/>
        <v/>
      </c>
      <c r="BR865" s="1452" t="str">
        <f t="shared" si="470"/>
        <v/>
      </c>
      <c r="BS865" s="1452" t="str">
        <f t="shared" si="471"/>
        <v/>
      </c>
      <c r="BT865" s="1452" t="str">
        <f t="shared" si="472"/>
        <v/>
      </c>
      <c r="BU865" s="1452" t="str">
        <f t="shared" si="473"/>
        <v/>
      </c>
      <c r="BV865" s="1452" t="str">
        <f t="shared" si="474"/>
        <v/>
      </c>
      <c r="BW865" s="1558">
        <f t="shared" ca="1" si="481"/>
        <v>0</v>
      </c>
    </row>
    <row r="866" spans="1:103" s="9" customFormat="1" ht="12.5">
      <c r="A866" s="1483" t="str">
        <f t="shared" si="475"/>
        <v>Public Health Wales Trust</v>
      </c>
      <c r="B866" s="1583"/>
      <c r="C866" s="1510"/>
      <c r="D866" s="1494"/>
      <c r="E866" s="1593"/>
      <c r="F866" s="1436"/>
      <c r="G866" s="1547">
        <f t="shared" si="476"/>
        <v>0</v>
      </c>
      <c r="H866" s="1484"/>
      <c r="I866" s="1547">
        <f t="shared" si="477"/>
        <v>0</v>
      </c>
      <c r="J866" s="1495"/>
      <c r="K866" s="1495"/>
      <c r="L866" s="1436"/>
      <c r="M866" s="1439"/>
      <c r="N866" s="1439"/>
      <c r="O866" s="1485"/>
      <c r="P866" s="1486"/>
      <c r="Q866" s="1486"/>
      <c r="R866" s="1487"/>
      <c r="S866" s="1444"/>
      <c r="T866" s="1444"/>
      <c r="U866" s="1444"/>
      <c r="V866" s="1488"/>
      <c r="W866" s="1488"/>
      <c r="X866" s="1488"/>
      <c r="Y866" s="1488"/>
      <c r="Z866" s="1488"/>
      <c r="AA866" s="1488"/>
      <c r="AB866" s="1488"/>
      <c r="AC866" s="1488"/>
      <c r="AD866" s="1488"/>
      <c r="AE866" s="1488"/>
      <c r="AF866" s="1488"/>
      <c r="AG866" s="1488"/>
      <c r="AH866" s="1451">
        <f t="shared" si="449"/>
        <v>0</v>
      </c>
      <c r="AI866" s="1488"/>
      <c r="AJ866" s="1488"/>
      <c r="AK866" s="1488"/>
      <c r="AL866" s="1488"/>
      <c r="AM866" s="1488"/>
      <c r="AN866" s="1488"/>
      <c r="AO866" s="1488"/>
      <c r="AP866" s="1488"/>
      <c r="AQ866" s="1488"/>
      <c r="AR866" s="1488"/>
      <c r="AS866" s="1488"/>
      <c r="AT866" s="1542"/>
      <c r="AU866" s="1599">
        <f t="shared" si="450"/>
        <v>0</v>
      </c>
      <c r="AV866" s="1544">
        <f t="shared" si="478"/>
        <v>0</v>
      </c>
      <c r="AW866" s="1452">
        <f t="shared" si="451"/>
        <v>0</v>
      </c>
      <c r="AX866" s="1452">
        <f t="shared" si="452"/>
        <v>0</v>
      </c>
      <c r="AY866" s="1452">
        <f t="shared" si="453"/>
        <v>0</v>
      </c>
      <c r="AZ866" s="1452">
        <f t="shared" si="454"/>
        <v>0</v>
      </c>
      <c r="BA866" s="1452">
        <f t="shared" si="455"/>
        <v>0</v>
      </c>
      <c r="BB866" s="1452">
        <f t="shared" si="456"/>
        <v>0</v>
      </c>
      <c r="BC866" s="1452">
        <f t="shared" si="457"/>
        <v>0</v>
      </c>
      <c r="BD866" s="1452">
        <f t="shared" si="458"/>
        <v>0</v>
      </c>
      <c r="BE866" s="1452">
        <f t="shared" si="459"/>
        <v>0</v>
      </c>
      <c r="BF866" s="1452">
        <f t="shared" si="460"/>
        <v>0</v>
      </c>
      <c r="BG866" s="1452">
        <f t="shared" si="461"/>
        <v>0</v>
      </c>
      <c r="BH866" s="1452">
        <f t="shared" si="462"/>
        <v>0</v>
      </c>
      <c r="BI866" s="1452">
        <f t="shared" si="479"/>
        <v>0</v>
      </c>
      <c r="BJ866" s="1452" t="str">
        <f t="shared" si="463"/>
        <v/>
      </c>
      <c r="BK866" s="1452" t="str">
        <f t="shared" si="464"/>
        <v/>
      </c>
      <c r="BL866" s="1452" t="str">
        <f t="shared" si="465"/>
        <v/>
      </c>
      <c r="BM866" s="1452" t="str">
        <f t="shared" si="466"/>
        <v/>
      </c>
      <c r="BN866" s="1452" t="str">
        <f t="shared" ca="1" si="467"/>
        <v/>
      </c>
      <c r="BO866" s="1452" t="str">
        <f t="shared" si="480"/>
        <v/>
      </c>
      <c r="BP866" s="1452" t="str">
        <f t="shared" si="468"/>
        <v/>
      </c>
      <c r="BQ866" s="1452" t="str">
        <f t="shared" si="469"/>
        <v/>
      </c>
      <c r="BR866" s="1452" t="str">
        <f t="shared" si="470"/>
        <v/>
      </c>
      <c r="BS866" s="1452" t="str">
        <f t="shared" si="471"/>
        <v/>
      </c>
      <c r="BT866" s="1452" t="str">
        <f t="shared" si="472"/>
        <v/>
      </c>
      <c r="BU866" s="1452" t="str">
        <f t="shared" si="473"/>
        <v/>
      </c>
      <c r="BV866" s="1452" t="str">
        <f t="shared" si="474"/>
        <v/>
      </c>
      <c r="BW866" s="1558">
        <f t="shared" ca="1" si="481"/>
        <v>0</v>
      </c>
    </row>
    <row r="867" spans="1:103" s="9" customFormat="1" ht="12.5">
      <c r="A867" s="1483" t="str">
        <f t="shared" si="475"/>
        <v>Public Health Wales Trust</v>
      </c>
      <c r="B867" s="1583"/>
      <c r="C867" s="1510"/>
      <c r="D867" s="1494"/>
      <c r="E867" s="1593"/>
      <c r="F867" s="1436"/>
      <c r="G867" s="1547">
        <f t="shared" si="476"/>
        <v>0</v>
      </c>
      <c r="H867" s="1484"/>
      <c r="I867" s="1547">
        <f t="shared" si="477"/>
        <v>0</v>
      </c>
      <c r="J867" s="1497"/>
      <c r="K867" s="1497"/>
      <c r="L867" s="1436"/>
      <c r="M867" s="1439"/>
      <c r="N867" s="1439"/>
      <c r="O867" s="1485"/>
      <c r="P867" s="1486"/>
      <c r="Q867" s="1486"/>
      <c r="R867" s="1487"/>
      <c r="S867" s="1444"/>
      <c r="T867" s="1444"/>
      <c r="U867" s="1444"/>
      <c r="V867" s="1488"/>
      <c r="W867" s="1488"/>
      <c r="X867" s="1488"/>
      <c r="Y867" s="1488"/>
      <c r="Z867" s="1488"/>
      <c r="AA867" s="1488"/>
      <c r="AB867" s="1488"/>
      <c r="AC867" s="1488"/>
      <c r="AD867" s="1488"/>
      <c r="AE867" s="1488"/>
      <c r="AF867" s="1488"/>
      <c r="AG867" s="1488"/>
      <c r="AH867" s="1451">
        <f t="shared" si="449"/>
        <v>0</v>
      </c>
      <c r="AI867" s="1488"/>
      <c r="AJ867" s="1488"/>
      <c r="AK867" s="1488"/>
      <c r="AL867" s="1488"/>
      <c r="AM867" s="1488"/>
      <c r="AN867" s="1488"/>
      <c r="AO867" s="1488"/>
      <c r="AP867" s="1488"/>
      <c r="AQ867" s="1488"/>
      <c r="AR867" s="1488"/>
      <c r="AS867" s="1488"/>
      <c r="AT867" s="1542"/>
      <c r="AU867" s="1599">
        <f t="shared" si="450"/>
        <v>0</v>
      </c>
      <c r="AV867" s="1544">
        <f t="shared" si="478"/>
        <v>0</v>
      </c>
      <c r="AW867" s="1452">
        <f t="shared" si="451"/>
        <v>0</v>
      </c>
      <c r="AX867" s="1452">
        <f t="shared" si="452"/>
        <v>0</v>
      </c>
      <c r="AY867" s="1452">
        <f t="shared" si="453"/>
        <v>0</v>
      </c>
      <c r="AZ867" s="1452">
        <f t="shared" si="454"/>
        <v>0</v>
      </c>
      <c r="BA867" s="1452">
        <f t="shared" si="455"/>
        <v>0</v>
      </c>
      <c r="BB867" s="1452">
        <f t="shared" si="456"/>
        <v>0</v>
      </c>
      <c r="BC867" s="1452">
        <f t="shared" si="457"/>
        <v>0</v>
      </c>
      <c r="BD867" s="1452">
        <f t="shared" si="458"/>
        <v>0</v>
      </c>
      <c r="BE867" s="1452">
        <f t="shared" si="459"/>
        <v>0</v>
      </c>
      <c r="BF867" s="1452">
        <f t="shared" si="460"/>
        <v>0</v>
      </c>
      <c r="BG867" s="1452">
        <f t="shared" si="461"/>
        <v>0</v>
      </c>
      <c r="BH867" s="1452">
        <f t="shared" si="462"/>
        <v>0</v>
      </c>
      <c r="BI867" s="1452">
        <f t="shared" si="479"/>
        <v>0</v>
      </c>
      <c r="BJ867" s="1452" t="str">
        <f t="shared" si="463"/>
        <v/>
      </c>
      <c r="BK867" s="1452" t="str">
        <f t="shared" si="464"/>
        <v/>
      </c>
      <c r="BL867" s="1452" t="str">
        <f t="shared" si="465"/>
        <v/>
      </c>
      <c r="BM867" s="1452" t="str">
        <f t="shared" si="466"/>
        <v/>
      </c>
      <c r="BN867" s="1452" t="str">
        <f t="shared" ca="1" si="467"/>
        <v/>
      </c>
      <c r="BO867" s="1452" t="str">
        <f t="shared" si="480"/>
        <v/>
      </c>
      <c r="BP867" s="1452" t="str">
        <f t="shared" si="468"/>
        <v/>
      </c>
      <c r="BQ867" s="1452" t="str">
        <f t="shared" si="469"/>
        <v/>
      </c>
      <c r="BR867" s="1452" t="str">
        <f t="shared" si="470"/>
        <v/>
      </c>
      <c r="BS867" s="1452" t="str">
        <f t="shared" si="471"/>
        <v/>
      </c>
      <c r="BT867" s="1452" t="str">
        <f t="shared" si="472"/>
        <v/>
      </c>
      <c r="BU867" s="1452" t="str">
        <f t="shared" si="473"/>
        <v/>
      </c>
      <c r="BV867" s="1452" t="str">
        <f t="shared" si="474"/>
        <v/>
      </c>
      <c r="BW867" s="1558">
        <f t="shared" ca="1" si="481"/>
        <v>0</v>
      </c>
    </row>
    <row r="868" spans="1:103" s="9" customFormat="1" ht="12.5">
      <c r="A868" s="1483" t="str">
        <f t="shared" si="475"/>
        <v>Public Health Wales Trust</v>
      </c>
      <c r="B868" s="1583"/>
      <c r="C868" s="1510"/>
      <c r="D868" s="1494"/>
      <c r="E868" s="1593"/>
      <c r="F868" s="1436"/>
      <c r="G868" s="1547">
        <f t="shared" si="476"/>
        <v>0</v>
      </c>
      <c r="H868" s="1484"/>
      <c r="I868" s="1547">
        <f t="shared" si="477"/>
        <v>0</v>
      </c>
      <c r="J868" s="1495"/>
      <c r="K868" s="1495"/>
      <c r="L868" s="1436"/>
      <c r="M868" s="1439"/>
      <c r="N868" s="1439"/>
      <c r="O868" s="1485"/>
      <c r="P868" s="1486"/>
      <c r="Q868" s="1486"/>
      <c r="R868" s="1487"/>
      <c r="S868" s="1444"/>
      <c r="T868" s="1444"/>
      <c r="U868" s="1444"/>
      <c r="V868" s="1488"/>
      <c r="W868" s="1488"/>
      <c r="X868" s="1488"/>
      <c r="Y868" s="1488"/>
      <c r="Z868" s="1488"/>
      <c r="AA868" s="1488"/>
      <c r="AB868" s="1488"/>
      <c r="AC868" s="1488"/>
      <c r="AD868" s="1488"/>
      <c r="AE868" s="1488"/>
      <c r="AF868" s="1488"/>
      <c r="AG868" s="1488"/>
      <c r="AH868" s="1451">
        <f t="shared" si="449"/>
        <v>0</v>
      </c>
      <c r="AI868" s="1488"/>
      <c r="AJ868" s="1488"/>
      <c r="AK868" s="1488"/>
      <c r="AL868" s="1488"/>
      <c r="AM868" s="1488"/>
      <c r="AN868" s="1488"/>
      <c r="AO868" s="1488"/>
      <c r="AP868" s="1488"/>
      <c r="AQ868" s="1488"/>
      <c r="AR868" s="1488"/>
      <c r="AS868" s="1488"/>
      <c r="AT868" s="1542"/>
      <c r="AU868" s="1599">
        <f t="shared" si="450"/>
        <v>0</v>
      </c>
      <c r="AV868" s="1544">
        <f t="shared" si="478"/>
        <v>0</v>
      </c>
      <c r="AW868" s="1452">
        <f t="shared" si="451"/>
        <v>0</v>
      </c>
      <c r="AX868" s="1452">
        <f t="shared" si="452"/>
        <v>0</v>
      </c>
      <c r="AY868" s="1452">
        <f t="shared" si="453"/>
        <v>0</v>
      </c>
      <c r="AZ868" s="1452">
        <f t="shared" si="454"/>
        <v>0</v>
      </c>
      <c r="BA868" s="1452">
        <f t="shared" si="455"/>
        <v>0</v>
      </c>
      <c r="BB868" s="1452">
        <f t="shared" si="456"/>
        <v>0</v>
      </c>
      <c r="BC868" s="1452">
        <f t="shared" si="457"/>
        <v>0</v>
      </c>
      <c r="BD868" s="1452">
        <f t="shared" si="458"/>
        <v>0</v>
      </c>
      <c r="BE868" s="1452">
        <f t="shared" si="459"/>
        <v>0</v>
      </c>
      <c r="BF868" s="1452">
        <f t="shared" si="460"/>
        <v>0</v>
      </c>
      <c r="BG868" s="1452">
        <f t="shared" si="461"/>
        <v>0</v>
      </c>
      <c r="BH868" s="1452">
        <f t="shared" si="462"/>
        <v>0</v>
      </c>
      <c r="BI868" s="1452">
        <f t="shared" si="479"/>
        <v>0</v>
      </c>
      <c r="BJ868" s="1452" t="str">
        <f t="shared" si="463"/>
        <v/>
      </c>
      <c r="BK868" s="1452" t="str">
        <f t="shared" si="464"/>
        <v/>
      </c>
      <c r="BL868" s="1452" t="str">
        <f t="shared" si="465"/>
        <v/>
      </c>
      <c r="BM868" s="1452" t="str">
        <f t="shared" si="466"/>
        <v/>
      </c>
      <c r="BN868" s="1452" t="str">
        <f t="shared" ca="1" si="467"/>
        <v/>
      </c>
      <c r="BO868" s="1452" t="str">
        <f t="shared" si="480"/>
        <v/>
      </c>
      <c r="BP868" s="1452" t="str">
        <f t="shared" si="468"/>
        <v/>
      </c>
      <c r="BQ868" s="1452" t="str">
        <f t="shared" si="469"/>
        <v/>
      </c>
      <c r="BR868" s="1452" t="str">
        <f t="shared" si="470"/>
        <v/>
      </c>
      <c r="BS868" s="1452" t="str">
        <f t="shared" si="471"/>
        <v/>
      </c>
      <c r="BT868" s="1452" t="str">
        <f t="shared" si="472"/>
        <v/>
      </c>
      <c r="BU868" s="1452" t="str">
        <f t="shared" si="473"/>
        <v/>
      </c>
      <c r="BV868" s="1452" t="str">
        <f t="shared" si="474"/>
        <v/>
      </c>
      <c r="BW868" s="1558">
        <f t="shared" ca="1" si="481"/>
        <v>0</v>
      </c>
    </row>
    <row r="869" spans="1:103" s="9" customFormat="1" ht="12.5">
      <c r="A869" s="1483" t="str">
        <f t="shared" si="475"/>
        <v>Public Health Wales Trust</v>
      </c>
      <c r="B869" s="1583"/>
      <c r="C869" s="1510"/>
      <c r="D869" s="1494"/>
      <c r="E869" s="1593"/>
      <c r="F869" s="1436"/>
      <c r="G869" s="1547">
        <f t="shared" si="476"/>
        <v>0</v>
      </c>
      <c r="H869" s="1484"/>
      <c r="I869" s="1547">
        <f t="shared" si="477"/>
        <v>0</v>
      </c>
      <c r="J869" s="1495"/>
      <c r="K869" s="1495"/>
      <c r="L869" s="1436"/>
      <c r="M869" s="1439"/>
      <c r="N869" s="1439"/>
      <c r="O869" s="1485"/>
      <c r="P869" s="1486"/>
      <c r="Q869" s="1486"/>
      <c r="R869" s="1487"/>
      <c r="S869" s="1444"/>
      <c r="T869" s="1444"/>
      <c r="U869" s="1444"/>
      <c r="V869" s="1488"/>
      <c r="W869" s="1488"/>
      <c r="X869" s="1488"/>
      <c r="Y869" s="1488"/>
      <c r="Z869" s="1488"/>
      <c r="AA869" s="1488"/>
      <c r="AB869" s="1488"/>
      <c r="AC869" s="1488"/>
      <c r="AD869" s="1488"/>
      <c r="AE869" s="1488"/>
      <c r="AF869" s="1488"/>
      <c r="AG869" s="1488"/>
      <c r="AH869" s="1451">
        <f t="shared" si="449"/>
        <v>0</v>
      </c>
      <c r="AI869" s="1488"/>
      <c r="AJ869" s="1488"/>
      <c r="AK869" s="1488"/>
      <c r="AL869" s="1488"/>
      <c r="AM869" s="1488"/>
      <c r="AN869" s="1488"/>
      <c r="AO869" s="1488"/>
      <c r="AP869" s="1488"/>
      <c r="AQ869" s="1488"/>
      <c r="AR869" s="1488"/>
      <c r="AS869" s="1488"/>
      <c r="AT869" s="1542"/>
      <c r="AU869" s="1599">
        <f t="shared" si="450"/>
        <v>0</v>
      </c>
      <c r="AV869" s="1544">
        <f t="shared" si="478"/>
        <v>0</v>
      </c>
      <c r="AW869" s="1452">
        <f t="shared" si="451"/>
        <v>0</v>
      </c>
      <c r="AX869" s="1452">
        <f t="shared" si="452"/>
        <v>0</v>
      </c>
      <c r="AY869" s="1452">
        <f t="shared" si="453"/>
        <v>0</v>
      </c>
      <c r="AZ869" s="1452">
        <f t="shared" si="454"/>
        <v>0</v>
      </c>
      <c r="BA869" s="1452">
        <f t="shared" si="455"/>
        <v>0</v>
      </c>
      <c r="BB869" s="1452">
        <f t="shared" si="456"/>
        <v>0</v>
      </c>
      <c r="BC869" s="1452">
        <f t="shared" si="457"/>
        <v>0</v>
      </c>
      <c r="BD869" s="1452">
        <f t="shared" si="458"/>
        <v>0</v>
      </c>
      <c r="BE869" s="1452">
        <f t="shared" si="459"/>
        <v>0</v>
      </c>
      <c r="BF869" s="1452">
        <f t="shared" si="460"/>
        <v>0</v>
      </c>
      <c r="BG869" s="1452">
        <f t="shared" si="461"/>
        <v>0</v>
      </c>
      <c r="BH869" s="1452">
        <f t="shared" si="462"/>
        <v>0</v>
      </c>
      <c r="BI869" s="1452">
        <f t="shared" si="479"/>
        <v>0</v>
      </c>
      <c r="BJ869" s="1452" t="str">
        <f t="shared" si="463"/>
        <v/>
      </c>
      <c r="BK869" s="1452" t="str">
        <f t="shared" si="464"/>
        <v/>
      </c>
      <c r="BL869" s="1452" t="str">
        <f t="shared" si="465"/>
        <v/>
      </c>
      <c r="BM869" s="1452" t="str">
        <f t="shared" si="466"/>
        <v/>
      </c>
      <c r="BN869" s="1452" t="str">
        <f t="shared" ca="1" si="467"/>
        <v/>
      </c>
      <c r="BO869" s="1452" t="str">
        <f t="shared" si="480"/>
        <v/>
      </c>
      <c r="BP869" s="1452" t="str">
        <f t="shared" si="468"/>
        <v/>
      </c>
      <c r="BQ869" s="1452" t="str">
        <f t="shared" si="469"/>
        <v/>
      </c>
      <c r="BR869" s="1452" t="str">
        <f t="shared" si="470"/>
        <v/>
      </c>
      <c r="BS869" s="1452" t="str">
        <f t="shared" si="471"/>
        <v/>
      </c>
      <c r="BT869" s="1452" t="str">
        <f t="shared" si="472"/>
        <v/>
      </c>
      <c r="BU869" s="1452" t="str">
        <f t="shared" si="473"/>
        <v/>
      </c>
      <c r="BV869" s="1452" t="str">
        <f t="shared" si="474"/>
        <v/>
      </c>
      <c r="BW869" s="1558">
        <f t="shared" ca="1" si="481"/>
        <v>0</v>
      </c>
    </row>
    <row r="870" spans="1:103" s="9" customFormat="1" ht="12.5">
      <c r="A870" s="1483" t="str">
        <f t="shared" si="475"/>
        <v>Public Health Wales Trust</v>
      </c>
      <c r="B870" s="1583"/>
      <c r="C870" s="1510"/>
      <c r="D870" s="1494"/>
      <c r="E870" s="1593"/>
      <c r="F870" s="1436"/>
      <c r="G870" s="1547">
        <f t="shared" si="476"/>
        <v>0</v>
      </c>
      <c r="H870" s="1484"/>
      <c r="I870" s="1547">
        <f t="shared" si="477"/>
        <v>0</v>
      </c>
      <c r="J870" s="1495"/>
      <c r="K870" s="1495"/>
      <c r="L870" s="1436"/>
      <c r="M870" s="1439"/>
      <c r="N870" s="1439"/>
      <c r="O870" s="1485"/>
      <c r="P870" s="1486"/>
      <c r="Q870" s="1486"/>
      <c r="R870" s="1487"/>
      <c r="S870" s="1444"/>
      <c r="T870" s="1444"/>
      <c r="U870" s="1444"/>
      <c r="V870" s="1488"/>
      <c r="W870" s="1488"/>
      <c r="X870" s="1488"/>
      <c r="Y870" s="1488"/>
      <c r="Z870" s="1488"/>
      <c r="AA870" s="1488"/>
      <c r="AB870" s="1488"/>
      <c r="AC870" s="1488"/>
      <c r="AD870" s="1488"/>
      <c r="AE870" s="1488"/>
      <c r="AF870" s="1488"/>
      <c r="AG870" s="1488"/>
      <c r="AH870" s="1451">
        <f t="shared" si="449"/>
        <v>0</v>
      </c>
      <c r="AI870" s="1488"/>
      <c r="AJ870" s="1488"/>
      <c r="AK870" s="1488"/>
      <c r="AL870" s="1488"/>
      <c r="AM870" s="1488"/>
      <c r="AN870" s="1488"/>
      <c r="AO870" s="1488"/>
      <c r="AP870" s="1488"/>
      <c r="AQ870" s="1488"/>
      <c r="AR870" s="1488"/>
      <c r="AS870" s="1488"/>
      <c r="AT870" s="1542"/>
      <c r="AU870" s="1599">
        <f t="shared" si="450"/>
        <v>0</v>
      </c>
      <c r="AV870" s="1544">
        <f t="shared" si="478"/>
        <v>0</v>
      </c>
      <c r="AW870" s="1452">
        <f t="shared" si="451"/>
        <v>0</v>
      </c>
      <c r="AX870" s="1452">
        <f t="shared" si="452"/>
        <v>0</v>
      </c>
      <c r="AY870" s="1452">
        <f t="shared" si="453"/>
        <v>0</v>
      </c>
      <c r="AZ870" s="1452">
        <f t="shared" si="454"/>
        <v>0</v>
      </c>
      <c r="BA870" s="1452">
        <f t="shared" si="455"/>
        <v>0</v>
      </c>
      <c r="BB870" s="1452">
        <f t="shared" si="456"/>
        <v>0</v>
      </c>
      <c r="BC870" s="1452">
        <f t="shared" si="457"/>
        <v>0</v>
      </c>
      <c r="BD870" s="1452">
        <f t="shared" si="458"/>
        <v>0</v>
      </c>
      <c r="BE870" s="1452">
        <f t="shared" si="459"/>
        <v>0</v>
      </c>
      <c r="BF870" s="1452">
        <f t="shared" si="460"/>
        <v>0</v>
      </c>
      <c r="BG870" s="1452">
        <f t="shared" si="461"/>
        <v>0</v>
      </c>
      <c r="BH870" s="1452">
        <f t="shared" si="462"/>
        <v>0</v>
      </c>
      <c r="BI870" s="1452">
        <f t="shared" si="479"/>
        <v>0</v>
      </c>
      <c r="BJ870" s="1452" t="str">
        <f t="shared" si="463"/>
        <v/>
      </c>
      <c r="BK870" s="1452" t="str">
        <f t="shared" si="464"/>
        <v/>
      </c>
      <c r="BL870" s="1452" t="str">
        <f t="shared" si="465"/>
        <v/>
      </c>
      <c r="BM870" s="1452" t="str">
        <f t="shared" si="466"/>
        <v/>
      </c>
      <c r="BN870" s="1452" t="str">
        <f t="shared" ca="1" si="467"/>
        <v/>
      </c>
      <c r="BO870" s="1452" t="str">
        <f t="shared" si="480"/>
        <v/>
      </c>
      <c r="BP870" s="1452" t="str">
        <f t="shared" si="468"/>
        <v/>
      </c>
      <c r="BQ870" s="1452" t="str">
        <f t="shared" si="469"/>
        <v/>
      </c>
      <c r="BR870" s="1452" t="str">
        <f t="shared" si="470"/>
        <v/>
      </c>
      <c r="BS870" s="1452" t="str">
        <f t="shared" si="471"/>
        <v/>
      </c>
      <c r="BT870" s="1452" t="str">
        <f t="shared" si="472"/>
        <v/>
      </c>
      <c r="BU870" s="1452" t="str">
        <f t="shared" si="473"/>
        <v/>
      </c>
      <c r="BV870" s="1452" t="str">
        <f t="shared" si="474"/>
        <v/>
      </c>
      <c r="BW870" s="1558">
        <f t="shared" ca="1" si="481"/>
        <v>0</v>
      </c>
    </row>
    <row r="871" spans="1:103" s="9" customFormat="1" ht="12.5">
      <c r="A871" s="1483" t="str">
        <f t="shared" si="475"/>
        <v>Public Health Wales Trust</v>
      </c>
      <c r="B871" s="1583"/>
      <c r="C871" s="1510"/>
      <c r="D871" s="1494"/>
      <c r="E871" s="1593"/>
      <c r="F871" s="1436"/>
      <c r="G871" s="1547">
        <f t="shared" si="476"/>
        <v>0</v>
      </c>
      <c r="H871" s="1484"/>
      <c r="I871" s="1547">
        <f t="shared" si="477"/>
        <v>0</v>
      </c>
      <c r="J871" s="1495"/>
      <c r="K871" s="1495"/>
      <c r="L871" s="1436"/>
      <c r="M871" s="1439"/>
      <c r="N871" s="1439"/>
      <c r="O871" s="1485"/>
      <c r="P871" s="1486"/>
      <c r="Q871" s="1486"/>
      <c r="R871" s="1487"/>
      <c r="S871" s="1444"/>
      <c r="T871" s="1444"/>
      <c r="U871" s="1444"/>
      <c r="V871" s="1488"/>
      <c r="W871" s="1488"/>
      <c r="X871" s="1488"/>
      <c r="Y871" s="1488"/>
      <c r="Z871" s="1488"/>
      <c r="AA871" s="1488"/>
      <c r="AB871" s="1488"/>
      <c r="AC871" s="1488"/>
      <c r="AD871" s="1488"/>
      <c r="AE871" s="1488"/>
      <c r="AF871" s="1488"/>
      <c r="AG871" s="1488"/>
      <c r="AH871" s="1451">
        <f t="shared" si="449"/>
        <v>0</v>
      </c>
      <c r="AI871" s="1488"/>
      <c r="AJ871" s="1488"/>
      <c r="AK871" s="1488"/>
      <c r="AL871" s="1488"/>
      <c r="AM871" s="1488"/>
      <c r="AN871" s="1488"/>
      <c r="AO871" s="1488"/>
      <c r="AP871" s="1488"/>
      <c r="AQ871" s="1488"/>
      <c r="AR871" s="1488"/>
      <c r="AS871" s="1488"/>
      <c r="AT871" s="1542"/>
      <c r="AU871" s="1599">
        <f t="shared" si="450"/>
        <v>0</v>
      </c>
      <c r="AV871" s="1544">
        <f t="shared" si="478"/>
        <v>0</v>
      </c>
      <c r="AW871" s="1452">
        <f t="shared" si="451"/>
        <v>0</v>
      </c>
      <c r="AX871" s="1452">
        <f t="shared" si="452"/>
        <v>0</v>
      </c>
      <c r="AY871" s="1452">
        <f t="shared" si="453"/>
        <v>0</v>
      </c>
      <c r="AZ871" s="1452">
        <f t="shared" si="454"/>
        <v>0</v>
      </c>
      <c r="BA871" s="1452">
        <f t="shared" si="455"/>
        <v>0</v>
      </c>
      <c r="BB871" s="1452">
        <f t="shared" si="456"/>
        <v>0</v>
      </c>
      <c r="BC871" s="1452">
        <f t="shared" si="457"/>
        <v>0</v>
      </c>
      <c r="BD871" s="1452">
        <f t="shared" si="458"/>
        <v>0</v>
      </c>
      <c r="BE871" s="1452">
        <f t="shared" si="459"/>
        <v>0</v>
      </c>
      <c r="BF871" s="1452">
        <f t="shared" si="460"/>
        <v>0</v>
      </c>
      <c r="BG871" s="1452">
        <f t="shared" si="461"/>
        <v>0</v>
      </c>
      <c r="BH871" s="1452">
        <f t="shared" si="462"/>
        <v>0</v>
      </c>
      <c r="BI871" s="1452">
        <f t="shared" si="479"/>
        <v>0</v>
      </c>
      <c r="BJ871" s="1452" t="str">
        <f t="shared" si="463"/>
        <v/>
      </c>
      <c r="BK871" s="1452" t="str">
        <f t="shared" si="464"/>
        <v/>
      </c>
      <c r="BL871" s="1452" t="str">
        <f t="shared" si="465"/>
        <v/>
      </c>
      <c r="BM871" s="1452" t="str">
        <f t="shared" si="466"/>
        <v/>
      </c>
      <c r="BN871" s="1452" t="str">
        <f t="shared" ca="1" si="467"/>
        <v/>
      </c>
      <c r="BO871" s="1452" t="str">
        <f t="shared" si="480"/>
        <v/>
      </c>
      <c r="BP871" s="1452" t="str">
        <f t="shared" si="468"/>
        <v/>
      </c>
      <c r="BQ871" s="1452" t="str">
        <f t="shared" si="469"/>
        <v/>
      </c>
      <c r="BR871" s="1452" t="str">
        <f t="shared" si="470"/>
        <v/>
      </c>
      <c r="BS871" s="1452" t="str">
        <f t="shared" si="471"/>
        <v/>
      </c>
      <c r="BT871" s="1452" t="str">
        <f t="shared" si="472"/>
        <v/>
      </c>
      <c r="BU871" s="1452" t="str">
        <f t="shared" si="473"/>
        <v/>
      </c>
      <c r="BV871" s="1452" t="str">
        <f t="shared" si="474"/>
        <v/>
      </c>
      <c r="BW871" s="1558">
        <f t="shared" ca="1" si="481"/>
        <v>0</v>
      </c>
    </row>
    <row r="872" spans="1:103" s="9" customFormat="1" ht="12.5">
      <c r="A872" s="1483" t="str">
        <f t="shared" si="475"/>
        <v>Public Health Wales Trust</v>
      </c>
      <c r="B872" s="1583"/>
      <c r="C872" s="1510"/>
      <c r="D872" s="1494"/>
      <c r="E872" s="1593"/>
      <c r="F872" s="1436"/>
      <c r="G872" s="1547">
        <f t="shared" si="476"/>
        <v>0</v>
      </c>
      <c r="H872" s="1484"/>
      <c r="I872" s="1547">
        <f t="shared" si="477"/>
        <v>0</v>
      </c>
      <c r="J872" s="1495"/>
      <c r="K872" s="1495"/>
      <c r="L872" s="1436"/>
      <c r="M872" s="1439"/>
      <c r="N872" s="1439"/>
      <c r="O872" s="1485"/>
      <c r="P872" s="1486"/>
      <c r="Q872" s="1486"/>
      <c r="R872" s="1487"/>
      <c r="S872" s="1444"/>
      <c r="T872" s="1444"/>
      <c r="U872" s="1444"/>
      <c r="V872" s="1488"/>
      <c r="W872" s="1488"/>
      <c r="X872" s="1488"/>
      <c r="Y872" s="1488"/>
      <c r="Z872" s="1488"/>
      <c r="AA872" s="1488"/>
      <c r="AB872" s="1488"/>
      <c r="AC872" s="1488"/>
      <c r="AD872" s="1488"/>
      <c r="AE872" s="1488"/>
      <c r="AF872" s="1488"/>
      <c r="AG872" s="1488"/>
      <c r="AH872" s="1451">
        <f t="shared" si="449"/>
        <v>0</v>
      </c>
      <c r="AI872" s="1488"/>
      <c r="AJ872" s="1488"/>
      <c r="AK872" s="1488"/>
      <c r="AL872" s="1488"/>
      <c r="AM872" s="1488"/>
      <c r="AN872" s="1488"/>
      <c r="AO872" s="1488"/>
      <c r="AP872" s="1488"/>
      <c r="AQ872" s="1488"/>
      <c r="AR872" s="1488"/>
      <c r="AS872" s="1488"/>
      <c r="AT872" s="1542"/>
      <c r="AU872" s="1599">
        <f t="shared" si="450"/>
        <v>0</v>
      </c>
      <c r="AV872" s="1544">
        <f t="shared" si="478"/>
        <v>0</v>
      </c>
      <c r="AW872" s="1452">
        <f t="shared" si="451"/>
        <v>0</v>
      </c>
      <c r="AX872" s="1452">
        <f t="shared" si="452"/>
        <v>0</v>
      </c>
      <c r="AY872" s="1452">
        <f t="shared" si="453"/>
        <v>0</v>
      </c>
      <c r="AZ872" s="1452">
        <f t="shared" si="454"/>
        <v>0</v>
      </c>
      <c r="BA872" s="1452">
        <f t="shared" si="455"/>
        <v>0</v>
      </c>
      <c r="BB872" s="1452">
        <f t="shared" si="456"/>
        <v>0</v>
      </c>
      <c r="BC872" s="1452">
        <f t="shared" si="457"/>
        <v>0</v>
      </c>
      <c r="BD872" s="1452">
        <f t="shared" si="458"/>
        <v>0</v>
      </c>
      <c r="BE872" s="1452">
        <f t="shared" si="459"/>
        <v>0</v>
      </c>
      <c r="BF872" s="1452">
        <f t="shared" si="460"/>
        <v>0</v>
      </c>
      <c r="BG872" s="1452">
        <f t="shared" si="461"/>
        <v>0</v>
      </c>
      <c r="BH872" s="1452">
        <f t="shared" si="462"/>
        <v>0</v>
      </c>
      <c r="BI872" s="1452">
        <f t="shared" si="479"/>
        <v>0</v>
      </c>
      <c r="BJ872" s="1452" t="str">
        <f t="shared" si="463"/>
        <v/>
      </c>
      <c r="BK872" s="1452" t="str">
        <f t="shared" si="464"/>
        <v/>
      </c>
      <c r="BL872" s="1452" t="str">
        <f t="shared" si="465"/>
        <v/>
      </c>
      <c r="BM872" s="1452" t="str">
        <f t="shared" si="466"/>
        <v/>
      </c>
      <c r="BN872" s="1452" t="str">
        <f t="shared" ca="1" si="467"/>
        <v/>
      </c>
      <c r="BO872" s="1452" t="str">
        <f t="shared" si="480"/>
        <v/>
      </c>
      <c r="BP872" s="1452" t="str">
        <f t="shared" si="468"/>
        <v/>
      </c>
      <c r="BQ872" s="1452" t="str">
        <f t="shared" si="469"/>
        <v/>
      </c>
      <c r="BR872" s="1452" t="str">
        <f t="shared" si="470"/>
        <v/>
      </c>
      <c r="BS872" s="1452" t="str">
        <f t="shared" si="471"/>
        <v/>
      </c>
      <c r="BT872" s="1452" t="str">
        <f t="shared" si="472"/>
        <v/>
      </c>
      <c r="BU872" s="1452" t="str">
        <f t="shared" si="473"/>
        <v/>
      </c>
      <c r="BV872" s="1452" t="str">
        <f t="shared" si="474"/>
        <v/>
      </c>
      <c r="BW872" s="1558">
        <f t="shared" ca="1" si="481"/>
        <v>0</v>
      </c>
    </row>
    <row r="873" spans="1:103" s="9" customFormat="1" ht="12.5">
      <c r="A873" s="1483" t="str">
        <f t="shared" si="475"/>
        <v>Public Health Wales Trust</v>
      </c>
      <c r="B873" s="1583"/>
      <c r="C873" s="1510"/>
      <c r="D873" s="1494"/>
      <c r="E873" s="1593"/>
      <c r="F873" s="1436"/>
      <c r="G873" s="1547">
        <f t="shared" si="476"/>
        <v>0</v>
      </c>
      <c r="H873" s="1484"/>
      <c r="I873" s="1547">
        <f t="shared" si="477"/>
        <v>0</v>
      </c>
      <c r="J873" s="1495"/>
      <c r="K873" s="1495"/>
      <c r="L873" s="1436"/>
      <c r="M873" s="1439"/>
      <c r="N873" s="1439"/>
      <c r="O873" s="1485"/>
      <c r="P873" s="1486"/>
      <c r="Q873" s="1486"/>
      <c r="R873" s="1487"/>
      <c r="S873" s="1444"/>
      <c r="T873" s="1444"/>
      <c r="U873" s="1444"/>
      <c r="V873" s="1488"/>
      <c r="W873" s="1488"/>
      <c r="X873" s="1488"/>
      <c r="Y873" s="1488"/>
      <c r="Z873" s="1488"/>
      <c r="AA873" s="1488"/>
      <c r="AB873" s="1488"/>
      <c r="AC873" s="1488"/>
      <c r="AD873" s="1488"/>
      <c r="AE873" s="1488"/>
      <c r="AF873" s="1488"/>
      <c r="AG873" s="1488"/>
      <c r="AH873" s="1451">
        <f t="shared" si="449"/>
        <v>0</v>
      </c>
      <c r="AI873" s="1488"/>
      <c r="AJ873" s="1488"/>
      <c r="AK873" s="1488"/>
      <c r="AL873" s="1488"/>
      <c r="AM873" s="1488"/>
      <c r="AN873" s="1488"/>
      <c r="AO873" s="1488"/>
      <c r="AP873" s="1488"/>
      <c r="AQ873" s="1488"/>
      <c r="AR873" s="1488"/>
      <c r="AS873" s="1488"/>
      <c r="AT873" s="1542"/>
      <c r="AU873" s="1599">
        <f t="shared" si="450"/>
        <v>0</v>
      </c>
      <c r="AV873" s="1544">
        <f t="shared" si="478"/>
        <v>0</v>
      </c>
      <c r="AW873" s="1452">
        <f t="shared" si="451"/>
        <v>0</v>
      </c>
      <c r="AX873" s="1452">
        <f t="shared" si="452"/>
        <v>0</v>
      </c>
      <c r="AY873" s="1452">
        <f t="shared" si="453"/>
        <v>0</v>
      </c>
      <c r="AZ873" s="1452">
        <f t="shared" si="454"/>
        <v>0</v>
      </c>
      <c r="BA873" s="1452">
        <f t="shared" si="455"/>
        <v>0</v>
      </c>
      <c r="BB873" s="1452">
        <f t="shared" si="456"/>
        <v>0</v>
      </c>
      <c r="BC873" s="1452">
        <f t="shared" si="457"/>
        <v>0</v>
      </c>
      <c r="BD873" s="1452">
        <f t="shared" si="458"/>
        <v>0</v>
      </c>
      <c r="BE873" s="1452">
        <f t="shared" si="459"/>
        <v>0</v>
      </c>
      <c r="BF873" s="1452">
        <f t="shared" si="460"/>
        <v>0</v>
      </c>
      <c r="BG873" s="1452">
        <f t="shared" si="461"/>
        <v>0</v>
      </c>
      <c r="BH873" s="1452">
        <f t="shared" si="462"/>
        <v>0</v>
      </c>
      <c r="BI873" s="1452">
        <f t="shared" si="479"/>
        <v>0</v>
      </c>
      <c r="BJ873" s="1452" t="str">
        <f t="shared" si="463"/>
        <v/>
      </c>
      <c r="BK873" s="1452" t="str">
        <f t="shared" si="464"/>
        <v/>
      </c>
      <c r="BL873" s="1452" t="str">
        <f t="shared" si="465"/>
        <v/>
      </c>
      <c r="BM873" s="1452" t="str">
        <f t="shared" si="466"/>
        <v/>
      </c>
      <c r="BN873" s="1452" t="str">
        <f t="shared" ca="1" si="467"/>
        <v/>
      </c>
      <c r="BO873" s="1452" t="str">
        <f t="shared" si="480"/>
        <v/>
      </c>
      <c r="BP873" s="1452" t="str">
        <f t="shared" si="468"/>
        <v/>
      </c>
      <c r="BQ873" s="1452" t="str">
        <f t="shared" si="469"/>
        <v/>
      </c>
      <c r="BR873" s="1452" t="str">
        <f t="shared" si="470"/>
        <v/>
      </c>
      <c r="BS873" s="1452" t="str">
        <f t="shared" si="471"/>
        <v/>
      </c>
      <c r="BT873" s="1452" t="str">
        <f t="shared" si="472"/>
        <v/>
      </c>
      <c r="BU873" s="1452" t="str">
        <f t="shared" si="473"/>
        <v/>
      </c>
      <c r="BV873" s="1452" t="str">
        <f t="shared" si="474"/>
        <v/>
      </c>
      <c r="BW873" s="1558">
        <f t="shared" ca="1" si="481"/>
        <v>0</v>
      </c>
      <c r="CY873" s="14"/>
    </row>
    <row r="874" spans="1:103" s="9" customFormat="1" ht="12.5">
      <c r="A874" s="1483" t="str">
        <f t="shared" si="475"/>
        <v>Public Health Wales Trust</v>
      </c>
      <c r="B874" s="1583"/>
      <c r="C874" s="1510"/>
      <c r="D874" s="1494"/>
      <c r="E874" s="1593"/>
      <c r="F874" s="1436"/>
      <c r="G874" s="1547">
        <f t="shared" si="476"/>
        <v>0</v>
      </c>
      <c r="H874" s="1484"/>
      <c r="I874" s="1547">
        <f t="shared" si="477"/>
        <v>0</v>
      </c>
      <c r="J874" s="1495"/>
      <c r="K874" s="1495"/>
      <c r="L874" s="1436"/>
      <c r="M874" s="1439"/>
      <c r="N874" s="1439"/>
      <c r="O874" s="1485"/>
      <c r="P874" s="1486"/>
      <c r="Q874" s="1486"/>
      <c r="R874" s="1487"/>
      <c r="S874" s="1444"/>
      <c r="T874" s="1444"/>
      <c r="U874" s="1444"/>
      <c r="V874" s="1488"/>
      <c r="W874" s="1488"/>
      <c r="X874" s="1488"/>
      <c r="Y874" s="1488"/>
      <c r="Z874" s="1488"/>
      <c r="AA874" s="1488"/>
      <c r="AB874" s="1488"/>
      <c r="AC874" s="1488"/>
      <c r="AD874" s="1488"/>
      <c r="AE874" s="1488"/>
      <c r="AF874" s="1488"/>
      <c r="AG874" s="1488"/>
      <c r="AH874" s="1451">
        <f t="shared" si="449"/>
        <v>0</v>
      </c>
      <c r="AI874" s="1488"/>
      <c r="AJ874" s="1488"/>
      <c r="AK874" s="1488"/>
      <c r="AL874" s="1488"/>
      <c r="AM874" s="1488"/>
      <c r="AN874" s="1488"/>
      <c r="AO874" s="1488"/>
      <c r="AP874" s="1488"/>
      <c r="AQ874" s="1488"/>
      <c r="AR874" s="1488"/>
      <c r="AS874" s="1488"/>
      <c r="AT874" s="1542"/>
      <c r="AU874" s="1599">
        <f t="shared" si="450"/>
        <v>0</v>
      </c>
      <c r="AV874" s="1544">
        <f t="shared" si="478"/>
        <v>0</v>
      </c>
      <c r="AW874" s="1452">
        <f t="shared" si="451"/>
        <v>0</v>
      </c>
      <c r="AX874" s="1452">
        <f t="shared" si="452"/>
        <v>0</v>
      </c>
      <c r="AY874" s="1452">
        <f t="shared" si="453"/>
        <v>0</v>
      </c>
      <c r="AZ874" s="1452">
        <f t="shared" si="454"/>
        <v>0</v>
      </c>
      <c r="BA874" s="1452">
        <f t="shared" si="455"/>
        <v>0</v>
      </c>
      <c r="BB874" s="1452">
        <f t="shared" si="456"/>
        <v>0</v>
      </c>
      <c r="BC874" s="1452">
        <f t="shared" si="457"/>
        <v>0</v>
      </c>
      <c r="BD874" s="1452">
        <f t="shared" si="458"/>
        <v>0</v>
      </c>
      <c r="BE874" s="1452">
        <f t="shared" si="459"/>
        <v>0</v>
      </c>
      <c r="BF874" s="1452">
        <f t="shared" si="460"/>
        <v>0</v>
      </c>
      <c r="BG874" s="1452">
        <f t="shared" si="461"/>
        <v>0</v>
      </c>
      <c r="BH874" s="1452">
        <f t="shared" si="462"/>
        <v>0</v>
      </c>
      <c r="BI874" s="1452">
        <f t="shared" si="479"/>
        <v>0</v>
      </c>
      <c r="BJ874" s="1452" t="str">
        <f t="shared" si="463"/>
        <v/>
      </c>
      <c r="BK874" s="1452" t="str">
        <f t="shared" si="464"/>
        <v/>
      </c>
      <c r="BL874" s="1452" t="str">
        <f t="shared" si="465"/>
        <v/>
      </c>
      <c r="BM874" s="1452" t="str">
        <f t="shared" si="466"/>
        <v/>
      </c>
      <c r="BN874" s="1452" t="str">
        <f t="shared" ca="1" si="467"/>
        <v/>
      </c>
      <c r="BO874" s="1452" t="str">
        <f t="shared" si="480"/>
        <v/>
      </c>
      <c r="BP874" s="1452" t="str">
        <f t="shared" si="468"/>
        <v/>
      </c>
      <c r="BQ874" s="1452" t="str">
        <f t="shared" si="469"/>
        <v/>
      </c>
      <c r="BR874" s="1452" t="str">
        <f t="shared" si="470"/>
        <v/>
      </c>
      <c r="BS874" s="1452" t="str">
        <f t="shared" si="471"/>
        <v/>
      </c>
      <c r="BT874" s="1452" t="str">
        <f t="shared" si="472"/>
        <v/>
      </c>
      <c r="BU874" s="1452" t="str">
        <f t="shared" si="473"/>
        <v/>
      </c>
      <c r="BV874" s="1452" t="str">
        <f t="shared" si="474"/>
        <v/>
      </c>
      <c r="BW874" s="1558">
        <f t="shared" ca="1" si="481"/>
        <v>0</v>
      </c>
      <c r="CY874" s="14"/>
    </row>
    <row r="875" spans="1:103" s="14" customFormat="1" ht="12.5">
      <c r="A875" s="1483" t="str">
        <f t="shared" si="475"/>
        <v>Public Health Wales Trust</v>
      </c>
      <c r="B875" s="1583"/>
      <c r="C875" s="1510"/>
      <c r="D875" s="1494"/>
      <c r="E875" s="1593"/>
      <c r="F875" s="1436"/>
      <c r="G875" s="1547">
        <f t="shared" si="476"/>
        <v>0</v>
      </c>
      <c r="H875" s="1484"/>
      <c r="I875" s="1547">
        <f t="shared" si="477"/>
        <v>0</v>
      </c>
      <c r="J875" s="1495"/>
      <c r="K875" s="1495"/>
      <c r="L875" s="1436"/>
      <c r="M875" s="1439"/>
      <c r="N875" s="1439"/>
      <c r="O875" s="1485"/>
      <c r="P875" s="1486"/>
      <c r="Q875" s="1486"/>
      <c r="R875" s="1487"/>
      <c r="S875" s="1444"/>
      <c r="T875" s="1444"/>
      <c r="U875" s="1444"/>
      <c r="V875" s="1488"/>
      <c r="W875" s="1488"/>
      <c r="X875" s="1488"/>
      <c r="Y875" s="1488"/>
      <c r="Z875" s="1488"/>
      <c r="AA875" s="1488"/>
      <c r="AB875" s="1488"/>
      <c r="AC875" s="1488"/>
      <c r="AD875" s="1488"/>
      <c r="AE875" s="1488"/>
      <c r="AF875" s="1488"/>
      <c r="AG875" s="1488"/>
      <c r="AH875" s="1451">
        <f t="shared" ref="AH875:AH938" si="482">SUM(V875:AG875)</f>
        <v>0</v>
      </c>
      <c r="AI875" s="1488"/>
      <c r="AJ875" s="1488"/>
      <c r="AK875" s="1488"/>
      <c r="AL875" s="1488"/>
      <c r="AM875" s="1488"/>
      <c r="AN875" s="1488"/>
      <c r="AO875" s="1488"/>
      <c r="AP875" s="1488"/>
      <c r="AQ875" s="1488"/>
      <c r="AR875" s="1488"/>
      <c r="AS875" s="1488"/>
      <c r="AT875" s="1542"/>
      <c r="AU875" s="1599">
        <f t="shared" ref="AU875:AU938" si="483">SUMPRODUCT($AC$40:$AN$40,AI875:AT875)</f>
        <v>0</v>
      </c>
      <c r="AV875" s="1544">
        <f t="shared" si="478"/>
        <v>0</v>
      </c>
      <c r="AW875" s="1452">
        <f t="shared" ref="AW875:AW938" si="484">AI875-V875</f>
        <v>0</v>
      </c>
      <c r="AX875" s="1452">
        <f t="shared" ref="AX875:AX938" si="485">AJ875-W875</f>
        <v>0</v>
      </c>
      <c r="AY875" s="1452">
        <f t="shared" ref="AY875:AY938" si="486">AK875-X875</f>
        <v>0</v>
      </c>
      <c r="AZ875" s="1452">
        <f t="shared" ref="AZ875:AZ938" si="487">AL875-Y875</f>
        <v>0</v>
      </c>
      <c r="BA875" s="1452">
        <f t="shared" ref="BA875:BA938" si="488">AM875-Z875</f>
        <v>0</v>
      </c>
      <c r="BB875" s="1452">
        <f t="shared" ref="BB875:BB938" si="489">AN875-AA875</f>
        <v>0</v>
      </c>
      <c r="BC875" s="1452">
        <f t="shared" ref="BC875:BC938" si="490">AO875-AB875</f>
        <v>0</v>
      </c>
      <c r="BD875" s="1452">
        <f t="shared" ref="BD875:BD938" si="491">AP875-AC875</f>
        <v>0</v>
      </c>
      <c r="BE875" s="1452">
        <f t="shared" ref="BE875:BE938" si="492">AQ875-AD875</f>
        <v>0</v>
      </c>
      <c r="BF875" s="1452">
        <f t="shared" ref="BF875:BF938" si="493">AR875-AE875</f>
        <v>0</v>
      </c>
      <c r="BG875" s="1452">
        <f t="shared" ref="BG875:BG938" si="494">AS875-AF875</f>
        <v>0</v>
      </c>
      <c r="BH875" s="1452">
        <f t="shared" ref="BH875:BH938" si="495">AT875-AG875</f>
        <v>0</v>
      </c>
      <c r="BI875" s="1452">
        <f t="shared" si="479"/>
        <v>0</v>
      </c>
      <c r="BJ875" s="1452" t="str">
        <f t="shared" ref="BJ875:BJ938" si="496">IF(OR(G875&gt;0,I875&gt;0),IF(AND(B875&lt;&gt;"",C875&lt;&gt;"",D875&lt;&gt;"",E875&lt;&gt;"",F875&lt;&gt;"",L875&lt;&gt;"",M875&lt;&gt;"",N875&lt;&gt;"",O875&lt;&gt;"",P875&lt;&gt;"",Q875&lt;&gt;"",R875&lt;&gt;""),"","ERROR"),"")</f>
        <v/>
      </c>
      <c r="BK875" s="1452" t="str">
        <f t="shared" ref="BK875:BK938" si="497">IF(COUNTIF($D$43:$D$1496,D875)&gt;1,"ERROR","")</f>
        <v/>
      </c>
      <c r="BL875" s="1452" t="str">
        <f t="shared" ref="BL875:BL938" si="498">IF(AND(OR(R875=$CQ$1,R875=$CQ$3),S875=""),"ERROR","")</f>
        <v/>
      </c>
      <c r="BM875" s="1452" t="str">
        <f t="shared" ref="BM875:BM938" si="499">IF(AND(OR(R875=$CQ$2),S875&lt;&gt;""),"ERROR","")</f>
        <v/>
      </c>
      <c r="BN875" s="1452" t="str">
        <f t="shared" ref="BN875:BN938" ca="1" si="500">IF(AND(O875=$CA$2,N875&lt;TODAY()),"ERROR","")</f>
        <v/>
      </c>
      <c r="BO875" s="1452" t="str">
        <f t="shared" si="480"/>
        <v/>
      </c>
      <c r="BP875" s="1452" t="str">
        <f t="shared" ref="BP875:BP938" si="501">IF(AND(F875=$BZ$1,G875&gt;H875),"ERROR","")</f>
        <v/>
      </c>
      <c r="BQ875" s="1452" t="str">
        <f t="shared" ref="BQ875:BQ938" si="502">IF(AND(F875=$BZ$1,I875&gt;J875),"ERROR","")</f>
        <v/>
      </c>
      <c r="BR875" s="1452" t="str">
        <f t="shared" ref="BR875:BR938" si="503">IF(AND(F875=$BZ$2,SUM(H875,J875)&gt;0),"ERROR","")</f>
        <v/>
      </c>
      <c r="BS875" s="1452" t="str">
        <f t="shared" ref="BS875:BS938" si="504">IF(AND(I875=0,J875&gt;0),"ERROR","")</f>
        <v/>
      </c>
      <c r="BT875" s="1452" t="str">
        <f t="shared" ref="BT875:BT938" si="505">IF(AND(O875=$CA$1,K875&lt;&gt;0),"ERROR","")</f>
        <v/>
      </c>
      <c r="BU875" s="1452" t="str">
        <f t="shared" ref="BU875:BU938" si="506">IF(AND(O875=$CA$2,I875-AU875-K875&lt;0),"ERROR","")</f>
        <v/>
      </c>
      <c r="BV875" s="1452" t="str">
        <f t="shared" ref="BV875:BV938" si="507">IF(S875="","",VLOOKUP(S875,$CS$1:$CT$14,2,0))</f>
        <v/>
      </c>
      <c r="BW875" s="1558">
        <f t="shared" ca="1" si="481"/>
        <v>0</v>
      </c>
      <c r="CI875" s="9"/>
    </row>
    <row r="876" spans="1:103" s="14" customFormat="1" ht="12.5">
      <c r="A876" s="1483" t="str">
        <f t="shared" ref="A876:A939" si="508">$A$1</f>
        <v>Public Health Wales Trust</v>
      </c>
      <c r="B876" s="1583"/>
      <c r="C876" s="1510"/>
      <c r="D876" s="1494"/>
      <c r="E876" s="1593"/>
      <c r="F876" s="1436"/>
      <c r="G876" s="1547">
        <f t="shared" ref="G876:G939" si="509">AH876</f>
        <v>0</v>
      </c>
      <c r="H876" s="1484"/>
      <c r="I876" s="1547">
        <f t="shared" ref="I876:I939" si="510">AV876</f>
        <v>0</v>
      </c>
      <c r="J876" s="1496"/>
      <c r="K876" s="1496"/>
      <c r="L876" s="1436"/>
      <c r="M876" s="1439"/>
      <c r="N876" s="1439"/>
      <c r="O876" s="1485"/>
      <c r="P876" s="1486"/>
      <c r="Q876" s="1486"/>
      <c r="R876" s="1487"/>
      <c r="S876" s="1444"/>
      <c r="T876" s="1444"/>
      <c r="U876" s="1444"/>
      <c r="V876" s="1488"/>
      <c r="W876" s="1488"/>
      <c r="X876" s="1488"/>
      <c r="Y876" s="1488"/>
      <c r="Z876" s="1488"/>
      <c r="AA876" s="1488"/>
      <c r="AB876" s="1488"/>
      <c r="AC876" s="1488"/>
      <c r="AD876" s="1488"/>
      <c r="AE876" s="1488"/>
      <c r="AF876" s="1488"/>
      <c r="AG876" s="1488"/>
      <c r="AH876" s="1451">
        <f t="shared" si="482"/>
        <v>0</v>
      </c>
      <c r="AI876" s="1488"/>
      <c r="AJ876" s="1488"/>
      <c r="AK876" s="1488"/>
      <c r="AL876" s="1488"/>
      <c r="AM876" s="1488"/>
      <c r="AN876" s="1488"/>
      <c r="AO876" s="1488"/>
      <c r="AP876" s="1488"/>
      <c r="AQ876" s="1488"/>
      <c r="AR876" s="1488"/>
      <c r="AS876" s="1488"/>
      <c r="AT876" s="1542"/>
      <c r="AU876" s="1599">
        <f t="shared" si="483"/>
        <v>0</v>
      </c>
      <c r="AV876" s="1544">
        <f t="shared" ref="AV876:AV939" si="511">SUM(AI876:AT876)</f>
        <v>0</v>
      </c>
      <c r="AW876" s="1452">
        <f t="shared" si="484"/>
        <v>0</v>
      </c>
      <c r="AX876" s="1452">
        <f t="shared" si="485"/>
        <v>0</v>
      </c>
      <c r="AY876" s="1452">
        <f t="shared" si="486"/>
        <v>0</v>
      </c>
      <c r="AZ876" s="1452">
        <f t="shared" si="487"/>
        <v>0</v>
      </c>
      <c r="BA876" s="1452">
        <f t="shared" si="488"/>
        <v>0</v>
      </c>
      <c r="BB876" s="1452">
        <f t="shared" si="489"/>
        <v>0</v>
      </c>
      <c r="BC876" s="1452">
        <f t="shared" si="490"/>
        <v>0</v>
      </c>
      <c r="BD876" s="1452">
        <f t="shared" si="491"/>
        <v>0</v>
      </c>
      <c r="BE876" s="1452">
        <f t="shared" si="492"/>
        <v>0</v>
      </c>
      <c r="BF876" s="1452">
        <f t="shared" si="493"/>
        <v>0</v>
      </c>
      <c r="BG876" s="1452">
        <f t="shared" si="494"/>
        <v>0</v>
      </c>
      <c r="BH876" s="1452">
        <f t="shared" si="495"/>
        <v>0</v>
      </c>
      <c r="BI876" s="1452">
        <f t="shared" ref="BI876:BI939" si="512">SUM(AW876:BH876)</f>
        <v>0</v>
      </c>
      <c r="BJ876" s="1452" t="str">
        <f t="shared" si="496"/>
        <v/>
      </c>
      <c r="BK876" s="1452" t="str">
        <f t="shared" si="497"/>
        <v/>
      </c>
      <c r="BL876" s="1452" t="str">
        <f t="shared" si="498"/>
        <v/>
      </c>
      <c r="BM876" s="1452" t="str">
        <f t="shared" si="499"/>
        <v/>
      </c>
      <c r="BN876" s="1452" t="str">
        <f t="shared" ca="1" si="500"/>
        <v/>
      </c>
      <c r="BO876" s="1452" t="str">
        <f t="shared" ref="BO876:BO939" si="513">IF(AND(AV876&gt;0,AH876=0),"ERROR","")</f>
        <v/>
      </c>
      <c r="BP876" s="1452" t="str">
        <f t="shared" si="501"/>
        <v/>
      </c>
      <c r="BQ876" s="1452" t="str">
        <f t="shared" si="502"/>
        <v/>
      </c>
      <c r="BR876" s="1452" t="str">
        <f t="shared" si="503"/>
        <v/>
      </c>
      <c r="BS876" s="1452" t="str">
        <f t="shared" si="504"/>
        <v/>
      </c>
      <c r="BT876" s="1452" t="str">
        <f t="shared" si="505"/>
        <v/>
      </c>
      <c r="BU876" s="1452" t="str">
        <f t="shared" si="506"/>
        <v/>
      </c>
      <c r="BV876" s="1452" t="str">
        <f t="shared" si="507"/>
        <v/>
      </c>
      <c r="BW876" s="1558">
        <f t="shared" ref="BW876:BW939" ca="1" si="514">COUNTIF(BJ876:BU876,"ERROR")</f>
        <v>0</v>
      </c>
    </row>
    <row r="877" spans="1:103" s="14" customFormat="1" ht="12.5">
      <c r="A877" s="1483" t="str">
        <f t="shared" si="508"/>
        <v>Public Health Wales Trust</v>
      </c>
      <c r="B877" s="1583"/>
      <c r="C877" s="1510"/>
      <c r="D877" s="1494"/>
      <c r="E877" s="1593"/>
      <c r="F877" s="1436"/>
      <c r="G877" s="1547">
        <f t="shared" si="509"/>
        <v>0</v>
      </c>
      <c r="H877" s="1484"/>
      <c r="I877" s="1547">
        <f t="shared" si="510"/>
        <v>0</v>
      </c>
      <c r="J877" s="1496"/>
      <c r="K877" s="1496"/>
      <c r="L877" s="1436"/>
      <c r="M877" s="1439"/>
      <c r="N877" s="1439"/>
      <c r="O877" s="1485"/>
      <c r="P877" s="1486"/>
      <c r="Q877" s="1486"/>
      <c r="R877" s="1487"/>
      <c r="S877" s="1444"/>
      <c r="T877" s="1444"/>
      <c r="U877" s="1444"/>
      <c r="V877" s="1488"/>
      <c r="W877" s="1488"/>
      <c r="X877" s="1488"/>
      <c r="Y877" s="1488"/>
      <c r="Z877" s="1488"/>
      <c r="AA877" s="1488"/>
      <c r="AB877" s="1488"/>
      <c r="AC877" s="1488"/>
      <c r="AD877" s="1488"/>
      <c r="AE877" s="1488"/>
      <c r="AF877" s="1488"/>
      <c r="AG877" s="1488"/>
      <c r="AH877" s="1451">
        <f t="shared" si="482"/>
        <v>0</v>
      </c>
      <c r="AI877" s="1488"/>
      <c r="AJ877" s="1488"/>
      <c r="AK877" s="1488"/>
      <c r="AL877" s="1488"/>
      <c r="AM877" s="1488"/>
      <c r="AN877" s="1488"/>
      <c r="AO877" s="1488"/>
      <c r="AP877" s="1488"/>
      <c r="AQ877" s="1488"/>
      <c r="AR877" s="1488"/>
      <c r="AS877" s="1488"/>
      <c r="AT877" s="1542"/>
      <c r="AU877" s="1599">
        <f t="shared" si="483"/>
        <v>0</v>
      </c>
      <c r="AV877" s="1544">
        <f t="shared" si="511"/>
        <v>0</v>
      </c>
      <c r="AW877" s="1452">
        <f t="shared" si="484"/>
        <v>0</v>
      </c>
      <c r="AX877" s="1452">
        <f t="shared" si="485"/>
        <v>0</v>
      </c>
      <c r="AY877" s="1452">
        <f t="shared" si="486"/>
        <v>0</v>
      </c>
      <c r="AZ877" s="1452">
        <f t="shared" si="487"/>
        <v>0</v>
      </c>
      <c r="BA877" s="1452">
        <f t="shared" si="488"/>
        <v>0</v>
      </c>
      <c r="BB877" s="1452">
        <f t="shared" si="489"/>
        <v>0</v>
      </c>
      <c r="BC877" s="1452">
        <f t="shared" si="490"/>
        <v>0</v>
      </c>
      <c r="BD877" s="1452">
        <f t="shared" si="491"/>
        <v>0</v>
      </c>
      <c r="BE877" s="1452">
        <f t="shared" si="492"/>
        <v>0</v>
      </c>
      <c r="BF877" s="1452">
        <f t="shared" si="493"/>
        <v>0</v>
      </c>
      <c r="BG877" s="1452">
        <f t="shared" si="494"/>
        <v>0</v>
      </c>
      <c r="BH877" s="1452">
        <f t="shared" si="495"/>
        <v>0</v>
      </c>
      <c r="BI877" s="1452">
        <f t="shared" si="512"/>
        <v>0</v>
      </c>
      <c r="BJ877" s="1452" t="str">
        <f t="shared" si="496"/>
        <v/>
      </c>
      <c r="BK877" s="1452" t="str">
        <f t="shared" si="497"/>
        <v/>
      </c>
      <c r="BL877" s="1452" t="str">
        <f t="shared" si="498"/>
        <v/>
      </c>
      <c r="BM877" s="1452" t="str">
        <f t="shared" si="499"/>
        <v/>
      </c>
      <c r="BN877" s="1452" t="str">
        <f t="shared" ca="1" si="500"/>
        <v/>
      </c>
      <c r="BO877" s="1452" t="str">
        <f t="shared" si="513"/>
        <v/>
      </c>
      <c r="BP877" s="1452" t="str">
        <f t="shared" si="501"/>
        <v/>
      </c>
      <c r="BQ877" s="1452" t="str">
        <f t="shared" si="502"/>
        <v/>
      </c>
      <c r="BR877" s="1452" t="str">
        <f t="shared" si="503"/>
        <v/>
      </c>
      <c r="BS877" s="1452" t="str">
        <f t="shared" si="504"/>
        <v/>
      </c>
      <c r="BT877" s="1452" t="str">
        <f t="shared" si="505"/>
        <v/>
      </c>
      <c r="BU877" s="1452" t="str">
        <f t="shared" si="506"/>
        <v/>
      </c>
      <c r="BV877" s="1452" t="str">
        <f t="shared" si="507"/>
        <v/>
      </c>
      <c r="BW877" s="1558">
        <f t="shared" ca="1" si="514"/>
        <v>0</v>
      </c>
      <c r="CY877" s="9"/>
    </row>
    <row r="878" spans="1:103" s="14" customFormat="1" ht="12.5">
      <c r="A878" s="1483" t="str">
        <f t="shared" si="508"/>
        <v>Public Health Wales Trust</v>
      </c>
      <c r="B878" s="1583"/>
      <c r="C878" s="1510"/>
      <c r="D878" s="1494"/>
      <c r="E878" s="1593"/>
      <c r="F878" s="1436"/>
      <c r="G878" s="1547">
        <f t="shared" si="509"/>
        <v>0</v>
      </c>
      <c r="H878" s="1484"/>
      <c r="I878" s="1547">
        <f t="shared" si="510"/>
        <v>0</v>
      </c>
      <c r="J878" s="1495"/>
      <c r="K878" s="1495"/>
      <c r="L878" s="1436"/>
      <c r="M878" s="1439"/>
      <c r="N878" s="1439"/>
      <c r="O878" s="1485"/>
      <c r="P878" s="1486"/>
      <c r="Q878" s="1486"/>
      <c r="R878" s="1487"/>
      <c r="S878" s="1444"/>
      <c r="T878" s="1444"/>
      <c r="U878" s="1444"/>
      <c r="V878" s="1488"/>
      <c r="W878" s="1488"/>
      <c r="X878" s="1488"/>
      <c r="Y878" s="1488"/>
      <c r="Z878" s="1488"/>
      <c r="AA878" s="1488"/>
      <c r="AB878" s="1488"/>
      <c r="AC878" s="1488"/>
      <c r="AD878" s="1488"/>
      <c r="AE878" s="1488"/>
      <c r="AF878" s="1488"/>
      <c r="AG878" s="1488"/>
      <c r="AH878" s="1451">
        <f t="shared" si="482"/>
        <v>0</v>
      </c>
      <c r="AI878" s="1488"/>
      <c r="AJ878" s="1488"/>
      <c r="AK878" s="1488"/>
      <c r="AL878" s="1488"/>
      <c r="AM878" s="1488"/>
      <c r="AN878" s="1488"/>
      <c r="AO878" s="1488"/>
      <c r="AP878" s="1488"/>
      <c r="AQ878" s="1488"/>
      <c r="AR878" s="1488"/>
      <c r="AS878" s="1488"/>
      <c r="AT878" s="1542"/>
      <c r="AU878" s="1599">
        <f t="shared" si="483"/>
        <v>0</v>
      </c>
      <c r="AV878" s="1544">
        <f t="shared" si="511"/>
        <v>0</v>
      </c>
      <c r="AW878" s="1452">
        <f t="shared" si="484"/>
        <v>0</v>
      </c>
      <c r="AX878" s="1452">
        <f t="shared" si="485"/>
        <v>0</v>
      </c>
      <c r="AY878" s="1452">
        <f t="shared" si="486"/>
        <v>0</v>
      </c>
      <c r="AZ878" s="1452">
        <f t="shared" si="487"/>
        <v>0</v>
      </c>
      <c r="BA878" s="1452">
        <f t="shared" si="488"/>
        <v>0</v>
      </c>
      <c r="BB878" s="1452">
        <f t="shared" si="489"/>
        <v>0</v>
      </c>
      <c r="BC878" s="1452">
        <f t="shared" si="490"/>
        <v>0</v>
      </c>
      <c r="BD878" s="1452">
        <f t="shared" si="491"/>
        <v>0</v>
      </c>
      <c r="BE878" s="1452">
        <f t="shared" si="492"/>
        <v>0</v>
      </c>
      <c r="BF878" s="1452">
        <f t="shared" si="493"/>
        <v>0</v>
      </c>
      <c r="BG878" s="1452">
        <f t="shared" si="494"/>
        <v>0</v>
      </c>
      <c r="BH878" s="1452">
        <f t="shared" si="495"/>
        <v>0</v>
      </c>
      <c r="BI878" s="1452">
        <f t="shared" si="512"/>
        <v>0</v>
      </c>
      <c r="BJ878" s="1452" t="str">
        <f t="shared" si="496"/>
        <v/>
      </c>
      <c r="BK878" s="1452" t="str">
        <f t="shared" si="497"/>
        <v/>
      </c>
      <c r="BL878" s="1452" t="str">
        <f t="shared" si="498"/>
        <v/>
      </c>
      <c r="BM878" s="1452" t="str">
        <f t="shared" si="499"/>
        <v/>
      </c>
      <c r="BN878" s="1452" t="str">
        <f t="shared" ca="1" si="500"/>
        <v/>
      </c>
      <c r="BO878" s="1452" t="str">
        <f t="shared" si="513"/>
        <v/>
      </c>
      <c r="BP878" s="1452" t="str">
        <f t="shared" si="501"/>
        <v/>
      </c>
      <c r="BQ878" s="1452" t="str">
        <f t="shared" si="502"/>
        <v/>
      </c>
      <c r="BR878" s="1452" t="str">
        <f t="shared" si="503"/>
        <v/>
      </c>
      <c r="BS878" s="1452" t="str">
        <f t="shared" si="504"/>
        <v/>
      </c>
      <c r="BT878" s="1452" t="str">
        <f t="shared" si="505"/>
        <v/>
      </c>
      <c r="BU878" s="1452" t="str">
        <f t="shared" si="506"/>
        <v/>
      </c>
      <c r="BV878" s="1452" t="str">
        <f t="shared" si="507"/>
        <v/>
      </c>
      <c r="BW878" s="1558">
        <f t="shared" ca="1" si="514"/>
        <v>0</v>
      </c>
      <c r="CY878" s="9"/>
    </row>
    <row r="879" spans="1:103" s="9" customFormat="1" ht="12.5">
      <c r="A879" s="1483" t="str">
        <f t="shared" si="508"/>
        <v>Public Health Wales Trust</v>
      </c>
      <c r="B879" s="1583"/>
      <c r="C879" s="1510"/>
      <c r="D879" s="1494"/>
      <c r="E879" s="1593"/>
      <c r="F879" s="1436"/>
      <c r="G879" s="1547">
        <f t="shared" si="509"/>
        <v>0</v>
      </c>
      <c r="H879" s="1484"/>
      <c r="I879" s="1547">
        <f t="shared" si="510"/>
        <v>0</v>
      </c>
      <c r="J879" s="1495"/>
      <c r="K879" s="1495"/>
      <c r="L879" s="1436"/>
      <c r="M879" s="1439"/>
      <c r="N879" s="1439"/>
      <c r="O879" s="1485"/>
      <c r="P879" s="1486"/>
      <c r="Q879" s="1486"/>
      <c r="R879" s="1487"/>
      <c r="S879" s="1444"/>
      <c r="T879" s="1444"/>
      <c r="U879" s="1444"/>
      <c r="V879" s="1488"/>
      <c r="W879" s="1488"/>
      <c r="X879" s="1488"/>
      <c r="Y879" s="1488"/>
      <c r="Z879" s="1488"/>
      <c r="AA879" s="1488"/>
      <c r="AB879" s="1488"/>
      <c r="AC879" s="1488"/>
      <c r="AD879" s="1488"/>
      <c r="AE879" s="1488"/>
      <c r="AF879" s="1488"/>
      <c r="AG879" s="1488"/>
      <c r="AH879" s="1451">
        <f t="shared" si="482"/>
        <v>0</v>
      </c>
      <c r="AI879" s="1488"/>
      <c r="AJ879" s="1488"/>
      <c r="AK879" s="1488"/>
      <c r="AL879" s="1488"/>
      <c r="AM879" s="1488"/>
      <c r="AN879" s="1488"/>
      <c r="AO879" s="1488"/>
      <c r="AP879" s="1488"/>
      <c r="AQ879" s="1488"/>
      <c r="AR879" s="1488"/>
      <c r="AS879" s="1488"/>
      <c r="AT879" s="1542"/>
      <c r="AU879" s="1599">
        <f t="shared" si="483"/>
        <v>0</v>
      </c>
      <c r="AV879" s="1544">
        <f t="shared" si="511"/>
        <v>0</v>
      </c>
      <c r="AW879" s="1452">
        <f t="shared" si="484"/>
        <v>0</v>
      </c>
      <c r="AX879" s="1452">
        <f t="shared" si="485"/>
        <v>0</v>
      </c>
      <c r="AY879" s="1452">
        <f t="shared" si="486"/>
        <v>0</v>
      </c>
      <c r="AZ879" s="1452">
        <f t="shared" si="487"/>
        <v>0</v>
      </c>
      <c r="BA879" s="1452">
        <f t="shared" si="488"/>
        <v>0</v>
      </c>
      <c r="BB879" s="1452">
        <f t="shared" si="489"/>
        <v>0</v>
      </c>
      <c r="BC879" s="1452">
        <f t="shared" si="490"/>
        <v>0</v>
      </c>
      <c r="BD879" s="1452">
        <f t="shared" si="491"/>
        <v>0</v>
      </c>
      <c r="BE879" s="1452">
        <f t="shared" si="492"/>
        <v>0</v>
      </c>
      <c r="BF879" s="1452">
        <f t="shared" si="493"/>
        <v>0</v>
      </c>
      <c r="BG879" s="1452">
        <f t="shared" si="494"/>
        <v>0</v>
      </c>
      <c r="BH879" s="1452">
        <f t="shared" si="495"/>
        <v>0</v>
      </c>
      <c r="BI879" s="1452">
        <f t="shared" si="512"/>
        <v>0</v>
      </c>
      <c r="BJ879" s="1452" t="str">
        <f t="shared" si="496"/>
        <v/>
      </c>
      <c r="BK879" s="1452" t="str">
        <f t="shared" si="497"/>
        <v/>
      </c>
      <c r="BL879" s="1452" t="str">
        <f t="shared" si="498"/>
        <v/>
      </c>
      <c r="BM879" s="1452" t="str">
        <f t="shared" si="499"/>
        <v/>
      </c>
      <c r="BN879" s="1452" t="str">
        <f t="shared" ca="1" si="500"/>
        <v/>
      </c>
      <c r="BO879" s="1452" t="str">
        <f t="shared" si="513"/>
        <v/>
      </c>
      <c r="BP879" s="1452" t="str">
        <f t="shared" si="501"/>
        <v/>
      </c>
      <c r="BQ879" s="1452" t="str">
        <f t="shared" si="502"/>
        <v/>
      </c>
      <c r="BR879" s="1452" t="str">
        <f t="shared" si="503"/>
        <v/>
      </c>
      <c r="BS879" s="1452" t="str">
        <f t="shared" si="504"/>
        <v/>
      </c>
      <c r="BT879" s="1452" t="str">
        <f t="shared" si="505"/>
        <v/>
      </c>
      <c r="BU879" s="1452" t="str">
        <f t="shared" si="506"/>
        <v/>
      </c>
      <c r="BV879" s="1452" t="str">
        <f t="shared" si="507"/>
        <v/>
      </c>
      <c r="BW879" s="1558">
        <f t="shared" ca="1" si="514"/>
        <v>0</v>
      </c>
      <c r="CI879" s="14"/>
    </row>
    <row r="880" spans="1:103" s="9" customFormat="1" ht="12.5">
      <c r="A880" s="1483" t="str">
        <f t="shared" si="508"/>
        <v>Public Health Wales Trust</v>
      </c>
      <c r="B880" s="1583"/>
      <c r="C880" s="1510"/>
      <c r="D880" s="1494"/>
      <c r="E880" s="1593"/>
      <c r="F880" s="1436"/>
      <c r="G880" s="1547">
        <f t="shared" si="509"/>
        <v>0</v>
      </c>
      <c r="H880" s="1484"/>
      <c r="I880" s="1547">
        <f t="shared" si="510"/>
        <v>0</v>
      </c>
      <c r="J880" s="1495"/>
      <c r="K880" s="1495"/>
      <c r="L880" s="1436"/>
      <c r="M880" s="1439"/>
      <c r="N880" s="1439"/>
      <c r="O880" s="1485"/>
      <c r="P880" s="1486"/>
      <c r="Q880" s="1486"/>
      <c r="R880" s="1487"/>
      <c r="S880" s="1444"/>
      <c r="T880" s="1444"/>
      <c r="U880" s="1444"/>
      <c r="V880" s="1488"/>
      <c r="W880" s="1488"/>
      <c r="X880" s="1488"/>
      <c r="Y880" s="1488"/>
      <c r="Z880" s="1488"/>
      <c r="AA880" s="1488"/>
      <c r="AB880" s="1488"/>
      <c r="AC880" s="1488"/>
      <c r="AD880" s="1488"/>
      <c r="AE880" s="1488"/>
      <c r="AF880" s="1488"/>
      <c r="AG880" s="1488"/>
      <c r="AH880" s="1451">
        <f t="shared" si="482"/>
        <v>0</v>
      </c>
      <c r="AI880" s="1488"/>
      <c r="AJ880" s="1488"/>
      <c r="AK880" s="1488"/>
      <c r="AL880" s="1488"/>
      <c r="AM880" s="1488"/>
      <c r="AN880" s="1488"/>
      <c r="AO880" s="1488"/>
      <c r="AP880" s="1488"/>
      <c r="AQ880" s="1488"/>
      <c r="AR880" s="1488"/>
      <c r="AS880" s="1488"/>
      <c r="AT880" s="1542"/>
      <c r="AU880" s="1599">
        <f t="shared" si="483"/>
        <v>0</v>
      </c>
      <c r="AV880" s="1544">
        <f t="shared" si="511"/>
        <v>0</v>
      </c>
      <c r="AW880" s="1452">
        <f t="shared" si="484"/>
        <v>0</v>
      </c>
      <c r="AX880" s="1452">
        <f t="shared" si="485"/>
        <v>0</v>
      </c>
      <c r="AY880" s="1452">
        <f t="shared" si="486"/>
        <v>0</v>
      </c>
      <c r="AZ880" s="1452">
        <f t="shared" si="487"/>
        <v>0</v>
      </c>
      <c r="BA880" s="1452">
        <f t="shared" si="488"/>
        <v>0</v>
      </c>
      <c r="BB880" s="1452">
        <f t="shared" si="489"/>
        <v>0</v>
      </c>
      <c r="BC880" s="1452">
        <f t="shared" si="490"/>
        <v>0</v>
      </c>
      <c r="BD880" s="1452">
        <f t="shared" si="491"/>
        <v>0</v>
      </c>
      <c r="BE880" s="1452">
        <f t="shared" si="492"/>
        <v>0</v>
      </c>
      <c r="BF880" s="1452">
        <f t="shared" si="493"/>
        <v>0</v>
      </c>
      <c r="BG880" s="1452">
        <f t="shared" si="494"/>
        <v>0</v>
      </c>
      <c r="BH880" s="1452">
        <f t="shared" si="495"/>
        <v>0</v>
      </c>
      <c r="BI880" s="1452">
        <f t="shared" si="512"/>
        <v>0</v>
      </c>
      <c r="BJ880" s="1452" t="str">
        <f t="shared" si="496"/>
        <v/>
      </c>
      <c r="BK880" s="1452" t="str">
        <f t="shared" si="497"/>
        <v/>
      </c>
      <c r="BL880" s="1452" t="str">
        <f t="shared" si="498"/>
        <v/>
      </c>
      <c r="BM880" s="1452" t="str">
        <f t="shared" si="499"/>
        <v/>
      </c>
      <c r="BN880" s="1452" t="str">
        <f t="shared" ca="1" si="500"/>
        <v/>
      </c>
      <c r="BO880" s="1452" t="str">
        <f t="shared" si="513"/>
        <v/>
      </c>
      <c r="BP880" s="1452" t="str">
        <f t="shared" si="501"/>
        <v/>
      </c>
      <c r="BQ880" s="1452" t="str">
        <f t="shared" si="502"/>
        <v/>
      </c>
      <c r="BR880" s="1452" t="str">
        <f t="shared" si="503"/>
        <v/>
      </c>
      <c r="BS880" s="1452" t="str">
        <f t="shared" si="504"/>
        <v/>
      </c>
      <c r="BT880" s="1452" t="str">
        <f t="shared" si="505"/>
        <v/>
      </c>
      <c r="BU880" s="1452" t="str">
        <f t="shared" si="506"/>
        <v/>
      </c>
      <c r="BV880" s="1452" t="str">
        <f t="shared" si="507"/>
        <v/>
      </c>
      <c r="BW880" s="1558">
        <f t="shared" ca="1" si="514"/>
        <v>0</v>
      </c>
    </row>
    <row r="881" spans="1:75" s="9" customFormat="1" ht="12.5">
      <c r="A881" s="1483" t="str">
        <f t="shared" si="508"/>
        <v>Public Health Wales Trust</v>
      </c>
      <c r="B881" s="1583"/>
      <c r="C881" s="1510"/>
      <c r="D881" s="1494"/>
      <c r="E881" s="1593"/>
      <c r="F881" s="1436"/>
      <c r="G881" s="1547">
        <f t="shared" si="509"/>
        <v>0</v>
      </c>
      <c r="H881" s="1484"/>
      <c r="I881" s="1547">
        <f t="shared" si="510"/>
        <v>0</v>
      </c>
      <c r="J881" s="1495"/>
      <c r="K881" s="1495"/>
      <c r="L881" s="1436"/>
      <c r="M881" s="1439"/>
      <c r="N881" s="1439"/>
      <c r="O881" s="1485"/>
      <c r="P881" s="1486"/>
      <c r="Q881" s="1486"/>
      <c r="R881" s="1487"/>
      <c r="S881" s="1444"/>
      <c r="T881" s="1444"/>
      <c r="U881" s="1444"/>
      <c r="V881" s="1488"/>
      <c r="W881" s="1488"/>
      <c r="X881" s="1488"/>
      <c r="Y881" s="1488"/>
      <c r="Z881" s="1488"/>
      <c r="AA881" s="1488"/>
      <c r="AB881" s="1488"/>
      <c r="AC881" s="1488"/>
      <c r="AD881" s="1488"/>
      <c r="AE881" s="1488"/>
      <c r="AF881" s="1488"/>
      <c r="AG881" s="1488"/>
      <c r="AH881" s="1451">
        <f t="shared" si="482"/>
        <v>0</v>
      </c>
      <c r="AI881" s="1488"/>
      <c r="AJ881" s="1488"/>
      <c r="AK881" s="1488"/>
      <c r="AL881" s="1488"/>
      <c r="AM881" s="1488"/>
      <c r="AN881" s="1488"/>
      <c r="AO881" s="1488"/>
      <c r="AP881" s="1488"/>
      <c r="AQ881" s="1488"/>
      <c r="AR881" s="1488"/>
      <c r="AS881" s="1488"/>
      <c r="AT881" s="1542"/>
      <c r="AU881" s="1599">
        <f t="shared" si="483"/>
        <v>0</v>
      </c>
      <c r="AV881" s="1544">
        <f t="shared" si="511"/>
        <v>0</v>
      </c>
      <c r="AW881" s="1452">
        <f t="shared" si="484"/>
        <v>0</v>
      </c>
      <c r="AX881" s="1452">
        <f t="shared" si="485"/>
        <v>0</v>
      </c>
      <c r="AY881" s="1452">
        <f t="shared" si="486"/>
        <v>0</v>
      </c>
      <c r="AZ881" s="1452">
        <f t="shared" si="487"/>
        <v>0</v>
      </c>
      <c r="BA881" s="1452">
        <f t="shared" si="488"/>
        <v>0</v>
      </c>
      <c r="BB881" s="1452">
        <f t="shared" si="489"/>
        <v>0</v>
      </c>
      <c r="BC881" s="1452">
        <f t="shared" si="490"/>
        <v>0</v>
      </c>
      <c r="BD881" s="1452">
        <f t="shared" si="491"/>
        <v>0</v>
      </c>
      <c r="BE881" s="1452">
        <f t="shared" si="492"/>
        <v>0</v>
      </c>
      <c r="BF881" s="1452">
        <f t="shared" si="493"/>
        <v>0</v>
      </c>
      <c r="BG881" s="1452">
        <f t="shared" si="494"/>
        <v>0</v>
      </c>
      <c r="BH881" s="1452">
        <f t="shared" si="495"/>
        <v>0</v>
      </c>
      <c r="BI881" s="1452">
        <f t="shared" si="512"/>
        <v>0</v>
      </c>
      <c r="BJ881" s="1452" t="str">
        <f t="shared" si="496"/>
        <v/>
      </c>
      <c r="BK881" s="1452" t="str">
        <f t="shared" si="497"/>
        <v/>
      </c>
      <c r="BL881" s="1452" t="str">
        <f t="shared" si="498"/>
        <v/>
      </c>
      <c r="BM881" s="1452" t="str">
        <f t="shared" si="499"/>
        <v/>
      </c>
      <c r="BN881" s="1452" t="str">
        <f t="shared" ca="1" si="500"/>
        <v/>
      </c>
      <c r="BO881" s="1452" t="str">
        <f t="shared" si="513"/>
        <v/>
      </c>
      <c r="BP881" s="1452" t="str">
        <f t="shared" si="501"/>
        <v/>
      </c>
      <c r="BQ881" s="1452" t="str">
        <f t="shared" si="502"/>
        <v/>
      </c>
      <c r="BR881" s="1452" t="str">
        <f t="shared" si="503"/>
        <v/>
      </c>
      <c r="BS881" s="1452" t="str">
        <f t="shared" si="504"/>
        <v/>
      </c>
      <c r="BT881" s="1452" t="str">
        <f t="shared" si="505"/>
        <v/>
      </c>
      <c r="BU881" s="1452" t="str">
        <f t="shared" si="506"/>
        <v/>
      </c>
      <c r="BV881" s="1452" t="str">
        <f t="shared" si="507"/>
        <v/>
      </c>
      <c r="BW881" s="1558">
        <f t="shared" ca="1" si="514"/>
        <v>0</v>
      </c>
    </row>
    <row r="882" spans="1:75" s="9" customFormat="1" ht="12.5">
      <c r="A882" s="1483" t="str">
        <f t="shared" si="508"/>
        <v>Public Health Wales Trust</v>
      </c>
      <c r="B882" s="1583"/>
      <c r="C882" s="1510"/>
      <c r="D882" s="1494"/>
      <c r="E882" s="1593"/>
      <c r="F882" s="1436"/>
      <c r="G882" s="1547">
        <f t="shared" si="509"/>
        <v>0</v>
      </c>
      <c r="H882" s="1484"/>
      <c r="I882" s="1547">
        <f t="shared" si="510"/>
        <v>0</v>
      </c>
      <c r="J882" s="1497"/>
      <c r="K882" s="1497"/>
      <c r="L882" s="1436"/>
      <c r="M882" s="1439"/>
      <c r="N882" s="1437"/>
      <c r="O882" s="1485"/>
      <c r="P882" s="1486"/>
      <c r="Q882" s="1486"/>
      <c r="R882" s="1487"/>
      <c r="S882" s="1444"/>
      <c r="T882" s="1444"/>
      <c r="U882" s="1444"/>
      <c r="V882" s="1488"/>
      <c r="W882" s="1488"/>
      <c r="X882" s="1488"/>
      <c r="Y882" s="1488"/>
      <c r="Z882" s="1488"/>
      <c r="AA882" s="1488"/>
      <c r="AB882" s="1488"/>
      <c r="AC882" s="1488"/>
      <c r="AD882" s="1488"/>
      <c r="AE882" s="1488"/>
      <c r="AF882" s="1488"/>
      <c r="AG882" s="1488"/>
      <c r="AH882" s="1451">
        <f t="shared" si="482"/>
        <v>0</v>
      </c>
      <c r="AI882" s="1488"/>
      <c r="AJ882" s="1488"/>
      <c r="AK882" s="1488"/>
      <c r="AL882" s="1488"/>
      <c r="AM882" s="1488"/>
      <c r="AN882" s="1488"/>
      <c r="AO882" s="1488"/>
      <c r="AP882" s="1488"/>
      <c r="AQ882" s="1488"/>
      <c r="AR882" s="1488"/>
      <c r="AS882" s="1488"/>
      <c r="AT882" s="1542"/>
      <c r="AU882" s="1599">
        <f t="shared" si="483"/>
        <v>0</v>
      </c>
      <c r="AV882" s="1544">
        <f t="shared" si="511"/>
        <v>0</v>
      </c>
      <c r="AW882" s="1452">
        <f t="shared" si="484"/>
        <v>0</v>
      </c>
      <c r="AX882" s="1452">
        <f t="shared" si="485"/>
        <v>0</v>
      </c>
      <c r="AY882" s="1452">
        <f t="shared" si="486"/>
        <v>0</v>
      </c>
      <c r="AZ882" s="1452">
        <f t="shared" si="487"/>
        <v>0</v>
      </c>
      <c r="BA882" s="1452">
        <f t="shared" si="488"/>
        <v>0</v>
      </c>
      <c r="BB882" s="1452">
        <f t="shared" si="489"/>
        <v>0</v>
      </c>
      <c r="BC882" s="1452">
        <f t="shared" si="490"/>
        <v>0</v>
      </c>
      <c r="BD882" s="1452">
        <f t="shared" si="491"/>
        <v>0</v>
      </c>
      <c r="BE882" s="1452">
        <f t="shared" si="492"/>
        <v>0</v>
      </c>
      <c r="BF882" s="1452">
        <f t="shared" si="493"/>
        <v>0</v>
      </c>
      <c r="BG882" s="1452">
        <f t="shared" si="494"/>
        <v>0</v>
      </c>
      <c r="BH882" s="1452">
        <f t="shared" si="495"/>
        <v>0</v>
      </c>
      <c r="BI882" s="1452">
        <f t="shared" si="512"/>
        <v>0</v>
      </c>
      <c r="BJ882" s="1452" t="str">
        <f t="shared" si="496"/>
        <v/>
      </c>
      <c r="BK882" s="1452" t="str">
        <f t="shared" si="497"/>
        <v/>
      </c>
      <c r="BL882" s="1452" t="str">
        <f t="shared" si="498"/>
        <v/>
      </c>
      <c r="BM882" s="1452" t="str">
        <f t="shared" si="499"/>
        <v/>
      </c>
      <c r="BN882" s="1452" t="str">
        <f t="shared" ca="1" si="500"/>
        <v/>
      </c>
      <c r="BO882" s="1452" t="str">
        <f t="shared" si="513"/>
        <v/>
      </c>
      <c r="BP882" s="1452" t="str">
        <f t="shared" si="501"/>
        <v/>
      </c>
      <c r="BQ882" s="1452" t="str">
        <f t="shared" si="502"/>
        <v/>
      </c>
      <c r="BR882" s="1452" t="str">
        <f t="shared" si="503"/>
        <v/>
      </c>
      <c r="BS882" s="1452" t="str">
        <f t="shared" si="504"/>
        <v/>
      </c>
      <c r="BT882" s="1452" t="str">
        <f t="shared" si="505"/>
        <v/>
      </c>
      <c r="BU882" s="1452" t="str">
        <f t="shared" si="506"/>
        <v/>
      </c>
      <c r="BV882" s="1452" t="str">
        <f t="shared" si="507"/>
        <v/>
      </c>
      <c r="BW882" s="1558">
        <f t="shared" ca="1" si="514"/>
        <v>0</v>
      </c>
    </row>
    <row r="883" spans="1:75" s="9" customFormat="1" ht="12.5">
      <c r="A883" s="1483" t="str">
        <f t="shared" si="508"/>
        <v>Public Health Wales Trust</v>
      </c>
      <c r="B883" s="1583"/>
      <c r="C883" s="1510"/>
      <c r="D883" s="1494"/>
      <c r="E883" s="1593"/>
      <c r="F883" s="1436"/>
      <c r="G883" s="1547">
        <f t="shared" si="509"/>
        <v>0</v>
      </c>
      <c r="H883" s="1484"/>
      <c r="I883" s="1547">
        <f t="shared" si="510"/>
        <v>0</v>
      </c>
      <c r="J883" s="1496"/>
      <c r="K883" s="1496"/>
      <c r="L883" s="1436"/>
      <c r="M883" s="1439"/>
      <c r="N883" s="1439"/>
      <c r="O883" s="1485"/>
      <c r="P883" s="1486"/>
      <c r="Q883" s="1486"/>
      <c r="R883" s="1487"/>
      <c r="S883" s="1444"/>
      <c r="T883" s="1444"/>
      <c r="U883" s="1444"/>
      <c r="V883" s="1488"/>
      <c r="W883" s="1488"/>
      <c r="X883" s="1488"/>
      <c r="Y883" s="1488"/>
      <c r="Z883" s="1488"/>
      <c r="AA883" s="1488"/>
      <c r="AB883" s="1488"/>
      <c r="AC883" s="1488"/>
      <c r="AD883" s="1488"/>
      <c r="AE883" s="1488"/>
      <c r="AF883" s="1488"/>
      <c r="AG883" s="1488"/>
      <c r="AH883" s="1451">
        <f t="shared" si="482"/>
        <v>0</v>
      </c>
      <c r="AI883" s="1488"/>
      <c r="AJ883" s="1488"/>
      <c r="AK883" s="1488"/>
      <c r="AL883" s="1488"/>
      <c r="AM883" s="1488"/>
      <c r="AN883" s="1488"/>
      <c r="AO883" s="1488"/>
      <c r="AP883" s="1488"/>
      <c r="AQ883" s="1488"/>
      <c r="AR883" s="1488"/>
      <c r="AS883" s="1488"/>
      <c r="AT883" s="1542"/>
      <c r="AU883" s="1599">
        <f t="shared" si="483"/>
        <v>0</v>
      </c>
      <c r="AV883" s="1544">
        <f t="shared" si="511"/>
        <v>0</v>
      </c>
      <c r="AW883" s="1452">
        <f t="shared" si="484"/>
        <v>0</v>
      </c>
      <c r="AX883" s="1452">
        <f t="shared" si="485"/>
        <v>0</v>
      </c>
      <c r="AY883" s="1452">
        <f t="shared" si="486"/>
        <v>0</v>
      </c>
      <c r="AZ883" s="1452">
        <f t="shared" si="487"/>
        <v>0</v>
      </c>
      <c r="BA883" s="1452">
        <f t="shared" si="488"/>
        <v>0</v>
      </c>
      <c r="BB883" s="1452">
        <f t="shared" si="489"/>
        <v>0</v>
      </c>
      <c r="BC883" s="1452">
        <f t="shared" si="490"/>
        <v>0</v>
      </c>
      <c r="BD883" s="1452">
        <f t="shared" si="491"/>
        <v>0</v>
      </c>
      <c r="BE883" s="1452">
        <f t="shared" si="492"/>
        <v>0</v>
      </c>
      <c r="BF883" s="1452">
        <f t="shared" si="493"/>
        <v>0</v>
      </c>
      <c r="BG883" s="1452">
        <f t="shared" si="494"/>
        <v>0</v>
      </c>
      <c r="BH883" s="1452">
        <f t="shared" si="495"/>
        <v>0</v>
      </c>
      <c r="BI883" s="1452">
        <f t="shared" si="512"/>
        <v>0</v>
      </c>
      <c r="BJ883" s="1452" t="str">
        <f t="shared" si="496"/>
        <v/>
      </c>
      <c r="BK883" s="1452" t="str">
        <f t="shared" si="497"/>
        <v/>
      </c>
      <c r="BL883" s="1452" t="str">
        <f t="shared" si="498"/>
        <v/>
      </c>
      <c r="BM883" s="1452" t="str">
        <f t="shared" si="499"/>
        <v/>
      </c>
      <c r="BN883" s="1452" t="str">
        <f t="shared" ca="1" si="500"/>
        <v/>
      </c>
      <c r="BO883" s="1452" t="str">
        <f t="shared" si="513"/>
        <v/>
      </c>
      <c r="BP883" s="1452" t="str">
        <f t="shared" si="501"/>
        <v/>
      </c>
      <c r="BQ883" s="1452" t="str">
        <f t="shared" si="502"/>
        <v/>
      </c>
      <c r="BR883" s="1452" t="str">
        <f t="shared" si="503"/>
        <v/>
      </c>
      <c r="BS883" s="1452" t="str">
        <f t="shared" si="504"/>
        <v/>
      </c>
      <c r="BT883" s="1452" t="str">
        <f t="shared" si="505"/>
        <v/>
      </c>
      <c r="BU883" s="1452" t="str">
        <f t="shared" si="506"/>
        <v/>
      </c>
      <c r="BV883" s="1452" t="str">
        <f t="shared" si="507"/>
        <v/>
      </c>
      <c r="BW883" s="1558">
        <f t="shared" ca="1" si="514"/>
        <v>0</v>
      </c>
    </row>
    <row r="884" spans="1:75" s="9" customFormat="1" ht="12.5">
      <c r="A884" s="1483" t="str">
        <f t="shared" si="508"/>
        <v>Public Health Wales Trust</v>
      </c>
      <c r="B884" s="1583"/>
      <c r="C884" s="1510"/>
      <c r="D884" s="1494"/>
      <c r="E884" s="1593"/>
      <c r="F884" s="1436"/>
      <c r="G884" s="1547">
        <f t="shared" si="509"/>
        <v>0</v>
      </c>
      <c r="H884" s="1484"/>
      <c r="I884" s="1547">
        <f t="shared" si="510"/>
        <v>0</v>
      </c>
      <c r="J884" s="1496"/>
      <c r="K884" s="1496"/>
      <c r="L884" s="1436"/>
      <c r="M884" s="1439"/>
      <c r="N884" s="1439"/>
      <c r="O884" s="1485"/>
      <c r="P884" s="1486"/>
      <c r="Q884" s="1486"/>
      <c r="R884" s="1487"/>
      <c r="S884" s="1444"/>
      <c r="T884" s="1444"/>
      <c r="U884" s="1444"/>
      <c r="V884" s="1488"/>
      <c r="W884" s="1488"/>
      <c r="X884" s="1488"/>
      <c r="Y884" s="1488"/>
      <c r="Z884" s="1488"/>
      <c r="AA884" s="1488"/>
      <c r="AB884" s="1488"/>
      <c r="AC884" s="1488"/>
      <c r="AD884" s="1488"/>
      <c r="AE884" s="1488"/>
      <c r="AF884" s="1488"/>
      <c r="AG884" s="1488"/>
      <c r="AH884" s="1451">
        <f t="shared" si="482"/>
        <v>0</v>
      </c>
      <c r="AI884" s="1488"/>
      <c r="AJ884" s="1488"/>
      <c r="AK884" s="1488"/>
      <c r="AL884" s="1488"/>
      <c r="AM884" s="1488"/>
      <c r="AN884" s="1488"/>
      <c r="AO884" s="1488"/>
      <c r="AP884" s="1488"/>
      <c r="AQ884" s="1488"/>
      <c r="AR884" s="1488"/>
      <c r="AS884" s="1488"/>
      <c r="AT884" s="1542"/>
      <c r="AU884" s="1599">
        <f t="shared" si="483"/>
        <v>0</v>
      </c>
      <c r="AV884" s="1544">
        <f t="shared" si="511"/>
        <v>0</v>
      </c>
      <c r="AW884" s="1452">
        <f t="shared" si="484"/>
        <v>0</v>
      </c>
      <c r="AX884" s="1452">
        <f t="shared" si="485"/>
        <v>0</v>
      </c>
      <c r="AY884" s="1452">
        <f t="shared" si="486"/>
        <v>0</v>
      </c>
      <c r="AZ884" s="1452">
        <f t="shared" si="487"/>
        <v>0</v>
      </c>
      <c r="BA884" s="1452">
        <f t="shared" si="488"/>
        <v>0</v>
      </c>
      <c r="BB884" s="1452">
        <f t="shared" si="489"/>
        <v>0</v>
      </c>
      <c r="BC884" s="1452">
        <f t="shared" si="490"/>
        <v>0</v>
      </c>
      <c r="BD884" s="1452">
        <f t="shared" si="491"/>
        <v>0</v>
      </c>
      <c r="BE884" s="1452">
        <f t="shared" si="492"/>
        <v>0</v>
      </c>
      <c r="BF884" s="1452">
        <f t="shared" si="493"/>
        <v>0</v>
      </c>
      <c r="BG884" s="1452">
        <f t="shared" si="494"/>
        <v>0</v>
      </c>
      <c r="BH884" s="1452">
        <f t="shared" si="495"/>
        <v>0</v>
      </c>
      <c r="BI884" s="1452">
        <f t="shared" si="512"/>
        <v>0</v>
      </c>
      <c r="BJ884" s="1452" t="str">
        <f t="shared" si="496"/>
        <v/>
      </c>
      <c r="BK884" s="1452" t="str">
        <f t="shared" si="497"/>
        <v/>
      </c>
      <c r="BL884" s="1452" t="str">
        <f t="shared" si="498"/>
        <v/>
      </c>
      <c r="BM884" s="1452" t="str">
        <f t="shared" si="499"/>
        <v/>
      </c>
      <c r="BN884" s="1452" t="str">
        <f t="shared" ca="1" si="500"/>
        <v/>
      </c>
      <c r="BO884" s="1452" t="str">
        <f t="shared" si="513"/>
        <v/>
      </c>
      <c r="BP884" s="1452" t="str">
        <f t="shared" si="501"/>
        <v/>
      </c>
      <c r="BQ884" s="1452" t="str">
        <f t="shared" si="502"/>
        <v/>
      </c>
      <c r="BR884" s="1452" t="str">
        <f t="shared" si="503"/>
        <v/>
      </c>
      <c r="BS884" s="1452" t="str">
        <f t="shared" si="504"/>
        <v/>
      </c>
      <c r="BT884" s="1452" t="str">
        <f t="shared" si="505"/>
        <v/>
      </c>
      <c r="BU884" s="1452" t="str">
        <f t="shared" si="506"/>
        <v/>
      </c>
      <c r="BV884" s="1452" t="str">
        <f t="shared" si="507"/>
        <v/>
      </c>
      <c r="BW884" s="1558">
        <f t="shared" ca="1" si="514"/>
        <v>0</v>
      </c>
    </row>
    <row r="885" spans="1:75" s="9" customFormat="1" ht="12.5">
      <c r="A885" s="1483" t="str">
        <f t="shared" si="508"/>
        <v>Public Health Wales Trust</v>
      </c>
      <c r="B885" s="1583"/>
      <c r="C885" s="1510"/>
      <c r="D885" s="1494"/>
      <c r="E885" s="1593"/>
      <c r="F885" s="1436"/>
      <c r="G885" s="1547">
        <f t="shared" si="509"/>
        <v>0</v>
      </c>
      <c r="H885" s="1484"/>
      <c r="I885" s="1547">
        <f t="shared" si="510"/>
        <v>0</v>
      </c>
      <c r="J885" s="1496"/>
      <c r="K885" s="1496"/>
      <c r="L885" s="1436"/>
      <c r="M885" s="1439"/>
      <c r="N885" s="1439"/>
      <c r="O885" s="1485"/>
      <c r="P885" s="1486"/>
      <c r="Q885" s="1486"/>
      <c r="R885" s="1487"/>
      <c r="S885" s="1444"/>
      <c r="T885" s="1444"/>
      <c r="U885" s="1444"/>
      <c r="V885" s="1488"/>
      <c r="W885" s="1488"/>
      <c r="X885" s="1488"/>
      <c r="Y885" s="1488"/>
      <c r="Z885" s="1488"/>
      <c r="AA885" s="1488"/>
      <c r="AB885" s="1488"/>
      <c r="AC885" s="1488"/>
      <c r="AD885" s="1488"/>
      <c r="AE885" s="1488"/>
      <c r="AF885" s="1488"/>
      <c r="AG885" s="1488"/>
      <c r="AH885" s="1451">
        <f t="shared" si="482"/>
        <v>0</v>
      </c>
      <c r="AI885" s="1488"/>
      <c r="AJ885" s="1488"/>
      <c r="AK885" s="1488"/>
      <c r="AL885" s="1488"/>
      <c r="AM885" s="1488"/>
      <c r="AN885" s="1488"/>
      <c r="AO885" s="1488"/>
      <c r="AP885" s="1488"/>
      <c r="AQ885" s="1488"/>
      <c r="AR885" s="1488"/>
      <c r="AS885" s="1488"/>
      <c r="AT885" s="1542"/>
      <c r="AU885" s="1599">
        <f t="shared" si="483"/>
        <v>0</v>
      </c>
      <c r="AV885" s="1544">
        <f t="shared" si="511"/>
        <v>0</v>
      </c>
      <c r="AW885" s="1452">
        <f t="shared" si="484"/>
        <v>0</v>
      </c>
      <c r="AX885" s="1452">
        <f t="shared" si="485"/>
        <v>0</v>
      </c>
      <c r="AY885" s="1452">
        <f t="shared" si="486"/>
        <v>0</v>
      </c>
      <c r="AZ885" s="1452">
        <f t="shared" si="487"/>
        <v>0</v>
      </c>
      <c r="BA885" s="1452">
        <f t="shared" si="488"/>
        <v>0</v>
      </c>
      <c r="BB885" s="1452">
        <f t="shared" si="489"/>
        <v>0</v>
      </c>
      <c r="BC885" s="1452">
        <f t="shared" si="490"/>
        <v>0</v>
      </c>
      <c r="BD885" s="1452">
        <f t="shared" si="491"/>
        <v>0</v>
      </c>
      <c r="BE885" s="1452">
        <f t="shared" si="492"/>
        <v>0</v>
      </c>
      <c r="BF885" s="1452">
        <f t="shared" si="493"/>
        <v>0</v>
      </c>
      <c r="BG885" s="1452">
        <f t="shared" si="494"/>
        <v>0</v>
      </c>
      <c r="BH885" s="1452">
        <f t="shared" si="495"/>
        <v>0</v>
      </c>
      <c r="BI885" s="1452">
        <f t="shared" si="512"/>
        <v>0</v>
      </c>
      <c r="BJ885" s="1452" t="str">
        <f t="shared" si="496"/>
        <v/>
      </c>
      <c r="BK885" s="1452" t="str">
        <f t="shared" si="497"/>
        <v/>
      </c>
      <c r="BL885" s="1452" t="str">
        <f t="shared" si="498"/>
        <v/>
      </c>
      <c r="BM885" s="1452" t="str">
        <f t="shared" si="499"/>
        <v/>
      </c>
      <c r="BN885" s="1452" t="str">
        <f t="shared" ca="1" si="500"/>
        <v/>
      </c>
      <c r="BO885" s="1452" t="str">
        <f t="shared" si="513"/>
        <v/>
      </c>
      <c r="BP885" s="1452" t="str">
        <f t="shared" si="501"/>
        <v/>
      </c>
      <c r="BQ885" s="1452" t="str">
        <f t="shared" si="502"/>
        <v/>
      </c>
      <c r="BR885" s="1452" t="str">
        <f t="shared" si="503"/>
        <v/>
      </c>
      <c r="BS885" s="1452" t="str">
        <f t="shared" si="504"/>
        <v/>
      </c>
      <c r="BT885" s="1452" t="str">
        <f t="shared" si="505"/>
        <v/>
      </c>
      <c r="BU885" s="1452" t="str">
        <f t="shared" si="506"/>
        <v/>
      </c>
      <c r="BV885" s="1452" t="str">
        <f t="shared" si="507"/>
        <v/>
      </c>
      <c r="BW885" s="1558">
        <f t="shared" ca="1" si="514"/>
        <v>0</v>
      </c>
    </row>
    <row r="886" spans="1:75" s="9" customFormat="1" ht="12.5">
      <c r="A886" s="1483" t="str">
        <f t="shared" si="508"/>
        <v>Public Health Wales Trust</v>
      </c>
      <c r="B886" s="1583"/>
      <c r="C886" s="1510"/>
      <c r="D886" s="1494"/>
      <c r="E886" s="1593"/>
      <c r="F886" s="1436"/>
      <c r="G886" s="1547">
        <f t="shared" si="509"/>
        <v>0</v>
      </c>
      <c r="H886" s="1484"/>
      <c r="I886" s="1547">
        <f t="shared" si="510"/>
        <v>0</v>
      </c>
      <c r="J886" s="1495"/>
      <c r="K886" s="1495"/>
      <c r="L886" s="1436"/>
      <c r="M886" s="1439"/>
      <c r="N886" s="1439"/>
      <c r="O886" s="1485"/>
      <c r="P886" s="1486"/>
      <c r="Q886" s="1486"/>
      <c r="R886" s="1487"/>
      <c r="S886" s="1444"/>
      <c r="T886" s="1444"/>
      <c r="U886" s="1444"/>
      <c r="V886" s="1488"/>
      <c r="W886" s="1488"/>
      <c r="X886" s="1488"/>
      <c r="Y886" s="1488"/>
      <c r="Z886" s="1488"/>
      <c r="AA886" s="1488"/>
      <c r="AB886" s="1488"/>
      <c r="AC886" s="1488"/>
      <c r="AD886" s="1488"/>
      <c r="AE886" s="1488"/>
      <c r="AF886" s="1488"/>
      <c r="AG886" s="1488"/>
      <c r="AH886" s="1451">
        <f t="shared" si="482"/>
        <v>0</v>
      </c>
      <c r="AI886" s="1488"/>
      <c r="AJ886" s="1488"/>
      <c r="AK886" s="1488"/>
      <c r="AL886" s="1488"/>
      <c r="AM886" s="1488"/>
      <c r="AN886" s="1488"/>
      <c r="AO886" s="1488"/>
      <c r="AP886" s="1488"/>
      <c r="AQ886" s="1488"/>
      <c r="AR886" s="1488"/>
      <c r="AS886" s="1488"/>
      <c r="AT886" s="1542"/>
      <c r="AU886" s="1599">
        <f t="shared" si="483"/>
        <v>0</v>
      </c>
      <c r="AV886" s="1544">
        <f t="shared" si="511"/>
        <v>0</v>
      </c>
      <c r="AW886" s="1452">
        <f t="shared" si="484"/>
        <v>0</v>
      </c>
      <c r="AX886" s="1452">
        <f t="shared" si="485"/>
        <v>0</v>
      </c>
      <c r="AY886" s="1452">
        <f t="shared" si="486"/>
        <v>0</v>
      </c>
      <c r="AZ886" s="1452">
        <f t="shared" si="487"/>
        <v>0</v>
      </c>
      <c r="BA886" s="1452">
        <f t="shared" si="488"/>
        <v>0</v>
      </c>
      <c r="BB886" s="1452">
        <f t="shared" si="489"/>
        <v>0</v>
      </c>
      <c r="BC886" s="1452">
        <f t="shared" si="490"/>
        <v>0</v>
      </c>
      <c r="BD886" s="1452">
        <f t="shared" si="491"/>
        <v>0</v>
      </c>
      <c r="BE886" s="1452">
        <f t="shared" si="492"/>
        <v>0</v>
      </c>
      <c r="BF886" s="1452">
        <f t="shared" si="493"/>
        <v>0</v>
      </c>
      <c r="BG886" s="1452">
        <f t="shared" si="494"/>
        <v>0</v>
      </c>
      <c r="BH886" s="1452">
        <f t="shared" si="495"/>
        <v>0</v>
      </c>
      <c r="BI886" s="1452">
        <f t="shared" si="512"/>
        <v>0</v>
      </c>
      <c r="BJ886" s="1452" t="str">
        <f t="shared" si="496"/>
        <v/>
      </c>
      <c r="BK886" s="1452" t="str">
        <f t="shared" si="497"/>
        <v/>
      </c>
      <c r="BL886" s="1452" t="str">
        <f t="shared" si="498"/>
        <v/>
      </c>
      <c r="BM886" s="1452" t="str">
        <f t="shared" si="499"/>
        <v/>
      </c>
      <c r="BN886" s="1452" t="str">
        <f t="shared" ca="1" si="500"/>
        <v/>
      </c>
      <c r="BO886" s="1452" t="str">
        <f t="shared" si="513"/>
        <v/>
      </c>
      <c r="BP886" s="1452" t="str">
        <f t="shared" si="501"/>
        <v/>
      </c>
      <c r="BQ886" s="1452" t="str">
        <f t="shared" si="502"/>
        <v/>
      </c>
      <c r="BR886" s="1452" t="str">
        <f t="shared" si="503"/>
        <v/>
      </c>
      <c r="BS886" s="1452" t="str">
        <f t="shared" si="504"/>
        <v/>
      </c>
      <c r="BT886" s="1452" t="str">
        <f t="shared" si="505"/>
        <v/>
      </c>
      <c r="BU886" s="1452" t="str">
        <f t="shared" si="506"/>
        <v/>
      </c>
      <c r="BV886" s="1452" t="str">
        <f t="shared" si="507"/>
        <v/>
      </c>
      <c r="BW886" s="1558">
        <f t="shared" ca="1" si="514"/>
        <v>0</v>
      </c>
    </row>
    <row r="887" spans="1:75" s="9" customFormat="1" ht="12.5">
      <c r="A887" s="1483" t="str">
        <f t="shared" si="508"/>
        <v>Public Health Wales Trust</v>
      </c>
      <c r="B887" s="1583"/>
      <c r="C887" s="1510"/>
      <c r="D887" s="1494"/>
      <c r="E887" s="1593"/>
      <c r="F887" s="1436"/>
      <c r="G887" s="1547">
        <f t="shared" si="509"/>
        <v>0</v>
      </c>
      <c r="H887" s="1484"/>
      <c r="I887" s="1547">
        <f t="shared" si="510"/>
        <v>0</v>
      </c>
      <c r="J887" s="1495"/>
      <c r="K887" s="1495"/>
      <c r="L887" s="1436"/>
      <c r="M887" s="1439"/>
      <c r="N887" s="1439"/>
      <c r="O887" s="1485"/>
      <c r="P887" s="1486"/>
      <c r="Q887" s="1486"/>
      <c r="R887" s="1487"/>
      <c r="S887" s="1444"/>
      <c r="T887" s="1444"/>
      <c r="U887" s="1444"/>
      <c r="V887" s="1488"/>
      <c r="W887" s="1488"/>
      <c r="X887" s="1488"/>
      <c r="Y887" s="1488"/>
      <c r="Z887" s="1488"/>
      <c r="AA887" s="1488"/>
      <c r="AB887" s="1488"/>
      <c r="AC887" s="1488"/>
      <c r="AD887" s="1488"/>
      <c r="AE887" s="1488"/>
      <c r="AF887" s="1488"/>
      <c r="AG887" s="1488"/>
      <c r="AH887" s="1451">
        <f t="shared" si="482"/>
        <v>0</v>
      </c>
      <c r="AI887" s="1488"/>
      <c r="AJ887" s="1488"/>
      <c r="AK887" s="1488"/>
      <c r="AL887" s="1488"/>
      <c r="AM887" s="1488"/>
      <c r="AN887" s="1488"/>
      <c r="AO887" s="1488"/>
      <c r="AP887" s="1488"/>
      <c r="AQ887" s="1488"/>
      <c r="AR887" s="1488"/>
      <c r="AS887" s="1488"/>
      <c r="AT887" s="1542"/>
      <c r="AU887" s="1599">
        <f t="shared" si="483"/>
        <v>0</v>
      </c>
      <c r="AV887" s="1544">
        <f t="shared" si="511"/>
        <v>0</v>
      </c>
      <c r="AW887" s="1452">
        <f t="shared" si="484"/>
        <v>0</v>
      </c>
      <c r="AX887" s="1452">
        <f t="shared" si="485"/>
        <v>0</v>
      </c>
      <c r="AY887" s="1452">
        <f t="shared" si="486"/>
        <v>0</v>
      </c>
      <c r="AZ887" s="1452">
        <f t="shared" si="487"/>
        <v>0</v>
      </c>
      <c r="BA887" s="1452">
        <f t="shared" si="488"/>
        <v>0</v>
      </c>
      <c r="BB887" s="1452">
        <f t="shared" si="489"/>
        <v>0</v>
      </c>
      <c r="BC887" s="1452">
        <f t="shared" si="490"/>
        <v>0</v>
      </c>
      <c r="BD887" s="1452">
        <f t="shared" si="491"/>
        <v>0</v>
      </c>
      <c r="BE887" s="1452">
        <f t="shared" si="492"/>
        <v>0</v>
      </c>
      <c r="BF887" s="1452">
        <f t="shared" si="493"/>
        <v>0</v>
      </c>
      <c r="BG887" s="1452">
        <f t="shared" si="494"/>
        <v>0</v>
      </c>
      <c r="BH887" s="1452">
        <f t="shared" si="495"/>
        <v>0</v>
      </c>
      <c r="BI887" s="1452">
        <f t="shared" si="512"/>
        <v>0</v>
      </c>
      <c r="BJ887" s="1452" t="str">
        <f t="shared" si="496"/>
        <v/>
      </c>
      <c r="BK887" s="1452" t="str">
        <f t="shared" si="497"/>
        <v/>
      </c>
      <c r="BL887" s="1452" t="str">
        <f t="shared" si="498"/>
        <v/>
      </c>
      <c r="BM887" s="1452" t="str">
        <f t="shared" si="499"/>
        <v/>
      </c>
      <c r="BN887" s="1452" t="str">
        <f t="shared" ca="1" si="500"/>
        <v/>
      </c>
      <c r="BO887" s="1452" t="str">
        <f t="shared" si="513"/>
        <v/>
      </c>
      <c r="BP887" s="1452" t="str">
        <f t="shared" si="501"/>
        <v/>
      </c>
      <c r="BQ887" s="1452" t="str">
        <f t="shared" si="502"/>
        <v/>
      </c>
      <c r="BR887" s="1452" t="str">
        <f t="shared" si="503"/>
        <v/>
      </c>
      <c r="BS887" s="1452" t="str">
        <f t="shared" si="504"/>
        <v/>
      </c>
      <c r="BT887" s="1452" t="str">
        <f t="shared" si="505"/>
        <v/>
      </c>
      <c r="BU887" s="1452" t="str">
        <f t="shared" si="506"/>
        <v/>
      </c>
      <c r="BV887" s="1452" t="str">
        <f t="shared" si="507"/>
        <v/>
      </c>
      <c r="BW887" s="1558">
        <f t="shared" ca="1" si="514"/>
        <v>0</v>
      </c>
    </row>
    <row r="888" spans="1:75" s="9" customFormat="1" ht="12.5">
      <c r="A888" s="1483" t="str">
        <f t="shared" si="508"/>
        <v>Public Health Wales Trust</v>
      </c>
      <c r="B888" s="1583"/>
      <c r="C888" s="1510"/>
      <c r="D888" s="1494"/>
      <c r="E888" s="1593"/>
      <c r="F888" s="1436"/>
      <c r="G888" s="1547">
        <f t="shared" si="509"/>
        <v>0</v>
      </c>
      <c r="H888" s="1484"/>
      <c r="I888" s="1547">
        <f t="shared" si="510"/>
        <v>0</v>
      </c>
      <c r="J888" s="1495"/>
      <c r="K888" s="1495"/>
      <c r="L888" s="1436"/>
      <c r="M888" s="1439"/>
      <c r="N888" s="1500"/>
      <c r="O888" s="1485"/>
      <c r="P888" s="1486"/>
      <c r="Q888" s="1486"/>
      <c r="R888" s="1487"/>
      <c r="S888" s="1444"/>
      <c r="T888" s="1444"/>
      <c r="U888" s="1444"/>
      <c r="V888" s="1488"/>
      <c r="W888" s="1488"/>
      <c r="X888" s="1488"/>
      <c r="Y888" s="1488"/>
      <c r="Z888" s="1488"/>
      <c r="AA888" s="1488"/>
      <c r="AB888" s="1488"/>
      <c r="AC888" s="1488"/>
      <c r="AD888" s="1488"/>
      <c r="AE888" s="1488"/>
      <c r="AF888" s="1488"/>
      <c r="AG888" s="1488"/>
      <c r="AH888" s="1451">
        <f t="shared" si="482"/>
        <v>0</v>
      </c>
      <c r="AI888" s="1488"/>
      <c r="AJ888" s="1488"/>
      <c r="AK888" s="1488"/>
      <c r="AL888" s="1488"/>
      <c r="AM888" s="1488"/>
      <c r="AN888" s="1488"/>
      <c r="AO888" s="1488"/>
      <c r="AP888" s="1488"/>
      <c r="AQ888" s="1488"/>
      <c r="AR888" s="1488"/>
      <c r="AS888" s="1488"/>
      <c r="AT888" s="1542"/>
      <c r="AU888" s="1599">
        <f t="shared" si="483"/>
        <v>0</v>
      </c>
      <c r="AV888" s="1544">
        <f t="shared" si="511"/>
        <v>0</v>
      </c>
      <c r="AW888" s="1452">
        <f t="shared" si="484"/>
        <v>0</v>
      </c>
      <c r="AX888" s="1452">
        <f t="shared" si="485"/>
        <v>0</v>
      </c>
      <c r="AY888" s="1452">
        <f t="shared" si="486"/>
        <v>0</v>
      </c>
      <c r="AZ888" s="1452">
        <f t="shared" si="487"/>
        <v>0</v>
      </c>
      <c r="BA888" s="1452">
        <f t="shared" si="488"/>
        <v>0</v>
      </c>
      <c r="BB888" s="1452">
        <f t="shared" si="489"/>
        <v>0</v>
      </c>
      <c r="BC888" s="1452">
        <f t="shared" si="490"/>
        <v>0</v>
      </c>
      <c r="BD888" s="1452">
        <f t="shared" si="491"/>
        <v>0</v>
      </c>
      <c r="BE888" s="1452">
        <f t="shared" si="492"/>
        <v>0</v>
      </c>
      <c r="BF888" s="1452">
        <f t="shared" si="493"/>
        <v>0</v>
      </c>
      <c r="BG888" s="1452">
        <f t="shared" si="494"/>
        <v>0</v>
      </c>
      <c r="BH888" s="1452">
        <f t="shared" si="495"/>
        <v>0</v>
      </c>
      <c r="BI888" s="1452">
        <f t="shared" si="512"/>
        <v>0</v>
      </c>
      <c r="BJ888" s="1452" t="str">
        <f t="shared" si="496"/>
        <v/>
      </c>
      <c r="BK888" s="1452" t="str">
        <f t="shared" si="497"/>
        <v/>
      </c>
      <c r="BL888" s="1452" t="str">
        <f t="shared" si="498"/>
        <v/>
      </c>
      <c r="BM888" s="1452" t="str">
        <f t="shared" si="499"/>
        <v/>
      </c>
      <c r="BN888" s="1452" t="str">
        <f t="shared" ca="1" si="500"/>
        <v/>
      </c>
      <c r="BO888" s="1452" t="str">
        <f t="shared" si="513"/>
        <v/>
      </c>
      <c r="BP888" s="1452" t="str">
        <f t="shared" si="501"/>
        <v/>
      </c>
      <c r="BQ888" s="1452" t="str">
        <f t="shared" si="502"/>
        <v/>
      </c>
      <c r="BR888" s="1452" t="str">
        <f t="shared" si="503"/>
        <v/>
      </c>
      <c r="BS888" s="1452" t="str">
        <f t="shared" si="504"/>
        <v/>
      </c>
      <c r="BT888" s="1452" t="str">
        <f t="shared" si="505"/>
        <v/>
      </c>
      <c r="BU888" s="1452" t="str">
        <f t="shared" si="506"/>
        <v/>
      </c>
      <c r="BV888" s="1452" t="str">
        <f t="shared" si="507"/>
        <v/>
      </c>
      <c r="BW888" s="1558">
        <f t="shared" ca="1" si="514"/>
        <v>0</v>
      </c>
    </row>
    <row r="889" spans="1:75" s="9" customFormat="1" ht="12.5">
      <c r="A889" s="1483" t="str">
        <f t="shared" si="508"/>
        <v>Public Health Wales Trust</v>
      </c>
      <c r="B889" s="1583"/>
      <c r="C889" s="1510"/>
      <c r="D889" s="1494"/>
      <c r="E889" s="1593"/>
      <c r="F889" s="1436"/>
      <c r="G889" s="1547">
        <f t="shared" si="509"/>
        <v>0</v>
      </c>
      <c r="H889" s="1484"/>
      <c r="I889" s="1547">
        <f t="shared" si="510"/>
        <v>0</v>
      </c>
      <c r="J889" s="1495"/>
      <c r="K889" s="1495"/>
      <c r="L889" s="1436"/>
      <c r="M889" s="1439"/>
      <c r="N889" s="1500"/>
      <c r="O889" s="1485"/>
      <c r="P889" s="1486"/>
      <c r="Q889" s="1486"/>
      <c r="R889" s="1487"/>
      <c r="S889" s="1444"/>
      <c r="T889" s="1444"/>
      <c r="U889" s="1444"/>
      <c r="V889" s="1488"/>
      <c r="W889" s="1488"/>
      <c r="X889" s="1488"/>
      <c r="Y889" s="1488"/>
      <c r="Z889" s="1488"/>
      <c r="AA889" s="1488"/>
      <c r="AB889" s="1488"/>
      <c r="AC889" s="1488"/>
      <c r="AD889" s="1488"/>
      <c r="AE889" s="1488"/>
      <c r="AF889" s="1488"/>
      <c r="AG889" s="1488"/>
      <c r="AH889" s="1451">
        <f t="shared" si="482"/>
        <v>0</v>
      </c>
      <c r="AI889" s="1488"/>
      <c r="AJ889" s="1488"/>
      <c r="AK889" s="1488"/>
      <c r="AL889" s="1488"/>
      <c r="AM889" s="1488"/>
      <c r="AN889" s="1488"/>
      <c r="AO889" s="1488"/>
      <c r="AP889" s="1488"/>
      <c r="AQ889" s="1488"/>
      <c r="AR889" s="1488"/>
      <c r="AS889" s="1488"/>
      <c r="AT889" s="1542"/>
      <c r="AU889" s="1599">
        <f t="shared" si="483"/>
        <v>0</v>
      </c>
      <c r="AV889" s="1544">
        <f t="shared" si="511"/>
        <v>0</v>
      </c>
      <c r="AW889" s="1452">
        <f t="shared" si="484"/>
        <v>0</v>
      </c>
      <c r="AX889" s="1452">
        <f t="shared" si="485"/>
        <v>0</v>
      </c>
      <c r="AY889" s="1452">
        <f t="shared" si="486"/>
        <v>0</v>
      </c>
      <c r="AZ889" s="1452">
        <f t="shared" si="487"/>
        <v>0</v>
      </c>
      <c r="BA889" s="1452">
        <f t="shared" si="488"/>
        <v>0</v>
      </c>
      <c r="BB889" s="1452">
        <f t="shared" si="489"/>
        <v>0</v>
      </c>
      <c r="BC889" s="1452">
        <f t="shared" si="490"/>
        <v>0</v>
      </c>
      <c r="BD889" s="1452">
        <f t="shared" si="491"/>
        <v>0</v>
      </c>
      <c r="BE889" s="1452">
        <f t="shared" si="492"/>
        <v>0</v>
      </c>
      <c r="BF889" s="1452">
        <f t="shared" si="493"/>
        <v>0</v>
      </c>
      <c r="BG889" s="1452">
        <f t="shared" si="494"/>
        <v>0</v>
      </c>
      <c r="BH889" s="1452">
        <f t="shared" si="495"/>
        <v>0</v>
      </c>
      <c r="BI889" s="1452">
        <f t="shared" si="512"/>
        <v>0</v>
      </c>
      <c r="BJ889" s="1452" t="str">
        <f t="shared" si="496"/>
        <v/>
      </c>
      <c r="BK889" s="1452" t="str">
        <f t="shared" si="497"/>
        <v/>
      </c>
      <c r="BL889" s="1452" t="str">
        <f t="shared" si="498"/>
        <v/>
      </c>
      <c r="BM889" s="1452" t="str">
        <f t="shared" si="499"/>
        <v/>
      </c>
      <c r="BN889" s="1452" t="str">
        <f t="shared" ca="1" si="500"/>
        <v/>
      </c>
      <c r="BO889" s="1452" t="str">
        <f t="shared" si="513"/>
        <v/>
      </c>
      <c r="BP889" s="1452" t="str">
        <f t="shared" si="501"/>
        <v/>
      </c>
      <c r="BQ889" s="1452" t="str">
        <f t="shared" si="502"/>
        <v/>
      </c>
      <c r="BR889" s="1452" t="str">
        <f t="shared" si="503"/>
        <v/>
      </c>
      <c r="BS889" s="1452" t="str">
        <f t="shared" si="504"/>
        <v/>
      </c>
      <c r="BT889" s="1452" t="str">
        <f t="shared" si="505"/>
        <v/>
      </c>
      <c r="BU889" s="1452" t="str">
        <f t="shared" si="506"/>
        <v/>
      </c>
      <c r="BV889" s="1452" t="str">
        <f t="shared" si="507"/>
        <v/>
      </c>
      <c r="BW889" s="1558">
        <f t="shared" ca="1" si="514"/>
        <v>0</v>
      </c>
    </row>
    <row r="890" spans="1:75" s="9" customFormat="1" ht="12.5">
      <c r="A890" s="1483" t="str">
        <f t="shared" si="508"/>
        <v>Public Health Wales Trust</v>
      </c>
      <c r="B890" s="1583"/>
      <c r="C890" s="1510"/>
      <c r="D890" s="1494"/>
      <c r="E890" s="1593"/>
      <c r="F890" s="1436"/>
      <c r="G890" s="1547">
        <f t="shared" si="509"/>
        <v>0</v>
      </c>
      <c r="H890" s="1484"/>
      <c r="I890" s="1547">
        <f t="shared" si="510"/>
        <v>0</v>
      </c>
      <c r="J890" s="1495"/>
      <c r="K890" s="1495"/>
      <c r="L890" s="1436"/>
      <c r="M890" s="1439"/>
      <c r="N890" s="1501"/>
      <c r="O890" s="1485"/>
      <c r="P890" s="1486"/>
      <c r="Q890" s="1486"/>
      <c r="R890" s="1487"/>
      <c r="S890" s="1444"/>
      <c r="T890" s="1444"/>
      <c r="U890" s="1444"/>
      <c r="V890" s="1488"/>
      <c r="W890" s="1488"/>
      <c r="X890" s="1488"/>
      <c r="Y890" s="1488"/>
      <c r="Z890" s="1488"/>
      <c r="AA890" s="1488"/>
      <c r="AB890" s="1488"/>
      <c r="AC890" s="1488"/>
      <c r="AD890" s="1488"/>
      <c r="AE890" s="1488"/>
      <c r="AF890" s="1488"/>
      <c r="AG890" s="1488"/>
      <c r="AH890" s="1451">
        <f t="shared" si="482"/>
        <v>0</v>
      </c>
      <c r="AI890" s="1488"/>
      <c r="AJ890" s="1488"/>
      <c r="AK890" s="1488"/>
      <c r="AL890" s="1488"/>
      <c r="AM890" s="1488"/>
      <c r="AN890" s="1488"/>
      <c r="AO890" s="1488"/>
      <c r="AP890" s="1488"/>
      <c r="AQ890" s="1488"/>
      <c r="AR890" s="1488"/>
      <c r="AS890" s="1488"/>
      <c r="AT890" s="1542"/>
      <c r="AU890" s="1599">
        <f t="shared" si="483"/>
        <v>0</v>
      </c>
      <c r="AV890" s="1544">
        <f t="shared" si="511"/>
        <v>0</v>
      </c>
      <c r="AW890" s="1452">
        <f t="shared" si="484"/>
        <v>0</v>
      </c>
      <c r="AX890" s="1452">
        <f t="shared" si="485"/>
        <v>0</v>
      </c>
      <c r="AY890" s="1452">
        <f t="shared" si="486"/>
        <v>0</v>
      </c>
      <c r="AZ890" s="1452">
        <f t="shared" si="487"/>
        <v>0</v>
      </c>
      <c r="BA890" s="1452">
        <f t="shared" si="488"/>
        <v>0</v>
      </c>
      <c r="BB890" s="1452">
        <f t="shared" si="489"/>
        <v>0</v>
      </c>
      <c r="BC890" s="1452">
        <f t="shared" si="490"/>
        <v>0</v>
      </c>
      <c r="BD890" s="1452">
        <f t="shared" si="491"/>
        <v>0</v>
      </c>
      <c r="BE890" s="1452">
        <f t="shared" si="492"/>
        <v>0</v>
      </c>
      <c r="BF890" s="1452">
        <f t="shared" si="493"/>
        <v>0</v>
      </c>
      <c r="BG890" s="1452">
        <f t="shared" si="494"/>
        <v>0</v>
      </c>
      <c r="BH890" s="1452">
        <f t="shared" si="495"/>
        <v>0</v>
      </c>
      <c r="BI890" s="1452">
        <f t="shared" si="512"/>
        <v>0</v>
      </c>
      <c r="BJ890" s="1452" t="str">
        <f t="shared" si="496"/>
        <v/>
      </c>
      <c r="BK890" s="1452" t="str">
        <f t="shared" si="497"/>
        <v/>
      </c>
      <c r="BL890" s="1452" t="str">
        <f t="shared" si="498"/>
        <v/>
      </c>
      <c r="BM890" s="1452" t="str">
        <f t="shared" si="499"/>
        <v/>
      </c>
      <c r="BN890" s="1452" t="str">
        <f t="shared" ca="1" si="500"/>
        <v/>
      </c>
      <c r="BO890" s="1452" t="str">
        <f t="shared" si="513"/>
        <v/>
      </c>
      <c r="BP890" s="1452" t="str">
        <f t="shared" si="501"/>
        <v/>
      </c>
      <c r="BQ890" s="1452" t="str">
        <f t="shared" si="502"/>
        <v/>
      </c>
      <c r="BR890" s="1452" t="str">
        <f t="shared" si="503"/>
        <v/>
      </c>
      <c r="BS890" s="1452" t="str">
        <f t="shared" si="504"/>
        <v/>
      </c>
      <c r="BT890" s="1452" t="str">
        <f t="shared" si="505"/>
        <v/>
      </c>
      <c r="BU890" s="1452" t="str">
        <f t="shared" si="506"/>
        <v/>
      </c>
      <c r="BV890" s="1452" t="str">
        <f t="shared" si="507"/>
        <v/>
      </c>
      <c r="BW890" s="1558">
        <f t="shared" ca="1" si="514"/>
        <v>0</v>
      </c>
    </row>
    <row r="891" spans="1:75" s="9" customFormat="1" ht="12.5">
      <c r="A891" s="1483" t="str">
        <f t="shared" si="508"/>
        <v>Public Health Wales Trust</v>
      </c>
      <c r="B891" s="1583"/>
      <c r="C891" s="1510"/>
      <c r="D891" s="1494"/>
      <c r="E891" s="1593"/>
      <c r="F891" s="1436"/>
      <c r="G891" s="1547">
        <f t="shared" si="509"/>
        <v>0</v>
      </c>
      <c r="H891" s="1484"/>
      <c r="I891" s="1547">
        <f t="shared" si="510"/>
        <v>0</v>
      </c>
      <c r="J891" s="1495"/>
      <c r="K891" s="1495"/>
      <c r="L891" s="1436"/>
      <c r="M891" s="1439"/>
      <c r="N891" s="1501"/>
      <c r="O891" s="1485"/>
      <c r="P891" s="1486"/>
      <c r="Q891" s="1486"/>
      <c r="R891" s="1487"/>
      <c r="S891" s="1444"/>
      <c r="T891" s="1444"/>
      <c r="U891" s="1444"/>
      <c r="V891" s="1488"/>
      <c r="W891" s="1488"/>
      <c r="X891" s="1488"/>
      <c r="Y891" s="1488"/>
      <c r="Z891" s="1488"/>
      <c r="AA891" s="1488"/>
      <c r="AB891" s="1488"/>
      <c r="AC891" s="1488"/>
      <c r="AD891" s="1488"/>
      <c r="AE891" s="1488"/>
      <c r="AF891" s="1488"/>
      <c r="AG891" s="1488"/>
      <c r="AH891" s="1451">
        <f t="shared" si="482"/>
        <v>0</v>
      </c>
      <c r="AI891" s="1488"/>
      <c r="AJ891" s="1488"/>
      <c r="AK891" s="1488"/>
      <c r="AL891" s="1488"/>
      <c r="AM891" s="1488"/>
      <c r="AN891" s="1488"/>
      <c r="AO891" s="1488"/>
      <c r="AP891" s="1488"/>
      <c r="AQ891" s="1488"/>
      <c r="AR891" s="1488"/>
      <c r="AS891" s="1488"/>
      <c r="AT891" s="1542"/>
      <c r="AU891" s="1599">
        <f t="shared" si="483"/>
        <v>0</v>
      </c>
      <c r="AV891" s="1544">
        <f t="shared" si="511"/>
        <v>0</v>
      </c>
      <c r="AW891" s="1452">
        <f t="shared" si="484"/>
        <v>0</v>
      </c>
      <c r="AX891" s="1452">
        <f t="shared" si="485"/>
        <v>0</v>
      </c>
      <c r="AY891" s="1452">
        <f t="shared" si="486"/>
        <v>0</v>
      </c>
      <c r="AZ891" s="1452">
        <f t="shared" si="487"/>
        <v>0</v>
      </c>
      <c r="BA891" s="1452">
        <f t="shared" si="488"/>
        <v>0</v>
      </c>
      <c r="BB891" s="1452">
        <f t="shared" si="489"/>
        <v>0</v>
      </c>
      <c r="BC891" s="1452">
        <f t="shared" si="490"/>
        <v>0</v>
      </c>
      <c r="BD891" s="1452">
        <f t="shared" si="491"/>
        <v>0</v>
      </c>
      <c r="BE891" s="1452">
        <f t="shared" si="492"/>
        <v>0</v>
      </c>
      <c r="BF891" s="1452">
        <f t="shared" si="493"/>
        <v>0</v>
      </c>
      <c r="BG891" s="1452">
        <f t="shared" si="494"/>
        <v>0</v>
      </c>
      <c r="BH891" s="1452">
        <f t="shared" si="495"/>
        <v>0</v>
      </c>
      <c r="BI891" s="1452">
        <f t="shared" si="512"/>
        <v>0</v>
      </c>
      <c r="BJ891" s="1452" t="str">
        <f t="shared" si="496"/>
        <v/>
      </c>
      <c r="BK891" s="1452" t="str">
        <f t="shared" si="497"/>
        <v/>
      </c>
      <c r="BL891" s="1452" t="str">
        <f t="shared" si="498"/>
        <v/>
      </c>
      <c r="BM891" s="1452" t="str">
        <f t="shared" si="499"/>
        <v/>
      </c>
      <c r="BN891" s="1452" t="str">
        <f t="shared" ca="1" si="500"/>
        <v/>
      </c>
      <c r="BO891" s="1452" t="str">
        <f t="shared" si="513"/>
        <v/>
      </c>
      <c r="BP891" s="1452" t="str">
        <f t="shared" si="501"/>
        <v/>
      </c>
      <c r="BQ891" s="1452" t="str">
        <f t="shared" si="502"/>
        <v/>
      </c>
      <c r="BR891" s="1452" t="str">
        <f t="shared" si="503"/>
        <v/>
      </c>
      <c r="BS891" s="1452" t="str">
        <f t="shared" si="504"/>
        <v/>
      </c>
      <c r="BT891" s="1452" t="str">
        <f t="shared" si="505"/>
        <v/>
      </c>
      <c r="BU891" s="1452" t="str">
        <f t="shared" si="506"/>
        <v/>
      </c>
      <c r="BV891" s="1452" t="str">
        <f t="shared" si="507"/>
        <v/>
      </c>
      <c r="BW891" s="1558">
        <f t="shared" ca="1" si="514"/>
        <v>0</v>
      </c>
    </row>
    <row r="892" spans="1:75" s="9" customFormat="1" ht="12.5">
      <c r="A892" s="1483" t="str">
        <f t="shared" si="508"/>
        <v>Public Health Wales Trust</v>
      </c>
      <c r="B892" s="1583"/>
      <c r="C892" s="1510"/>
      <c r="D892" s="1494"/>
      <c r="E892" s="1593"/>
      <c r="F892" s="1436"/>
      <c r="G892" s="1547">
        <f t="shared" si="509"/>
        <v>0</v>
      </c>
      <c r="H892" s="1484"/>
      <c r="I892" s="1547">
        <f t="shared" si="510"/>
        <v>0</v>
      </c>
      <c r="J892" s="1495"/>
      <c r="K892" s="1495"/>
      <c r="L892" s="1436"/>
      <c r="M892" s="1439"/>
      <c r="N892" s="1501"/>
      <c r="O892" s="1485"/>
      <c r="P892" s="1486"/>
      <c r="Q892" s="1486"/>
      <c r="R892" s="1487"/>
      <c r="S892" s="1444"/>
      <c r="T892" s="1444"/>
      <c r="U892" s="1444"/>
      <c r="V892" s="1488"/>
      <c r="W892" s="1488"/>
      <c r="X892" s="1488"/>
      <c r="Y892" s="1488"/>
      <c r="Z892" s="1488"/>
      <c r="AA892" s="1488"/>
      <c r="AB892" s="1488"/>
      <c r="AC892" s="1488"/>
      <c r="AD892" s="1488"/>
      <c r="AE892" s="1488"/>
      <c r="AF892" s="1488"/>
      <c r="AG892" s="1488"/>
      <c r="AH892" s="1451">
        <f t="shared" si="482"/>
        <v>0</v>
      </c>
      <c r="AI892" s="1488"/>
      <c r="AJ892" s="1488"/>
      <c r="AK892" s="1488"/>
      <c r="AL892" s="1488"/>
      <c r="AM892" s="1488"/>
      <c r="AN892" s="1488"/>
      <c r="AO892" s="1488"/>
      <c r="AP892" s="1488"/>
      <c r="AQ892" s="1488"/>
      <c r="AR892" s="1488"/>
      <c r="AS892" s="1488"/>
      <c r="AT892" s="1542"/>
      <c r="AU892" s="1599">
        <f t="shared" si="483"/>
        <v>0</v>
      </c>
      <c r="AV892" s="1544">
        <f t="shared" si="511"/>
        <v>0</v>
      </c>
      <c r="AW892" s="1452">
        <f t="shared" si="484"/>
        <v>0</v>
      </c>
      <c r="AX892" s="1452">
        <f t="shared" si="485"/>
        <v>0</v>
      </c>
      <c r="AY892" s="1452">
        <f t="shared" si="486"/>
        <v>0</v>
      </c>
      <c r="AZ892" s="1452">
        <f t="shared" si="487"/>
        <v>0</v>
      </c>
      <c r="BA892" s="1452">
        <f t="shared" si="488"/>
        <v>0</v>
      </c>
      <c r="BB892" s="1452">
        <f t="shared" si="489"/>
        <v>0</v>
      </c>
      <c r="BC892" s="1452">
        <f t="shared" si="490"/>
        <v>0</v>
      </c>
      <c r="BD892" s="1452">
        <f t="shared" si="491"/>
        <v>0</v>
      </c>
      <c r="BE892" s="1452">
        <f t="shared" si="492"/>
        <v>0</v>
      </c>
      <c r="BF892" s="1452">
        <f t="shared" si="493"/>
        <v>0</v>
      </c>
      <c r="BG892" s="1452">
        <f t="shared" si="494"/>
        <v>0</v>
      </c>
      <c r="BH892" s="1452">
        <f t="shared" si="495"/>
        <v>0</v>
      </c>
      <c r="BI892" s="1452">
        <f t="shared" si="512"/>
        <v>0</v>
      </c>
      <c r="BJ892" s="1452" t="str">
        <f t="shared" si="496"/>
        <v/>
      </c>
      <c r="BK892" s="1452" t="str">
        <f t="shared" si="497"/>
        <v/>
      </c>
      <c r="BL892" s="1452" t="str">
        <f t="shared" si="498"/>
        <v/>
      </c>
      <c r="BM892" s="1452" t="str">
        <f t="shared" si="499"/>
        <v/>
      </c>
      <c r="BN892" s="1452" t="str">
        <f t="shared" ca="1" si="500"/>
        <v/>
      </c>
      <c r="BO892" s="1452" t="str">
        <f t="shared" si="513"/>
        <v/>
      </c>
      <c r="BP892" s="1452" t="str">
        <f t="shared" si="501"/>
        <v/>
      </c>
      <c r="BQ892" s="1452" t="str">
        <f t="shared" si="502"/>
        <v/>
      </c>
      <c r="BR892" s="1452" t="str">
        <f t="shared" si="503"/>
        <v/>
      </c>
      <c r="BS892" s="1452" t="str">
        <f t="shared" si="504"/>
        <v/>
      </c>
      <c r="BT892" s="1452" t="str">
        <f t="shared" si="505"/>
        <v/>
      </c>
      <c r="BU892" s="1452" t="str">
        <f t="shared" si="506"/>
        <v/>
      </c>
      <c r="BV892" s="1452" t="str">
        <f t="shared" si="507"/>
        <v/>
      </c>
      <c r="BW892" s="1558">
        <f t="shared" ca="1" si="514"/>
        <v>0</v>
      </c>
    </row>
    <row r="893" spans="1:75" s="9" customFormat="1" ht="12.5">
      <c r="A893" s="1483" t="str">
        <f t="shared" si="508"/>
        <v>Public Health Wales Trust</v>
      </c>
      <c r="B893" s="1583"/>
      <c r="C893" s="1510"/>
      <c r="D893" s="1494"/>
      <c r="E893" s="1593"/>
      <c r="F893" s="1436"/>
      <c r="G893" s="1547">
        <f t="shared" si="509"/>
        <v>0</v>
      </c>
      <c r="H893" s="1484"/>
      <c r="I893" s="1547">
        <f t="shared" si="510"/>
        <v>0</v>
      </c>
      <c r="J893" s="1495"/>
      <c r="K893" s="1495"/>
      <c r="L893" s="1436"/>
      <c r="M893" s="1439"/>
      <c r="N893" s="1501"/>
      <c r="O893" s="1485"/>
      <c r="P893" s="1486"/>
      <c r="Q893" s="1486"/>
      <c r="R893" s="1487"/>
      <c r="S893" s="1444"/>
      <c r="T893" s="1444"/>
      <c r="U893" s="1444"/>
      <c r="V893" s="1488"/>
      <c r="W893" s="1488"/>
      <c r="X893" s="1488"/>
      <c r="Y893" s="1488"/>
      <c r="Z893" s="1488"/>
      <c r="AA893" s="1488"/>
      <c r="AB893" s="1488"/>
      <c r="AC893" s="1488"/>
      <c r="AD893" s="1488"/>
      <c r="AE893" s="1488"/>
      <c r="AF893" s="1488"/>
      <c r="AG893" s="1488"/>
      <c r="AH893" s="1451">
        <f t="shared" si="482"/>
        <v>0</v>
      </c>
      <c r="AI893" s="1488"/>
      <c r="AJ893" s="1488"/>
      <c r="AK893" s="1488"/>
      <c r="AL893" s="1488"/>
      <c r="AM893" s="1488"/>
      <c r="AN893" s="1488"/>
      <c r="AO893" s="1488"/>
      <c r="AP893" s="1488"/>
      <c r="AQ893" s="1488"/>
      <c r="AR893" s="1488"/>
      <c r="AS893" s="1488"/>
      <c r="AT893" s="1542"/>
      <c r="AU893" s="1599">
        <f t="shared" si="483"/>
        <v>0</v>
      </c>
      <c r="AV893" s="1544">
        <f t="shared" si="511"/>
        <v>0</v>
      </c>
      <c r="AW893" s="1452">
        <f t="shared" si="484"/>
        <v>0</v>
      </c>
      <c r="AX893" s="1452">
        <f t="shared" si="485"/>
        <v>0</v>
      </c>
      <c r="AY893" s="1452">
        <f t="shared" si="486"/>
        <v>0</v>
      </c>
      <c r="AZ893" s="1452">
        <f t="shared" si="487"/>
        <v>0</v>
      </c>
      <c r="BA893" s="1452">
        <f t="shared" si="488"/>
        <v>0</v>
      </c>
      <c r="BB893" s="1452">
        <f t="shared" si="489"/>
        <v>0</v>
      </c>
      <c r="BC893" s="1452">
        <f t="shared" si="490"/>
        <v>0</v>
      </c>
      <c r="BD893" s="1452">
        <f t="shared" si="491"/>
        <v>0</v>
      </c>
      <c r="BE893" s="1452">
        <f t="shared" si="492"/>
        <v>0</v>
      </c>
      <c r="BF893" s="1452">
        <f t="shared" si="493"/>
        <v>0</v>
      </c>
      <c r="BG893" s="1452">
        <f t="shared" si="494"/>
        <v>0</v>
      </c>
      <c r="BH893" s="1452">
        <f t="shared" si="495"/>
        <v>0</v>
      </c>
      <c r="BI893" s="1452">
        <f t="shared" si="512"/>
        <v>0</v>
      </c>
      <c r="BJ893" s="1452" t="str">
        <f t="shared" si="496"/>
        <v/>
      </c>
      <c r="BK893" s="1452" t="str">
        <f t="shared" si="497"/>
        <v/>
      </c>
      <c r="BL893" s="1452" t="str">
        <f t="shared" si="498"/>
        <v/>
      </c>
      <c r="BM893" s="1452" t="str">
        <f t="shared" si="499"/>
        <v/>
      </c>
      <c r="BN893" s="1452" t="str">
        <f t="shared" ca="1" si="500"/>
        <v/>
      </c>
      <c r="BO893" s="1452" t="str">
        <f t="shared" si="513"/>
        <v/>
      </c>
      <c r="BP893" s="1452" t="str">
        <f t="shared" si="501"/>
        <v/>
      </c>
      <c r="BQ893" s="1452" t="str">
        <f t="shared" si="502"/>
        <v/>
      </c>
      <c r="BR893" s="1452" t="str">
        <f t="shared" si="503"/>
        <v/>
      </c>
      <c r="BS893" s="1452" t="str">
        <f t="shared" si="504"/>
        <v/>
      </c>
      <c r="BT893" s="1452" t="str">
        <f t="shared" si="505"/>
        <v/>
      </c>
      <c r="BU893" s="1452" t="str">
        <f t="shared" si="506"/>
        <v/>
      </c>
      <c r="BV893" s="1452" t="str">
        <f t="shared" si="507"/>
        <v/>
      </c>
      <c r="BW893" s="1558">
        <f t="shared" ca="1" si="514"/>
        <v>0</v>
      </c>
    </row>
    <row r="894" spans="1:75" s="9" customFormat="1" ht="12.5">
      <c r="A894" s="1483" t="str">
        <f t="shared" si="508"/>
        <v>Public Health Wales Trust</v>
      </c>
      <c r="B894" s="1583"/>
      <c r="C894" s="1510"/>
      <c r="D894" s="1494"/>
      <c r="E894" s="1593"/>
      <c r="F894" s="1436"/>
      <c r="G894" s="1547">
        <f t="shared" si="509"/>
        <v>0</v>
      </c>
      <c r="H894" s="1484"/>
      <c r="I894" s="1547">
        <f t="shared" si="510"/>
        <v>0</v>
      </c>
      <c r="J894" s="1495"/>
      <c r="K894" s="1495"/>
      <c r="L894" s="1436"/>
      <c r="M894" s="1439"/>
      <c r="N894" s="1437"/>
      <c r="O894" s="1485"/>
      <c r="P894" s="1486"/>
      <c r="Q894" s="1486"/>
      <c r="R894" s="1487"/>
      <c r="S894" s="1444"/>
      <c r="T894" s="1444"/>
      <c r="U894" s="1444"/>
      <c r="V894" s="1488"/>
      <c r="W894" s="1488"/>
      <c r="X894" s="1488"/>
      <c r="Y894" s="1488"/>
      <c r="Z894" s="1488"/>
      <c r="AA894" s="1488"/>
      <c r="AB894" s="1488"/>
      <c r="AC894" s="1488"/>
      <c r="AD894" s="1488"/>
      <c r="AE894" s="1488"/>
      <c r="AF894" s="1488"/>
      <c r="AG894" s="1488"/>
      <c r="AH894" s="1451">
        <f t="shared" si="482"/>
        <v>0</v>
      </c>
      <c r="AI894" s="1488"/>
      <c r="AJ894" s="1488"/>
      <c r="AK894" s="1488"/>
      <c r="AL894" s="1488"/>
      <c r="AM894" s="1488"/>
      <c r="AN894" s="1488"/>
      <c r="AO894" s="1488"/>
      <c r="AP894" s="1488"/>
      <c r="AQ894" s="1488"/>
      <c r="AR894" s="1488"/>
      <c r="AS894" s="1488"/>
      <c r="AT894" s="1542"/>
      <c r="AU894" s="1599">
        <f t="shared" si="483"/>
        <v>0</v>
      </c>
      <c r="AV894" s="1544">
        <f t="shared" si="511"/>
        <v>0</v>
      </c>
      <c r="AW894" s="1452">
        <f t="shared" si="484"/>
        <v>0</v>
      </c>
      <c r="AX894" s="1452">
        <f t="shared" si="485"/>
        <v>0</v>
      </c>
      <c r="AY894" s="1452">
        <f t="shared" si="486"/>
        <v>0</v>
      </c>
      <c r="AZ894" s="1452">
        <f t="shared" si="487"/>
        <v>0</v>
      </c>
      <c r="BA894" s="1452">
        <f t="shared" si="488"/>
        <v>0</v>
      </c>
      <c r="BB894" s="1452">
        <f t="shared" si="489"/>
        <v>0</v>
      </c>
      <c r="BC894" s="1452">
        <f t="shared" si="490"/>
        <v>0</v>
      </c>
      <c r="BD894" s="1452">
        <f t="shared" si="491"/>
        <v>0</v>
      </c>
      <c r="BE894" s="1452">
        <f t="shared" si="492"/>
        <v>0</v>
      </c>
      <c r="BF894" s="1452">
        <f t="shared" si="493"/>
        <v>0</v>
      </c>
      <c r="BG894" s="1452">
        <f t="shared" si="494"/>
        <v>0</v>
      </c>
      <c r="BH894" s="1452">
        <f t="shared" si="495"/>
        <v>0</v>
      </c>
      <c r="BI894" s="1452">
        <f t="shared" si="512"/>
        <v>0</v>
      </c>
      <c r="BJ894" s="1452" t="str">
        <f t="shared" si="496"/>
        <v/>
      </c>
      <c r="BK894" s="1452" t="str">
        <f t="shared" si="497"/>
        <v/>
      </c>
      <c r="BL894" s="1452" t="str">
        <f t="shared" si="498"/>
        <v/>
      </c>
      <c r="BM894" s="1452" t="str">
        <f t="shared" si="499"/>
        <v/>
      </c>
      <c r="BN894" s="1452" t="str">
        <f t="shared" ca="1" si="500"/>
        <v/>
      </c>
      <c r="BO894" s="1452" t="str">
        <f t="shared" si="513"/>
        <v/>
      </c>
      <c r="BP894" s="1452" t="str">
        <f t="shared" si="501"/>
        <v/>
      </c>
      <c r="BQ894" s="1452" t="str">
        <f t="shared" si="502"/>
        <v/>
      </c>
      <c r="BR894" s="1452" t="str">
        <f t="shared" si="503"/>
        <v/>
      </c>
      <c r="BS894" s="1452" t="str">
        <f t="shared" si="504"/>
        <v/>
      </c>
      <c r="BT894" s="1452" t="str">
        <f t="shared" si="505"/>
        <v/>
      </c>
      <c r="BU894" s="1452" t="str">
        <f t="shared" si="506"/>
        <v/>
      </c>
      <c r="BV894" s="1452" t="str">
        <f t="shared" si="507"/>
        <v/>
      </c>
      <c r="BW894" s="1558">
        <f t="shared" ca="1" si="514"/>
        <v>0</v>
      </c>
    </row>
    <row r="895" spans="1:75" s="9" customFormat="1" ht="12.5">
      <c r="A895" s="1483" t="str">
        <f t="shared" si="508"/>
        <v>Public Health Wales Trust</v>
      </c>
      <c r="B895" s="1583"/>
      <c r="C895" s="1510"/>
      <c r="D895" s="1494"/>
      <c r="E895" s="1593"/>
      <c r="F895" s="1436"/>
      <c r="G895" s="1547">
        <f t="shared" si="509"/>
        <v>0</v>
      </c>
      <c r="H895" s="1484"/>
      <c r="I895" s="1547">
        <f t="shared" si="510"/>
        <v>0</v>
      </c>
      <c r="J895" s="1495"/>
      <c r="K895" s="1495"/>
      <c r="L895" s="1436"/>
      <c r="M895" s="1439"/>
      <c r="N895" s="1437"/>
      <c r="O895" s="1485"/>
      <c r="P895" s="1486"/>
      <c r="Q895" s="1486"/>
      <c r="R895" s="1487"/>
      <c r="S895" s="1444"/>
      <c r="T895" s="1444"/>
      <c r="U895" s="1444"/>
      <c r="V895" s="1488"/>
      <c r="W895" s="1488"/>
      <c r="X895" s="1488"/>
      <c r="Y895" s="1488"/>
      <c r="Z895" s="1488"/>
      <c r="AA895" s="1488"/>
      <c r="AB895" s="1488"/>
      <c r="AC895" s="1488"/>
      <c r="AD895" s="1488"/>
      <c r="AE895" s="1488"/>
      <c r="AF895" s="1488"/>
      <c r="AG895" s="1488"/>
      <c r="AH895" s="1451">
        <f t="shared" si="482"/>
        <v>0</v>
      </c>
      <c r="AI895" s="1488"/>
      <c r="AJ895" s="1488"/>
      <c r="AK895" s="1488"/>
      <c r="AL895" s="1488"/>
      <c r="AM895" s="1488"/>
      <c r="AN895" s="1488"/>
      <c r="AO895" s="1488"/>
      <c r="AP895" s="1488"/>
      <c r="AQ895" s="1488"/>
      <c r="AR895" s="1488"/>
      <c r="AS895" s="1488"/>
      <c r="AT895" s="1542"/>
      <c r="AU895" s="1599">
        <f t="shared" si="483"/>
        <v>0</v>
      </c>
      <c r="AV895" s="1544">
        <f t="shared" si="511"/>
        <v>0</v>
      </c>
      <c r="AW895" s="1452">
        <f t="shared" si="484"/>
        <v>0</v>
      </c>
      <c r="AX895" s="1452">
        <f t="shared" si="485"/>
        <v>0</v>
      </c>
      <c r="AY895" s="1452">
        <f t="shared" si="486"/>
        <v>0</v>
      </c>
      <c r="AZ895" s="1452">
        <f t="shared" si="487"/>
        <v>0</v>
      </c>
      <c r="BA895" s="1452">
        <f t="shared" si="488"/>
        <v>0</v>
      </c>
      <c r="BB895" s="1452">
        <f t="shared" si="489"/>
        <v>0</v>
      </c>
      <c r="BC895" s="1452">
        <f t="shared" si="490"/>
        <v>0</v>
      </c>
      <c r="BD895" s="1452">
        <f t="shared" si="491"/>
        <v>0</v>
      </c>
      <c r="BE895" s="1452">
        <f t="shared" si="492"/>
        <v>0</v>
      </c>
      <c r="BF895" s="1452">
        <f t="shared" si="493"/>
        <v>0</v>
      </c>
      <c r="BG895" s="1452">
        <f t="shared" si="494"/>
        <v>0</v>
      </c>
      <c r="BH895" s="1452">
        <f t="shared" si="495"/>
        <v>0</v>
      </c>
      <c r="BI895" s="1452">
        <f t="shared" si="512"/>
        <v>0</v>
      </c>
      <c r="BJ895" s="1452" t="str">
        <f t="shared" si="496"/>
        <v/>
      </c>
      <c r="BK895" s="1452" t="str">
        <f t="shared" si="497"/>
        <v/>
      </c>
      <c r="BL895" s="1452" t="str">
        <f t="shared" si="498"/>
        <v/>
      </c>
      <c r="BM895" s="1452" t="str">
        <f t="shared" si="499"/>
        <v/>
      </c>
      <c r="BN895" s="1452" t="str">
        <f t="shared" ca="1" si="500"/>
        <v/>
      </c>
      <c r="BO895" s="1452" t="str">
        <f t="shared" si="513"/>
        <v/>
      </c>
      <c r="BP895" s="1452" t="str">
        <f t="shared" si="501"/>
        <v/>
      </c>
      <c r="BQ895" s="1452" t="str">
        <f t="shared" si="502"/>
        <v/>
      </c>
      <c r="BR895" s="1452" t="str">
        <f t="shared" si="503"/>
        <v/>
      </c>
      <c r="BS895" s="1452" t="str">
        <f t="shared" si="504"/>
        <v/>
      </c>
      <c r="BT895" s="1452" t="str">
        <f t="shared" si="505"/>
        <v/>
      </c>
      <c r="BU895" s="1452" t="str">
        <f t="shared" si="506"/>
        <v/>
      </c>
      <c r="BV895" s="1452" t="str">
        <f t="shared" si="507"/>
        <v/>
      </c>
      <c r="BW895" s="1558">
        <f t="shared" ca="1" si="514"/>
        <v>0</v>
      </c>
    </row>
    <row r="896" spans="1:75" s="9" customFormat="1" ht="12.5">
      <c r="A896" s="1483" t="str">
        <f t="shared" si="508"/>
        <v>Public Health Wales Trust</v>
      </c>
      <c r="B896" s="1583"/>
      <c r="C896" s="1510"/>
      <c r="D896" s="1494"/>
      <c r="E896" s="1593"/>
      <c r="F896" s="1436"/>
      <c r="G896" s="1547">
        <f t="shared" si="509"/>
        <v>0</v>
      </c>
      <c r="H896" s="1484"/>
      <c r="I896" s="1547">
        <f t="shared" si="510"/>
        <v>0</v>
      </c>
      <c r="J896" s="1503"/>
      <c r="K896" s="1714"/>
      <c r="L896" s="1436"/>
      <c r="M896" s="1439"/>
      <c r="N896" s="1504"/>
      <c r="O896" s="1485"/>
      <c r="P896" s="1486"/>
      <c r="Q896" s="1486"/>
      <c r="R896" s="1487"/>
      <c r="S896" s="1444"/>
      <c r="T896" s="1444"/>
      <c r="U896" s="1444"/>
      <c r="V896" s="1488"/>
      <c r="W896" s="1488"/>
      <c r="X896" s="1488"/>
      <c r="Y896" s="1488"/>
      <c r="Z896" s="1488"/>
      <c r="AA896" s="1488"/>
      <c r="AB896" s="1488"/>
      <c r="AC896" s="1488"/>
      <c r="AD896" s="1488"/>
      <c r="AE896" s="1488"/>
      <c r="AF896" s="1488"/>
      <c r="AG896" s="1488"/>
      <c r="AH896" s="1451">
        <f t="shared" si="482"/>
        <v>0</v>
      </c>
      <c r="AI896" s="1488"/>
      <c r="AJ896" s="1488"/>
      <c r="AK896" s="1488"/>
      <c r="AL896" s="1488"/>
      <c r="AM896" s="1488"/>
      <c r="AN896" s="1488"/>
      <c r="AO896" s="1488"/>
      <c r="AP896" s="1488"/>
      <c r="AQ896" s="1488"/>
      <c r="AR896" s="1488"/>
      <c r="AS896" s="1488"/>
      <c r="AT896" s="1542"/>
      <c r="AU896" s="1599">
        <f t="shared" si="483"/>
        <v>0</v>
      </c>
      <c r="AV896" s="1544">
        <f t="shared" si="511"/>
        <v>0</v>
      </c>
      <c r="AW896" s="1452">
        <f t="shared" si="484"/>
        <v>0</v>
      </c>
      <c r="AX896" s="1452">
        <f t="shared" si="485"/>
        <v>0</v>
      </c>
      <c r="AY896" s="1452">
        <f t="shared" si="486"/>
        <v>0</v>
      </c>
      <c r="AZ896" s="1452">
        <f t="shared" si="487"/>
        <v>0</v>
      </c>
      <c r="BA896" s="1452">
        <f t="shared" si="488"/>
        <v>0</v>
      </c>
      <c r="BB896" s="1452">
        <f t="shared" si="489"/>
        <v>0</v>
      </c>
      <c r="BC896" s="1452">
        <f t="shared" si="490"/>
        <v>0</v>
      </c>
      <c r="BD896" s="1452">
        <f t="shared" si="491"/>
        <v>0</v>
      </c>
      <c r="BE896" s="1452">
        <f t="shared" si="492"/>
        <v>0</v>
      </c>
      <c r="BF896" s="1452">
        <f t="shared" si="493"/>
        <v>0</v>
      </c>
      <c r="BG896" s="1452">
        <f t="shared" si="494"/>
        <v>0</v>
      </c>
      <c r="BH896" s="1452">
        <f t="shared" si="495"/>
        <v>0</v>
      </c>
      <c r="BI896" s="1452">
        <f t="shared" si="512"/>
        <v>0</v>
      </c>
      <c r="BJ896" s="1452" t="str">
        <f t="shared" si="496"/>
        <v/>
      </c>
      <c r="BK896" s="1452" t="str">
        <f t="shared" si="497"/>
        <v/>
      </c>
      <c r="BL896" s="1452" t="str">
        <f t="shared" si="498"/>
        <v/>
      </c>
      <c r="BM896" s="1452" t="str">
        <f t="shared" si="499"/>
        <v/>
      </c>
      <c r="BN896" s="1452" t="str">
        <f t="shared" ca="1" si="500"/>
        <v/>
      </c>
      <c r="BO896" s="1452" t="str">
        <f t="shared" si="513"/>
        <v/>
      </c>
      <c r="BP896" s="1452" t="str">
        <f t="shared" si="501"/>
        <v/>
      </c>
      <c r="BQ896" s="1452" t="str">
        <f t="shared" si="502"/>
        <v/>
      </c>
      <c r="BR896" s="1452" t="str">
        <f t="shared" si="503"/>
        <v/>
      </c>
      <c r="BS896" s="1452" t="str">
        <f t="shared" si="504"/>
        <v/>
      </c>
      <c r="BT896" s="1452" t="str">
        <f t="shared" si="505"/>
        <v/>
      </c>
      <c r="BU896" s="1452" t="str">
        <f t="shared" si="506"/>
        <v/>
      </c>
      <c r="BV896" s="1452" t="str">
        <f t="shared" si="507"/>
        <v/>
      </c>
      <c r="BW896" s="1558">
        <f t="shared" ca="1" si="514"/>
        <v>0</v>
      </c>
    </row>
    <row r="897" spans="1:75" s="9" customFormat="1" ht="12.5">
      <c r="A897" s="1483" t="str">
        <f t="shared" si="508"/>
        <v>Public Health Wales Trust</v>
      </c>
      <c r="B897" s="1583"/>
      <c r="C897" s="1510"/>
      <c r="D897" s="1494"/>
      <c r="E897" s="1593"/>
      <c r="F897" s="1436"/>
      <c r="G897" s="1547">
        <f t="shared" si="509"/>
        <v>0</v>
      </c>
      <c r="H897" s="1484"/>
      <c r="I897" s="1547">
        <f t="shared" si="510"/>
        <v>0</v>
      </c>
      <c r="J897" s="1503"/>
      <c r="K897" s="1714"/>
      <c r="L897" s="1436"/>
      <c r="M897" s="1439"/>
      <c r="N897" s="1504"/>
      <c r="O897" s="1485"/>
      <c r="P897" s="1486"/>
      <c r="Q897" s="1486"/>
      <c r="R897" s="1487"/>
      <c r="S897" s="1444"/>
      <c r="T897" s="1444"/>
      <c r="U897" s="1444"/>
      <c r="V897" s="1488"/>
      <c r="W897" s="1488"/>
      <c r="X897" s="1488"/>
      <c r="Y897" s="1488"/>
      <c r="Z897" s="1488"/>
      <c r="AA897" s="1488"/>
      <c r="AB897" s="1488"/>
      <c r="AC897" s="1488"/>
      <c r="AD897" s="1488"/>
      <c r="AE897" s="1488"/>
      <c r="AF897" s="1488"/>
      <c r="AG897" s="1488"/>
      <c r="AH897" s="1451">
        <f t="shared" si="482"/>
        <v>0</v>
      </c>
      <c r="AI897" s="1488"/>
      <c r="AJ897" s="1488"/>
      <c r="AK897" s="1488"/>
      <c r="AL897" s="1488"/>
      <c r="AM897" s="1488"/>
      <c r="AN897" s="1488"/>
      <c r="AO897" s="1488"/>
      <c r="AP897" s="1488"/>
      <c r="AQ897" s="1488"/>
      <c r="AR897" s="1488"/>
      <c r="AS897" s="1488"/>
      <c r="AT897" s="1542"/>
      <c r="AU897" s="1599">
        <f t="shared" si="483"/>
        <v>0</v>
      </c>
      <c r="AV897" s="1544">
        <f t="shared" si="511"/>
        <v>0</v>
      </c>
      <c r="AW897" s="1452">
        <f t="shared" si="484"/>
        <v>0</v>
      </c>
      <c r="AX897" s="1452">
        <f t="shared" si="485"/>
        <v>0</v>
      </c>
      <c r="AY897" s="1452">
        <f t="shared" si="486"/>
        <v>0</v>
      </c>
      <c r="AZ897" s="1452">
        <f t="shared" si="487"/>
        <v>0</v>
      </c>
      <c r="BA897" s="1452">
        <f t="shared" si="488"/>
        <v>0</v>
      </c>
      <c r="BB897" s="1452">
        <f t="shared" si="489"/>
        <v>0</v>
      </c>
      <c r="BC897" s="1452">
        <f t="shared" si="490"/>
        <v>0</v>
      </c>
      <c r="BD897" s="1452">
        <f t="shared" si="491"/>
        <v>0</v>
      </c>
      <c r="BE897" s="1452">
        <f t="shared" si="492"/>
        <v>0</v>
      </c>
      <c r="BF897" s="1452">
        <f t="shared" si="493"/>
        <v>0</v>
      </c>
      <c r="BG897" s="1452">
        <f t="shared" si="494"/>
        <v>0</v>
      </c>
      <c r="BH897" s="1452">
        <f t="shared" si="495"/>
        <v>0</v>
      </c>
      <c r="BI897" s="1452">
        <f t="shared" si="512"/>
        <v>0</v>
      </c>
      <c r="BJ897" s="1452" t="str">
        <f t="shared" si="496"/>
        <v/>
      </c>
      <c r="BK897" s="1452" t="str">
        <f t="shared" si="497"/>
        <v/>
      </c>
      <c r="BL897" s="1452" t="str">
        <f t="shared" si="498"/>
        <v/>
      </c>
      <c r="BM897" s="1452" t="str">
        <f t="shared" si="499"/>
        <v/>
      </c>
      <c r="BN897" s="1452" t="str">
        <f t="shared" ca="1" si="500"/>
        <v/>
      </c>
      <c r="BO897" s="1452" t="str">
        <f t="shared" si="513"/>
        <v/>
      </c>
      <c r="BP897" s="1452" t="str">
        <f t="shared" si="501"/>
        <v/>
      </c>
      <c r="BQ897" s="1452" t="str">
        <f t="shared" si="502"/>
        <v/>
      </c>
      <c r="BR897" s="1452" t="str">
        <f t="shared" si="503"/>
        <v/>
      </c>
      <c r="BS897" s="1452" t="str">
        <f t="shared" si="504"/>
        <v/>
      </c>
      <c r="BT897" s="1452" t="str">
        <f t="shared" si="505"/>
        <v/>
      </c>
      <c r="BU897" s="1452" t="str">
        <f t="shared" si="506"/>
        <v/>
      </c>
      <c r="BV897" s="1452" t="str">
        <f t="shared" si="507"/>
        <v/>
      </c>
      <c r="BW897" s="1558">
        <f t="shared" ca="1" si="514"/>
        <v>0</v>
      </c>
    </row>
    <row r="898" spans="1:75" s="9" customFormat="1" ht="12.5">
      <c r="A898" s="1483" t="str">
        <f t="shared" si="508"/>
        <v>Public Health Wales Trust</v>
      </c>
      <c r="B898" s="1583"/>
      <c r="C898" s="1510"/>
      <c r="D898" s="1494"/>
      <c r="E898" s="1593"/>
      <c r="F898" s="1436"/>
      <c r="G898" s="1547">
        <f t="shared" si="509"/>
        <v>0</v>
      </c>
      <c r="H898" s="1484"/>
      <c r="I898" s="1547">
        <f t="shared" si="510"/>
        <v>0</v>
      </c>
      <c r="J898" s="1503"/>
      <c r="K898" s="1714"/>
      <c r="L898" s="1436"/>
      <c r="M898" s="1439"/>
      <c r="N898" s="1504"/>
      <c r="O898" s="1485"/>
      <c r="P898" s="1486"/>
      <c r="Q898" s="1486"/>
      <c r="R898" s="1487"/>
      <c r="S898" s="1444"/>
      <c r="T898" s="1444"/>
      <c r="U898" s="1444"/>
      <c r="V898" s="1488"/>
      <c r="W898" s="1488"/>
      <c r="X898" s="1488"/>
      <c r="Y898" s="1488"/>
      <c r="Z898" s="1488"/>
      <c r="AA898" s="1488"/>
      <c r="AB898" s="1488"/>
      <c r="AC898" s="1488"/>
      <c r="AD898" s="1488"/>
      <c r="AE898" s="1488"/>
      <c r="AF898" s="1488"/>
      <c r="AG898" s="1488"/>
      <c r="AH898" s="1451">
        <f t="shared" si="482"/>
        <v>0</v>
      </c>
      <c r="AI898" s="1488"/>
      <c r="AJ898" s="1488"/>
      <c r="AK898" s="1488"/>
      <c r="AL898" s="1488"/>
      <c r="AM898" s="1488"/>
      <c r="AN898" s="1488"/>
      <c r="AO898" s="1488"/>
      <c r="AP898" s="1488"/>
      <c r="AQ898" s="1488"/>
      <c r="AR898" s="1488"/>
      <c r="AS898" s="1488"/>
      <c r="AT898" s="1542"/>
      <c r="AU898" s="1599">
        <f t="shared" si="483"/>
        <v>0</v>
      </c>
      <c r="AV898" s="1544">
        <f t="shared" si="511"/>
        <v>0</v>
      </c>
      <c r="AW898" s="1452">
        <f t="shared" si="484"/>
        <v>0</v>
      </c>
      <c r="AX898" s="1452">
        <f t="shared" si="485"/>
        <v>0</v>
      </c>
      <c r="AY898" s="1452">
        <f t="shared" si="486"/>
        <v>0</v>
      </c>
      <c r="AZ898" s="1452">
        <f t="shared" si="487"/>
        <v>0</v>
      </c>
      <c r="BA898" s="1452">
        <f t="shared" si="488"/>
        <v>0</v>
      </c>
      <c r="BB898" s="1452">
        <f t="shared" si="489"/>
        <v>0</v>
      </c>
      <c r="BC898" s="1452">
        <f t="shared" si="490"/>
        <v>0</v>
      </c>
      <c r="BD898" s="1452">
        <f t="shared" si="491"/>
        <v>0</v>
      </c>
      <c r="BE898" s="1452">
        <f t="shared" si="492"/>
        <v>0</v>
      </c>
      <c r="BF898" s="1452">
        <f t="shared" si="493"/>
        <v>0</v>
      </c>
      <c r="BG898" s="1452">
        <f t="shared" si="494"/>
        <v>0</v>
      </c>
      <c r="BH898" s="1452">
        <f t="shared" si="495"/>
        <v>0</v>
      </c>
      <c r="BI898" s="1452">
        <f t="shared" si="512"/>
        <v>0</v>
      </c>
      <c r="BJ898" s="1452" t="str">
        <f t="shared" si="496"/>
        <v/>
      </c>
      <c r="BK898" s="1452" t="str">
        <f t="shared" si="497"/>
        <v/>
      </c>
      <c r="BL898" s="1452" t="str">
        <f t="shared" si="498"/>
        <v/>
      </c>
      <c r="BM898" s="1452" t="str">
        <f t="shared" si="499"/>
        <v/>
      </c>
      <c r="BN898" s="1452" t="str">
        <f t="shared" ca="1" si="500"/>
        <v/>
      </c>
      <c r="BO898" s="1452" t="str">
        <f t="shared" si="513"/>
        <v/>
      </c>
      <c r="BP898" s="1452" t="str">
        <f t="shared" si="501"/>
        <v/>
      </c>
      <c r="BQ898" s="1452" t="str">
        <f t="shared" si="502"/>
        <v/>
      </c>
      <c r="BR898" s="1452" t="str">
        <f t="shared" si="503"/>
        <v/>
      </c>
      <c r="BS898" s="1452" t="str">
        <f t="shared" si="504"/>
        <v/>
      </c>
      <c r="BT898" s="1452" t="str">
        <f t="shared" si="505"/>
        <v/>
      </c>
      <c r="BU898" s="1452" t="str">
        <f t="shared" si="506"/>
        <v/>
      </c>
      <c r="BV898" s="1452" t="str">
        <f t="shared" si="507"/>
        <v/>
      </c>
      <c r="BW898" s="1558">
        <f t="shared" ca="1" si="514"/>
        <v>0</v>
      </c>
    </row>
    <row r="899" spans="1:75" s="9" customFormat="1" ht="12.5">
      <c r="A899" s="1483" t="str">
        <f t="shared" si="508"/>
        <v>Public Health Wales Trust</v>
      </c>
      <c r="B899" s="1583"/>
      <c r="C899" s="1510"/>
      <c r="D899" s="1494"/>
      <c r="E899" s="1593"/>
      <c r="F899" s="1436"/>
      <c r="G899" s="1547">
        <f t="shared" si="509"/>
        <v>0</v>
      </c>
      <c r="H899" s="1484"/>
      <c r="I899" s="1547">
        <f t="shared" si="510"/>
        <v>0</v>
      </c>
      <c r="J899" s="1485"/>
      <c r="K899" s="1485"/>
      <c r="L899" s="1436"/>
      <c r="M899" s="1439"/>
      <c r="N899" s="1439"/>
      <c r="O899" s="1485"/>
      <c r="P899" s="1486"/>
      <c r="Q899" s="1486"/>
      <c r="R899" s="1487"/>
      <c r="S899" s="1444"/>
      <c r="T899" s="1444"/>
      <c r="U899" s="1444"/>
      <c r="V899" s="1488"/>
      <c r="W899" s="1488"/>
      <c r="X899" s="1488"/>
      <c r="Y899" s="1488"/>
      <c r="Z899" s="1488"/>
      <c r="AA899" s="1488"/>
      <c r="AB899" s="1488"/>
      <c r="AC899" s="1488"/>
      <c r="AD899" s="1488"/>
      <c r="AE899" s="1488"/>
      <c r="AF899" s="1488"/>
      <c r="AG899" s="1488"/>
      <c r="AH899" s="1451">
        <f t="shared" si="482"/>
        <v>0</v>
      </c>
      <c r="AI899" s="1488"/>
      <c r="AJ899" s="1488"/>
      <c r="AK899" s="1488"/>
      <c r="AL899" s="1488"/>
      <c r="AM899" s="1488"/>
      <c r="AN899" s="1488"/>
      <c r="AO899" s="1488"/>
      <c r="AP899" s="1488"/>
      <c r="AQ899" s="1488"/>
      <c r="AR899" s="1488"/>
      <c r="AS899" s="1488"/>
      <c r="AT899" s="1542"/>
      <c r="AU899" s="1599">
        <f t="shared" si="483"/>
        <v>0</v>
      </c>
      <c r="AV899" s="1544">
        <f t="shared" si="511"/>
        <v>0</v>
      </c>
      <c r="AW899" s="1452">
        <f t="shared" si="484"/>
        <v>0</v>
      </c>
      <c r="AX899" s="1452">
        <f t="shared" si="485"/>
        <v>0</v>
      </c>
      <c r="AY899" s="1452">
        <f t="shared" si="486"/>
        <v>0</v>
      </c>
      <c r="AZ899" s="1452">
        <f t="shared" si="487"/>
        <v>0</v>
      </c>
      <c r="BA899" s="1452">
        <f t="shared" si="488"/>
        <v>0</v>
      </c>
      <c r="BB899" s="1452">
        <f t="shared" si="489"/>
        <v>0</v>
      </c>
      <c r="BC899" s="1452">
        <f t="shared" si="490"/>
        <v>0</v>
      </c>
      <c r="BD899" s="1452">
        <f t="shared" si="491"/>
        <v>0</v>
      </c>
      <c r="BE899" s="1452">
        <f t="shared" si="492"/>
        <v>0</v>
      </c>
      <c r="BF899" s="1452">
        <f t="shared" si="493"/>
        <v>0</v>
      </c>
      <c r="BG899" s="1452">
        <f t="shared" si="494"/>
        <v>0</v>
      </c>
      <c r="BH899" s="1452">
        <f t="shared" si="495"/>
        <v>0</v>
      </c>
      <c r="BI899" s="1452">
        <f t="shared" si="512"/>
        <v>0</v>
      </c>
      <c r="BJ899" s="1452" t="str">
        <f t="shared" si="496"/>
        <v/>
      </c>
      <c r="BK899" s="1452" t="str">
        <f t="shared" si="497"/>
        <v/>
      </c>
      <c r="BL899" s="1452" t="str">
        <f t="shared" si="498"/>
        <v/>
      </c>
      <c r="BM899" s="1452" t="str">
        <f t="shared" si="499"/>
        <v/>
      </c>
      <c r="BN899" s="1452" t="str">
        <f t="shared" ca="1" si="500"/>
        <v/>
      </c>
      <c r="BO899" s="1452" t="str">
        <f t="shared" si="513"/>
        <v/>
      </c>
      <c r="BP899" s="1452" t="str">
        <f t="shared" si="501"/>
        <v/>
      </c>
      <c r="BQ899" s="1452" t="str">
        <f t="shared" si="502"/>
        <v/>
      </c>
      <c r="BR899" s="1452" t="str">
        <f t="shared" si="503"/>
        <v/>
      </c>
      <c r="BS899" s="1452" t="str">
        <f t="shared" si="504"/>
        <v/>
      </c>
      <c r="BT899" s="1452" t="str">
        <f t="shared" si="505"/>
        <v/>
      </c>
      <c r="BU899" s="1452" t="str">
        <f t="shared" si="506"/>
        <v/>
      </c>
      <c r="BV899" s="1452" t="str">
        <f t="shared" si="507"/>
        <v/>
      </c>
      <c r="BW899" s="1558">
        <f t="shared" ca="1" si="514"/>
        <v>0</v>
      </c>
    </row>
    <row r="900" spans="1:75" s="9" customFormat="1" ht="12.5">
      <c r="A900" s="1483" t="str">
        <f t="shared" si="508"/>
        <v>Public Health Wales Trust</v>
      </c>
      <c r="B900" s="1583"/>
      <c r="C900" s="1510"/>
      <c r="D900" s="1494"/>
      <c r="E900" s="1593"/>
      <c r="F900" s="1436"/>
      <c r="G900" s="1547">
        <f t="shared" si="509"/>
        <v>0</v>
      </c>
      <c r="H900" s="1484"/>
      <c r="I900" s="1547">
        <f t="shared" si="510"/>
        <v>0</v>
      </c>
      <c r="J900" s="1495"/>
      <c r="K900" s="1495"/>
      <c r="L900" s="1436"/>
      <c r="M900" s="1439"/>
      <c r="N900" s="1439"/>
      <c r="O900" s="1485"/>
      <c r="P900" s="1486"/>
      <c r="Q900" s="1486"/>
      <c r="R900" s="1487"/>
      <c r="S900" s="1444"/>
      <c r="T900" s="1444"/>
      <c r="U900" s="1444"/>
      <c r="V900" s="1488"/>
      <c r="W900" s="1488"/>
      <c r="X900" s="1488"/>
      <c r="Y900" s="1488"/>
      <c r="Z900" s="1488"/>
      <c r="AA900" s="1488"/>
      <c r="AB900" s="1488"/>
      <c r="AC900" s="1488"/>
      <c r="AD900" s="1488"/>
      <c r="AE900" s="1488"/>
      <c r="AF900" s="1488"/>
      <c r="AG900" s="1488"/>
      <c r="AH900" s="1451">
        <f t="shared" si="482"/>
        <v>0</v>
      </c>
      <c r="AI900" s="1488"/>
      <c r="AJ900" s="1488"/>
      <c r="AK900" s="1488"/>
      <c r="AL900" s="1488"/>
      <c r="AM900" s="1488"/>
      <c r="AN900" s="1488"/>
      <c r="AO900" s="1488"/>
      <c r="AP900" s="1488"/>
      <c r="AQ900" s="1488"/>
      <c r="AR900" s="1488"/>
      <c r="AS900" s="1488"/>
      <c r="AT900" s="1542"/>
      <c r="AU900" s="1599">
        <f t="shared" si="483"/>
        <v>0</v>
      </c>
      <c r="AV900" s="1544">
        <f t="shared" si="511"/>
        <v>0</v>
      </c>
      <c r="AW900" s="1452">
        <f t="shared" si="484"/>
        <v>0</v>
      </c>
      <c r="AX900" s="1452">
        <f t="shared" si="485"/>
        <v>0</v>
      </c>
      <c r="AY900" s="1452">
        <f t="shared" si="486"/>
        <v>0</v>
      </c>
      <c r="AZ900" s="1452">
        <f t="shared" si="487"/>
        <v>0</v>
      </c>
      <c r="BA900" s="1452">
        <f t="shared" si="488"/>
        <v>0</v>
      </c>
      <c r="BB900" s="1452">
        <f t="shared" si="489"/>
        <v>0</v>
      </c>
      <c r="BC900" s="1452">
        <f t="shared" si="490"/>
        <v>0</v>
      </c>
      <c r="BD900" s="1452">
        <f t="shared" si="491"/>
        <v>0</v>
      </c>
      <c r="BE900" s="1452">
        <f t="shared" si="492"/>
        <v>0</v>
      </c>
      <c r="BF900" s="1452">
        <f t="shared" si="493"/>
        <v>0</v>
      </c>
      <c r="BG900" s="1452">
        <f t="shared" si="494"/>
        <v>0</v>
      </c>
      <c r="BH900" s="1452">
        <f t="shared" si="495"/>
        <v>0</v>
      </c>
      <c r="BI900" s="1452">
        <f t="shared" si="512"/>
        <v>0</v>
      </c>
      <c r="BJ900" s="1452" t="str">
        <f t="shared" si="496"/>
        <v/>
      </c>
      <c r="BK900" s="1452" t="str">
        <f t="shared" si="497"/>
        <v/>
      </c>
      <c r="BL900" s="1452" t="str">
        <f t="shared" si="498"/>
        <v/>
      </c>
      <c r="BM900" s="1452" t="str">
        <f t="shared" si="499"/>
        <v/>
      </c>
      <c r="BN900" s="1452" t="str">
        <f t="shared" ca="1" si="500"/>
        <v/>
      </c>
      <c r="BO900" s="1452" t="str">
        <f t="shared" si="513"/>
        <v/>
      </c>
      <c r="BP900" s="1452" t="str">
        <f t="shared" si="501"/>
        <v/>
      </c>
      <c r="BQ900" s="1452" t="str">
        <f t="shared" si="502"/>
        <v/>
      </c>
      <c r="BR900" s="1452" t="str">
        <f t="shared" si="503"/>
        <v/>
      </c>
      <c r="BS900" s="1452" t="str">
        <f t="shared" si="504"/>
        <v/>
      </c>
      <c r="BT900" s="1452" t="str">
        <f t="shared" si="505"/>
        <v/>
      </c>
      <c r="BU900" s="1452" t="str">
        <f t="shared" si="506"/>
        <v/>
      </c>
      <c r="BV900" s="1452" t="str">
        <f t="shared" si="507"/>
        <v/>
      </c>
      <c r="BW900" s="1558">
        <f t="shared" ca="1" si="514"/>
        <v>0</v>
      </c>
    </row>
    <row r="901" spans="1:75" s="9" customFormat="1" ht="12.5">
      <c r="A901" s="1483" t="str">
        <f t="shared" si="508"/>
        <v>Public Health Wales Trust</v>
      </c>
      <c r="B901" s="1583"/>
      <c r="C901" s="1510"/>
      <c r="D901" s="1494"/>
      <c r="E901" s="1593"/>
      <c r="F901" s="1436"/>
      <c r="G901" s="1547">
        <f t="shared" si="509"/>
        <v>0</v>
      </c>
      <c r="H901" s="1484"/>
      <c r="I901" s="1547">
        <f t="shared" si="510"/>
        <v>0</v>
      </c>
      <c r="J901" s="1495"/>
      <c r="K901" s="1495"/>
      <c r="L901" s="1436"/>
      <c r="M901" s="1439"/>
      <c r="N901" s="1439"/>
      <c r="O901" s="1485"/>
      <c r="P901" s="1486"/>
      <c r="Q901" s="1486"/>
      <c r="R901" s="1487"/>
      <c r="S901" s="1444"/>
      <c r="T901" s="1444"/>
      <c r="U901" s="1444"/>
      <c r="V901" s="1488"/>
      <c r="W901" s="1488"/>
      <c r="X901" s="1488"/>
      <c r="Y901" s="1488"/>
      <c r="Z901" s="1488"/>
      <c r="AA901" s="1488"/>
      <c r="AB901" s="1488"/>
      <c r="AC901" s="1488"/>
      <c r="AD901" s="1488"/>
      <c r="AE901" s="1488"/>
      <c r="AF901" s="1488"/>
      <c r="AG901" s="1488"/>
      <c r="AH901" s="1451">
        <f t="shared" si="482"/>
        <v>0</v>
      </c>
      <c r="AI901" s="1488"/>
      <c r="AJ901" s="1488"/>
      <c r="AK901" s="1488"/>
      <c r="AL901" s="1488"/>
      <c r="AM901" s="1488"/>
      <c r="AN901" s="1488"/>
      <c r="AO901" s="1488"/>
      <c r="AP901" s="1488"/>
      <c r="AQ901" s="1488"/>
      <c r="AR901" s="1488"/>
      <c r="AS901" s="1488"/>
      <c r="AT901" s="1542"/>
      <c r="AU901" s="1599">
        <f t="shared" si="483"/>
        <v>0</v>
      </c>
      <c r="AV901" s="1544">
        <f t="shared" si="511"/>
        <v>0</v>
      </c>
      <c r="AW901" s="1452">
        <f t="shared" si="484"/>
        <v>0</v>
      </c>
      <c r="AX901" s="1452">
        <f t="shared" si="485"/>
        <v>0</v>
      </c>
      <c r="AY901" s="1452">
        <f t="shared" si="486"/>
        <v>0</v>
      </c>
      <c r="AZ901" s="1452">
        <f t="shared" si="487"/>
        <v>0</v>
      </c>
      <c r="BA901" s="1452">
        <f t="shared" si="488"/>
        <v>0</v>
      </c>
      <c r="BB901" s="1452">
        <f t="shared" si="489"/>
        <v>0</v>
      </c>
      <c r="BC901" s="1452">
        <f t="shared" si="490"/>
        <v>0</v>
      </c>
      <c r="BD901" s="1452">
        <f t="shared" si="491"/>
        <v>0</v>
      </c>
      <c r="BE901" s="1452">
        <f t="shared" si="492"/>
        <v>0</v>
      </c>
      <c r="BF901" s="1452">
        <f t="shared" si="493"/>
        <v>0</v>
      </c>
      <c r="BG901" s="1452">
        <f t="shared" si="494"/>
        <v>0</v>
      </c>
      <c r="BH901" s="1452">
        <f t="shared" si="495"/>
        <v>0</v>
      </c>
      <c r="BI901" s="1452">
        <f t="shared" si="512"/>
        <v>0</v>
      </c>
      <c r="BJ901" s="1452" t="str">
        <f t="shared" si="496"/>
        <v/>
      </c>
      <c r="BK901" s="1452" t="str">
        <f t="shared" si="497"/>
        <v/>
      </c>
      <c r="BL901" s="1452" t="str">
        <f t="shared" si="498"/>
        <v/>
      </c>
      <c r="BM901" s="1452" t="str">
        <f t="shared" si="499"/>
        <v/>
      </c>
      <c r="BN901" s="1452" t="str">
        <f t="shared" ca="1" si="500"/>
        <v/>
      </c>
      <c r="BO901" s="1452" t="str">
        <f t="shared" si="513"/>
        <v/>
      </c>
      <c r="BP901" s="1452" t="str">
        <f t="shared" si="501"/>
        <v/>
      </c>
      <c r="BQ901" s="1452" t="str">
        <f t="shared" si="502"/>
        <v/>
      </c>
      <c r="BR901" s="1452" t="str">
        <f t="shared" si="503"/>
        <v/>
      </c>
      <c r="BS901" s="1452" t="str">
        <f t="shared" si="504"/>
        <v/>
      </c>
      <c r="BT901" s="1452" t="str">
        <f t="shared" si="505"/>
        <v/>
      </c>
      <c r="BU901" s="1452" t="str">
        <f t="shared" si="506"/>
        <v/>
      </c>
      <c r="BV901" s="1452" t="str">
        <f t="shared" si="507"/>
        <v/>
      </c>
      <c r="BW901" s="1558">
        <f t="shared" ca="1" si="514"/>
        <v>0</v>
      </c>
    </row>
    <row r="902" spans="1:75" s="9" customFormat="1" ht="12.5">
      <c r="A902" s="1483" t="str">
        <f t="shared" si="508"/>
        <v>Public Health Wales Trust</v>
      </c>
      <c r="B902" s="1583"/>
      <c r="C902" s="1510"/>
      <c r="D902" s="1494"/>
      <c r="E902" s="1593"/>
      <c r="F902" s="1436"/>
      <c r="G902" s="1547">
        <f t="shared" si="509"/>
        <v>0</v>
      </c>
      <c r="H902" s="1484"/>
      <c r="I902" s="1547">
        <f t="shared" si="510"/>
        <v>0</v>
      </c>
      <c r="J902" s="1495"/>
      <c r="K902" s="1495"/>
      <c r="L902" s="1436"/>
      <c r="M902" s="1439"/>
      <c r="N902" s="1439"/>
      <c r="O902" s="1485"/>
      <c r="P902" s="1486"/>
      <c r="Q902" s="1486"/>
      <c r="R902" s="1487"/>
      <c r="S902" s="1444"/>
      <c r="T902" s="1444"/>
      <c r="U902" s="1444"/>
      <c r="V902" s="1488"/>
      <c r="W902" s="1488"/>
      <c r="X902" s="1488"/>
      <c r="Y902" s="1488"/>
      <c r="Z902" s="1488"/>
      <c r="AA902" s="1488"/>
      <c r="AB902" s="1488"/>
      <c r="AC902" s="1488"/>
      <c r="AD902" s="1488"/>
      <c r="AE902" s="1488"/>
      <c r="AF902" s="1488"/>
      <c r="AG902" s="1488"/>
      <c r="AH902" s="1451">
        <f t="shared" si="482"/>
        <v>0</v>
      </c>
      <c r="AI902" s="1488"/>
      <c r="AJ902" s="1488"/>
      <c r="AK902" s="1488"/>
      <c r="AL902" s="1488"/>
      <c r="AM902" s="1488"/>
      <c r="AN902" s="1488"/>
      <c r="AO902" s="1488"/>
      <c r="AP902" s="1488"/>
      <c r="AQ902" s="1488"/>
      <c r="AR902" s="1488"/>
      <c r="AS902" s="1488"/>
      <c r="AT902" s="1542"/>
      <c r="AU902" s="1599">
        <f t="shared" si="483"/>
        <v>0</v>
      </c>
      <c r="AV902" s="1544">
        <f t="shared" si="511"/>
        <v>0</v>
      </c>
      <c r="AW902" s="1452">
        <f t="shared" si="484"/>
        <v>0</v>
      </c>
      <c r="AX902" s="1452">
        <f t="shared" si="485"/>
        <v>0</v>
      </c>
      <c r="AY902" s="1452">
        <f t="shared" si="486"/>
        <v>0</v>
      </c>
      <c r="AZ902" s="1452">
        <f t="shared" si="487"/>
        <v>0</v>
      </c>
      <c r="BA902" s="1452">
        <f t="shared" si="488"/>
        <v>0</v>
      </c>
      <c r="BB902" s="1452">
        <f t="shared" si="489"/>
        <v>0</v>
      </c>
      <c r="BC902" s="1452">
        <f t="shared" si="490"/>
        <v>0</v>
      </c>
      <c r="BD902" s="1452">
        <f t="shared" si="491"/>
        <v>0</v>
      </c>
      <c r="BE902" s="1452">
        <f t="shared" si="492"/>
        <v>0</v>
      </c>
      <c r="BF902" s="1452">
        <f t="shared" si="493"/>
        <v>0</v>
      </c>
      <c r="BG902" s="1452">
        <f t="shared" si="494"/>
        <v>0</v>
      </c>
      <c r="BH902" s="1452">
        <f t="shared" si="495"/>
        <v>0</v>
      </c>
      <c r="BI902" s="1452">
        <f t="shared" si="512"/>
        <v>0</v>
      </c>
      <c r="BJ902" s="1452" t="str">
        <f t="shared" si="496"/>
        <v/>
      </c>
      <c r="BK902" s="1452" t="str">
        <f t="shared" si="497"/>
        <v/>
      </c>
      <c r="BL902" s="1452" t="str">
        <f t="shared" si="498"/>
        <v/>
      </c>
      <c r="BM902" s="1452" t="str">
        <f t="shared" si="499"/>
        <v/>
      </c>
      <c r="BN902" s="1452" t="str">
        <f t="shared" ca="1" si="500"/>
        <v/>
      </c>
      <c r="BO902" s="1452" t="str">
        <f t="shared" si="513"/>
        <v/>
      </c>
      <c r="BP902" s="1452" t="str">
        <f t="shared" si="501"/>
        <v/>
      </c>
      <c r="BQ902" s="1452" t="str">
        <f t="shared" si="502"/>
        <v/>
      </c>
      <c r="BR902" s="1452" t="str">
        <f t="shared" si="503"/>
        <v/>
      </c>
      <c r="BS902" s="1452" t="str">
        <f t="shared" si="504"/>
        <v/>
      </c>
      <c r="BT902" s="1452" t="str">
        <f t="shared" si="505"/>
        <v/>
      </c>
      <c r="BU902" s="1452" t="str">
        <f t="shared" si="506"/>
        <v/>
      </c>
      <c r="BV902" s="1452" t="str">
        <f t="shared" si="507"/>
        <v/>
      </c>
      <c r="BW902" s="1558">
        <f t="shared" ca="1" si="514"/>
        <v>0</v>
      </c>
    </row>
    <row r="903" spans="1:75" s="9" customFormat="1" ht="12.5">
      <c r="A903" s="1483" t="str">
        <f t="shared" si="508"/>
        <v>Public Health Wales Trust</v>
      </c>
      <c r="B903" s="1583"/>
      <c r="C903" s="1510"/>
      <c r="D903" s="1494"/>
      <c r="E903" s="1593"/>
      <c r="F903" s="1436"/>
      <c r="G903" s="1547">
        <f t="shared" si="509"/>
        <v>0</v>
      </c>
      <c r="H903" s="1484"/>
      <c r="I903" s="1547">
        <f t="shared" si="510"/>
        <v>0</v>
      </c>
      <c r="J903" s="1495"/>
      <c r="K903" s="1495"/>
      <c r="L903" s="1436"/>
      <c r="M903" s="1439"/>
      <c r="N903" s="1439"/>
      <c r="O903" s="1485"/>
      <c r="P903" s="1486"/>
      <c r="Q903" s="1486"/>
      <c r="R903" s="1487"/>
      <c r="S903" s="1444"/>
      <c r="T903" s="1444"/>
      <c r="U903" s="1444"/>
      <c r="V903" s="1488"/>
      <c r="W903" s="1488"/>
      <c r="X903" s="1488"/>
      <c r="Y903" s="1488"/>
      <c r="Z903" s="1488"/>
      <c r="AA903" s="1488"/>
      <c r="AB903" s="1488"/>
      <c r="AC903" s="1488"/>
      <c r="AD903" s="1488"/>
      <c r="AE903" s="1488"/>
      <c r="AF903" s="1488"/>
      <c r="AG903" s="1488"/>
      <c r="AH903" s="1451">
        <f t="shared" si="482"/>
        <v>0</v>
      </c>
      <c r="AI903" s="1488"/>
      <c r="AJ903" s="1488"/>
      <c r="AK903" s="1488"/>
      <c r="AL903" s="1488"/>
      <c r="AM903" s="1488"/>
      <c r="AN903" s="1488"/>
      <c r="AO903" s="1488"/>
      <c r="AP903" s="1488"/>
      <c r="AQ903" s="1488"/>
      <c r="AR903" s="1488"/>
      <c r="AS903" s="1488"/>
      <c r="AT903" s="1542"/>
      <c r="AU903" s="1599">
        <f t="shared" si="483"/>
        <v>0</v>
      </c>
      <c r="AV903" s="1544">
        <f t="shared" si="511"/>
        <v>0</v>
      </c>
      <c r="AW903" s="1452">
        <f t="shared" si="484"/>
        <v>0</v>
      </c>
      <c r="AX903" s="1452">
        <f t="shared" si="485"/>
        <v>0</v>
      </c>
      <c r="AY903" s="1452">
        <f t="shared" si="486"/>
        <v>0</v>
      </c>
      <c r="AZ903" s="1452">
        <f t="shared" si="487"/>
        <v>0</v>
      </c>
      <c r="BA903" s="1452">
        <f t="shared" si="488"/>
        <v>0</v>
      </c>
      <c r="BB903" s="1452">
        <f t="shared" si="489"/>
        <v>0</v>
      </c>
      <c r="BC903" s="1452">
        <f t="shared" si="490"/>
        <v>0</v>
      </c>
      <c r="BD903" s="1452">
        <f t="shared" si="491"/>
        <v>0</v>
      </c>
      <c r="BE903" s="1452">
        <f t="shared" si="492"/>
        <v>0</v>
      </c>
      <c r="BF903" s="1452">
        <f t="shared" si="493"/>
        <v>0</v>
      </c>
      <c r="BG903" s="1452">
        <f t="shared" si="494"/>
        <v>0</v>
      </c>
      <c r="BH903" s="1452">
        <f t="shared" si="495"/>
        <v>0</v>
      </c>
      <c r="BI903" s="1452">
        <f t="shared" si="512"/>
        <v>0</v>
      </c>
      <c r="BJ903" s="1452" t="str">
        <f t="shared" si="496"/>
        <v/>
      </c>
      <c r="BK903" s="1452" t="str">
        <f t="shared" si="497"/>
        <v/>
      </c>
      <c r="BL903" s="1452" t="str">
        <f t="shared" si="498"/>
        <v/>
      </c>
      <c r="BM903" s="1452" t="str">
        <f t="shared" si="499"/>
        <v/>
      </c>
      <c r="BN903" s="1452" t="str">
        <f t="shared" ca="1" si="500"/>
        <v/>
      </c>
      <c r="BO903" s="1452" t="str">
        <f t="shared" si="513"/>
        <v/>
      </c>
      <c r="BP903" s="1452" t="str">
        <f t="shared" si="501"/>
        <v/>
      </c>
      <c r="BQ903" s="1452" t="str">
        <f t="shared" si="502"/>
        <v/>
      </c>
      <c r="BR903" s="1452" t="str">
        <f t="shared" si="503"/>
        <v/>
      </c>
      <c r="BS903" s="1452" t="str">
        <f t="shared" si="504"/>
        <v/>
      </c>
      <c r="BT903" s="1452" t="str">
        <f t="shared" si="505"/>
        <v/>
      </c>
      <c r="BU903" s="1452" t="str">
        <f t="shared" si="506"/>
        <v/>
      </c>
      <c r="BV903" s="1452" t="str">
        <f t="shared" si="507"/>
        <v/>
      </c>
      <c r="BW903" s="1558">
        <f t="shared" ca="1" si="514"/>
        <v>0</v>
      </c>
    </row>
    <row r="904" spans="1:75" s="9" customFormat="1" ht="12.5">
      <c r="A904" s="1483" t="str">
        <f t="shared" si="508"/>
        <v>Public Health Wales Trust</v>
      </c>
      <c r="B904" s="1583"/>
      <c r="C904" s="1510"/>
      <c r="D904" s="1494"/>
      <c r="E904" s="1593"/>
      <c r="F904" s="1436"/>
      <c r="G904" s="1547">
        <f t="shared" si="509"/>
        <v>0</v>
      </c>
      <c r="H904" s="1484"/>
      <c r="I904" s="1547">
        <f t="shared" si="510"/>
        <v>0</v>
      </c>
      <c r="J904" s="1496"/>
      <c r="K904" s="1496"/>
      <c r="L904" s="1436"/>
      <c r="M904" s="1439"/>
      <c r="N904" s="1437"/>
      <c r="O904" s="1485"/>
      <c r="P904" s="1486"/>
      <c r="Q904" s="1486"/>
      <c r="R904" s="1487"/>
      <c r="S904" s="1444"/>
      <c r="T904" s="1444"/>
      <c r="U904" s="1444"/>
      <c r="V904" s="1488"/>
      <c r="W904" s="1488"/>
      <c r="X904" s="1488"/>
      <c r="Y904" s="1488"/>
      <c r="Z904" s="1488"/>
      <c r="AA904" s="1488"/>
      <c r="AB904" s="1488"/>
      <c r="AC904" s="1488"/>
      <c r="AD904" s="1488"/>
      <c r="AE904" s="1488"/>
      <c r="AF904" s="1488"/>
      <c r="AG904" s="1488"/>
      <c r="AH904" s="1451">
        <f t="shared" si="482"/>
        <v>0</v>
      </c>
      <c r="AI904" s="1488"/>
      <c r="AJ904" s="1488"/>
      <c r="AK904" s="1488"/>
      <c r="AL904" s="1488"/>
      <c r="AM904" s="1488"/>
      <c r="AN904" s="1488"/>
      <c r="AO904" s="1488"/>
      <c r="AP904" s="1488"/>
      <c r="AQ904" s="1488"/>
      <c r="AR904" s="1488"/>
      <c r="AS904" s="1488"/>
      <c r="AT904" s="1542"/>
      <c r="AU904" s="1599">
        <f t="shared" si="483"/>
        <v>0</v>
      </c>
      <c r="AV904" s="1544">
        <f t="shared" si="511"/>
        <v>0</v>
      </c>
      <c r="AW904" s="1452">
        <f t="shared" si="484"/>
        <v>0</v>
      </c>
      <c r="AX904" s="1452">
        <f t="shared" si="485"/>
        <v>0</v>
      </c>
      <c r="AY904" s="1452">
        <f t="shared" si="486"/>
        <v>0</v>
      </c>
      <c r="AZ904" s="1452">
        <f t="shared" si="487"/>
        <v>0</v>
      </c>
      <c r="BA904" s="1452">
        <f t="shared" si="488"/>
        <v>0</v>
      </c>
      <c r="BB904" s="1452">
        <f t="shared" si="489"/>
        <v>0</v>
      </c>
      <c r="BC904" s="1452">
        <f t="shared" si="490"/>
        <v>0</v>
      </c>
      <c r="BD904" s="1452">
        <f t="shared" si="491"/>
        <v>0</v>
      </c>
      <c r="BE904" s="1452">
        <f t="shared" si="492"/>
        <v>0</v>
      </c>
      <c r="BF904" s="1452">
        <f t="shared" si="493"/>
        <v>0</v>
      </c>
      <c r="BG904" s="1452">
        <f t="shared" si="494"/>
        <v>0</v>
      </c>
      <c r="BH904" s="1452">
        <f t="shared" si="495"/>
        <v>0</v>
      </c>
      <c r="BI904" s="1452">
        <f t="shared" si="512"/>
        <v>0</v>
      </c>
      <c r="BJ904" s="1452" t="str">
        <f t="shared" si="496"/>
        <v/>
      </c>
      <c r="BK904" s="1452" t="str">
        <f t="shared" si="497"/>
        <v/>
      </c>
      <c r="BL904" s="1452" t="str">
        <f t="shared" si="498"/>
        <v/>
      </c>
      <c r="BM904" s="1452" t="str">
        <f t="shared" si="499"/>
        <v/>
      </c>
      <c r="BN904" s="1452" t="str">
        <f t="shared" ca="1" si="500"/>
        <v/>
      </c>
      <c r="BO904" s="1452" t="str">
        <f t="shared" si="513"/>
        <v/>
      </c>
      <c r="BP904" s="1452" t="str">
        <f t="shared" si="501"/>
        <v/>
      </c>
      <c r="BQ904" s="1452" t="str">
        <f t="shared" si="502"/>
        <v/>
      </c>
      <c r="BR904" s="1452" t="str">
        <f t="shared" si="503"/>
        <v/>
      </c>
      <c r="BS904" s="1452" t="str">
        <f t="shared" si="504"/>
        <v/>
      </c>
      <c r="BT904" s="1452" t="str">
        <f t="shared" si="505"/>
        <v/>
      </c>
      <c r="BU904" s="1452" t="str">
        <f t="shared" si="506"/>
        <v/>
      </c>
      <c r="BV904" s="1452" t="str">
        <f t="shared" si="507"/>
        <v/>
      </c>
      <c r="BW904" s="1558">
        <f t="shared" ca="1" si="514"/>
        <v>0</v>
      </c>
    </row>
    <row r="905" spans="1:75" s="9" customFormat="1" ht="12.5">
      <c r="A905" s="1483" t="str">
        <f t="shared" si="508"/>
        <v>Public Health Wales Trust</v>
      </c>
      <c r="B905" s="1583"/>
      <c r="C905" s="1510"/>
      <c r="D905" s="1494"/>
      <c r="E905" s="1593"/>
      <c r="F905" s="1436"/>
      <c r="G905" s="1547">
        <f t="shared" si="509"/>
        <v>0</v>
      </c>
      <c r="H905" s="1484"/>
      <c r="I905" s="1547">
        <f t="shared" si="510"/>
        <v>0</v>
      </c>
      <c r="J905" s="1502"/>
      <c r="K905" s="1715"/>
      <c r="L905" s="1436"/>
      <c r="M905" s="1439"/>
      <c r="N905" s="1504"/>
      <c r="O905" s="1485"/>
      <c r="P905" s="1486"/>
      <c r="Q905" s="1486"/>
      <c r="R905" s="1487"/>
      <c r="S905" s="1444"/>
      <c r="T905" s="1444"/>
      <c r="U905" s="1444"/>
      <c r="V905" s="1488"/>
      <c r="W905" s="1488"/>
      <c r="X905" s="1488"/>
      <c r="Y905" s="1488"/>
      <c r="Z905" s="1488"/>
      <c r="AA905" s="1488"/>
      <c r="AB905" s="1488"/>
      <c r="AC905" s="1488"/>
      <c r="AD905" s="1488"/>
      <c r="AE905" s="1488"/>
      <c r="AF905" s="1488"/>
      <c r="AG905" s="1488"/>
      <c r="AH905" s="1451">
        <f t="shared" si="482"/>
        <v>0</v>
      </c>
      <c r="AI905" s="1488"/>
      <c r="AJ905" s="1488"/>
      <c r="AK905" s="1488"/>
      <c r="AL905" s="1488"/>
      <c r="AM905" s="1488"/>
      <c r="AN905" s="1488"/>
      <c r="AO905" s="1488"/>
      <c r="AP905" s="1488"/>
      <c r="AQ905" s="1488"/>
      <c r="AR905" s="1488"/>
      <c r="AS905" s="1488"/>
      <c r="AT905" s="1542"/>
      <c r="AU905" s="1599">
        <f t="shared" si="483"/>
        <v>0</v>
      </c>
      <c r="AV905" s="1544">
        <f t="shared" si="511"/>
        <v>0</v>
      </c>
      <c r="AW905" s="1452">
        <f t="shared" si="484"/>
        <v>0</v>
      </c>
      <c r="AX905" s="1452">
        <f t="shared" si="485"/>
        <v>0</v>
      </c>
      <c r="AY905" s="1452">
        <f t="shared" si="486"/>
        <v>0</v>
      </c>
      <c r="AZ905" s="1452">
        <f t="shared" si="487"/>
        <v>0</v>
      </c>
      <c r="BA905" s="1452">
        <f t="shared" si="488"/>
        <v>0</v>
      </c>
      <c r="BB905" s="1452">
        <f t="shared" si="489"/>
        <v>0</v>
      </c>
      <c r="BC905" s="1452">
        <f t="shared" si="490"/>
        <v>0</v>
      </c>
      <c r="BD905" s="1452">
        <f t="shared" si="491"/>
        <v>0</v>
      </c>
      <c r="BE905" s="1452">
        <f t="shared" si="492"/>
        <v>0</v>
      </c>
      <c r="BF905" s="1452">
        <f t="shared" si="493"/>
        <v>0</v>
      </c>
      <c r="BG905" s="1452">
        <f t="shared" si="494"/>
        <v>0</v>
      </c>
      <c r="BH905" s="1452">
        <f t="shared" si="495"/>
        <v>0</v>
      </c>
      <c r="BI905" s="1452">
        <f t="shared" si="512"/>
        <v>0</v>
      </c>
      <c r="BJ905" s="1452" t="str">
        <f t="shared" si="496"/>
        <v/>
      </c>
      <c r="BK905" s="1452" t="str">
        <f t="shared" si="497"/>
        <v/>
      </c>
      <c r="BL905" s="1452" t="str">
        <f t="shared" si="498"/>
        <v/>
      </c>
      <c r="BM905" s="1452" t="str">
        <f t="shared" si="499"/>
        <v/>
      </c>
      <c r="BN905" s="1452" t="str">
        <f t="shared" ca="1" si="500"/>
        <v/>
      </c>
      <c r="BO905" s="1452" t="str">
        <f t="shared" si="513"/>
        <v/>
      </c>
      <c r="BP905" s="1452" t="str">
        <f t="shared" si="501"/>
        <v/>
      </c>
      <c r="BQ905" s="1452" t="str">
        <f t="shared" si="502"/>
        <v/>
      </c>
      <c r="BR905" s="1452" t="str">
        <f t="shared" si="503"/>
        <v/>
      </c>
      <c r="BS905" s="1452" t="str">
        <f t="shared" si="504"/>
        <v/>
      </c>
      <c r="BT905" s="1452" t="str">
        <f t="shared" si="505"/>
        <v/>
      </c>
      <c r="BU905" s="1452" t="str">
        <f t="shared" si="506"/>
        <v/>
      </c>
      <c r="BV905" s="1452" t="str">
        <f t="shared" si="507"/>
        <v/>
      </c>
      <c r="BW905" s="1558">
        <f t="shared" ca="1" si="514"/>
        <v>0</v>
      </c>
    </row>
    <row r="906" spans="1:75" s="9" customFormat="1" ht="12.5">
      <c r="A906" s="1483" t="str">
        <f t="shared" si="508"/>
        <v>Public Health Wales Trust</v>
      </c>
      <c r="B906" s="1583"/>
      <c r="C906" s="1510"/>
      <c r="D906" s="1494"/>
      <c r="E906" s="1593"/>
      <c r="F906" s="1436"/>
      <c r="G906" s="1547">
        <f t="shared" si="509"/>
        <v>0</v>
      </c>
      <c r="H906" s="1484"/>
      <c r="I906" s="1547">
        <f t="shared" si="510"/>
        <v>0</v>
      </c>
      <c r="J906" s="1495"/>
      <c r="K906" s="1495"/>
      <c r="L906" s="1436"/>
      <c r="M906" s="1439"/>
      <c r="N906" s="1439"/>
      <c r="O906" s="1485"/>
      <c r="P906" s="1486"/>
      <c r="Q906" s="1486"/>
      <c r="R906" s="1487"/>
      <c r="S906" s="1444"/>
      <c r="T906" s="1444"/>
      <c r="U906" s="1444"/>
      <c r="V906" s="1488"/>
      <c r="W906" s="1488"/>
      <c r="X906" s="1488"/>
      <c r="Y906" s="1488"/>
      <c r="Z906" s="1488"/>
      <c r="AA906" s="1488"/>
      <c r="AB906" s="1488"/>
      <c r="AC906" s="1488"/>
      <c r="AD906" s="1488"/>
      <c r="AE906" s="1488"/>
      <c r="AF906" s="1488"/>
      <c r="AG906" s="1488"/>
      <c r="AH906" s="1451">
        <f t="shared" si="482"/>
        <v>0</v>
      </c>
      <c r="AI906" s="1488"/>
      <c r="AJ906" s="1488"/>
      <c r="AK906" s="1488"/>
      <c r="AL906" s="1488"/>
      <c r="AM906" s="1488"/>
      <c r="AN906" s="1488"/>
      <c r="AO906" s="1488"/>
      <c r="AP906" s="1488"/>
      <c r="AQ906" s="1488"/>
      <c r="AR906" s="1488"/>
      <c r="AS906" s="1488"/>
      <c r="AT906" s="1542"/>
      <c r="AU906" s="1599">
        <f t="shared" si="483"/>
        <v>0</v>
      </c>
      <c r="AV906" s="1544">
        <f t="shared" si="511"/>
        <v>0</v>
      </c>
      <c r="AW906" s="1452">
        <f t="shared" si="484"/>
        <v>0</v>
      </c>
      <c r="AX906" s="1452">
        <f t="shared" si="485"/>
        <v>0</v>
      </c>
      <c r="AY906" s="1452">
        <f t="shared" si="486"/>
        <v>0</v>
      </c>
      <c r="AZ906" s="1452">
        <f t="shared" si="487"/>
        <v>0</v>
      </c>
      <c r="BA906" s="1452">
        <f t="shared" si="488"/>
        <v>0</v>
      </c>
      <c r="BB906" s="1452">
        <f t="shared" si="489"/>
        <v>0</v>
      </c>
      <c r="BC906" s="1452">
        <f t="shared" si="490"/>
        <v>0</v>
      </c>
      <c r="BD906" s="1452">
        <f t="shared" si="491"/>
        <v>0</v>
      </c>
      <c r="BE906" s="1452">
        <f t="shared" si="492"/>
        <v>0</v>
      </c>
      <c r="BF906" s="1452">
        <f t="shared" si="493"/>
        <v>0</v>
      </c>
      <c r="BG906" s="1452">
        <f t="shared" si="494"/>
        <v>0</v>
      </c>
      <c r="BH906" s="1452">
        <f t="shared" si="495"/>
        <v>0</v>
      </c>
      <c r="BI906" s="1452">
        <f t="shared" si="512"/>
        <v>0</v>
      </c>
      <c r="BJ906" s="1452" t="str">
        <f t="shared" si="496"/>
        <v/>
      </c>
      <c r="BK906" s="1452" t="str">
        <f t="shared" si="497"/>
        <v/>
      </c>
      <c r="BL906" s="1452" t="str">
        <f t="shared" si="498"/>
        <v/>
      </c>
      <c r="BM906" s="1452" t="str">
        <f t="shared" si="499"/>
        <v/>
      </c>
      <c r="BN906" s="1452" t="str">
        <f t="shared" ca="1" si="500"/>
        <v/>
      </c>
      <c r="BO906" s="1452" t="str">
        <f t="shared" si="513"/>
        <v/>
      </c>
      <c r="BP906" s="1452" t="str">
        <f t="shared" si="501"/>
        <v/>
      </c>
      <c r="BQ906" s="1452" t="str">
        <f t="shared" si="502"/>
        <v/>
      </c>
      <c r="BR906" s="1452" t="str">
        <f t="shared" si="503"/>
        <v/>
      </c>
      <c r="BS906" s="1452" t="str">
        <f t="shared" si="504"/>
        <v/>
      </c>
      <c r="BT906" s="1452" t="str">
        <f t="shared" si="505"/>
        <v/>
      </c>
      <c r="BU906" s="1452" t="str">
        <f t="shared" si="506"/>
        <v/>
      </c>
      <c r="BV906" s="1452" t="str">
        <f t="shared" si="507"/>
        <v/>
      </c>
      <c r="BW906" s="1558">
        <f t="shared" ca="1" si="514"/>
        <v>0</v>
      </c>
    </row>
    <row r="907" spans="1:75" s="9" customFormat="1" ht="12.5">
      <c r="A907" s="1483" t="str">
        <f t="shared" si="508"/>
        <v>Public Health Wales Trust</v>
      </c>
      <c r="B907" s="1583"/>
      <c r="C907" s="1510"/>
      <c r="D907" s="1494"/>
      <c r="E907" s="1593"/>
      <c r="F907" s="1436"/>
      <c r="G907" s="1547">
        <f t="shared" si="509"/>
        <v>0</v>
      </c>
      <c r="H907" s="1484"/>
      <c r="I907" s="1547">
        <f t="shared" si="510"/>
        <v>0</v>
      </c>
      <c r="J907" s="1495"/>
      <c r="K907" s="1495"/>
      <c r="L907" s="1436"/>
      <c r="M907" s="1439"/>
      <c r="N907" s="1439"/>
      <c r="O907" s="1485"/>
      <c r="P907" s="1486"/>
      <c r="Q907" s="1486"/>
      <c r="R907" s="1487"/>
      <c r="S907" s="1444"/>
      <c r="T907" s="1444"/>
      <c r="U907" s="1444"/>
      <c r="V907" s="1488"/>
      <c r="W907" s="1488"/>
      <c r="X907" s="1488"/>
      <c r="Y907" s="1488"/>
      <c r="Z907" s="1488"/>
      <c r="AA907" s="1488"/>
      <c r="AB907" s="1488"/>
      <c r="AC907" s="1488"/>
      <c r="AD907" s="1488"/>
      <c r="AE907" s="1488"/>
      <c r="AF907" s="1488"/>
      <c r="AG907" s="1488"/>
      <c r="AH907" s="1451">
        <f t="shared" si="482"/>
        <v>0</v>
      </c>
      <c r="AI907" s="1488"/>
      <c r="AJ907" s="1488"/>
      <c r="AK907" s="1488"/>
      <c r="AL907" s="1488"/>
      <c r="AM907" s="1488"/>
      <c r="AN907" s="1488"/>
      <c r="AO907" s="1488"/>
      <c r="AP907" s="1488"/>
      <c r="AQ907" s="1488"/>
      <c r="AR907" s="1488"/>
      <c r="AS907" s="1488"/>
      <c r="AT907" s="1542"/>
      <c r="AU907" s="1599">
        <f t="shared" si="483"/>
        <v>0</v>
      </c>
      <c r="AV907" s="1544">
        <f t="shared" si="511"/>
        <v>0</v>
      </c>
      <c r="AW907" s="1452">
        <f t="shared" si="484"/>
        <v>0</v>
      </c>
      <c r="AX907" s="1452">
        <f t="shared" si="485"/>
        <v>0</v>
      </c>
      <c r="AY907" s="1452">
        <f t="shared" si="486"/>
        <v>0</v>
      </c>
      <c r="AZ907" s="1452">
        <f t="shared" si="487"/>
        <v>0</v>
      </c>
      <c r="BA907" s="1452">
        <f t="shared" si="488"/>
        <v>0</v>
      </c>
      <c r="BB907" s="1452">
        <f t="shared" si="489"/>
        <v>0</v>
      </c>
      <c r="BC907" s="1452">
        <f t="shared" si="490"/>
        <v>0</v>
      </c>
      <c r="BD907" s="1452">
        <f t="shared" si="491"/>
        <v>0</v>
      </c>
      <c r="BE907" s="1452">
        <f t="shared" si="492"/>
        <v>0</v>
      </c>
      <c r="BF907" s="1452">
        <f t="shared" si="493"/>
        <v>0</v>
      </c>
      <c r="BG907" s="1452">
        <f t="shared" si="494"/>
        <v>0</v>
      </c>
      <c r="BH907" s="1452">
        <f t="shared" si="495"/>
        <v>0</v>
      </c>
      <c r="BI907" s="1452">
        <f t="shared" si="512"/>
        <v>0</v>
      </c>
      <c r="BJ907" s="1452" t="str">
        <f t="shared" si="496"/>
        <v/>
      </c>
      <c r="BK907" s="1452" t="str">
        <f t="shared" si="497"/>
        <v/>
      </c>
      <c r="BL907" s="1452" t="str">
        <f t="shared" si="498"/>
        <v/>
      </c>
      <c r="BM907" s="1452" t="str">
        <f t="shared" si="499"/>
        <v/>
      </c>
      <c r="BN907" s="1452" t="str">
        <f t="shared" ca="1" si="500"/>
        <v/>
      </c>
      <c r="BO907" s="1452" t="str">
        <f t="shared" si="513"/>
        <v/>
      </c>
      <c r="BP907" s="1452" t="str">
        <f t="shared" si="501"/>
        <v/>
      </c>
      <c r="BQ907" s="1452" t="str">
        <f t="shared" si="502"/>
        <v/>
      </c>
      <c r="BR907" s="1452" t="str">
        <f t="shared" si="503"/>
        <v/>
      </c>
      <c r="BS907" s="1452" t="str">
        <f t="shared" si="504"/>
        <v/>
      </c>
      <c r="BT907" s="1452" t="str">
        <f t="shared" si="505"/>
        <v/>
      </c>
      <c r="BU907" s="1452" t="str">
        <f t="shared" si="506"/>
        <v/>
      </c>
      <c r="BV907" s="1452" t="str">
        <f t="shared" si="507"/>
        <v/>
      </c>
      <c r="BW907" s="1558">
        <f t="shared" ca="1" si="514"/>
        <v>0</v>
      </c>
    </row>
    <row r="908" spans="1:75" s="9" customFormat="1" ht="12.5">
      <c r="A908" s="1483" t="str">
        <f t="shared" si="508"/>
        <v>Public Health Wales Trust</v>
      </c>
      <c r="B908" s="1583"/>
      <c r="C908" s="1510"/>
      <c r="D908" s="1494"/>
      <c r="E908" s="1593"/>
      <c r="F908" s="1436"/>
      <c r="G908" s="1547">
        <f t="shared" si="509"/>
        <v>0</v>
      </c>
      <c r="H908" s="1484"/>
      <c r="I908" s="1547">
        <f t="shared" si="510"/>
        <v>0</v>
      </c>
      <c r="J908" s="1495"/>
      <c r="K908" s="1495"/>
      <c r="L908" s="1436"/>
      <c r="M908" s="1439"/>
      <c r="N908" s="1439"/>
      <c r="O908" s="1485"/>
      <c r="P908" s="1486"/>
      <c r="Q908" s="1486"/>
      <c r="R908" s="1487"/>
      <c r="S908" s="1444"/>
      <c r="T908" s="1444"/>
      <c r="U908" s="1444"/>
      <c r="V908" s="1488"/>
      <c r="W908" s="1488"/>
      <c r="X908" s="1488"/>
      <c r="Y908" s="1488"/>
      <c r="Z908" s="1488"/>
      <c r="AA908" s="1488"/>
      <c r="AB908" s="1488"/>
      <c r="AC908" s="1488"/>
      <c r="AD908" s="1488"/>
      <c r="AE908" s="1488"/>
      <c r="AF908" s="1488"/>
      <c r="AG908" s="1488"/>
      <c r="AH908" s="1451">
        <f t="shared" si="482"/>
        <v>0</v>
      </c>
      <c r="AI908" s="1488"/>
      <c r="AJ908" s="1488"/>
      <c r="AK908" s="1488"/>
      <c r="AL908" s="1488"/>
      <c r="AM908" s="1488"/>
      <c r="AN908" s="1488"/>
      <c r="AO908" s="1488"/>
      <c r="AP908" s="1488"/>
      <c r="AQ908" s="1488"/>
      <c r="AR908" s="1488"/>
      <c r="AS908" s="1488"/>
      <c r="AT908" s="1542"/>
      <c r="AU908" s="1599">
        <f t="shared" si="483"/>
        <v>0</v>
      </c>
      <c r="AV908" s="1544">
        <f t="shared" si="511"/>
        <v>0</v>
      </c>
      <c r="AW908" s="1452">
        <f t="shared" si="484"/>
        <v>0</v>
      </c>
      <c r="AX908" s="1452">
        <f t="shared" si="485"/>
        <v>0</v>
      </c>
      <c r="AY908" s="1452">
        <f t="shared" si="486"/>
        <v>0</v>
      </c>
      <c r="AZ908" s="1452">
        <f t="shared" si="487"/>
        <v>0</v>
      </c>
      <c r="BA908" s="1452">
        <f t="shared" si="488"/>
        <v>0</v>
      </c>
      <c r="BB908" s="1452">
        <f t="shared" si="489"/>
        <v>0</v>
      </c>
      <c r="BC908" s="1452">
        <f t="shared" si="490"/>
        <v>0</v>
      </c>
      <c r="BD908" s="1452">
        <f t="shared" si="491"/>
        <v>0</v>
      </c>
      <c r="BE908" s="1452">
        <f t="shared" si="492"/>
        <v>0</v>
      </c>
      <c r="BF908" s="1452">
        <f t="shared" si="493"/>
        <v>0</v>
      </c>
      <c r="BG908" s="1452">
        <f t="shared" si="494"/>
        <v>0</v>
      </c>
      <c r="BH908" s="1452">
        <f t="shared" si="495"/>
        <v>0</v>
      </c>
      <c r="BI908" s="1452">
        <f t="shared" si="512"/>
        <v>0</v>
      </c>
      <c r="BJ908" s="1452" t="str">
        <f t="shared" si="496"/>
        <v/>
      </c>
      <c r="BK908" s="1452" t="str">
        <f t="shared" si="497"/>
        <v/>
      </c>
      <c r="BL908" s="1452" t="str">
        <f t="shared" si="498"/>
        <v/>
      </c>
      <c r="BM908" s="1452" t="str">
        <f t="shared" si="499"/>
        <v/>
      </c>
      <c r="BN908" s="1452" t="str">
        <f t="shared" ca="1" si="500"/>
        <v/>
      </c>
      <c r="BO908" s="1452" t="str">
        <f t="shared" si="513"/>
        <v/>
      </c>
      <c r="BP908" s="1452" t="str">
        <f t="shared" si="501"/>
        <v/>
      </c>
      <c r="BQ908" s="1452" t="str">
        <f t="shared" si="502"/>
        <v/>
      </c>
      <c r="BR908" s="1452" t="str">
        <f t="shared" si="503"/>
        <v/>
      </c>
      <c r="BS908" s="1452" t="str">
        <f t="shared" si="504"/>
        <v/>
      </c>
      <c r="BT908" s="1452" t="str">
        <f t="shared" si="505"/>
        <v/>
      </c>
      <c r="BU908" s="1452" t="str">
        <f t="shared" si="506"/>
        <v/>
      </c>
      <c r="BV908" s="1452" t="str">
        <f t="shared" si="507"/>
        <v/>
      </c>
      <c r="BW908" s="1558">
        <f t="shared" ca="1" si="514"/>
        <v>0</v>
      </c>
    </row>
    <row r="909" spans="1:75" s="9" customFormat="1" ht="12.5">
      <c r="A909" s="1483" t="str">
        <f t="shared" si="508"/>
        <v>Public Health Wales Trust</v>
      </c>
      <c r="B909" s="1583"/>
      <c r="C909" s="1510"/>
      <c r="D909" s="1494"/>
      <c r="E909" s="1593"/>
      <c r="F909" s="1436"/>
      <c r="G909" s="1547">
        <f t="shared" si="509"/>
        <v>0</v>
      </c>
      <c r="H909" s="1484"/>
      <c r="I909" s="1547">
        <f t="shared" si="510"/>
        <v>0</v>
      </c>
      <c r="J909" s="1495"/>
      <c r="K909" s="1495"/>
      <c r="L909" s="1436"/>
      <c r="M909" s="1439"/>
      <c r="N909" s="1439"/>
      <c r="O909" s="1485"/>
      <c r="P909" s="1486"/>
      <c r="Q909" s="1486"/>
      <c r="R909" s="1487"/>
      <c r="S909" s="1444"/>
      <c r="T909" s="1444"/>
      <c r="U909" s="1444"/>
      <c r="V909" s="1488"/>
      <c r="W909" s="1488"/>
      <c r="X909" s="1488"/>
      <c r="Y909" s="1488"/>
      <c r="Z909" s="1488"/>
      <c r="AA909" s="1488"/>
      <c r="AB909" s="1488"/>
      <c r="AC909" s="1488"/>
      <c r="AD909" s="1488"/>
      <c r="AE909" s="1488"/>
      <c r="AF909" s="1488"/>
      <c r="AG909" s="1488"/>
      <c r="AH909" s="1451">
        <f t="shared" si="482"/>
        <v>0</v>
      </c>
      <c r="AI909" s="1488"/>
      <c r="AJ909" s="1488"/>
      <c r="AK909" s="1488"/>
      <c r="AL909" s="1488"/>
      <c r="AM909" s="1488"/>
      <c r="AN909" s="1488"/>
      <c r="AO909" s="1488"/>
      <c r="AP909" s="1488"/>
      <c r="AQ909" s="1488"/>
      <c r="AR909" s="1488"/>
      <c r="AS909" s="1488"/>
      <c r="AT909" s="1542"/>
      <c r="AU909" s="1599">
        <f t="shared" si="483"/>
        <v>0</v>
      </c>
      <c r="AV909" s="1544">
        <f t="shared" si="511"/>
        <v>0</v>
      </c>
      <c r="AW909" s="1452">
        <f t="shared" si="484"/>
        <v>0</v>
      </c>
      <c r="AX909" s="1452">
        <f t="shared" si="485"/>
        <v>0</v>
      </c>
      <c r="AY909" s="1452">
        <f t="shared" si="486"/>
        <v>0</v>
      </c>
      <c r="AZ909" s="1452">
        <f t="shared" si="487"/>
        <v>0</v>
      </c>
      <c r="BA909" s="1452">
        <f t="shared" si="488"/>
        <v>0</v>
      </c>
      <c r="BB909" s="1452">
        <f t="shared" si="489"/>
        <v>0</v>
      </c>
      <c r="BC909" s="1452">
        <f t="shared" si="490"/>
        <v>0</v>
      </c>
      <c r="BD909" s="1452">
        <f t="shared" si="491"/>
        <v>0</v>
      </c>
      <c r="BE909" s="1452">
        <f t="shared" si="492"/>
        <v>0</v>
      </c>
      <c r="BF909" s="1452">
        <f t="shared" si="493"/>
        <v>0</v>
      </c>
      <c r="BG909" s="1452">
        <f t="shared" si="494"/>
        <v>0</v>
      </c>
      <c r="BH909" s="1452">
        <f t="shared" si="495"/>
        <v>0</v>
      </c>
      <c r="BI909" s="1452">
        <f t="shared" si="512"/>
        <v>0</v>
      </c>
      <c r="BJ909" s="1452" t="str">
        <f t="shared" si="496"/>
        <v/>
      </c>
      <c r="BK909" s="1452" t="str">
        <f t="shared" si="497"/>
        <v/>
      </c>
      <c r="BL909" s="1452" t="str">
        <f t="shared" si="498"/>
        <v/>
      </c>
      <c r="BM909" s="1452" t="str">
        <f t="shared" si="499"/>
        <v/>
      </c>
      <c r="BN909" s="1452" t="str">
        <f t="shared" ca="1" si="500"/>
        <v/>
      </c>
      <c r="BO909" s="1452" t="str">
        <f t="shared" si="513"/>
        <v/>
      </c>
      <c r="BP909" s="1452" t="str">
        <f t="shared" si="501"/>
        <v/>
      </c>
      <c r="BQ909" s="1452" t="str">
        <f t="shared" si="502"/>
        <v/>
      </c>
      <c r="BR909" s="1452" t="str">
        <f t="shared" si="503"/>
        <v/>
      </c>
      <c r="BS909" s="1452" t="str">
        <f t="shared" si="504"/>
        <v/>
      </c>
      <c r="BT909" s="1452" t="str">
        <f t="shared" si="505"/>
        <v/>
      </c>
      <c r="BU909" s="1452" t="str">
        <f t="shared" si="506"/>
        <v/>
      </c>
      <c r="BV909" s="1452" t="str">
        <f t="shared" si="507"/>
        <v/>
      </c>
      <c r="BW909" s="1558">
        <f t="shared" ca="1" si="514"/>
        <v>0</v>
      </c>
    </row>
    <row r="910" spans="1:75" s="9" customFormat="1" ht="12.5">
      <c r="A910" s="1483" t="str">
        <f t="shared" si="508"/>
        <v>Public Health Wales Trust</v>
      </c>
      <c r="B910" s="1583"/>
      <c r="C910" s="1510"/>
      <c r="D910" s="1494"/>
      <c r="E910" s="1593"/>
      <c r="F910" s="1436"/>
      <c r="G910" s="1547">
        <f t="shared" si="509"/>
        <v>0</v>
      </c>
      <c r="H910" s="1484"/>
      <c r="I910" s="1547">
        <f t="shared" si="510"/>
        <v>0</v>
      </c>
      <c r="J910" s="1505"/>
      <c r="K910" s="1505"/>
      <c r="L910" s="1436"/>
      <c r="M910" s="1439"/>
      <c r="N910" s="1439"/>
      <c r="O910" s="1485"/>
      <c r="P910" s="1486"/>
      <c r="Q910" s="1486"/>
      <c r="R910" s="1487"/>
      <c r="S910" s="1444"/>
      <c r="T910" s="1444"/>
      <c r="U910" s="1444"/>
      <c r="V910" s="1488"/>
      <c r="W910" s="1488"/>
      <c r="X910" s="1488"/>
      <c r="Y910" s="1488"/>
      <c r="Z910" s="1488"/>
      <c r="AA910" s="1488"/>
      <c r="AB910" s="1488"/>
      <c r="AC910" s="1488"/>
      <c r="AD910" s="1488"/>
      <c r="AE910" s="1488"/>
      <c r="AF910" s="1488"/>
      <c r="AG910" s="1488"/>
      <c r="AH910" s="1451">
        <f t="shared" si="482"/>
        <v>0</v>
      </c>
      <c r="AI910" s="1488"/>
      <c r="AJ910" s="1488"/>
      <c r="AK910" s="1488"/>
      <c r="AL910" s="1488"/>
      <c r="AM910" s="1488"/>
      <c r="AN910" s="1488"/>
      <c r="AO910" s="1488"/>
      <c r="AP910" s="1488"/>
      <c r="AQ910" s="1488"/>
      <c r="AR910" s="1488"/>
      <c r="AS910" s="1488"/>
      <c r="AT910" s="1542"/>
      <c r="AU910" s="1599">
        <f t="shared" si="483"/>
        <v>0</v>
      </c>
      <c r="AV910" s="1544">
        <f t="shared" si="511"/>
        <v>0</v>
      </c>
      <c r="AW910" s="1452">
        <f t="shared" si="484"/>
        <v>0</v>
      </c>
      <c r="AX910" s="1452">
        <f t="shared" si="485"/>
        <v>0</v>
      </c>
      <c r="AY910" s="1452">
        <f t="shared" si="486"/>
        <v>0</v>
      </c>
      <c r="AZ910" s="1452">
        <f t="shared" si="487"/>
        <v>0</v>
      </c>
      <c r="BA910" s="1452">
        <f t="shared" si="488"/>
        <v>0</v>
      </c>
      <c r="BB910" s="1452">
        <f t="shared" si="489"/>
        <v>0</v>
      </c>
      <c r="BC910" s="1452">
        <f t="shared" si="490"/>
        <v>0</v>
      </c>
      <c r="BD910" s="1452">
        <f t="shared" si="491"/>
        <v>0</v>
      </c>
      <c r="BE910" s="1452">
        <f t="shared" si="492"/>
        <v>0</v>
      </c>
      <c r="BF910" s="1452">
        <f t="shared" si="493"/>
        <v>0</v>
      </c>
      <c r="BG910" s="1452">
        <f t="shared" si="494"/>
        <v>0</v>
      </c>
      <c r="BH910" s="1452">
        <f t="shared" si="495"/>
        <v>0</v>
      </c>
      <c r="BI910" s="1452">
        <f t="shared" si="512"/>
        <v>0</v>
      </c>
      <c r="BJ910" s="1452" t="str">
        <f t="shared" si="496"/>
        <v/>
      </c>
      <c r="BK910" s="1452" t="str">
        <f t="shared" si="497"/>
        <v/>
      </c>
      <c r="BL910" s="1452" t="str">
        <f t="shared" si="498"/>
        <v/>
      </c>
      <c r="BM910" s="1452" t="str">
        <f t="shared" si="499"/>
        <v/>
      </c>
      <c r="BN910" s="1452" t="str">
        <f t="shared" ca="1" si="500"/>
        <v/>
      </c>
      <c r="BO910" s="1452" t="str">
        <f t="shared" si="513"/>
        <v/>
      </c>
      <c r="BP910" s="1452" t="str">
        <f t="shared" si="501"/>
        <v/>
      </c>
      <c r="BQ910" s="1452" t="str">
        <f t="shared" si="502"/>
        <v/>
      </c>
      <c r="BR910" s="1452" t="str">
        <f t="shared" si="503"/>
        <v/>
      </c>
      <c r="BS910" s="1452" t="str">
        <f t="shared" si="504"/>
        <v/>
      </c>
      <c r="BT910" s="1452" t="str">
        <f t="shared" si="505"/>
        <v/>
      </c>
      <c r="BU910" s="1452" t="str">
        <f t="shared" si="506"/>
        <v/>
      </c>
      <c r="BV910" s="1452" t="str">
        <f t="shared" si="507"/>
        <v/>
      </c>
      <c r="BW910" s="1558">
        <f t="shared" ca="1" si="514"/>
        <v>0</v>
      </c>
    </row>
    <row r="911" spans="1:75" s="9" customFormat="1" ht="12.5">
      <c r="A911" s="1483" t="str">
        <f t="shared" si="508"/>
        <v>Public Health Wales Trust</v>
      </c>
      <c r="B911" s="1583"/>
      <c r="C911" s="1510"/>
      <c r="D911" s="1494"/>
      <c r="E911" s="1593"/>
      <c r="F911" s="1436"/>
      <c r="G911" s="1547">
        <f t="shared" si="509"/>
        <v>0</v>
      </c>
      <c r="H911" s="1484"/>
      <c r="I911" s="1547">
        <f t="shared" si="510"/>
        <v>0</v>
      </c>
      <c r="J911" s="1505"/>
      <c r="K911" s="1505"/>
      <c r="L911" s="1436"/>
      <c r="M911" s="1439"/>
      <c r="N911" s="1439"/>
      <c r="O911" s="1485"/>
      <c r="P911" s="1486"/>
      <c r="Q911" s="1486"/>
      <c r="R911" s="1487"/>
      <c r="S911" s="1444"/>
      <c r="T911" s="1444"/>
      <c r="U911" s="1444"/>
      <c r="V911" s="1488"/>
      <c r="W911" s="1488"/>
      <c r="X911" s="1488"/>
      <c r="Y911" s="1488"/>
      <c r="Z911" s="1488"/>
      <c r="AA911" s="1488"/>
      <c r="AB911" s="1488"/>
      <c r="AC911" s="1488"/>
      <c r="AD911" s="1488"/>
      <c r="AE911" s="1488"/>
      <c r="AF911" s="1488"/>
      <c r="AG911" s="1488"/>
      <c r="AH911" s="1451">
        <f t="shared" si="482"/>
        <v>0</v>
      </c>
      <c r="AI911" s="1488"/>
      <c r="AJ911" s="1488"/>
      <c r="AK911" s="1488"/>
      <c r="AL911" s="1488"/>
      <c r="AM911" s="1488"/>
      <c r="AN911" s="1488"/>
      <c r="AO911" s="1488"/>
      <c r="AP911" s="1488"/>
      <c r="AQ911" s="1488"/>
      <c r="AR911" s="1488"/>
      <c r="AS911" s="1488"/>
      <c r="AT911" s="1542"/>
      <c r="AU911" s="1599">
        <f t="shared" si="483"/>
        <v>0</v>
      </c>
      <c r="AV911" s="1544">
        <f t="shared" si="511"/>
        <v>0</v>
      </c>
      <c r="AW911" s="1452">
        <f t="shared" si="484"/>
        <v>0</v>
      </c>
      <c r="AX911" s="1452">
        <f t="shared" si="485"/>
        <v>0</v>
      </c>
      <c r="AY911" s="1452">
        <f t="shared" si="486"/>
        <v>0</v>
      </c>
      <c r="AZ911" s="1452">
        <f t="shared" si="487"/>
        <v>0</v>
      </c>
      <c r="BA911" s="1452">
        <f t="shared" si="488"/>
        <v>0</v>
      </c>
      <c r="BB911" s="1452">
        <f t="shared" si="489"/>
        <v>0</v>
      </c>
      <c r="BC911" s="1452">
        <f t="shared" si="490"/>
        <v>0</v>
      </c>
      <c r="BD911" s="1452">
        <f t="shared" si="491"/>
        <v>0</v>
      </c>
      <c r="BE911" s="1452">
        <f t="shared" si="492"/>
        <v>0</v>
      </c>
      <c r="BF911" s="1452">
        <f t="shared" si="493"/>
        <v>0</v>
      </c>
      <c r="BG911" s="1452">
        <f t="shared" si="494"/>
        <v>0</v>
      </c>
      <c r="BH911" s="1452">
        <f t="shared" si="495"/>
        <v>0</v>
      </c>
      <c r="BI911" s="1452">
        <f t="shared" si="512"/>
        <v>0</v>
      </c>
      <c r="BJ911" s="1452" t="str">
        <f t="shared" si="496"/>
        <v/>
      </c>
      <c r="BK911" s="1452" t="str">
        <f t="shared" si="497"/>
        <v/>
      </c>
      <c r="BL911" s="1452" t="str">
        <f t="shared" si="498"/>
        <v/>
      </c>
      <c r="BM911" s="1452" t="str">
        <f t="shared" si="499"/>
        <v/>
      </c>
      <c r="BN911" s="1452" t="str">
        <f t="shared" ca="1" si="500"/>
        <v/>
      </c>
      <c r="BO911" s="1452" t="str">
        <f t="shared" si="513"/>
        <v/>
      </c>
      <c r="BP911" s="1452" t="str">
        <f t="shared" si="501"/>
        <v/>
      </c>
      <c r="BQ911" s="1452" t="str">
        <f t="shared" si="502"/>
        <v/>
      </c>
      <c r="BR911" s="1452" t="str">
        <f t="shared" si="503"/>
        <v/>
      </c>
      <c r="BS911" s="1452" t="str">
        <f t="shared" si="504"/>
        <v/>
      </c>
      <c r="BT911" s="1452" t="str">
        <f t="shared" si="505"/>
        <v/>
      </c>
      <c r="BU911" s="1452" t="str">
        <f t="shared" si="506"/>
        <v/>
      </c>
      <c r="BV911" s="1452" t="str">
        <f t="shared" si="507"/>
        <v/>
      </c>
      <c r="BW911" s="1558">
        <f t="shared" ca="1" si="514"/>
        <v>0</v>
      </c>
    </row>
    <row r="912" spans="1:75" s="9" customFormat="1" ht="12.5">
      <c r="A912" s="1483" t="str">
        <f t="shared" si="508"/>
        <v>Public Health Wales Trust</v>
      </c>
      <c r="B912" s="1583"/>
      <c r="C912" s="1510"/>
      <c r="D912" s="1494"/>
      <c r="E912" s="1593"/>
      <c r="F912" s="1436"/>
      <c r="G912" s="1547">
        <f t="shared" si="509"/>
        <v>0</v>
      </c>
      <c r="H912" s="1484"/>
      <c r="I912" s="1547">
        <f t="shared" si="510"/>
        <v>0</v>
      </c>
      <c r="J912" s="1495"/>
      <c r="K912" s="1495"/>
      <c r="L912" s="1436"/>
      <c r="M912" s="1439"/>
      <c r="N912" s="1439"/>
      <c r="O912" s="1485"/>
      <c r="P912" s="1486"/>
      <c r="Q912" s="1486"/>
      <c r="R912" s="1487"/>
      <c r="S912" s="1444"/>
      <c r="T912" s="1444"/>
      <c r="U912" s="1444"/>
      <c r="V912" s="1488"/>
      <c r="W912" s="1488"/>
      <c r="X912" s="1488"/>
      <c r="Y912" s="1488"/>
      <c r="Z912" s="1488"/>
      <c r="AA912" s="1488"/>
      <c r="AB912" s="1488"/>
      <c r="AC912" s="1488"/>
      <c r="AD912" s="1488"/>
      <c r="AE912" s="1488"/>
      <c r="AF912" s="1488"/>
      <c r="AG912" s="1488"/>
      <c r="AH912" s="1451">
        <f t="shared" si="482"/>
        <v>0</v>
      </c>
      <c r="AI912" s="1488"/>
      <c r="AJ912" s="1488"/>
      <c r="AK912" s="1488"/>
      <c r="AL912" s="1488"/>
      <c r="AM912" s="1488"/>
      <c r="AN912" s="1488"/>
      <c r="AO912" s="1488"/>
      <c r="AP912" s="1488"/>
      <c r="AQ912" s="1488"/>
      <c r="AR912" s="1488"/>
      <c r="AS912" s="1488"/>
      <c r="AT912" s="1542"/>
      <c r="AU912" s="1599">
        <f t="shared" si="483"/>
        <v>0</v>
      </c>
      <c r="AV912" s="1544">
        <f t="shared" si="511"/>
        <v>0</v>
      </c>
      <c r="AW912" s="1452">
        <f t="shared" si="484"/>
        <v>0</v>
      </c>
      <c r="AX912" s="1452">
        <f t="shared" si="485"/>
        <v>0</v>
      </c>
      <c r="AY912" s="1452">
        <f t="shared" si="486"/>
        <v>0</v>
      </c>
      <c r="AZ912" s="1452">
        <f t="shared" si="487"/>
        <v>0</v>
      </c>
      <c r="BA912" s="1452">
        <f t="shared" si="488"/>
        <v>0</v>
      </c>
      <c r="BB912" s="1452">
        <f t="shared" si="489"/>
        <v>0</v>
      </c>
      <c r="BC912" s="1452">
        <f t="shared" si="490"/>
        <v>0</v>
      </c>
      <c r="BD912" s="1452">
        <f t="shared" si="491"/>
        <v>0</v>
      </c>
      <c r="BE912" s="1452">
        <f t="shared" si="492"/>
        <v>0</v>
      </c>
      <c r="BF912" s="1452">
        <f t="shared" si="493"/>
        <v>0</v>
      </c>
      <c r="BG912" s="1452">
        <f t="shared" si="494"/>
        <v>0</v>
      </c>
      <c r="BH912" s="1452">
        <f t="shared" si="495"/>
        <v>0</v>
      </c>
      <c r="BI912" s="1452">
        <f t="shared" si="512"/>
        <v>0</v>
      </c>
      <c r="BJ912" s="1452" t="str">
        <f t="shared" si="496"/>
        <v/>
      </c>
      <c r="BK912" s="1452" t="str">
        <f t="shared" si="497"/>
        <v/>
      </c>
      <c r="BL912" s="1452" t="str">
        <f t="shared" si="498"/>
        <v/>
      </c>
      <c r="BM912" s="1452" t="str">
        <f t="shared" si="499"/>
        <v/>
      </c>
      <c r="BN912" s="1452" t="str">
        <f t="shared" ca="1" si="500"/>
        <v/>
      </c>
      <c r="BO912" s="1452" t="str">
        <f t="shared" si="513"/>
        <v/>
      </c>
      <c r="BP912" s="1452" t="str">
        <f t="shared" si="501"/>
        <v/>
      </c>
      <c r="BQ912" s="1452" t="str">
        <f t="shared" si="502"/>
        <v/>
      </c>
      <c r="BR912" s="1452" t="str">
        <f t="shared" si="503"/>
        <v/>
      </c>
      <c r="BS912" s="1452" t="str">
        <f t="shared" si="504"/>
        <v/>
      </c>
      <c r="BT912" s="1452" t="str">
        <f t="shared" si="505"/>
        <v/>
      </c>
      <c r="BU912" s="1452" t="str">
        <f t="shared" si="506"/>
        <v/>
      </c>
      <c r="BV912" s="1452" t="str">
        <f t="shared" si="507"/>
        <v/>
      </c>
      <c r="BW912" s="1558">
        <f t="shared" ca="1" si="514"/>
        <v>0</v>
      </c>
    </row>
    <row r="913" spans="1:75" s="9" customFormat="1" ht="12.5">
      <c r="A913" s="1483" t="str">
        <f t="shared" si="508"/>
        <v>Public Health Wales Trust</v>
      </c>
      <c r="B913" s="1583"/>
      <c r="C913" s="1510"/>
      <c r="D913" s="1494"/>
      <c r="E913" s="1593"/>
      <c r="F913" s="1436"/>
      <c r="G913" s="1547">
        <f t="shared" si="509"/>
        <v>0</v>
      </c>
      <c r="H913" s="1484"/>
      <c r="I913" s="1547">
        <f t="shared" si="510"/>
        <v>0</v>
      </c>
      <c r="J913" s="1495"/>
      <c r="K913" s="1495"/>
      <c r="L913" s="1436"/>
      <c r="M913" s="1439"/>
      <c r="N913" s="1439"/>
      <c r="O913" s="1485"/>
      <c r="P913" s="1486"/>
      <c r="Q913" s="1486"/>
      <c r="R913" s="1487"/>
      <c r="S913" s="1444"/>
      <c r="T913" s="1444"/>
      <c r="U913" s="1444"/>
      <c r="V913" s="1488"/>
      <c r="W913" s="1488"/>
      <c r="X913" s="1488"/>
      <c r="Y913" s="1488"/>
      <c r="Z913" s="1488"/>
      <c r="AA913" s="1488"/>
      <c r="AB913" s="1488"/>
      <c r="AC913" s="1488"/>
      <c r="AD913" s="1488"/>
      <c r="AE913" s="1488"/>
      <c r="AF913" s="1488"/>
      <c r="AG913" s="1488"/>
      <c r="AH913" s="1451">
        <f t="shared" si="482"/>
        <v>0</v>
      </c>
      <c r="AI913" s="1488"/>
      <c r="AJ913" s="1488"/>
      <c r="AK913" s="1488"/>
      <c r="AL913" s="1488"/>
      <c r="AM913" s="1488"/>
      <c r="AN913" s="1488"/>
      <c r="AO913" s="1488"/>
      <c r="AP913" s="1488"/>
      <c r="AQ913" s="1488"/>
      <c r="AR913" s="1488"/>
      <c r="AS913" s="1488"/>
      <c r="AT913" s="1542"/>
      <c r="AU913" s="1599">
        <f t="shared" si="483"/>
        <v>0</v>
      </c>
      <c r="AV913" s="1544">
        <f t="shared" si="511"/>
        <v>0</v>
      </c>
      <c r="AW913" s="1452">
        <f t="shared" si="484"/>
        <v>0</v>
      </c>
      <c r="AX913" s="1452">
        <f t="shared" si="485"/>
        <v>0</v>
      </c>
      <c r="AY913" s="1452">
        <f t="shared" si="486"/>
        <v>0</v>
      </c>
      <c r="AZ913" s="1452">
        <f t="shared" si="487"/>
        <v>0</v>
      </c>
      <c r="BA913" s="1452">
        <f t="shared" si="488"/>
        <v>0</v>
      </c>
      <c r="BB913" s="1452">
        <f t="shared" si="489"/>
        <v>0</v>
      </c>
      <c r="BC913" s="1452">
        <f t="shared" si="490"/>
        <v>0</v>
      </c>
      <c r="BD913" s="1452">
        <f t="shared" si="491"/>
        <v>0</v>
      </c>
      <c r="BE913" s="1452">
        <f t="shared" si="492"/>
        <v>0</v>
      </c>
      <c r="BF913" s="1452">
        <f t="shared" si="493"/>
        <v>0</v>
      </c>
      <c r="BG913" s="1452">
        <f t="shared" si="494"/>
        <v>0</v>
      </c>
      <c r="BH913" s="1452">
        <f t="shared" si="495"/>
        <v>0</v>
      </c>
      <c r="BI913" s="1452">
        <f t="shared" si="512"/>
        <v>0</v>
      </c>
      <c r="BJ913" s="1452" t="str">
        <f t="shared" si="496"/>
        <v/>
      </c>
      <c r="BK913" s="1452" t="str">
        <f t="shared" si="497"/>
        <v/>
      </c>
      <c r="BL913" s="1452" t="str">
        <f t="shared" si="498"/>
        <v/>
      </c>
      <c r="BM913" s="1452" t="str">
        <f t="shared" si="499"/>
        <v/>
      </c>
      <c r="BN913" s="1452" t="str">
        <f t="shared" ca="1" si="500"/>
        <v/>
      </c>
      <c r="BO913" s="1452" t="str">
        <f t="shared" si="513"/>
        <v/>
      </c>
      <c r="BP913" s="1452" t="str">
        <f t="shared" si="501"/>
        <v/>
      </c>
      <c r="BQ913" s="1452" t="str">
        <f t="shared" si="502"/>
        <v/>
      </c>
      <c r="BR913" s="1452" t="str">
        <f t="shared" si="503"/>
        <v/>
      </c>
      <c r="BS913" s="1452" t="str">
        <f t="shared" si="504"/>
        <v/>
      </c>
      <c r="BT913" s="1452" t="str">
        <f t="shared" si="505"/>
        <v/>
      </c>
      <c r="BU913" s="1452" t="str">
        <f t="shared" si="506"/>
        <v/>
      </c>
      <c r="BV913" s="1452" t="str">
        <f t="shared" si="507"/>
        <v/>
      </c>
      <c r="BW913" s="1558">
        <f t="shared" ca="1" si="514"/>
        <v>0</v>
      </c>
    </row>
    <row r="914" spans="1:75" s="9" customFormat="1" ht="12.5">
      <c r="A914" s="1483" t="str">
        <f t="shared" si="508"/>
        <v>Public Health Wales Trust</v>
      </c>
      <c r="B914" s="1583"/>
      <c r="C914" s="1510"/>
      <c r="D914" s="1494"/>
      <c r="E914" s="1593"/>
      <c r="F914" s="1436"/>
      <c r="G914" s="1547">
        <f t="shared" si="509"/>
        <v>0</v>
      </c>
      <c r="H914" s="1484"/>
      <c r="I914" s="1547">
        <f t="shared" si="510"/>
        <v>0</v>
      </c>
      <c r="J914" s="1495"/>
      <c r="K914" s="1495"/>
      <c r="L914" s="1436"/>
      <c r="M914" s="1439"/>
      <c r="N914" s="1439"/>
      <c r="O914" s="1485"/>
      <c r="P914" s="1486"/>
      <c r="Q914" s="1486"/>
      <c r="R914" s="1487"/>
      <c r="S914" s="1444"/>
      <c r="T914" s="1444"/>
      <c r="U914" s="1444"/>
      <c r="V914" s="1488"/>
      <c r="W914" s="1488"/>
      <c r="X914" s="1488"/>
      <c r="Y914" s="1488"/>
      <c r="Z914" s="1488"/>
      <c r="AA914" s="1488"/>
      <c r="AB914" s="1488"/>
      <c r="AC914" s="1488"/>
      <c r="AD914" s="1488"/>
      <c r="AE914" s="1488"/>
      <c r="AF914" s="1488"/>
      <c r="AG914" s="1488"/>
      <c r="AH914" s="1451">
        <f t="shared" si="482"/>
        <v>0</v>
      </c>
      <c r="AI914" s="1488"/>
      <c r="AJ914" s="1488"/>
      <c r="AK914" s="1488"/>
      <c r="AL914" s="1488"/>
      <c r="AM914" s="1488"/>
      <c r="AN914" s="1488"/>
      <c r="AO914" s="1488"/>
      <c r="AP914" s="1488"/>
      <c r="AQ914" s="1488"/>
      <c r="AR914" s="1488"/>
      <c r="AS914" s="1488"/>
      <c r="AT914" s="1542"/>
      <c r="AU914" s="1599">
        <f t="shared" si="483"/>
        <v>0</v>
      </c>
      <c r="AV914" s="1544">
        <f t="shared" si="511"/>
        <v>0</v>
      </c>
      <c r="AW914" s="1452">
        <f t="shared" si="484"/>
        <v>0</v>
      </c>
      <c r="AX914" s="1452">
        <f t="shared" si="485"/>
        <v>0</v>
      </c>
      <c r="AY914" s="1452">
        <f t="shared" si="486"/>
        <v>0</v>
      </c>
      <c r="AZ914" s="1452">
        <f t="shared" si="487"/>
        <v>0</v>
      </c>
      <c r="BA914" s="1452">
        <f t="shared" si="488"/>
        <v>0</v>
      </c>
      <c r="BB914" s="1452">
        <f t="shared" si="489"/>
        <v>0</v>
      </c>
      <c r="BC914" s="1452">
        <f t="shared" si="490"/>
        <v>0</v>
      </c>
      <c r="BD914" s="1452">
        <f t="shared" si="491"/>
        <v>0</v>
      </c>
      <c r="BE914" s="1452">
        <f t="shared" si="492"/>
        <v>0</v>
      </c>
      <c r="BF914" s="1452">
        <f t="shared" si="493"/>
        <v>0</v>
      </c>
      <c r="BG914" s="1452">
        <f t="shared" si="494"/>
        <v>0</v>
      </c>
      <c r="BH914" s="1452">
        <f t="shared" si="495"/>
        <v>0</v>
      </c>
      <c r="BI914" s="1452">
        <f t="shared" si="512"/>
        <v>0</v>
      </c>
      <c r="BJ914" s="1452" t="str">
        <f t="shared" si="496"/>
        <v/>
      </c>
      <c r="BK914" s="1452" t="str">
        <f t="shared" si="497"/>
        <v/>
      </c>
      <c r="BL914" s="1452" t="str">
        <f t="shared" si="498"/>
        <v/>
      </c>
      <c r="BM914" s="1452" t="str">
        <f t="shared" si="499"/>
        <v/>
      </c>
      <c r="BN914" s="1452" t="str">
        <f t="shared" ca="1" si="500"/>
        <v/>
      </c>
      <c r="BO914" s="1452" t="str">
        <f t="shared" si="513"/>
        <v/>
      </c>
      <c r="BP914" s="1452" t="str">
        <f t="shared" si="501"/>
        <v/>
      </c>
      <c r="BQ914" s="1452" t="str">
        <f t="shared" si="502"/>
        <v/>
      </c>
      <c r="BR914" s="1452" t="str">
        <f t="shared" si="503"/>
        <v/>
      </c>
      <c r="BS914" s="1452" t="str">
        <f t="shared" si="504"/>
        <v/>
      </c>
      <c r="BT914" s="1452" t="str">
        <f t="shared" si="505"/>
        <v/>
      </c>
      <c r="BU914" s="1452" t="str">
        <f t="shared" si="506"/>
        <v/>
      </c>
      <c r="BV914" s="1452" t="str">
        <f t="shared" si="507"/>
        <v/>
      </c>
      <c r="BW914" s="1558">
        <f t="shared" ca="1" si="514"/>
        <v>0</v>
      </c>
    </row>
    <row r="915" spans="1:75" s="9" customFormat="1" ht="12.5">
      <c r="A915" s="1483" t="str">
        <f t="shared" si="508"/>
        <v>Public Health Wales Trust</v>
      </c>
      <c r="B915" s="1583"/>
      <c r="C915" s="1510"/>
      <c r="D915" s="1494"/>
      <c r="E915" s="1593"/>
      <c r="F915" s="1436"/>
      <c r="G915" s="1547">
        <f t="shared" si="509"/>
        <v>0</v>
      </c>
      <c r="H915" s="1484"/>
      <c r="I915" s="1547">
        <f t="shared" si="510"/>
        <v>0</v>
      </c>
      <c r="J915" s="1495"/>
      <c r="K915" s="1495"/>
      <c r="L915" s="1436"/>
      <c r="M915" s="1439"/>
      <c r="N915" s="1439"/>
      <c r="O915" s="1485"/>
      <c r="P915" s="1486"/>
      <c r="Q915" s="1486"/>
      <c r="R915" s="1487"/>
      <c r="S915" s="1444"/>
      <c r="T915" s="1444"/>
      <c r="U915" s="1444"/>
      <c r="V915" s="1488"/>
      <c r="W915" s="1488"/>
      <c r="X915" s="1488"/>
      <c r="Y915" s="1488"/>
      <c r="Z915" s="1488"/>
      <c r="AA915" s="1488"/>
      <c r="AB915" s="1488"/>
      <c r="AC915" s="1488"/>
      <c r="AD915" s="1488"/>
      <c r="AE915" s="1488"/>
      <c r="AF915" s="1488"/>
      <c r="AG915" s="1488"/>
      <c r="AH915" s="1451">
        <f t="shared" si="482"/>
        <v>0</v>
      </c>
      <c r="AI915" s="1488"/>
      <c r="AJ915" s="1488"/>
      <c r="AK915" s="1488"/>
      <c r="AL915" s="1488"/>
      <c r="AM915" s="1488"/>
      <c r="AN915" s="1488"/>
      <c r="AO915" s="1488"/>
      <c r="AP915" s="1488"/>
      <c r="AQ915" s="1488"/>
      <c r="AR915" s="1488"/>
      <c r="AS915" s="1488"/>
      <c r="AT915" s="1542"/>
      <c r="AU915" s="1599">
        <f t="shared" si="483"/>
        <v>0</v>
      </c>
      <c r="AV915" s="1544">
        <f t="shared" si="511"/>
        <v>0</v>
      </c>
      <c r="AW915" s="1452">
        <f t="shared" si="484"/>
        <v>0</v>
      </c>
      <c r="AX915" s="1452">
        <f t="shared" si="485"/>
        <v>0</v>
      </c>
      <c r="AY915" s="1452">
        <f t="shared" si="486"/>
        <v>0</v>
      </c>
      <c r="AZ915" s="1452">
        <f t="shared" si="487"/>
        <v>0</v>
      </c>
      <c r="BA915" s="1452">
        <f t="shared" si="488"/>
        <v>0</v>
      </c>
      <c r="BB915" s="1452">
        <f t="shared" si="489"/>
        <v>0</v>
      </c>
      <c r="BC915" s="1452">
        <f t="shared" si="490"/>
        <v>0</v>
      </c>
      <c r="BD915" s="1452">
        <f t="shared" si="491"/>
        <v>0</v>
      </c>
      <c r="BE915" s="1452">
        <f t="shared" si="492"/>
        <v>0</v>
      </c>
      <c r="BF915" s="1452">
        <f t="shared" si="493"/>
        <v>0</v>
      </c>
      <c r="BG915" s="1452">
        <f t="shared" si="494"/>
        <v>0</v>
      </c>
      <c r="BH915" s="1452">
        <f t="shared" si="495"/>
        <v>0</v>
      </c>
      <c r="BI915" s="1452">
        <f t="shared" si="512"/>
        <v>0</v>
      </c>
      <c r="BJ915" s="1452" t="str">
        <f t="shared" si="496"/>
        <v/>
      </c>
      <c r="BK915" s="1452" t="str">
        <f t="shared" si="497"/>
        <v/>
      </c>
      <c r="BL915" s="1452" t="str">
        <f t="shared" si="498"/>
        <v/>
      </c>
      <c r="BM915" s="1452" t="str">
        <f t="shared" si="499"/>
        <v/>
      </c>
      <c r="BN915" s="1452" t="str">
        <f t="shared" ca="1" si="500"/>
        <v/>
      </c>
      <c r="BO915" s="1452" t="str">
        <f t="shared" si="513"/>
        <v/>
      </c>
      <c r="BP915" s="1452" t="str">
        <f t="shared" si="501"/>
        <v/>
      </c>
      <c r="BQ915" s="1452" t="str">
        <f t="shared" si="502"/>
        <v/>
      </c>
      <c r="BR915" s="1452" t="str">
        <f t="shared" si="503"/>
        <v/>
      </c>
      <c r="BS915" s="1452" t="str">
        <f t="shared" si="504"/>
        <v/>
      </c>
      <c r="BT915" s="1452" t="str">
        <f t="shared" si="505"/>
        <v/>
      </c>
      <c r="BU915" s="1452" t="str">
        <f t="shared" si="506"/>
        <v/>
      </c>
      <c r="BV915" s="1452" t="str">
        <f t="shared" si="507"/>
        <v/>
      </c>
      <c r="BW915" s="1558">
        <f t="shared" ca="1" si="514"/>
        <v>0</v>
      </c>
    </row>
    <row r="916" spans="1:75" s="9" customFormat="1" ht="12.5">
      <c r="A916" s="1483" t="str">
        <f t="shared" si="508"/>
        <v>Public Health Wales Trust</v>
      </c>
      <c r="B916" s="1583"/>
      <c r="C916" s="1510"/>
      <c r="D916" s="1494"/>
      <c r="E916" s="1593"/>
      <c r="F916" s="1436"/>
      <c r="G916" s="1547">
        <f t="shared" si="509"/>
        <v>0</v>
      </c>
      <c r="H916" s="1484"/>
      <c r="I916" s="1547">
        <f t="shared" si="510"/>
        <v>0</v>
      </c>
      <c r="J916" s="1495"/>
      <c r="K916" s="1495"/>
      <c r="L916" s="1436"/>
      <c r="M916" s="1439"/>
      <c r="N916" s="1439"/>
      <c r="O916" s="1485"/>
      <c r="P916" s="1486"/>
      <c r="Q916" s="1486"/>
      <c r="R916" s="1487"/>
      <c r="S916" s="1444"/>
      <c r="T916" s="1444"/>
      <c r="U916" s="1444"/>
      <c r="V916" s="1488"/>
      <c r="W916" s="1488"/>
      <c r="X916" s="1488"/>
      <c r="Y916" s="1488"/>
      <c r="Z916" s="1488"/>
      <c r="AA916" s="1488"/>
      <c r="AB916" s="1488"/>
      <c r="AC916" s="1488"/>
      <c r="AD916" s="1488"/>
      <c r="AE916" s="1488"/>
      <c r="AF916" s="1488"/>
      <c r="AG916" s="1488"/>
      <c r="AH916" s="1451">
        <f t="shared" si="482"/>
        <v>0</v>
      </c>
      <c r="AI916" s="1488"/>
      <c r="AJ916" s="1488"/>
      <c r="AK916" s="1488"/>
      <c r="AL916" s="1488"/>
      <c r="AM916" s="1488"/>
      <c r="AN916" s="1488"/>
      <c r="AO916" s="1488"/>
      <c r="AP916" s="1488"/>
      <c r="AQ916" s="1488"/>
      <c r="AR916" s="1488"/>
      <c r="AS916" s="1488"/>
      <c r="AT916" s="1542"/>
      <c r="AU916" s="1599">
        <f t="shared" si="483"/>
        <v>0</v>
      </c>
      <c r="AV916" s="1544">
        <f t="shared" si="511"/>
        <v>0</v>
      </c>
      <c r="AW916" s="1452">
        <f t="shared" si="484"/>
        <v>0</v>
      </c>
      <c r="AX916" s="1452">
        <f t="shared" si="485"/>
        <v>0</v>
      </c>
      <c r="AY916" s="1452">
        <f t="shared" si="486"/>
        <v>0</v>
      </c>
      <c r="AZ916" s="1452">
        <f t="shared" si="487"/>
        <v>0</v>
      </c>
      <c r="BA916" s="1452">
        <f t="shared" si="488"/>
        <v>0</v>
      </c>
      <c r="BB916" s="1452">
        <f t="shared" si="489"/>
        <v>0</v>
      </c>
      <c r="BC916" s="1452">
        <f t="shared" si="490"/>
        <v>0</v>
      </c>
      <c r="BD916" s="1452">
        <f t="shared" si="491"/>
        <v>0</v>
      </c>
      <c r="BE916" s="1452">
        <f t="shared" si="492"/>
        <v>0</v>
      </c>
      <c r="BF916" s="1452">
        <f t="shared" si="493"/>
        <v>0</v>
      </c>
      <c r="BG916" s="1452">
        <f t="shared" si="494"/>
        <v>0</v>
      </c>
      <c r="BH916" s="1452">
        <f t="shared" si="495"/>
        <v>0</v>
      </c>
      <c r="BI916" s="1452">
        <f t="shared" si="512"/>
        <v>0</v>
      </c>
      <c r="BJ916" s="1452" t="str">
        <f t="shared" si="496"/>
        <v/>
      </c>
      <c r="BK916" s="1452" t="str">
        <f t="shared" si="497"/>
        <v/>
      </c>
      <c r="BL916" s="1452" t="str">
        <f t="shared" si="498"/>
        <v/>
      </c>
      <c r="BM916" s="1452" t="str">
        <f t="shared" si="499"/>
        <v/>
      </c>
      <c r="BN916" s="1452" t="str">
        <f t="shared" ca="1" si="500"/>
        <v/>
      </c>
      <c r="BO916" s="1452" t="str">
        <f t="shared" si="513"/>
        <v/>
      </c>
      <c r="BP916" s="1452" t="str">
        <f t="shared" si="501"/>
        <v/>
      </c>
      <c r="BQ916" s="1452" t="str">
        <f t="shared" si="502"/>
        <v/>
      </c>
      <c r="BR916" s="1452" t="str">
        <f t="shared" si="503"/>
        <v/>
      </c>
      <c r="BS916" s="1452" t="str">
        <f t="shared" si="504"/>
        <v/>
      </c>
      <c r="BT916" s="1452" t="str">
        <f t="shared" si="505"/>
        <v/>
      </c>
      <c r="BU916" s="1452" t="str">
        <f t="shared" si="506"/>
        <v/>
      </c>
      <c r="BV916" s="1452" t="str">
        <f t="shared" si="507"/>
        <v/>
      </c>
      <c r="BW916" s="1558">
        <f t="shared" ca="1" si="514"/>
        <v>0</v>
      </c>
    </row>
    <row r="917" spans="1:75" s="9" customFormat="1" ht="12.5">
      <c r="A917" s="1483" t="str">
        <f t="shared" si="508"/>
        <v>Public Health Wales Trust</v>
      </c>
      <c r="B917" s="1583"/>
      <c r="C917" s="1510"/>
      <c r="D917" s="1494"/>
      <c r="E917" s="1593"/>
      <c r="F917" s="1436"/>
      <c r="G917" s="1547">
        <f t="shared" si="509"/>
        <v>0</v>
      </c>
      <c r="H917" s="1484"/>
      <c r="I917" s="1547">
        <f t="shared" si="510"/>
        <v>0</v>
      </c>
      <c r="J917" s="1495"/>
      <c r="K917" s="1495"/>
      <c r="L917" s="1436"/>
      <c r="M917" s="1439"/>
      <c r="N917" s="1439"/>
      <c r="O917" s="1485"/>
      <c r="P917" s="1486"/>
      <c r="Q917" s="1486"/>
      <c r="R917" s="1487"/>
      <c r="S917" s="1444"/>
      <c r="T917" s="1444"/>
      <c r="U917" s="1444"/>
      <c r="V917" s="1488"/>
      <c r="W917" s="1488"/>
      <c r="X917" s="1488"/>
      <c r="Y917" s="1488"/>
      <c r="Z917" s="1488"/>
      <c r="AA917" s="1488"/>
      <c r="AB917" s="1488"/>
      <c r="AC917" s="1488"/>
      <c r="AD917" s="1488"/>
      <c r="AE917" s="1488"/>
      <c r="AF917" s="1488"/>
      <c r="AG917" s="1488"/>
      <c r="AH917" s="1451">
        <f t="shared" si="482"/>
        <v>0</v>
      </c>
      <c r="AI917" s="1488"/>
      <c r="AJ917" s="1488"/>
      <c r="AK917" s="1488"/>
      <c r="AL917" s="1488"/>
      <c r="AM917" s="1488"/>
      <c r="AN917" s="1488"/>
      <c r="AO917" s="1488"/>
      <c r="AP917" s="1488"/>
      <c r="AQ917" s="1488"/>
      <c r="AR917" s="1488"/>
      <c r="AS917" s="1488"/>
      <c r="AT917" s="1542"/>
      <c r="AU917" s="1599">
        <f t="shared" si="483"/>
        <v>0</v>
      </c>
      <c r="AV917" s="1544">
        <f t="shared" si="511"/>
        <v>0</v>
      </c>
      <c r="AW917" s="1452">
        <f t="shared" si="484"/>
        <v>0</v>
      </c>
      <c r="AX917" s="1452">
        <f t="shared" si="485"/>
        <v>0</v>
      </c>
      <c r="AY917" s="1452">
        <f t="shared" si="486"/>
        <v>0</v>
      </c>
      <c r="AZ917" s="1452">
        <f t="shared" si="487"/>
        <v>0</v>
      </c>
      <c r="BA917" s="1452">
        <f t="shared" si="488"/>
        <v>0</v>
      </c>
      <c r="BB917" s="1452">
        <f t="shared" si="489"/>
        <v>0</v>
      </c>
      <c r="BC917" s="1452">
        <f t="shared" si="490"/>
        <v>0</v>
      </c>
      <c r="BD917" s="1452">
        <f t="shared" si="491"/>
        <v>0</v>
      </c>
      <c r="BE917" s="1452">
        <f t="shared" si="492"/>
        <v>0</v>
      </c>
      <c r="BF917" s="1452">
        <f t="shared" si="493"/>
        <v>0</v>
      </c>
      <c r="BG917" s="1452">
        <f t="shared" si="494"/>
        <v>0</v>
      </c>
      <c r="BH917" s="1452">
        <f t="shared" si="495"/>
        <v>0</v>
      </c>
      <c r="BI917" s="1452">
        <f t="shared" si="512"/>
        <v>0</v>
      </c>
      <c r="BJ917" s="1452" t="str">
        <f t="shared" si="496"/>
        <v/>
      </c>
      <c r="BK917" s="1452" t="str">
        <f t="shared" si="497"/>
        <v/>
      </c>
      <c r="BL917" s="1452" t="str">
        <f t="shared" si="498"/>
        <v/>
      </c>
      <c r="BM917" s="1452" t="str">
        <f t="shared" si="499"/>
        <v/>
      </c>
      <c r="BN917" s="1452" t="str">
        <f t="shared" ca="1" si="500"/>
        <v/>
      </c>
      <c r="BO917" s="1452" t="str">
        <f t="shared" si="513"/>
        <v/>
      </c>
      <c r="BP917" s="1452" t="str">
        <f t="shared" si="501"/>
        <v/>
      </c>
      <c r="BQ917" s="1452" t="str">
        <f t="shared" si="502"/>
        <v/>
      </c>
      <c r="BR917" s="1452" t="str">
        <f t="shared" si="503"/>
        <v/>
      </c>
      <c r="BS917" s="1452" t="str">
        <f t="shared" si="504"/>
        <v/>
      </c>
      <c r="BT917" s="1452" t="str">
        <f t="shared" si="505"/>
        <v/>
      </c>
      <c r="BU917" s="1452" t="str">
        <f t="shared" si="506"/>
        <v/>
      </c>
      <c r="BV917" s="1452" t="str">
        <f t="shared" si="507"/>
        <v/>
      </c>
      <c r="BW917" s="1558">
        <f t="shared" ca="1" si="514"/>
        <v>0</v>
      </c>
    </row>
    <row r="918" spans="1:75" s="9" customFormat="1" ht="12.5">
      <c r="A918" s="1483" t="str">
        <f t="shared" si="508"/>
        <v>Public Health Wales Trust</v>
      </c>
      <c r="B918" s="1583"/>
      <c r="C918" s="1510"/>
      <c r="D918" s="1494"/>
      <c r="E918" s="1593"/>
      <c r="F918" s="1436"/>
      <c r="G918" s="1547">
        <f t="shared" si="509"/>
        <v>0</v>
      </c>
      <c r="H918" s="1484"/>
      <c r="I918" s="1547">
        <f t="shared" si="510"/>
        <v>0</v>
      </c>
      <c r="J918" s="1495"/>
      <c r="K918" s="1495"/>
      <c r="L918" s="1436"/>
      <c r="M918" s="1439"/>
      <c r="N918" s="1439"/>
      <c r="O918" s="1485"/>
      <c r="P918" s="1486"/>
      <c r="Q918" s="1486"/>
      <c r="R918" s="1487"/>
      <c r="S918" s="1444"/>
      <c r="T918" s="1444"/>
      <c r="U918" s="1444"/>
      <c r="V918" s="1488"/>
      <c r="W918" s="1488"/>
      <c r="X918" s="1488"/>
      <c r="Y918" s="1488"/>
      <c r="Z918" s="1488"/>
      <c r="AA918" s="1488"/>
      <c r="AB918" s="1488"/>
      <c r="AC918" s="1488"/>
      <c r="AD918" s="1488"/>
      <c r="AE918" s="1488"/>
      <c r="AF918" s="1488"/>
      <c r="AG918" s="1488"/>
      <c r="AH918" s="1451">
        <f t="shared" si="482"/>
        <v>0</v>
      </c>
      <c r="AI918" s="1488"/>
      <c r="AJ918" s="1488"/>
      <c r="AK918" s="1488"/>
      <c r="AL918" s="1488"/>
      <c r="AM918" s="1488"/>
      <c r="AN918" s="1488"/>
      <c r="AO918" s="1488"/>
      <c r="AP918" s="1488"/>
      <c r="AQ918" s="1488"/>
      <c r="AR918" s="1488"/>
      <c r="AS918" s="1488"/>
      <c r="AT918" s="1542"/>
      <c r="AU918" s="1599">
        <f t="shared" si="483"/>
        <v>0</v>
      </c>
      <c r="AV918" s="1544">
        <f t="shared" si="511"/>
        <v>0</v>
      </c>
      <c r="AW918" s="1452">
        <f t="shared" si="484"/>
        <v>0</v>
      </c>
      <c r="AX918" s="1452">
        <f t="shared" si="485"/>
        <v>0</v>
      </c>
      <c r="AY918" s="1452">
        <f t="shared" si="486"/>
        <v>0</v>
      </c>
      <c r="AZ918" s="1452">
        <f t="shared" si="487"/>
        <v>0</v>
      </c>
      <c r="BA918" s="1452">
        <f t="shared" si="488"/>
        <v>0</v>
      </c>
      <c r="BB918" s="1452">
        <f t="shared" si="489"/>
        <v>0</v>
      </c>
      <c r="BC918" s="1452">
        <f t="shared" si="490"/>
        <v>0</v>
      </c>
      <c r="BD918" s="1452">
        <f t="shared" si="491"/>
        <v>0</v>
      </c>
      <c r="BE918" s="1452">
        <f t="shared" si="492"/>
        <v>0</v>
      </c>
      <c r="BF918" s="1452">
        <f t="shared" si="493"/>
        <v>0</v>
      </c>
      <c r="BG918" s="1452">
        <f t="shared" si="494"/>
        <v>0</v>
      </c>
      <c r="BH918" s="1452">
        <f t="shared" si="495"/>
        <v>0</v>
      </c>
      <c r="BI918" s="1452">
        <f t="shared" si="512"/>
        <v>0</v>
      </c>
      <c r="BJ918" s="1452" t="str">
        <f t="shared" si="496"/>
        <v/>
      </c>
      <c r="BK918" s="1452" t="str">
        <f t="shared" si="497"/>
        <v/>
      </c>
      <c r="BL918" s="1452" t="str">
        <f t="shared" si="498"/>
        <v/>
      </c>
      <c r="BM918" s="1452" t="str">
        <f t="shared" si="499"/>
        <v/>
      </c>
      <c r="BN918" s="1452" t="str">
        <f t="shared" ca="1" si="500"/>
        <v/>
      </c>
      <c r="BO918" s="1452" t="str">
        <f t="shared" si="513"/>
        <v/>
      </c>
      <c r="BP918" s="1452" t="str">
        <f t="shared" si="501"/>
        <v/>
      </c>
      <c r="BQ918" s="1452" t="str">
        <f t="shared" si="502"/>
        <v/>
      </c>
      <c r="BR918" s="1452" t="str">
        <f t="shared" si="503"/>
        <v/>
      </c>
      <c r="BS918" s="1452" t="str">
        <f t="shared" si="504"/>
        <v/>
      </c>
      <c r="BT918" s="1452" t="str">
        <f t="shared" si="505"/>
        <v/>
      </c>
      <c r="BU918" s="1452" t="str">
        <f t="shared" si="506"/>
        <v/>
      </c>
      <c r="BV918" s="1452" t="str">
        <f t="shared" si="507"/>
        <v/>
      </c>
      <c r="BW918" s="1558">
        <f t="shared" ca="1" si="514"/>
        <v>0</v>
      </c>
    </row>
    <row r="919" spans="1:75" s="9" customFormat="1" ht="12.5">
      <c r="A919" s="1483" t="str">
        <f t="shared" si="508"/>
        <v>Public Health Wales Trust</v>
      </c>
      <c r="B919" s="1583"/>
      <c r="C919" s="1510"/>
      <c r="D919" s="1494"/>
      <c r="E919" s="1593"/>
      <c r="F919" s="1436"/>
      <c r="G919" s="1547">
        <f t="shared" si="509"/>
        <v>0</v>
      </c>
      <c r="H919" s="1484"/>
      <c r="I919" s="1547">
        <f t="shared" si="510"/>
        <v>0</v>
      </c>
      <c r="J919" s="1495"/>
      <c r="K919" s="1495"/>
      <c r="L919" s="1436"/>
      <c r="M919" s="1439"/>
      <c r="N919" s="1439"/>
      <c r="O919" s="1485"/>
      <c r="P919" s="1486"/>
      <c r="Q919" s="1486"/>
      <c r="R919" s="1487"/>
      <c r="S919" s="1444"/>
      <c r="T919" s="1444"/>
      <c r="U919" s="1444"/>
      <c r="V919" s="1488"/>
      <c r="W919" s="1488"/>
      <c r="X919" s="1488"/>
      <c r="Y919" s="1488"/>
      <c r="Z919" s="1488"/>
      <c r="AA919" s="1488"/>
      <c r="AB919" s="1488"/>
      <c r="AC919" s="1488"/>
      <c r="AD919" s="1488"/>
      <c r="AE919" s="1488"/>
      <c r="AF919" s="1488"/>
      <c r="AG919" s="1488"/>
      <c r="AH919" s="1451">
        <f t="shared" si="482"/>
        <v>0</v>
      </c>
      <c r="AI919" s="1488"/>
      <c r="AJ919" s="1488"/>
      <c r="AK919" s="1488"/>
      <c r="AL919" s="1488"/>
      <c r="AM919" s="1488"/>
      <c r="AN919" s="1488"/>
      <c r="AO919" s="1488"/>
      <c r="AP919" s="1488"/>
      <c r="AQ919" s="1488"/>
      <c r="AR919" s="1488"/>
      <c r="AS919" s="1488"/>
      <c r="AT919" s="1542"/>
      <c r="AU919" s="1599">
        <f t="shared" si="483"/>
        <v>0</v>
      </c>
      <c r="AV919" s="1544">
        <f t="shared" si="511"/>
        <v>0</v>
      </c>
      <c r="AW919" s="1452">
        <f t="shared" si="484"/>
        <v>0</v>
      </c>
      <c r="AX919" s="1452">
        <f t="shared" si="485"/>
        <v>0</v>
      </c>
      <c r="AY919" s="1452">
        <f t="shared" si="486"/>
        <v>0</v>
      </c>
      <c r="AZ919" s="1452">
        <f t="shared" si="487"/>
        <v>0</v>
      </c>
      <c r="BA919" s="1452">
        <f t="shared" si="488"/>
        <v>0</v>
      </c>
      <c r="BB919" s="1452">
        <f t="shared" si="489"/>
        <v>0</v>
      </c>
      <c r="BC919" s="1452">
        <f t="shared" si="490"/>
        <v>0</v>
      </c>
      <c r="BD919" s="1452">
        <f t="shared" si="491"/>
        <v>0</v>
      </c>
      <c r="BE919" s="1452">
        <f t="shared" si="492"/>
        <v>0</v>
      </c>
      <c r="BF919" s="1452">
        <f t="shared" si="493"/>
        <v>0</v>
      </c>
      <c r="BG919" s="1452">
        <f t="shared" si="494"/>
        <v>0</v>
      </c>
      <c r="BH919" s="1452">
        <f t="shared" si="495"/>
        <v>0</v>
      </c>
      <c r="BI919" s="1452">
        <f t="shared" si="512"/>
        <v>0</v>
      </c>
      <c r="BJ919" s="1452" t="str">
        <f t="shared" si="496"/>
        <v/>
      </c>
      <c r="BK919" s="1452" t="str">
        <f t="shared" si="497"/>
        <v/>
      </c>
      <c r="BL919" s="1452" t="str">
        <f t="shared" si="498"/>
        <v/>
      </c>
      <c r="BM919" s="1452" t="str">
        <f t="shared" si="499"/>
        <v/>
      </c>
      <c r="BN919" s="1452" t="str">
        <f t="shared" ca="1" si="500"/>
        <v/>
      </c>
      <c r="BO919" s="1452" t="str">
        <f t="shared" si="513"/>
        <v/>
      </c>
      <c r="BP919" s="1452" t="str">
        <f t="shared" si="501"/>
        <v/>
      </c>
      <c r="BQ919" s="1452" t="str">
        <f t="shared" si="502"/>
        <v/>
      </c>
      <c r="BR919" s="1452" t="str">
        <f t="shared" si="503"/>
        <v/>
      </c>
      <c r="BS919" s="1452" t="str">
        <f t="shared" si="504"/>
        <v/>
      </c>
      <c r="BT919" s="1452" t="str">
        <f t="shared" si="505"/>
        <v/>
      </c>
      <c r="BU919" s="1452" t="str">
        <f t="shared" si="506"/>
        <v/>
      </c>
      <c r="BV919" s="1452" t="str">
        <f t="shared" si="507"/>
        <v/>
      </c>
      <c r="BW919" s="1558">
        <f t="shared" ca="1" si="514"/>
        <v>0</v>
      </c>
    </row>
    <row r="920" spans="1:75" s="9" customFormat="1" ht="12.5">
      <c r="A920" s="1483" t="str">
        <f t="shared" si="508"/>
        <v>Public Health Wales Trust</v>
      </c>
      <c r="B920" s="1583"/>
      <c r="C920" s="1510"/>
      <c r="D920" s="1494"/>
      <c r="E920" s="1593"/>
      <c r="F920" s="1436"/>
      <c r="G920" s="1547">
        <f t="shared" si="509"/>
        <v>0</v>
      </c>
      <c r="H920" s="1484"/>
      <c r="I920" s="1547">
        <f t="shared" si="510"/>
        <v>0</v>
      </c>
      <c r="J920" s="1495"/>
      <c r="K920" s="1495"/>
      <c r="L920" s="1436"/>
      <c r="M920" s="1439"/>
      <c r="N920" s="1439"/>
      <c r="O920" s="1485"/>
      <c r="P920" s="1486"/>
      <c r="Q920" s="1486"/>
      <c r="R920" s="1487"/>
      <c r="S920" s="1444"/>
      <c r="T920" s="1444"/>
      <c r="U920" s="1444"/>
      <c r="V920" s="1488"/>
      <c r="W920" s="1488"/>
      <c r="X920" s="1488"/>
      <c r="Y920" s="1488"/>
      <c r="Z920" s="1488"/>
      <c r="AA920" s="1488"/>
      <c r="AB920" s="1488"/>
      <c r="AC920" s="1488"/>
      <c r="AD920" s="1488"/>
      <c r="AE920" s="1488"/>
      <c r="AF920" s="1488"/>
      <c r="AG920" s="1488"/>
      <c r="AH920" s="1451">
        <f t="shared" si="482"/>
        <v>0</v>
      </c>
      <c r="AI920" s="1488"/>
      <c r="AJ920" s="1488"/>
      <c r="AK920" s="1488"/>
      <c r="AL920" s="1488"/>
      <c r="AM920" s="1488"/>
      <c r="AN920" s="1488"/>
      <c r="AO920" s="1488"/>
      <c r="AP920" s="1488"/>
      <c r="AQ920" s="1488"/>
      <c r="AR920" s="1488"/>
      <c r="AS920" s="1488"/>
      <c r="AT920" s="1542"/>
      <c r="AU920" s="1599">
        <f t="shared" si="483"/>
        <v>0</v>
      </c>
      <c r="AV920" s="1544">
        <f t="shared" si="511"/>
        <v>0</v>
      </c>
      <c r="AW920" s="1452">
        <f t="shared" si="484"/>
        <v>0</v>
      </c>
      <c r="AX920" s="1452">
        <f t="shared" si="485"/>
        <v>0</v>
      </c>
      <c r="AY920" s="1452">
        <f t="shared" si="486"/>
        <v>0</v>
      </c>
      <c r="AZ920" s="1452">
        <f t="shared" si="487"/>
        <v>0</v>
      </c>
      <c r="BA920" s="1452">
        <f t="shared" si="488"/>
        <v>0</v>
      </c>
      <c r="BB920" s="1452">
        <f t="shared" si="489"/>
        <v>0</v>
      </c>
      <c r="BC920" s="1452">
        <f t="shared" si="490"/>
        <v>0</v>
      </c>
      <c r="BD920" s="1452">
        <f t="shared" si="491"/>
        <v>0</v>
      </c>
      <c r="BE920" s="1452">
        <f t="shared" si="492"/>
        <v>0</v>
      </c>
      <c r="BF920" s="1452">
        <f t="shared" si="493"/>
        <v>0</v>
      </c>
      <c r="BG920" s="1452">
        <f t="shared" si="494"/>
        <v>0</v>
      </c>
      <c r="BH920" s="1452">
        <f t="shared" si="495"/>
        <v>0</v>
      </c>
      <c r="BI920" s="1452">
        <f t="shared" si="512"/>
        <v>0</v>
      </c>
      <c r="BJ920" s="1452" t="str">
        <f t="shared" si="496"/>
        <v/>
      </c>
      <c r="BK920" s="1452" t="str">
        <f t="shared" si="497"/>
        <v/>
      </c>
      <c r="BL920" s="1452" t="str">
        <f t="shared" si="498"/>
        <v/>
      </c>
      <c r="BM920" s="1452" t="str">
        <f t="shared" si="499"/>
        <v/>
      </c>
      <c r="BN920" s="1452" t="str">
        <f t="shared" ca="1" si="500"/>
        <v/>
      </c>
      <c r="BO920" s="1452" t="str">
        <f t="shared" si="513"/>
        <v/>
      </c>
      <c r="BP920" s="1452" t="str">
        <f t="shared" si="501"/>
        <v/>
      </c>
      <c r="BQ920" s="1452" t="str">
        <f t="shared" si="502"/>
        <v/>
      </c>
      <c r="BR920" s="1452" t="str">
        <f t="shared" si="503"/>
        <v/>
      </c>
      <c r="BS920" s="1452" t="str">
        <f t="shared" si="504"/>
        <v/>
      </c>
      <c r="BT920" s="1452" t="str">
        <f t="shared" si="505"/>
        <v/>
      </c>
      <c r="BU920" s="1452" t="str">
        <f t="shared" si="506"/>
        <v/>
      </c>
      <c r="BV920" s="1452" t="str">
        <f t="shared" si="507"/>
        <v/>
      </c>
      <c r="BW920" s="1558">
        <f t="shared" ca="1" si="514"/>
        <v>0</v>
      </c>
    </row>
    <row r="921" spans="1:75" s="9" customFormat="1" ht="12.5">
      <c r="A921" s="1483" t="str">
        <f t="shared" si="508"/>
        <v>Public Health Wales Trust</v>
      </c>
      <c r="B921" s="1583"/>
      <c r="C921" s="1510"/>
      <c r="D921" s="1494"/>
      <c r="E921" s="1593"/>
      <c r="F921" s="1436"/>
      <c r="G921" s="1547">
        <f t="shared" si="509"/>
        <v>0</v>
      </c>
      <c r="H921" s="1484"/>
      <c r="I921" s="1547">
        <f t="shared" si="510"/>
        <v>0</v>
      </c>
      <c r="J921" s="1495"/>
      <c r="K921" s="1495"/>
      <c r="L921" s="1436"/>
      <c r="M921" s="1439"/>
      <c r="N921" s="1439"/>
      <c r="O921" s="1485"/>
      <c r="P921" s="1486"/>
      <c r="Q921" s="1486"/>
      <c r="R921" s="1487"/>
      <c r="S921" s="1444"/>
      <c r="T921" s="1444"/>
      <c r="U921" s="1444"/>
      <c r="V921" s="1488"/>
      <c r="W921" s="1488"/>
      <c r="X921" s="1488"/>
      <c r="Y921" s="1488"/>
      <c r="Z921" s="1488"/>
      <c r="AA921" s="1488"/>
      <c r="AB921" s="1488"/>
      <c r="AC921" s="1488"/>
      <c r="AD921" s="1488"/>
      <c r="AE921" s="1488"/>
      <c r="AF921" s="1488"/>
      <c r="AG921" s="1488"/>
      <c r="AH921" s="1451">
        <f t="shared" si="482"/>
        <v>0</v>
      </c>
      <c r="AI921" s="1488"/>
      <c r="AJ921" s="1488"/>
      <c r="AK921" s="1488"/>
      <c r="AL921" s="1488"/>
      <c r="AM921" s="1488"/>
      <c r="AN921" s="1488"/>
      <c r="AO921" s="1488"/>
      <c r="AP921" s="1488"/>
      <c r="AQ921" s="1488"/>
      <c r="AR921" s="1488"/>
      <c r="AS921" s="1488"/>
      <c r="AT921" s="1542"/>
      <c r="AU921" s="1599">
        <f t="shared" si="483"/>
        <v>0</v>
      </c>
      <c r="AV921" s="1544">
        <f t="shared" si="511"/>
        <v>0</v>
      </c>
      <c r="AW921" s="1452">
        <f t="shared" si="484"/>
        <v>0</v>
      </c>
      <c r="AX921" s="1452">
        <f t="shared" si="485"/>
        <v>0</v>
      </c>
      <c r="AY921" s="1452">
        <f t="shared" si="486"/>
        <v>0</v>
      </c>
      <c r="AZ921" s="1452">
        <f t="shared" si="487"/>
        <v>0</v>
      </c>
      <c r="BA921" s="1452">
        <f t="shared" si="488"/>
        <v>0</v>
      </c>
      <c r="BB921" s="1452">
        <f t="shared" si="489"/>
        <v>0</v>
      </c>
      <c r="BC921" s="1452">
        <f t="shared" si="490"/>
        <v>0</v>
      </c>
      <c r="BD921" s="1452">
        <f t="shared" si="491"/>
        <v>0</v>
      </c>
      <c r="BE921" s="1452">
        <f t="shared" si="492"/>
        <v>0</v>
      </c>
      <c r="BF921" s="1452">
        <f t="shared" si="493"/>
        <v>0</v>
      </c>
      <c r="BG921" s="1452">
        <f t="shared" si="494"/>
        <v>0</v>
      </c>
      <c r="BH921" s="1452">
        <f t="shared" si="495"/>
        <v>0</v>
      </c>
      <c r="BI921" s="1452">
        <f t="shared" si="512"/>
        <v>0</v>
      </c>
      <c r="BJ921" s="1452" t="str">
        <f t="shared" si="496"/>
        <v/>
      </c>
      <c r="BK921" s="1452" t="str">
        <f t="shared" si="497"/>
        <v/>
      </c>
      <c r="BL921" s="1452" t="str">
        <f t="shared" si="498"/>
        <v/>
      </c>
      <c r="BM921" s="1452" t="str">
        <f t="shared" si="499"/>
        <v/>
      </c>
      <c r="BN921" s="1452" t="str">
        <f t="shared" ca="1" si="500"/>
        <v/>
      </c>
      <c r="BO921" s="1452" t="str">
        <f t="shared" si="513"/>
        <v/>
      </c>
      <c r="BP921" s="1452" t="str">
        <f t="shared" si="501"/>
        <v/>
      </c>
      <c r="BQ921" s="1452" t="str">
        <f t="shared" si="502"/>
        <v/>
      </c>
      <c r="BR921" s="1452" t="str">
        <f t="shared" si="503"/>
        <v/>
      </c>
      <c r="BS921" s="1452" t="str">
        <f t="shared" si="504"/>
        <v/>
      </c>
      <c r="BT921" s="1452" t="str">
        <f t="shared" si="505"/>
        <v/>
      </c>
      <c r="BU921" s="1452" t="str">
        <f t="shared" si="506"/>
        <v/>
      </c>
      <c r="BV921" s="1452" t="str">
        <f t="shared" si="507"/>
        <v/>
      </c>
      <c r="BW921" s="1558">
        <f t="shared" ca="1" si="514"/>
        <v>0</v>
      </c>
    </row>
    <row r="922" spans="1:75" s="9" customFormat="1" ht="12.5">
      <c r="A922" s="1483" t="str">
        <f t="shared" si="508"/>
        <v>Public Health Wales Trust</v>
      </c>
      <c r="B922" s="1583"/>
      <c r="C922" s="1510"/>
      <c r="D922" s="1494"/>
      <c r="E922" s="1593"/>
      <c r="F922" s="1436"/>
      <c r="G922" s="1547">
        <f t="shared" si="509"/>
        <v>0</v>
      </c>
      <c r="H922" s="1484"/>
      <c r="I922" s="1547">
        <f t="shared" si="510"/>
        <v>0</v>
      </c>
      <c r="J922" s="1495"/>
      <c r="K922" s="1495"/>
      <c r="L922" s="1436"/>
      <c r="M922" s="1439"/>
      <c r="N922" s="1439"/>
      <c r="O922" s="1485"/>
      <c r="P922" s="1486"/>
      <c r="Q922" s="1486"/>
      <c r="R922" s="1487"/>
      <c r="S922" s="1444"/>
      <c r="T922" s="1444"/>
      <c r="U922" s="1444"/>
      <c r="V922" s="1488"/>
      <c r="W922" s="1488"/>
      <c r="X922" s="1488"/>
      <c r="Y922" s="1488"/>
      <c r="Z922" s="1488"/>
      <c r="AA922" s="1488"/>
      <c r="AB922" s="1488"/>
      <c r="AC922" s="1488"/>
      <c r="AD922" s="1488"/>
      <c r="AE922" s="1488"/>
      <c r="AF922" s="1488"/>
      <c r="AG922" s="1488"/>
      <c r="AH922" s="1451">
        <f t="shared" si="482"/>
        <v>0</v>
      </c>
      <c r="AI922" s="1488"/>
      <c r="AJ922" s="1488"/>
      <c r="AK922" s="1488"/>
      <c r="AL922" s="1488"/>
      <c r="AM922" s="1488"/>
      <c r="AN922" s="1488"/>
      <c r="AO922" s="1488"/>
      <c r="AP922" s="1488"/>
      <c r="AQ922" s="1488"/>
      <c r="AR922" s="1488"/>
      <c r="AS922" s="1488"/>
      <c r="AT922" s="1542"/>
      <c r="AU922" s="1599">
        <f t="shared" si="483"/>
        <v>0</v>
      </c>
      <c r="AV922" s="1544">
        <f t="shared" si="511"/>
        <v>0</v>
      </c>
      <c r="AW922" s="1452">
        <f t="shared" si="484"/>
        <v>0</v>
      </c>
      <c r="AX922" s="1452">
        <f t="shared" si="485"/>
        <v>0</v>
      </c>
      <c r="AY922" s="1452">
        <f t="shared" si="486"/>
        <v>0</v>
      </c>
      <c r="AZ922" s="1452">
        <f t="shared" si="487"/>
        <v>0</v>
      </c>
      <c r="BA922" s="1452">
        <f t="shared" si="488"/>
        <v>0</v>
      </c>
      <c r="BB922" s="1452">
        <f t="shared" si="489"/>
        <v>0</v>
      </c>
      <c r="BC922" s="1452">
        <f t="shared" si="490"/>
        <v>0</v>
      </c>
      <c r="BD922" s="1452">
        <f t="shared" si="491"/>
        <v>0</v>
      </c>
      <c r="BE922" s="1452">
        <f t="shared" si="492"/>
        <v>0</v>
      </c>
      <c r="BF922" s="1452">
        <f t="shared" si="493"/>
        <v>0</v>
      </c>
      <c r="BG922" s="1452">
        <f t="shared" si="494"/>
        <v>0</v>
      </c>
      <c r="BH922" s="1452">
        <f t="shared" si="495"/>
        <v>0</v>
      </c>
      <c r="BI922" s="1452">
        <f t="shared" si="512"/>
        <v>0</v>
      </c>
      <c r="BJ922" s="1452" t="str">
        <f t="shared" si="496"/>
        <v/>
      </c>
      <c r="BK922" s="1452" t="str">
        <f t="shared" si="497"/>
        <v/>
      </c>
      <c r="BL922" s="1452" t="str">
        <f t="shared" si="498"/>
        <v/>
      </c>
      <c r="BM922" s="1452" t="str">
        <f t="shared" si="499"/>
        <v/>
      </c>
      <c r="BN922" s="1452" t="str">
        <f t="shared" ca="1" si="500"/>
        <v/>
      </c>
      <c r="BO922" s="1452" t="str">
        <f t="shared" si="513"/>
        <v/>
      </c>
      <c r="BP922" s="1452" t="str">
        <f t="shared" si="501"/>
        <v/>
      </c>
      <c r="BQ922" s="1452" t="str">
        <f t="shared" si="502"/>
        <v/>
      </c>
      <c r="BR922" s="1452" t="str">
        <f t="shared" si="503"/>
        <v/>
      </c>
      <c r="BS922" s="1452" t="str">
        <f t="shared" si="504"/>
        <v/>
      </c>
      <c r="BT922" s="1452" t="str">
        <f t="shared" si="505"/>
        <v/>
      </c>
      <c r="BU922" s="1452" t="str">
        <f t="shared" si="506"/>
        <v/>
      </c>
      <c r="BV922" s="1452" t="str">
        <f t="shared" si="507"/>
        <v/>
      </c>
      <c r="BW922" s="1558">
        <f t="shared" ca="1" si="514"/>
        <v>0</v>
      </c>
    </row>
    <row r="923" spans="1:75" s="9" customFormat="1" ht="12.5">
      <c r="A923" s="1483" t="str">
        <f t="shared" si="508"/>
        <v>Public Health Wales Trust</v>
      </c>
      <c r="B923" s="1583"/>
      <c r="C923" s="1510"/>
      <c r="D923" s="1494"/>
      <c r="E923" s="1593"/>
      <c r="F923" s="1436"/>
      <c r="G923" s="1547">
        <f t="shared" si="509"/>
        <v>0</v>
      </c>
      <c r="H923" s="1484"/>
      <c r="I923" s="1547">
        <f t="shared" si="510"/>
        <v>0</v>
      </c>
      <c r="J923" s="1495"/>
      <c r="K923" s="1495"/>
      <c r="L923" s="1436"/>
      <c r="M923" s="1439"/>
      <c r="N923" s="1439"/>
      <c r="O923" s="1485"/>
      <c r="P923" s="1486"/>
      <c r="Q923" s="1486"/>
      <c r="R923" s="1487"/>
      <c r="S923" s="1444"/>
      <c r="T923" s="1444"/>
      <c r="U923" s="1444"/>
      <c r="V923" s="1488"/>
      <c r="W923" s="1488"/>
      <c r="X923" s="1488"/>
      <c r="Y923" s="1488"/>
      <c r="Z923" s="1488"/>
      <c r="AA923" s="1488"/>
      <c r="AB923" s="1488"/>
      <c r="AC923" s="1488"/>
      <c r="AD923" s="1488"/>
      <c r="AE923" s="1488"/>
      <c r="AF923" s="1488"/>
      <c r="AG923" s="1488"/>
      <c r="AH923" s="1451">
        <f t="shared" si="482"/>
        <v>0</v>
      </c>
      <c r="AI923" s="1488"/>
      <c r="AJ923" s="1488"/>
      <c r="AK923" s="1488"/>
      <c r="AL923" s="1488"/>
      <c r="AM923" s="1488"/>
      <c r="AN923" s="1488"/>
      <c r="AO923" s="1488"/>
      <c r="AP923" s="1488"/>
      <c r="AQ923" s="1488"/>
      <c r="AR923" s="1488"/>
      <c r="AS923" s="1488"/>
      <c r="AT923" s="1542"/>
      <c r="AU923" s="1599">
        <f t="shared" si="483"/>
        <v>0</v>
      </c>
      <c r="AV923" s="1544">
        <f t="shared" si="511"/>
        <v>0</v>
      </c>
      <c r="AW923" s="1452">
        <f t="shared" si="484"/>
        <v>0</v>
      </c>
      <c r="AX923" s="1452">
        <f t="shared" si="485"/>
        <v>0</v>
      </c>
      <c r="AY923" s="1452">
        <f t="shared" si="486"/>
        <v>0</v>
      </c>
      <c r="AZ923" s="1452">
        <f t="shared" si="487"/>
        <v>0</v>
      </c>
      <c r="BA923" s="1452">
        <f t="shared" si="488"/>
        <v>0</v>
      </c>
      <c r="BB923" s="1452">
        <f t="shared" si="489"/>
        <v>0</v>
      </c>
      <c r="BC923" s="1452">
        <f t="shared" si="490"/>
        <v>0</v>
      </c>
      <c r="BD923" s="1452">
        <f t="shared" si="491"/>
        <v>0</v>
      </c>
      <c r="BE923" s="1452">
        <f t="shared" si="492"/>
        <v>0</v>
      </c>
      <c r="BF923" s="1452">
        <f t="shared" si="493"/>
        <v>0</v>
      </c>
      <c r="BG923" s="1452">
        <f t="shared" si="494"/>
        <v>0</v>
      </c>
      <c r="BH923" s="1452">
        <f t="shared" si="495"/>
        <v>0</v>
      </c>
      <c r="BI923" s="1452">
        <f t="shared" si="512"/>
        <v>0</v>
      </c>
      <c r="BJ923" s="1452" t="str">
        <f t="shared" si="496"/>
        <v/>
      </c>
      <c r="BK923" s="1452" t="str">
        <f t="shared" si="497"/>
        <v/>
      </c>
      <c r="BL923" s="1452" t="str">
        <f t="shared" si="498"/>
        <v/>
      </c>
      <c r="BM923" s="1452" t="str">
        <f t="shared" si="499"/>
        <v/>
      </c>
      <c r="BN923" s="1452" t="str">
        <f t="shared" ca="1" si="500"/>
        <v/>
      </c>
      <c r="BO923" s="1452" t="str">
        <f t="shared" si="513"/>
        <v/>
      </c>
      <c r="BP923" s="1452" t="str">
        <f t="shared" si="501"/>
        <v/>
      </c>
      <c r="BQ923" s="1452" t="str">
        <f t="shared" si="502"/>
        <v/>
      </c>
      <c r="BR923" s="1452" t="str">
        <f t="shared" si="503"/>
        <v/>
      </c>
      <c r="BS923" s="1452" t="str">
        <f t="shared" si="504"/>
        <v/>
      </c>
      <c r="BT923" s="1452" t="str">
        <f t="shared" si="505"/>
        <v/>
      </c>
      <c r="BU923" s="1452" t="str">
        <f t="shared" si="506"/>
        <v/>
      </c>
      <c r="BV923" s="1452" t="str">
        <f t="shared" si="507"/>
        <v/>
      </c>
      <c r="BW923" s="1558">
        <f t="shared" ca="1" si="514"/>
        <v>0</v>
      </c>
    </row>
    <row r="924" spans="1:75" s="9" customFormat="1" ht="12.5">
      <c r="A924" s="1483" t="str">
        <f t="shared" si="508"/>
        <v>Public Health Wales Trust</v>
      </c>
      <c r="B924" s="1583"/>
      <c r="C924" s="1510"/>
      <c r="D924" s="1494"/>
      <c r="E924" s="1593"/>
      <c r="F924" s="1436"/>
      <c r="G924" s="1547">
        <f t="shared" si="509"/>
        <v>0</v>
      </c>
      <c r="H924" s="1484"/>
      <c r="I924" s="1547">
        <f t="shared" si="510"/>
        <v>0</v>
      </c>
      <c r="J924" s="1506"/>
      <c r="K924" s="1506"/>
      <c r="L924" s="1436"/>
      <c r="M924" s="1439"/>
      <c r="N924" s="1439"/>
      <c r="O924" s="1485"/>
      <c r="P924" s="1486"/>
      <c r="Q924" s="1486"/>
      <c r="R924" s="1487"/>
      <c r="S924" s="1444"/>
      <c r="T924" s="1444"/>
      <c r="U924" s="1444"/>
      <c r="V924" s="1488"/>
      <c r="W924" s="1488"/>
      <c r="X924" s="1488"/>
      <c r="Y924" s="1488"/>
      <c r="Z924" s="1488"/>
      <c r="AA924" s="1488"/>
      <c r="AB924" s="1488"/>
      <c r="AC924" s="1488"/>
      <c r="AD924" s="1488"/>
      <c r="AE924" s="1488"/>
      <c r="AF924" s="1488"/>
      <c r="AG924" s="1488"/>
      <c r="AH924" s="1451">
        <f t="shared" si="482"/>
        <v>0</v>
      </c>
      <c r="AI924" s="1488"/>
      <c r="AJ924" s="1488"/>
      <c r="AK924" s="1488"/>
      <c r="AL924" s="1488"/>
      <c r="AM924" s="1488"/>
      <c r="AN924" s="1488"/>
      <c r="AO924" s="1488"/>
      <c r="AP924" s="1488"/>
      <c r="AQ924" s="1488"/>
      <c r="AR924" s="1488"/>
      <c r="AS924" s="1488"/>
      <c r="AT924" s="1542"/>
      <c r="AU924" s="1599">
        <f t="shared" si="483"/>
        <v>0</v>
      </c>
      <c r="AV924" s="1544">
        <f t="shared" si="511"/>
        <v>0</v>
      </c>
      <c r="AW924" s="1452">
        <f t="shared" si="484"/>
        <v>0</v>
      </c>
      <c r="AX924" s="1452">
        <f t="shared" si="485"/>
        <v>0</v>
      </c>
      <c r="AY924" s="1452">
        <f t="shared" si="486"/>
        <v>0</v>
      </c>
      <c r="AZ924" s="1452">
        <f t="shared" si="487"/>
        <v>0</v>
      </c>
      <c r="BA924" s="1452">
        <f t="shared" si="488"/>
        <v>0</v>
      </c>
      <c r="BB924" s="1452">
        <f t="shared" si="489"/>
        <v>0</v>
      </c>
      <c r="BC924" s="1452">
        <f t="shared" si="490"/>
        <v>0</v>
      </c>
      <c r="BD924" s="1452">
        <f t="shared" si="491"/>
        <v>0</v>
      </c>
      <c r="BE924" s="1452">
        <f t="shared" si="492"/>
        <v>0</v>
      </c>
      <c r="BF924" s="1452">
        <f t="shared" si="493"/>
        <v>0</v>
      </c>
      <c r="BG924" s="1452">
        <f t="shared" si="494"/>
        <v>0</v>
      </c>
      <c r="BH924" s="1452">
        <f t="shared" si="495"/>
        <v>0</v>
      </c>
      <c r="BI924" s="1452">
        <f t="shared" si="512"/>
        <v>0</v>
      </c>
      <c r="BJ924" s="1452" t="str">
        <f t="shared" si="496"/>
        <v/>
      </c>
      <c r="BK924" s="1452" t="str">
        <f t="shared" si="497"/>
        <v/>
      </c>
      <c r="BL924" s="1452" t="str">
        <f t="shared" si="498"/>
        <v/>
      </c>
      <c r="BM924" s="1452" t="str">
        <f t="shared" si="499"/>
        <v/>
      </c>
      <c r="BN924" s="1452" t="str">
        <f t="shared" ca="1" si="500"/>
        <v/>
      </c>
      <c r="BO924" s="1452" t="str">
        <f t="shared" si="513"/>
        <v/>
      </c>
      <c r="BP924" s="1452" t="str">
        <f t="shared" si="501"/>
        <v/>
      </c>
      <c r="BQ924" s="1452" t="str">
        <f t="shared" si="502"/>
        <v/>
      </c>
      <c r="BR924" s="1452" t="str">
        <f t="shared" si="503"/>
        <v/>
      </c>
      <c r="BS924" s="1452" t="str">
        <f t="shared" si="504"/>
        <v/>
      </c>
      <c r="BT924" s="1452" t="str">
        <f t="shared" si="505"/>
        <v/>
      </c>
      <c r="BU924" s="1452" t="str">
        <f t="shared" si="506"/>
        <v/>
      </c>
      <c r="BV924" s="1452" t="str">
        <f t="shared" si="507"/>
        <v/>
      </c>
      <c r="BW924" s="1558">
        <f t="shared" ca="1" si="514"/>
        <v>0</v>
      </c>
    </row>
    <row r="925" spans="1:75" s="9" customFormat="1" ht="12.5">
      <c r="A925" s="1483" t="str">
        <f t="shared" si="508"/>
        <v>Public Health Wales Trust</v>
      </c>
      <c r="B925" s="1583"/>
      <c r="C925" s="1510"/>
      <c r="D925" s="1494"/>
      <c r="E925" s="1593"/>
      <c r="F925" s="1436"/>
      <c r="G925" s="1547">
        <f t="shared" si="509"/>
        <v>0</v>
      </c>
      <c r="H925" s="1484"/>
      <c r="I925" s="1547">
        <f t="shared" si="510"/>
        <v>0</v>
      </c>
      <c r="J925" s="1495"/>
      <c r="K925" s="1495"/>
      <c r="L925" s="1436"/>
      <c r="M925" s="1439"/>
      <c r="N925" s="1439"/>
      <c r="O925" s="1485"/>
      <c r="P925" s="1486"/>
      <c r="Q925" s="1486"/>
      <c r="R925" s="1487"/>
      <c r="S925" s="1444"/>
      <c r="T925" s="1444"/>
      <c r="U925" s="1444"/>
      <c r="V925" s="1488"/>
      <c r="W925" s="1488"/>
      <c r="X925" s="1488"/>
      <c r="Y925" s="1488"/>
      <c r="Z925" s="1488"/>
      <c r="AA925" s="1488"/>
      <c r="AB925" s="1488"/>
      <c r="AC925" s="1488"/>
      <c r="AD925" s="1488"/>
      <c r="AE925" s="1488"/>
      <c r="AF925" s="1488"/>
      <c r="AG925" s="1488"/>
      <c r="AH925" s="1451">
        <f t="shared" si="482"/>
        <v>0</v>
      </c>
      <c r="AI925" s="1488"/>
      <c r="AJ925" s="1488"/>
      <c r="AK925" s="1488"/>
      <c r="AL925" s="1488"/>
      <c r="AM925" s="1488"/>
      <c r="AN925" s="1488"/>
      <c r="AO925" s="1488"/>
      <c r="AP925" s="1488"/>
      <c r="AQ925" s="1488"/>
      <c r="AR925" s="1488"/>
      <c r="AS925" s="1488"/>
      <c r="AT925" s="1542"/>
      <c r="AU925" s="1599">
        <f t="shared" si="483"/>
        <v>0</v>
      </c>
      <c r="AV925" s="1544">
        <f t="shared" si="511"/>
        <v>0</v>
      </c>
      <c r="AW925" s="1452">
        <f t="shared" si="484"/>
        <v>0</v>
      </c>
      <c r="AX925" s="1452">
        <f t="shared" si="485"/>
        <v>0</v>
      </c>
      <c r="AY925" s="1452">
        <f t="shared" si="486"/>
        <v>0</v>
      </c>
      <c r="AZ925" s="1452">
        <f t="shared" si="487"/>
        <v>0</v>
      </c>
      <c r="BA925" s="1452">
        <f t="shared" si="488"/>
        <v>0</v>
      </c>
      <c r="BB925" s="1452">
        <f t="shared" si="489"/>
        <v>0</v>
      </c>
      <c r="BC925" s="1452">
        <f t="shared" si="490"/>
        <v>0</v>
      </c>
      <c r="BD925" s="1452">
        <f t="shared" si="491"/>
        <v>0</v>
      </c>
      <c r="BE925" s="1452">
        <f t="shared" si="492"/>
        <v>0</v>
      </c>
      <c r="BF925" s="1452">
        <f t="shared" si="493"/>
        <v>0</v>
      </c>
      <c r="BG925" s="1452">
        <f t="shared" si="494"/>
        <v>0</v>
      </c>
      <c r="BH925" s="1452">
        <f t="shared" si="495"/>
        <v>0</v>
      </c>
      <c r="BI925" s="1452">
        <f t="shared" si="512"/>
        <v>0</v>
      </c>
      <c r="BJ925" s="1452" t="str">
        <f t="shared" si="496"/>
        <v/>
      </c>
      <c r="BK925" s="1452" t="str">
        <f t="shared" si="497"/>
        <v/>
      </c>
      <c r="BL925" s="1452" t="str">
        <f t="shared" si="498"/>
        <v/>
      </c>
      <c r="BM925" s="1452" t="str">
        <f t="shared" si="499"/>
        <v/>
      </c>
      <c r="BN925" s="1452" t="str">
        <f t="shared" ca="1" si="500"/>
        <v/>
      </c>
      <c r="BO925" s="1452" t="str">
        <f t="shared" si="513"/>
        <v/>
      </c>
      <c r="BP925" s="1452" t="str">
        <f t="shared" si="501"/>
        <v/>
      </c>
      <c r="BQ925" s="1452" t="str">
        <f t="shared" si="502"/>
        <v/>
      </c>
      <c r="BR925" s="1452" t="str">
        <f t="shared" si="503"/>
        <v/>
      </c>
      <c r="BS925" s="1452" t="str">
        <f t="shared" si="504"/>
        <v/>
      </c>
      <c r="BT925" s="1452" t="str">
        <f t="shared" si="505"/>
        <v/>
      </c>
      <c r="BU925" s="1452" t="str">
        <f t="shared" si="506"/>
        <v/>
      </c>
      <c r="BV925" s="1452" t="str">
        <f t="shared" si="507"/>
        <v/>
      </c>
      <c r="BW925" s="1558">
        <f t="shared" ca="1" si="514"/>
        <v>0</v>
      </c>
    </row>
    <row r="926" spans="1:75" s="9" customFormat="1" ht="12.5">
      <c r="A926" s="1483" t="str">
        <f t="shared" si="508"/>
        <v>Public Health Wales Trust</v>
      </c>
      <c r="B926" s="1583"/>
      <c r="C926" s="1510"/>
      <c r="D926" s="1494"/>
      <c r="E926" s="1593"/>
      <c r="F926" s="1436"/>
      <c r="G926" s="1547">
        <f t="shared" si="509"/>
        <v>0</v>
      </c>
      <c r="H926" s="1484"/>
      <c r="I926" s="1547">
        <f t="shared" si="510"/>
        <v>0</v>
      </c>
      <c r="J926" s="1495"/>
      <c r="K926" s="1495"/>
      <c r="L926" s="1436"/>
      <c r="M926" s="1439"/>
      <c r="N926" s="1439"/>
      <c r="O926" s="1485"/>
      <c r="P926" s="1486"/>
      <c r="Q926" s="1486"/>
      <c r="R926" s="1487"/>
      <c r="S926" s="1444"/>
      <c r="T926" s="1444"/>
      <c r="U926" s="1444"/>
      <c r="V926" s="1488"/>
      <c r="W926" s="1488"/>
      <c r="X926" s="1488"/>
      <c r="Y926" s="1488"/>
      <c r="Z926" s="1488"/>
      <c r="AA926" s="1488"/>
      <c r="AB926" s="1488"/>
      <c r="AC926" s="1488"/>
      <c r="AD926" s="1488"/>
      <c r="AE926" s="1488"/>
      <c r="AF926" s="1488"/>
      <c r="AG926" s="1488"/>
      <c r="AH926" s="1451">
        <f t="shared" si="482"/>
        <v>0</v>
      </c>
      <c r="AI926" s="1488"/>
      <c r="AJ926" s="1488"/>
      <c r="AK926" s="1488"/>
      <c r="AL926" s="1488"/>
      <c r="AM926" s="1488"/>
      <c r="AN926" s="1488"/>
      <c r="AO926" s="1488"/>
      <c r="AP926" s="1488"/>
      <c r="AQ926" s="1488"/>
      <c r="AR926" s="1488"/>
      <c r="AS926" s="1488"/>
      <c r="AT926" s="1542"/>
      <c r="AU926" s="1599">
        <f t="shared" si="483"/>
        <v>0</v>
      </c>
      <c r="AV926" s="1544">
        <f t="shared" si="511"/>
        <v>0</v>
      </c>
      <c r="AW926" s="1452">
        <f t="shared" si="484"/>
        <v>0</v>
      </c>
      <c r="AX926" s="1452">
        <f t="shared" si="485"/>
        <v>0</v>
      </c>
      <c r="AY926" s="1452">
        <f t="shared" si="486"/>
        <v>0</v>
      </c>
      <c r="AZ926" s="1452">
        <f t="shared" si="487"/>
        <v>0</v>
      </c>
      <c r="BA926" s="1452">
        <f t="shared" si="488"/>
        <v>0</v>
      </c>
      <c r="BB926" s="1452">
        <f t="shared" si="489"/>
        <v>0</v>
      </c>
      <c r="BC926" s="1452">
        <f t="shared" si="490"/>
        <v>0</v>
      </c>
      <c r="BD926" s="1452">
        <f t="shared" si="491"/>
        <v>0</v>
      </c>
      <c r="BE926" s="1452">
        <f t="shared" si="492"/>
        <v>0</v>
      </c>
      <c r="BF926" s="1452">
        <f t="shared" si="493"/>
        <v>0</v>
      </c>
      <c r="BG926" s="1452">
        <f t="shared" si="494"/>
        <v>0</v>
      </c>
      <c r="BH926" s="1452">
        <f t="shared" si="495"/>
        <v>0</v>
      </c>
      <c r="BI926" s="1452">
        <f t="shared" si="512"/>
        <v>0</v>
      </c>
      <c r="BJ926" s="1452" t="str">
        <f t="shared" si="496"/>
        <v/>
      </c>
      <c r="BK926" s="1452" t="str">
        <f t="shared" si="497"/>
        <v/>
      </c>
      <c r="BL926" s="1452" t="str">
        <f t="shared" si="498"/>
        <v/>
      </c>
      <c r="BM926" s="1452" t="str">
        <f t="shared" si="499"/>
        <v/>
      </c>
      <c r="BN926" s="1452" t="str">
        <f t="shared" ca="1" si="500"/>
        <v/>
      </c>
      <c r="BO926" s="1452" t="str">
        <f t="shared" si="513"/>
        <v/>
      </c>
      <c r="BP926" s="1452" t="str">
        <f t="shared" si="501"/>
        <v/>
      </c>
      <c r="BQ926" s="1452" t="str">
        <f t="shared" si="502"/>
        <v/>
      </c>
      <c r="BR926" s="1452" t="str">
        <f t="shared" si="503"/>
        <v/>
      </c>
      <c r="BS926" s="1452" t="str">
        <f t="shared" si="504"/>
        <v/>
      </c>
      <c r="BT926" s="1452" t="str">
        <f t="shared" si="505"/>
        <v/>
      </c>
      <c r="BU926" s="1452" t="str">
        <f t="shared" si="506"/>
        <v/>
      </c>
      <c r="BV926" s="1452" t="str">
        <f t="shared" si="507"/>
        <v/>
      </c>
      <c r="BW926" s="1558">
        <f t="shared" ca="1" si="514"/>
        <v>0</v>
      </c>
    </row>
    <row r="927" spans="1:75" s="9" customFormat="1" ht="12.5">
      <c r="A927" s="1483" t="str">
        <f t="shared" si="508"/>
        <v>Public Health Wales Trust</v>
      </c>
      <c r="B927" s="1583"/>
      <c r="C927" s="1510"/>
      <c r="D927" s="1494"/>
      <c r="E927" s="1593"/>
      <c r="F927" s="1436"/>
      <c r="G927" s="1547">
        <f t="shared" si="509"/>
        <v>0</v>
      </c>
      <c r="H927" s="1484"/>
      <c r="I927" s="1547">
        <f t="shared" si="510"/>
        <v>0</v>
      </c>
      <c r="J927" s="1495"/>
      <c r="K927" s="1495"/>
      <c r="L927" s="1436"/>
      <c r="M927" s="1439"/>
      <c r="N927" s="1439"/>
      <c r="O927" s="1485"/>
      <c r="P927" s="1486"/>
      <c r="Q927" s="1486"/>
      <c r="R927" s="1487"/>
      <c r="S927" s="1444"/>
      <c r="T927" s="1444"/>
      <c r="U927" s="1444"/>
      <c r="V927" s="1488"/>
      <c r="W927" s="1488"/>
      <c r="X927" s="1488"/>
      <c r="Y927" s="1488"/>
      <c r="Z927" s="1488"/>
      <c r="AA927" s="1488"/>
      <c r="AB927" s="1488"/>
      <c r="AC927" s="1488"/>
      <c r="AD927" s="1488"/>
      <c r="AE927" s="1488"/>
      <c r="AF927" s="1488"/>
      <c r="AG927" s="1488"/>
      <c r="AH927" s="1451">
        <f t="shared" si="482"/>
        <v>0</v>
      </c>
      <c r="AI927" s="1488"/>
      <c r="AJ927" s="1488"/>
      <c r="AK927" s="1488"/>
      <c r="AL927" s="1488"/>
      <c r="AM927" s="1488"/>
      <c r="AN927" s="1488"/>
      <c r="AO927" s="1488"/>
      <c r="AP927" s="1488"/>
      <c r="AQ927" s="1488"/>
      <c r="AR927" s="1488"/>
      <c r="AS927" s="1488"/>
      <c r="AT927" s="1542"/>
      <c r="AU927" s="1599">
        <f t="shared" si="483"/>
        <v>0</v>
      </c>
      <c r="AV927" s="1544">
        <f t="shared" si="511"/>
        <v>0</v>
      </c>
      <c r="AW927" s="1452">
        <f t="shared" si="484"/>
        <v>0</v>
      </c>
      <c r="AX927" s="1452">
        <f t="shared" si="485"/>
        <v>0</v>
      </c>
      <c r="AY927" s="1452">
        <f t="shared" si="486"/>
        <v>0</v>
      </c>
      <c r="AZ927" s="1452">
        <f t="shared" si="487"/>
        <v>0</v>
      </c>
      <c r="BA927" s="1452">
        <f t="shared" si="488"/>
        <v>0</v>
      </c>
      <c r="BB927" s="1452">
        <f t="shared" si="489"/>
        <v>0</v>
      </c>
      <c r="BC927" s="1452">
        <f t="shared" si="490"/>
        <v>0</v>
      </c>
      <c r="BD927" s="1452">
        <f t="shared" si="491"/>
        <v>0</v>
      </c>
      <c r="BE927" s="1452">
        <f t="shared" si="492"/>
        <v>0</v>
      </c>
      <c r="BF927" s="1452">
        <f t="shared" si="493"/>
        <v>0</v>
      </c>
      <c r="BG927" s="1452">
        <f t="shared" si="494"/>
        <v>0</v>
      </c>
      <c r="BH927" s="1452">
        <f t="shared" si="495"/>
        <v>0</v>
      </c>
      <c r="BI927" s="1452">
        <f t="shared" si="512"/>
        <v>0</v>
      </c>
      <c r="BJ927" s="1452" t="str">
        <f t="shared" si="496"/>
        <v/>
      </c>
      <c r="BK927" s="1452" t="str">
        <f t="shared" si="497"/>
        <v/>
      </c>
      <c r="BL927" s="1452" t="str">
        <f t="shared" si="498"/>
        <v/>
      </c>
      <c r="BM927" s="1452" t="str">
        <f t="shared" si="499"/>
        <v/>
      </c>
      <c r="BN927" s="1452" t="str">
        <f t="shared" ca="1" si="500"/>
        <v/>
      </c>
      <c r="BO927" s="1452" t="str">
        <f t="shared" si="513"/>
        <v/>
      </c>
      <c r="BP927" s="1452" t="str">
        <f t="shared" si="501"/>
        <v/>
      </c>
      <c r="BQ927" s="1452" t="str">
        <f t="shared" si="502"/>
        <v/>
      </c>
      <c r="BR927" s="1452" t="str">
        <f t="shared" si="503"/>
        <v/>
      </c>
      <c r="BS927" s="1452" t="str">
        <f t="shared" si="504"/>
        <v/>
      </c>
      <c r="BT927" s="1452" t="str">
        <f t="shared" si="505"/>
        <v/>
      </c>
      <c r="BU927" s="1452" t="str">
        <f t="shared" si="506"/>
        <v/>
      </c>
      <c r="BV927" s="1452" t="str">
        <f t="shared" si="507"/>
        <v/>
      </c>
      <c r="BW927" s="1558">
        <f t="shared" ca="1" si="514"/>
        <v>0</v>
      </c>
    </row>
    <row r="928" spans="1:75" s="9" customFormat="1" ht="12.5">
      <c r="A928" s="1483" t="str">
        <f t="shared" si="508"/>
        <v>Public Health Wales Trust</v>
      </c>
      <c r="B928" s="1583"/>
      <c r="C928" s="1510"/>
      <c r="D928" s="1494"/>
      <c r="E928" s="1593"/>
      <c r="F928" s="1436"/>
      <c r="G928" s="1547">
        <f t="shared" si="509"/>
        <v>0</v>
      </c>
      <c r="H928" s="1484"/>
      <c r="I928" s="1547">
        <f t="shared" si="510"/>
        <v>0</v>
      </c>
      <c r="J928" s="1507"/>
      <c r="K928" s="1507"/>
      <c r="L928" s="1436"/>
      <c r="M928" s="1439"/>
      <c r="N928" s="1439"/>
      <c r="O928" s="1485"/>
      <c r="P928" s="1486"/>
      <c r="Q928" s="1486"/>
      <c r="R928" s="1487"/>
      <c r="S928" s="1444"/>
      <c r="T928" s="1444"/>
      <c r="U928" s="1444"/>
      <c r="V928" s="1488"/>
      <c r="W928" s="1488"/>
      <c r="X928" s="1488"/>
      <c r="Y928" s="1488"/>
      <c r="Z928" s="1488"/>
      <c r="AA928" s="1488"/>
      <c r="AB928" s="1488"/>
      <c r="AC928" s="1488"/>
      <c r="AD928" s="1488"/>
      <c r="AE928" s="1488"/>
      <c r="AF928" s="1488"/>
      <c r="AG928" s="1488"/>
      <c r="AH928" s="1451">
        <f t="shared" si="482"/>
        <v>0</v>
      </c>
      <c r="AI928" s="1488"/>
      <c r="AJ928" s="1488"/>
      <c r="AK928" s="1488"/>
      <c r="AL928" s="1488"/>
      <c r="AM928" s="1488"/>
      <c r="AN928" s="1488"/>
      <c r="AO928" s="1488"/>
      <c r="AP928" s="1488"/>
      <c r="AQ928" s="1488"/>
      <c r="AR928" s="1488"/>
      <c r="AS928" s="1488"/>
      <c r="AT928" s="1542"/>
      <c r="AU928" s="1599">
        <f t="shared" si="483"/>
        <v>0</v>
      </c>
      <c r="AV928" s="1544">
        <f t="shared" si="511"/>
        <v>0</v>
      </c>
      <c r="AW928" s="1452">
        <f t="shared" si="484"/>
        <v>0</v>
      </c>
      <c r="AX928" s="1452">
        <f t="shared" si="485"/>
        <v>0</v>
      </c>
      <c r="AY928" s="1452">
        <f t="shared" si="486"/>
        <v>0</v>
      </c>
      <c r="AZ928" s="1452">
        <f t="shared" si="487"/>
        <v>0</v>
      </c>
      <c r="BA928" s="1452">
        <f t="shared" si="488"/>
        <v>0</v>
      </c>
      <c r="BB928" s="1452">
        <f t="shared" si="489"/>
        <v>0</v>
      </c>
      <c r="BC928" s="1452">
        <f t="shared" si="490"/>
        <v>0</v>
      </c>
      <c r="BD928" s="1452">
        <f t="shared" si="491"/>
        <v>0</v>
      </c>
      <c r="BE928" s="1452">
        <f t="shared" si="492"/>
        <v>0</v>
      </c>
      <c r="BF928" s="1452">
        <f t="shared" si="493"/>
        <v>0</v>
      </c>
      <c r="BG928" s="1452">
        <f t="shared" si="494"/>
        <v>0</v>
      </c>
      <c r="BH928" s="1452">
        <f t="shared" si="495"/>
        <v>0</v>
      </c>
      <c r="BI928" s="1452">
        <f t="shared" si="512"/>
        <v>0</v>
      </c>
      <c r="BJ928" s="1452" t="str">
        <f t="shared" si="496"/>
        <v/>
      </c>
      <c r="BK928" s="1452" t="str">
        <f t="shared" si="497"/>
        <v/>
      </c>
      <c r="BL928" s="1452" t="str">
        <f t="shared" si="498"/>
        <v/>
      </c>
      <c r="BM928" s="1452" t="str">
        <f t="shared" si="499"/>
        <v/>
      </c>
      <c r="BN928" s="1452" t="str">
        <f t="shared" ca="1" si="500"/>
        <v/>
      </c>
      <c r="BO928" s="1452" t="str">
        <f t="shared" si="513"/>
        <v/>
      </c>
      <c r="BP928" s="1452" t="str">
        <f t="shared" si="501"/>
        <v/>
      </c>
      <c r="BQ928" s="1452" t="str">
        <f t="shared" si="502"/>
        <v/>
      </c>
      <c r="BR928" s="1452" t="str">
        <f t="shared" si="503"/>
        <v/>
      </c>
      <c r="BS928" s="1452" t="str">
        <f t="shared" si="504"/>
        <v/>
      </c>
      <c r="BT928" s="1452" t="str">
        <f t="shared" si="505"/>
        <v/>
      </c>
      <c r="BU928" s="1452" t="str">
        <f t="shared" si="506"/>
        <v/>
      </c>
      <c r="BV928" s="1452" t="str">
        <f t="shared" si="507"/>
        <v/>
      </c>
      <c r="BW928" s="1558">
        <f t="shared" ca="1" si="514"/>
        <v>0</v>
      </c>
    </row>
    <row r="929" spans="1:75" s="9" customFormat="1" ht="12.5">
      <c r="A929" s="1483" t="str">
        <f t="shared" si="508"/>
        <v>Public Health Wales Trust</v>
      </c>
      <c r="B929" s="1583"/>
      <c r="C929" s="1510"/>
      <c r="D929" s="1494"/>
      <c r="E929" s="1593"/>
      <c r="F929" s="1436"/>
      <c r="G929" s="1547">
        <f t="shared" si="509"/>
        <v>0</v>
      </c>
      <c r="H929" s="1484"/>
      <c r="I929" s="1547">
        <f t="shared" si="510"/>
        <v>0</v>
      </c>
      <c r="J929" s="1508"/>
      <c r="K929" s="1508"/>
      <c r="L929" s="1436"/>
      <c r="M929" s="1439"/>
      <c r="N929" s="1439"/>
      <c r="O929" s="1485"/>
      <c r="P929" s="1486"/>
      <c r="Q929" s="1486"/>
      <c r="R929" s="1487"/>
      <c r="S929" s="1444"/>
      <c r="T929" s="1444"/>
      <c r="U929" s="1444"/>
      <c r="V929" s="1488"/>
      <c r="W929" s="1488"/>
      <c r="X929" s="1488"/>
      <c r="Y929" s="1488"/>
      <c r="Z929" s="1488"/>
      <c r="AA929" s="1488"/>
      <c r="AB929" s="1488"/>
      <c r="AC929" s="1488"/>
      <c r="AD929" s="1488"/>
      <c r="AE929" s="1488"/>
      <c r="AF929" s="1488"/>
      <c r="AG929" s="1488"/>
      <c r="AH929" s="1451">
        <f t="shared" si="482"/>
        <v>0</v>
      </c>
      <c r="AI929" s="1488"/>
      <c r="AJ929" s="1488"/>
      <c r="AK929" s="1488"/>
      <c r="AL929" s="1488"/>
      <c r="AM929" s="1488"/>
      <c r="AN929" s="1488"/>
      <c r="AO929" s="1488"/>
      <c r="AP929" s="1488"/>
      <c r="AQ929" s="1488"/>
      <c r="AR929" s="1488"/>
      <c r="AS929" s="1488"/>
      <c r="AT929" s="1542"/>
      <c r="AU929" s="1599">
        <f t="shared" si="483"/>
        <v>0</v>
      </c>
      <c r="AV929" s="1544">
        <f t="shared" si="511"/>
        <v>0</v>
      </c>
      <c r="AW929" s="1452">
        <f t="shared" si="484"/>
        <v>0</v>
      </c>
      <c r="AX929" s="1452">
        <f t="shared" si="485"/>
        <v>0</v>
      </c>
      <c r="AY929" s="1452">
        <f t="shared" si="486"/>
        <v>0</v>
      </c>
      <c r="AZ929" s="1452">
        <f t="shared" si="487"/>
        <v>0</v>
      </c>
      <c r="BA929" s="1452">
        <f t="shared" si="488"/>
        <v>0</v>
      </c>
      <c r="BB929" s="1452">
        <f t="shared" si="489"/>
        <v>0</v>
      </c>
      <c r="BC929" s="1452">
        <f t="shared" si="490"/>
        <v>0</v>
      </c>
      <c r="BD929" s="1452">
        <f t="shared" si="491"/>
        <v>0</v>
      </c>
      <c r="BE929" s="1452">
        <f t="shared" si="492"/>
        <v>0</v>
      </c>
      <c r="BF929" s="1452">
        <f t="shared" si="493"/>
        <v>0</v>
      </c>
      <c r="BG929" s="1452">
        <f t="shared" si="494"/>
        <v>0</v>
      </c>
      <c r="BH929" s="1452">
        <f t="shared" si="495"/>
        <v>0</v>
      </c>
      <c r="BI929" s="1452">
        <f t="shared" si="512"/>
        <v>0</v>
      </c>
      <c r="BJ929" s="1452" t="str">
        <f t="shared" si="496"/>
        <v/>
      </c>
      <c r="BK929" s="1452" t="str">
        <f t="shared" si="497"/>
        <v/>
      </c>
      <c r="BL929" s="1452" t="str">
        <f t="shared" si="498"/>
        <v/>
      </c>
      <c r="BM929" s="1452" t="str">
        <f t="shared" si="499"/>
        <v/>
      </c>
      <c r="BN929" s="1452" t="str">
        <f t="shared" ca="1" si="500"/>
        <v/>
      </c>
      <c r="BO929" s="1452" t="str">
        <f t="shared" si="513"/>
        <v/>
      </c>
      <c r="BP929" s="1452" t="str">
        <f t="shared" si="501"/>
        <v/>
      </c>
      <c r="BQ929" s="1452" t="str">
        <f t="shared" si="502"/>
        <v/>
      </c>
      <c r="BR929" s="1452" t="str">
        <f t="shared" si="503"/>
        <v/>
      </c>
      <c r="BS929" s="1452" t="str">
        <f t="shared" si="504"/>
        <v/>
      </c>
      <c r="BT929" s="1452" t="str">
        <f t="shared" si="505"/>
        <v/>
      </c>
      <c r="BU929" s="1452" t="str">
        <f t="shared" si="506"/>
        <v/>
      </c>
      <c r="BV929" s="1452" t="str">
        <f t="shared" si="507"/>
        <v/>
      </c>
      <c r="BW929" s="1558">
        <f t="shared" ca="1" si="514"/>
        <v>0</v>
      </c>
    </row>
    <row r="930" spans="1:75" s="9" customFormat="1" ht="12.5">
      <c r="A930" s="1483" t="str">
        <f t="shared" si="508"/>
        <v>Public Health Wales Trust</v>
      </c>
      <c r="B930" s="1583"/>
      <c r="C930" s="1510"/>
      <c r="D930" s="1494"/>
      <c r="E930" s="1593"/>
      <c r="F930" s="1436"/>
      <c r="G930" s="1547">
        <f t="shared" si="509"/>
        <v>0</v>
      </c>
      <c r="H930" s="1484"/>
      <c r="I930" s="1547">
        <f t="shared" si="510"/>
        <v>0</v>
      </c>
      <c r="J930" s="1495"/>
      <c r="K930" s="1495"/>
      <c r="L930" s="1436"/>
      <c r="M930" s="1439"/>
      <c r="N930" s="1439"/>
      <c r="O930" s="1485"/>
      <c r="P930" s="1486"/>
      <c r="Q930" s="1486"/>
      <c r="R930" s="1487"/>
      <c r="S930" s="1444"/>
      <c r="T930" s="1444"/>
      <c r="U930" s="1444"/>
      <c r="V930" s="1488"/>
      <c r="W930" s="1488"/>
      <c r="X930" s="1488"/>
      <c r="Y930" s="1488"/>
      <c r="Z930" s="1488"/>
      <c r="AA930" s="1488"/>
      <c r="AB930" s="1488"/>
      <c r="AC930" s="1488"/>
      <c r="AD930" s="1488"/>
      <c r="AE930" s="1488"/>
      <c r="AF930" s="1488"/>
      <c r="AG930" s="1488"/>
      <c r="AH930" s="1451">
        <f t="shared" si="482"/>
        <v>0</v>
      </c>
      <c r="AI930" s="1488"/>
      <c r="AJ930" s="1488"/>
      <c r="AK930" s="1488"/>
      <c r="AL930" s="1488"/>
      <c r="AM930" s="1488"/>
      <c r="AN930" s="1488"/>
      <c r="AO930" s="1488"/>
      <c r="AP930" s="1488"/>
      <c r="AQ930" s="1488"/>
      <c r="AR930" s="1488"/>
      <c r="AS930" s="1488"/>
      <c r="AT930" s="1542"/>
      <c r="AU930" s="1599">
        <f t="shared" si="483"/>
        <v>0</v>
      </c>
      <c r="AV930" s="1544">
        <f t="shared" si="511"/>
        <v>0</v>
      </c>
      <c r="AW930" s="1452">
        <f t="shared" si="484"/>
        <v>0</v>
      </c>
      <c r="AX930" s="1452">
        <f t="shared" si="485"/>
        <v>0</v>
      </c>
      <c r="AY930" s="1452">
        <f t="shared" si="486"/>
        <v>0</v>
      </c>
      <c r="AZ930" s="1452">
        <f t="shared" si="487"/>
        <v>0</v>
      </c>
      <c r="BA930" s="1452">
        <f t="shared" si="488"/>
        <v>0</v>
      </c>
      <c r="BB930" s="1452">
        <f t="shared" si="489"/>
        <v>0</v>
      </c>
      <c r="BC930" s="1452">
        <f t="shared" si="490"/>
        <v>0</v>
      </c>
      <c r="BD930" s="1452">
        <f t="shared" si="491"/>
        <v>0</v>
      </c>
      <c r="BE930" s="1452">
        <f t="shared" si="492"/>
        <v>0</v>
      </c>
      <c r="BF930" s="1452">
        <f t="shared" si="493"/>
        <v>0</v>
      </c>
      <c r="BG930" s="1452">
        <f t="shared" si="494"/>
        <v>0</v>
      </c>
      <c r="BH930" s="1452">
        <f t="shared" si="495"/>
        <v>0</v>
      </c>
      <c r="BI930" s="1452">
        <f t="shared" si="512"/>
        <v>0</v>
      </c>
      <c r="BJ930" s="1452" t="str">
        <f t="shared" si="496"/>
        <v/>
      </c>
      <c r="BK930" s="1452" t="str">
        <f t="shared" si="497"/>
        <v/>
      </c>
      <c r="BL930" s="1452" t="str">
        <f t="shared" si="498"/>
        <v/>
      </c>
      <c r="BM930" s="1452" t="str">
        <f t="shared" si="499"/>
        <v/>
      </c>
      <c r="BN930" s="1452" t="str">
        <f t="shared" ca="1" si="500"/>
        <v/>
      </c>
      <c r="BO930" s="1452" t="str">
        <f t="shared" si="513"/>
        <v/>
      </c>
      <c r="BP930" s="1452" t="str">
        <f t="shared" si="501"/>
        <v/>
      </c>
      <c r="BQ930" s="1452" t="str">
        <f t="shared" si="502"/>
        <v/>
      </c>
      <c r="BR930" s="1452" t="str">
        <f t="shared" si="503"/>
        <v/>
      </c>
      <c r="BS930" s="1452" t="str">
        <f t="shared" si="504"/>
        <v/>
      </c>
      <c r="BT930" s="1452" t="str">
        <f t="shared" si="505"/>
        <v/>
      </c>
      <c r="BU930" s="1452" t="str">
        <f t="shared" si="506"/>
        <v/>
      </c>
      <c r="BV930" s="1452" t="str">
        <f t="shared" si="507"/>
        <v/>
      </c>
      <c r="BW930" s="1558">
        <f t="shared" ca="1" si="514"/>
        <v>0</v>
      </c>
    </row>
    <row r="931" spans="1:75" s="9" customFormat="1" ht="12.5">
      <c r="A931" s="1483" t="str">
        <f t="shared" si="508"/>
        <v>Public Health Wales Trust</v>
      </c>
      <c r="B931" s="1583"/>
      <c r="C931" s="1510"/>
      <c r="D931" s="1494"/>
      <c r="E931" s="1593"/>
      <c r="F931" s="1436"/>
      <c r="G931" s="1547">
        <f t="shared" si="509"/>
        <v>0</v>
      </c>
      <c r="H931" s="1484"/>
      <c r="I931" s="1547">
        <f t="shared" si="510"/>
        <v>0</v>
      </c>
      <c r="J931" s="1495"/>
      <c r="K931" s="1495"/>
      <c r="L931" s="1436"/>
      <c r="M931" s="1439"/>
      <c r="N931" s="1439"/>
      <c r="O931" s="1485"/>
      <c r="P931" s="1486"/>
      <c r="Q931" s="1486"/>
      <c r="R931" s="1487"/>
      <c r="S931" s="1444"/>
      <c r="T931" s="1444"/>
      <c r="U931" s="1444"/>
      <c r="V931" s="1488"/>
      <c r="W931" s="1488"/>
      <c r="X931" s="1488"/>
      <c r="Y931" s="1488"/>
      <c r="Z931" s="1488"/>
      <c r="AA931" s="1488"/>
      <c r="AB931" s="1488"/>
      <c r="AC931" s="1488"/>
      <c r="AD931" s="1488"/>
      <c r="AE931" s="1488"/>
      <c r="AF931" s="1488"/>
      <c r="AG931" s="1488"/>
      <c r="AH931" s="1451">
        <f t="shared" si="482"/>
        <v>0</v>
      </c>
      <c r="AI931" s="1488"/>
      <c r="AJ931" s="1488"/>
      <c r="AK931" s="1488"/>
      <c r="AL931" s="1488"/>
      <c r="AM931" s="1488"/>
      <c r="AN931" s="1488"/>
      <c r="AO931" s="1488"/>
      <c r="AP931" s="1488"/>
      <c r="AQ931" s="1488"/>
      <c r="AR931" s="1488"/>
      <c r="AS931" s="1488"/>
      <c r="AT931" s="1542"/>
      <c r="AU931" s="1599">
        <f t="shared" si="483"/>
        <v>0</v>
      </c>
      <c r="AV931" s="1544">
        <f t="shared" si="511"/>
        <v>0</v>
      </c>
      <c r="AW931" s="1452">
        <f t="shared" si="484"/>
        <v>0</v>
      </c>
      <c r="AX931" s="1452">
        <f t="shared" si="485"/>
        <v>0</v>
      </c>
      <c r="AY931" s="1452">
        <f t="shared" si="486"/>
        <v>0</v>
      </c>
      <c r="AZ931" s="1452">
        <f t="shared" si="487"/>
        <v>0</v>
      </c>
      <c r="BA931" s="1452">
        <f t="shared" si="488"/>
        <v>0</v>
      </c>
      <c r="BB931" s="1452">
        <f t="shared" si="489"/>
        <v>0</v>
      </c>
      <c r="BC931" s="1452">
        <f t="shared" si="490"/>
        <v>0</v>
      </c>
      <c r="BD931" s="1452">
        <f t="shared" si="491"/>
        <v>0</v>
      </c>
      <c r="BE931" s="1452">
        <f t="shared" si="492"/>
        <v>0</v>
      </c>
      <c r="BF931" s="1452">
        <f t="shared" si="493"/>
        <v>0</v>
      </c>
      <c r="BG931" s="1452">
        <f t="shared" si="494"/>
        <v>0</v>
      </c>
      <c r="BH931" s="1452">
        <f t="shared" si="495"/>
        <v>0</v>
      </c>
      <c r="BI931" s="1452">
        <f t="shared" si="512"/>
        <v>0</v>
      </c>
      <c r="BJ931" s="1452" t="str">
        <f t="shared" si="496"/>
        <v/>
      </c>
      <c r="BK931" s="1452" t="str">
        <f t="shared" si="497"/>
        <v/>
      </c>
      <c r="BL931" s="1452" t="str">
        <f t="shared" si="498"/>
        <v/>
      </c>
      <c r="BM931" s="1452" t="str">
        <f t="shared" si="499"/>
        <v/>
      </c>
      <c r="BN931" s="1452" t="str">
        <f t="shared" ca="1" si="500"/>
        <v/>
      </c>
      <c r="BO931" s="1452" t="str">
        <f t="shared" si="513"/>
        <v/>
      </c>
      <c r="BP931" s="1452" t="str">
        <f t="shared" si="501"/>
        <v/>
      </c>
      <c r="BQ931" s="1452" t="str">
        <f t="shared" si="502"/>
        <v/>
      </c>
      <c r="BR931" s="1452" t="str">
        <f t="shared" si="503"/>
        <v/>
      </c>
      <c r="BS931" s="1452" t="str">
        <f t="shared" si="504"/>
        <v/>
      </c>
      <c r="BT931" s="1452" t="str">
        <f t="shared" si="505"/>
        <v/>
      </c>
      <c r="BU931" s="1452" t="str">
        <f t="shared" si="506"/>
        <v/>
      </c>
      <c r="BV931" s="1452" t="str">
        <f t="shared" si="507"/>
        <v/>
      </c>
      <c r="BW931" s="1558">
        <f t="shared" ca="1" si="514"/>
        <v>0</v>
      </c>
    </row>
    <row r="932" spans="1:75" s="9" customFormat="1" ht="12.5">
      <c r="A932" s="1483" t="str">
        <f t="shared" si="508"/>
        <v>Public Health Wales Trust</v>
      </c>
      <c r="B932" s="1583"/>
      <c r="C932" s="1510"/>
      <c r="D932" s="1494"/>
      <c r="E932" s="1593"/>
      <c r="F932" s="1436"/>
      <c r="G932" s="1547">
        <f t="shared" si="509"/>
        <v>0</v>
      </c>
      <c r="H932" s="1484"/>
      <c r="I932" s="1547">
        <f t="shared" si="510"/>
        <v>0</v>
      </c>
      <c r="J932" s="1506"/>
      <c r="K932" s="1506"/>
      <c r="L932" s="1436"/>
      <c r="M932" s="1439"/>
      <c r="N932" s="1439"/>
      <c r="O932" s="1485"/>
      <c r="P932" s="1486"/>
      <c r="Q932" s="1486"/>
      <c r="R932" s="1487"/>
      <c r="S932" s="1444"/>
      <c r="T932" s="1444"/>
      <c r="U932" s="1444"/>
      <c r="V932" s="1488"/>
      <c r="W932" s="1488"/>
      <c r="X932" s="1488"/>
      <c r="Y932" s="1488"/>
      <c r="Z932" s="1488"/>
      <c r="AA932" s="1488"/>
      <c r="AB932" s="1488"/>
      <c r="AC932" s="1488"/>
      <c r="AD932" s="1488"/>
      <c r="AE932" s="1488"/>
      <c r="AF932" s="1488"/>
      <c r="AG932" s="1488"/>
      <c r="AH932" s="1451">
        <f t="shared" si="482"/>
        <v>0</v>
      </c>
      <c r="AI932" s="1488"/>
      <c r="AJ932" s="1488"/>
      <c r="AK932" s="1488"/>
      <c r="AL932" s="1488"/>
      <c r="AM932" s="1488"/>
      <c r="AN932" s="1488"/>
      <c r="AO932" s="1488"/>
      <c r="AP932" s="1488"/>
      <c r="AQ932" s="1488"/>
      <c r="AR932" s="1488"/>
      <c r="AS932" s="1488"/>
      <c r="AT932" s="1542"/>
      <c r="AU932" s="1599">
        <f t="shared" si="483"/>
        <v>0</v>
      </c>
      <c r="AV932" s="1544">
        <f t="shared" si="511"/>
        <v>0</v>
      </c>
      <c r="AW932" s="1452">
        <f t="shared" si="484"/>
        <v>0</v>
      </c>
      <c r="AX932" s="1452">
        <f t="shared" si="485"/>
        <v>0</v>
      </c>
      <c r="AY932" s="1452">
        <f t="shared" si="486"/>
        <v>0</v>
      </c>
      <c r="AZ932" s="1452">
        <f t="shared" si="487"/>
        <v>0</v>
      </c>
      <c r="BA932" s="1452">
        <f t="shared" si="488"/>
        <v>0</v>
      </c>
      <c r="BB932" s="1452">
        <f t="shared" si="489"/>
        <v>0</v>
      </c>
      <c r="BC932" s="1452">
        <f t="shared" si="490"/>
        <v>0</v>
      </c>
      <c r="BD932" s="1452">
        <f t="shared" si="491"/>
        <v>0</v>
      </c>
      <c r="BE932" s="1452">
        <f t="shared" si="492"/>
        <v>0</v>
      </c>
      <c r="BF932" s="1452">
        <f t="shared" si="493"/>
        <v>0</v>
      </c>
      <c r="BG932" s="1452">
        <f t="shared" si="494"/>
        <v>0</v>
      </c>
      <c r="BH932" s="1452">
        <f t="shared" si="495"/>
        <v>0</v>
      </c>
      <c r="BI932" s="1452">
        <f t="shared" si="512"/>
        <v>0</v>
      </c>
      <c r="BJ932" s="1452" t="str">
        <f t="shared" si="496"/>
        <v/>
      </c>
      <c r="BK932" s="1452" t="str">
        <f t="shared" si="497"/>
        <v/>
      </c>
      <c r="BL932" s="1452" t="str">
        <f t="shared" si="498"/>
        <v/>
      </c>
      <c r="BM932" s="1452" t="str">
        <f t="shared" si="499"/>
        <v/>
      </c>
      <c r="BN932" s="1452" t="str">
        <f t="shared" ca="1" si="500"/>
        <v/>
      </c>
      <c r="BO932" s="1452" t="str">
        <f t="shared" si="513"/>
        <v/>
      </c>
      <c r="BP932" s="1452" t="str">
        <f t="shared" si="501"/>
        <v/>
      </c>
      <c r="BQ932" s="1452" t="str">
        <f t="shared" si="502"/>
        <v/>
      </c>
      <c r="BR932" s="1452" t="str">
        <f t="shared" si="503"/>
        <v/>
      </c>
      <c r="BS932" s="1452" t="str">
        <f t="shared" si="504"/>
        <v/>
      </c>
      <c r="BT932" s="1452" t="str">
        <f t="shared" si="505"/>
        <v/>
      </c>
      <c r="BU932" s="1452" t="str">
        <f t="shared" si="506"/>
        <v/>
      </c>
      <c r="BV932" s="1452" t="str">
        <f t="shared" si="507"/>
        <v/>
      </c>
      <c r="BW932" s="1558">
        <f t="shared" ca="1" si="514"/>
        <v>0</v>
      </c>
    </row>
    <row r="933" spans="1:75" s="9" customFormat="1" ht="12.5">
      <c r="A933" s="1483" t="str">
        <f t="shared" si="508"/>
        <v>Public Health Wales Trust</v>
      </c>
      <c r="B933" s="1583"/>
      <c r="C933" s="1510"/>
      <c r="D933" s="1494"/>
      <c r="E933" s="1593"/>
      <c r="F933" s="1436"/>
      <c r="G933" s="1547">
        <f t="shared" si="509"/>
        <v>0</v>
      </c>
      <c r="H933" s="1484"/>
      <c r="I933" s="1547">
        <f t="shared" si="510"/>
        <v>0</v>
      </c>
      <c r="J933" s="1495"/>
      <c r="K933" s="1495"/>
      <c r="L933" s="1436"/>
      <c r="M933" s="1439"/>
      <c r="N933" s="1439"/>
      <c r="O933" s="1485"/>
      <c r="P933" s="1486"/>
      <c r="Q933" s="1486"/>
      <c r="R933" s="1487"/>
      <c r="S933" s="1444"/>
      <c r="T933" s="1444"/>
      <c r="U933" s="1444"/>
      <c r="V933" s="1488"/>
      <c r="W933" s="1488"/>
      <c r="X933" s="1488"/>
      <c r="Y933" s="1488"/>
      <c r="Z933" s="1488"/>
      <c r="AA933" s="1488"/>
      <c r="AB933" s="1488"/>
      <c r="AC933" s="1488"/>
      <c r="AD933" s="1488"/>
      <c r="AE933" s="1488"/>
      <c r="AF933" s="1488"/>
      <c r="AG933" s="1488"/>
      <c r="AH933" s="1451">
        <f t="shared" si="482"/>
        <v>0</v>
      </c>
      <c r="AI933" s="1488"/>
      <c r="AJ933" s="1488"/>
      <c r="AK933" s="1488"/>
      <c r="AL933" s="1488"/>
      <c r="AM933" s="1488"/>
      <c r="AN933" s="1488"/>
      <c r="AO933" s="1488"/>
      <c r="AP933" s="1488"/>
      <c r="AQ933" s="1488"/>
      <c r="AR933" s="1488"/>
      <c r="AS933" s="1488"/>
      <c r="AT933" s="1542"/>
      <c r="AU933" s="1599">
        <f t="shared" si="483"/>
        <v>0</v>
      </c>
      <c r="AV933" s="1544">
        <f t="shared" si="511"/>
        <v>0</v>
      </c>
      <c r="AW933" s="1452">
        <f t="shared" si="484"/>
        <v>0</v>
      </c>
      <c r="AX933" s="1452">
        <f t="shared" si="485"/>
        <v>0</v>
      </c>
      <c r="AY933" s="1452">
        <f t="shared" si="486"/>
        <v>0</v>
      </c>
      <c r="AZ933" s="1452">
        <f t="shared" si="487"/>
        <v>0</v>
      </c>
      <c r="BA933" s="1452">
        <f t="shared" si="488"/>
        <v>0</v>
      </c>
      <c r="BB933" s="1452">
        <f t="shared" si="489"/>
        <v>0</v>
      </c>
      <c r="BC933" s="1452">
        <f t="shared" si="490"/>
        <v>0</v>
      </c>
      <c r="BD933" s="1452">
        <f t="shared" si="491"/>
        <v>0</v>
      </c>
      <c r="BE933" s="1452">
        <f t="shared" si="492"/>
        <v>0</v>
      </c>
      <c r="BF933" s="1452">
        <f t="shared" si="493"/>
        <v>0</v>
      </c>
      <c r="BG933" s="1452">
        <f t="shared" si="494"/>
        <v>0</v>
      </c>
      <c r="BH933" s="1452">
        <f t="shared" si="495"/>
        <v>0</v>
      </c>
      <c r="BI933" s="1452">
        <f t="shared" si="512"/>
        <v>0</v>
      </c>
      <c r="BJ933" s="1452" t="str">
        <f t="shared" si="496"/>
        <v/>
      </c>
      <c r="BK933" s="1452" t="str">
        <f t="shared" si="497"/>
        <v/>
      </c>
      <c r="BL933" s="1452" t="str">
        <f t="shared" si="498"/>
        <v/>
      </c>
      <c r="BM933" s="1452" t="str">
        <f t="shared" si="499"/>
        <v/>
      </c>
      <c r="BN933" s="1452" t="str">
        <f t="shared" ca="1" si="500"/>
        <v/>
      </c>
      <c r="BO933" s="1452" t="str">
        <f t="shared" si="513"/>
        <v/>
      </c>
      <c r="BP933" s="1452" t="str">
        <f t="shared" si="501"/>
        <v/>
      </c>
      <c r="BQ933" s="1452" t="str">
        <f t="shared" si="502"/>
        <v/>
      </c>
      <c r="BR933" s="1452" t="str">
        <f t="shared" si="503"/>
        <v/>
      </c>
      <c r="BS933" s="1452" t="str">
        <f t="shared" si="504"/>
        <v/>
      </c>
      <c r="BT933" s="1452" t="str">
        <f t="shared" si="505"/>
        <v/>
      </c>
      <c r="BU933" s="1452" t="str">
        <f t="shared" si="506"/>
        <v/>
      </c>
      <c r="BV933" s="1452" t="str">
        <f t="shared" si="507"/>
        <v/>
      </c>
      <c r="BW933" s="1558">
        <f t="shared" ca="1" si="514"/>
        <v>0</v>
      </c>
    </row>
    <row r="934" spans="1:75" s="9" customFormat="1" ht="12.5">
      <c r="A934" s="1483" t="str">
        <f t="shared" si="508"/>
        <v>Public Health Wales Trust</v>
      </c>
      <c r="B934" s="1583"/>
      <c r="C934" s="1583"/>
      <c r="D934" s="1509"/>
      <c r="E934" s="1436"/>
      <c r="F934" s="1436"/>
      <c r="G934" s="1547">
        <f t="shared" si="509"/>
        <v>0</v>
      </c>
      <c r="H934" s="1484"/>
      <c r="I934" s="1547">
        <f t="shared" si="510"/>
        <v>0</v>
      </c>
      <c r="J934" s="1495"/>
      <c r="K934" s="1495"/>
      <c r="L934" s="1436"/>
      <c r="M934" s="1439"/>
      <c r="N934" s="1439"/>
      <c r="O934" s="1485"/>
      <c r="P934" s="1486"/>
      <c r="Q934" s="1486"/>
      <c r="R934" s="1487"/>
      <c r="S934" s="1444"/>
      <c r="T934" s="1444"/>
      <c r="U934" s="1444"/>
      <c r="V934" s="1488"/>
      <c r="W934" s="1488"/>
      <c r="X934" s="1488"/>
      <c r="Y934" s="1488"/>
      <c r="Z934" s="1488"/>
      <c r="AA934" s="1488"/>
      <c r="AB934" s="1488"/>
      <c r="AC934" s="1488"/>
      <c r="AD934" s="1488"/>
      <c r="AE934" s="1488"/>
      <c r="AF934" s="1488"/>
      <c r="AG934" s="1488"/>
      <c r="AH934" s="1451">
        <f t="shared" si="482"/>
        <v>0</v>
      </c>
      <c r="AI934" s="1488"/>
      <c r="AJ934" s="1488"/>
      <c r="AK934" s="1488"/>
      <c r="AL934" s="1488"/>
      <c r="AM934" s="1488"/>
      <c r="AN934" s="1488"/>
      <c r="AO934" s="1488"/>
      <c r="AP934" s="1488"/>
      <c r="AQ934" s="1488"/>
      <c r="AR934" s="1488"/>
      <c r="AS934" s="1488"/>
      <c r="AT934" s="1542"/>
      <c r="AU934" s="1599">
        <f t="shared" si="483"/>
        <v>0</v>
      </c>
      <c r="AV934" s="1544">
        <f t="shared" si="511"/>
        <v>0</v>
      </c>
      <c r="AW934" s="1452">
        <f t="shared" si="484"/>
        <v>0</v>
      </c>
      <c r="AX934" s="1452">
        <f t="shared" si="485"/>
        <v>0</v>
      </c>
      <c r="AY934" s="1452">
        <f t="shared" si="486"/>
        <v>0</v>
      </c>
      <c r="AZ934" s="1452">
        <f t="shared" si="487"/>
        <v>0</v>
      </c>
      <c r="BA934" s="1452">
        <f t="shared" si="488"/>
        <v>0</v>
      </c>
      <c r="BB934" s="1452">
        <f t="shared" si="489"/>
        <v>0</v>
      </c>
      <c r="BC934" s="1452">
        <f t="shared" si="490"/>
        <v>0</v>
      </c>
      <c r="BD934" s="1452">
        <f t="shared" si="491"/>
        <v>0</v>
      </c>
      <c r="BE934" s="1452">
        <f t="shared" si="492"/>
        <v>0</v>
      </c>
      <c r="BF934" s="1452">
        <f t="shared" si="493"/>
        <v>0</v>
      </c>
      <c r="BG934" s="1452">
        <f t="shared" si="494"/>
        <v>0</v>
      </c>
      <c r="BH934" s="1452">
        <f t="shared" si="495"/>
        <v>0</v>
      </c>
      <c r="BI934" s="1452">
        <f t="shared" si="512"/>
        <v>0</v>
      </c>
      <c r="BJ934" s="1452" t="str">
        <f t="shared" si="496"/>
        <v/>
      </c>
      <c r="BK934" s="1452" t="str">
        <f t="shared" si="497"/>
        <v/>
      </c>
      <c r="BL934" s="1452" t="str">
        <f t="shared" si="498"/>
        <v/>
      </c>
      <c r="BM934" s="1452" t="str">
        <f t="shared" si="499"/>
        <v/>
      </c>
      <c r="BN934" s="1452" t="str">
        <f t="shared" ca="1" si="500"/>
        <v/>
      </c>
      <c r="BO934" s="1452" t="str">
        <f t="shared" si="513"/>
        <v/>
      </c>
      <c r="BP934" s="1452" t="str">
        <f t="shared" si="501"/>
        <v/>
      </c>
      <c r="BQ934" s="1452" t="str">
        <f t="shared" si="502"/>
        <v/>
      </c>
      <c r="BR934" s="1452" t="str">
        <f t="shared" si="503"/>
        <v/>
      </c>
      <c r="BS934" s="1452" t="str">
        <f t="shared" si="504"/>
        <v/>
      </c>
      <c r="BT934" s="1452" t="str">
        <f t="shared" si="505"/>
        <v/>
      </c>
      <c r="BU934" s="1452" t="str">
        <f t="shared" si="506"/>
        <v/>
      </c>
      <c r="BV934" s="1452" t="str">
        <f t="shared" si="507"/>
        <v/>
      </c>
      <c r="BW934" s="1558">
        <f t="shared" ca="1" si="514"/>
        <v>0</v>
      </c>
    </row>
    <row r="935" spans="1:75" s="9" customFormat="1" ht="12.5">
      <c r="A935" s="1483" t="str">
        <f t="shared" si="508"/>
        <v>Public Health Wales Trust</v>
      </c>
      <c r="B935" s="1583"/>
      <c r="C935" s="1583"/>
      <c r="D935" s="1509"/>
      <c r="E935" s="1436"/>
      <c r="F935" s="1436"/>
      <c r="G935" s="1547">
        <f t="shared" si="509"/>
        <v>0</v>
      </c>
      <c r="H935" s="1484"/>
      <c r="I935" s="1547">
        <f t="shared" si="510"/>
        <v>0</v>
      </c>
      <c r="J935" s="1495"/>
      <c r="K935" s="1495"/>
      <c r="L935" s="1436"/>
      <c r="M935" s="1439"/>
      <c r="N935" s="1439"/>
      <c r="O935" s="1485"/>
      <c r="P935" s="1486"/>
      <c r="Q935" s="1486"/>
      <c r="R935" s="1487"/>
      <c r="S935" s="1444"/>
      <c r="T935" s="1444"/>
      <c r="U935" s="1444"/>
      <c r="V935" s="1488"/>
      <c r="W935" s="1488"/>
      <c r="X935" s="1488"/>
      <c r="Y935" s="1488"/>
      <c r="Z935" s="1488"/>
      <c r="AA935" s="1488"/>
      <c r="AB935" s="1488"/>
      <c r="AC935" s="1488"/>
      <c r="AD935" s="1488"/>
      <c r="AE935" s="1488"/>
      <c r="AF935" s="1488"/>
      <c r="AG935" s="1488"/>
      <c r="AH935" s="1451">
        <f t="shared" si="482"/>
        <v>0</v>
      </c>
      <c r="AI935" s="1488"/>
      <c r="AJ935" s="1488"/>
      <c r="AK935" s="1488"/>
      <c r="AL935" s="1488"/>
      <c r="AM935" s="1488"/>
      <c r="AN935" s="1488"/>
      <c r="AO935" s="1488"/>
      <c r="AP935" s="1488"/>
      <c r="AQ935" s="1488"/>
      <c r="AR935" s="1488"/>
      <c r="AS935" s="1488"/>
      <c r="AT935" s="1542"/>
      <c r="AU935" s="1599">
        <f t="shared" si="483"/>
        <v>0</v>
      </c>
      <c r="AV935" s="1544">
        <f t="shared" si="511"/>
        <v>0</v>
      </c>
      <c r="AW935" s="1452">
        <f t="shared" si="484"/>
        <v>0</v>
      </c>
      <c r="AX935" s="1452">
        <f t="shared" si="485"/>
        <v>0</v>
      </c>
      <c r="AY935" s="1452">
        <f t="shared" si="486"/>
        <v>0</v>
      </c>
      <c r="AZ935" s="1452">
        <f t="shared" si="487"/>
        <v>0</v>
      </c>
      <c r="BA935" s="1452">
        <f t="shared" si="488"/>
        <v>0</v>
      </c>
      <c r="BB935" s="1452">
        <f t="shared" si="489"/>
        <v>0</v>
      </c>
      <c r="BC935" s="1452">
        <f t="shared" si="490"/>
        <v>0</v>
      </c>
      <c r="BD935" s="1452">
        <f t="shared" si="491"/>
        <v>0</v>
      </c>
      <c r="BE935" s="1452">
        <f t="shared" si="492"/>
        <v>0</v>
      </c>
      <c r="BF935" s="1452">
        <f t="shared" si="493"/>
        <v>0</v>
      </c>
      <c r="BG935" s="1452">
        <f t="shared" si="494"/>
        <v>0</v>
      </c>
      <c r="BH935" s="1452">
        <f t="shared" si="495"/>
        <v>0</v>
      </c>
      <c r="BI935" s="1452">
        <f t="shared" si="512"/>
        <v>0</v>
      </c>
      <c r="BJ935" s="1452" t="str">
        <f t="shared" si="496"/>
        <v/>
      </c>
      <c r="BK935" s="1452" t="str">
        <f t="shared" si="497"/>
        <v/>
      </c>
      <c r="BL935" s="1452" t="str">
        <f t="shared" si="498"/>
        <v/>
      </c>
      <c r="BM935" s="1452" t="str">
        <f t="shared" si="499"/>
        <v/>
      </c>
      <c r="BN935" s="1452" t="str">
        <f t="shared" ca="1" si="500"/>
        <v/>
      </c>
      <c r="BO935" s="1452" t="str">
        <f t="shared" si="513"/>
        <v/>
      </c>
      <c r="BP935" s="1452" t="str">
        <f t="shared" si="501"/>
        <v/>
      </c>
      <c r="BQ935" s="1452" t="str">
        <f t="shared" si="502"/>
        <v/>
      </c>
      <c r="BR935" s="1452" t="str">
        <f t="shared" si="503"/>
        <v/>
      </c>
      <c r="BS935" s="1452" t="str">
        <f t="shared" si="504"/>
        <v/>
      </c>
      <c r="BT935" s="1452" t="str">
        <f t="shared" si="505"/>
        <v/>
      </c>
      <c r="BU935" s="1452" t="str">
        <f t="shared" si="506"/>
        <v/>
      </c>
      <c r="BV935" s="1452" t="str">
        <f t="shared" si="507"/>
        <v/>
      </c>
      <c r="BW935" s="1558">
        <f t="shared" ca="1" si="514"/>
        <v>0</v>
      </c>
    </row>
    <row r="936" spans="1:75" s="9" customFormat="1" ht="12.5">
      <c r="A936" s="1483" t="str">
        <f t="shared" si="508"/>
        <v>Public Health Wales Trust</v>
      </c>
      <c r="B936" s="1583"/>
      <c r="C936" s="1510"/>
      <c r="D936" s="1510"/>
      <c r="E936" s="1593"/>
      <c r="F936" s="1436"/>
      <c r="G936" s="1547">
        <f t="shared" si="509"/>
        <v>0</v>
      </c>
      <c r="H936" s="1484"/>
      <c r="I936" s="1547">
        <f t="shared" si="510"/>
        <v>0</v>
      </c>
      <c r="J936" s="1508"/>
      <c r="K936" s="1508"/>
      <c r="L936" s="1436"/>
      <c r="M936" s="1439"/>
      <c r="N936" s="1439"/>
      <c r="O936" s="1485"/>
      <c r="P936" s="1486"/>
      <c r="Q936" s="1486"/>
      <c r="R936" s="1487"/>
      <c r="S936" s="1444"/>
      <c r="T936" s="1444"/>
      <c r="U936" s="1444"/>
      <c r="V936" s="1488"/>
      <c r="W936" s="1488"/>
      <c r="X936" s="1488"/>
      <c r="Y936" s="1488"/>
      <c r="Z936" s="1488"/>
      <c r="AA936" s="1488"/>
      <c r="AB936" s="1488"/>
      <c r="AC936" s="1488"/>
      <c r="AD936" s="1488"/>
      <c r="AE936" s="1488"/>
      <c r="AF936" s="1488"/>
      <c r="AG936" s="1488"/>
      <c r="AH936" s="1451">
        <f t="shared" si="482"/>
        <v>0</v>
      </c>
      <c r="AI936" s="1488"/>
      <c r="AJ936" s="1488"/>
      <c r="AK936" s="1488"/>
      <c r="AL936" s="1488"/>
      <c r="AM936" s="1488"/>
      <c r="AN936" s="1488"/>
      <c r="AO936" s="1488"/>
      <c r="AP936" s="1488"/>
      <c r="AQ936" s="1488"/>
      <c r="AR936" s="1488"/>
      <c r="AS936" s="1488"/>
      <c r="AT936" s="1542"/>
      <c r="AU936" s="1599">
        <f t="shared" si="483"/>
        <v>0</v>
      </c>
      <c r="AV936" s="1544">
        <f t="shared" si="511"/>
        <v>0</v>
      </c>
      <c r="AW936" s="1452">
        <f t="shared" si="484"/>
        <v>0</v>
      </c>
      <c r="AX936" s="1452">
        <f t="shared" si="485"/>
        <v>0</v>
      </c>
      <c r="AY936" s="1452">
        <f t="shared" si="486"/>
        <v>0</v>
      </c>
      <c r="AZ936" s="1452">
        <f t="shared" si="487"/>
        <v>0</v>
      </c>
      <c r="BA936" s="1452">
        <f t="shared" si="488"/>
        <v>0</v>
      </c>
      <c r="BB936" s="1452">
        <f t="shared" si="489"/>
        <v>0</v>
      </c>
      <c r="BC936" s="1452">
        <f t="shared" si="490"/>
        <v>0</v>
      </c>
      <c r="BD936" s="1452">
        <f t="shared" si="491"/>
        <v>0</v>
      </c>
      <c r="BE936" s="1452">
        <f t="shared" si="492"/>
        <v>0</v>
      </c>
      <c r="BF936" s="1452">
        <f t="shared" si="493"/>
        <v>0</v>
      </c>
      <c r="BG936" s="1452">
        <f t="shared" si="494"/>
        <v>0</v>
      </c>
      <c r="BH936" s="1452">
        <f t="shared" si="495"/>
        <v>0</v>
      </c>
      <c r="BI936" s="1452">
        <f t="shared" si="512"/>
        <v>0</v>
      </c>
      <c r="BJ936" s="1452" t="str">
        <f t="shared" si="496"/>
        <v/>
      </c>
      <c r="BK936" s="1452" t="str">
        <f t="shared" si="497"/>
        <v/>
      </c>
      <c r="BL936" s="1452" t="str">
        <f t="shared" si="498"/>
        <v/>
      </c>
      <c r="BM936" s="1452" t="str">
        <f t="shared" si="499"/>
        <v/>
      </c>
      <c r="BN936" s="1452" t="str">
        <f t="shared" ca="1" si="500"/>
        <v/>
      </c>
      <c r="BO936" s="1452" t="str">
        <f t="shared" si="513"/>
        <v/>
      </c>
      <c r="BP936" s="1452" t="str">
        <f t="shared" si="501"/>
        <v/>
      </c>
      <c r="BQ936" s="1452" t="str">
        <f t="shared" si="502"/>
        <v/>
      </c>
      <c r="BR936" s="1452" t="str">
        <f t="shared" si="503"/>
        <v/>
      </c>
      <c r="BS936" s="1452" t="str">
        <f t="shared" si="504"/>
        <v/>
      </c>
      <c r="BT936" s="1452" t="str">
        <f t="shared" si="505"/>
        <v/>
      </c>
      <c r="BU936" s="1452" t="str">
        <f t="shared" si="506"/>
        <v/>
      </c>
      <c r="BV936" s="1452" t="str">
        <f t="shared" si="507"/>
        <v/>
      </c>
      <c r="BW936" s="1558">
        <f t="shared" ca="1" si="514"/>
        <v>0</v>
      </c>
    </row>
    <row r="937" spans="1:75" s="9" customFormat="1" ht="12.5">
      <c r="A937" s="1483" t="str">
        <f t="shared" si="508"/>
        <v>Public Health Wales Trust</v>
      </c>
      <c r="B937" s="1583"/>
      <c r="C937" s="1583"/>
      <c r="D937" s="1509"/>
      <c r="E937" s="1436"/>
      <c r="F937" s="1436"/>
      <c r="G937" s="1547">
        <f t="shared" si="509"/>
        <v>0</v>
      </c>
      <c r="H937" s="1484"/>
      <c r="I937" s="1547">
        <f t="shared" si="510"/>
        <v>0</v>
      </c>
      <c r="J937" s="1495"/>
      <c r="K937" s="1495"/>
      <c r="L937" s="1436"/>
      <c r="M937" s="1439"/>
      <c r="N937" s="1439"/>
      <c r="O937" s="1485"/>
      <c r="P937" s="1486"/>
      <c r="Q937" s="1486"/>
      <c r="R937" s="1487"/>
      <c r="S937" s="1444"/>
      <c r="T937" s="1444"/>
      <c r="U937" s="1444"/>
      <c r="V937" s="1488"/>
      <c r="W937" s="1488"/>
      <c r="X937" s="1488"/>
      <c r="Y937" s="1488"/>
      <c r="Z937" s="1488"/>
      <c r="AA937" s="1488"/>
      <c r="AB937" s="1488"/>
      <c r="AC937" s="1488"/>
      <c r="AD937" s="1488"/>
      <c r="AE937" s="1488"/>
      <c r="AF937" s="1488"/>
      <c r="AG937" s="1488"/>
      <c r="AH937" s="1451">
        <f t="shared" si="482"/>
        <v>0</v>
      </c>
      <c r="AI937" s="1488"/>
      <c r="AJ937" s="1488"/>
      <c r="AK937" s="1488"/>
      <c r="AL937" s="1488"/>
      <c r="AM937" s="1488"/>
      <c r="AN937" s="1488"/>
      <c r="AO937" s="1488"/>
      <c r="AP937" s="1488"/>
      <c r="AQ937" s="1488"/>
      <c r="AR937" s="1488"/>
      <c r="AS937" s="1488"/>
      <c r="AT937" s="1542"/>
      <c r="AU937" s="1599">
        <f t="shared" si="483"/>
        <v>0</v>
      </c>
      <c r="AV937" s="1544">
        <f t="shared" si="511"/>
        <v>0</v>
      </c>
      <c r="AW937" s="1452">
        <f t="shared" si="484"/>
        <v>0</v>
      </c>
      <c r="AX937" s="1452">
        <f t="shared" si="485"/>
        <v>0</v>
      </c>
      <c r="AY937" s="1452">
        <f t="shared" si="486"/>
        <v>0</v>
      </c>
      <c r="AZ937" s="1452">
        <f t="shared" si="487"/>
        <v>0</v>
      </c>
      <c r="BA937" s="1452">
        <f t="shared" si="488"/>
        <v>0</v>
      </c>
      <c r="BB937" s="1452">
        <f t="shared" si="489"/>
        <v>0</v>
      </c>
      <c r="BC937" s="1452">
        <f t="shared" si="490"/>
        <v>0</v>
      </c>
      <c r="BD937" s="1452">
        <f t="shared" si="491"/>
        <v>0</v>
      </c>
      <c r="BE937" s="1452">
        <f t="shared" si="492"/>
        <v>0</v>
      </c>
      <c r="BF937" s="1452">
        <f t="shared" si="493"/>
        <v>0</v>
      </c>
      <c r="BG937" s="1452">
        <f t="shared" si="494"/>
        <v>0</v>
      </c>
      <c r="BH937" s="1452">
        <f t="shared" si="495"/>
        <v>0</v>
      </c>
      <c r="BI937" s="1452">
        <f t="shared" si="512"/>
        <v>0</v>
      </c>
      <c r="BJ937" s="1452" t="str">
        <f t="shared" si="496"/>
        <v/>
      </c>
      <c r="BK937" s="1452" t="str">
        <f t="shared" si="497"/>
        <v/>
      </c>
      <c r="BL937" s="1452" t="str">
        <f t="shared" si="498"/>
        <v/>
      </c>
      <c r="BM937" s="1452" t="str">
        <f t="shared" si="499"/>
        <v/>
      </c>
      <c r="BN937" s="1452" t="str">
        <f t="shared" ca="1" si="500"/>
        <v/>
      </c>
      <c r="BO937" s="1452" t="str">
        <f t="shared" si="513"/>
        <v/>
      </c>
      <c r="BP937" s="1452" t="str">
        <f t="shared" si="501"/>
        <v/>
      </c>
      <c r="BQ937" s="1452" t="str">
        <f t="shared" si="502"/>
        <v/>
      </c>
      <c r="BR937" s="1452" t="str">
        <f t="shared" si="503"/>
        <v/>
      </c>
      <c r="BS937" s="1452" t="str">
        <f t="shared" si="504"/>
        <v/>
      </c>
      <c r="BT937" s="1452" t="str">
        <f t="shared" si="505"/>
        <v/>
      </c>
      <c r="BU937" s="1452" t="str">
        <f t="shared" si="506"/>
        <v/>
      </c>
      <c r="BV937" s="1452" t="str">
        <f t="shared" si="507"/>
        <v/>
      </c>
      <c r="BW937" s="1558">
        <f t="shared" ca="1" si="514"/>
        <v>0</v>
      </c>
    </row>
    <row r="938" spans="1:75" s="9" customFormat="1" ht="12.5">
      <c r="A938" s="1483" t="str">
        <f t="shared" si="508"/>
        <v>Public Health Wales Trust</v>
      </c>
      <c r="B938" s="1583"/>
      <c r="C938" s="1583"/>
      <c r="D938" s="1509"/>
      <c r="E938" s="1436"/>
      <c r="F938" s="1436"/>
      <c r="G938" s="1547">
        <f t="shared" si="509"/>
        <v>0</v>
      </c>
      <c r="H938" s="1484"/>
      <c r="I938" s="1547">
        <f t="shared" si="510"/>
        <v>0</v>
      </c>
      <c r="J938" s="1495"/>
      <c r="K938" s="1495"/>
      <c r="L938" s="1436"/>
      <c r="M938" s="1439"/>
      <c r="N938" s="1439"/>
      <c r="O938" s="1485"/>
      <c r="P938" s="1486"/>
      <c r="Q938" s="1486"/>
      <c r="R938" s="1487"/>
      <c r="S938" s="1444"/>
      <c r="T938" s="1444"/>
      <c r="U938" s="1444"/>
      <c r="V938" s="1488"/>
      <c r="W938" s="1488"/>
      <c r="X938" s="1488"/>
      <c r="Y938" s="1488"/>
      <c r="Z938" s="1488"/>
      <c r="AA938" s="1488"/>
      <c r="AB938" s="1488"/>
      <c r="AC938" s="1488"/>
      <c r="AD938" s="1488"/>
      <c r="AE938" s="1488"/>
      <c r="AF938" s="1488"/>
      <c r="AG938" s="1488"/>
      <c r="AH938" s="1451">
        <f t="shared" si="482"/>
        <v>0</v>
      </c>
      <c r="AI938" s="1488"/>
      <c r="AJ938" s="1488"/>
      <c r="AK938" s="1488"/>
      <c r="AL938" s="1488"/>
      <c r="AM938" s="1488"/>
      <c r="AN938" s="1488"/>
      <c r="AO938" s="1488"/>
      <c r="AP938" s="1488"/>
      <c r="AQ938" s="1488"/>
      <c r="AR938" s="1488"/>
      <c r="AS938" s="1488"/>
      <c r="AT938" s="1542"/>
      <c r="AU938" s="1599">
        <f t="shared" si="483"/>
        <v>0</v>
      </c>
      <c r="AV938" s="1544">
        <f t="shared" si="511"/>
        <v>0</v>
      </c>
      <c r="AW938" s="1452">
        <f t="shared" si="484"/>
        <v>0</v>
      </c>
      <c r="AX938" s="1452">
        <f t="shared" si="485"/>
        <v>0</v>
      </c>
      <c r="AY938" s="1452">
        <f t="shared" si="486"/>
        <v>0</v>
      </c>
      <c r="AZ938" s="1452">
        <f t="shared" si="487"/>
        <v>0</v>
      </c>
      <c r="BA938" s="1452">
        <f t="shared" si="488"/>
        <v>0</v>
      </c>
      <c r="BB938" s="1452">
        <f t="shared" si="489"/>
        <v>0</v>
      </c>
      <c r="BC938" s="1452">
        <f t="shared" si="490"/>
        <v>0</v>
      </c>
      <c r="BD938" s="1452">
        <f t="shared" si="491"/>
        <v>0</v>
      </c>
      <c r="BE938" s="1452">
        <f t="shared" si="492"/>
        <v>0</v>
      </c>
      <c r="BF938" s="1452">
        <f t="shared" si="493"/>
        <v>0</v>
      </c>
      <c r="BG938" s="1452">
        <f t="shared" si="494"/>
        <v>0</v>
      </c>
      <c r="BH938" s="1452">
        <f t="shared" si="495"/>
        <v>0</v>
      </c>
      <c r="BI938" s="1452">
        <f t="shared" si="512"/>
        <v>0</v>
      </c>
      <c r="BJ938" s="1452" t="str">
        <f t="shared" si="496"/>
        <v/>
      </c>
      <c r="BK938" s="1452" t="str">
        <f t="shared" si="497"/>
        <v/>
      </c>
      <c r="BL938" s="1452" t="str">
        <f t="shared" si="498"/>
        <v/>
      </c>
      <c r="BM938" s="1452" t="str">
        <f t="shared" si="499"/>
        <v/>
      </c>
      <c r="BN938" s="1452" t="str">
        <f t="shared" ca="1" si="500"/>
        <v/>
      </c>
      <c r="BO938" s="1452" t="str">
        <f t="shared" si="513"/>
        <v/>
      </c>
      <c r="BP938" s="1452" t="str">
        <f t="shared" si="501"/>
        <v/>
      </c>
      <c r="BQ938" s="1452" t="str">
        <f t="shared" si="502"/>
        <v/>
      </c>
      <c r="BR938" s="1452" t="str">
        <f t="shared" si="503"/>
        <v/>
      </c>
      <c r="BS938" s="1452" t="str">
        <f t="shared" si="504"/>
        <v/>
      </c>
      <c r="BT938" s="1452" t="str">
        <f t="shared" si="505"/>
        <v/>
      </c>
      <c r="BU938" s="1452" t="str">
        <f t="shared" si="506"/>
        <v/>
      </c>
      <c r="BV938" s="1452" t="str">
        <f t="shared" si="507"/>
        <v/>
      </c>
      <c r="BW938" s="1558">
        <f t="shared" ca="1" si="514"/>
        <v>0</v>
      </c>
    </row>
    <row r="939" spans="1:75" s="9" customFormat="1" ht="12.5">
      <c r="A939" s="1483" t="str">
        <f t="shared" si="508"/>
        <v>Public Health Wales Trust</v>
      </c>
      <c r="B939" s="1583"/>
      <c r="C939" s="1510"/>
      <c r="D939" s="1494"/>
      <c r="E939" s="1593"/>
      <c r="F939" s="1436"/>
      <c r="G939" s="1547">
        <f t="shared" si="509"/>
        <v>0</v>
      </c>
      <c r="H939" s="1484"/>
      <c r="I939" s="1547">
        <f t="shared" si="510"/>
        <v>0</v>
      </c>
      <c r="J939" s="1495"/>
      <c r="K939" s="1495"/>
      <c r="L939" s="1436"/>
      <c r="M939" s="1439"/>
      <c r="N939" s="1439"/>
      <c r="O939" s="1485"/>
      <c r="P939" s="1486"/>
      <c r="Q939" s="1486"/>
      <c r="R939" s="1487"/>
      <c r="S939" s="1444"/>
      <c r="T939" s="1444"/>
      <c r="U939" s="1444"/>
      <c r="V939" s="1488"/>
      <c r="W939" s="1488"/>
      <c r="X939" s="1488"/>
      <c r="Y939" s="1488"/>
      <c r="Z939" s="1488"/>
      <c r="AA939" s="1488"/>
      <c r="AB939" s="1488"/>
      <c r="AC939" s="1488"/>
      <c r="AD939" s="1488"/>
      <c r="AE939" s="1488"/>
      <c r="AF939" s="1488"/>
      <c r="AG939" s="1488"/>
      <c r="AH939" s="1451">
        <f t="shared" ref="AH939:AH1002" si="515">SUM(V939:AG939)</f>
        <v>0</v>
      </c>
      <c r="AI939" s="1488"/>
      <c r="AJ939" s="1488"/>
      <c r="AK939" s="1488"/>
      <c r="AL939" s="1488"/>
      <c r="AM939" s="1488"/>
      <c r="AN939" s="1488"/>
      <c r="AO939" s="1488"/>
      <c r="AP939" s="1488"/>
      <c r="AQ939" s="1488"/>
      <c r="AR939" s="1488"/>
      <c r="AS939" s="1488"/>
      <c r="AT939" s="1542"/>
      <c r="AU939" s="1599">
        <f t="shared" ref="AU939:AU1002" si="516">SUMPRODUCT($AC$40:$AN$40,AI939:AT939)</f>
        <v>0</v>
      </c>
      <c r="AV939" s="1544">
        <f t="shared" si="511"/>
        <v>0</v>
      </c>
      <c r="AW939" s="1452">
        <f t="shared" ref="AW939:AW1002" si="517">AI939-V939</f>
        <v>0</v>
      </c>
      <c r="AX939" s="1452">
        <f t="shared" ref="AX939:AX1002" si="518">AJ939-W939</f>
        <v>0</v>
      </c>
      <c r="AY939" s="1452">
        <f t="shared" ref="AY939:AY1002" si="519">AK939-X939</f>
        <v>0</v>
      </c>
      <c r="AZ939" s="1452">
        <f t="shared" ref="AZ939:AZ1002" si="520">AL939-Y939</f>
        <v>0</v>
      </c>
      <c r="BA939" s="1452">
        <f t="shared" ref="BA939:BA1002" si="521">AM939-Z939</f>
        <v>0</v>
      </c>
      <c r="BB939" s="1452">
        <f t="shared" ref="BB939:BB1002" si="522">AN939-AA939</f>
        <v>0</v>
      </c>
      <c r="BC939" s="1452">
        <f t="shared" ref="BC939:BC1002" si="523">AO939-AB939</f>
        <v>0</v>
      </c>
      <c r="BD939" s="1452">
        <f t="shared" ref="BD939:BD1002" si="524">AP939-AC939</f>
        <v>0</v>
      </c>
      <c r="BE939" s="1452">
        <f t="shared" ref="BE939:BE1002" si="525">AQ939-AD939</f>
        <v>0</v>
      </c>
      <c r="BF939" s="1452">
        <f t="shared" ref="BF939:BF1002" si="526">AR939-AE939</f>
        <v>0</v>
      </c>
      <c r="BG939" s="1452">
        <f t="shared" ref="BG939:BG1002" si="527">AS939-AF939</f>
        <v>0</v>
      </c>
      <c r="BH939" s="1452">
        <f t="shared" ref="BH939:BH1002" si="528">AT939-AG939</f>
        <v>0</v>
      </c>
      <c r="BI939" s="1452">
        <f t="shared" si="512"/>
        <v>0</v>
      </c>
      <c r="BJ939" s="1452" t="str">
        <f t="shared" ref="BJ939:BJ1002" si="529">IF(OR(G939&gt;0,I939&gt;0),IF(AND(B939&lt;&gt;"",C939&lt;&gt;"",D939&lt;&gt;"",E939&lt;&gt;"",F939&lt;&gt;"",L939&lt;&gt;"",M939&lt;&gt;"",N939&lt;&gt;"",O939&lt;&gt;"",P939&lt;&gt;"",Q939&lt;&gt;"",R939&lt;&gt;""),"","ERROR"),"")</f>
        <v/>
      </c>
      <c r="BK939" s="1452" t="str">
        <f t="shared" ref="BK939:BK1002" si="530">IF(COUNTIF($D$43:$D$1496,D939)&gt;1,"ERROR","")</f>
        <v/>
      </c>
      <c r="BL939" s="1452" t="str">
        <f t="shared" ref="BL939:BL1002" si="531">IF(AND(OR(R939=$CQ$1,R939=$CQ$3),S939=""),"ERROR","")</f>
        <v/>
      </c>
      <c r="BM939" s="1452" t="str">
        <f t="shared" ref="BM939:BM1002" si="532">IF(AND(OR(R939=$CQ$2),S939&lt;&gt;""),"ERROR","")</f>
        <v/>
      </c>
      <c r="BN939" s="1452" t="str">
        <f t="shared" ref="BN939:BN1002" ca="1" si="533">IF(AND(O939=$CA$2,N939&lt;TODAY()),"ERROR","")</f>
        <v/>
      </c>
      <c r="BO939" s="1452" t="str">
        <f t="shared" si="513"/>
        <v/>
      </c>
      <c r="BP939" s="1452" t="str">
        <f t="shared" ref="BP939:BP1002" si="534">IF(AND(F939=$BZ$1,G939&gt;H939),"ERROR","")</f>
        <v/>
      </c>
      <c r="BQ939" s="1452" t="str">
        <f t="shared" ref="BQ939:BQ1002" si="535">IF(AND(F939=$BZ$1,I939&gt;J939),"ERROR","")</f>
        <v/>
      </c>
      <c r="BR939" s="1452" t="str">
        <f t="shared" ref="BR939:BR1002" si="536">IF(AND(F939=$BZ$2,SUM(H939,J939)&gt;0),"ERROR","")</f>
        <v/>
      </c>
      <c r="BS939" s="1452" t="str">
        <f t="shared" ref="BS939:BS1002" si="537">IF(AND(I939=0,J939&gt;0),"ERROR","")</f>
        <v/>
      </c>
      <c r="BT939" s="1452" t="str">
        <f t="shared" ref="BT939:BT1002" si="538">IF(AND(O939=$CA$1,K939&lt;&gt;0),"ERROR","")</f>
        <v/>
      </c>
      <c r="BU939" s="1452" t="str">
        <f t="shared" ref="BU939:BU1002" si="539">IF(AND(O939=$CA$2,I939-AU939-K939&lt;0),"ERROR","")</f>
        <v/>
      </c>
      <c r="BV939" s="1452" t="str">
        <f t="shared" ref="BV939:BV1002" si="540">IF(S939="","",VLOOKUP(S939,$CS$1:$CT$14,2,0))</f>
        <v/>
      </c>
      <c r="BW939" s="1558">
        <f t="shared" ca="1" si="514"/>
        <v>0</v>
      </c>
    </row>
    <row r="940" spans="1:75" s="9" customFormat="1" ht="12.5">
      <c r="A940" s="1483" t="str">
        <f t="shared" ref="A940:A1003" si="541">$A$1</f>
        <v>Public Health Wales Trust</v>
      </c>
      <c r="B940" s="1583"/>
      <c r="C940" s="1510"/>
      <c r="D940" s="1494"/>
      <c r="E940" s="1593"/>
      <c r="F940" s="1436"/>
      <c r="G940" s="1547">
        <f t="shared" ref="G940:G1003" si="542">AH940</f>
        <v>0</v>
      </c>
      <c r="H940" s="1484"/>
      <c r="I940" s="1547">
        <f t="shared" ref="I940:I1003" si="543">AV940</f>
        <v>0</v>
      </c>
      <c r="J940" s="1505"/>
      <c r="K940" s="1505"/>
      <c r="L940" s="1436"/>
      <c r="M940" s="1439"/>
      <c r="N940" s="1439"/>
      <c r="O940" s="1485"/>
      <c r="P940" s="1486"/>
      <c r="Q940" s="1486"/>
      <c r="R940" s="1487"/>
      <c r="S940" s="1444"/>
      <c r="T940" s="1444"/>
      <c r="U940" s="1444"/>
      <c r="V940" s="1488"/>
      <c r="W940" s="1488"/>
      <c r="X940" s="1488"/>
      <c r="Y940" s="1488"/>
      <c r="Z940" s="1488"/>
      <c r="AA940" s="1488"/>
      <c r="AB940" s="1488"/>
      <c r="AC940" s="1488"/>
      <c r="AD940" s="1488"/>
      <c r="AE940" s="1488"/>
      <c r="AF940" s="1488"/>
      <c r="AG940" s="1488"/>
      <c r="AH940" s="1451">
        <f t="shared" si="515"/>
        <v>0</v>
      </c>
      <c r="AI940" s="1488"/>
      <c r="AJ940" s="1488"/>
      <c r="AK940" s="1488"/>
      <c r="AL940" s="1488"/>
      <c r="AM940" s="1488"/>
      <c r="AN940" s="1488"/>
      <c r="AO940" s="1488"/>
      <c r="AP940" s="1488"/>
      <c r="AQ940" s="1488"/>
      <c r="AR940" s="1488"/>
      <c r="AS940" s="1488"/>
      <c r="AT940" s="1542"/>
      <c r="AU940" s="1599">
        <f t="shared" si="516"/>
        <v>0</v>
      </c>
      <c r="AV940" s="1544">
        <f t="shared" ref="AV940:AV1003" si="544">SUM(AI940:AT940)</f>
        <v>0</v>
      </c>
      <c r="AW940" s="1452">
        <f t="shared" si="517"/>
        <v>0</v>
      </c>
      <c r="AX940" s="1452">
        <f t="shared" si="518"/>
        <v>0</v>
      </c>
      <c r="AY940" s="1452">
        <f t="shared" si="519"/>
        <v>0</v>
      </c>
      <c r="AZ940" s="1452">
        <f t="shared" si="520"/>
        <v>0</v>
      </c>
      <c r="BA940" s="1452">
        <f t="shared" si="521"/>
        <v>0</v>
      </c>
      <c r="BB940" s="1452">
        <f t="shared" si="522"/>
        <v>0</v>
      </c>
      <c r="BC940" s="1452">
        <f t="shared" si="523"/>
        <v>0</v>
      </c>
      <c r="BD940" s="1452">
        <f t="shared" si="524"/>
        <v>0</v>
      </c>
      <c r="BE940" s="1452">
        <f t="shared" si="525"/>
        <v>0</v>
      </c>
      <c r="BF940" s="1452">
        <f t="shared" si="526"/>
        <v>0</v>
      </c>
      <c r="BG940" s="1452">
        <f t="shared" si="527"/>
        <v>0</v>
      </c>
      <c r="BH940" s="1452">
        <f t="shared" si="528"/>
        <v>0</v>
      </c>
      <c r="BI940" s="1452">
        <f t="shared" ref="BI940:BI1003" si="545">SUM(AW940:BH940)</f>
        <v>0</v>
      </c>
      <c r="BJ940" s="1452" t="str">
        <f t="shared" si="529"/>
        <v/>
      </c>
      <c r="BK940" s="1452" t="str">
        <f t="shared" si="530"/>
        <v/>
      </c>
      <c r="BL940" s="1452" t="str">
        <f t="shared" si="531"/>
        <v/>
      </c>
      <c r="BM940" s="1452" t="str">
        <f t="shared" si="532"/>
        <v/>
      </c>
      <c r="BN940" s="1452" t="str">
        <f t="shared" ca="1" si="533"/>
        <v/>
      </c>
      <c r="BO940" s="1452" t="str">
        <f t="shared" ref="BO940:BO1003" si="546">IF(AND(AV940&gt;0,AH940=0),"ERROR","")</f>
        <v/>
      </c>
      <c r="BP940" s="1452" t="str">
        <f t="shared" si="534"/>
        <v/>
      </c>
      <c r="BQ940" s="1452" t="str">
        <f t="shared" si="535"/>
        <v/>
      </c>
      <c r="BR940" s="1452" t="str">
        <f t="shared" si="536"/>
        <v/>
      </c>
      <c r="BS940" s="1452" t="str">
        <f t="shared" si="537"/>
        <v/>
      </c>
      <c r="BT940" s="1452" t="str">
        <f t="shared" si="538"/>
        <v/>
      </c>
      <c r="BU940" s="1452" t="str">
        <f t="shared" si="539"/>
        <v/>
      </c>
      <c r="BV940" s="1452" t="str">
        <f t="shared" si="540"/>
        <v/>
      </c>
      <c r="BW940" s="1558">
        <f t="shared" ref="BW940:BW1003" ca="1" si="547">COUNTIF(BJ940:BU940,"ERROR")</f>
        <v>0</v>
      </c>
    </row>
    <row r="941" spans="1:75" s="9" customFormat="1" ht="12.5">
      <c r="A941" s="1483" t="str">
        <f t="shared" si="541"/>
        <v>Public Health Wales Trust</v>
      </c>
      <c r="B941" s="1583"/>
      <c r="C941" s="1510"/>
      <c r="D941" s="1494"/>
      <c r="E941" s="1593"/>
      <c r="F941" s="1436"/>
      <c r="G941" s="1547">
        <f t="shared" si="542"/>
        <v>0</v>
      </c>
      <c r="H941" s="1484"/>
      <c r="I941" s="1547">
        <f t="shared" si="543"/>
        <v>0</v>
      </c>
      <c r="J941" s="1511"/>
      <c r="K941" s="1511"/>
      <c r="L941" s="1436"/>
      <c r="M941" s="1439"/>
      <c r="N941" s="1439"/>
      <c r="O941" s="1485"/>
      <c r="P941" s="1486"/>
      <c r="Q941" s="1486"/>
      <c r="R941" s="1487"/>
      <c r="S941" s="1444"/>
      <c r="T941" s="1444"/>
      <c r="U941" s="1444"/>
      <c r="V941" s="1488"/>
      <c r="W941" s="1488"/>
      <c r="X941" s="1488"/>
      <c r="Y941" s="1488"/>
      <c r="Z941" s="1488"/>
      <c r="AA941" s="1488"/>
      <c r="AB941" s="1488"/>
      <c r="AC941" s="1488"/>
      <c r="AD941" s="1488"/>
      <c r="AE941" s="1488"/>
      <c r="AF941" s="1488"/>
      <c r="AG941" s="1488"/>
      <c r="AH941" s="1451">
        <f t="shared" si="515"/>
        <v>0</v>
      </c>
      <c r="AI941" s="1488"/>
      <c r="AJ941" s="1488"/>
      <c r="AK941" s="1488"/>
      <c r="AL941" s="1488"/>
      <c r="AM941" s="1488"/>
      <c r="AN941" s="1488"/>
      <c r="AO941" s="1488"/>
      <c r="AP941" s="1488"/>
      <c r="AQ941" s="1488"/>
      <c r="AR941" s="1488"/>
      <c r="AS941" s="1488"/>
      <c r="AT941" s="1542"/>
      <c r="AU941" s="1599">
        <f t="shared" si="516"/>
        <v>0</v>
      </c>
      <c r="AV941" s="1544">
        <f t="shared" si="544"/>
        <v>0</v>
      </c>
      <c r="AW941" s="1452">
        <f t="shared" si="517"/>
        <v>0</v>
      </c>
      <c r="AX941" s="1452">
        <f t="shared" si="518"/>
        <v>0</v>
      </c>
      <c r="AY941" s="1452">
        <f t="shared" si="519"/>
        <v>0</v>
      </c>
      <c r="AZ941" s="1452">
        <f t="shared" si="520"/>
        <v>0</v>
      </c>
      <c r="BA941" s="1452">
        <f t="shared" si="521"/>
        <v>0</v>
      </c>
      <c r="BB941" s="1452">
        <f t="shared" si="522"/>
        <v>0</v>
      </c>
      <c r="BC941" s="1452">
        <f t="shared" si="523"/>
        <v>0</v>
      </c>
      <c r="BD941" s="1452">
        <f t="shared" si="524"/>
        <v>0</v>
      </c>
      <c r="BE941" s="1452">
        <f t="shared" si="525"/>
        <v>0</v>
      </c>
      <c r="BF941" s="1452">
        <f t="shared" si="526"/>
        <v>0</v>
      </c>
      <c r="BG941" s="1452">
        <f t="shared" si="527"/>
        <v>0</v>
      </c>
      <c r="BH941" s="1452">
        <f t="shared" si="528"/>
        <v>0</v>
      </c>
      <c r="BI941" s="1452">
        <f t="shared" si="545"/>
        <v>0</v>
      </c>
      <c r="BJ941" s="1452" t="str">
        <f t="shared" si="529"/>
        <v/>
      </c>
      <c r="BK941" s="1452" t="str">
        <f t="shared" si="530"/>
        <v/>
      </c>
      <c r="BL941" s="1452" t="str">
        <f t="shared" si="531"/>
        <v/>
      </c>
      <c r="BM941" s="1452" t="str">
        <f t="shared" si="532"/>
        <v/>
      </c>
      <c r="BN941" s="1452" t="str">
        <f t="shared" ca="1" si="533"/>
        <v/>
      </c>
      <c r="BO941" s="1452" t="str">
        <f t="shared" si="546"/>
        <v/>
      </c>
      <c r="BP941" s="1452" t="str">
        <f t="shared" si="534"/>
        <v/>
      </c>
      <c r="BQ941" s="1452" t="str">
        <f t="shared" si="535"/>
        <v/>
      </c>
      <c r="BR941" s="1452" t="str">
        <f t="shared" si="536"/>
        <v/>
      </c>
      <c r="BS941" s="1452" t="str">
        <f t="shared" si="537"/>
        <v/>
      </c>
      <c r="BT941" s="1452" t="str">
        <f t="shared" si="538"/>
        <v/>
      </c>
      <c r="BU941" s="1452" t="str">
        <f t="shared" si="539"/>
        <v/>
      </c>
      <c r="BV941" s="1452" t="str">
        <f t="shared" si="540"/>
        <v/>
      </c>
      <c r="BW941" s="1558">
        <f t="shared" ca="1" si="547"/>
        <v>0</v>
      </c>
    </row>
    <row r="942" spans="1:75" s="9" customFormat="1" ht="12.5">
      <c r="A942" s="1483" t="str">
        <f t="shared" si="541"/>
        <v>Public Health Wales Trust</v>
      </c>
      <c r="B942" s="1583"/>
      <c r="C942" s="1510"/>
      <c r="D942" s="1494"/>
      <c r="E942" s="1436"/>
      <c r="F942" s="1436"/>
      <c r="G942" s="1547">
        <f t="shared" si="542"/>
        <v>0</v>
      </c>
      <c r="H942" s="1484"/>
      <c r="I942" s="1547">
        <f t="shared" si="543"/>
        <v>0</v>
      </c>
      <c r="J942" s="1495"/>
      <c r="K942" s="1495"/>
      <c r="L942" s="1436"/>
      <c r="M942" s="1439"/>
      <c r="N942" s="1439"/>
      <c r="O942" s="1485"/>
      <c r="P942" s="1486"/>
      <c r="Q942" s="1486"/>
      <c r="R942" s="1487"/>
      <c r="S942" s="1444"/>
      <c r="T942" s="1444"/>
      <c r="U942" s="1444"/>
      <c r="V942" s="1488"/>
      <c r="W942" s="1488"/>
      <c r="X942" s="1488"/>
      <c r="Y942" s="1488"/>
      <c r="Z942" s="1488"/>
      <c r="AA942" s="1488"/>
      <c r="AB942" s="1488"/>
      <c r="AC942" s="1488"/>
      <c r="AD942" s="1488"/>
      <c r="AE942" s="1488"/>
      <c r="AF942" s="1488"/>
      <c r="AG942" s="1488"/>
      <c r="AH942" s="1451">
        <f t="shared" si="515"/>
        <v>0</v>
      </c>
      <c r="AI942" s="1488"/>
      <c r="AJ942" s="1488"/>
      <c r="AK942" s="1488"/>
      <c r="AL942" s="1488"/>
      <c r="AM942" s="1488"/>
      <c r="AN942" s="1488"/>
      <c r="AO942" s="1488"/>
      <c r="AP942" s="1488"/>
      <c r="AQ942" s="1488"/>
      <c r="AR942" s="1488"/>
      <c r="AS942" s="1488"/>
      <c r="AT942" s="1542"/>
      <c r="AU942" s="1599">
        <f t="shared" si="516"/>
        <v>0</v>
      </c>
      <c r="AV942" s="1544">
        <f t="shared" si="544"/>
        <v>0</v>
      </c>
      <c r="AW942" s="1452">
        <f t="shared" si="517"/>
        <v>0</v>
      </c>
      <c r="AX942" s="1452">
        <f t="shared" si="518"/>
        <v>0</v>
      </c>
      <c r="AY942" s="1452">
        <f t="shared" si="519"/>
        <v>0</v>
      </c>
      <c r="AZ942" s="1452">
        <f t="shared" si="520"/>
        <v>0</v>
      </c>
      <c r="BA942" s="1452">
        <f t="shared" si="521"/>
        <v>0</v>
      </c>
      <c r="BB942" s="1452">
        <f t="shared" si="522"/>
        <v>0</v>
      </c>
      <c r="BC942" s="1452">
        <f t="shared" si="523"/>
        <v>0</v>
      </c>
      <c r="BD942" s="1452">
        <f t="shared" si="524"/>
        <v>0</v>
      </c>
      <c r="BE942" s="1452">
        <f t="shared" si="525"/>
        <v>0</v>
      </c>
      <c r="BF942" s="1452">
        <f t="shared" si="526"/>
        <v>0</v>
      </c>
      <c r="BG942" s="1452">
        <f t="shared" si="527"/>
        <v>0</v>
      </c>
      <c r="BH942" s="1452">
        <f t="shared" si="528"/>
        <v>0</v>
      </c>
      <c r="BI942" s="1452">
        <f t="shared" si="545"/>
        <v>0</v>
      </c>
      <c r="BJ942" s="1452" t="str">
        <f t="shared" si="529"/>
        <v/>
      </c>
      <c r="BK942" s="1452" t="str">
        <f t="shared" si="530"/>
        <v/>
      </c>
      <c r="BL942" s="1452" t="str">
        <f t="shared" si="531"/>
        <v/>
      </c>
      <c r="BM942" s="1452" t="str">
        <f t="shared" si="532"/>
        <v/>
      </c>
      <c r="BN942" s="1452" t="str">
        <f t="shared" ca="1" si="533"/>
        <v/>
      </c>
      <c r="BO942" s="1452" t="str">
        <f t="shared" si="546"/>
        <v/>
      </c>
      <c r="BP942" s="1452" t="str">
        <f t="shared" si="534"/>
        <v/>
      </c>
      <c r="BQ942" s="1452" t="str">
        <f t="shared" si="535"/>
        <v/>
      </c>
      <c r="BR942" s="1452" t="str">
        <f t="shared" si="536"/>
        <v/>
      </c>
      <c r="BS942" s="1452" t="str">
        <f t="shared" si="537"/>
        <v/>
      </c>
      <c r="BT942" s="1452" t="str">
        <f t="shared" si="538"/>
        <v/>
      </c>
      <c r="BU942" s="1452" t="str">
        <f t="shared" si="539"/>
        <v/>
      </c>
      <c r="BV942" s="1452" t="str">
        <f t="shared" si="540"/>
        <v/>
      </c>
      <c r="BW942" s="1558">
        <f t="shared" ca="1" si="547"/>
        <v>0</v>
      </c>
    </row>
    <row r="943" spans="1:75" s="9" customFormat="1" ht="12.5">
      <c r="A943" s="1483" t="str">
        <f t="shared" si="541"/>
        <v>Public Health Wales Trust</v>
      </c>
      <c r="B943" s="1583"/>
      <c r="C943" s="1510"/>
      <c r="D943" s="1494"/>
      <c r="E943" s="1593"/>
      <c r="F943" s="1436"/>
      <c r="G943" s="1547">
        <f t="shared" si="542"/>
        <v>0</v>
      </c>
      <c r="H943" s="1484"/>
      <c r="I943" s="1547">
        <f t="shared" si="543"/>
        <v>0</v>
      </c>
      <c r="J943" s="1495"/>
      <c r="K943" s="1495"/>
      <c r="L943" s="1436"/>
      <c r="M943" s="1439"/>
      <c r="N943" s="1439"/>
      <c r="O943" s="1485"/>
      <c r="P943" s="1486"/>
      <c r="Q943" s="1486"/>
      <c r="R943" s="1487"/>
      <c r="S943" s="1444"/>
      <c r="T943" s="1444"/>
      <c r="U943" s="1444"/>
      <c r="V943" s="1488"/>
      <c r="W943" s="1488"/>
      <c r="X943" s="1488"/>
      <c r="Y943" s="1488"/>
      <c r="Z943" s="1488"/>
      <c r="AA943" s="1488"/>
      <c r="AB943" s="1488"/>
      <c r="AC943" s="1488"/>
      <c r="AD943" s="1488"/>
      <c r="AE943" s="1488"/>
      <c r="AF943" s="1488"/>
      <c r="AG943" s="1488"/>
      <c r="AH943" s="1451">
        <f t="shared" si="515"/>
        <v>0</v>
      </c>
      <c r="AI943" s="1488"/>
      <c r="AJ943" s="1488"/>
      <c r="AK943" s="1488"/>
      <c r="AL943" s="1488"/>
      <c r="AM943" s="1488"/>
      <c r="AN943" s="1488"/>
      <c r="AO943" s="1488"/>
      <c r="AP943" s="1488"/>
      <c r="AQ943" s="1488"/>
      <c r="AR943" s="1488"/>
      <c r="AS943" s="1488"/>
      <c r="AT943" s="1542"/>
      <c r="AU943" s="1599">
        <f t="shared" si="516"/>
        <v>0</v>
      </c>
      <c r="AV943" s="1544">
        <f t="shared" si="544"/>
        <v>0</v>
      </c>
      <c r="AW943" s="1452">
        <f t="shared" si="517"/>
        <v>0</v>
      </c>
      <c r="AX943" s="1452">
        <f t="shared" si="518"/>
        <v>0</v>
      </c>
      <c r="AY943" s="1452">
        <f t="shared" si="519"/>
        <v>0</v>
      </c>
      <c r="AZ943" s="1452">
        <f t="shared" si="520"/>
        <v>0</v>
      </c>
      <c r="BA943" s="1452">
        <f t="shared" si="521"/>
        <v>0</v>
      </c>
      <c r="BB943" s="1452">
        <f t="shared" si="522"/>
        <v>0</v>
      </c>
      <c r="BC943" s="1452">
        <f t="shared" si="523"/>
        <v>0</v>
      </c>
      <c r="BD943" s="1452">
        <f t="shared" si="524"/>
        <v>0</v>
      </c>
      <c r="BE943" s="1452">
        <f t="shared" si="525"/>
        <v>0</v>
      </c>
      <c r="BF943" s="1452">
        <f t="shared" si="526"/>
        <v>0</v>
      </c>
      <c r="BG943" s="1452">
        <f t="shared" si="527"/>
        <v>0</v>
      </c>
      <c r="BH943" s="1452">
        <f t="shared" si="528"/>
        <v>0</v>
      </c>
      <c r="BI943" s="1452">
        <f t="shared" si="545"/>
        <v>0</v>
      </c>
      <c r="BJ943" s="1452" t="str">
        <f t="shared" si="529"/>
        <v/>
      </c>
      <c r="BK943" s="1452" t="str">
        <f t="shared" si="530"/>
        <v/>
      </c>
      <c r="BL943" s="1452" t="str">
        <f t="shared" si="531"/>
        <v/>
      </c>
      <c r="BM943" s="1452" t="str">
        <f t="shared" si="532"/>
        <v/>
      </c>
      <c r="BN943" s="1452" t="str">
        <f t="shared" ca="1" si="533"/>
        <v/>
      </c>
      <c r="BO943" s="1452" t="str">
        <f t="shared" si="546"/>
        <v/>
      </c>
      <c r="BP943" s="1452" t="str">
        <f t="shared" si="534"/>
        <v/>
      </c>
      <c r="BQ943" s="1452" t="str">
        <f t="shared" si="535"/>
        <v/>
      </c>
      <c r="BR943" s="1452" t="str">
        <f t="shared" si="536"/>
        <v/>
      </c>
      <c r="BS943" s="1452" t="str">
        <f t="shared" si="537"/>
        <v/>
      </c>
      <c r="BT943" s="1452" t="str">
        <f t="shared" si="538"/>
        <v/>
      </c>
      <c r="BU943" s="1452" t="str">
        <f t="shared" si="539"/>
        <v/>
      </c>
      <c r="BV943" s="1452" t="str">
        <f t="shared" si="540"/>
        <v/>
      </c>
      <c r="BW943" s="1558">
        <f t="shared" ca="1" si="547"/>
        <v>0</v>
      </c>
    </row>
    <row r="944" spans="1:75" s="9" customFormat="1" ht="12.5">
      <c r="A944" s="1483" t="str">
        <f t="shared" si="541"/>
        <v>Public Health Wales Trust</v>
      </c>
      <c r="B944" s="1583"/>
      <c r="C944" s="1510"/>
      <c r="D944" s="1494"/>
      <c r="E944" s="1593"/>
      <c r="F944" s="1436"/>
      <c r="G944" s="1547">
        <f t="shared" si="542"/>
        <v>0</v>
      </c>
      <c r="H944" s="1484"/>
      <c r="I944" s="1547">
        <f t="shared" si="543"/>
        <v>0</v>
      </c>
      <c r="J944" s="1507"/>
      <c r="K944" s="1507"/>
      <c r="L944" s="1436"/>
      <c r="M944" s="1439"/>
      <c r="N944" s="1439"/>
      <c r="O944" s="1485"/>
      <c r="P944" s="1486"/>
      <c r="Q944" s="1486"/>
      <c r="R944" s="1487"/>
      <c r="S944" s="1444"/>
      <c r="T944" s="1444"/>
      <c r="U944" s="1444"/>
      <c r="V944" s="1488"/>
      <c r="W944" s="1488"/>
      <c r="X944" s="1488"/>
      <c r="Y944" s="1488"/>
      <c r="Z944" s="1488"/>
      <c r="AA944" s="1488"/>
      <c r="AB944" s="1488"/>
      <c r="AC944" s="1488"/>
      <c r="AD944" s="1488"/>
      <c r="AE944" s="1488"/>
      <c r="AF944" s="1488"/>
      <c r="AG944" s="1488"/>
      <c r="AH944" s="1451">
        <f t="shared" si="515"/>
        <v>0</v>
      </c>
      <c r="AI944" s="1488"/>
      <c r="AJ944" s="1488"/>
      <c r="AK944" s="1488"/>
      <c r="AL944" s="1488"/>
      <c r="AM944" s="1488"/>
      <c r="AN944" s="1488"/>
      <c r="AO944" s="1488"/>
      <c r="AP944" s="1488"/>
      <c r="AQ944" s="1488"/>
      <c r="AR944" s="1488"/>
      <c r="AS944" s="1488"/>
      <c r="AT944" s="1542"/>
      <c r="AU944" s="1599">
        <f t="shared" si="516"/>
        <v>0</v>
      </c>
      <c r="AV944" s="1544">
        <f t="shared" si="544"/>
        <v>0</v>
      </c>
      <c r="AW944" s="1452">
        <f t="shared" si="517"/>
        <v>0</v>
      </c>
      <c r="AX944" s="1452">
        <f t="shared" si="518"/>
        <v>0</v>
      </c>
      <c r="AY944" s="1452">
        <f t="shared" si="519"/>
        <v>0</v>
      </c>
      <c r="AZ944" s="1452">
        <f t="shared" si="520"/>
        <v>0</v>
      </c>
      <c r="BA944" s="1452">
        <f t="shared" si="521"/>
        <v>0</v>
      </c>
      <c r="BB944" s="1452">
        <f t="shared" si="522"/>
        <v>0</v>
      </c>
      <c r="BC944" s="1452">
        <f t="shared" si="523"/>
        <v>0</v>
      </c>
      <c r="BD944" s="1452">
        <f t="shared" si="524"/>
        <v>0</v>
      </c>
      <c r="BE944" s="1452">
        <f t="shared" si="525"/>
        <v>0</v>
      </c>
      <c r="BF944" s="1452">
        <f t="shared" si="526"/>
        <v>0</v>
      </c>
      <c r="BG944" s="1452">
        <f t="shared" si="527"/>
        <v>0</v>
      </c>
      <c r="BH944" s="1452">
        <f t="shared" si="528"/>
        <v>0</v>
      </c>
      <c r="BI944" s="1452">
        <f t="shared" si="545"/>
        <v>0</v>
      </c>
      <c r="BJ944" s="1452" t="str">
        <f t="shared" si="529"/>
        <v/>
      </c>
      <c r="BK944" s="1452" t="str">
        <f t="shared" si="530"/>
        <v/>
      </c>
      <c r="BL944" s="1452" t="str">
        <f t="shared" si="531"/>
        <v/>
      </c>
      <c r="BM944" s="1452" t="str">
        <f t="shared" si="532"/>
        <v/>
      </c>
      <c r="BN944" s="1452" t="str">
        <f t="shared" ca="1" si="533"/>
        <v/>
      </c>
      <c r="BO944" s="1452" t="str">
        <f t="shared" si="546"/>
        <v/>
      </c>
      <c r="BP944" s="1452" t="str">
        <f t="shared" si="534"/>
        <v/>
      </c>
      <c r="BQ944" s="1452" t="str">
        <f t="shared" si="535"/>
        <v/>
      </c>
      <c r="BR944" s="1452" t="str">
        <f t="shared" si="536"/>
        <v/>
      </c>
      <c r="BS944" s="1452" t="str">
        <f t="shared" si="537"/>
        <v/>
      </c>
      <c r="BT944" s="1452" t="str">
        <f t="shared" si="538"/>
        <v/>
      </c>
      <c r="BU944" s="1452" t="str">
        <f t="shared" si="539"/>
        <v/>
      </c>
      <c r="BV944" s="1452" t="str">
        <f t="shared" si="540"/>
        <v/>
      </c>
      <c r="BW944" s="1558">
        <f t="shared" ca="1" si="547"/>
        <v>0</v>
      </c>
    </row>
    <row r="945" spans="1:75" s="9" customFormat="1" ht="12.5">
      <c r="A945" s="1483" t="str">
        <f t="shared" si="541"/>
        <v>Public Health Wales Trust</v>
      </c>
      <c r="B945" s="1583"/>
      <c r="C945" s="1510"/>
      <c r="D945" s="1494"/>
      <c r="E945" s="1593"/>
      <c r="F945" s="1436"/>
      <c r="G945" s="1547">
        <f t="shared" si="542"/>
        <v>0</v>
      </c>
      <c r="H945" s="1484"/>
      <c r="I945" s="1547">
        <f t="shared" si="543"/>
        <v>0</v>
      </c>
      <c r="J945" s="1512"/>
      <c r="K945" s="1512"/>
      <c r="L945" s="1436"/>
      <c r="M945" s="1439"/>
      <c r="N945" s="1439"/>
      <c r="O945" s="1485"/>
      <c r="P945" s="1486"/>
      <c r="Q945" s="1486"/>
      <c r="R945" s="1487"/>
      <c r="S945" s="1444"/>
      <c r="T945" s="1444"/>
      <c r="U945" s="1444"/>
      <c r="V945" s="1488"/>
      <c r="W945" s="1488"/>
      <c r="X945" s="1488"/>
      <c r="Y945" s="1488"/>
      <c r="Z945" s="1488"/>
      <c r="AA945" s="1488"/>
      <c r="AB945" s="1488"/>
      <c r="AC945" s="1488"/>
      <c r="AD945" s="1488"/>
      <c r="AE945" s="1488"/>
      <c r="AF945" s="1488"/>
      <c r="AG945" s="1488"/>
      <c r="AH945" s="1451">
        <f t="shared" si="515"/>
        <v>0</v>
      </c>
      <c r="AI945" s="1488"/>
      <c r="AJ945" s="1488"/>
      <c r="AK945" s="1488"/>
      <c r="AL945" s="1488"/>
      <c r="AM945" s="1488"/>
      <c r="AN945" s="1488"/>
      <c r="AO945" s="1488"/>
      <c r="AP945" s="1488"/>
      <c r="AQ945" s="1488"/>
      <c r="AR945" s="1488"/>
      <c r="AS945" s="1488"/>
      <c r="AT945" s="1542"/>
      <c r="AU945" s="1599">
        <f t="shared" si="516"/>
        <v>0</v>
      </c>
      <c r="AV945" s="1544">
        <f t="shared" si="544"/>
        <v>0</v>
      </c>
      <c r="AW945" s="1452">
        <f t="shared" si="517"/>
        <v>0</v>
      </c>
      <c r="AX945" s="1452">
        <f t="shared" si="518"/>
        <v>0</v>
      </c>
      <c r="AY945" s="1452">
        <f t="shared" si="519"/>
        <v>0</v>
      </c>
      <c r="AZ945" s="1452">
        <f t="shared" si="520"/>
        <v>0</v>
      </c>
      <c r="BA945" s="1452">
        <f t="shared" si="521"/>
        <v>0</v>
      </c>
      <c r="BB945" s="1452">
        <f t="shared" si="522"/>
        <v>0</v>
      </c>
      <c r="BC945" s="1452">
        <f t="shared" si="523"/>
        <v>0</v>
      </c>
      <c r="BD945" s="1452">
        <f t="shared" si="524"/>
        <v>0</v>
      </c>
      <c r="BE945" s="1452">
        <f t="shared" si="525"/>
        <v>0</v>
      </c>
      <c r="BF945" s="1452">
        <f t="shared" si="526"/>
        <v>0</v>
      </c>
      <c r="BG945" s="1452">
        <f t="shared" si="527"/>
        <v>0</v>
      </c>
      <c r="BH945" s="1452">
        <f t="shared" si="528"/>
        <v>0</v>
      </c>
      <c r="BI945" s="1452">
        <f t="shared" si="545"/>
        <v>0</v>
      </c>
      <c r="BJ945" s="1452" t="str">
        <f t="shared" si="529"/>
        <v/>
      </c>
      <c r="BK945" s="1452" t="str">
        <f t="shared" si="530"/>
        <v/>
      </c>
      <c r="BL945" s="1452" t="str">
        <f t="shared" si="531"/>
        <v/>
      </c>
      <c r="BM945" s="1452" t="str">
        <f t="shared" si="532"/>
        <v/>
      </c>
      <c r="BN945" s="1452" t="str">
        <f t="shared" ca="1" si="533"/>
        <v/>
      </c>
      <c r="BO945" s="1452" t="str">
        <f t="shared" si="546"/>
        <v/>
      </c>
      <c r="BP945" s="1452" t="str">
        <f t="shared" si="534"/>
        <v/>
      </c>
      <c r="BQ945" s="1452" t="str">
        <f t="shared" si="535"/>
        <v/>
      </c>
      <c r="BR945" s="1452" t="str">
        <f t="shared" si="536"/>
        <v/>
      </c>
      <c r="BS945" s="1452" t="str">
        <f t="shared" si="537"/>
        <v/>
      </c>
      <c r="BT945" s="1452" t="str">
        <f t="shared" si="538"/>
        <v/>
      </c>
      <c r="BU945" s="1452" t="str">
        <f t="shared" si="539"/>
        <v/>
      </c>
      <c r="BV945" s="1452" t="str">
        <f t="shared" si="540"/>
        <v/>
      </c>
      <c r="BW945" s="1558">
        <f t="shared" ca="1" si="547"/>
        <v>0</v>
      </c>
    </row>
    <row r="946" spans="1:75" s="9" customFormat="1" ht="12.5">
      <c r="A946" s="1483" t="str">
        <f t="shared" si="541"/>
        <v>Public Health Wales Trust</v>
      </c>
      <c r="B946" s="1583"/>
      <c r="C946" s="1583"/>
      <c r="D946" s="1509"/>
      <c r="E946" s="1436"/>
      <c r="F946" s="1436"/>
      <c r="G946" s="1547">
        <f t="shared" si="542"/>
        <v>0</v>
      </c>
      <c r="H946" s="1484"/>
      <c r="I946" s="1547">
        <f t="shared" si="543"/>
        <v>0</v>
      </c>
      <c r="J946" s="1495"/>
      <c r="K946" s="1495"/>
      <c r="L946" s="1436"/>
      <c r="M946" s="1439"/>
      <c r="N946" s="1439"/>
      <c r="O946" s="1485"/>
      <c r="P946" s="1486"/>
      <c r="Q946" s="1486"/>
      <c r="R946" s="1487"/>
      <c r="S946" s="1444"/>
      <c r="T946" s="1444"/>
      <c r="U946" s="1444"/>
      <c r="V946" s="1488"/>
      <c r="W946" s="1488"/>
      <c r="X946" s="1488"/>
      <c r="Y946" s="1488"/>
      <c r="Z946" s="1488"/>
      <c r="AA946" s="1488"/>
      <c r="AB946" s="1488"/>
      <c r="AC946" s="1488"/>
      <c r="AD946" s="1488"/>
      <c r="AE946" s="1488"/>
      <c r="AF946" s="1488"/>
      <c r="AG946" s="1488"/>
      <c r="AH946" s="1451">
        <f t="shared" si="515"/>
        <v>0</v>
      </c>
      <c r="AI946" s="1488"/>
      <c r="AJ946" s="1488"/>
      <c r="AK946" s="1488"/>
      <c r="AL946" s="1488"/>
      <c r="AM946" s="1488"/>
      <c r="AN946" s="1488"/>
      <c r="AO946" s="1488"/>
      <c r="AP946" s="1488"/>
      <c r="AQ946" s="1488"/>
      <c r="AR946" s="1488"/>
      <c r="AS946" s="1488"/>
      <c r="AT946" s="1542"/>
      <c r="AU946" s="1599">
        <f t="shared" si="516"/>
        <v>0</v>
      </c>
      <c r="AV946" s="1544">
        <f t="shared" si="544"/>
        <v>0</v>
      </c>
      <c r="AW946" s="1452">
        <f t="shared" si="517"/>
        <v>0</v>
      </c>
      <c r="AX946" s="1452">
        <f t="shared" si="518"/>
        <v>0</v>
      </c>
      <c r="AY946" s="1452">
        <f t="shared" si="519"/>
        <v>0</v>
      </c>
      <c r="AZ946" s="1452">
        <f t="shared" si="520"/>
        <v>0</v>
      </c>
      <c r="BA946" s="1452">
        <f t="shared" si="521"/>
        <v>0</v>
      </c>
      <c r="BB946" s="1452">
        <f t="shared" si="522"/>
        <v>0</v>
      </c>
      <c r="BC946" s="1452">
        <f t="shared" si="523"/>
        <v>0</v>
      </c>
      <c r="BD946" s="1452">
        <f t="shared" si="524"/>
        <v>0</v>
      </c>
      <c r="BE946" s="1452">
        <f t="shared" si="525"/>
        <v>0</v>
      </c>
      <c r="BF946" s="1452">
        <f t="shared" si="526"/>
        <v>0</v>
      </c>
      <c r="BG946" s="1452">
        <f t="shared" si="527"/>
        <v>0</v>
      </c>
      <c r="BH946" s="1452">
        <f t="shared" si="528"/>
        <v>0</v>
      </c>
      <c r="BI946" s="1452">
        <f t="shared" si="545"/>
        <v>0</v>
      </c>
      <c r="BJ946" s="1452" t="str">
        <f t="shared" si="529"/>
        <v/>
      </c>
      <c r="BK946" s="1452" t="str">
        <f t="shared" si="530"/>
        <v/>
      </c>
      <c r="BL946" s="1452" t="str">
        <f t="shared" si="531"/>
        <v/>
      </c>
      <c r="BM946" s="1452" t="str">
        <f t="shared" si="532"/>
        <v/>
      </c>
      <c r="BN946" s="1452" t="str">
        <f t="shared" ca="1" si="533"/>
        <v/>
      </c>
      <c r="BO946" s="1452" t="str">
        <f t="shared" si="546"/>
        <v/>
      </c>
      <c r="BP946" s="1452" t="str">
        <f t="shared" si="534"/>
        <v/>
      </c>
      <c r="BQ946" s="1452" t="str">
        <f t="shared" si="535"/>
        <v/>
      </c>
      <c r="BR946" s="1452" t="str">
        <f t="shared" si="536"/>
        <v/>
      </c>
      <c r="BS946" s="1452" t="str">
        <f t="shared" si="537"/>
        <v/>
      </c>
      <c r="BT946" s="1452" t="str">
        <f t="shared" si="538"/>
        <v/>
      </c>
      <c r="BU946" s="1452" t="str">
        <f t="shared" si="539"/>
        <v/>
      </c>
      <c r="BV946" s="1452" t="str">
        <f t="shared" si="540"/>
        <v/>
      </c>
      <c r="BW946" s="1558">
        <f t="shared" ca="1" si="547"/>
        <v>0</v>
      </c>
    </row>
    <row r="947" spans="1:75" s="9" customFormat="1" ht="12.5">
      <c r="A947" s="1483" t="str">
        <f t="shared" si="541"/>
        <v>Public Health Wales Trust</v>
      </c>
      <c r="B947" s="1583"/>
      <c r="C947" s="1510"/>
      <c r="D947" s="1494"/>
      <c r="E947" s="1444"/>
      <c r="F947" s="1436"/>
      <c r="G947" s="1547">
        <f t="shared" si="542"/>
        <v>0</v>
      </c>
      <c r="H947" s="1484"/>
      <c r="I947" s="1547">
        <f t="shared" si="543"/>
        <v>0</v>
      </c>
      <c r="J947" s="1495"/>
      <c r="K947" s="1495"/>
      <c r="L947" s="1436"/>
      <c r="M947" s="1500"/>
      <c r="N947" s="1439"/>
      <c r="O947" s="1485"/>
      <c r="P947" s="1486"/>
      <c r="Q947" s="1486"/>
      <c r="R947" s="1487"/>
      <c r="S947" s="1444"/>
      <c r="T947" s="1444"/>
      <c r="U947" s="1444"/>
      <c r="V947" s="1488"/>
      <c r="W947" s="1488"/>
      <c r="X947" s="1488"/>
      <c r="Y947" s="1488"/>
      <c r="Z947" s="1488"/>
      <c r="AA947" s="1488"/>
      <c r="AB947" s="1488"/>
      <c r="AC947" s="1488"/>
      <c r="AD947" s="1488"/>
      <c r="AE947" s="1488"/>
      <c r="AF947" s="1488"/>
      <c r="AG947" s="1488"/>
      <c r="AH947" s="1451">
        <f t="shared" si="515"/>
        <v>0</v>
      </c>
      <c r="AI947" s="1488"/>
      <c r="AJ947" s="1488"/>
      <c r="AK947" s="1488"/>
      <c r="AL947" s="1488"/>
      <c r="AM947" s="1488"/>
      <c r="AN947" s="1488"/>
      <c r="AO947" s="1488"/>
      <c r="AP947" s="1488"/>
      <c r="AQ947" s="1488"/>
      <c r="AR947" s="1488"/>
      <c r="AS947" s="1488"/>
      <c r="AT947" s="1542"/>
      <c r="AU947" s="1599">
        <f t="shared" si="516"/>
        <v>0</v>
      </c>
      <c r="AV947" s="1544">
        <f t="shared" si="544"/>
        <v>0</v>
      </c>
      <c r="AW947" s="1452">
        <f t="shared" si="517"/>
        <v>0</v>
      </c>
      <c r="AX947" s="1452">
        <f t="shared" si="518"/>
        <v>0</v>
      </c>
      <c r="AY947" s="1452">
        <f t="shared" si="519"/>
        <v>0</v>
      </c>
      <c r="AZ947" s="1452">
        <f t="shared" si="520"/>
        <v>0</v>
      </c>
      <c r="BA947" s="1452">
        <f t="shared" si="521"/>
        <v>0</v>
      </c>
      <c r="BB947" s="1452">
        <f t="shared" si="522"/>
        <v>0</v>
      </c>
      <c r="BC947" s="1452">
        <f t="shared" si="523"/>
        <v>0</v>
      </c>
      <c r="BD947" s="1452">
        <f t="shared" si="524"/>
        <v>0</v>
      </c>
      <c r="BE947" s="1452">
        <f t="shared" si="525"/>
        <v>0</v>
      </c>
      <c r="BF947" s="1452">
        <f t="shared" si="526"/>
        <v>0</v>
      </c>
      <c r="BG947" s="1452">
        <f t="shared" si="527"/>
        <v>0</v>
      </c>
      <c r="BH947" s="1452">
        <f t="shared" si="528"/>
        <v>0</v>
      </c>
      <c r="BI947" s="1452">
        <f t="shared" si="545"/>
        <v>0</v>
      </c>
      <c r="BJ947" s="1452" t="str">
        <f t="shared" si="529"/>
        <v/>
      </c>
      <c r="BK947" s="1452" t="str">
        <f t="shared" si="530"/>
        <v/>
      </c>
      <c r="BL947" s="1452" t="str">
        <f t="shared" si="531"/>
        <v/>
      </c>
      <c r="BM947" s="1452" t="str">
        <f t="shared" si="532"/>
        <v/>
      </c>
      <c r="BN947" s="1452" t="str">
        <f t="shared" ca="1" si="533"/>
        <v/>
      </c>
      <c r="BO947" s="1452" t="str">
        <f t="shared" si="546"/>
        <v/>
      </c>
      <c r="BP947" s="1452" t="str">
        <f t="shared" si="534"/>
        <v/>
      </c>
      <c r="BQ947" s="1452" t="str">
        <f t="shared" si="535"/>
        <v/>
      </c>
      <c r="BR947" s="1452" t="str">
        <f t="shared" si="536"/>
        <v/>
      </c>
      <c r="BS947" s="1452" t="str">
        <f t="shared" si="537"/>
        <v/>
      </c>
      <c r="BT947" s="1452" t="str">
        <f t="shared" si="538"/>
        <v/>
      </c>
      <c r="BU947" s="1452" t="str">
        <f t="shared" si="539"/>
        <v/>
      </c>
      <c r="BV947" s="1452" t="str">
        <f t="shared" si="540"/>
        <v/>
      </c>
      <c r="BW947" s="1558">
        <f t="shared" ca="1" si="547"/>
        <v>0</v>
      </c>
    </row>
    <row r="948" spans="1:75" s="9" customFormat="1" ht="12.5">
      <c r="A948" s="1483" t="str">
        <f t="shared" si="541"/>
        <v>Public Health Wales Trust</v>
      </c>
      <c r="B948" s="1583"/>
      <c r="C948" s="1583"/>
      <c r="D948" s="1509"/>
      <c r="E948" s="1444"/>
      <c r="F948" s="1436"/>
      <c r="G948" s="1547">
        <f t="shared" si="542"/>
        <v>0</v>
      </c>
      <c r="H948" s="1484"/>
      <c r="I948" s="1547">
        <f t="shared" si="543"/>
        <v>0</v>
      </c>
      <c r="J948" s="1495"/>
      <c r="K948" s="1495"/>
      <c r="L948" s="1436"/>
      <c r="M948" s="1500"/>
      <c r="N948" s="1439"/>
      <c r="O948" s="1485"/>
      <c r="P948" s="1486"/>
      <c r="Q948" s="1486"/>
      <c r="R948" s="1487"/>
      <c r="S948" s="1444"/>
      <c r="T948" s="1444"/>
      <c r="U948" s="1444"/>
      <c r="V948" s="1488"/>
      <c r="W948" s="1488"/>
      <c r="X948" s="1488"/>
      <c r="Y948" s="1488"/>
      <c r="Z948" s="1488"/>
      <c r="AA948" s="1488"/>
      <c r="AB948" s="1488"/>
      <c r="AC948" s="1488"/>
      <c r="AD948" s="1488"/>
      <c r="AE948" s="1488"/>
      <c r="AF948" s="1488"/>
      <c r="AG948" s="1488"/>
      <c r="AH948" s="1451">
        <f t="shared" si="515"/>
        <v>0</v>
      </c>
      <c r="AI948" s="1488"/>
      <c r="AJ948" s="1488"/>
      <c r="AK948" s="1488"/>
      <c r="AL948" s="1488"/>
      <c r="AM948" s="1488"/>
      <c r="AN948" s="1488"/>
      <c r="AO948" s="1488"/>
      <c r="AP948" s="1488"/>
      <c r="AQ948" s="1488"/>
      <c r="AR948" s="1488"/>
      <c r="AS948" s="1488"/>
      <c r="AT948" s="1542"/>
      <c r="AU948" s="1599">
        <f t="shared" si="516"/>
        <v>0</v>
      </c>
      <c r="AV948" s="1544">
        <f t="shared" si="544"/>
        <v>0</v>
      </c>
      <c r="AW948" s="1452">
        <f t="shared" si="517"/>
        <v>0</v>
      </c>
      <c r="AX948" s="1452">
        <f t="shared" si="518"/>
        <v>0</v>
      </c>
      <c r="AY948" s="1452">
        <f t="shared" si="519"/>
        <v>0</v>
      </c>
      <c r="AZ948" s="1452">
        <f t="shared" si="520"/>
        <v>0</v>
      </c>
      <c r="BA948" s="1452">
        <f t="shared" si="521"/>
        <v>0</v>
      </c>
      <c r="BB948" s="1452">
        <f t="shared" si="522"/>
        <v>0</v>
      </c>
      <c r="BC948" s="1452">
        <f t="shared" si="523"/>
        <v>0</v>
      </c>
      <c r="BD948" s="1452">
        <f t="shared" si="524"/>
        <v>0</v>
      </c>
      <c r="BE948" s="1452">
        <f t="shared" si="525"/>
        <v>0</v>
      </c>
      <c r="BF948" s="1452">
        <f t="shared" si="526"/>
        <v>0</v>
      </c>
      <c r="BG948" s="1452">
        <f t="shared" si="527"/>
        <v>0</v>
      </c>
      <c r="BH948" s="1452">
        <f t="shared" si="528"/>
        <v>0</v>
      </c>
      <c r="BI948" s="1452">
        <f t="shared" si="545"/>
        <v>0</v>
      </c>
      <c r="BJ948" s="1452" t="str">
        <f t="shared" si="529"/>
        <v/>
      </c>
      <c r="BK948" s="1452" t="str">
        <f t="shared" si="530"/>
        <v/>
      </c>
      <c r="BL948" s="1452" t="str">
        <f t="shared" si="531"/>
        <v/>
      </c>
      <c r="BM948" s="1452" t="str">
        <f t="shared" si="532"/>
        <v/>
      </c>
      <c r="BN948" s="1452" t="str">
        <f t="shared" ca="1" si="533"/>
        <v/>
      </c>
      <c r="BO948" s="1452" t="str">
        <f t="shared" si="546"/>
        <v/>
      </c>
      <c r="BP948" s="1452" t="str">
        <f t="shared" si="534"/>
        <v/>
      </c>
      <c r="BQ948" s="1452" t="str">
        <f t="shared" si="535"/>
        <v/>
      </c>
      <c r="BR948" s="1452" t="str">
        <f t="shared" si="536"/>
        <v/>
      </c>
      <c r="BS948" s="1452" t="str">
        <f t="shared" si="537"/>
        <v/>
      </c>
      <c r="BT948" s="1452" t="str">
        <f t="shared" si="538"/>
        <v/>
      </c>
      <c r="BU948" s="1452" t="str">
        <f t="shared" si="539"/>
        <v/>
      </c>
      <c r="BV948" s="1452" t="str">
        <f t="shared" si="540"/>
        <v/>
      </c>
      <c r="BW948" s="1558">
        <f t="shared" ca="1" si="547"/>
        <v>0</v>
      </c>
    </row>
    <row r="949" spans="1:75" s="9" customFormat="1" ht="12.5">
      <c r="A949" s="1483" t="str">
        <f t="shared" si="541"/>
        <v>Public Health Wales Trust</v>
      </c>
      <c r="B949" s="1583"/>
      <c r="C949" s="1510"/>
      <c r="D949" s="1494"/>
      <c r="E949" s="1593"/>
      <c r="F949" s="1436"/>
      <c r="G949" s="1547">
        <f t="shared" si="542"/>
        <v>0</v>
      </c>
      <c r="H949" s="1484"/>
      <c r="I949" s="1547">
        <f t="shared" si="543"/>
        <v>0</v>
      </c>
      <c r="J949" s="1485"/>
      <c r="K949" s="1485"/>
      <c r="L949" s="1436"/>
      <c r="M949" s="1439"/>
      <c r="N949" s="1439"/>
      <c r="O949" s="1485"/>
      <c r="P949" s="1486"/>
      <c r="Q949" s="1486"/>
      <c r="R949" s="1487"/>
      <c r="S949" s="1444"/>
      <c r="T949" s="1444"/>
      <c r="U949" s="1444"/>
      <c r="V949" s="1488"/>
      <c r="W949" s="1488"/>
      <c r="X949" s="1488"/>
      <c r="Y949" s="1488"/>
      <c r="Z949" s="1488"/>
      <c r="AA949" s="1488"/>
      <c r="AB949" s="1488"/>
      <c r="AC949" s="1488"/>
      <c r="AD949" s="1488"/>
      <c r="AE949" s="1488"/>
      <c r="AF949" s="1488"/>
      <c r="AG949" s="1488"/>
      <c r="AH949" s="1451">
        <f t="shared" si="515"/>
        <v>0</v>
      </c>
      <c r="AI949" s="1488"/>
      <c r="AJ949" s="1488"/>
      <c r="AK949" s="1488"/>
      <c r="AL949" s="1488"/>
      <c r="AM949" s="1488"/>
      <c r="AN949" s="1488"/>
      <c r="AO949" s="1488"/>
      <c r="AP949" s="1488"/>
      <c r="AQ949" s="1488"/>
      <c r="AR949" s="1488"/>
      <c r="AS949" s="1488"/>
      <c r="AT949" s="1542"/>
      <c r="AU949" s="1599">
        <f t="shared" si="516"/>
        <v>0</v>
      </c>
      <c r="AV949" s="1544">
        <f t="shared" si="544"/>
        <v>0</v>
      </c>
      <c r="AW949" s="1452">
        <f t="shared" si="517"/>
        <v>0</v>
      </c>
      <c r="AX949" s="1452">
        <f t="shared" si="518"/>
        <v>0</v>
      </c>
      <c r="AY949" s="1452">
        <f t="shared" si="519"/>
        <v>0</v>
      </c>
      <c r="AZ949" s="1452">
        <f t="shared" si="520"/>
        <v>0</v>
      </c>
      <c r="BA949" s="1452">
        <f t="shared" si="521"/>
        <v>0</v>
      </c>
      <c r="BB949" s="1452">
        <f t="shared" si="522"/>
        <v>0</v>
      </c>
      <c r="BC949" s="1452">
        <f t="shared" si="523"/>
        <v>0</v>
      </c>
      <c r="BD949" s="1452">
        <f t="shared" si="524"/>
        <v>0</v>
      </c>
      <c r="BE949" s="1452">
        <f t="shared" si="525"/>
        <v>0</v>
      </c>
      <c r="BF949" s="1452">
        <f t="shared" si="526"/>
        <v>0</v>
      </c>
      <c r="BG949" s="1452">
        <f t="shared" si="527"/>
        <v>0</v>
      </c>
      <c r="BH949" s="1452">
        <f t="shared" si="528"/>
        <v>0</v>
      </c>
      <c r="BI949" s="1452">
        <f t="shared" si="545"/>
        <v>0</v>
      </c>
      <c r="BJ949" s="1452" t="str">
        <f t="shared" si="529"/>
        <v/>
      </c>
      <c r="BK949" s="1452" t="str">
        <f t="shared" si="530"/>
        <v/>
      </c>
      <c r="BL949" s="1452" t="str">
        <f t="shared" si="531"/>
        <v/>
      </c>
      <c r="BM949" s="1452" t="str">
        <f t="shared" si="532"/>
        <v/>
      </c>
      <c r="BN949" s="1452" t="str">
        <f t="shared" ca="1" si="533"/>
        <v/>
      </c>
      <c r="BO949" s="1452" t="str">
        <f t="shared" si="546"/>
        <v/>
      </c>
      <c r="BP949" s="1452" t="str">
        <f t="shared" si="534"/>
        <v/>
      </c>
      <c r="BQ949" s="1452" t="str">
        <f t="shared" si="535"/>
        <v/>
      </c>
      <c r="BR949" s="1452" t="str">
        <f t="shared" si="536"/>
        <v/>
      </c>
      <c r="BS949" s="1452" t="str">
        <f t="shared" si="537"/>
        <v/>
      </c>
      <c r="BT949" s="1452" t="str">
        <f t="shared" si="538"/>
        <v/>
      </c>
      <c r="BU949" s="1452" t="str">
        <f t="shared" si="539"/>
        <v/>
      </c>
      <c r="BV949" s="1452" t="str">
        <f t="shared" si="540"/>
        <v/>
      </c>
      <c r="BW949" s="1558">
        <f t="shared" ca="1" si="547"/>
        <v>0</v>
      </c>
    </row>
    <row r="950" spans="1:75" s="9" customFormat="1" ht="12.5">
      <c r="A950" s="1483" t="str">
        <f t="shared" si="541"/>
        <v>Public Health Wales Trust</v>
      </c>
      <c r="B950" s="1583"/>
      <c r="C950" s="1510"/>
      <c r="D950" s="1494"/>
      <c r="E950" s="1593"/>
      <c r="F950" s="1436"/>
      <c r="G950" s="1547">
        <f t="shared" si="542"/>
        <v>0</v>
      </c>
      <c r="H950" s="1484"/>
      <c r="I950" s="1547">
        <f t="shared" si="543"/>
        <v>0</v>
      </c>
      <c r="J950" s="1485"/>
      <c r="K950" s="1485"/>
      <c r="L950" s="1436"/>
      <c r="M950" s="1439"/>
      <c r="N950" s="1439"/>
      <c r="O950" s="1485"/>
      <c r="P950" s="1486"/>
      <c r="Q950" s="1486"/>
      <c r="R950" s="1487"/>
      <c r="S950" s="1444"/>
      <c r="T950" s="1444"/>
      <c r="U950" s="1444"/>
      <c r="V950" s="1488"/>
      <c r="W950" s="1488"/>
      <c r="X950" s="1488"/>
      <c r="Y950" s="1488"/>
      <c r="Z950" s="1488"/>
      <c r="AA950" s="1488"/>
      <c r="AB950" s="1488"/>
      <c r="AC950" s="1488"/>
      <c r="AD950" s="1488"/>
      <c r="AE950" s="1488"/>
      <c r="AF950" s="1488"/>
      <c r="AG950" s="1488"/>
      <c r="AH950" s="1451">
        <f t="shared" si="515"/>
        <v>0</v>
      </c>
      <c r="AI950" s="1488"/>
      <c r="AJ950" s="1488"/>
      <c r="AK950" s="1488"/>
      <c r="AL950" s="1488"/>
      <c r="AM950" s="1488"/>
      <c r="AN950" s="1488"/>
      <c r="AO950" s="1488"/>
      <c r="AP950" s="1488"/>
      <c r="AQ950" s="1488"/>
      <c r="AR950" s="1488"/>
      <c r="AS950" s="1488"/>
      <c r="AT950" s="1542"/>
      <c r="AU950" s="1599">
        <f t="shared" si="516"/>
        <v>0</v>
      </c>
      <c r="AV950" s="1544">
        <f t="shared" si="544"/>
        <v>0</v>
      </c>
      <c r="AW950" s="1452">
        <f t="shared" si="517"/>
        <v>0</v>
      </c>
      <c r="AX950" s="1452">
        <f t="shared" si="518"/>
        <v>0</v>
      </c>
      <c r="AY950" s="1452">
        <f t="shared" si="519"/>
        <v>0</v>
      </c>
      <c r="AZ950" s="1452">
        <f t="shared" si="520"/>
        <v>0</v>
      </c>
      <c r="BA950" s="1452">
        <f t="shared" si="521"/>
        <v>0</v>
      </c>
      <c r="BB950" s="1452">
        <f t="shared" si="522"/>
        <v>0</v>
      </c>
      <c r="BC950" s="1452">
        <f t="shared" si="523"/>
        <v>0</v>
      </c>
      <c r="BD950" s="1452">
        <f t="shared" si="524"/>
        <v>0</v>
      </c>
      <c r="BE950" s="1452">
        <f t="shared" si="525"/>
        <v>0</v>
      </c>
      <c r="BF950" s="1452">
        <f t="shared" si="526"/>
        <v>0</v>
      </c>
      <c r="BG950" s="1452">
        <f t="shared" si="527"/>
        <v>0</v>
      </c>
      <c r="BH950" s="1452">
        <f t="shared" si="528"/>
        <v>0</v>
      </c>
      <c r="BI950" s="1452">
        <f t="shared" si="545"/>
        <v>0</v>
      </c>
      <c r="BJ950" s="1452" t="str">
        <f t="shared" si="529"/>
        <v/>
      </c>
      <c r="BK950" s="1452" t="str">
        <f t="shared" si="530"/>
        <v/>
      </c>
      <c r="BL950" s="1452" t="str">
        <f t="shared" si="531"/>
        <v/>
      </c>
      <c r="BM950" s="1452" t="str">
        <f t="shared" si="532"/>
        <v/>
      </c>
      <c r="BN950" s="1452" t="str">
        <f t="shared" ca="1" si="533"/>
        <v/>
      </c>
      <c r="BO950" s="1452" t="str">
        <f t="shared" si="546"/>
        <v/>
      </c>
      <c r="BP950" s="1452" t="str">
        <f t="shared" si="534"/>
        <v/>
      </c>
      <c r="BQ950" s="1452" t="str">
        <f t="shared" si="535"/>
        <v/>
      </c>
      <c r="BR950" s="1452" t="str">
        <f t="shared" si="536"/>
        <v/>
      </c>
      <c r="BS950" s="1452" t="str">
        <f t="shared" si="537"/>
        <v/>
      </c>
      <c r="BT950" s="1452" t="str">
        <f t="shared" si="538"/>
        <v/>
      </c>
      <c r="BU950" s="1452" t="str">
        <f t="shared" si="539"/>
        <v/>
      </c>
      <c r="BV950" s="1452" t="str">
        <f t="shared" si="540"/>
        <v/>
      </c>
      <c r="BW950" s="1558">
        <f t="shared" ca="1" si="547"/>
        <v>0</v>
      </c>
    </row>
    <row r="951" spans="1:75" s="9" customFormat="1" ht="12.5">
      <c r="A951" s="1483" t="str">
        <f t="shared" si="541"/>
        <v>Public Health Wales Trust</v>
      </c>
      <c r="B951" s="1583"/>
      <c r="C951" s="1510"/>
      <c r="D951" s="1494"/>
      <c r="E951" s="1593"/>
      <c r="F951" s="1436"/>
      <c r="G951" s="1547">
        <f t="shared" si="542"/>
        <v>0</v>
      </c>
      <c r="H951" s="1484"/>
      <c r="I951" s="1547">
        <f t="shared" si="543"/>
        <v>0</v>
      </c>
      <c r="J951" s="1497"/>
      <c r="K951" s="1497"/>
      <c r="L951" s="1436"/>
      <c r="M951" s="1439"/>
      <c r="N951" s="1439"/>
      <c r="O951" s="1485"/>
      <c r="P951" s="1486"/>
      <c r="Q951" s="1486"/>
      <c r="R951" s="1487"/>
      <c r="S951" s="1444"/>
      <c r="T951" s="1444"/>
      <c r="U951" s="1444"/>
      <c r="V951" s="1488"/>
      <c r="W951" s="1488"/>
      <c r="X951" s="1488"/>
      <c r="Y951" s="1488"/>
      <c r="Z951" s="1488"/>
      <c r="AA951" s="1488"/>
      <c r="AB951" s="1488"/>
      <c r="AC951" s="1488"/>
      <c r="AD951" s="1488"/>
      <c r="AE951" s="1488"/>
      <c r="AF951" s="1488"/>
      <c r="AG951" s="1488"/>
      <c r="AH951" s="1451">
        <f t="shared" si="515"/>
        <v>0</v>
      </c>
      <c r="AI951" s="1488"/>
      <c r="AJ951" s="1488"/>
      <c r="AK951" s="1488"/>
      <c r="AL951" s="1488"/>
      <c r="AM951" s="1488"/>
      <c r="AN951" s="1488"/>
      <c r="AO951" s="1488"/>
      <c r="AP951" s="1488"/>
      <c r="AQ951" s="1488"/>
      <c r="AR951" s="1488"/>
      <c r="AS951" s="1488"/>
      <c r="AT951" s="1542"/>
      <c r="AU951" s="1599">
        <f t="shared" si="516"/>
        <v>0</v>
      </c>
      <c r="AV951" s="1544">
        <f t="shared" si="544"/>
        <v>0</v>
      </c>
      <c r="AW951" s="1452">
        <f t="shared" si="517"/>
        <v>0</v>
      </c>
      <c r="AX951" s="1452">
        <f t="shared" si="518"/>
        <v>0</v>
      </c>
      <c r="AY951" s="1452">
        <f t="shared" si="519"/>
        <v>0</v>
      </c>
      <c r="AZ951" s="1452">
        <f t="shared" si="520"/>
        <v>0</v>
      </c>
      <c r="BA951" s="1452">
        <f t="shared" si="521"/>
        <v>0</v>
      </c>
      <c r="BB951" s="1452">
        <f t="shared" si="522"/>
        <v>0</v>
      </c>
      <c r="BC951" s="1452">
        <f t="shared" si="523"/>
        <v>0</v>
      </c>
      <c r="BD951" s="1452">
        <f t="shared" si="524"/>
        <v>0</v>
      </c>
      <c r="BE951" s="1452">
        <f t="shared" si="525"/>
        <v>0</v>
      </c>
      <c r="BF951" s="1452">
        <f t="shared" si="526"/>
        <v>0</v>
      </c>
      <c r="BG951" s="1452">
        <f t="shared" si="527"/>
        <v>0</v>
      </c>
      <c r="BH951" s="1452">
        <f t="shared" si="528"/>
        <v>0</v>
      </c>
      <c r="BI951" s="1452">
        <f t="shared" si="545"/>
        <v>0</v>
      </c>
      <c r="BJ951" s="1452" t="str">
        <f t="shared" si="529"/>
        <v/>
      </c>
      <c r="BK951" s="1452" t="str">
        <f t="shared" si="530"/>
        <v/>
      </c>
      <c r="BL951" s="1452" t="str">
        <f t="shared" si="531"/>
        <v/>
      </c>
      <c r="BM951" s="1452" t="str">
        <f t="shared" si="532"/>
        <v/>
      </c>
      <c r="BN951" s="1452" t="str">
        <f t="shared" ca="1" si="533"/>
        <v/>
      </c>
      <c r="BO951" s="1452" t="str">
        <f t="shared" si="546"/>
        <v/>
      </c>
      <c r="BP951" s="1452" t="str">
        <f t="shared" si="534"/>
        <v/>
      </c>
      <c r="BQ951" s="1452" t="str">
        <f t="shared" si="535"/>
        <v/>
      </c>
      <c r="BR951" s="1452" t="str">
        <f t="shared" si="536"/>
        <v/>
      </c>
      <c r="BS951" s="1452" t="str">
        <f t="shared" si="537"/>
        <v/>
      </c>
      <c r="BT951" s="1452" t="str">
        <f t="shared" si="538"/>
        <v/>
      </c>
      <c r="BU951" s="1452" t="str">
        <f t="shared" si="539"/>
        <v/>
      </c>
      <c r="BV951" s="1452" t="str">
        <f t="shared" si="540"/>
        <v/>
      </c>
      <c r="BW951" s="1558">
        <f t="shared" ca="1" si="547"/>
        <v>0</v>
      </c>
    </row>
    <row r="952" spans="1:75" s="9" customFormat="1" ht="12.5">
      <c r="A952" s="1483" t="str">
        <f t="shared" si="541"/>
        <v>Public Health Wales Trust</v>
      </c>
      <c r="B952" s="1583"/>
      <c r="C952" s="1510"/>
      <c r="D952" s="1494"/>
      <c r="E952" s="1593"/>
      <c r="F952" s="1436"/>
      <c r="G952" s="1547">
        <f t="shared" si="542"/>
        <v>0</v>
      </c>
      <c r="H952" s="1484"/>
      <c r="I952" s="1547">
        <f t="shared" si="543"/>
        <v>0</v>
      </c>
      <c r="J952" s="1497"/>
      <c r="K952" s="1497"/>
      <c r="L952" s="1436"/>
      <c r="M952" s="1439"/>
      <c r="N952" s="1437"/>
      <c r="O952" s="1485"/>
      <c r="P952" s="1486"/>
      <c r="Q952" s="1486"/>
      <c r="R952" s="1487"/>
      <c r="S952" s="1444"/>
      <c r="T952" s="1444"/>
      <c r="U952" s="1444"/>
      <c r="V952" s="1488"/>
      <c r="W952" s="1488"/>
      <c r="X952" s="1488"/>
      <c r="Y952" s="1488"/>
      <c r="Z952" s="1488"/>
      <c r="AA952" s="1488"/>
      <c r="AB952" s="1488"/>
      <c r="AC952" s="1488"/>
      <c r="AD952" s="1488"/>
      <c r="AE952" s="1488"/>
      <c r="AF952" s="1488"/>
      <c r="AG952" s="1488"/>
      <c r="AH952" s="1451">
        <f t="shared" si="515"/>
        <v>0</v>
      </c>
      <c r="AI952" s="1488"/>
      <c r="AJ952" s="1488"/>
      <c r="AK952" s="1488"/>
      <c r="AL952" s="1488"/>
      <c r="AM952" s="1488"/>
      <c r="AN952" s="1488"/>
      <c r="AO952" s="1488"/>
      <c r="AP952" s="1488"/>
      <c r="AQ952" s="1488"/>
      <c r="AR952" s="1488"/>
      <c r="AS952" s="1488"/>
      <c r="AT952" s="1542"/>
      <c r="AU952" s="1599">
        <f t="shared" si="516"/>
        <v>0</v>
      </c>
      <c r="AV952" s="1544">
        <f t="shared" si="544"/>
        <v>0</v>
      </c>
      <c r="AW952" s="1452">
        <f t="shared" si="517"/>
        <v>0</v>
      </c>
      <c r="AX952" s="1452">
        <f t="shared" si="518"/>
        <v>0</v>
      </c>
      <c r="AY952" s="1452">
        <f t="shared" si="519"/>
        <v>0</v>
      </c>
      <c r="AZ952" s="1452">
        <f t="shared" si="520"/>
        <v>0</v>
      </c>
      <c r="BA952" s="1452">
        <f t="shared" si="521"/>
        <v>0</v>
      </c>
      <c r="BB952" s="1452">
        <f t="shared" si="522"/>
        <v>0</v>
      </c>
      <c r="BC952" s="1452">
        <f t="shared" si="523"/>
        <v>0</v>
      </c>
      <c r="BD952" s="1452">
        <f t="shared" si="524"/>
        <v>0</v>
      </c>
      <c r="BE952" s="1452">
        <f t="shared" si="525"/>
        <v>0</v>
      </c>
      <c r="BF952" s="1452">
        <f t="shared" si="526"/>
        <v>0</v>
      </c>
      <c r="BG952" s="1452">
        <f t="shared" si="527"/>
        <v>0</v>
      </c>
      <c r="BH952" s="1452">
        <f t="shared" si="528"/>
        <v>0</v>
      </c>
      <c r="BI952" s="1452">
        <f t="shared" si="545"/>
        <v>0</v>
      </c>
      <c r="BJ952" s="1452" t="str">
        <f t="shared" si="529"/>
        <v/>
      </c>
      <c r="BK952" s="1452" t="str">
        <f t="shared" si="530"/>
        <v/>
      </c>
      <c r="BL952" s="1452" t="str">
        <f t="shared" si="531"/>
        <v/>
      </c>
      <c r="BM952" s="1452" t="str">
        <f t="shared" si="532"/>
        <v/>
      </c>
      <c r="BN952" s="1452" t="str">
        <f t="shared" ca="1" si="533"/>
        <v/>
      </c>
      <c r="BO952" s="1452" t="str">
        <f t="shared" si="546"/>
        <v/>
      </c>
      <c r="BP952" s="1452" t="str">
        <f t="shared" si="534"/>
        <v/>
      </c>
      <c r="BQ952" s="1452" t="str">
        <f t="shared" si="535"/>
        <v/>
      </c>
      <c r="BR952" s="1452" t="str">
        <f t="shared" si="536"/>
        <v/>
      </c>
      <c r="BS952" s="1452" t="str">
        <f t="shared" si="537"/>
        <v/>
      </c>
      <c r="BT952" s="1452" t="str">
        <f t="shared" si="538"/>
        <v/>
      </c>
      <c r="BU952" s="1452" t="str">
        <f t="shared" si="539"/>
        <v/>
      </c>
      <c r="BV952" s="1452" t="str">
        <f t="shared" si="540"/>
        <v/>
      </c>
      <c r="BW952" s="1558">
        <f t="shared" ca="1" si="547"/>
        <v>0</v>
      </c>
    </row>
    <row r="953" spans="1:75" s="9" customFormat="1" ht="12.5">
      <c r="A953" s="1483" t="str">
        <f t="shared" si="541"/>
        <v>Public Health Wales Trust</v>
      </c>
      <c r="B953" s="1583"/>
      <c r="C953" s="1510"/>
      <c r="D953" s="1494"/>
      <c r="E953" s="1593"/>
      <c r="F953" s="1436"/>
      <c r="G953" s="1547">
        <f t="shared" si="542"/>
        <v>0</v>
      </c>
      <c r="H953" s="1484"/>
      <c r="I953" s="1547">
        <f t="shared" si="543"/>
        <v>0</v>
      </c>
      <c r="J953" s="1495"/>
      <c r="K953" s="1495"/>
      <c r="L953" s="1436"/>
      <c r="M953" s="1439"/>
      <c r="N953" s="1439"/>
      <c r="O953" s="1485"/>
      <c r="P953" s="1486"/>
      <c r="Q953" s="1486"/>
      <c r="R953" s="1487"/>
      <c r="S953" s="1444"/>
      <c r="T953" s="1444"/>
      <c r="U953" s="1444"/>
      <c r="V953" s="1488"/>
      <c r="W953" s="1488"/>
      <c r="X953" s="1488"/>
      <c r="Y953" s="1488"/>
      <c r="Z953" s="1488"/>
      <c r="AA953" s="1488"/>
      <c r="AB953" s="1488"/>
      <c r="AC953" s="1488"/>
      <c r="AD953" s="1488"/>
      <c r="AE953" s="1488"/>
      <c r="AF953" s="1488"/>
      <c r="AG953" s="1488"/>
      <c r="AH953" s="1451">
        <f t="shared" si="515"/>
        <v>0</v>
      </c>
      <c r="AI953" s="1488"/>
      <c r="AJ953" s="1488"/>
      <c r="AK953" s="1488"/>
      <c r="AL953" s="1488"/>
      <c r="AM953" s="1488"/>
      <c r="AN953" s="1488"/>
      <c r="AO953" s="1488"/>
      <c r="AP953" s="1488"/>
      <c r="AQ953" s="1488"/>
      <c r="AR953" s="1488"/>
      <c r="AS953" s="1488"/>
      <c r="AT953" s="1542"/>
      <c r="AU953" s="1599">
        <f t="shared" si="516"/>
        <v>0</v>
      </c>
      <c r="AV953" s="1544">
        <f t="shared" si="544"/>
        <v>0</v>
      </c>
      <c r="AW953" s="1452">
        <f t="shared" si="517"/>
        <v>0</v>
      </c>
      <c r="AX953" s="1452">
        <f t="shared" si="518"/>
        <v>0</v>
      </c>
      <c r="AY953" s="1452">
        <f t="shared" si="519"/>
        <v>0</v>
      </c>
      <c r="AZ953" s="1452">
        <f t="shared" si="520"/>
        <v>0</v>
      </c>
      <c r="BA953" s="1452">
        <f t="shared" si="521"/>
        <v>0</v>
      </c>
      <c r="BB953" s="1452">
        <f t="shared" si="522"/>
        <v>0</v>
      </c>
      <c r="BC953" s="1452">
        <f t="shared" si="523"/>
        <v>0</v>
      </c>
      <c r="BD953" s="1452">
        <f t="shared" si="524"/>
        <v>0</v>
      </c>
      <c r="BE953" s="1452">
        <f t="shared" si="525"/>
        <v>0</v>
      </c>
      <c r="BF953" s="1452">
        <f t="shared" si="526"/>
        <v>0</v>
      </c>
      <c r="BG953" s="1452">
        <f t="shared" si="527"/>
        <v>0</v>
      </c>
      <c r="BH953" s="1452">
        <f t="shared" si="528"/>
        <v>0</v>
      </c>
      <c r="BI953" s="1452">
        <f t="shared" si="545"/>
        <v>0</v>
      </c>
      <c r="BJ953" s="1452" t="str">
        <f t="shared" si="529"/>
        <v/>
      </c>
      <c r="BK953" s="1452" t="str">
        <f t="shared" si="530"/>
        <v/>
      </c>
      <c r="BL953" s="1452" t="str">
        <f t="shared" si="531"/>
        <v/>
      </c>
      <c r="BM953" s="1452" t="str">
        <f t="shared" si="532"/>
        <v/>
      </c>
      <c r="BN953" s="1452" t="str">
        <f t="shared" ca="1" si="533"/>
        <v/>
      </c>
      <c r="BO953" s="1452" t="str">
        <f t="shared" si="546"/>
        <v/>
      </c>
      <c r="BP953" s="1452" t="str">
        <f t="shared" si="534"/>
        <v/>
      </c>
      <c r="BQ953" s="1452" t="str">
        <f t="shared" si="535"/>
        <v/>
      </c>
      <c r="BR953" s="1452" t="str">
        <f t="shared" si="536"/>
        <v/>
      </c>
      <c r="BS953" s="1452" t="str">
        <f t="shared" si="537"/>
        <v/>
      </c>
      <c r="BT953" s="1452" t="str">
        <f t="shared" si="538"/>
        <v/>
      </c>
      <c r="BU953" s="1452" t="str">
        <f t="shared" si="539"/>
        <v/>
      </c>
      <c r="BV953" s="1452" t="str">
        <f t="shared" si="540"/>
        <v/>
      </c>
      <c r="BW953" s="1558">
        <f t="shared" ca="1" si="547"/>
        <v>0</v>
      </c>
    </row>
    <row r="954" spans="1:75" s="9" customFormat="1" ht="12.5">
      <c r="A954" s="1483" t="str">
        <f t="shared" si="541"/>
        <v>Public Health Wales Trust</v>
      </c>
      <c r="B954" s="1583"/>
      <c r="C954" s="1510"/>
      <c r="D954" s="1494"/>
      <c r="E954" s="1593"/>
      <c r="F954" s="1436"/>
      <c r="G954" s="1547">
        <f t="shared" si="542"/>
        <v>0</v>
      </c>
      <c r="H954" s="1484"/>
      <c r="I954" s="1547">
        <f t="shared" si="543"/>
        <v>0</v>
      </c>
      <c r="J954" s="1485"/>
      <c r="K954" s="1485"/>
      <c r="L954" s="1436"/>
      <c r="M954" s="1439"/>
      <c r="N954" s="1439"/>
      <c r="O954" s="1485"/>
      <c r="P954" s="1486"/>
      <c r="Q954" s="1486"/>
      <c r="R954" s="1487"/>
      <c r="S954" s="1444"/>
      <c r="T954" s="1444"/>
      <c r="U954" s="1444"/>
      <c r="V954" s="1488"/>
      <c r="W954" s="1488"/>
      <c r="X954" s="1488"/>
      <c r="Y954" s="1488"/>
      <c r="Z954" s="1488"/>
      <c r="AA954" s="1488"/>
      <c r="AB954" s="1488"/>
      <c r="AC954" s="1488"/>
      <c r="AD954" s="1488"/>
      <c r="AE954" s="1488"/>
      <c r="AF954" s="1488"/>
      <c r="AG954" s="1488"/>
      <c r="AH954" s="1451">
        <f t="shared" si="515"/>
        <v>0</v>
      </c>
      <c r="AI954" s="1488"/>
      <c r="AJ954" s="1488"/>
      <c r="AK954" s="1488"/>
      <c r="AL954" s="1488"/>
      <c r="AM954" s="1488"/>
      <c r="AN954" s="1488"/>
      <c r="AO954" s="1488"/>
      <c r="AP954" s="1488"/>
      <c r="AQ954" s="1488"/>
      <c r="AR954" s="1488"/>
      <c r="AS954" s="1488"/>
      <c r="AT954" s="1542"/>
      <c r="AU954" s="1599">
        <f t="shared" si="516"/>
        <v>0</v>
      </c>
      <c r="AV954" s="1544">
        <f t="shared" si="544"/>
        <v>0</v>
      </c>
      <c r="AW954" s="1452">
        <f t="shared" si="517"/>
        <v>0</v>
      </c>
      <c r="AX954" s="1452">
        <f t="shared" si="518"/>
        <v>0</v>
      </c>
      <c r="AY954" s="1452">
        <f t="shared" si="519"/>
        <v>0</v>
      </c>
      <c r="AZ954" s="1452">
        <f t="shared" si="520"/>
        <v>0</v>
      </c>
      <c r="BA954" s="1452">
        <f t="shared" si="521"/>
        <v>0</v>
      </c>
      <c r="BB954" s="1452">
        <f t="shared" si="522"/>
        <v>0</v>
      </c>
      <c r="BC954" s="1452">
        <f t="shared" si="523"/>
        <v>0</v>
      </c>
      <c r="BD954" s="1452">
        <f t="shared" si="524"/>
        <v>0</v>
      </c>
      <c r="BE954" s="1452">
        <f t="shared" si="525"/>
        <v>0</v>
      </c>
      <c r="BF954" s="1452">
        <f t="shared" si="526"/>
        <v>0</v>
      </c>
      <c r="BG954" s="1452">
        <f t="shared" si="527"/>
        <v>0</v>
      </c>
      <c r="BH954" s="1452">
        <f t="shared" si="528"/>
        <v>0</v>
      </c>
      <c r="BI954" s="1452">
        <f t="shared" si="545"/>
        <v>0</v>
      </c>
      <c r="BJ954" s="1452" t="str">
        <f t="shared" si="529"/>
        <v/>
      </c>
      <c r="BK954" s="1452" t="str">
        <f t="shared" si="530"/>
        <v/>
      </c>
      <c r="BL954" s="1452" t="str">
        <f t="shared" si="531"/>
        <v/>
      </c>
      <c r="BM954" s="1452" t="str">
        <f t="shared" si="532"/>
        <v/>
      </c>
      <c r="BN954" s="1452" t="str">
        <f t="shared" ca="1" si="533"/>
        <v/>
      </c>
      <c r="BO954" s="1452" t="str">
        <f t="shared" si="546"/>
        <v/>
      </c>
      <c r="BP954" s="1452" t="str">
        <f t="shared" si="534"/>
        <v/>
      </c>
      <c r="BQ954" s="1452" t="str">
        <f t="shared" si="535"/>
        <v/>
      </c>
      <c r="BR954" s="1452" t="str">
        <f t="shared" si="536"/>
        <v/>
      </c>
      <c r="BS954" s="1452" t="str">
        <f t="shared" si="537"/>
        <v/>
      </c>
      <c r="BT954" s="1452" t="str">
        <f t="shared" si="538"/>
        <v/>
      </c>
      <c r="BU954" s="1452" t="str">
        <f t="shared" si="539"/>
        <v/>
      </c>
      <c r="BV954" s="1452" t="str">
        <f t="shared" si="540"/>
        <v/>
      </c>
      <c r="BW954" s="1558">
        <f t="shared" ca="1" si="547"/>
        <v>0</v>
      </c>
    </row>
    <row r="955" spans="1:75" s="9" customFormat="1" ht="12.5">
      <c r="A955" s="1483" t="str">
        <f t="shared" si="541"/>
        <v>Public Health Wales Trust</v>
      </c>
      <c r="B955" s="1583"/>
      <c r="C955" s="1510"/>
      <c r="D955" s="1494"/>
      <c r="E955" s="1593"/>
      <c r="F955" s="1436"/>
      <c r="G955" s="1547">
        <f t="shared" si="542"/>
        <v>0</v>
      </c>
      <c r="H955" s="1484"/>
      <c r="I955" s="1547">
        <f t="shared" si="543"/>
        <v>0</v>
      </c>
      <c r="J955" s="1485"/>
      <c r="K955" s="1485"/>
      <c r="L955" s="1436"/>
      <c r="M955" s="1439"/>
      <c r="N955" s="1439"/>
      <c r="O955" s="1485"/>
      <c r="P955" s="1486"/>
      <c r="Q955" s="1486"/>
      <c r="R955" s="1487"/>
      <c r="S955" s="1444"/>
      <c r="T955" s="1444"/>
      <c r="U955" s="1444"/>
      <c r="V955" s="1488"/>
      <c r="W955" s="1488"/>
      <c r="X955" s="1488"/>
      <c r="Y955" s="1488"/>
      <c r="Z955" s="1488"/>
      <c r="AA955" s="1488"/>
      <c r="AB955" s="1488"/>
      <c r="AC955" s="1488"/>
      <c r="AD955" s="1488"/>
      <c r="AE955" s="1488"/>
      <c r="AF955" s="1488"/>
      <c r="AG955" s="1488"/>
      <c r="AH955" s="1451">
        <f t="shared" si="515"/>
        <v>0</v>
      </c>
      <c r="AI955" s="1488"/>
      <c r="AJ955" s="1488"/>
      <c r="AK955" s="1488"/>
      <c r="AL955" s="1488"/>
      <c r="AM955" s="1488"/>
      <c r="AN955" s="1488"/>
      <c r="AO955" s="1488"/>
      <c r="AP955" s="1488"/>
      <c r="AQ955" s="1488"/>
      <c r="AR955" s="1488"/>
      <c r="AS955" s="1488"/>
      <c r="AT955" s="1542"/>
      <c r="AU955" s="1599">
        <f t="shared" si="516"/>
        <v>0</v>
      </c>
      <c r="AV955" s="1544">
        <f t="shared" si="544"/>
        <v>0</v>
      </c>
      <c r="AW955" s="1452">
        <f t="shared" si="517"/>
        <v>0</v>
      </c>
      <c r="AX955" s="1452">
        <f t="shared" si="518"/>
        <v>0</v>
      </c>
      <c r="AY955" s="1452">
        <f t="shared" si="519"/>
        <v>0</v>
      </c>
      <c r="AZ955" s="1452">
        <f t="shared" si="520"/>
        <v>0</v>
      </c>
      <c r="BA955" s="1452">
        <f t="shared" si="521"/>
        <v>0</v>
      </c>
      <c r="BB955" s="1452">
        <f t="shared" si="522"/>
        <v>0</v>
      </c>
      <c r="BC955" s="1452">
        <f t="shared" si="523"/>
        <v>0</v>
      </c>
      <c r="BD955" s="1452">
        <f t="shared" si="524"/>
        <v>0</v>
      </c>
      <c r="BE955" s="1452">
        <f t="shared" si="525"/>
        <v>0</v>
      </c>
      <c r="BF955" s="1452">
        <f t="shared" si="526"/>
        <v>0</v>
      </c>
      <c r="BG955" s="1452">
        <f t="shared" si="527"/>
        <v>0</v>
      </c>
      <c r="BH955" s="1452">
        <f t="shared" si="528"/>
        <v>0</v>
      </c>
      <c r="BI955" s="1452">
        <f t="shared" si="545"/>
        <v>0</v>
      </c>
      <c r="BJ955" s="1452" t="str">
        <f t="shared" si="529"/>
        <v/>
      </c>
      <c r="BK955" s="1452" t="str">
        <f t="shared" si="530"/>
        <v/>
      </c>
      <c r="BL955" s="1452" t="str">
        <f t="shared" si="531"/>
        <v/>
      </c>
      <c r="BM955" s="1452" t="str">
        <f t="shared" si="532"/>
        <v/>
      </c>
      <c r="BN955" s="1452" t="str">
        <f t="shared" ca="1" si="533"/>
        <v/>
      </c>
      <c r="BO955" s="1452" t="str">
        <f t="shared" si="546"/>
        <v/>
      </c>
      <c r="BP955" s="1452" t="str">
        <f t="shared" si="534"/>
        <v/>
      </c>
      <c r="BQ955" s="1452" t="str">
        <f t="shared" si="535"/>
        <v/>
      </c>
      <c r="BR955" s="1452" t="str">
        <f t="shared" si="536"/>
        <v/>
      </c>
      <c r="BS955" s="1452" t="str">
        <f t="shared" si="537"/>
        <v/>
      </c>
      <c r="BT955" s="1452" t="str">
        <f t="shared" si="538"/>
        <v/>
      </c>
      <c r="BU955" s="1452" t="str">
        <f t="shared" si="539"/>
        <v/>
      </c>
      <c r="BV955" s="1452" t="str">
        <f t="shared" si="540"/>
        <v/>
      </c>
      <c r="BW955" s="1558">
        <f t="shared" ca="1" si="547"/>
        <v>0</v>
      </c>
    </row>
    <row r="956" spans="1:75" s="9" customFormat="1" ht="12.5">
      <c r="A956" s="1483" t="str">
        <f t="shared" si="541"/>
        <v>Public Health Wales Trust</v>
      </c>
      <c r="B956" s="1583"/>
      <c r="C956" s="1510"/>
      <c r="D956" s="1494"/>
      <c r="E956" s="1593"/>
      <c r="F956" s="1436"/>
      <c r="G956" s="1547">
        <f t="shared" si="542"/>
        <v>0</v>
      </c>
      <c r="H956" s="1484"/>
      <c r="I956" s="1547">
        <f t="shared" si="543"/>
        <v>0</v>
      </c>
      <c r="J956" s="1508"/>
      <c r="K956" s="1508"/>
      <c r="L956" s="1436"/>
      <c r="M956" s="1439"/>
      <c r="N956" s="1439"/>
      <c r="O956" s="1485"/>
      <c r="P956" s="1486"/>
      <c r="Q956" s="1486"/>
      <c r="R956" s="1487"/>
      <c r="S956" s="1444"/>
      <c r="T956" s="1444"/>
      <c r="U956" s="1444"/>
      <c r="V956" s="1488"/>
      <c r="W956" s="1488"/>
      <c r="X956" s="1488"/>
      <c r="Y956" s="1488"/>
      <c r="Z956" s="1488"/>
      <c r="AA956" s="1488"/>
      <c r="AB956" s="1488"/>
      <c r="AC956" s="1488"/>
      <c r="AD956" s="1488"/>
      <c r="AE956" s="1488"/>
      <c r="AF956" s="1488"/>
      <c r="AG956" s="1488"/>
      <c r="AH956" s="1451">
        <f t="shared" si="515"/>
        <v>0</v>
      </c>
      <c r="AI956" s="1488"/>
      <c r="AJ956" s="1488"/>
      <c r="AK956" s="1488"/>
      <c r="AL956" s="1488"/>
      <c r="AM956" s="1488"/>
      <c r="AN956" s="1488"/>
      <c r="AO956" s="1488"/>
      <c r="AP956" s="1488"/>
      <c r="AQ956" s="1488"/>
      <c r="AR956" s="1488"/>
      <c r="AS956" s="1488"/>
      <c r="AT956" s="1542"/>
      <c r="AU956" s="1599">
        <f t="shared" si="516"/>
        <v>0</v>
      </c>
      <c r="AV956" s="1544">
        <f t="shared" si="544"/>
        <v>0</v>
      </c>
      <c r="AW956" s="1452">
        <f t="shared" si="517"/>
        <v>0</v>
      </c>
      <c r="AX956" s="1452">
        <f t="shared" si="518"/>
        <v>0</v>
      </c>
      <c r="AY956" s="1452">
        <f t="shared" si="519"/>
        <v>0</v>
      </c>
      <c r="AZ956" s="1452">
        <f t="shared" si="520"/>
        <v>0</v>
      </c>
      <c r="BA956" s="1452">
        <f t="shared" si="521"/>
        <v>0</v>
      </c>
      <c r="BB956" s="1452">
        <f t="shared" si="522"/>
        <v>0</v>
      </c>
      <c r="BC956" s="1452">
        <f t="shared" si="523"/>
        <v>0</v>
      </c>
      <c r="BD956" s="1452">
        <f t="shared" si="524"/>
        <v>0</v>
      </c>
      <c r="BE956" s="1452">
        <f t="shared" si="525"/>
        <v>0</v>
      </c>
      <c r="BF956" s="1452">
        <f t="shared" si="526"/>
        <v>0</v>
      </c>
      <c r="BG956" s="1452">
        <f t="shared" si="527"/>
        <v>0</v>
      </c>
      <c r="BH956" s="1452">
        <f t="shared" si="528"/>
        <v>0</v>
      </c>
      <c r="BI956" s="1452">
        <f t="shared" si="545"/>
        <v>0</v>
      </c>
      <c r="BJ956" s="1452" t="str">
        <f t="shared" si="529"/>
        <v/>
      </c>
      <c r="BK956" s="1452" t="str">
        <f t="shared" si="530"/>
        <v/>
      </c>
      <c r="BL956" s="1452" t="str">
        <f t="shared" si="531"/>
        <v/>
      </c>
      <c r="BM956" s="1452" t="str">
        <f t="shared" si="532"/>
        <v/>
      </c>
      <c r="BN956" s="1452" t="str">
        <f t="shared" ca="1" si="533"/>
        <v/>
      </c>
      <c r="BO956" s="1452" t="str">
        <f t="shared" si="546"/>
        <v/>
      </c>
      <c r="BP956" s="1452" t="str">
        <f t="shared" si="534"/>
        <v/>
      </c>
      <c r="BQ956" s="1452" t="str">
        <f t="shared" si="535"/>
        <v/>
      </c>
      <c r="BR956" s="1452" t="str">
        <f t="shared" si="536"/>
        <v/>
      </c>
      <c r="BS956" s="1452" t="str">
        <f t="shared" si="537"/>
        <v/>
      </c>
      <c r="BT956" s="1452" t="str">
        <f t="shared" si="538"/>
        <v/>
      </c>
      <c r="BU956" s="1452" t="str">
        <f t="shared" si="539"/>
        <v/>
      </c>
      <c r="BV956" s="1452" t="str">
        <f t="shared" si="540"/>
        <v/>
      </c>
      <c r="BW956" s="1558">
        <f t="shared" ca="1" si="547"/>
        <v>0</v>
      </c>
    </row>
    <row r="957" spans="1:75" s="9" customFormat="1" ht="12.5">
      <c r="A957" s="1483" t="str">
        <f t="shared" si="541"/>
        <v>Public Health Wales Trust</v>
      </c>
      <c r="B957" s="1583"/>
      <c r="C957" s="1510"/>
      <c r="D957" s="1494"/>
      <c r="E957" s="1593"/>
      <c r="F957" s="1436"/>
      <c r="G957" s="1547">
        <f t="shared" si="542"/>
        <v>0</v>
      </c>
      <c r="H957" s="1484"/>
      <c r="I957" s="1547">
        <f t="shared" si="543"/>
        <v>0</v>
      </c>
      <c r="J957" s="1513"/>
      <c r="K957" s="1513"/>
      <c r="L957" s="1436"/>
      <c r="M957" s="1439"/>
      <c r="N957" s="1439"/>
      <c r="O957" s="1485"/>
      <c r="P957" s="1486"/>
      <c r="Q957" s="1486"/>
      <c r="R957" s="1487"/>
      <c r="S957" s="1444"/>
      <c r="T957" s="1444"/>
      <c r="U957" s="1444"/>
      <c r="V957" s="1488"/>
      <c r="W957" s="1488"/>
      <c r="X957" s="1488"/>
      <c r="Y957" s="1488"/>
      <c r="Z957" s="1488"/>
      <c r="AA957" s="1488"/>
      <c r="AB957" s="1488"/>
      <c r="AC957" s="1488"/>
      <c r="AD957" s="1488"/>
      <c r="AE957" s="1488"/>
      <c r="AF957" s="1488"/>
      <c r="AG957" s="1488"/>
      <c r="AH957" s="1451">
        <f t="shared" si="515"/>
        <v>0</v>
      </c>
      <c r="AI957" s="1488"/>
      <c r="AJ957" s="1488"/>
      <c r="AK957" s="1488"/>
      <c r="AL957" s="1488"/>
      <c r="AM957" s="1488"/>
      <c r="AN957" s="1488"/>
      <c r="AO957" s="1488"/>
      <c r="AP957" s="1488"/>
      <c r="AQ957" s="1488"/>
      <c r="AR957" s="1488"/>
      <c r="AS957" s="1488"/>
      <c r="AT957" s="1542"/>
      <c r="AU957" s="1599">
        <f t="shared" si="516"/>
        <v>0</v>
      </c>
      <c r="AV957" s="1544">
        <f t="shared" si="544"/>
        <v>0</v>
      </c>
      <c r="AW957" s="1452">
        <f t="shared" si="517"/>
        <v>0</v>
      </c>
      <c r="AX957" s="1452">
        <f t="shared" si="518"/>
        <v>0</v>
      </c>
      <c r="AY957" s="1452">
        <f t="shared" si="519"/>
        <v>0</v>
      </c>
      <c r="AZ957" s="1452">
        <f t="shared" si="520"/>
        <v>0</v>
      </c>
      <c r="BA957" s="1452">
        <f t="shared" si="521"/>
        <v>0</v>
      </c>
      <c r="BB957" s="1452">
        <f t="shared" si="522"/>
        <v>0</v>
      </c>
      <c r="BC957" s="1452">
        <f t="shared" si="523"/>
        <v>0</v>
      </c>
      <c r="BD957" s="1452">
        <f t="shared" si="524"/>
        <v>0</v>
      </c>
      <c r="BE957" s="1452">
        <f t="shared" si="525"/>
        <v>0</v>
      </c>
      <c r="BF957" s="1452">
        <f t="shared" si="526"/>
        <v>0</v>
      </c>
      <c r="BG957" s="1452">
        <f t="shared" si="527"/>
        <v>0</v>
      </c>
      <c r="BH957" s="1452">
        <f t="shared" si="528"/>
        <v>0</v>
      </c>
      <c r="BI957" s="1452">
        <f t="shared" si="545"/>
        <v>0</v>
      </c>
      <c r="BJ957" s="1452" t="str">
        <f t="shared" si="529"/>
        <v/>
      </c>
      <c r="BK957" s="1452" t="str">
        <f t="shared" si="530"/>
        <v/>
      </c>
      <c r="BL957" s="1452" t="str">
        <f t="shared" si="531"/>
        <v/>
      </c>
      <c r="BM957" s="1452" t="str">
        <f t="shared" si="532"/>
        <v/>
      </c>
      <c r="BN957" s="1452" t="str">
        <f t="shared" ca="1" si="533"/>
        <v/>
      </c>
      <c r="BO957" s="1452" t="str">
        <f t="shared" si="546"/>
        <v/>
      </c>
      <c r="BP957" s="1452" t="str">
        <f t="shared" si="534"/>
        <v/>
      </c>
      <c r="BQ957" s="1452" t="str">
        <f t="shared" si="535"/>
        <v/>
      </c>
      <c r="BR957" s="1452" t="str">
        <f t="shared" si="536"/>
        <v/>
      </c>
      <c r="BS957" s="1452" t="str">
        <f t="shared" si="537"/>
        <v/>
      </c>
      <c r="BT957" s="1452" t="str">
        <f t="shared" si="538"/>
        <v/>
      </c>
      <c r="BU957" s="1452" t="str">
        <f t="shared" si="539"/>
        <v/>
      </c>
      <c r="BV957" s="1452" t="str">
        <f t="shared" si="540"/>
        <v/>
      </c>
      <c r="BW957" s="1558">
        <f t="shared" ca="1" si="547"/>
        <v>0</v>
      </c>
    </row>
    <row r="958" spans="1:75" s="9" customFormat="1" ht="12.5">
      <c r="A958" s="1483" t="str">
        <f t="shared" si="541"/>
        <v>Public Health Wales Trust</v>
      </c>
      <c r="B958" s="1583"/>
      <c r="C958" s="1510"/>
      <c r="D958" s="1494"/>
      <c r="E958" s="1593"/>
      <c r="F958" s="1436"/>
      <c r="G958" s="1547">
        <f t="shared" si="542"/>
        <v>0</v>
      </c>
      <c r="H958" s="1484"/>
      <c r="I958" s="1547">
        <f t="shared" si="543"/>
        <v>0</v>
      </c>
      <c r="J958" s="1495"/>
      <c r="K958" s="1495"/>
      <c r="L958" s="1436"/>
      <c r="M958" s="1439"/>
      <c r="N958" s="1439"/>
      <c r="O958" s="1485"/>
      <c r="P958" s="1486"/>
      <c r="Q958" s="1486"/>
      <c r="R958" s="1487"/>
      <c r="S958" s="1444"/>
      <c r="T958" s="1444"/>
      <c r="U958" s="1444"/>
      <c r="V958" s="1488"/>
      <c r="W958" s="1488"/>
      <c r="X958" s="1488"/>
      <c r="Y958" s="1488"/>
      <c r="Z958" s="1488"/>
      <c r="AA958" s="1488"/>
      <c r="AB958" s="1488"/>
      <c r="AC958" s="1488"/>
      <c r="AD958" s="1488"/>
      <c r="AE958" s="1488"/>
      <c r="AF958" s="1488"/>
      <c r="AG958" s="1488"/>
      <c r="AH958" s="1451">
        <f t="shared" si="515"/>
        <v>0</v>
      </c>
      <c r="AI958" s="1488"/>
      <c r="AJ958" s="1488"/>
      <c r="AK958" s="1488"/>
      <c r="AL958" s="1488"/>
      <c r="AM958" s="1488"/>
      <c r="AN958" s="1488"/>
      <c r="AO958" s="1488"/>
      <c r="AP958" s="1488"/>
      <c r="AQ958" s="1488"/>
      <c r="AR958" s="1488"/>
      <c r="AS958" s="1488"/>
      <c r="AT958" s="1542"/>
      <c r="AU958" s="1599">
        <f t="shared" si="516"/>
        <v>0</v>
      </c>
      <c r="AV958" s="1544">
        <f t="shared" si="544"/>
        <v>0</v>
      </c>
      <c r="AW958" s="1452">
        <f t="shared" si="517"/>
        <v>0</v>
      </c>
      <c r="AX958" s="1452">
        <f t="shared" si="518"/>
        <v>0</v>
      </c>
      <c r="AY958" s="1452">
        <f t="shared" si="519"/>
        <v>0</v>
      </c>
      <c r="AZ958" s="1452">
        <f t="shared" si="520"/>
        <v>0</v>
      </c>
      <c r="BA958" s="1452">
        <f t="shared" si="521"/>
        <v>0</v>
      </c>
      <c r="BB958" s="1452">
        <f t="shared" si="522"/>
        <v>0</v>
      </c>
      <c r="BC958" s="1452">
        <f t="shared" si="523"/>
        <v>0</v>
      </c>
      <c r="BD958" s="1452">
        <f t="shared" si="524"/>
        <v>0</v>
      </c>
      <c r="BE958" s="1452">
        <f t="shared" si="525"/>
        <v>0</v>
      </c>
      <c r="BF958" s="1452">
        <f t="shared" si="526"/>
        <v>0</v>
      </c>
      <c r="BG958" s="1452">
        <f t="shared" si="527"/>
        <v>0</v>
      </c>
      <c r="BH958" s="1452">
        <f t="shared" si="528"/>
        <v>0</v>
      </c>
      <c r="BI958" s="1452">
        <f t="shared" si="545"/>
        <v>0</v>
      </c>
      <c r="BJ958" s="1452" t="str">
        <f t="shared" si="529"/>
        <v/>
      </c>
      <c r="BK958" s="1452" t="str">
        <f t="shared" si="530"/>
        <v/>
      </c>
      <c r="BL958" s="1452" t="str">
        <f t="shared" si="531"/>
        <v/>
      </c>
      <c r="BM958" s="1452" t="str">
        <f t="shared" si="532"/>
        <v/>
      </c>
      <c r="BN958" s="1452" t="str">
        <f t="shared" ca="1" si="533"/>
        <v/>
      </c>
      <c r="BO958" s="1452" t="str">
        <f t="shared" si="546"/>
        <v/>
      </c>
      <c r="BP958" s="1452" t="str">
        <f t="shared" si="534"/>
        <v/>
      </c>
      <c r="BQ958" s="1452" t="str">
        <f t="shared" si="535"/>
        <v/>
      </c>
      <c r="BR958" s="1452" t="str">
        <f t="shared" si="536"/>
        <v/>
      </c>
      <c r="BS958" s="1452" t="str">
        <f t="shared" si="537"/>
        <v/>
      </c>
      <c r="BT958" s="1452" t="str">
        <f t="shared" si="538"/>
        <v/>
      </c>
      <c r="BU958" s="1452" t="str">
        <f t="shared" si="539"/>
        <v/>
      </c>
      <c r="BV958" s="1452" t="str">
        <f t="shared" si="540"/>
        <v/>
      </c>
      <c r="BW958" s="1558">
        <f t="shared" ca="1" si="547"/>
        <v>0</v>
      </c>
    </row>
    <row r="959" spans="1:75" s="9" customFormat="1" ht="12.5">
      <c r="A959" s="1483" t="str">
        <f t="shared" si="541"/>
        <v>Public Health Wales Trust</v>
      </c>
      <c r="B959" s="1583"/>
      <c r="C959" s="1510"/>
      <c r="D959" s="1494"/>
      <c r="E959" s="1593"/>
      <c r="F959" s="1436"/>
      <c r="G959" s="1547">
        <f t="shared" si="542"/>
        <v>0</v>
      </c>
      <c r="H959" s="1484"/>
      <c r="I959" s="1547">
        <f t="shared" si="543"/>
        <v>0</v>
      </c>
      <c r="J959" s="1497"/>
      <c r="K959" s="1497"/>
      <c r="L959" s="1436"/>
      <c r="M959" s="1439"/>
      <c r="N959" s="1439"/>
      <c r="O959" s="1485"/>
      <c r="P959" s="1486"/>
      <c r="Q959" s="1486"/>
      <c r="R959" s="1487"/>
      <c r="S959" s="1444"/>
      <c r="T959" s="1444"/>
      <c r="U959" s="1444"/>
      <c r="V959" s="1488"/>
      <c r="W959" s="1488"/>
      <c r="X959" s="1488"/>
      <c r="Y959" s="1488"/>
      <c r="Z959" s="1488"/>
      <c r="AA959" s="1488"/>
      <c r="AB959" s="1488"/>
      <c r="AC959" s="1488"/>
      <c r="AD959" s="1488"/>
      <c r="AE959" s="1488"/>
      <c r="AF959" s="1488"/>
      <c r="AG959" s="1488"/>
      <c r="AH959" s="1451">
        <f t="shared" si="515"/>
        <v>0</v>
      </c>
      <c r="AI959" s="1488"/>
      <c r="AJ959" s="1488"/>
      <c r="AK959" s="1488"/>
      <c r="AL959" s="1488"/>
      <c r="AM959" s="1488"/>
      <c r="AN959" s="1488"/>
      <c r="AO959" s="1488"/>
      <c r="AP959" s="1488"/>
      <c r="AQ959" s="1488"/>
      <c r="AR959" s="1488"/>
      <c r="AS959" s="1488"/>
      <c r="AT959" s="1542"/>
      <c r="AU959" s="1599">
        <f t="shared" si="516"/>
        <v>0</v>
      </c>
      <c r="AV959" s="1544">
        <f t="shared" si="544"/>
        <v>0</v>
      </c>
      <c r="AW959" s="1452">
        <f t="shared" si="517"/>
        <v>0</v>
      </c>
      <c r="AX959" s="1452">
        <f t="shared" si="518"/>
        <v>0</v>
      </c>
      <c r="AY959" s="1452">
        <f t="shared" si="519"/>
        <v>0</v>
      </c>
      <c r="AZ959" s="1452">
        <f t="shared" si="520"/>
        <v>0</v>
      </c>
      <c r="BA959" s="1452">
        <f t="shared" si="521"/>
        <v>0</v>
      </c>
      <c r="BB959" s="1452">
        <f t="shared" si="522"/>
        <v>0</v>
      </c>
      <c r="BC959" s="1452">
        <f t="shared" si="523"/>
        <v>0</v>
      </c>
      <c r="BD959" s="1452">
        <f t="shared" si="524"/>
        <v>0</v>
      </c>
      <c r="BE959" s="1452">
        <f t="shared" si="525"/>
        <v>0</v>
      </c>
      <c r="BF959" s="1452">
        <f t="shared" si="526"/>
        <v>0</v>
      </c>
      <c r="BG959" s="1452">
        <f t="shared" si="527"/>
        <v>0</v>
      </c>
      <c r="BH959" s="1452">
        <f t="shared" si="528"/>
        <v>0</v>
      </c>
      <c r="BI959" s="1452">
        <f t="shared" si="545"/>
        <v>0</v>
      </c>
      <c r="BJ959" s="1452" t="str">
        <f t="shared" si="529"/>
        <v/>
      </c>
      <c r="BK959" s="1452" t="str">
        <f t="shared" si="530"/>
        <v/>
      </c>
      <c r="BL959" s="1452" t="str">
        <f t="shared" si="531"/>
        <v/>
      </c>
      <c r="BM959" s="1452" t="str">
        <f t="shared" si="532"/>
        <v/>
      </c>
      <c r="BN959" s="1452" t="str">
        <f t="shared" ca="1" si="533"/>
        <v/>
      </c>
      <c r="BO959" s="1452" t="str">
        <f t="shared" si="546"/>
        <v/>
      </c>
      <c r="BP959" s="1452" t="str">
        <f t="shared" si="534"/>
        <v/>
      </c>
      <c r="BQ959" s="1452" t="str">
        <f t="shared" si="535"/>
        <v/>
      </c>
      <c r="BR959" s="1452" t="str">
        <f t="shared" si="536"/>
        <v/>
      </c>
      <c r="BS959" s="1452" t="str">
        <f t="shared" si="537"/>
        <v/>
      </c>
      <c r="BT959" s="1452" t="str">
        <f t="shared" si="538"/>
        <v/>
      </c>
      <c r="BU959" s="1452" t="str">
        <f t="shared" si="539"/>
        <v/>
      </c>
      <c r="BV959" s="1452" t="str">
        <f t="shared" si="540"/>
        <v/>
      </c>
      <c r="BW959" s="1558">
        <f t="shared" ca="1" si="547"/>
        <v>0</v>
      </c>
    </row>
    <row r="960" spans="1:75" s="9" customFormat="1" ht="12.5">
      <c r="A960" s="1483" t="str">
        <f t="shared" si="541"/>
        <v>Public Health Wales Trust</v>
      </c>
      <c r="B960" s="1583"/>
      <c r="C960" s="1510"/>
      <c r="D960" s="1494"/>
      <c r="E960" s="1593"/>
      <c r="F960" s="1436"/>
      <c r="G960" s="1547">
        <f t="shared" si="542"/>
        <v>0</v>
      </c>
      <c r="H960" s="1484"/>
      <c r="I960" s="1547">
        <f t="shared" si="543"/>
        <v>0</v>
      </c>
      <c r="J960" s="1495"/>
      <c r="K960" s="1495"/>
      <c r="L960" s="1436"/>
      <c r="M960" s="1439"/>
      <c r="N960" s="1439"/>
      <c r="O960" s="1485"/>
      <c r="P960" s="1486"/>
      <c r="Q960" s="1486"/>
      <c r="R960" s="1487"/>
      <c r="S960" s="1444"/>
      <c r="T960" s="1444"/>
      <c r="U960" s="1444"/>
      <c r="V960" s="1488"/>
      <c r="W960" s="1488"/>
      <c r="X960" s="1488"/>
      <c r="Y960" s="1488"/>
      <c r="Z960" s="1488"/>
      <c r="AA960" s="1488"/>
      <c r="AB960" s="1488"/>
      <c r="AC960" s="1488"/>
      <c r="AD960" s="1488"/>
      <c r="AE960" s="1488"/>
      <c r="AF960" s="1488"/>
      <c r="AG960" s="1488"/>
      <c r="AH960" s="1451">
        <f t="shared" si="515"/>
        <v>0</v>
      </c>
      <c r="AI960" s="1488"/>
      <c r="AJ960" s="1488"/>
      <c r="AK960" s="1488"/>
      <c r="AL960" s="1488"/>
      <c r="AM960" s="1488"/>
      <c r="AN960" s="1488"/>
      <c r="AO960" s="1488"/>
      <c r="AP960" s="1488"/>
      <c r="AQ960" s="1488"/>
      <c r="AR960" s="1488"/>
      <c r="AS960" s="1488"/>
      <c r="AT960" s="1542"/>
      <c r="AU960" s="1599">
        <f t="shared" si="516"/>
        <v>0</v>
      </c>
      <c r="AV960" s="1544">
        <f t="shared" si="544"/>
        <v>0</v>
      </c>
      <c r="AW960" s="1452">
        <f t="shared" si="517"/>
        <v>0</v>
      </c>
      <c r="AX960" s="1452">
        <f t="shared" si="518"/>
        <v>0</v>
      </c>
      <c r="AY960" s="1452">
        <f t="shared" si="519"/>
        <v>0</v>
      </c>
      <c r="AZ960" s="1452">
        <f t="shared" si="520"/>
        <v>0</v>
      </c>
      <c r="BA960" s="1452">
        <f t="shared" si="521"/>
        <v>0</v>
      </c>
      <c r="BB960" s="1452">
        <f t="shared" si="522"/>
        <v>0</v>
      </c>
      <c r="BC960" s="1452">
        <f t="shared" si="523"/>
        <v>0</v>
      </c>
      <c r="BD960" s="1452">
        <f t="shared" si="524"/>
        <v>0</v>
      </c>
      <c r="BE960" s="1452">
        <f t="shared" si="525"/>
        <v>0</v>
      </c>
      <c r="BF960" s="1452">
        <f t="shared" si="526"/>
        <v>0</v>
      </c>
      <c r="BG960" s="1452">
        <f t="shared" si="527"/>
        <v>0</v>
      </c>
      <c r="BH960" s="1452">
        <f t="shared" si="528"/>
        <v>0</v>
      </c>
      <c r="BI960" s="1452">
        <f t="shared" si="545"/>
        <v>0</v>
      </c>
      <c r="BJ960" s="1452" t="str">
        <f t="shared" si="529"/>
        <v/>
      </c>
      <c r="BK960" s="1452" t="str">
        <f t="shared" si="530"/>
        <v/>
      </c>
      <c r="BL960" s="1452" t="str">
        <f t="shared" si="531"/>
        <v/>
      </c>
      <c r="BM960" s="1452" t="str">
        <f t="shared" si="532"/>
        <v/>
      </c>
      <c r="BN960" s="1452" t="str">
        <f t="shared" ca="1" si="533"/>
        <v/>
      </c>
      <c r="BO960" s="1452" t="str">
        <f t="shared" si="546"/>
        <v/>
      </c>
      <c r="BP960" s="1452" t="str">
        <f t="shared" si="534"/>
        <v/>
      </c>
      <c r="BQ960" s="1452" t="str">
        <f t="shared" si="535"/>
        <v/>
      </c>
      <c r="BR960" s="1452" t="str">
        <f t="shared" si="536"/>
        <v/>
      </c>
      <c r="BS960" s="1452" t="str">
        <f t="shared" si="537"/>
        <v/>
      </c>
      <c r="BT960" s="1452" t="str">
        <f t="shared" si="538"/>
        <v/>
      </c>
      <c r="BU960" s="1452" t="str">
        <f t="shared" si="539"/>
        <v/>
      </c>
      <c r="BV960" s="1452" t="str">
        <f t="shared" si="540"/>
        <v/>
      </c>
      <c r="BW960" s="1558">
        <f t="shared" ca="1" si="547"/>
        <v>0</v>
      </c>
    </row>
    <row r="961" spans="1:75" s="9" customFormat="1" ht="12.5">
      <c r="A961" s="1483" t="str">
        <f t="shared" si="541"/>
        <v>Public Health Wales Trust</v>
      </c>
      <c r="B961" s="1583"/>
      <c r="C961" s="1510"/>
      <c r="D961" s="1494"/>
      <c r="E961" s="1593"/>
      <c r="F961" s="1436"/>
      <c r="G961" s="1547">
        <f t="shared" si="542"/>
        <v>0</v>
      </c>
      <c r="H961" s="1484"/>
      <c r="I961" s="1547">
        <f t="shared" si="543"/>
        <v>0</v>
      </c>
      <c r="J961" s="1495"/>
      <c r="K961" s="1495"/>
      <c r="L961" s="1436"/>
      <c r="M961" s="1439"/>
      <c r="N961" s="1439"/>
      <c r="O961" s="1485"/>
      <c r="P961" s="1486"/>
      <c r="Q961" s="1486"/>
      <c r="R961" s="1487"/>
      <c r="S961" s="1444"/>
      <c r="T961" s="1444"/>
      <c r="U961" s="1444"/>
      <c r="V961" s="1488"/>
      <c r="W961" s="1488"/>
      <c r="X961" s="1488"/>
      <c r="Y961" s="1488"/>
      <c r="Z961" s="1488"/>
      <c r="AA961" s="1488"/>
      <c r="AB961" s="1488"/>
      <c r="AC961" s="1488"/>
      <c r="AD961" s="1488"/>
      <c r="AE961" s="1488"/>
      <c r="AF961" s="1488"/>
      <c r="AG961" s="1488"/>
      <c r="AH961" s="1451">
        <f t="shared" si="515"/>
        <v>0</v>
      </c>
      <c r="AI961" s="1488"/>
      <c r="AJ961" s="1488"/>
      <c r="AK961" s="1488"/>
      <c r="AL961" s="1488"/>
      <c r="AM961" s="1488"/>
      <c r="AN961" s="1488"/>
      <c r="AO961" s="1488"/>
      <c r="AP961" s="1488"/>
      <c r="AQ961" s="1488"/>
      <c r="AR961" s="1488"/>
      <c r="AS961" s="1488"/>
      <c r="AT961" s="1542"/>
      <c r="AU961" s="1599">
        <f t="shared" si="516"/>
        <v>0</v>
      </c>
      <c r="AV961" s="1544">
        <f t="shared" si="544"/>
        <v>0</v>
      </c>
      <c r="AW961" s="1452">
        <f t="shared" si="517"/>
        <v>0</v>
      </c>
      <c r="AX961" s="1452">
        <f t="shared" si="518"/>
        <v>0</v>
      </c>
      <c r="AY961" s="1452">
        <f t="shared" si="519"/>
        <v>0</v>
      </c>
      <c r="AZ961" s="1452">
        <f t="shared" si="520"/>
        <v>0</v>
      </c>
      <c r="BA961" s="1452">
        <f t="shared" si="521"/>
        <v>0</v>
      </c>
      <c r="BB961" s="1452">
        <f t="shared" si="522"/>
        <v>0</v>
      </c>
      <c r="BC961" s="1452">
        <f t="shared" si="523"/>
        <v>0</v>
      </c>
      <c r="BD961" s="1452">
        <f t="shared" si="524"/>
        <v>0</v>
      </c>
      <c r="BE961" s="1452">
        <f t="shared" si="525"/>
        <v>0</v>
      </c>
      <c r="BF961" s="1452">
        <f t="shared" si="526"/>
        <v>0</v>
      </c>
      <c r="BG961" s="1452">
        <f t="shared" si="527"/>
        <v>0</v>
      </c>
      <c r="BH961" s="1452">
        <f t="shared" si="528"/>
        <v>0</v>
      </c>
      <c r="BI961" s="1452">
        <f t="shared" si="545"/>
        <v>0</v>
      </c>
      <c r="BJ961" s="1452" t="str">
        <f t="shared" si="529"/>
        <v/>
      </c>
      <c r="BK961" s="1452" t="str">
        <f t="shared" si="530"/>
        <v/>
      </c>
      <c r="BL961" s="1452" t="str">
        <f t="shared" si="531"/>
        <v/>
      </c>
      <c r="BM961" s="1452" t="str">
        <f t="shared" si="532"/>
        <v/>
      </c>
      <c r="BN961" s="1452" t="str">
        <f t="shared" ca="1" si="533"/>
        <v/>
      </c>
      <c r="BO961" s="1452" t="str">
        <f t="shared" si="546"/>
        <v/>
      </c>
      <c r="BP961" s="1452" t="str">
        <f t="shared" si="534"/>
        <v/>
      </c>
      <c r="BQ961" s="1452" t="str">
        <f t="shared" si="535"/>
        <v/>
      </c>
      <c r="BR961" s="1452" t="str">
        <f t="shared" si="536"/>
        <v/>
      </c>
      <c r="BS961" s="1452" t="str">
        <f t="shared" si="537"/>
        <v/>
      </c>
      <c r="BT961" s="1452" t="str">
        <f t="shared" si="538"/>
        <v/>
      </c>
      <c r="BU961" s="1452" t="str">
        <f t="shared" si="539"/>
        <v/>
      </c>
      <c r="BV961" s="1452" t="str">
        <f t="shared" si="540"/>
        <v/>
      </c>
      <c r="BW961" s="1558">
        <f t="shared" ca="1" si="547"/>
        <v>0</v>
      </c>
    </row>
    <row r="962" spans="1:75" s="9" customFormat="1" ht="12.5">
      <c r="A962" s="1483" t="str">
        <f t="shared" si="541"/>
        <v>Public Health Wales Trust</v>
      </c>
      <c r="B962" s="1583"/>
      <c r="C962" s="1510"/>
      <c r="D962" s="1494"/>
      <c r="E962" s="1593"/>
      <c r="F962" s="1436"/>
      <c r="G962" s="1547">
        <f t="shared" si="542"/>
        <v>0</v>
      </c>
      <c r="H962" s="1484"/>
      <c r="I962" s="1547">
        <f t="shared" si="543"/>
        <v>0</v>
      </c>
      <c r="J962" s="1496"/>
      <c r="K962" s="1496"/>
      <c r="L962" s="1436"/>
      <c r="M962" s="1439"/>
      <c r="N962" s="1437"/>
      <c r="O962" s="1485"/>
      <c r="P962" s="1486"/>
      <c r="Q962" s="1486"/>
      <c r="R962" s="1487"/>
      <c r="S962" s="1444"/>
      <c r="T962" s="1444"/>
      <c r="U962" s="1444"/>
      <c r="V962" s="1488"/>
      <c r="W962" s="1488"/>
      <c r="X962" s="1488"/>
      <c r="Y962" s="1488"/>
      <c r="Z962" s="1488"/>
      <c r="AA962" s="1488"/>
      <c r="AB962" s="1488"/>
      <c r="AC962" s="1488"/>
      <c r="AD962" s="1488"/>
      <c r="AE962" s="1488"/>
      <c r="AF962" s="1488"/>
      <c r="AG962" s="1488"/>
      <c r="AH962" s="1451">
        <f t="shared" si="515"/>
        <v>0</v>
      </c>
      <c r="AI962" s="1488"/>
      <c r="AJ962" s="1488"/>
      <c r="AK962" s="1488"/>
      <c r="AL962" s="1488"/>
      <c r="AM962" s="1488"/>
      <c r="AN962" s="1488"/>
      <c r="AO962" s="1488"/>
      <c r="AP962" s="1488"/>
      <c r="AQ962" s="1488"/>
      <c r="AR962" s="1488"/>
      <c r="AS962" s="1488"/>
      <c r="AT962" s="1542"/>
      <c r="AU962" s="1599">
        <f t="shared" si="516"/>
        <v>0</v>
      </c>
      <c r="AV962" s="1544">
        <f t="shared" si="544"/>
        <v>0</v>
      </c>
      <c r="AW962" s="1452">
        <f t="shared" si="517"/>
        <v>0</v>
      </c>
      <c r="AX962" s="1452">
        <f t="shared" si="518"/>
        <v>0</v>
      </c>
      <c r="AY962" s="1452">
        <f t="shared" si="519"/>
        <v>0</v>
      </c>
      <c r="AZ962" s="1452">
        <f t="shared" si="520"/>
        <v>0</v>
      </c>
      <c r="BA962" s="1452">
        <f t="shared" si="521"/>
        <v>0</v>
      </c>
      <c r="BB962" s="1452">
        <f t="shared" si="522"/>
        <v>0</v>
      </c>
      <c r="BC962" s="1452">
        <f t="shared" si="523"/>
        <v>0</v>
      </c>
      <c r="BD962" s="1452">
        <f t="shared" si="524"/>
        <v>0</v>
      </c>
      <c r="BE962" s="1452">
        <f t="shared" si="525"/>
        <v>0</v>
      </c>
      <c r="BF962" s="1452">
        <f t="shared" si="526"/>
        <v>0</v>
      </c>
      <c r="BG962" s="1452">
        <f t="shared" si="527"/>
        <v>0</v>
      </c>
      <c r="BH962" s="1452">
        <f t="shared" si="528"/>
        <v>0</v>
      </c>
      <c r="BI962" s="1452">
        <f t="shared" si="545"/>
        <v>0</v>
      </c>
      <c r="BJ962" s="1452" t="str">
        <f t="shared" si="529"/>
        <v/>
      </c>
      <c r="BK962" s="1452" t="str">
        <f t="shared" si="530"/>
        <v/>
      </c>
      <c r="BL962" s="1452" t="str">
        <f t="shared" si="531"/>
        <v/>
      </c>
      <c r="BM962" s="1452" t="str">
        <f t="shared" si="532"/>
        <v/>
      </c>
      <c r="BN962" s="1452" t="str">
        <f t="shared" ca="1" si="533"/>
        <v/>
      </c>
      <c r="BO962" s="1452" t="str">
        <f t="shared" si="546"/>
        <v/>
      </c>
      <c r="BP962" s="1452" t="str">
        <f t="shared" si="534"/>
        <v/>
      </c>
      <c r="BQ962" s="1452" t="str">
        <f t="shared" si="535"/>
        <v/>
      </c>
      <c r="BR962" s="1452" t="str">
        <f t="shared" si="536"/>
        <v/>
      </c>
      <c r="BS962" s="1452" t="str">
        <f t="shared" si="537"/>
        <v/>
      </c>
      <c r="BT962" s="1452" t="str">
        <f t="shared" si="538"/>
        <v/>
      </c>
      <c r="BU962" s="1452" t="str">
        <f t="shared" si="539"/>
        <v/>
      </c>
      <c r="BV962" s="1452" t="str">
        <f t="shared" si="540"/>
        <v/>
      </c>
      <c r="BW962" s="1558">
        <f t="shared" ca="1" si="547"/>
        <v>0</v>
      </c>
    </row>
    <row r="963" spans="1:75" s="9" customFormat="1" ht="12.5">
      <c r="A963" s="1483" t="str">
        <f t="shared" si="541"/>
        <v>Public Health Wales Trust</v>
      </c>
      <c r="B963" s="1583"/>
      <c r="C963" s="1510"/>
      <c r="D963" s="1494"/>
      <c r="E963" s="1593"/>
      <c r="F963" s="1436"/>
      <c r="G963" s="1547">
        <f t="shared" si="542"/>
        <v>0</v>
      </c>
      <c r="H963" s="1484"/>
      <c r="I963" s="1547">
        <f t="shared" si="543"/>
        <v>0</v>
      </c>
      <c r="J963" s="1495"/>
      <c r="K963" s="1495"/>
      <c r="L963" s="1436"/>
      <c r="M963" s="1439"/>
      <c r="N963" s="1439"/>
      <c r="O963" s="1485"/>
      <c r="P963" s="1486"/>
      <c r="Q963" s="1486"/>
      <c r="R963" s="1487"/>
      <c r="S963" s="1444"/>
      <c r="T963" s="1444"/>
      <c r="U963" s="1444"/>
      <c r="V963" s="1488"/>
      <c r="W963" s="1488"/>
      <c r="X963" s="1488"/>
      <c r="Y963" s="1488"/>
      <c r="Z963" s="1488"/>
      <c r="AA963" s="1488"/>
      <c r="AB963" s="1488"/>
      <c r="AC963" s="1488"/>
      <c r="AD963" s="1488"/>
      <c r="AE963" s="1488"/>
      <c r="AF963" s="1488"/>
      <c r="AG963" s="1488"/>
      <c r="AH963" s="1451">
        <f t="shared" si="515"/>
        <v>0</v>
      </c>
      <c r="AI963" s="1488"/>
      <c r="AJ963" s="1488"/>
      <c r="AK963" s="1488"/>
      <c r="AL963" s="1488"/>
      <c r="AM963" s="1488"/>
      <c r="AN963" s="1488"/>
      <c r="AO963" s="1488"/>
      <c r="AP963" s="1488"/>
      <c r="AQ963" s="1488"/>
      <c r="AR963" s="1488"/>
      <c r="AS963" s="1488"/>
      <c r="AT963" s="1542"/>
      <c r="AU963" s="1599">
        <f t="shared" si="516"/>
        <v>0</v>
      </c>
      <c r="AV963" s="1544">
        <f t="shared" si="544"/>
        <v>0</v>
      </c>
      <c r="AW963" s="1452">
        <f t="shared" si="517"/>
        <v>0</v>
      </c>
      <c r="AX963" s="1452">
        <f t="shared" si="518"/>
        <v>0</v>
      </c>
      <c r="AY963" s="1452">
        <f t="shared" si="519"/>
        <v>0</v>
      </c>
      <c r="AZ963" s="1452">
        <f t="shared" si="520"/>
        <v>0</v>
      </c>
      <c r="BA963" s="1452">
        <f t="shared" si="521"/>
        <v>0</v>
      </c>
      <c r="BB963" s="1452">
        <f t="shared" si="522"/>
        <v>0</v>
      </c>
      <c r="BC963" s="1452">
        <f t="shared" si="523"/>
        <v>0</v>
      </c>
      <c r="BD963" s="1452">
        <f t="shared" si="524"/>
        <v>0</v>
      </c>
      <c r="BE963" s="1452">
        <f t="shared" si="525"/>
        <v>0</v>
      </c>
      <c r="BF963" s="1452">
        <f t="shared" si="526"/>
        <v>0</v>
      </c>
      <c r="BG963" s="1452">
        <f t="shared" si="527"/>
        <v>0</v>
      </c>
      <c r="BH963" s="1452">
        <f t="shared" si="528"/>
        <v>0</v>
      </c>
      <c r="BI963" s="1452">
        <f t="shared" si="545"/>
        <v>0</v>
      </c>
      <c r="BJ963" s="1452" t="str">
        <f t="shared" si="529"/>
        <v/>
      </c>
      <c r="BK963" s="1452" t="str">
        <f t="shared" si="530"/>
        <v/>
      </c>
      <c r="BL963" s="1452" t="str">
        <f t="shared" si="531"/>
        <v/>
      </c>
      <c r="BM963" s="1452" t="str">
        <f t="shared" si="532"/>
        <v/>
      </c>
      <c r="BN963" s="1452" t="str">
        <f t="shared" ca="1" si="533"/>
        <v/>
      </c>
      <c r="BO963" s="1452" t="str">
        <f t="shared" si="546"/>
        <v/>
      </c>
      <c r="BP963" s="1452" t="str">
        <f t="shared" si="534"/>
        <v/>
      </c>
      <c r="BQ963" s="1452" t="str">
        <f t="shared" si="535"/>
        <v/>
      </c>
      <c r="BR963" s="1452" t="str">
        <f t="shared" si="536"/>
        <v/>
      </c>
      <c r="BS963" s="1452" t="str">
        <f t="shared" si="537"/>
        <v/>
      </c>
      <c r="BT963" s="1452" t="str">
        <f t="shared" si="538"/>
        <v/>
      </c>
      <c r="BU963" s="1452" t="str">
        <f t="shared" si="539"/>
        <v/>
      </c>
      <c r="BV963" s="1452" t="str">
        <f t="shared" si="540"/>
        <v/>
      </c>
      <c r="BW963" s="1558">
        <f t="shared" ca="1" si="547"/>
        <v>0</v>
      </c>
    </row>
    <row r="964" spans="1:75" s="9" customFormat="1" ht="12.5">
      <c r="A964" s="1483" t="str">
        <f t="shared" si="541"/>
        <v>Public Health Wales Trust</v>
      </c>
      <c r="B964" s="1583"/>
      <c r="C964" s="1510"/>
      <c r="D964" s="1494"/>
      <c r="E964" s="1593"/>
      <c r="F964" s="1436"/>
      <c r="G964" s="1547">
        <f t="shared" si="542"/>
        <v>0</v>
      </c>
      <c r="H964" s="1484"/>
      <c r="I964" s="1547">
        <f t="shared" si="543"/>
        <v>0</v>
      </c>
      <c r="J964" s="1495"/>
      <c r="K964" s="1495"/>
      <c r="L964" s="1436"/>
      <c r="M964" s="1439"/>
      <c r="N964" s="1439"/>
      <c r="O964" s="1485"/>
      <c r="P964" s="1486"/>
      <c r="Q964" s="1486"/>
      <c r="R964" s="1487"/>
      <c r="S964" s="1444"/>
      <c r="T964" s="1444"/>
      <c r="U964" s="1444"/>
      <c r="V964" s="1488"/>
      <c r="W964" s="1488"/>
      <c r="X964" s="1488"/>
      <c r="Y964" s="1488"/>
      <c r="Z964" s="1488"/>
      <c r="AA964" s="1488"/>
      <c r="AB964" s="1488"/>
      <c r="AC964" s="1488"/>
      <c r="AD964" s="1488"/>
      <c r="AE964" s="1488"/>
      <c r="AF964" s="1488"/>
      <c r="AG964" s="1488"/>
      <c r="AH964" s="1451">
        <f t="shared" si="515"/>
        <v>0</v>
      </c>
      <c r="AI964" s="1488"/>
      <c r="AJ964" s="1488"/>
      <c r="AK964" s="1488"/>
      <c r="AL964" s="1488"/>
      <c r="AM964" s="1488"/>
      <c r="AN964" s="1488"/>
      <c r="AO964" s="1488"/>
      <c r="AP964" s="1488"/>
      <c r="AQ964" s="1488"/>
      <c r="AR964" s="1488"/>
      <c r="AS964" s="1488"/>
      <c r="AT964" s="1542"/>
      <c r="AU964" s="1599">
        <f t="shared" si="516"/>
        <v>0</v>
      </c>
      <c r="AV964" s="1544">
        <f t="shared" si="544"/>
        <v>0</v>
      </c>
      <c r="AW964" s="1452">
        <f t="shared" si="517"/>
        <v>0</v>
      </c>
      <c r="AX964" s="1452">
        <f t="shared" si="518"/>
        <v>0</v>
      </c>
      <c r="AY964" s="1452">
        <f t="shared" si="519"/>
        <v>0</v>
      </c>
      <c r="AZ964" s="1452">
        <f t="shared" si="520"/>
        <v>0</v>
      </c>
      <c r="BA964" s="1452">
        <f t="shared" si="521"/>
        <v>0</v>
      </c>
      <c r="BB964" s="1452">
        <f t="shared" si="522"/>
        <v>0</v>
      </c>
      <c r="BC964" s="1452">
        <f t="shared" si="523"/>
        <v>0</v>
      </c>
      <c r="BD964" s="1452">
        <f t="shared" si="524"/>
        <v>0</v>
      </c>
      <c r="BE964" s="1452">
        <f t="shared" si="525"/>
        <v>0</v>
      </c>
      <c r="BF964" s="1452">
        <f t="shared" si="526"/>
        <v>0</v>
      </c>
      <c r="BG964" s="1452">
        <f t="shared" si="527"/>
        <v>0</v>
      </c>
      <c r="BH964" s="1452">
        <f t="shared" si="528"/>
        <v>0</v>
      </c>
      <c r="BI964" s="1452">
        <f t="shared" si="545"/>
        <v>0</v>
      </c>
      <c r="BJ964" s="1452" t="str">
        <f t="shared" si="529"/>
        <v/>
      </c>
      <c r="BK964" s="1452" t="str">
        <f t="shared" si="530"/>
        <v/>
      </c>
      <c r="BL964" s="1452" t="str">
        <f t="shared" si="531"/>
        <v/>
      </c>
      <c r="BM964" s="1452" t="str">
        <f t="shared" si="532"/>
        <v/>
      </c>
      <c r="BN964" s="1452" t="str">
        <f t="shared" ca="1" si="533"/>
        <v/>
      </c>
      <c r="BO964" s="1452" t="str">
        <f t="shared" si="546"/>
        <v/>
      </c>
      <c r="BP964" s="1452" t="str">
        <f t="shared" si="534"/>
        <v/>
      </c>
      <c r="BQ964" s="1452" t="str">
        <f t="shared" si="535"/>
        <v/>
      </c>
      <c r="BR964" s="1452" t="str">
        <f t="shared" si="536"/>
        <v/>
      </c>
      <c r="BS964" s="1452" t="str">
        <f t="shared" si="537"/>
        <v/>
      </c>
      <c r="BT964" s="1452" t="str">
        <f t="shared" si="538"/>
        <v/>
      </c>
      <c r="BU964" s="1452" t="str">
        <f t="shared" si="539"/>
        <v/>
      </c>
      <c r="BV964" s="1452" t="str">
        <f t="shared" si="540"/>
        <v/>
      </c>
      <c r="BW964" s="1558">
        <f t="shared" ca="1" si="547"/>
        <v>0</v>
      </c>
    </row>
    <row r="965" spans="1:75" s="9" customFormat="1" ht="12.5">
      <c r="A965" s="1483" t="str">
        <f t="shared" si="541"/>
        <v>Public Health Wales Trust</v>
      </c>
      <c r="B965" s="1583"/>
      <c r="C965" s="1510"/>
      <c r="D965" s="1494"/>
      <c r="E965" s="1593"/>
      <c r="F965" s="1436"/>
      <c r="G965" s="1547">
        <f t="shared" si="542"/>
        <v>0</v>
      </c>
      <c r="H965" s="1484"/>
      <c r="I965" s="1547">
        <f t="shared" si="543"/>
        <v>0</v>
      </c>
      <c r="J965" s="1485"/>
      <c r="K965" s="1485"/>
      <c r="L965" s="1436"/>
      <c r="M965" s="1439"/>
      <c r="N965" s="1439"/>
      <c r="O965" s="1485"/>
      <c r="P965" s="1486"/>
      <c r="Q965" s="1486"/>
      <c r="R965" s="1487"/>
      <c r="S965" s="1444"/>
      <c r="T965" s="1444"/>
      <c r="U965" s="1444"/>
      <c r="V965" s="1488"/>
      <c r="W965" s="1488"/>
      <c r="X965" s="1488"/>
      <c r="Y965" s="1488"/>
      <c r="Z965" s="1488"/>
      <c r="AA965" s="1488"/>
      <c r="AB965" s="1488"/>
      <c r="AC965" s="1488"/>
      <c r="AD965" s="1488"/>
      <c r="AE965" s="1488"/>
      <c r="AF965" s="1488"/>
      <c r="AG965" s="1488"/>
      <c r="AH965" s="1451">
        <f t="shared" si="515"/>
        <v>0</v>
      </c>
      <c r="AI965" s="1488"/>
      <c r="AJ965" s="1488"/>
      <c r="AK965" s="1488"/>
      <c r="AL965" s="1488"/>
      <c r="AM965" s="1488"/>
      <c r="AN965" s="1488"/>
      <c r="AO965" s="1488"/>
      <c r="AP965" s="1488"/>
      <c r="AQ965" s="1488"/>
      <c r="AR965" s="1488"/>
      <c r="AS965" s="1488"/>
      <c r="AT965" s="1542"/>
      <c r="AU965" s="1599">
        <f t="shared" si="516"/>
        <v>0</v>
      </c>
      <c r="AV965" s="1544">
        <f t="shared" si="544"/>
        <v>0</v>
      </c>
      <c r="AW965" s="1452">
        <f t="shared" si="517"/>
        <v>0</v>
      </c>
      <c r="AX965" s="1452">
        <f t="shared" si="518"/>
        <v>0</v>
      </c>
      <c r="AY965" s="1452">
        <f t="shared" si="519"/>
        <v>0</v>
      </c>
      <c r="AZ965" s="1452">
        <f t="shared" si="520"/>
        <v>0</v>
      </c>
      <c r="BA965" s="1452">
        <f t="shared" si="521"/>
        <v>0</v>
      </c>
      <c r="BB965" s="1452">
        <f t="shared" si="522"/>
        <v>0</v>
      </c>
      <c r="BC965" s="1452">
        <f t="shared" si="523"/>
        <v>0</v>
      </c>
      <c r="BD965" s="1452">
        <f t="shared" si="524"/>
        <v>0</v>
      </c>
      <c r="BE965" s="1452">
        <f t="shared" si="525"/>
        <v>0</v>
      </c>
      <c r="BF965" s="1452">
        <f t="shared" si="526"/>
        <v>0</v>
      </c>
      <c r="BG965" s="1452">
        <f t="shared" si="527"/>
        <v>0</v>
      </c>
      <c r="BH965" s="1452">
        <f t="shared" si="528"/>
        <v>0</v>
      </c>
      <c r="BI965" s="1452">
        <f t="shared" si="545"/>
        <v>0</v>
      </c>
      <c r="BJ965" s="1452" t="str">
        <f t="shared" si="529"/>
        <v/>
      </c>
      <c r="BK965" s="1452" t="str">
        <f t="shared" si="530"/>
        <v/>
      </c>
      <c r="BL965" s="1452" t="str">
        <f t="shared" si="531"/>
        <v/>
      </c>
      <c r="BM965" s="1452" t="str">
        <f t="shared" si="532"/>
        <v/>
      </c>
      <c r="BN965" s="1452" t="str">
        <f t="shared" ca="1" si="533"/>
        <v/>
      </c>
      <c r="BO965" s="1452" t="str">
        <f t="shared" si="546"/>
        <v/>
      </c>
      <c r="BP965" s="1452" t="str">
        <f t="shared" si="534"/>
        <v/>
      </c>
      <c r="BQ965" s="1452" t="str">
        <f t="shared" si="535"/>
        <v/>
      </c>
      <c r="BR965" s="1452" t="str">
        <f t="shared" si="536"/>
        <v/>
      </c>
      <c r="BS965" s="1452" t="str">
        <f t="shared" si="537"/>
        <v/>
      </c>
      <c r="BT965" s="1452" t="str">
        <f t="shared" si="538"/>
        <v/>
      </c>
      <c r="BU965" s="1452" t="str">
        <f t="shared" si="539"/>
        <v/>
      </c>
      <c r="BV965" s="1452" t="str">
        <f t="shared" si="540"/>
        <v/>
      </c>
      <c r="BW965" s="1558">
        <f t="shared" ca="1" si="547"/>
        <v>0</v>
      </c>
    </row>
    <row r="966" spans="1:75" s="9" customFormat="1" ht="12.5">
      <c r="A966" s="1483" t="str">
        <f t="shared" si="541"/>
        <v>Public Health Wales Trust</v>
      </c>
      <c r="B966" s="1583"/>
      <c r="C966" s="1510"/>
      <c r="D966" s="1494"/>
      <c r="E966" s="1593"/>
      <c r="F966" s="1436"/>
      <c r="G966" s="1547">
        <f t="shared" si="542"/>
        <v>0</v>
      </c>
      <c r="H966" s="1484"/>
      <c r="I966" s="1547">
        <f t="shared" si="543"/>
        <v>0</v>
      </c>
      <c r="J966" s="1514"/>
      <c r="K966" s="1514"/>
      <c r="L966" s="1436"/>
      <c r="M966" s="1439"/>
      <c r="N966" s="1439"/>
      <c r="O966" s="1485"/>
      <c r="P966" s="1486"/>
      <c r="Q966" s="1486"/>
      <c r="R966" s="1487"/>
      <c r="S966" s="1444"/>
      <c r="T966" s="1444"/>
      <c r="U966" s="1444"/>
      <c r="V966" s="1488"/>
      <c r="W966" s="1488"/>
      <c r="X966" s="1488"/>
      <c r="Y966" s="1488"/>
      <c r="Z966" s="1488"/>
      <c r="AA966" s="1488"/>
      <c r="AB966" s="1488"/>
      <c r="AC966" s="1488"/>
      <c r="AD966" s="1488"/>
      <c r="AE966" s="1488"/>
      <c r="AF966" s="1488"/>
      <c r="AG966" s="1488"/>
      <c r="AH966" s="1451">
        <f t="shared" si="515"/>
        <v>0</v>
      </c>
      <c r="AI966" s="1488"/>
      <c r="AJ966" s="1488"/>
      <c r="AK966" s="1488"/>
      <c r="AL966" s="1488"/>
      <c r="AM966" s="1488"/>
      <c r="AN966" s="1488"/>
      <c r="AO966" s="1488"/>
      <c r="AP966" s="1488"/>
      <c r="AQ966" s="1488"/>
      <c r="AR966" s="1488"/>
      <c r="AS966" s="1488"/>
      <c r="AT966" s="1542"/>
      <c r="AU966" s="1599">
        <f t="shared" si="516"/>
        <v>0</v>
      </c>
      <c r="AV966" s="1544">
        <f t="shared" si="544"/>
        <v>0</v>
      </c>
      <c r="AW966" s="1452">
        <f t="shared" si="517"/>
        <v>0</v>
      </c>
      <c r="AX966" s="1452">
        <f t="shared" si="518"/>
        <v>0</v>
      </c>
      <c r="AY966" s="1452">
        <f t="shared" si="519"/>
        <v>0</v>
      </c>
      <c r="AZ966" s="1452">
        <f t="shared" si="520"/>
        <v>0</v>
      </c>
      <c r="BA966" s="1452">
        <f t="shared" si="521"/>
        <v>0</v>
      </c>
      <c r="BB966" s="1452">
        <f t="shared" si="522"/>
        <v>0</v>
      </c>
      <c r="BC966" s="1452">
        <f t="shared" si="523"/>
        <v>0</v>
      </c>
      <c r="BD966" s="1452">
        <f t="shared" si="524"/>
        <v>0</v>
      </c>
      <c r="BE966" s="1452">
        <f t="shared" si="525"/>
        <v>0</v>
      </c>
      <c r="BF966" s="1452">
        <f t="shared" si="526"/>
        <v>0</v>
      </c>
      <c r="BG966" s="1452">
        <f t="shared" si="527"/>
        <v>0</v>
      </c>
      <c r="BH966" s="1452">
        <f t="shared" si="528"/>
        <v>0</v>
      </c>
      <c r="BI966" s="1452">
        <f t="shared" si="545"/>
        <v>0</v>
      </c>
      <c r="BJ966" s="1452" t="str">
        <f t="shared" si="529"/>
        <v/>
      </c>
      <c r="BK966" s="1452" t="str">
        <f t="shared" si="530"/>
        <v/>
      </c>
      <c r="BL966" s="1452" t="str">
        <f t="shared" si="531"/>
        <v/>
      </c>
      <c r="BM966" s="1452" t="str">
        <f t="shared" si="532"/>
        <v/>
      </c>
      <c r="BN966" s="1452" t="str">
        <f t="shared" ca="1" si="533"/>
        <v/>
      </c>
      <c r="BO966" s="1452" t="str">
        <f t="shared" si="546"/>
        <v/>
      </c>
      <c r="BP966" s="1452" t="str">
        <f t="shared" si="534"/>
        <v/>
      </c>
      <c r="BQ966" s="1452" t="str">
        <f t="shared" si="535"/>
        <v/>
      </c>
      <c r="BR966" s="1452" t="str">
        <f t="shared" si="536"/>
        <v/>
      </c>
      <c r="BS966" s="1452" t="str">
        <f t="shared" si="537"/>
        <v/>
      </c>
      <c r="BT966" s="1452" t="str">
        <f t="shared" si="538"/>
        <v/>
      </c>
      <c r="BU966" s="1452" t="str">
        <f t="shared" si="539"/>
        <v/>
      </c>
      <c r="BV966" s="1452" t="str">
        <f t="shared" si="540"/>
        <v/>
      </c>
      <c r="BW966" s="1558">
        <f t="shared" ca="1" si="547"/>
        <v>0</v>
      </c>
    </row>
    <row r="967" spans="1:75" s="9" customFormat="1" ht="12.5">
      <c r="A967" s="1483" t="str">
        <f t="shared" si="541"/>
        <v>Public Health Wales Trust</v>
      </c>
      <c r="B967" s="1583"/>
      <c r="C967" s="1510"/>
      <c r="D967" s="1494"/>
      <c r="E967" s="1593"/>
      <c r="F967" s="1436"/>
      <c r="G967" s="1547">
        <f t="shared" si="542"/>
        <v>0</v>
      </c>
      <c r="H967" s="1484"/>
      <c r="I967" s="1547">
        <f t="shared" si="543"/>
        <v>0</v>
      </c>
      <c r="J967" s="1514"/>
      <c r="K967" s="1514"/>
      <c r="L967" s="1436"/>
      <c r="M967" s="1439"/>
      <c r="N967" s="1439"/>
      <c r="O967" s="1485"/>
      <c r="P967" s="1486"/>
      <c r="Q967" s="1486"/>
      <c r="R967" s="1487"/>
      <c r="S967" s="1444"/>
      <c r="T967" s="1444"/>
      <c r="U967" s="1444"/>
      <c r="V967" s="1488"/>
      <c r="W967" s="1488"/>
      <c r="X967" s="1488"/>
      <c r="Y967" s="1488"/>
      <c r="Z967" s="1488"/>
      <c r="AA967" s="1488"/>
      <c r="AB967" s="1488"/>
      <c r="AC967" s="1488"/>
      <c r="AD967" s="1488"/>
      <c r="AE967" s="1488"/>
      <c r="AF967" s="1488"/>
      <c r="AG967" s="1488"/>
      <c r="AH967" s="1451">
        <f t="shared" si="515"/>
        <v>0</v>
      </c>
      <c r="AI967" s="1488"/>
      <c r="AJ967" s="1488"/>
      <c r="AK967" s="1488"/>
      <c r="AL967" s="1488"/>
      <c r="AM967" s="1488"/>
      <c r="AN967" s="1488"/>
      <c r="AO967" s="1488"/>
      <c r="AP967" s="1488"/>
      <c r="AQ967" s="1488"/>
      <c r="AR967" s="1488"/>
      <c r="AS967" s="1488"/>
      <c r="AT967" s="1542"/>
      <c r="AU967" s="1599">
        <f t="shared" si="516"/>
        <v>0</v>
      </c>
      <c r="AV967" s="1544">
        <f t="shared" si="544"/>
        <v>0</v>
      </c>
      <c r="AW967" s="1452">
        <f t="shared" si="517"/>
        <v>0</v>
      </c>
      <c r="AX967" s="1452">
        <f t="shared" si="518"/>
        <v>0</v>
      </c>
      <c r="AY967" s="1452">
        <f t="shared" si="519"/>
        <v>0</v>
      </c>
      <c r="AZ967" s="1452">
        <f t="shared" si="520"/>
        <v>0</v>
      </c>
      <c r="BA967" s="1452">
        <f t="shared" si="521"/>
        <v>0</v>
      </c>
      <c r="BB967" s="1452">
        <f t="shared" si="522"/>
        <v>0</v>
      </c>
      <c r="BC967" s="1452">
        <f t="shared" si="523"/>
        <v>0</v>
      </c>
      <c r="BD967" s="1452">
        <f t="shared" si="524"/>
        <v>0</v>
      </c>
      <c r="BE967" s="1452">
        <f t="shared" si="525"/>
        <v>0</v>
      </c>
      <c r="BF967" s="1452">
        <f t="shared" si="526"/>
        <v>0</v>
      </c>
      <c r="BG967" s="1452">
        <f t="shared" si="527"/>
        <v>0</v>
      </c>
      <c r="BH967" s="1452">
        <f t="shared" si="528"/>
        <v>0</v>
      </c>
      <c r="BI967" s="1452">
        <f t="shared" si="545"/>
        <v>0</v>
      </c>
      <c r="BJ967" s="1452" t="str">
        <f t="shared" si="529"/>
        <v/>
      </c>
      <c r="BK967" s="1452" t="str">
        <f t="shared" si="530"/>
        <v/>
      </c>
      <c r="BL967" s="1452" t="str">
        <f t="shared" si="531"/>
        <v/>
      </c>
      <c r="BM967" s="1452" t="str">
        <f t="shared" si="532"/>
        <v/>
      </c>
      <c r="BN967" s="1452" t="str">
        <f t="shared" ca="1" si="533"/>
        <v/>
      </c>
      <c r="BO967" s="1452" t="str">
        <f t="shared" si="546"/>
        <v/>
      </c>
      <c r="BP967" s="1452" t="str">
        <f t="shared" si="534"/>
        <v/>
      </c>
      <c r="BQ967" s="1452" t="str">
        <f t="shared" si="535"/>
        <v/>
      </c>
      <c r="BR967" s="1452" t="str">
        <f t="shared" si="536"/>
        <v/>
      </c>
      <c r="BS967" s="1452" t="str">
        <f t="shared" si="537"/>
        <v/>
      </c>
      <c r="BT967" s="1452" t="str">
        <f t="shared" si="538"/>
        <v/>
      </c>
      <c r="BU967" s="1452" t="str">
        <f t="shared" si="539"/>
        <v/>
      </c>
      <c r="BV967" s="1452" t="str">
        <f t="shared" si="540"/>
        <v/>
      </c>
      <c r="BW967" s="1558">
        <f t="shared" ca="1" si="547"/>
        <v>0</v>
      </c>
    </row>
    <row r="968" spans="1:75" s="9" customFormat="1" ht="12.5">
      <c r="A968" s="1483" t="str">
        <f t="shared" si="541"/>
        <v>Public Health Wales Trust</v>
      </c>
      <c r="B968" s="1583"/>
      <c r="C968" s="1510"/>
      <c r="D968" s="1494"/>
      <c r="E968" s="1593"/>
      <c r="F968" s="1436"/>
      <c r="G968" s="1547">
        <f t="shared" si="542"/>
        <v>0</v>
      </c>
      <c r="H968" s="1484"/>
      <c r="I968" s="1547">
        <f t="shared" si="543"/>
        <v>0</v>
      </c>
      <c r="J968" s="1499"/>
      <c r="K968" s="1499"/>
      <c r="L968" s="1436"/>
      <c r="M968" s="1439"/>
      <c r="N968" s="1439"/>
      <c r="O968" s="1485"/>
      <c r="P968" s="1486"/>
      <c r="Q968" s="1486"/>
      <c r="R968" s="1487"/>
      <c r="S968" s="1444"/>
      <c r="T968" s="1444"/>
      <c r="U968" s="1444"/>
      <c r="V968" s="1488"/>
      <c r="W968" s="1488"/>
      <c r="X968" s="1488"/>
      <c r="Y968" s="1488"/>
      <c r="Z968" s="1488"/>
      <c r="AA968" s="1488"/>
      <c r="AB968" s="1488"/>
      <c r="AC968" s="1488"/>
      <c r="AD968" s="1488"/>
      <c r="AE968" s="1488"/>
      <c r="AF968" s="1488"/>
      <c r="AG968" s="1488"/>
      <c r="AH968" s="1451">
        <f t="shared" si="515"/>
        <v>0</v>
      </c>
      <c r="AI968" s="1488"/>
      <c r="AJ968" s="1488"/>
      <c r="AK968" s="1488"/>
      <c r="AL968" s="1488"/>
      <c r="AM968" s="1488"/>
      <c r="AN968" s="1488"/>
      <c r="AO968" s="1488"/>
      <c r="AP968" s="1488"/>
      <c r="AQ968" s="1488"/>
      <c r="AR968" s="1488"/>
      <c r="AS968" s="1488"/>
      <c r="AT968" s="1542"/>
      <c r="AU968" s="1599">
        <f t="shared" si="516"/>
        <v>0</v>
      </c>
      <c r="AV968" s="1544">
        <f t="shared" si="544"/>
        <v>0</v>
      </c>
      <c r="AW968" s="1452">
        <f t="shared" si="517"/>
        <v>0</v>
      </c>
      <c r="AX968" s="1452">
        <f t="shared" si="518"/>
        <v>0</v>
      </c>
      <c r="AY968" s="1452">
        <f t="shared" si="519"/>
        <v>0</v>
      </c>
      <c r="AZ968" s="1452">
        <f t="shared" si="520"/>
        <v>0</v>
      </c>
      <c r="BA968" s="1452">
        <f t="shared" si="521"/>
        <v>0</v>
      </c>
      <c r="BB968" s="1452">
        <f t="shared" si="522"/>
        <v>0</v>
      </c>
      <c r="BC968" s="1452">
        <f t="shared" si="523"/>
        <v>0</v>
      </c>
      <c r="BD968" s="1452">
        <f t="shared" si="524"/>
        <v>0</v>
      </c>
      <c r="BE968" s="1452">
        <f t="shared" si="525"/>
        <v>0</v>
      </c>
      <c r="BF968" s="1452">
        <f t="shared" si="526"/>
        <v>0</v>
      </c>
      <c r="BG968" s="1452">
        <f t="shared" si="527"/>
        <v>0</v>
      </c>
      <c r="BH968" s="1452">
        <f t="shared" si="528"/>
        <v>0</v>
      </c>
      <c r="BI968" s="1452">
        <f t="shared" si="545"/>
        <v>0</v>
      </c>
      <c r="BJ968" s="1452" t="str">
        <f t="shared" si="529"/>
        <v/>
      </c>
      <c r="BK968" s="1452" t="str">
        <f t="shared" si="530"/>
        <v/>
      </c>
      <c r="BL968" s="1452" t="str">
        <f t="shared" si="531"/>
        <v/>
      </c>
      <c r="BM968" s="1452" t="str">
        <f t="shared" si="532"/>
        <v/>
      </c>
      <c r="BN968" s="1452" t="str">
        <f t="shared" ca="1" si="533"/>
        <v/>
      </c>
      <c r="BO968" s="1452" t="str">
        <f t="shared" si="546"/>
        <v/>
      </c>
      <c r="BP968" s="1452" t="str">
        <f t="shared" si="534"/>
        <v/>
      </c>
      <c r="BQ968" s="1452" t="str">
        <f t="shared" si="535"/>
        <v/>
      </c>
      <c r="BR968" s="1452" t="str">
        <f t="shared" si="536"/>
        <v/>
      </c>
      <c r="BS968" s="1452" t="str">
        <f t="shared" si="537"/>
        <v/>
      </c>
      <c r="BT968" s="1452" t="str">
        <f t="shared" si="538"/>
        <v/>
      </c>
      <c r="BU968" s="1452" t="str">
        <f t="shared" si="539"/>
        <v/>
      </c>
      <c r="BV968" s="1452" t="str">
        <f t="shared" si="540"/>
        <v/>
      </c>
      <c r="BW968" s="1558">
        <f t="shared" ca="1" si="547"/>
        <v>0</v>
      </c>
    </row>
    <row r="969" spans="1:75" s="9" customFormat="1" ht="12.5">
      <c r="A969" s="1483" t="str">
        <f t="shared" si="541"/>
        <v>Public Health Wales Trust</v>
      </c>
      <c r="B969" s="1583"/>
      <c r="C969" s="1510"/>
      <c r="D969" s="1494"/>
      <c r="E969" s="1593"/>
      <c r="F969" s="1436"/>
      <c r="G969" s="1547">
        <f t="shared" si="542"/>
        <v>0</v>
      </c>
      <c r="H969" s="1484"/>
      <c r="I969" s="1547">
        <f t="shared" si="543"/>
        <v>0</v>
      </c>
      <c r="J969" s="1496"/>
      <c r="K969" s="1496"/>
      <c r="L969" s="1436"/>
      <c r="M969" s="1439"/>
      <c r="N969" s="1439"/>
      <c r="O969" s="1485"/>
      <c r="P969" s="1486"/>
      <c r="Q969" s="1486"/>
      <c r="R969" s="1487"/>
      <c r="S969" s="1444"/>
      <c r="T969" s="1444"/>
      <c r="U969" s="1444"/>
      <c r="V969" s="1488"/>
      <c r="W969" s="1488"/>
      <c r="X969" s="1488"/>
      <c r="Y969" s="1488"/>
      <c r="Z969" s="1488"/>
      <c r="AA969" s="1488"/>
      <c r="AB969" s="1488"/>
      <c r="AC969" s="1488"/>
      <c r="AD969" s="1488"/>
      <c r="AE969" s="1488"/>
      <c r="AF969" s="1488"/>
      <c r="AG969" s="1488"/>
      <c r="AH969" s="1451">
        <f t="shared" si="515"/>
        <v>0</v>
      </c>
      <c r="AI969" s="1488"/>
      <c r="AJ969" s="1488"/>
      <c r="AK969" s="1488"/>
      <c r="AL969" s="1488"/>
      <c r="AM969" s="1488"/>
      <c r="AN969" s="1488"/>
      <c r="AO969" s="1488"/>
      <c r="AP969" s="1488"/>
      <c r="AQ969" s="1488"/>
      <c r="AR969" s="1488"/>
      <c r="AS969" s="1488"/>
      <c r="AT969" s="1542"/>
      <c r="AU969" s="1599">
        <f t="shared" si="516"/>
        <v>0</v>
      </c>
      <c r="AV969" s="1544">
        <f t="shared" si="544"/>
        <v>0</v>
      </c>
      <c r="AW969" s="1452">
        <f t="shared" si="517"/>
        <v>0</v>
      </c>
      <c r="AX969" s="1452">
        <f t="shared" si="518"/>
        <v>0</v>
      </c>
      <c r="AY969" s="1452">
        <f t="shared" si="519"/>
        <v>0</v>
      </c>
      <c r="AZ969" s="1452">
        <f t="shared" si="520"/>
        <v>0</v>
      </c>
      <c r="BA969" s="1452">
        <f t="shared" si="521"/>
        <v>0</v>
      </c>
      <c r="BB969" s="1452">
        <f t="shared" si="522"/>
        <v>0</v>
      </c>
      <c r="BC969" s="1452">
        <f t="shared" si="523"/>
        <v>0</v>
      </c>
      <c r="BD969" s="1452">
        <f t="shared" si="524"/>
        <v>0</v>
      </c>
      <c r="BE969" s="1452">
        <f t="shared" si="525"/>
        <v>0</v>
      </c>
      <c r="BF969" s="1452">
        <f t="shared" si="526"/>
        <v>0</v>
      </c>
      <c r="BG969" s="1452">
        <f t="shared" si="527"/>
        <v>0</v>
      </c>
      <c r="BH969" s="1452">
        <f t="shared" si="528"/>
        <v>0</v>
      </c>
      <c r="BI969" s="1452">
        <f t="shared" si="545"/>
        <v>0</v>
      </c>
      <c r="BJ969" s="1452" t="str">
        <f t="shared" si="529"/>
        <v/>
      </c>
      <c r="BK969" s="1452" t="str">
        <f t="shared" si="530"/>
        <v/>
      </c>
      <c r="BL969" s="1452" t="str">
        <f t="shared" si="531"/>
        <v/>
      </c>
      <c r="BM969" s="1452" t="str">
        <f t="shared" si="532"/>
        <v/>
      </c>
      <c r="BN969" s="1452" t="str">
        <f t="shared" ca="1" si="533"/>
        <v/>
      </c>
      <c r="BO969" s="1452" t="str">
        <f t="shared" si="546"/>
        <v/>
      </c>
      <c r="BP969" s="1452" t="str">
        <f t="shared" si="534"/>
        <v/>
      </c>
      <c r="BQ969" s="1452" t="str">
        <f t="shared" si="535"/>
        <v/>
      </c>
      <c r="BR969" s="1452" t="str">
        <f t="shared" si="536"/>
        <v/>
      </c>
      <c r="BS969" s="1452" t="str">
        <f t="shared" si="537"/>
        <v/>
      </c>
      <c r="BT969" s="1452" t="str">
        <f t="shared" si="538"/>
        <v/>
      </c>
      <c r="BU969" s="1452" t="str">
        <f t="shared" si="539"/>
        <v/>
      </c>
      <c r="BV969" s="1452" t="str">
        <f t="shared" si="540"/>
        <v/>
      </c>
      <c r="BW969" s="1558">
        <f t="shared" ca="1" si="547"/>
        <v>0</v>
      </c>
    </row>
    <row r="970" spans="1:75" s="9" customFormat="1" ht="12.5">
      <c r="A970" s="1483" t="str">
        <f t="shared" si="541"/>
        <v>Public Health Wales Trust</v>
      </c>
      <c r="B970" s="1583"/>
      <c r="C970" s="1510"/>
      <c r="D970" s="1494"/>
      <c r="E970" s="1593"/>
      <c r="F970" s="1436"/>
      <c r="G970" s="1547">
        <f t="shared" si="542"/>
        <v>0</v>
      </c>
      <c r="H970" s="1484"/>
      <c r="I970" s="1547">
        <f t="shared" si="543"/>
        <v>0</v>
      </c>
      <c r="J970" s="1499"/>
      <c r="K970" s="1499"/>
      <c r="L970" s="1436"/>
      <c r="M970" s="1439"/>
      <c r="N970" s="1439"/>
      <c r="O970" s="1485"/>
      <c r="P970" s="1486"/>
      <c r="Q970" s="1486"/>
      <c r="R970" s="1487"/>
      <c r="S970" s="1444"/>
      <c r="T970" s="1444"/>
      <c r="U970" s="1444"/>
      <c r="V970" s="1488"/>
      <c r="W970" s="1488"/>
      <c r="X970" s="1488"/>
      <c r="Y970" s="1488"/>
      <c r="Z970" s="1488"/>
      <c r="AA970" s="1488"/>
      <c r="AB970" s="1488"/>
      <c r="AC970" s="1488"/>
      <c r="AD970" s="1488"/>
      <c r="AE970" s="1488"/>
      <c r="AF970" s="1488"/>
      <c r="AG970" s="1488"/>
      <c r="AH970" s="1451">
        <f t="shared" si="515"/>
        <v>0</v>
      </c>
      <c r="AI970" s="1488"/>
      <c r="AJ970" s="1488"/>
      <c r="AK970" s="1488"/>
      <c r="AL970" s="1488"/>
      <c r="AM970" s="1488"/>
      <c r="AN970" s="1488"/>
      <c r="AO970" s="1488"/>
      <c r="AP970" s="1488"/>
      <c r="AQ970" s="1488"/>
      <c r="AR970" s="1488"/>
      <c r="AS970" s="1488"/>
      <c r="AT970" s="1542"/>
      <c r="AU970" s="1599">
        <f t="shared" si="516"/>
        <v>0</v>
      </c>
      <c r="AV970" s="1544">
        <f t="shared" si="544"/>
        <v>0</v>
      </c>
      <c r="AW970" s="1452">
        <f t="shared" si="517"/>
        <v>0</v>
      </c>
      <c r="AX970" s="1452">
        <f t="shared" si="518"/>
        <v>0</v>
      </c>
      <c r="AY970" s="1452">
        <f t="shared" si="519"/>
        <v>0</v>
      </c>
      <c r="AZ970" s="1452">
        <f t="shared" si="520"/>
        <v>0</v>
      </c>
      <c r="BA970" s="1452">
        <f t="shared" si="521"/>
        <v>0</v>
      </c>
      <c r="BB970" s="1452">
        <f t="shared" si="522"/>
        <v>0</v>
      </c>
      <c r="BC970" s="1452">
        <f t="shared" si="523"/>
        <v>0</v>
      </c>
      <c r="BD970" s="1452">
        <f t="shared" si="524"/>
        <v>0</v>
      </c>
      <c r="BE970" s="1452">
        <f t="shared" si="525"/>
        <v>0</v>
      </c>
      <c r="BF970" s="1452">
        <f t="shared" si="526"/>
        <v>0</v>
      </c>
      <c r="BG970" s="1452">
        <f t="shared" si="527"/>
        <v>0</v>
      </c>
      <c r="BH970" s="1452">
        <f t="shared" si="528"/>
        <v>0</v>
      </c>
      <c r="BI970" s="1452">
        <f t="shared" si="545"/>
        <v>0</v>
      </c>
      <c r="BJ970" s="1452" t="str">
        <f t="shared" si="529"/>
        <v/>
      </c>
      <c r="BK970" s="1452" t="str">
        <f t="shared" si="530"/>
        <v/>
      </c>
      <c r="BL970" s="1452" t="str">
        <f t="shared" si="531"/>
        <v/>
      </c>
      <c r="BM970" s="1452" t="str">
        <f t="shared" si="532"/>
        <v/>
      </c>
      <c r="BN970" s="1452" t="str">
        <f t="shared" ca="1" si="533"/>
        <v/>
      </c>
      <c r="BO970" s="1452" t="str">
        <f t="shared" si="546"/>
        <v/>
      </c>
      <c r="BP970" s="1452" t="str">
        <f t="shared" si="534"/>
        <v/>
      </c>
      <c r="BQ970" s="1452" t="str">
        <f t="shared" si="535"/>
        <v/>
      </c>
      <c r="BR970" s="1452" t="str">
        <f t="shared" si="536"/>
        <v/>
      </c>
      <c r="BS970" s="1452" t="str">
        <f t="shared" si="537"/>
        <v/>
      </c>
      <c r="BT970" s="1452" t="str">
        <f t="shared" si="538"/>
        <v/>
      </c>
      <c r="BU970" s="1452" t="str">
        <f t="shared" si="539"/>
        <v/>
      </c>
      <c r="BV970" s="1452" t="str">
        <f t="shared" si="540"/>
        <v/>
      </c>
      <c r="BW970" s="1558">
        <f t="shared" ca="1" si="547"/>
        <v>0</v>
      </c>
    </row>
    <row r="971" spans="1:75" s="9" customFormat="1" ht="12.5">
      <c r="A971" s="1483" t="str">
        <f t="shared" si="541"/>
        <v>Public Health Wales Trust</v>
      </c>
      <c r="B971" s="1583"/>
      <c r="C971" s="1510"/>
      <c r="D971" s="1494"/>
      <c r="E971" s="1593"/>
      <c r="F971" s="1436"/>
      <c r="G971" s="1547">
        <f t="shared" si="542"/>
        <v>0</v>
      </c>
      <c r="H971" s="1484"/>
      <c r="I971" s="1547">
        <f t="shared" si="543"/>
        <v>0</v>
      </c>
      <c r="J971" s="1495"/>
      <c r="K971" s="1495"/>
      <c r="L971" s="1436"/>
      <c r="M971" s="1439"/>
      <c r="N971" s="1439"/>
      <c r="O971" s="1485"/>
      <c r="P971" s="1486"/>
      <c r="Q971" s="1486"/>
      <c r="R971" s="1487"/>
      <c r="S971" s="1444"/>
      <c r="T971" s="1444"/>
      <c r="U971" s="1444"/>
      <c r="V971" s="1488"/>
      <c r="W971" s="1488"/>
      <c r="X971" s="1488"/>
      <c r="Y971" s="1488"/>
      <c r="Z971" s="1488"/>
      <c r="AA971" s="1488"/>
      <c r="AB971" s="1488"/>
      <c r="AC971" s="1488"/>
      <c r="AD971" s="1488"/>
      <c r="AE971" s="1488"/>
      <c r="AF971" s="1488"/>
      <c r="AG971" s="1488"/>
      <c r="AH971" s="1451">
        <f t="shared" si="515"/>
        <v>0</v>
      </c>
      <c r="AI971" s="1488"/>
      <c r="AJ971" s="1488"/>
      <c r="AK971" s="1488"/>
      <c r="AL971" s="1488"/>
      <c r="AM971" s="1488"/>
      <c r="AN971" s="1488"/>
      <c r="AO971" s="1488"/>
      <c r="AP971" s="1488"/>
      <c r="AQ971" s="1488"/>
      <c r="AR971" s="1488"/>
      <c r="AS971" s="1488"/>
      <c r="AT971" s="1542"/>
      <c r="AU971" s="1599">
        <f t="shared" si="516"/>
        <v>0</v>
      </c>
      <c r="AV971" s="1544">
        <f t="shared" si="544"/>
        <v>0</v>
      </c>
      <c r="AW971" s="1452">
        <f t="shared" si="517"/>
        <v>0</v>
      </c>
      <c r="AX971" s="1452">
        <f t="shared" si="518"/>
        <v>0</v>
      </c>
      <c r="AY971" s="1452">
        <f t="shared" si="519"/>
        <v>0</v>
      </c>
      <c r="AZ971" s="1452">
        <f t="shared" si="520"/>
        <v>0</v>
      </c>
      <c r="BA971" s="1452">
        <f t="shared" si="521"/>
        <v>0</v>
      </c>
      <c r="BB971" s="1452">
        <f t="shared" si="522"/>
        <v>0</v>
      </c>
      <c r="BC971" s="1452">
        <f t="shared" si="523"/>
        <v>0</v>
      </c>
      <c r="BD971" s="1452">
        <f t="shared" si="524"/>
        <v>0</v>
      </c>
      <c r="BE971" s="1452">
        <f t="shared" si="525"/>
        <v>0</v>
      </c>
      <c r="BF971" s="1452">
        <f t="shared" si="526"/>
        <v>0</v>
      </c>
      <c r="BG971" s="1452">
        <f t="shared" si="527"/>
        <v>0</v>
      </c>
      <c r="BH971" s="1452">
        <f t="shared" si="528"/>
        <v>0</v>
      </c>
      <c r="BI971" s="1452">
        <f t="shared" si="545"/>
        <v>0</v>
      </c>
      <c r="BJ971" s="1452" t="str">
        <f t="shared" si="529"/>
        <v/>
      </c>
      <c r="BK971" s="1452" t="str">
        <f t="shared" si="530"/>
        <v/>
      </c>
      <c r="BL971" s="1452" t="str">
        <f t="shared" si="531"/>
        <v/>
      </c>
      <c r="BM971" s="1452" t="str">
        <f t="shared" si="532"/>
        <v/>
      </c>
      <c r="BN971" s="1452" t="str">
        <f t="shared" ca="1" si="533"/>
        <v/>
      </c>
      <c r="BO971" s="1452" t="str">
        <f t="shared" si="546"/>
        <v/>
      </c>
      <c r="BP971" s="1452" t="str">
        <f t="shared" si="534"/>
        <v/>
      </c>
      <c r="BQ971" s="1452" t="str">
        <f t="shared" si="535"/>
        <v/>
      </c>
      <c r="BR971" s="1452" t="str">
        <f t="shared" si="536"/>
        <v/>
      </c>
      <c r="BS971" s="1452" t="str">
        <f t="shared" si="537"/>
        <v/>
      </c>
      <c r="BT971" s="1452" t="str">
        <f t="shared" si="538"/>
        <v/>
      </c>
      <c r="BU971" s="1452" t="str">
        <f t="shared" si="539"/>
        <v/>
      </c>
      <c r="BV971" s="1452" t="str">
        <f t="shared" si="540"/>
        <v/>
      </c>
      <c r="BW971" s="1558">
        <f t="shared" ca="1" si="547"/>
        <v>0</v>
      </c>
    </row>
    <row r="972" spans="1:75" s="9" customFormat="1" ht="12.5">
      <c r="A972" s="1483" t="str">
        <f t="shared" si="541"/>
        <v>Public Health Wales Trust</v>
      </c>
      <c r="B972" s="1583"/>
      <c r="C972" s="1510"/>
      <c r="D972" s="1494"/>
      <c r="E972" s="1593"/>
      <c r="F972" s="1436"/>
      <c r="G972" s="1547">
        <f t="shared" si="542"/>
        <v>0</v>
      </c>
      <c r="H972" s="1484"/>
      <c r="I972" s="1547">
        <f t="shared" si="543"/>
        <v>0</v>
      </c>
      <c r="J972" s="1495"/>
      <c r="K972" s="1495"/>
      <c r="L972" s="1436"/>
      <c r="M972" s="1439"/>
      <c r="N972" s="1439"/>
      <c r="O972" s="1485"/>
      <c r="P972" s="1486"/>
      <c r="Q972" s="1486"/>
      <c r="R972" s="1487"/>
      <c r="S972" s="1444"/>
      <c r="T972" s="1444"/>
      <c r="U972" s="1444"/>
      <c r="V972" s="1488"/>
      <c r="W972" s="1488"/>
      <c r="X972" s="1488"/>
      <c r="Y972" s="1488"/>
      <c r="Z972" s="1488"/>
      <c r="AA972" s="1488"/>
      <c r="AB972" s="1488"/>
      <c r="AC972" s="1488"/>
      <c r="AD972" s="1488"/>
      <c r="AE972" s="1488"/>
      <c r="AF972" s="1488"/>
      <c r="AG972" s="1488"/>
      <c r="AH972" s="1451">
        <f t="shared" si="515"/>
        <v>0</v>
      </c>
      <c r="AI972" s="1488"/>
      <c r="AJ972" s="1488"/>
      <c r="AK972" s="1488"/>
      <c r="AL972" s="1488"/>
      <c r="AM972" s="1488"/>
      <c r="AN972" s="1488"/>
      <c r="AO972" s="1488"/>
      <c r="AP972" s="1488"/>
      <c r="AQ972" s="1488"/>
      <c r="AR972" s="1488"/>
      <c r="AS972" s="1488"/>
      <c r="AT972" s="1542"/>
      <c r="AU972" s="1599">
        <f t="shared" si="516"/>
        <v>0</v>
      </c>
      <c r="AV972" s="1544">
        <f t="shared" si="544"/>
        <v>0</v>
      </c>
      <c r="AW972" s="1452">
        <f t="shared" si="517"/>
        <v>0</v>
      </c>
      <c r="AX972" s="1452">
        <f t="shared" si="518"/>
        <v>0</v>
      </c>
      <c r="AY972" s="1452">
        <f t="shared" si="519"/>
        <v>0</v>
      </c>
      <c r="AZ972" s="1452">
        <f t="shared" si="520"/>
        <v>0</v>
      </c>
      <c r="BA972" s="1452">
        <f t="shared" si="521"/>
        <v>0</v>
      </c>
      <c r="BB972" s="1452">
        <f t="shared" si="522"/>
        <v>0</v>
      </c>
      <c r="BC972" s="1452">
        <f t="shared" si="523"/>
        <v>0</v>
      </c>
      <c r="BD972" s="1452">
        <f t="shared" si="524"/>
        <v>0</v>
      </c>
      <c r="BE972" s="1452">
        <f t="shared" si="525"/>
        <v>0</v>
      </c>
      <c r="BF972" s="1452">
        <f t="shared" si="526"/>
        <v>0</v>
      </c>
      <c r="BG972" s="1452">
        <f t="shared" si="527"/>
        <v>0</v>
      </c>
      <c r="BH972" s="1452">
        <f t="shared" si="528"/>
        <v>0</v>
      </c>
      <c r="BI972" s="1452">
        <f t="shared" si="545"/>
        <v>0</v>
      </c>
      <c r="BJ972" s="1452" t="str">
        <f t="shared" si="529"/>
        <v/>
      </c>
      <c r="BK972" s="1452" t="str">
        <f t="shared" si="530"/>
        <v/>
      </c>
      <c r="BL972" s="1452" t="str">
        <f t="shared" si="531"/>
        <v/>
      </c>
      <c r="BM972" s="1452" t="str">
        <f t="shared" si="532"/>
        <v/>
      </c>
      <c r="BN972" s="1452" t="str">
        <f t="shared" ca="1" si="533"/>
        <v/>
      </c>
      <c r="BO972" s="1452" t="str">
        <f t="shared" si="546"/>
        <v/>
      </c>
      <c r="BP972" s="1452" t="str">
        <f t="shared" si="534"/>
        <v/>
      </c>
      <c r="BQ972" s="1452" t="str">
        <f t="shared" si="535"/>
        <v/>
      </c>
      <c r="BR972" s="1452" t="str">
        <f t="shared" si="536"/>
        <v/>
      </c>
      <c r="BS972" s="1452" t="str">
        <f t="shared" si="537"/>
        <v/>
      </c>
      <c r="BT972" s="1452" t="str">
        <f t="shared" si="538"/>
        <v/>
      </c>
      <c r="BU972" s="1452" t="str">
        <f t="shared" si="539"/>
        <v/>
      </c>
      <c r="BV972" s="1452" t="str">
        <f t="shared" si="540"/>
        <v/>
      </c>
      <c r="BW972" s="1558">
        <f t="shared" ca="1" si="547"/>
        <v>0</v>
      </c>
    </row>
    <row r="973" spans="1:75" s="9" customFormat="1" ht="12.5">
      <c r="A973" s="1483" t="str">
        <f t="shared" si="541"/>
        <v>Public Health Wales Trust</v>
      </c>
      <c r="B973" s="1583"/>
      <c r="C973" s="1510"/>
      <c r="D973" s="1494"/>
      <c r="E973" s="1593"/>
      <c r="F973" s="1436"/>
      <c r="G973" s="1547">
        <f t="shared" si="542"/>
        <v>0</v>
      </c>
      <c r="H973" s="1484"/>
      <c r="I973" s="1547">
        <f t="shared" si="543"/>
        <v>0</v>
      </c>
      <c r="J973" s="1495"/>
      <c r="K973" s="1495"/>
      <c r="L973" s="1436"/>
      <c r="M973" s="1439"/>
      <c r="N973" s="1439"/>
      <c r="O973" s="1485"/>
      <c r="P973" s="1486"/>
      <c r="Q973" s="1486"/>
      <c r="R973" s="1487"/>
      <c r="S973" s="1444"/>
      <c r="T973" s="1444"/>
      <c r="U973" s="1444"/>
      <c r="V973" s="1488"/>
      <c r="W973" s="1488"/>
      <c r="X973" s="1488"/>
      <c r="Y973" s="1488"/>
      <c r="Z973" s="1488"/>
      <c r="AA973" s="1488"/>
      <c r="AB973" s="1488"/>
      <c r="AC973" s="1488"/>
      <c r="AD973" s="1488"/>
      <c r="AE973" s="1488"/>
      <c r="AF973" s="1488"/>
      <c r="AG973" s="1488"/>
      <c r="AH973" s="1451">
        <f t="shared" si="515"/>
        <v>0</v>
      </c>
      <c r="AI973" s="1488"/>
      <c r="AJ973" s="1488"/>
      <c r="AK973" s="1488"/>
      <c r="AL973" s="1488"/>
      <c r="AM973" s="1488"/>
      <c r="AN973" s="1488"/>
      <c r="AO973" s="1488"/>
      <c r="AP973" s="1488"/>
      <c r="AQ973" s="1488"/>
      <c r="AR973" s="1488"/>
      <c r="AS973" s="1488"/>
      <c r="AT973" s="1542"/>
      <c r="AU973" s="1599">
        <f t="shared" si="516"/>
        <v>0</v>
      </c>
      <c r="AV973" s="1544">
        <f t="shared" si="544"/>
        <v>0</v>
      </c>
      <c r="AW973" s="1452">
        <f t="shared" si="517"/>
        <v>0</v>
      </c>
      <c r="AX973" s="1452">
        <f t="shared" si="518"/>
        <v>0</v>
      </c>
      <c r="AY973" s="1452">
        <f t="shared" si="519"/>
        <v>0</v>
      </c>
      <c r="AZ973" s="1452">
        <f t="shared" si="520"/>
        <v>0</v>
      </c>
      <c r="BA973" s="1452">
        <f t="shared" si="521"/>
        <v>0</v>
      </c>
      <c r="BB973" s="1452">
        <f t="shared" si="522"/>
        <v>0</v>
      </c>
      <c r="BC973" s="1452">
        <f t="shared" si="523"/>
        <v>0</v>
      </c>
      <c r="BD973" s="1452">
        <f t="shared" si="524"/>
        <v>0</v>
      </c>
      <c r="BE973" s="1452">
        <f t="shared" si="525"/>
        <v>0</v>
      </c>
      <c r="BF973" s="1452">
        <f t="shared" si="526"/>
        <v>0</v>
      </c>
      <c r="BG973" s="1452">
        <f t="shared" si="527"/>
        <v>0</v>
      </c>
      <c r="BH973" s="1452">
        <f t="shared" si="528"/>
        <v>0</v>
      </c>
      <c r="BI973" s="1452">
        <f t="shared" si="545"/>
        <v>0</v>
      </c>
      <c r="BJ973" s="1452" t="str">
        <f t="shared" si="529"/>
        <v/>
      </c>
      <c r="BK973" s="1452" t="str">
        <f t="shared" si="530"/>
        <v/>
      </c>
      <c r="BL973" s="1452" t="str">
        <f t="shared" si="531"/>
        <v/>
      </c>
      <c r="BM973" s="1452" t="str">
        <f t="shared" si="532"/>
        <v/>
      </c>
      <c r="BN973" s="1452" t="str">
        <f t="shared" ca="1" si="533"/>
        <v/>
      </c>
      <c r="BO973" s="1452" t="str">
        <f t="shared" si="546"/>
        <v/>
      </c>
      <c r="BP973" s="1452" t="str">
        <f t="shared" si="534"/>
        <v/>
      </c>
      <c r="BQ973" s="1452" t="str">
        <f t="shared" si="535"/>
        <v/>
      </c>
      <c r="BR973" s="1452" t="str">
        <f t="shared" si="536"/>
        <v/>
      </c>
      <c r="BS973" s="1452" t="str">
        <f t="shared" si="537"/>
        <v/>
      </c>
      <c r="BT973" s="1452" t="str">
        <f t="shared" si="538"/>
        <v/>
      </c>
      <c r="BU973" s="1452" t="str">
        <f t="shared" si="539"/>
        <v/>
      </c>
      <c r="BV973" s="1452" t="str">
        <f t="shared" si="540"/>
        <v/>
      </c>
      <c r="BW973" s="1558">
        <f t="shared" ca="1" si="547"/>
        <v>0</v>
      </c>
    </row>
    <row r="974" spans="1:75" s="9" customFormat="1" ht="12.5">
      <c r="A974" s="1483" t="str">
        <f t="shared" si="541"/>
        <v>Public Health Wales Trust</v>
      </c>
      <c r="B974" s="1583"/>
      <c r="C974" s="1510"/>
      <c r="D974" s="1494"/>
      <c r="E974" s="1593"/>
      <c r="F974" s="1436"/>
      <c r="G974" s="1547">
        <f t="shared" si="542"/>
        <v>0</v>
      </c>
      <c r="H974" s="1484"/>
      <c r="I974" s="1547">
        <f t="shared" si="543"/>
        <v>0</v>
      </c>
      <c r="J974" s="1495"/>
      <c r="K974" s="1495"/>
      <c r="L974" s="1436"/>
      <c r="M974" s="1439"/>
      <c r="N974" s="1439"/>
      <c r="O974" s="1485"/>
      <c r="P974" s="1486"/>
      <c r="Q974" s="1486"/>
      <c r="R974" s="1487"/>
      <c r="S974" s="1444"/>
      <c r="T974" s="1444"/>
      <c r="U974" s="1444"/>
      <c r="V974" s="1488"/>
      <c r="W974" s="1488"/>
      <c r="X974" s="1488"/>
      <c r="Y974" s="1488"/>
      <c r="Z974" s="1488"/>
      <c r="AA974" s="1488"/>
      <c r="AB974" s="1488"/>
      <c r="AC974" s="1488"/>
      <c r="AD974" s="1488"/>
      <c r="AE974" s="1488"/>
      <c r="AF974" s="1488"/>
      <c r="AG974" s="1488"/>
      <c r="AH974" s="1451">
        <f t="shared" si="515"/>
        <v>0</v>
      </c>
      <c r="AI974" s="1488"/>
      <c r="AJ974" s="1488"/>
      <c r="AK974" s="1488"/>
      <c r="AL974" s="1488"/>
      <c r="AM974" s="1488"/>
      <c r="AN974" s="1488"/>
      <c r="AO974" s="1488"/>
      <c r="AP974" s="1488"/>
      <c r="AQ974" s="1488"/>
      <c r="AR974" s="1488"/>
      <c r="AS974" s="1488"/>
      <c r="AT974" s="1542"/>
      <c r="AU974" s="1599">
        <f t="shared" si="516"/>
        <v>0</v>
      </c>
      <c r="AV974" s="1544">
        <f t="shared" si="544"/>
        <v>0</v>
      </c>
      <c r="AW974" s="1452">
        <f t="shared" si="517"/>
        <v>0</v>
      </c>
      <c r="AX974" s="1452">
        <f t="shared" si="518"/>
        <v>0</v>
      </c>
      <c r="AY974" s="1452">
        <f t="shared" si="519"/>
        <v>0</v>
      </c>
      <c r="AZ974" s="1452">
        <f t="shared" si="520"/>
        <v>0</v>
      </c>
      <c r="BA974" s="1452">
        <f t="shared" si="521"/>
        <v>0</v>
      </c>
      <c r="BB974" s="1452">
        <f t="shared" si="522"/>
        <v>0</v>
      </c>
      <c r="BC974" s="1452">
        <f t="shared" si="523"/>
        <v>0</v>
      </c>
      <c r="BD974" s="1452">
        <f t="shared" si="524"/>
        <v>0</v>
      </c>
      <c r="BE974" s="1452">
        <f t="shared" si="525"/>
        <v>0</v>
      </c>
      <c r="BF974" s="1452">
        <f t="shared" si="526"/>
        <v>0</v>
      </c>
      <c r="BG974" s="1452">
        <f t="shared" si="527"/>
        <v>0</v>
      </c>
      <c r="BH974" s="1452">
        <f t="shared" si="528"/>
        <v>0</v>
      </c>
      <c r="BI974" s="1452">
        <f t="shared" si="545"/>
        <v>0</v>
      </c>
      <c r="BJ974" s="1452" t="str">
        <f t="shared" si="529"/>
        <v/>
      </c>
      <c r="BK974" s="1452" t="str">
        <f t="shared" si="530"/>
        <v/>
      </c>
      <c r="BL974" s="1452" t="str">
        <f t="shared" si="531"/>
        <v/>
      </c>
      <c r="BM974" s="1452" t="str">
        <f t="shared" si="532"/>
        <v/>
      </c>
      <c r="BN974" s="1452" t="str">
        <f t="shared" ca="1" si="533"/>
        <v/>
      </c>
      <c r="BO974" s="1452" t="str">
        <f t="shared" si="546"/>
        <v/>
      </c>
      <c r="BP974" s="1452" t="str">
        <f t="shared" si="534"/>
        <v/>
      </c>
      <c r="BQ974" s="1452" t="str">
        <f t="shared" si="535"/>
        <v/>
      </c>
      <c r="BR974" s="1452" t="str">
        <f t="shared" si="536"/>
        <v/>
      </c>
      <c r="BS974" s="1452" t="str">
        <f t="shared" si="537"/>
        <v/>
      </c>
      <c r="BT974" s="1452" t="str">
        <f t="shared" si="538"/>
        <v/>
      </c>
      <c r="BU974" s="1452" t="str">
        <f t="shared" si="539"/>
        <v/>
      </c>
      <c r="BV974" s="1452" t="str">
        <f t="shared" si="540"/>
        <v/>
      </c>
      <c r="BW974" s="1558">
        <f t="shared" ca="1" si="547"/>
        <v>0</v>
      </c>
    </row>
    <row r="975" spans="1:75" s="9" customFormat="1" ht="12.5">
      <c r="A975" s="1483" t="str">
        <f t="shared" si="541"/>
        <v>Public Health Wales Trust</v>
      </c>
      <c r="B975" s="1583"/>
      <c r="C975" s="1510"/>
      <c r="D975" s="1494"/>
      <c r="E975" s="1593"/>
      <c r="F975" s="1436"/>
      <c r="G975" s="1547">
        <f t="shared" si="542"/>
        <v>0</v>
      </c>
      <c r="H975" s="1484"/>
      <c r="I975" s="1547">
        <f t="shared" si="543"/>
        <v>0</v>
      </c>
      <c r="J975" s="1495"/>
      <c r="K975" s="1495"/>
      <c r="L975" s="1436"/>
      <c r="M975" s="1439"/>
      <c r="N975" s="1439"/>
      <c r="O975" s="1485"/>
      <c r="P975" s="1486"/>
      <c r="Q975" s="1486"/>
      <c r="R975" s="1487"/>
      <c r="S975" s="1444"/>
      <c r="T975" s="1444"/>
      <c r="U975" s="1444"/>
      <c r="V975" s="1488"/>
      <c r="W975" s="1488"/>
      <c r="X975" s="1488"/>
      <c r="Y975" s="1488"/>
      <c r="Z975" s="1488"/>
      <c r="AA975" s="1488"/>
      <c r="AB975" s="1488"/>
      <c r="AC975" s="1488"/>
      <c r="AD975" s="1488"/>
      <c r="AE975" s="1488"/>
      <c r="AF975" s="1488"/>
      <c r="AG975" s="1488"/>
      <c r="AH975" s="1451">
        <f t="shared" si="515"/>
        <v>0</v>
      </c>
      <c r="AI975" s="1488"/>
      <c r="AJ975" s="1488"/>
      <c r="AK975" s="1488"/>
      <c r="AL975" s="1488"/>
      <c r="AM975" s="1488"/>
      <c r="AN975" s="1488"/>
      <c r="AO975" s="1488"/>
      <c r="AP975" s="1488"/>
      <c r="AQ975" s="1488"/>
      <c r="AR975" s="1488"/>
      <c r="AS975" s="1488"/>
      <c r="AT975" s="1542"/>
      <c r="AU975" s="1599">
        <f t="shared" si="516"/>
        <v>0</v>
      </c>
      <c r="AV975" s="1544">
        <f t="shared" si="544"/>
        <v>0</v>
      </c>
      <c r="AW975" s="1452">
        <f t="shared" si="517"/>
        <v>0</v>
      </c>
      <c r="AX975" s="1452">
        <f t="shared" si="518"/>
        <v>0</v>
      </c>
      <c r="AY975" s="1452">
        <f t="shared" si="519"/>
        <v>0</v>
      </c>
      <c r="AZ975" s="1452">
        <f t="shared" si="520"/>
        <v>0</v>
      </c>
      <c r="BA975" s="1452">
        <f t="shared" si="521"/>
        <v>0</v>
      </c>
      <c r="BB975" s="1452">
        <f t="shared" si="522"/>
        <v>0</v>
      </c>
      <c r="BC975" s="1452">
        <f t="shared" si="523"/>
        <v>0</v>
      </c>
      <c r="BD975" s="1452">
        <f t="shared" si="524"/>
        <v>0</v>
      </c>
      <c r="BE975" s="1452">
        <f t="shared" si="525"/>
        <v>0</v>
      </c>
      <c r="BF975" s="1452">
        <f t="shared" si="526"/>
        <v>0</v>
      </c>
      <c r="BG975" s="1452">
        <f t="shared" si="527"/>
        <v>0</v>
      </c>
      <c r="BH975" s="1452">
        <f t="shared" si="528"/>
        <v>0</v>
      </c>
      <c r="BI975" s="1452">
        <f t="shared" si="545"/>
        <v>0</v>
      </c>
      <c r="BJ975" s="1452" t="str">
        <f t="shared" si="529"/>
        <v/>
      </c>
      <c r="BK975" s="1452" t="str">
        <f t="shared" si="530"/>
        <v/>
      </c>
      <c r="BL975" s="1452" t="str">
        <f t="shared" si="531"/>
        <v/>
      </c>
      <c r="BM975" s="1452" t="str">
        <f t="shared" si="532"/>
        <v/>
      </c>
      <c r="BN975" s="1452" t="str">
        <f t="shared" ca="1" si="533"/>
        <v/>
      </c>
      <c r="BO975" s="1452" t="str">
        <f t="shared" si="546"/>
        <v/>
      </c>
      <c r="BP975" s="1452" t="str">
        <f t="shared" si="534"/>
        <v/>
      </c>
      <c r="BQ975" s="1452" t="str">
        <f t="shared" si="535"/>
        <v/>
      </c>
      <c r="BR975" s="1452" t="str">
        <f t="shared" si="536"/>
        <v/>
      </c>
      <c r="BS975" s="1452" t="str">
        <f t="shared" si="537"/>
        <v/>
      </c>
      <c r="BT975" s="1452" t="str">
        <f t="shared" si="538"/>
        <v/>
      </c>
      <c r="BU975" s="1452" t="str">
        <f t="shared" si="539"/>
        <v/>
      </c>
      <c r="BV975" s="1452" t="str">
        <f t="shared" si="540"/>
        <v/>
      </c>
      <c r="BW975" s="1558">
        <f t="shared" ca="1" si="547"/>
        <v>0</v>
      </c>
    </row>
    <row r="976" spans="1:75" s="9" customFormat="1" ht="12.5">
      <c r="A976" s="1483" t="str">
        <f t="shared" si="541"/>
        <v>Public Health Wales Trust</v>
      </c>
      <c r="B976" s="1583"/>
      <c r="C976" s="1510"/>
      <c r="D976" s="1494"/>
      <c r="E976" s="1593"/>
      <c r="F976" s="1436"/>
      <c r="G976" s="1547">
        <f t="shared" si="542"/>
        <v>0</v>
      </c>
      <c r="H976" s="1484"/>
      <c r="I976" s="1547">
        <f t="shared" si="543"/>
        <v>0</v>
      </c>
      <c r="J976" s="1495"/>
      <c r="K976" s="1495"/>
      <c r="L976" s="1436"/>
      <c r="M976" s="1439"/>
      <c r="N976" s="1439"/>
      <c r="O976" s="1485"/>
      <c r="P976" s="1486"/>
      <c r="Q976" s="1486"/>
      <c r="R976" s="1487"/>
      <c r="S976" s="1444"/>
      <c r="T976" s="1444"/>
      <c r="U976" s="1444"/>
      <c r="V976" s="1488"/>
      <c r="W976" s="1488"/>
      <c r="X976" s="1488"/>
      <c r="Y976" s="1488"/>
      <c r="Z976" s="1488"/>
      <c r="AA976" s="1488"/>
      <c r="AB976" s="1488"/>
      <c r="AC976" s="1488"/>
      <c r="AD976" s="1488"/>
      <c r="AE976" s="1488"/>
      <c r="AF976" s="1488"/>
      <c r="AG976" s="1488"/>
      <c r="AH976" s="1451">
        <f t="shared" si="515"/>
        <v>0</v>
      </c>
      <c r="AI976" s="1488"/>
      <c r="AJ976" s="1488"/>
      <c r="AK976" s="1488"/>
      <c r="AL976" s="1488"/>
      <c r="AM976" s="1488"/>
      <c r="AN976" s="1488"/>
      <c r="AO976" s="1488"/>
      <c r="AP976" s="1488"/>
      <c r="AQ976" s="1488"/>
      <c r="AR976" s="1488"/>
      <c r="AS976" s="1488"/>
      <c r="AT976" s="1542"/>
      <c r="AU976" s="1599">
        <f t="shared" si="516"/>
        <v>0</v>
      </c>
      <c r="AV976" s="1544">
        <f t="shared" si="544"/>
        <v>0</v>
      </c>
      <c r="AW976" s="1452">
        <f t="shared" si="517"/>
        <v>0</v>
      </c>
      <c r="AX976" s="1452">
        <f t="shared" si="518"/>
        <v>0</v>
      </c>
      <c r="AY976" s="1452">
        <f t="shared" si="519"/>
        <v>0</v>
      </c>
      <c r="AZ976" s="1452">
        <f t="shared" si="520"/>
        <v>0</v>
      </c>
      <c r="BA976" s="1452">
        <f t="shared" si="521"/>
        <v>0</v>
      </c>
      <c r="BB976" s="1452">
        <f t="shared" si="522"/>
        <v>0</v>
      </c>
      <c r="BC976" s="1452">
        <f t="shared" si="523"/>
        <v>0</v>
      </c>
      <c r="BD976" s="1452">
        <f t="shared" si="524"/>
        <v>0</v>
      </c>
      <c r="BE976" s="1452">
        <f t="shared" si="525"/>
        <v>0</v>
      </c>
      <c r="BF976" s="1452">
        <f t="shared" si="526"/>
        <v>0</v>
      </c>
      <c r="BG976" s="1452">
        <f t="shared" si="527"/>
        <v>0</v>
      </c>
      <c r="BH976" s="1452">
        <f t="shared" si="528"/>
        <v>0</v>
      </c>
      <c r="BI976" s="1452">
        <f t="shared" si="545"/>
        <v>0</v>
      </c>
      <c r="BJ976" s="1452" t="str">
        <f t="shared" si="529"/>
        <v/>
      </c>
      <c r="BK976" s="1452" t="str">
        <f t="shared" si="530"/>
        <v/>
      </c>
      <c r="BL976" s="1452" t="str">
        <f t="shared" si="531"/>
        <v/>
      </c>
      <c r="BM976" s="1452" t="str">
        <f t="shared" si="532"/>
        <v/>
      </c>
      <c r="BN976" s="1452" t="str">
        <f t="shared" ca="1" si="533"/>
        <v/>
      </c>
      <c r="BO976" s="1452" t="str">
        <f t="shared" si="546"/>
        <v/>
      </c>
      <c r="BP976" s="1452" t="str">
        <f t="shared" si="534"/>
        <v/>
      </c>
      <c r="BQ976" s="1452" t="str">
        <f t="shared" si="535"/>
        <v/>
      </c>
      <c r="BR976" s="1452" t="str">
        <f t="shared" si="536"/>
        <v/>
      </c>
      <c r="BS976" s="1452" t="str">
        <f t="shared" si="537"/>
        <v/>
      </c>
      <c r="BT976" s="1452" t="str">
        <f t="shared" si="538"/>
        <v/>
      </c>
      <c r="BU976" s="1452" t="str">
        <f t="shared" si="539"/>
        <v/>
      </c>
      <c r="BV976" s="1452" t="str">
        <f t="shared" si="540"/>
        <v/>
      </c>
      <c r="BW976" s="1558">
        <f t="shared" ca="1" si="547"/>
        <v>0</v>
      </c>
    </row>
    <row r="977" spans="1:75" s="9" customFormat="1" ht="12.5">
      <c r="A977" s="1483" t="str">
        <f t="shared" si="541"/>
        <v>Public Health Wales Trust</v>
      </c>
      <c r="B977" s="1583"/>
      <c r="C977" s="1510"/>
      <c r="D977" s="1494"/>
      <c r="E977" s="1593"/>
      <c r="F977" s="1436"/>
      <c r="G977" s="1547">
        <f t="shared" si="542"/>
        <v>0</v>
      </c>
      <c r="H977" s="1484"/>
      <c r="I977" s="1547">
        <f t="shared" si="543"/>
        <v>0</v>
      </c>
      <c r="J977" s="1495"/>
      <c r="K977" s="1495"/>
      <c r="L977" s="1436"/>
      <c r="M977" s="1439"/>
      <c r="N977" s="1439"/>
      <c r="O977" s="1485"/>
      <c r="P977" s="1486"/>
      <c r="Q977" s="1486"/>
      <c r="R977" s="1487"/>
      <c r="S977" s="1444"/>
      <c r="T977" s="1444"/>
      <c r="U977" s="1444"/>
      <c r="V977" s="1488"/>
      <c r="W977" s="1488"/>
      <c r="X977" s="1488"/>
      <c r="Y977" s="1488"/>
      <c r="Z977" s="1488"/>
      <c r="AA977" s="1488"/>
      <c r="AB977" s="1488"/>
      <c r="AC977" s="1488"/>
      <c r="AD977" s="1488"/>
      <c r="AE977" s="1488"/>
      <c r="AF977" s="1488"/>
      <c r="AG977" s="1488"/>
      <c r="AH977" s="1451">
        <f t="shared" si="515"/>
        <v>0</v>
      </c>
      <c r="AI977" s="1488"/>
      <c r="AJ977" s="1488"/>
      <c r="AK977" s="1488"/>
      <c r="AL977" s="1488"/>
      <c r="AM977" s="1488"/>
      <c r="AN977" s="1488"/>
      <c r="AO977" s="1488"/>
      <c r="AP977" s="1488"/>
      <c r="AQ977" s="1488"/>
      <c r="AR977" s="1488"/>
      <c r="AS977" s="1488"/>
      <c r="AT977" s="1542"/>
      <c r="AU977" s="1599">
        <f t="shared" si="516"/>
        <v>0</v>
      </c>
      <c r="AV977" s="1544">
        <f t="shared" si="544"/>
        <v>0</v>
      </c>
      <c r="AW977" s="1452">
        <f t="shared" si="517"/>
        <v>0</v>
      </c>
      <c r="AX977" s="1452">
        <f t="shared" si="518"/>
        <v>0</v>
      </c>
      <c r="AY977" s="1452">
        <f t="shared" si="519"/>
        <v>0</v>
      </c>
      <c r="AZ977" s="1452">
        <f t="shared" si="520"/>
        <v>0</v>
      </c>
      <c r="BA977" s="1452">
        <f t="shared" si="521"/>
        <v>0</v>
      </c>
      <c r="BB977" s="1452">
        <f t="shared" si="522"/>
        <v>0</v>
      </c>
      <c r="BC977" s="1452">
        <f t="shared" si="523"/>
        <v>0</v>
      </c>
      <c r="BD977" s="1452">
        <f t="shared" si="524"/>
        <v>0</v>
      </c>
      <c r="BE977" s="1452">
        <f t="shared" si="525"/>
        <v>0</v>
      </c>
      <c r="BF977" s="1452">
        <f t="shared" si="526"/>
        <v>0</v>
      </c>
      <c r="BG977" s="1452">
        <f t="shared" si="527"/>
        <v>0</v>
      </c>
      <c r="BH977" s="1452">
        <f t="shared" si="528"/>
        <v>0</v>
      </c>
      <c r="BI977" s="1452">
        <f t="shared" si="545"/>
        <v>0</v>
      </c>
      <c r="BJ977" s="1452" t="str">
        <f t="shared" si="529"/>
        <v/>
      </c>
      <c r="BK977" s="1452" t="str">
        <f t="shared" si="530"/>
        <v/>
      </c>
      <c r="BL977" s="1452" t="str">
        <f t="shared" si="531"/>
        <v/>
      </c>
      <c r="BM977" s="1452" t="str">
        <f t="shared" si="532"/>
        <v/>
      </c>
      <c r="BN977" s="1452" t="str">
        <f t="shared" ca="1" si="533"/>
        <v/>
      </c>
      <c r="BO977" s="1452" t="str">
        <f t="shared" si="546"/>
        <v/>
      </c>
      <c r="BP977" s="1452" t="str">
        <f t="shared" si="534"/>
        <v/>
      </c>
      <c r="BQ977" s="1452" t="str">
        <f t="shared" si="535"/>
        <v/>
      </c>
      <c r="BR977" s="1452" t="str">
        <f t="shared" si="536"/>
        <v/>
      </c>
      <c r="BS977" s="1452" t="str">
        <f t="shared" si="537"/>
        <v/>
      </c>
      <c r="BT977" s="1452" t="str">
        <f t="shared" si="538"/>
        <v/>
      </c>
      <c r="BU977" s="1452" t="str">
        <f t="shared" si="539"/>
        <v/>
      </c>
      <c r="BV977" s="1452" t="str">
        <f t="shared" si="540"/>
        <v/>
      </c>
      <c r="BW977" s="1558">
        <f t="shared" ca="1" si="547"/>
        <v>0</v>
      </c>
    </row>
    <row r="978" spans="1:75" s="9" customFormat="1" ht="12.5">
      <c r="A978" s="1483" t="str">
        <f t="shared" si="541"/>
        <v>Public Health Wales Trust</v>
      </c>
      <c r="B978" s="1583"/>
      <c r="C978" s="1510"/>
      <c r="D978" s="1494"/>
      <c r="E978" s="1593"/>
      <c r="F978" s="1436"/>
      <c r="G978" s="1547">
        <f t="shared" si="542"/>
        <v>0</v>
      </c>
      <c r="H978" s="1484"/>
      <c r="I978" s="1547">
        <f t="shared" si="543"/>
        <v>0</v>
      </c>
      <c r="J978" s="1495"/>
      <c r="K978" s="1495"/>
      <c r="L978" s="1436"/>
      <c r="M978" s="1439"/>
      <c r="N978" s="1439"/>
      <c r="O978" s="1485"/>
      <c r="P978" s="1486"/>
      <c r="Q978" s="1486"/>
      <c r="R978" s="1487"/>
      <c r="S978" s="1444"/>
      <c r="T978" s="1444"/>
      <c r="U978" s="1444"/>
      <c r="V978" s="1488"/>
      <c r="W978" s="1488"/>
      <c r="X978" s="1488"/>
      <c r="Y978" s="1488"/>
      <c r="Z978" s="1488"/>
      <c r="AA978" s="1488"/>
      <c r="AB978" s="1488"/>
      <c r="AC978" s="1488"/>
      <c r="AD978" s="1488"/>
      <c r="AE978" s="1488"/>
      <c r="AF978" s="1488"/>
      <c r="AG978" s="1488"/>
      <c r="AH978" s="1451">
        <f t="shared" si="515"/>
        <v>0</v>
      </c>
      <c r="AI978" s="1488"/>
      <c r="AJ978" s="1488"/>
      <c r="AK978" s="1488"/>
      <c r="AL978" s="1488"/>
      <c r="AM978" s="1488"/>
      <c r="AN978" s="1488"/>
      <c r="AO978" s="1488"/>
      <c r="AP978" s="1488"/>
      <c r="AQ978" s="1488"/>
      <c r="AR978" s="1488"/>
      <c r="AS978" s="1488"/>
      <c r="AT978" s="1542"/>
      <c r="AU978" s="1599">
        <f t="shared" si="516"/>
        <v>0</v>
      </c>
      <c r="AV978" s="1544">
        <f t="shared" si="544"/>
        <v>0</v>
      </c>
      <c r="AW978" s="1452">
        <f t="shared" si="517"/>
        <v>0</v>
      </c>
      <c r="AX978" s="1452">
        <f t="shared" si="518"/>
        <v>0</v>
      </c>
      <c r="AY978" s="1452">
        <f t="shared" si="519"/>
        <v>0</v>
      </c>
      <c r="AZ978" s="1452">
        <f t="shared" si="520"/>
        <v>0</v>
      </c>
      <c r="BA978" s="1452">
        <f t="shared" si="521"/>
        <v>0</v>
      </c>
      <c r="BB978" s="1452">
        <f t="shared" si="522"/>
        <v>0</v>
      </c>
      <c r="BC978" s="1452">
        <f t="shared" si="523"/>
        <v>0</v>
      </c>
      <c r="BD978" s="1452">
        <f t="shared" si="524"/>
        <v>0</v>
      </c>
      <c r="BE978" s="1452">
        <f t="shared" si="525"/>
        <v>0</v>
      </c>
      <c r="BF978" s="1452">
        <f t="shared" si="526"/>
        <v>0</v>
      </c>
      <c r="BG978" s="1452">
        <f t="shared" si="527"/>
        <v>0</v>
      </c>
      <c r="BH978" s="1452">
        <f t="shared" si="528"/>
        <v>0</v>
      </c>
      <c r="BI978" s="1452">
        <f t="shared" si="545"/>
        <v>0</v>
      </c>
      <c r="BJ978" s="1452" t="str">
        <f t="shared" si="529"/>
        <v/>
      </c>
      <c r="BK978" s="1452" t="str">
        <f t="shared" si="530"/>
        <v/>
      </c>
      <c r="BL978" s="1452" t="str">
        <f t="shared" si="531"/>
        <v/>
      </c>
      <c r="BM978" s="1452" t="str">
        <f t="shared" si="532"/>
        <v/>
      </c>
      <c r="BN978" s="1452" t="str">
        <f t="shared" ca="1" si="533"/>
        <v/>
      </c>
      <c r="BO978" s="1452" t="str">
        <f t="shared" si="546"/>
        <v/>
      </c>
      <c r="BP978" s="1452" t="str">
        <f t="shared" si="534"/>
        <v/>
      </c>
      <c r="BQ978" s="1452" t="str">
        <f t="shared" si="535"/>
        <v/>
      </c>
      <c r="BR978" s="1452" t="str">
        <f t="shared" si="536"/>
        <v/>
      </c>
      <c r="BS978" s="1452" t="str">
        <f t="shared" si="537"/>
        <v/>
      </c>
      <c r="BT978" s="1452" t="str">
        <f t="shared" si="538"/>
        <v/>
      </c>
      <c r="BU978" s="1452" t="str">
        <f t="shared" si="539"/>
        <v/>
      </c>
      <c r="BV978" s="1452" t="str">
        <f t="shared" si="540"/>
        <v/>
      </c>
      <c r="BW978" s="1558">
        <f t="shared" ca="1" si="547"/>
        <v>0</v>
      </c>
    </row>
    <row r="979" spans="1:75" s="9" customFormat="1" ht="12.5">
      <c r="A979" s="1483" t="str">
        <f t="shared" si="541"/>
        <v>Public Health Wales Trust</v>
      </c>
      <c r="B979" s="1583"/>
      <c r="C979" s="1510"/>
      <c r="D979" s="1494"/>
      <c r="E979" s="1593"/>
      <c r="F979" s="1436"/>
      <c r="G979" s="1547">
        <f t="shared" si="542"/>
        <v>0</v>
      </c>
      <c r="H979" s="1484"/>
      <c r="I979" s="1547">
        <f t="shared" si="543"/>
        <v>0</v>
      </c>
      <c r="J979" s="1495"/>
      <c r="K979" s="1495"/>
      <c r="L979" s="1436"/>
      <c r="M979" s="1439"/>
      <c r="N979" s="1439"/>
      <c r="O979" s="1485"/>
      <c r="P979" s="1486"/>
      <c r="Q979" s="1486"/>
      <c r="R979" s="1487"/>
      <c r="S979" s="1444"/>
      <c r="T979" s="1444"/>
      <c r="U979" s="1444"/>
      <c r="V979" s="1488"/>
      <c r="W979" s="1488"/>
      <c r="X979" s="1488"/>
      <c r="Y979" s="1488"/>
      <c r="Z979" s="1488"/>
      <c r="AA979" s="1488"/>
      <c r="AB979" s="1488"/>
      <c r="AC979" s="1488"/>
      <c r="AD979" s="1488"/>
      <c r="AE979" s="1488"/>
      <c r="AF979" s="1488"/>
      <c r="AG979" s="1488"/>
      <c r="AH979" s="1451">
        <f t="shared" si="515"/>
        <v>0</v>
      </c>
      <c r="AI979" s="1488"/>
      <c r="AJ979" s="1488"/>
      <c r="AK979" s="1488"/>
      <c r="AL979" s="1488"/>
      <c r="AM979" s="1488"/>
      <c r="AN979" s="1488"/>
      <c r="AO979" s="1488"/>
      <c r="AP979" s="1488"/>
      <c r="AQ979" s="1488"/>
      <c r="AR979" s="1488"/>
      <c r="AS979" s="1488"/>
      <c r="AT979" s="1542"/>
      <c r="AU979" s="1599">
        <f t="shared" si="516"/>
        <v>0</v>
      </c>
      <c r="AV979" s="1544">
        <f t="shared" si="544"/>
        <v>0</v>
      </c>
      <c r="AW979" s="1452">
        <f t="shared" si="517"/>
        <v>0</v>
      </c>
      <c r="AX979" s="1452">
        <f t="shared" si="518"/>
        <v>0</v>
      </c>
      <c r="AY979" s="1452">
        <f t="shared" si="519"/>
        <v>0</v>
      </c>
      <c r="AZ979" s="1452">
        <f t="shared" si="520"/>
        <v>0</v>
      </c>
      <c r="BA979" s="1452">
        <f t="shared" si="521"/>
        <v>0</v>
      </c>
      <c r="BB979" s="1452">
        <f t="shared" si="522"/>
        <v>0</v>
      </c>
      <c r="BC979" s="1452">
        <f t="shared" si="523"/>
        <v>0</v>
      </c>
      <c r="BD979" s="1452">
        <f t="shared" si="524"/>
        <v>0</v>
      </c>
      <c r="BE979" s="1452">
        <f t="shared" si="525"/>
        <v>0</v>
      </c>
      <c r="BF979" s="1452">
        <f t="shared" si="526"/>
        <v>0</v>
      </c>
      <c r="BG979" s="1452">
        <f t="shared" si="527"/>
        <v>0</v>
      </c>
      <c r="BH979" s="1452">
        <f t="shared" si="528"/>
        <v>0</v>
      </c>
      <c r="BI979" s="1452">
        <f t="shared" si="545"/>
        <v>0</v>
      </c>
      <c r="BJ979" s="1452" t="str">
        <f t="shared" si="529"/>
        <v/>
      </c>
      <c r="BK979" s="1452" t="str">
        <f t="shared" si="530"/>
        <v/>
      </c>
      <c r="BL979" s="1452" t="str">
        <f t="shared" si="531"/>
        <v/>
      </c>
      <c r="BM979" s="1452" t="str">
        <f t="shared" si="532"/>
        <v/>
      </c>
      <c r="BN979" s="1452" t="str">
        <f t="shared" ca="1" si="533"/>
        <v/>
      </c>
      <c r="BO979" s="1452" t="str">
        <f t="shared" si="546"/>
        <v/>
      </c>
      <c r="BP979" s="1452" t="str">
        <f t="shared" si="534"/>
        <v/>
      </c>
      <c r="BQ979" s="1452" t="str">
        <f t="shared" si="535"/>
        <v/>
      </c>
      <c r="BR979" s="1452" t="str">
        <f t="shared" si="536"/>
        <v/>
      </c>
      <c r="BS979" s="1452" t="str">
        <f t="shared" si="537"/>
        <v/>
      </c>
      <c r="BT979" s="1452" t="str">
        <f t="shared" si="538"/>
        <v/>
      </c>
      <c r="BU979" s="1452" t="str">
        <f t="shared" si="539"/>
        <v/>
      </c>
      <c r="BV979" s="1452" t="str">
        <f t="shared" si="540"/>
        <v/>
      </c>
      <c r="BW979" s="1558">
        <f t="shared" ca="1" si="547"/>
        <v>0</v>
      </c>
    </row>
    <row r="980" spans="1:75" s="9" customFormat="1" ht="12.5">
      <c r="A980" s="1483" t="str">
        <f t="shared" si="541"/>
        <v>Public Health Wales Trust</v>
      </c>
      <c r="B980" s="1583"/>
      <c r="C980" s="1510"/>
      <c r="D980" s="1494"/>
      <c r="E980" s="1593"/>
      <c r="F980" s="1436"/>
      <c r="G980" s="1547">
        <f t="shared" si="542"/>
        <v>0</v>
      </c>
      <c r="H980" s="1484"/>
      <c r="I980" s="1547">
        <f t="shared" si="543"/>
        <v>0</v>
      </c>
      <c r="J980" s="1495"/>
      <c r="K980" s="1495"/>
      <c r="L980" s="1436"/>
      <c r="M980" s="1439"/>
      <c r="N980" s="1439"/>
      <c r="O980" s="1485"/>
      <c r="P980" s="1486"/>
      <c r="Q980" s="1486"/>
      <c r="R980" s="1487"/>
      <c r="S980" s="1444"/>
      <c r="T980" s="1444"/>
      <c r="U980" s="1444"/>
      <c r="V980" s="1488"/>
      <c r="W980" s="1488"/>
      <c r="X980" s="1488"/>
      <c r="Y980" s="1488"/>
      <c r="Z980" s="1488"/>
      <c r="AA980" s="1488"/>
      <c r="AB980" s="1488"/>
      <c r="AC980" s="1488"/>
      <c r="AD980" s="1488"/>
      <c r="AE980" s="1488"/>
      <c r="AF980" s="1488"/>
      <c r="AG980" s="1488"/>
      <c r="AH980" s="1451">
        <f t="shared" si="515"/>
        <v>0</v>
      </c>
      <c r="AI980" s="1488"/>
      <c r="AJ980" s="1488"/>
      <c r="AK980" s="1488"/>
      <c r="AL980" s="1488"/>
      <c r="AM980" s="1488"/>
      <c r="AN980" s="1488"/>
      <c r="AO980" s="1488"/>
      <c r="AP980" s="1488"/>
      <c r="AQ980" s="1488"/>
      <c r="AR980" s="1488"/>
      <c r="AS980" s="1488"/>
      <c r="AT980" s="1542"/>
      <c r="AU980" s="1599">
        <f t="shared" si="516"/>
        <v>0</v>
      </c>
      <c r="AV980" s="1544">
        <f t="shared" si="544"/>
        <v>0</v>
      </c>
      <c r="AW980" s="1452">
        <f t="shared" si="517"/>
        <v>0</v>
      </c>
      <c r="AX980" s="1452">
        <f t="shared" si="518"/>
        <v>0</v>
      </c>
      <c r="AY980" s="1452">
        <f t="shared" si="519"/>
        <v>0</v>
      </c>
      <c r="AZ980" s="1452">
        <f t="shared" si="520"/>
        <v>0</v>
      </c>
      <c r="BA980" s="1452">
        <f t="shared" si="521"/>
        <v>0</v>
      </c>
      <c r="BB980" s="1452">
        <f t="shared" si="522"/>
        <v>0</v>
      </c>
      <c r="BC980" s="1452">
        <f t="shared" si="523"/>
        <v>0</v>
      </c>
      <c r="BD980" s="1452">
        <f t="shared" si="524"/>
        <v>0</v>
      </c>
      <c r="BE980" s="1452">
        <f t="shared" si="525"/>
        <v>0</v>
      </c>
      <c r="BF980" s="1452">
        <f t="shared" si="526"/>
        <v>0</v>
      </c>
      <c r="BG980" s="1452">
        <f t="shared" si="527"/>
        <v>0</v>
      </c>
      <c r="BH980" s="1452">
        <f t="shared" si="528"/>
        <v>0</v>
      </c>
      <c r="BI980" s="1452">
        <f t="shared" si="545"/>
        <v>0</v>
      </c>
      <c r="BJ980" s="1452" t="str">
        <f t="shared" si="529"/>
        <v/>
      </c>
      <c r="BK980" s="1452" t="str">
        <f t="shared" si="530"/>
        <v/>
      </c>
      <c r="BL980" s="1452" t="str">
        <f t="shared" si="531"/>
        <v/>
      </c>
      <c r="BM980" s="1452" t="str">
        <f t="shared" si="532"/>
        <v/>
      </c>
      <c r="BN980" s="1452" t="str">
        <f t="shared" ca="1" si="533"/>
        <v/>
      </c>
      <c r="BO980" s="1452" t="str">
        <f t="shared" si="546"/>
        <v/>
      </c>
      <c r="BP980" s="1452" t="str">
        <f t="shared" si="534"/>
        <v/>
      </c>
      <c r="BQ980" s="1452" t="str">
        <f t="shared" si="535"/>
        <v/>
      </c>
      <c r="BR980" s="1452" t="str">
        <f t="shared" si="536"/>
        <v/>
      </c>
      <c r="BS980" s="1452" t="str">
        <f t="shared" si="537"/>
        <v/>
      </c>
      <c r="BT980" s="1452" t="str">
        <f t="shared" si="538"/>
        <v/>
      </c>
      <c r="BU980" s="1452" t="str">
        <f t="shared" si="539"/>
        <v/>
      </c>
      <c r="BV980" s="1452" t="str">
        <f t="shared" si="540"/>
        <v/>
      </c>
      <c r="BW980" s="1558">
        <f t="shared" ca="1" si="547"/>
        <v>0</v>
      </c>
    </row>
    <row r="981" spans="1:75" s="9" customFormat="1" ht="12.5">
      <c r="A981" s="1483" t="str">
        <f t="shared" si="541"/>
        <v>Public Health Wales Trust</v>
      </c>
      <c r="B981" s="1583"/>
      <c r="C981" s="1510"/>
      <c r="D981" s="1494"/>
      <c r="E981" s="1593"/>
      <c r="F981" s="1436"/>
      <c r="G981" s="1547">
        <f t="shared" si="542"/>
        <v>0</v>
      </c>
      <c r="H981" s="1484"/>
      <c r="I981" s="1547">
        <f t="shared" si="543"/>
        <v>0</v>
      </c>
      <c r="J981" s="1495"/>
      <c r="K981" s="1495"/>
      <c r="L981" s="1436"/>
      <c r="M981" s="1439"/>
      <c r="N981" s="1439"/>
      <c r="O981" s="1485"/>
      <c r="P981" s="1486"/>
      <c r="Q981" s="1486"/>
      <c r="R981" s="1487"/>
      <c r="S981" s="1444"/>
      <c r="T981" s="1444"/>
      <c r="U981" s="1444"/>
      <c r="V981" s="1488"/>
      <c r="W981" s="1488"/>
      <c r="X981" s="1488"/>
      <c r="Y981" s="1488"/>
      <c r="Z981" s="1488"/>
      <c r="AA981" s="1488"/>
      <c r="AB981" s="1488"/>
      <c r="AC981" s="1488"/>
      <c r="AD981" s="1488"/>
      <c r="AE981" s="1488"/>
      <c r="AF981" s="1488"/>
      <c r="AG981" s="1488"/>
      <c r="AH981" s="1451">
        <f t="shared" si="515"/>
        <v>0</v>
      </c>
      <c r="AI981" s="1488"/>
      <c r="AJ981" s="1488"/>
      <c r="AK981" s="1488"/>
      <c r="AL981" s="1488"/>
      <c r="AM981" s="1488"/>
      <c r="AN981" s="1488"/>
      <c r="AO981" s="1488"/>
      <c r="AP981" s="1488"/>
      <c r="AQ981" s="1488"/>
      <c r="AR981" s="1488"/>
      <c r="AS981" s="1488"/>
      <c r="AT981" s="1542"/>
      <c r="AU981" s="1599">
        <f t="shared" si="516"/>
        <v>0</v>
      </c>
      <c r="AV981" s="1544">
        <f t="shared" si="544"/>
        <v>0</v>
      </c>
      <c r="AW981" s="1452">
        <f t="shared" si="517"/>
        <v>0</v>
      </c>
      <c r="AX981" s="1452">
        <f t="shared" si="518"/>
        <v>0</v>
      </c>
      <c r="AY981" s="1452">
        <f t="shared" si="519"/>
        <v>0</v>
      </c>
      <c r="AZ981" s="1452">
        <f t="shared" si="520"/>
        <v>0</v>
      </c>
      <c r="BA981" s="1452">
        <f t="shared" si="521"/>
        <v>0</v>
      </c>
      <c r="BB981" s="1452">
        <f t="shared" si="522"/>
        <v>0</v>
      </c>
      <c r="BC981" s="1452">
        <f t="shared" si="523"/>
        <v>0</v>
      </c>
      <c r="BD981" s="1452">
        <f t="shared" si="524"/>
        <v>0</v>
      </c>
      <c r="BE981" s="1452">
        <f t="shared" si="525"/>
        <v>0</v>
      </c>
      <c r="BF981" s="1452">
        <f t="shared" si="526"/>
        <v>0</v>
      </c>
      <c r="BG981" s="1452">
        <f t="shared" si="527"/>
        <v>0</v>
      </c>
      <c r="BH981" s="1452">
        <f t="shared" si="528"/>
        <v>0</v>
      </c>
      <c r="BI981" s="1452">
        <f t="shared" si="545"/>
        <v>0</v>
      </c>
      <c r="BJ981" s="1452" t="str">
        <f t="shared" si="529"/>
        <v/>
      </c>
      <c r="BK981" s="1452" t="str">
        <f t="shared" si="530"/>
        <v/>
      </c>
      <c r="BL981" s="1452" t="str">
        <f t="shared" si="531"/>
        <v/>
      </c>
      <c r="BM981" s="1452" t="str">
        <f t="shared" si="532"/>
        <v/>
      </c>
      <c r="BN981" s="1452" t="str">
        <f t="shared" ca="1" si="533"/>
        <v/>
      </c>
      <c r="BO981" s="1452" t="str">
        <f t="shared" si="546"/>
        <v/>
      </c>
      <c r="BP981" s="1452" t="str">
        <f t="shared" si="534"/>
        <v/>
      </c>
      <c r="BQ981" s="1452" t="str">
        <f t="shared" si="535"/>
        <v/>
      </c>
      <c r="BR981" s="1452" t="str">
        <f t="shared" si="536"/>
        <v/>
      </c>
      <c r="BS981" s="1452" t="str">
        <f t="shared" si="537"/>
        <v/>
      </c>
      <c r="BT981" s="1452" t="str">
        <f t="shared" si="538"/>
        <v/>
      </c>
      <c r="BU981" s="1452" t="str">
        <f t="shared" si="539"/>
        <v/>
      </c>
      <c r="BV981" s="1452" t="str">
        <f t="shared" si="540"/>
        <v/>
      </c>
      <c r="BW981" s="1558">
        <f t="shared" ca="1" si="547"/>
        <v>0</v>
      </c>
    </row>
    <row r="982" spans="1:75" s="9" customFormat="1" ht="12.5">
      <c r="A982" s="1483" t="str">
        <f t="shared" si="541"/>
        <v>Public Health Wales Trust</v>
      </c>
      <c r="B982" s="1583"/>
      <c r="C982" s="1510"/>
      <c r="D982" s="1494"/>
      <c r="E982" s="1593"/>
      <c r="F982" s="1436"/>
      <c r="G982" s="1547">
        <f t="shared" si="542"/>
        <v>0</v>
      </c>
      <c r="H982" s="1484"/>
      <c r="I982" s="1547">
        <f t="shared" si="543"/>
        <v>0</v>
      </c>
      <c r="J982" s="1495"/>
      <c r="K982" s="1495"/>
      <c r="L982" s="1436"/>
      <c r="M982" s="1439"/>
      <c r="N982" s="1439"/>
      <c r="O982" s="1485"/>
      <c r="P982" s="1486"/>
      <c r="Q982" s="1486"/>
      <c r="R982" s="1487"/>
      <c r="S982" s="1444"/>
      <c r="T982" s="1444"/>
      <c r="U982" s="1444"/>
      <c r="V982" s="1488"/>
      <c r="W982" s="1488"/>
      <c r="X982" s="1488"/>
      <c r="Y982" s="1488"/>
      <c r="Z982" s="1488"/>
      <c r="AA982" s="1488"/>
      <c r="AB982" s="1488"/>
      <c r="AC982" s="1488"/>
      <c r="AD982" s="1488"/>
      <c r="AE982" s="1488"/>
      <c r="AF982" s="1488"/>
      <c r="AG982" s="1488"/>
      <c r="AH982" s="1451">
        <f t="shared" si="515"/>
        <v>0</v>
      </c>
      <c r="AI982" s="1488"/>
      <c r="AJ982" s="1488"/>
      <c r="AK982" s="1488"/>
      <c r="AL982" s="1488"/>
      <c r="AM982" s="1488"/>
      <c r="AN982" s="1488"/>
      <c r="AO982" s="1488"/>
      <c r="AP982" s="1488"/>
      <c r="AQ982" s="1488"/>
      <c r="AR982" s="1488"/>
      <c r="AS982" s="1488"/>
      <c r="AT982" s="1542"/>
      <c r="AU982" s="1599">
        <f t="shared" si="516"/>
        <v>0</v>
      </c>
      <c r="AV982" s="1544">
        <f t="shared" si="544"/>
        <v>0</v>
      </c>
      <c r="AW982" s="1452">
        <f t="shared" si="517"/>
        <v>0</v>
      </c>
      <c r="AX982" s="1452">
        <f t="shared" si="518"/>
        <v>0</v>
      </c>
      <c r="AY982" s="1452">
        <f t="shared" si="519"/>
        <v>0</v>
      </c>
      <c r="AZ982" s="1452">
        <f t="shared" si="520"/>
        <v>0</v>
      </c>
      <c r="BA982" s="1452">
        <f t="shared" si="521"/>
        <v>0</v>
      </c>
      <c r="BB982" s="1452">
        <f t="shared" si="522"/>
        <v>0</v>
      </c>
      <c r="BC982" s="1452">
        <f t="shared" si="523"/>
        <v>0</v>
      </c>
      <c r="BD982" s="1452">
        <f t="shared" si="524"/>
        <v>0</v>
      </c>
      <c r="BE982" s="1452">
        <f t="shared" si="525"/>
        <v>0</v>
      </c>
      <c r="BF982" s="1452">
        <f t="shared" si="526"/>
        <v>0</v>
      </c>
      <c r="BG982" s="1452">
        <f t="shared" si="527"/>
        <v>0</v>
      </c>
      <c r="BH982" s="1452">
        <f t="shared" si="528"/>
        <v>0</v>
      </c>
      <c r="BI982" s="1452">
        <f t="shared" si="545"/>
        <v>0</v>
      </c>
      <c r="BJ982" s="1452" t="str">
        <f t="shared" si="529"/>
        <v/>
      </c>
      <c r="BK982" s="1452" t="str">
        <f t="shared" si="530"/>
        <v/>
      </c>
      <c r="BL982" s="1452" t="str">
        <f t="shared" si="531"/>
        <v/>
      </c>
      <c r="BM982" s="1452" t="str">
        <f t="shared" si="532"/>
        <v/>
      </c>
      <c r="BN982" s="1452" t="str">
        <f t="shared" ca="1" si="533"/>
        <v/>
      </c>
      <c r="BO982" s="1452" t="str">
        <f t="shared" si="546"/>
        <v/>
      </c>
      <c r="BP982" s="1452" t="str">
        <f t="shared" si="534"/>
        <v/>
      </c>
      <c r="BQ982" s="1452" t="str">
        <f t="shared" si="535"/>
        <v/>
      </c>
      <c r="BR982" s="1452" t="str">
        <f t="shared" si="536"/>
        <v/>
      </c>
      <c r="BS982" s="1452" t="str">
        <f t="shared" si="537"/>
        <v/>
      </c>
      <c r="BT982" s="1452" t="str">
        <f t="shared" si="538"/>
        <v/>
      </c>
      <c r="BU982" s="1452" t="str">
        <f t="shared" si="539"/>
        <v/>
      </c>
      <c r="BV982" s="1452" t="str">
        <f t="shared" si="540"/>
        <v/>
      </c>
      <c r="BW982" s="1558">
        <f t="shared" ca="1" si="547"/>
        <v>0</v>
      </c>
    </row>
    <row r="983" spans="1:75" s="9" customFormat="1" ht="12.5">
      <c r="A983" s="1483" t="str">
        <f t="shared" si="541"/>
        <v>Public Health Wales Trust</v>
      </c>
      <c r="B983" s="1583"/>
      <c r="C983" s="1510"/>
      <c r="D983" s="1494"/>
      <c r="E983" s="1593"/>
      <c r="F983" s="1436"/>
      <c r="G983" s="1547">
        <f t="shared" si="542"/>
        <v>0</v>
      </c>
      <c r="H983" s="1484"/>
      <c r="I983" s="1547">
        <f t="shared" si="543"/>
        <v>0</v>
      </c>
      <c r="J983" s="1495"/>
      <c r="K983" s="1495"/>
      <c r="L983" s="1436"/>
      <c r="M983" s="1439"/>
      <c r="N983" s="1439"/>
      <c r="O983" s="1485"/>
      <c r="P983" s="1486"/>
      <c r="Q983" s="1486"/>
      <c r="R983" s="1487"/>
      <c r="S983" s="1444"/>
      <c r="T983" s="1444"/>
      <c r="U983" s="1444"/>
      <c r="V983" s="1488"/>
      <c r="W983" s="1488"/>
      <c r="X983" s="1488"/>
      <c r="Y983" s="1488"/>
      <c r="Z983" s="1488"/>
      <c r="AA983" s="1488"/>
      <c r="AB983" s="1488"/>
      <c r="AC983" s="1488"/>
      <c r="AD983" s="1488"/>
      <c r="AE983" s="1488"/>
      <c r="AF983" s="1488"/>
      <c r="AG983" s="1488"/>
      <c r="AH983" s="1451">
        <f t="shared" si="515"/>
        <v>0</v>
      </c>
      <c r="AI983" s="1488"/>
      <c r="AJ983" s="1488"/>
      <c r="AK983" s="1488"/>
      <c r="AL983" s="1488"/>
      <c r="AM983" s="1488"/>
      <c r="AN983" s="1488"/>
      <c r="AO983" s="1488"/>
      <c r="AP983" s="1488"/>
      <c r="AQ983" s="1488"/>
      <c r="AR983" s="1488"/>
      <c r="AS983" s="1488"/>
      <c r="AT983" s="1542"/>
      <c r="AU983" s="1599">
        <f t="shared" si="516"/>
        <v>0</v>
      </c>
      <c r="AV983" s="1544">
        <f t="shared" si="544"/>
        <v>0</v>
      </c>
      <c r="AW983" s="1452">
        <f t="shared" si="517"/>
        <v>0</v>
      </c>
      <c r="AX983" s="1452">
        <f t="shared" si="518"/>
        <v>0</v>
      </c>
      <c r="AY983" s="1452">
        <f t="shared" si="519"/>
        <v>0</v>
      </c>
      <c r="AZ983" s="1452">
        <f t="shared" si="520"/>
        <v>0</v>
      </c>
      <c r="BA983" s="1452">
        <f t="shared" si="521"/>
        <v>0</v>
      </c>
      <c r="BB983" s="1452">
        <f t="shared" si="522"/>
        <v>0</v>
      </c>
      <c r="BC983" s="1452">
        <f t="shared" si="523"/>
        <v>0</v>
      </c>
      <c r="BD983" s="1452">
        <f t="shared" si="524"/>
        <v>0</v>
      </c>
      <c r="BE983" s="1452">
        <f t="shared" si="525"/>
        <v>0</v>
      </c>
      <c r="BF983" s="1452">
        <f t="shared" si="526"/>
        <v>0</v>
      </c>
      <c r="BG983" s="1452">
        <f t="shared" si="527"/>
        <v>0</v>
      </c>
      <c r="BH983" s="1452">
        <f t="shared" si="528"/>
        <v>0</v>
      </c>
      <c r="BI983" s="1452">
        <f t="shared" si="545"/>
        <v>0</v>
      </c>
      <c r="BJ983" s="1452" t="str">
        <f t="shared" si="529"/>
        <v/>
      </c>
      <c r="BK983" s="1452" t="str">
        <f t="shared" si="530"/>
        <v/>
      </c>
      <c r="BL983" s="1452" t="str">
        <f t="shared" si="531"/>
        <v/>
      </c>
      <c r="BM983" s="1452" t="str">
        <f t="shared" si="532"/>
        <v/>
      </c>
      <c r="BN983" s="1452" t="str">
        <f t="shared" ca="1" si="533"/>
        <v/>
      </c>
      <c r="BO983" s="1452" t="str">
        <f t="shared" si="546"/>
        <v/>
      </c>
      <c r="BP983" s="1452" t="str">
        <f t="shared" si="534"/>
        <v/>
      </c>
      <c r="BQ983" s="1452" t="str">
        <f t="shared" si="535"/>
        <v/>
      </c>
      <c r="BR983" s="1452" t="str">
        <f t="shared" si="536"/>
        <v/>
      </c>
      <c r="BS983" s="1452" t="str">
        <f t="shared" si="537"/>
        <v/>
      </c>
      <c r="BT983" s="1452" t="str">
        <f t="shared" si="538"/>
        <v/>
      </c>
      <c r="BU983" s="1452" t="str">
        <f t="shared" si="539"/>
        <v/>
      </c>
      <c r="BV983" s="1452" t="str">
        <f t="shared" si="540"/>
        <v/>
      </c>
      <c r="BW983" s="1558">
        <f t="shared" ca="1" si="547"/>
        <v>0</v>
      </c>
    </row>
    <row r="984" spans="1:75" s="9" customFormat="1" ht="12.5">
      <c r="A984" s="1483" t="str">
        <f t="shared" si="541"/>
        <v>Public Health Wales Trust</v>
      </c>
      <c r="B984" s="1583"/>
      <c r="C984" s="1510"/>
      <c r="D984" s="1494"/>
      <c r="E984" s="1593"/>
      <c r="F984" s="1436"/>
      <c r="G984" s="1547">
        <f t="shared" si="542"/>
        <v>0</v>
      </c>
      <c r="H984" s="1484"/>
      <c r="I984" s="1547">
        <f t="shared" si="543"/>
        <v>0</v>
      </c>
      <c r="J984" s="1495"/>
      <c r="K984" s="1495"/>
      <c r="L984" s="1436"/>
      <c r="M984" s="1439"/>
      <c r="N984" s="1439"/>
      <c r="O984" s="1485"/>
      <c r="P984" s="1486"/>
      <c r="Q984" s="1486"/>
      <c r="R984" s="1487"/>
      <c r="S984" s="1444"/>
      <c r="T984" s="1444"/>
      <c r="U984" s="1444"/>
      <c r="V984" s="1488"/>
      <c r="W984" s="1488"/>
      <c r="X984" s="1488"/>
      <c r="Y984" s="1488"/>
      <c r="Z984" s="1488"/>
      <c r="AA984" s="1488"/>
      <c r="AB984" s="1488"/>
      <c r="AC984" s="1488"/>
      <c r="AD984" s="1488"/>
      <c r="AE984" s="1488"/>
      <c r="AF984" s="1488"/>
      <c r="AG984" s="1488"/>
      <c r="AH984" s="1451">
        <f t="shared" si="515"/>
        <v>0</v>
      </c>
      <c r="AI984" s="1488"/>
      <c r="AJ984" s="1488"/>
      <c r="AK984" s="1488"/>
      <c r="AL984" s="1488"/>
      <c r="AM984" s="1488"/>
      <c r="AN984" s="1488"/>
      <c r="AO984" s="1488"/>
      <c r="AP984" s="1488"/>
      <c r="AQ984" s="1488"/>
      <c r="AR984" s="1488"/>
      <c r="AS984" s="1488"/>
      <c r="AT984" s="1542"/>
      <c r="AU984" s="1599">
        <f t="shared" si="516"/>
        <v>0</v>
      </c>
      <c r="AV984" s="1544">
        <f t="shared" si="544"/>
        <v>0</v>
      </c>
      <c r="AW984" s="1452">
        <f t="shared" si="517"/>
        <v>0</v>
      </c>
      <c r="AX984" s="1452">
        <f t="shared" si="518"/>
        <v>0</v>
      </c>
      <c r="AY984" s="1452">
        <f t="shared" si="519"/>
        <v>0</v>
      </c>
      <c r="AZ984" s="1452">
        <f t="shared" si="520"/>
        <v>0</v>
      </c>
      <c r="BA984" s="1452">
        <f t="shared" si="521"/>
        <v>0</v>
      </c>
      <c r="BB984" s="1452">
        <f t="shared" si="522"/>
        <v>0</v>
      </c>
      <c r="BC984" s="1452">
        <f t="shared" si="523"/>
        <v>0</v>
      </c>
      <c r="BD984" s="1452">
        <f t="shared" si="524"/>
        <v>0</v>
      </c>
      <c r="BE984" s="1452">
        <f t="shared" si="525"/>
        <v>0</v>
      </c>
      <c r="BF984" s="1452">
        <f t="shared" si="526"/>
        <v>0</v>
      </c>
      <c r="BG984" s="1452">
        <f t="shared" si="527"/>
        <v>0</v>
      </c>
      <c r="BH984" s="1452">
        <f t="shared" si="528"/>
        <v>0</v>
      </c>
      <c r="BI984" s="1452">
        <f t="shared" si="545"/>
        <v>0</v>
      </c>
      <c r="BJ984" s="1452" t="str">
        <f t="shared" si="529"/>
        <v/>
      </c>
      <c r="BK984" s="1452" t="str">
        <f t="shared" si="530"/>
        <v/>
      </c>
      <c r="BL984" s="1452" t="str">
        <f t="shared" si="531"/>
        <v/>
      </c>
      <c r="BM984" s="1452" t="str">
        <f t="shared" si="532"/>
        <v/>
      </c>
      <c r="BN984" s="1452" t="str">
        <f t="shared" ca="1" si="533"/>
        <v/>
      </c>
      <c r="BO984" s="1452" t="str">
        <f t="shared" si="546"/>
        <v/>
      </c>
      <c r="BP984" s="1452" t="str">
        <f t="shared" si="534"/>
        <v/>
      </c>
      <c r="BQ984" s="1452" t="str">
        <f t="shared" si="535"/>
        <v/>
      </c>
      <c r="BR984" s="1452" t="str">
        <f t="shared" si="536"/>
        <v/>
      </c>
      <c r="BS984" s="1452" t="str">
        <f t="shared" si="537"/>
        <v/>
      </c>
      <c r="BT984" s="1452" t="str">
        <f t="shared" si="538"/>
        <v/>
      </c>
      <c r="BU984" s="1452" t="str">
        <f t="shared" si="539"/>
        <v/>
      </c>
      <c r="BV984" s="1452" t="str">
        <f t="shared" si="540"/>
        <v/>
      </c>
      <c r="BW984" s="1558">
        <f t="shared" ca="1" si="547"/>
        <v>0</v>
      </c>
    </row>
    <row r="985" spans="1:75" s="9" customFormat="1" ht="12.5">
      <c r="A985" s="1483" t="str">
        <f t="shared" si="541"/>
        <v>Public Health Wales Trust</v>
      </c>
      <c r="B985" s="1583"/>
      <c r="C985" s="1510"/>
      <c r="D985" s="1494"/>
      <c r="E985" s="1593"/>
      <c r="F985" s="1436"/>
      <c r="G985" s="1547">
        <f t="shared" si="542"/>
        <v>0</v>
      </c>
      <c r="H985" s="1484"/>
      <c r="I985" s="1547">
        <f t="shared" si="543"/>
        <v>0</v>
      </c>
      <c r="J985" s="1495"/>
      <c r="K985" s="1495"/>
      <c r="L985" s="1436"/>
      <c r="M985" s="1439"/>
      <c r="N985" s="1439"/>
      <c r="O985" s="1485"/>
      <c r="P985" s="1486"/>
      <c r="Q985" s="1486"/>
      <c r="R985" s="1487"/>
      <c r="S985" s="1444"/>
      <c r="T985" s="1444"/>
      <c r="U985" s="1444"/>
      <c r="V985" s="1488"/>
      <c r="W985" s="1488"/>
      <c r="X985" s="1488"/>
      <c r="Y985" s="1488"/>
      <c r="Z985" s="1488"/>
      <c r="AA985" s="1488"/>
      <c r="AB985" s="1488"/>
      <c r="AC985" s="1488"/>
      <c r="AD985" s="1488"/>
      <c r="AE985" s="1488"/>
      <c r="AF985" s="1488"/>
      <c r="AG985" s="1488"/>
      <c r="AH985" s="1451">
        <f t="shared" si="515"/>
        <v>0</v>
      </c>
      <c r="AI985" s="1488"/>
      <c r="AJ985" s="1488"/>
      <c r="AK985" s="1488"/>
      <c r="AL985" s="1488"/>
      <c r="AM985" s="1488"/>
      <c r="AN985" s="1488"/>
      <c r="AO985" s="1488"/>
      <c r="AP985" s="1488"/>
      <c r="AQ985" s="1488"/>
      <c r="AR985" s="1488"/>
      <c r="AS985" s="1488"/>
      <c r="AT985" s="1542"/>
      <c r="AU985" s="1599">
        <f t="shared" si="516"/>
        <v>0</v>
      </c>
      <c r="AV985" s="1544">
        <f t="shared" si="544"/>
        <v>0</v>
      </c>
      <c r="AW985" s="1452">
        <f t="shared" si="517"/>
        <v>0</v>
      </c>
      <c r="AX985" s="1452">
        <f t="shared" si="518"/>
        <v>0</v>
      </c>
      <c r="AY985" s="1452">
        <f t="shared" si="519"/>
        <v>0</v>
      </c>
      <c r="AZ985" s="1452">
        <f t="shared" si="520"/>
        <v>0</v>
      </c>
      <c r="BA985" s="1452">
        <f t="shared" si="521"/>
        <v>0</v>
      </c>
      <c r="BB985" s="1452">
        <f t="shared" si="522"/>
        <v>0</v>
      </c>
      <c r="BC985" s="1452">
        <f t="shared" si="523"/>
        <v>0</v>
      </c>
      <c r="BD985" s="1452">
        <f t="shared" si="524"/>
        <v>0</v>
      </c>
      <c r="BE985" s="1452">
        <f t="shared" si="525"/>
        <v>0</v>
      </c>
      <c r="BF985" s="1452">
        <f t="shared" si="526"/>
        <v>0</v>
      </c>
      <c r="BG985" s="1452">
        <f t="shared" si="527"/>
        <v>0</v>
      </c>
      <c r="BH985" s="1452">
        <f t="shared" si="528"/>
        <v>0</v>
      </c>
      <c r="BI985" s="1452">
        <f t="shared" si="545"/>
        <v>0</v>
      </c>
      <c r="BJ985" s="1452" t="str">
        <f t="shared" si="529"/>
        <v/>
      </c>
      <c r="BK985" s="1452" t="str">
        <f t="shared" si="530"/>
        <v/>
      </c>
      <c r="BL985" s="1452" t="str">
        <f t="shared" si="531"/>
        <v/>
      </c>
      <c r="BM985" s="1452" t="str">
        <f t="shared" si="532"/>
        <v/>
      </c>
      <c r="BN985" s="1452" t="str">
        <f t="shared" ca="1" si="533"/>
        <v/>
      </c>
      <c r="BO985" s="1452" t="str">
        <f t="shared" si="546"/>
        <v/>
      </c>
      <c r="BP985" s="1452" t="str">
        <f t="shared" si="534"/>
        <v/>
      </c>
      <c r="BQ985" s="1452" t="str">
        <f t="shared" si="535"/>
        <v/>
      </c>
      <c r="BR985" s="1452" t="str">
        <f t="shared" si="536"/>
        <v/>
      </c>
      <c r="BS985" s="1452" t="str">
        <f t="shared" si="537"/>
        <v/>
      </c>
      <c r="BT985" s="1452" t="str">
        <f t="shared" si="538"/>
        <v/>
      </c>
      <c r="BU985" s="1452" t="str">
        <f t="shared" si="539"/>
        <v/>
      </c>
      <c r="BV985" s="1452" t="str">
        <f t="shared" si="540"/>
        <v/>
      </c>
      <c r="BW985" s="1558">
        <f t="shared" ca="1" si="547"/>
        <v>0</v>
      </c>
    </row>
    <row r="986" spans="1:75" s="9" customFormat="1" ht="12.5">
      <c r="A986" s="1483" t="str">
        <f t="shared" si="541"/>
        <v>Public Health Wales Trust</v>
      </c>
      <c r="B986" s="1583"/>
      <c r="C986" s="1510"/>
      <c r="D986" s="1494"/>
      <c r="E986" s="1593"/>
      <c r="F986" s="1436"/>
      <c r="G986" s="1547">
        <f t="shared" si="542"/>
        <v>0</v>
      </c>
      <c r="H986" s="1484"/>
      <c r="I986" s="1547">
        <f t="shared" si="543"/>
        <v>0</v>
      </c>
      <c r="J986" s="1495"/>
      <c r="K986" s="1495"/>
      <c r="L986" s="1436"/>
      <c r="M986" s="1439"/>
      <c r="N986" s="1439"/>
      <c r="O986" s="1485"/>
      <c r="P986" s="1486"/>
      <c r="Q986" s="1486"/>
      <c r="R986" s="1487"/>
      <c r="S986" s="1444"/>
      <c r="T986" s="1444"/>
      <c r="U986" s="1444"/>
      <c r="V986" s="1488"/>
      <c r="W986" s="1488"/>
      <c r="X986" s="1488"/>
      <c r="Y986" s="1488"/>
      <c r="Z986" s="1488"/>
      <c r="AA986" s="1488"/>
      <c r="AB986" s="1488"/>
      <c r="AC986" s="1488"/>
      <c r="AD986" s="1488"/>
      <c r="AE986" s="1488"/>
      <c r="AF986" s="1488"/>
      <c r="AG986" s="1488"/>
      <c r="AH986" s="1451">
        <f t="shared" si="515"/>
        <v>0</v>
      </c>
      <c r="AI986" s="1488"/>
      <c r="AJ986" s="1488"/>
      <c r="AK986" s="1488"/>
      <c r="AL986" s="1488"/>
      <c r="AM986" s="1488"/>
      <c r="AN986" s="1488"/>
      <c r="AO986" s="1488"/>
      <c r="AP986" s="1488"/>
      <c r="AQ986" s="1488"/>
      <c r="AR986" s="1488"/>
      <c r="AS986" s="1488"/>
      <c r="AT986" s="1542"/>
      <c r="AU986" s="1599">
        <f t="shared" si="516"/>
        <v>0</v>
      </c>
      <c r="AV986" s="1544">
        <f t="shared" si="544"/>
        <v>0</v>
      </c>
      <c r="AW986" s="1452">
        <f t="shared" si="517"/>
        <v>0</v>
      </c>
      <c r="AX986" s="1452">
        <f t="shared" si="518"/>
        <v>0</v>
      </c>
      <c r="AY986" s="1452">
        <f t="shared" si="519"/>
        <v>0</v>
      </c>
      <c r="AZ986" s="1452">
        <f t="shared" si="520"/>
        <v>0</v>
      </c>
      <c r="BA986" s="1452">
        <f t="shared" si="521"/>
        <v>0</v>
      </c>
      <c r="BB986" s="1452">
        <f t="shared" si="522"/>
        <v>0</v>
      </c>
      <c r="BC986" s="1452">
        <f t="shared" si="523"/>
        <v>0</v>
      </c>
      <c r="BD986" s="1452">
        <f t="shared" si="524"/>
        <v>0</v>
      </c>
      <c r="BE986" s="1452">
        <f t="shared" si="525"/>
        <v>0</v>
      </c>
      <c r="BF986" s="1452">
        <f t="shared" si="526"/>
        <v>0</v>
      </c>
      <c r="BG986" s="1452">
        <f t="shared" si="527"/>
        <v>0</v>
      </c>
      <c r="BH986" s="1452">
        <f t="shared" si="528"/>
        <v>0</v>
      </c>
      <c r="BI986" s="1452">
        <f t="shared" si="545"/>
        <v>0</v>
      </c>
      <c r="BJ986" s="1452" t="str">
        <f t="shared" si="529"/>
        <v/>
      </c>
      <c r="BK986" s="1452" t="str">
        <f t="shared" si="530"/>
        <v/>
      </c>
      <c r="BL986" s="1452" t="str">
        <f t="shared" si="531"/>
        <v/>
      </c>
      <c r="BM986" s="1452" t="str">
        <f t="shared" si="532"/>
        <v/>
      </c>
      <c r="BN986" s="1452" t="str">
        <f t="shared" ca="1" si="533"/>
        <v/>
      </c>
      <c r="BO986" s="1452" t="str">
        <f t="shared" si="546"/>
        <v/>
      </c>
      <c r="BP986" s="1452" t="str">
        <f t="shared" si="534"/>
        <v/>
      </c>
      <c r="BQ986" s="1452" t="str">
        <f t="shared" si="535"/>
        <v/>
      </c>
      <c r="BR986" s="1452" t="str">
        <f t="shared" si="536"/>
        <v/>
      </c>
      <c r="BS986" s="1452" t="str">
        <f t="shared" si="537"/>
        <v/>
      </c>
      <c r="BT986" s="1452" t="str">
        <f t="shared" si="538"/>
        <v/>
      </c>
      <c r="BU986" s="1452" t="str">
        <f t="shared" si="539"/>
        <v/>
      </c>
      <c r="BV986" s="1452" t="str">
        <f t="shared" si="540"/>
        <v/>
      </c>
      <c r="BW986" s="1558">
        <f t="shared" ca="1" si="547"/>
        <v>0</v>
      </c>
    </row>
    <row r="987" spans="1:75" s="9" customFormat="1" ht="12.5">
      <c r="A987" s="1483" t="str">
        <f t="shared" si="541"/>
        <v>Public Health Wales Trust</v>
      </c>
      <c r="B987" s="1583"/>
      <c r="C987" s="1510"/>
      <c r="D987" s="1494"/>
      <c r="E987" s="1593"/>
      <c r="F987" s="1436"/>
      <c r="G987" s="1547">
        <f t="shared" si="542"/>
        <v>0</v>
      </c>
      <c r="H987" s="1484"/>
      <c r="I987" s="1547">
        <f t="shared" si="543"/>
        <v>0</v>
      </c>
      <c r="J987" s="1505"/>
      <c r="K987" s="1505"/>
      <c r="L987" s="1436"/>
      <c r="M987" s="1439"/>
      <c r="N987" s="1439"/>
      <c r="O987" s="1485"/>
      <c r="P987" s="1486"/>
      <c r="Q987" s="1486"/>
      <c r="R987" s="1487"/>
      <c r="S987" s="1444"/>
      <c r="T987" s="1444"/>
      <c r="U987" s="1444"/>
      <c r="V987" s="1488"/>
      <c r="W987" s="1488"/>
      <c r="X987" s="1488"/>
      <c r="Y987" s="1488"/>
      <c r="Z987" s="1488"/>
      <c r="AA987" s="1488"/>
      <c r="AB987" s="1488"/>
      <c r="AC987" s="1488"/>
      <c r="AD987" s="1488"/>
      <c r="AE987" s="1488"/>
      <c r="AF987" s="1488"/>
      <c r="AG987" s="1488"/>
      <c r="AH987" s="1451">
        <f t="shared" si="515"/>
        <v>0</v>
      </c>
      <c r="AI987" s="1488"/>
      <c r="AJ987" s="1488"/>
      <c r="AK987" s="1488"/>
      <c r="AL987" s="1488"/>
      <c r="AM987" s="1488"/>
      <c r="AN987" s="1488"/>
      <c r="AO987" s="1488"/>
      <c r="AP987" s="1488"/>
      <c r="AQ987" s="1488"/>
      <c r="AR987" s="1488"/>
      <c r="AS987" s="1488"/>
      <c r="AT987" s="1542"/>
      <c r="AU987" s="1599">
        <f t="shared" si="516"/>
        <v>0</v>
      </c>
      <c r="AV987" s="1544">
        <f t="shared" si="544"/>
        <v>0</v>
      </c>
      <c r="AW987" s="1452">
        <f t="shared" si="517"/>
        <v>0</v>
      </c>
      <c r="AX987" s="1452">
        <f t="shared" si="518"/>
        <v>0</v>
      </c>
      <c r="AY987" s="1452">
        <f t="shared" si="519"/>
        <v>0</v>
      </c>
      <c r="AZ987" s="1452">
        <f t="shared" si="520"/>
        <v>0</v>
      </c>
      <c r="BA987" s="1452">
        <f t="shared" si="521"/>
        <v>0</v>
      </c>
      <c r="BB987" s="1452">
        <f t="shared" si="522"/>
        <v>0</v>
      </c>
      <c r="BC987" s="1452">
        <f t="shared" si="523"/>
        <v>0</v>
      </c>
      <c r="BD987" s="1452">
        <f t="shared" si="524"/>
        <v>0</v>
      </c>
      <c r="BE987" s="1452">
        <f t="shared" si="525"/>
        <v>0</v>
      </c>
      <c r="BF987" s="1452">
        <f t="shared" si="526"/>
        <v>0</v>
      </c>
      <c r="BG987" s="1452">
        <f t="shared" si="527"/>
        <v>0</v>
      </c>
      <c r="BH987" s="1452">
        <f t="shared" si="528"/>
        <v>0</v>
      </c>
      <c r="BI987" s="1452">
        <f t="shared" si="545"/>
        <v>0</v>
      </c>
      <c r="BJ987" s="1452" t="str">
        <f t="shared" si="529"/>
        <v/>
      </c>
      <c r="BK987" s="1452" t="str">
        <f t="shared" si="530"/>
        <v/>
      </c>
      <c r="BL987" s="1452" t="str">
        <f t="shared" si="531"/>
        <v/>
      </c>
      <c r="BM987" s="1452" t="str">
        <f t="shared" si="532"/>
        <v/>
      </c>
      <c r="BN987" s="1452" t="str">
        <f t="shared" ca="1" si="533"/>
        <v/>
      </c>
      <c r="BO987" s="1452" t="str">
        <f t="shared" si="546"/>
        <v/>
      </c>
      <c r="BP987" s="1452" t="str">
        <f t="shared" si="534"/>
        <v/>
      </c>
      <c r="BQ987" s="1452" t="str">
        <f t="shared" si="535"/>
        <v/>
      </c>
      <c r="BR987" s="1452" t="str">
        <f t="shared" si="536"/>
        <v/>
      </c>
      <c r="BS987" s="1452" t="str">
        <f t="shared" si="537"/>
        <v/>
      </c>
      <c r="BT987" s="1452" t="str">
        <f t="shared" si="538"/>
        <v/>
      </c>
      <c r="BU987" s="1452" t="str">
        <f t="shared" si="539"/>
        <v/>
      </c>
      <c r="BV987" s="1452" t="str">
        <f t="shared" si="540"/>
        <v/>
      </c>
      <c r="BW987" s="1558">
        <f t="shared" ca="1" si="547"/>
        <v>0</v>
      </c>
    </row>
    <row r="988" spans="1:75" s="9" customFormat="1" ht="12.5">
      <c r="A988" s="1483" t="str">
        <f t="shared" si="541"/>
        <v>Public Health Wales Trust</v>
      </c>
      <c r="B988" s="1583"/>
      <c r="C988" s="1510"/>
      <c r="D988" s="1494"/>
      <c r="E988" s="1593"/>
      <c r="F988" s="1436"/>
      <c r="G988" s="1547">
        <f t="shared" si="542"/>
        <v>0</v>
      </c>
      <c r="H988" s="1484"/>
      <c r="I988" s="1547">
        <f t="shared" si="543"/>
        <v>0</v>
      </c>
      <c r="J988" s="1495"/>
      <c r="K988" s="1495"/>
      <c r="L988" s="1436"/>
      <c r="M988" s="1439"/>
      <c r="N988" s="1439"/>
      <c r="O988" s="1485"/>
      <c r="P988" s="1486"/>
      <c r="Q988" s="1486"/>
      <c r="R988" s="1487"/>
      <c r="S988" s="1444"/>
      <c r="T988" s="1444"/>
      <c r="U988" s="1444"/>
      <c r="V988" s="1488"/>
      <c r="W988" s="1488"/>
      <c r="X988" s="1488"/>
      <c r="Y988" s="1488"/>
      <c r="Z988" s="1488"/>
      <c r="AA988" s="1488"/>
      <c r="AB988" s="1488"/>
      <c r="AC988" s="1488"/>
      <c r="AD988" s="1488"/>
      <c r="AE988" s="1488"/>
      <c r="AF988" s="1488"/>
      <c r="AG988" s="1488"/>
      <c r="AH988" s="1451">
        <f t="shared" si="515"/>
        <v>0</v>
      </c>
      <c r="AI988" s="1488"/>
      <c r="AJ988" s="1488"/>
      <c r="AK988" s="1488"/>
      <c r="AL988" s="1488"/>
      <c r="AM988" s="1488"/>
      <c r="AN988" s="1488"/>
      <c r="AO988" s="1488"/>
      <c r="AP988" s="1488"/>
      <c r="AQ988" s="1488"/>
      <c r="AR988" s="1488"/>
      <c r="AS988" s="1488"/>
      <c r="AT988" s="1542"/>
      <c r="AU988" s="1599">
        <f t="shared" si="516"/>
        <v>0</v>
      </c>
      <c r="AV988" s="1544">
        <f t="shared" si="544"/>
        <v>0</v>
      </c>
      <c r="AW988" s="1452">
        <f t="shared" si="517"/>
        <v>0</v>
      </c>
      <c r="AX988" s="1452">
        <f t="shared" si="518"/>
        <v>0</v>
      </c>
      <c r="AY988" s="1452">
        <f t="shared" si="519"/>
        <v>0</v>
      </c>
      <c r="AZ988" s="1452">
        <f t="shared" si="520"/>
        <v>0</v>
      </c>
      <c r="BA988" s="1452">
        <f t="shared" si="521"/>
        <v>0</v>
      </c>
      <c r="BB988" s="1452">
        <f t="shared" si="522"/>
        <v>0</v>
      </c>
      <c r="BC988" s="1452">
        <f t="shared" si="523"/>
        <v>0</v>
      </c>
      <c r="BD988" s="1452">
        <f t="shared" si="524"/>
        <v>0</v>
      </c>
      <c r="BE988" s="1452">
        <f t="shared" si="525"/>
        <v>0</v>
      </c>
      <c r="BF988" s="1452">
        <f t="shared" si="526"/>
        <v>0</v>
      </c>
      <c r="BG988" s="1452">
        <f t="shared" si="527"/>
        <v>0</v>
      </c>
      <c r="BH988" s="1452">
        <f t="shared" si="528"/>
        <v>0</v>
      </c>
      <c r="BI988" s="1452">
        <f t="shared" si="545"/>
        <v>0</v>
      </c>
      <c r="BJ988" s="1452" t="str">
        <f t="shared" si="529"/>
        <v/>
      </c>
      <c r="BK988" s="1452" t="str">
        <f t="shared" si="530"/>
        <v/>
      </c>
      <c r="BL988" s="1452" t="str">
        <f t="shared" si="531"/>
        <v/>
      </c>
      <c r="BM988" s="1452" t="str">
        <f t="shared" si="532"/>
        <v/>
      </c>
      <c r="BN988" s="1452" t="str">
        <f t="shared" ca="1" si="533"/>
        <v/>
      </c>
      <c r="BO988" s="1452" t="str">
        <f t="shared" si="546"/>
        <v/>
      </c>
      <c r="BP988" s="1452" t="str">
        <f t="shared" si="534"/>
        <v/>
      </c>
      <c r="BQ988" s="1452" t="str">
        <f t="shared" si="535"/>
        <v/>
      </c>
      <c r="BR988" s="1452" t="str">
        <f t="shared" si="536"/>
        <v/>
      </c>
      <c r="BS988" s="1452" t="str">
        <f t="shared" si="537"/>
        <v/>
      </c>
      <c r="BT988" s="1452" t="str">
        <f t="shared" si="538"/>
        <v/>
      </c>
      <c r="BU988" s="1452" t="str">
        <f t="shared" si="539"/>
        <v/>
      </c>
      <c r="BV988" s="1452" t="str">
        <f t="shared" si="540"/>
        <v/>
      </c>
      <c r="BW988" s="1558">
        <f t="shared" ca="1" si="547"/>
        <v>0</v>
      </c>
    </row>
    <row r="989" spans="1:75" s="9" customFormat="1" ht="12.5">
      <c r="A989" s="1483" t="str">
        <f t="shared" si="541"/>
        <v>Public Health Wales Trust</v>
      </c>
      <c r="B989" s="1583"/>
      <c r="C989" s="1510"/>
      <c r="D989" s="1494"/>
      <c r="E989" s="1593"/>
      <c r="F989" s="1436"/>
      <c r="G989" s="1547">
        <f t="shared" si="542"/>
        <v>0</v>
      </c>
      <c r="H989" s="1484"/>
      <c r="I989" s="1547">
        <f t="shared" si="543"/>
        <v>0</v>
      </c>
      <c r="J989" s="1485"/>
      <c r="K989" s="1485"/>
      <c r="L989" s="1436"/>
      <c r="M989" s="1439"/>
      <c r="N989" s="1439"/>
      <c r="O989" s="1485"/>
      <c r="P989" s="1486"/>
      <c r="Q989" s="1486"/>
      <c r="R989" s="1487"/>
      <c r="S989" s="1444"/>
      <c r="T989" s="1444"/>
      <c r="U989" s="1444"/>
      <c r="V989" s="1488"/>
      <c r="W989" s="1488"/>
      <c r="X989" s="1488"/>
      <c r="Y989" s="1488"/>
      <c r="Z989" s="1488"/>
      <c r="AA989" s="1488"/>
      <c r="AB989" s="1488"/>
      <c r="AC989" s="1488"/>
      <c r="AD989" s="1488"/>
      <c r="AE989" s="1488"/>
      <c r="AF989" s="1488"/>
      <c r="AG989" s="1488"/>
      <c r="AH989" s="1451">
        <f t="shared" si="515"/>
        <v>0</v>
      </c>
      <c r="AI989" s="1488"/>
      <c r="AJ989" s="1488"/>
      <c r="AK989" s="1488"/>
      <c r="AL989" s="1488"/>
      <c r="AM989" s="1488"/>
      <c r="AN989" s="1488"/>
      <c r="AO989" s="1488"/>
      <c r="AP989" s="1488"/>
      <c r="AQ989" s="1488"/>
      <c r="AR989" s="1488"/>
      <c r="AS989" s="1488"/>
      <c r="AT989" s="1542"/>
      <c r="AU989" s="1599">
        <f t="shared" si="516"/>
        <v>0</v>
      </c>
      <c r="AV989" s="1544">
        <f t="shared" si="544"/>
        <v>0</v>
      </c>
      <c r="AW989" s="1452">
        <f t="shared" si="517"/>
        <v>0</v>
      </c>
      <c r="AX989" s="1452">
        <f t="shared" si="518"/>
        <v>0</v>
      </c>
      <c r="AY989" s="1452">
        <f t="shared" si="519"/>
        <v>0</v>
      </c>
      <c r="AZ989" s="1452">
        <f t="shared" si="520"/>
        <v>0</v>
      </c>
      <c r="BA989" s="1452">
        <f t="shared" si="521"/>
        <v>0</v>
      </c>
      <c r="BB989" s="1452">
        <f t="shared" si="522"/>
        <v>0</v>
      </c>
      <c r="BC989" s="1452">
        <f t="shared" si="523"/>
        <v>0</v>
      </c>
      <c r="BD989" s="1452">
        <f t="shared" si="524"/>
        <v>0</v>
      </c>
      <c r="BE989" s="1452">
        <f t="shared" si="525"/>
        <v>0</v>
      </c>
      <c r="BF989" s="1452">
        <f t="shared" si="526"/>
        <v>0</v>
      </c>
      <c r="BG989" s="1452">
        <f t="shared" si="527"/>
        <v>0</v>
      </c>
      <c r="BH989" s="1452">
        <f t="shared" si="528"/>
        <v>0</v>
      </c>
      <c r="BI989" s="1452">
        <f t="shared" si="545"/>
        <v>0</v>
      </c>
      <c r="BJ989" s="1452" t="str">
        <f t="shared" si="529"/>
        <v/>
      </c>
      <c r="BK989" s="1452" t="str">
        <f t="shared" si="530"/>
        <v/>
      </c>
      <c r="BL989" s="1452" t="str">
        <f t="shared" si="531"/>
        <v/>
      </c>
      <c r="BM989" s="1452" t="str">
        <f t="shared" si="532"/>
        <v/>
      </c>
      <c r="BN989" s="1452" t="str">
        <f t="shared" ca="1" si="533"/>
        <v/>
      </c>
      <c r="BO989" s="1452" t="str">
        <f t="shared" si="546"/>
        <v/>
      </c>
      <c r="BP989" s="1452" t="str">
        <f t="shared" si="534"/>
        <v/>
      </c>
      <c r="BQ989" s="1452" t="str">
        <f t="shared" si="535"/>
        <v/>
      </c>
      <c r="BR989" s="1452" t="str">
        <f t="shared" si="536"/>
        <v/>
      </c>
      <c r="BS989" s="1452" t="str">
        <f t="shared" si="537"/>
        <v/>
      </c>
      <c r="BT989" s="1452" t="str">
        <f t="shared" si="538"/>
        <v/>
      </c>
      <c r="BU989" s="1452" t="str">
        <f t="shared" si="539"/>
        <v/>
      </c>
      <c r="BV989" s="1452" t="str">
        <f t="shared" si="540"/>
        <v/>
      </c>
      <c r="BW989" s="1558">
        <f t="shared" ca="1" si="547"/>
        <v>0</v>
      </c>
    </row>
    <row r="990" spans="1:75" s="9" customFormat="1" ht="12.5">
      <c r="A990" s="1483" t="str">
        <f t="shared" si="541"/>
        <v>Public Health Wales Trust</v>
      </c>
      <c r="B990" s="1583"/>
      <c r="C990" s="1510"/>
      <c r="D990" s="1494"/>
      <c r="E990" s="1593"/>
      <c r="F990" s="1436"/>
      <c r="G990" s="1547">
        <f t="shared" si="542"/>
        <v>0</v>
      </c>
      <c r="H990" s="1484"/>
      <c r="I990" s="1547">
        <f t="shared" si="543"/>
        <v>0</v>
      </c>
      <c r="J990" s="1495"/>
      <c r="K990" s="1495"/>
      <c r="L990" s="1436"/>
      <c r="M990" s="1439"/>
      <c r="N990" s="1439"/>
      <c r="O990" s="1485"/>
      <c r="P990" s="1486"/>
      <c r="Q990" s="1486"/>
      <c r="R990" s="1487"/>
      <c r="S990" s="1444"/>
      <c r="T990" s="1444"/>
      <c r="U990" s="1444"/>
      <c r="V990" s="1488"/>
      <c r="W990" s="1488"/>
      <c r="X990" s="1488"/>
      <c r="Y990" s="1488"/>
      <c r="Z990" s="1488"/>
      <c r="AA990" s="1488"/>
      <c r="AB990" s="1488"/>
      <c r="AC990" s="1488"/>
      <c r="AD990" s="1488"/>
      <c r="AE990" s="1488"/>
      <c r="AF990" s="1488"/>
      <c r="AG990" s="1488"/>
      <c r="AH990" s="1451">
        <f t="shared" si="515"/>
        <v>0</v>
      </c>
      <c r="AI990" s="1488"/>
      <c r="AJ990" s="1488"/>
      <c r="AK990" s="1488"/>
      <c r="AL990" s="1488"/>
      <c r="AM990" s="1488"/>
      <c r="AN990" s="1488"/>
      <c r="AO990" s="1488"/>
      <c r="AP990" s="1488"/>
      <c r="AQ990" s="1488"/>
      <c r="AR990" s="1488"/>
      <c r="AS990" s="1488"/>
      <c r="AT990" s="1542"/>
      <c r="AU990" s="1599">
        <f t="shared" si="516"/>
        <v>0</v>
      </c>
      <c r="AV990" s="1544">
        <f t="shared" si="544"/>
        <v>0</v>
      </c>
      <c r="AW990" s="1452">
        <f t="shared" si="517"/>
        <v>0</v>
      </c>
      <c r="AX990" s="1452">
        <f t="shared" si="518"/>
        <v>0</v>
      </c>
      <c r="AY990" s="1452">
        <f t="shared" si="519"/>
        <v>0</v>
      </c>
      <c r="AZ990" s="1452">
        <f t="shared" si="520"/>
        <v>0</v>
      </c>
      <c r="BA990" s="1452">
        <f t="shared" si="521"/>
        <v>0</v>
      </c>
      <c r="BB990" s="1452">
        <f t="shared" si="522"/>
        <v>0</v>
      </c>
      <c r="BC990" s="1452">
        <f t="shared" si="523"/>
        <v>0</v>
      </c>
      <c r="BD990" s="1452">
        <f t="shared" si="524"/>
        <v>0</v>
      </c>
      <c r="BE990" s="1452">
        <f t="shared" si="525"/>
        <v>0</v>
      </c>
      <c r="BF990" s="1452">
        <f t="shared" si="526"/>
        <v>0</v>
      </c>
      <c r="BG990" s="1452">
        <f t="shared" si="527"/>
        <v>0</v>
      </c>
      <c r="BH990" s="1452">
        <f t="shared" si="528"/>
        <v>0</v>
      </c>
      <c r="BI990" s="1452">
        <f t="shared" si="545"/>
        <v>0</v>
      </c>
      <c r="BJ990" s="1452" t="str">
        <f t="shared" si="529"/>
        <v/>
      </c>
      <c r="BK990" s="1452" t="str">
        <f t="shared" si="530"/>
        <v/>
      </c>
      <c r="BL990" s="1452" t="str">
        <f t="shared" si="531"/>
        <v/>
      </c>
      <c r="BM990" s="1452" t="str">
        <f t="shared" si="532"/>
        <v/>
      </c>
      <c r="BN990" s="1452" t="str">
        <f t="shared" ca="1" si="533"/>
        <v/>
      </c>
      <c r="BO990" s="1452" t="str">
        <f t="shared" si="546"/>
        <v/>
      </c>
      <c r="BP990" s="1452" t="str">
        <f t="shared" si="534"/>
        <v/>
      </c>
      <c r="BQ990" s="1452" t="str">
        <f t="shared" si="535"/>
        <v/>
      </c>
      <c r="BR990" s="1452" t="str">
        <f t="shared" si="536"/>
        <v/>
      </c>
      <c r="BS990" s="1452" t="str">
        <f t="shared" si="537"/>
        <v/>
      </c>
      <c r="BT990" s="1452" t="str">
        <f t="shared" si="538"/>
        <v/>
      </c>
      <c r="BU990" s="1452" t="str">
        <f t="shared" si="539"/>
        <v/>
      </c>
      <c r="BV990" s="1452" t="str">
        <f t="shared" si="540"/>
        <v/>
      </c>
      <c r="BW990" s="1558">
        <f t="shared" ca="1" si="547"/>
        <v>0</v>
      </c>
    </row>
    <row r="991" spans="1:75" s="9" customFormat="1" ht="12.5">
      <c r="A991" s="1483" t="str">
        <f t="shared" si="541"/>
        <v>Public Health Wales Trust</v>
      </c>
      <c r="B991" s="1583"/>
      <c r="C991" s="1510"/>
      <c r="D991" s="1494"/>
      <c r="E991" s="1593"/>
      <c r="F991" s="1436"/>
      <c r="G991" s="1547">
        <f t="shared" si="542"/>
        <v>0</v>
      </c>
      <c r="H991" s="1484"/>
      <c r="I991" s="1547">
        <f t="shared" si="543"/>
        <v>0</v>
      </c>
      <c r="J991" s="1495"/>
      <c r="K991" s="1495"/>
      <c r="L991" s="1436"/>
      <c r="M991" s="1439"/>
      <c r="N991" s="1439"/>
      <c r="O991" s="1485"/>
      <c r="P991" s="1486"/>
      <c r="Q991" s="1486"/>
      <c r="R991" s="1487"/>
      <c r="S991" s="1444"/>
      <c r="T991" s="1444"/>
      <c r="U991" s="1444"/>
      <c r="V991" s="1488"/>
      <c r="W991" s="1488"/>
      <c r="X991" s="1488"/>
      <c r="Y991" s="1488"/>
      <c r="Z991" s="1488"/>
      <c r="AA991" s="1488"/>
      <c r="AB991" s="1488"/>
      <c r="AC991" s="1488"/>
      <c r="AD991" s="1488"/>
      <c r="AE991" s="1488"/>
      <c r="AF991" s="1488"/>
      <c r="AG991" s="1488"/>
      <c r="AH991" s="1451">
        <f t="shared" si="515"/>
        <v>0</v>
      </c>
      <c r="AI991" s="1488"/>
      <c r="AJ991" s="1488"/>
      <c r="AK991" s="1488"/>
      <c r="AL991" s="1488"/>
      <c r="AM991" s="1488"/>
      <c r="AN991" s="1488"/>
      <c r="AO991" s="1488"/>
      <c r="AP991" s="1488"/>
      <c r="AQ991" s="1488"/>
      <c r="AR991" s="1488"/>
      <c r="AS991" s="1488"/>
      <c r="AT991" s="1542"/>
      <c r="AU991" s="1599">
        <f t="shared" si="516"/>
        <v>0</v>
      </c>
      <c r="AV991" s="1544">
        <f t="shared" si="544"/>
        <v>0</v>
      </c>
      <c r="AW991" s="1452">
        <f t="shared" si="517"/>
        <v>0</v>
      </c>
      <c r="AX991" s="1452">
        <f t="shared" si="518"/>
        <v>0</v>
      </c>
      <c r="AY991" s="1452">
        <f t="shared" si="519"/>
        <v>0</v>
      </c>
      <c r="AZ991" s="1452">
        <f t="shared" si="520"/>
        <v>0</v>
      </c>
      <c r="BA991" s="1452">
        <f t="shared" si="521"/>
        <v>0</v>
      </c>
      <c r="BB991" s="1452">
        <f t="shared" si="522"/>
        <v>0</v>
      </c>
      <c r="BC991" s="1452">
        <f t="shared" si="523"/>
        <v>0</v>
      </c>
      <c r="BD991" s="1452">
        <f t="shared" si="524"/>
        <v>0</v>
      </c>
      <c r="BE991" s="1452">
        <f t="shared" si="525"/>
        <v>0</v>
      </c>
      <c r="BF991" s="1452">
        <f t="shared" si="526"/>
        <v>0</v>
      </c>
      <c r="BG991" s="1452">
        <f t="shared" si="527"/>
        <v>0</v>
      </c>
      <c r="BH991" s="1452">
        <f t="shared" si="528"/>
        <v>0</v>
      </c>
      <c r="BI991" s="1452">
        <f t="shared" si="545"/>
        <v>0</v>
      </c>
      <c r="BJ991" s="1452" t="str">
        <f t="shared" si="529"/>
        <v/>
      </c>
      <c r="BK991" s="1452" t="str">
        <f t="shared" si="530"/>
        <v/>
      </c>
      <c r="BL991" s="1452" t="str">
        <f t="shared" si="531"/>
        <v/>
      </c>
      <c r="BM991" s="1452" t="str">
        <f t="shared" si="532"/>
        <v/>
      </c>
      <c r="BN991" s="1452" t="str">
        <f t="shared" ca="1" si="533"/>
        <v/>
      </c>
      <c r="BO991" s="1452" t="str">
        <f t="shared" si="546"/>
        <v/>
      </c>
      <c r="BP991" s="1452" t="str">
        <f t="shared" si="534"/>
        <v/>
      </c>
      <c r="BQ991" s="1452" t="str">
        <f t="shared" si="535"/>
        <v/>
      </c>
      <c r="BR991" s="1452" t="str">
        <f t="shared" si="536"/>
        <v/>
      </c>
      <c r="BS991" s="1452" t="str">
        <f t="shared" si="537"/>
        <v/>
      </c>
      <c r="BT991" s="1452" t="str">
        <f t="shared" si="538"/>
        <v/>
      </c>
      <c r="BU991" s="1452" t="str">
        <f t="shared" si="539"/>
        <v/>
      </c>
      <c r="BV991" s="1452" t="str">
        <f t="shared" si="540"/>
        <v/>
      </c>
      <c r="BW991" s="1558">
        <f t="shared" ca="1" si="547"/>
        <v>0</v>
      </c>
    </row>
    <row r="992" spans="1:75" s="9" customFormat="1" ht="12.5">
      <c r="A992" s="1483" t="str">
        <f t="shared" si="541"/>
        <v>Public Health Wales Trust</v>
      </c>
      <c r="B992" s="1583"/>
      <c r="C992" s="1510"/>
      <c r="D992" s="1494"/>
      <c r="E992" s="1593"/>
      <c r="F992" s="1436"/>
      <c r="G992" s="1547">
        <f t="shared" si="542"/>
        <v>0</v>
      </c>
      <c r="H992" s="1484"/>
      <c r="I992" s="1547">
        <f t="shared" si="543"/>
        <v>0</v>
      </c>
      <c r="J992" s="1495"/>
      <c r="K992" s="1495"/>
      <c r="L992" s="1436"/>
      <c r="M992" s="1439"/>
      <c r="N992" s="1439"/>
      <c r="O992" s="1485"/>
      <c r="P992" s="1486"/>
      <c r="Q992" s="1486"/>
      <c r="R992" s="1487"/>
      <c r="S992" s="1444"/>
      <c r="T992" s="1444"/>
      <c r="U992" s="1444"/>
      <c r="V992" s="1488"/>
      <c r="W992" s="1488"/>
      <c r="X992" s="1488"/>
      <c r="Y992" s="1488"/>
      <c r="Z992" s="1488"/>
      <c r="AA992" s="1488"/>
      <c r="AB992" s="1488"/>
      <c r="AC992" s="1488"/>
      <c r="AD992" s="1488"/>
      <c r="AE992" s="1488"/>
      <c r="AF992" s="1488"/>
      <c r="AG992" s="1488"/>
      <c r="AH992" s="1451">
        <f t="shared" si="515"/>
        <v>0</v>
      </c>
      <c r="AI992" s="1488"/>
      <c r="AJ992" s="1488"/>
      <c r="AK992" s="1488"/>
      <c r="AL992" s="1488"/>
      <c r="AM992" s="1488"/>
      <c r="AN992" s="1488"/>
      <c r="AO992" s="1488"/>
      <c r="AP992" s="1488"/>
      <c r="AQ992" s="1488"/>
      <c r="AR992" s="1488"/>
      <c r="AS992" s="1488"/>
      <c r="AT992" s="1542"/>
      <c r="AU992" s="1599">
        <f t="shared" si="516"/>
        <v>0</v>
      </c>
      <c r="AV992" s="1544">
        <f t="shared" si="544"/>
        <v>0</v>
      </c>
      <c r="AW992" s="1452">
        <f t="shared" si="517"/>
        <v>0</v>
      </c>
      <c r="AX992" s="1452">
        <f t="shared" si="518"/>
        <v>0</v>
      </c>
      <c r="AY992" s="1452">
        <f t="shared" si="519"/>
        <v>0</v>
      </c>
      <c r="AZ992" s="1452">
        <f t="shared" si="520"/>
        <v>0</v>
      </c>
      <c r="BA992" s="1452">
        <f t="shared" si="521"/>
        <v>0</v>
      </c>
      <c r="BB992" s="1452">
        <f t="shared" si="522"/>
        <v>0</v>
      </c>
      <c r="BC992" s="1452">
        <f t="shared" si="523"/>
        <v>0</v>
      </c>
      <c r="BD992" s="1452">
        <f t="shared" si="524"/>
        <v>0</v>
      </c>
      <c r="BE992" s="1452">
        <f t="shared" si="525"/>
        <v>0</v>
      </c>
      <c r="BF992" s="1452">
        <f t="shared" si="526"/>
        <v>0</v>
      </c>
      <c r="BG992" s="1452">
        <f t="shared" si="527"/>
        <v>0</v>
      </c>
      <c r="BH992" s="1452">
        <f t="shared" si="528"/>
        <v>0</v>
      </c>
      <c r="BI992" s="1452">
        <f t="shared" si="545"/>
        <v>0</v>
      </c>
      <c r="BJ992" s="1452" t="str">
        <f t="shared" si="529"/>
        <v/>
      </c>
      <c r="BK992" s="1452" t="str">
        <f t="shared" si="530"/>
        <v/>
      </c>
      <c r="BL992" s="1452" t="str">
        <f t="shared" si="531"/>
        <v/>
      </c>
      <c r="BM992" s="1452" t="str">
        <f t="shared" si="532"/>
        <v/>
      </c>
      <c r="BN992" s="1452" t="str">
        <f t="shared" ca="1" si="533"/>
        <v/>
      </c>
      <c r="BO992" s="1452" t="str">
        <f t="shared" si="546"/>
        <v/>
      </c>
      <c r="BP992" s="1452" t="str">
        <f t="shared" si="534"/>
        <v/>
      </c>
      <c r="BQ992" s="1452" t="str">
        <f t="shared" si="535"/>
        <v/>
      </c>
      <c r="BR992" s="1452" t="str">
        <f t="shared" si="536"/>
        <v/>
      </c>
      <c r="BS992" s="1452" t="str">
        <f t="shared" si="537"/>
        <v/>
      </c>
      <c r="BT992" s="1452" t="str">
        <f t="shared" si="538"/>
        <v/>
      </c>
      <c r="BU992" s="1452" t="str">
        <f t="shared" si="539"/>
        <v/>
      </c>
      <c r="BV992" s="1452" t="str">
        <f t="shared" si="540"/>
        <v/>
      </c>
      <c r="BW992" s="1558">
        <f t="shared" ca="1" si="547"/>
        <v>0</v>
      </c>
    </row>
    <row r="993" spans="1:75" s="9" customFormat="1" ht="12.5">
      <c r="A993" s="1483" t="str">
        <f t="shared" si="541"/>
        <v>Public Health Wales Trust</v>
      </c>
      <c r="B993" s="1583"/>
      <c r="C993" s="1510"/>
      <c r="D993" s="1494"/>
      <c r="E993" s="1593"/>
      <c r="F993" s="1436"/>
      <c r="G993" s="1547">
        <f t="shared" si="542"/>
        <v>0</v>
      </c>
      <c r="H993" s="1484"/>
      <c r="I993" s="1547">
        <f t="shared" si="543"/>
        <v>0</v>
      </c>
      <c r="J993" s="1495"/>
      <c r="K993" s="1495"/>
      <c r="L993" s="1436"/>
      <c r="M993" s="1439"/>
      <c r="N993" s="1439"/>
      <c r="O993" s="1485"/>
      <c r="P993" s="1486"/>
      <c r="Q993" s="1486"/>
      <c r="R993" s="1487"/>
      <c r="S993" s="1444"/>
      <c r="T993" s="1444"/>
      <c r="U993" s="1444"/>
      <c r="V993" s="1488"/>
      <c r="W993" s="1488"/>
      <c r="X993" s="1488"/>
      <c r="Y993" s="1488"/>
      <c r="Z993" s="1488"/>
      <c r="AA993" s="1488"/>
      <c r="AB993" s="1488"/>
      <c r="AC993" s="1488"/>
      <c r="AD993" s="1488"/>
      <c r="AE993" s="1488"/>
      <c r="AF993" s="1488"/>
      <c r="AG993" s="1488"/>
      <c r="AH993" s="1451">
        <f t="shared" si="515"/>
        <v>0</v>
      </c>
      <c r="AI993" s="1488"/>
      <c r="AJ993" s="1488"/>
      <c r="AK993" s="1488"/>
      <c r="AL993" s="1488"/>
      <c r="AM993" s="1488"/>
      <c r="AN993" s="1488"/>
      <c r="AO993" s="1488"/>
      <c r="AP993" s="1488"/>
      <c r="AQ993" s="1488"/>
      <c r="AR993" s="1488"/>
      <c r="AS993" s="1488"/>
      <c r="AT993" s="1542"/>
      <c r="AU993" s="1599">
        <f t="shared" si="516"/>
        <v>0</v>
      </c>
      <c r="AV993" s="1544">
        <f t="shared" si="544"/>
        <v>0</v>
      </c>
      <c r="AW993" s="1452">
        <f t="shared" si="517"/>
        <v>0</v>
      </c>
      <c r="AX993" s="1452">
        <f t="shared" si="518"/>
        <v>0</v>
      </c>
      <c r="AY993" s="1452">
        <f t="shared" si="519"/>
        <v>0</v>
      </c>
      <c r="AZ993" s="1452">
        <f t="shared" si="520"/>
        <v>0</v>
      </c>
      <c r="BA993" s="1452">
        <f t="shared" si="521"/>
        <v>0</v>
      </c>
      <c r="BB993" s="1452">
        <f t="shared" si="522"/>
        <v>0</v>
      </c>
      <c r="BC993" s="1452">
        <f t="shared" si="523"/>
        <v>0</v>
      </c>
      <c r="BD993" s="1452">
        <f t="shared" si="524"/>
        <v>0</v>
      </c>
      <c r="BE993" s="1452">
        <f t="shared" si="525"/>
        <v>0</v>
      </c>
      <c r="BF993" s="1452">
        <f t="shared" si="526"/>
        <v>0</v>
      </c>
      <c r="BG993" s="1452">
        <f t="shared" si="527"/>
        <v>0</v>
      </c>
      <c r="BH993" s="1452">
        <f t="shared" si="528"/>
        <v>0</v>
      </c>
      <c r="BI993" s="1452">
        <f t="shared" si="545"/>
        <v>0</v>
      </c>
      <c r="BJ993" s="1452" t="str">
        <f t="shared" si="529"/>
        <v/>
      </c>
      <c r="BK993" s="1452" t="str">
        <f t="shared" si="530"/>
        <v/>
      </c>
      <c r="BL993" s="1452" t="str">
        <f t="shared" si="531"/>
        <v/>
      </c>
      <c r="BM993" s="1452" t="str">
        <f t="shared" si="532"/>
        <v/>
      </c>
      <c r="BN993" s="1452" t="str">
        <f t="shared" ca="1" si="533"/>
        <v/>
      </c>
      <c r="BO993" s="1452" t="str">
        <f t="shared" si="546"/>
        <v/>
      </c>
      <c r="BP993" s="1452" t="str">
        <f t="shared" si="534"/>
        <v/>
      </c>
      <c r="BQ993" s="1452" t="str">
        <f t="shared" si="535"/>
        <v/>
      </c>
      <c r="BR993" s="1452" t="str">
        <f t="shared" si="536"/>
        <v/>
      </c>
      <c r="BS993" s="1452" t="str">
        <f t="shared" si="537"/>
        <v/>
      </c>
      <c r="BT993" s="1452" t="str">
        <f t="shared" si="538"/>
        <v/>
      </c>
      <c r="BU993" s="1452" t="str">
        <f t="shared" si="539"/>
        <v/>
      </c>
      <c r="BV993" s="1452" t="str">
        <f t="shared" si="540"/>
        <v/>
      </c>
      <c r="BW993" s="1558">
        <f t="shared" ca="1" si="547"/>
        <v>0</v>
      </c>
    </row>
    <row r="994" spans="1:75" s="9" customFormat="1" ht="12.5">
      <c r="A994" s="1483" t="str">
        <f t="shared" si="541"/>
        <v>Public Health Wales Trust</v>
      </c>
      <c r="B994" s="1583"/>
      <c r="C994" s="1510"/>
      <c r="D994" s="1494"/>
      <c r="E994" s="1593"/>
      <c r="F994" s="1436"/>
      <c r="G994" s="1547">
        <f t="shared" si="542"/>
        <v>0</v>
      </c>
      <c r="H994" s="1484"/>
      <c r="I994" s="1547">
        <f t="shared" si="543"/>
        <v>0</v>
      </c>
      <c r="J994" s="1495"/>
      <c r="K994" s="1495"/>
      <c r="L994" s="1436"/>
      <c r="M994" s="1439"/>
      <c r="N994" s="1439"/>
      <c r="O994" s="1485"/>
      <c r="P994" s="1486"/>
      <c r="Q994" s="1486"/>
      <c r="R994" s="1487"/>
      <c r="S994" s="1444"/>
      <c r="T994" s="1444"/>
      <c r="U994" s="1444"/>
      <c r="V994" s="1488"/>
      <c r="W994" s="1488"/>
      <c r="X994" s="1488"/>
      <c r="Y994" s="1488"/>
      <c r="Z994" s="1488"/>
      <c r="AA994" s="1488"/>
      <c r="AB994" s="1488"/>
      <c r="AC994" s="1488"/>
      <c r="AD994" s="1488"/>
      <c r="AE994" s="1488"/>
      <c r="AF994" s="1488"/>
      <c r="AG994" s="1488"/>
      <c r="AH994" s="1451">
        <f t="shared" si="515"/>
        <v>0</v>
      </c>
      <c r="AI994" s="1488"/>
      <c r="AJ994" s="1488"/>
      <c r="AK994" s="1488"/>
      <c r="AL994" s="1488"/>
      <c r="AM994" s="1488"/>
      <c r="AN994" s="1488"/>
      <c r="AO994" s="1488"/>
      <c r="AP994" s="1488"/>
      <c r="AQ994" s="1488"/>
      <c r="AR994" s="1488"/>
      <c r="AS994" s="1488"/>
      <c r="AT994" s="1542"/>
      <c r="AU994" s="1599">
        <f t="shared" si="516"/>
        <v>0</v>
      </c>
      <c r="AV994" s="1544">
        <f t="shared" si="544"/>
        <v>0</v>
      </c>
      <c r="AW994" s="1452">
        <f t="shared" si="517"/>
        <v>0</v>
      </c>
      <c r="AX994" s="1452">
        <f t="shared" si="518"/>
        <v>0</v>
      </c>
      <c r="AY994" s="1452">
        <f t="shared" si="519"/>
        <v>0</v>
      </c>
      <c r="AZ994" s="1452">
        <f t="shared" si="520"/>
        <v>0</v>
      </c>
      <c r="BA994" s="1452">
        <f t="shared" si="521"/>
        <v>0</v>
      </c>
      <c r="BB994" s="1452">
        <f t="shared" si="522"/>
        <v>0</v>
      </c>
      <c r="BC994" s="1452">
        <f t="shared" si="523"/>
        <v>0</v>
      </c>
      <c r="BD994" s="1452">
        <f t="shared" si="524"/>
        <v>0</v>
      </c>
      <c r="BE994" s="1452">
        <f t="shared" si="525"/>
        <v>0</v>
      </c>
      <c r="BF994" s="1452">
        <f t="shared" si="526"/>
        <v>0</v>
      </c>
      <c r="BG994" s="1452">
        <f t="shared" si="527"/>
        <v>0</v>
      </c>
      <c r="BH994" s="1452">
        <f t="shared" si="528"/>
        <v>0</v>
      </c>
      <c r="BI994" s="1452">
        <f t="shared" si="545"/>
        <v>0</v>
      </c>
      <c r="BJ994" s="1452" t="str">
        <f t="shared" si="529"/>
        <v/>
      </c>
      <c r="BK994" s="1452" t="str">
        <f t="shared" si="530"/>
        <v/>
      </c>
      <c r="BL994" s="1452" t="str">
        <f t="shared" si="531"/>
        <v/>
      </c>
      <c r="BM994" s="1452" t="str">
        <f t="shared" si="532"/>
        <v/>
      </c>
      <c r="BN994" s="1452" t="str">
        <f t="shared" ca="1" si="533"/>
        <v/>
      </c>
      <c r="BO994" s="1452" t="str">
        <f t="shared" si="546"/>
        <v/>
      </c>
      <c r="BP994" s="1452" t="str">
        <f t="shared" si="534"/>
        <v/>
      </c>
      <c r="BQ994" s="1452" t="str">
        <f t="shared" si="535"/>
        <v/>
      </c>
      <c r="BR994" s="1452" t="str">
        <f t="shared" si="536"/>
        <v/>
      </c>
      <c r="BS994" s="1452" t="str">
        <f t="shared" si="537"/>
        <v/>
      </c>
      <c r="BT994" s="1452" t="str">
        <f t="shared" si="538"/>
        <v/>
      </c>
      <c r="BU994" s="1452" t="str">
        <f t="shared" si="539"/>
        <v/>
      </c>
      <c r="BV994" s="1452" t="str">
        <f t="shared" si="540"/>
        <v/>
      </c>
      <c r="BW994" s="1558">
        <f t="shared" ca="1" si="547"/>
        <v>0</v>
      </c>
    </row>
    <row r="995" spans="1:75" s="9" customFormat="1" ht="12.5">
      <c r="A995" s="1483" t="str">
        <f t="shared" si="541"/>
        <v>Public Health Wales Trust</v>
      </c>
      <c r="B995" s="1583"/>
      <c r="C995" s="1510"/>
      <c r="D995" s="1494"/>
      <c r="E995" s="1593"/>
      <c r="F995" s="1436"/>
      <c r="G995" s="1547">
        <f t="shared" si="542"/>
        <v>0</v>
      </c>
      <c r="H995" s="1484"/>
      <c r="I995" s="1547">
        <f t="shared" si="543"/>
        <v>0</v>
      </c>
      <c r="J995" s="1495"/>
      <c r="K995" s="1495"/>
      <c r="L995" s="1436"/>
      <c r="M995" s="1439"/>
      <c r="N995" s="1439"/>
      <c r="O995" s="1485"/>
      <c r="P995" s="1486"/>
      <c r="Q995" s="1486"/>
      <c r="R995" s="1487"/>
      <c r="S995" s="1444"/>
      <c r="T995" s="1444"/>
      <c r="U995" s="1444"/>
      <c r="V995" s="1488"/>
      <c r="W995" s="1488"/>
      <c r="X995" s="1488"/>
      <c r="Y995" s="1488"/>
      <c r="Z995" s="1488"/>
      <c r="AA995" s="1488"/>
      <c r="AB995" s="1488"/>
      <c r="AC995" s="1488"/>
      <c r="AD995" s="1488"/>
      <c r="AE995" s="1488"/>
      <c r="AF995" s="1488"/>
      <c r="AG995" s="1488"/>
      <c r="AH995" s="1451">
        <f t="shared" si="515"/>
        <v>0</v>
      </c>
      <c r="AI995" s="1488"/>
      <c r="AJ995" s="1488"/>
      <c r="AK995" s="1488"/>
      <c r="AL995" s="1488"/>
      <c r="AM995" s="1488"/>
      <c r="AN995" s="1488"/>
      <c r="AO995" s="1488"/>
      <c r="AP995" s="1488"/>
      <c r="AQ995" s="1488"/>
      <c r="AR995" s="1488"/>
      <c r="AS995" s="1488"/>
      <c r="AT995" s="1542"/>
      <c r="AU995" s="1599">
        <f t="shared" si="516"/>
        <v>0</v>
      </c>
      <c r="AV995" s="1544">
        <f t="shared" si="544"/>
        <v>0</v>
      </c>
      <c r="AW995" s="1452">
        <f t="shared" si="517"/>
        <v>0</v>
      </c>
      <c r="AX995" s="1452">
        <f t="shared" si="518"/>
        <v>0</v>
      </c>
      <c r="AY995" s="1452">
        <f t="shared" si="519"/>
        <v>0</v>
      </c>
      <c r="AZ995" s="1452">
        <f t="shared" si="520"/>
        <v>0</v>
      </c>
      <c r="BA995" s="1452">
        <f t="shared" si="521"/>
        <v>0</v>
      </c>
      <c r="BB995" s="1452">
        <f t="shared" si="522"/>
        <v>0</v>
      </c>
      <c r="BC995" s="1452">
        <f t="shared" si="523"/>
        <v>0</v>
      </c>
      <c r="BD995" s="1452">
        <f t="shared" si="524"/>
        <v>0</v>
      </c>
      <c r="BE995" s="1452">
        <f t="shared" si="525"/>
        <v>0</v>
      </c>
      <c r="BF995" s="1452">
        <f t="shared" si="526"/>
        <v>0</v>
      </c>
      <c r="BG995" s="1452">
        <f t="shared" si="527"/>
        <v>0</v>
      </c>
      <c r="BH995" s="1452">
        <f t="shared" si="528"/>
        <v>0</v>
      </c>
      <c r="BI995" s="1452">
        <f t="shared" si="545"/>
        <v>0</v>
      </c>
      <c r="BJ995" s="1452" t="str">
        <f t="shared" si="529"/>
        <v/>
      </c>
      <c r="BK995" s="1452" t="str">
        <f t="shared" si="530"/>
        <v/>
      </c>
      <c r="BL995" s="1452" t="str">
        <f t="shared" si="531"/>
        <v/>
      </c>
      <c r="BM995" s="1452" t="str">
        <f t="shared" si="532"/>
        <v/>
      </c>
      <c r="BN995" s="1452" t="str">
        <f t="shared" ca="1" si="533"/>
        <v/>
      </c>
      <c r="BO995" s="1452" t="str">
        <f t="shared" si="546"/>
        <v/>
      </c>
      <c r="BP995" s="1452" t="str">
        <f t="shared" si="534"/>
        <v/>
      </c>
      <c r="BQ995" s="1452" t="str">
        <f t="shared" si="535"/>
        <v/>
      </c>
      <c r="BR995" s="1452" t="str">
        <f t="shared" si="536"/>
        <v/>
      </c>
      <c r="BS995" s="1452" t="str">
        <f t="shared" si="537"/>
        <v/>
      </c>
      <c r="BT995" s="1452" t="str">
        <f t="shared" si="538"/>
        <v/>
      </c>
      <c r="BU995" s="1452" t="str">
        <f t="shared" si="539"/>
        <v/>
      </c>
      <c r="BV995" s="1452" t="str">
        <f t="shared" si="540"/>
        <v/>
      </c>
      <c r="BW995" s="1558">
        <f t="shared" ca="1" si="547"/>
        <v>0</v>
      </c>
    </row>
    <row r="996" spans="1:75" s="9" customFormat="1" ht="12.5">
      <c r="A996" s="1483" t="str">
        <f t="shared" si="541"/>
        <v>Public Health Wales Trust</v>
      </c>
      <c r="B996" s="1583"/>
      <c r="C996" s="1510"/>
      <c r="D996" s="1494"/>
      <c r="E996" s="1593"/>
      <c r="F996" s="1436"/>
      <c r="G996" s="1547">
        <f t="shared" si="542"/>
        <v>0</v>
      </c>
      <c r="H996" s="1484"/>
      <c r="I996" s="1547">
        <f t="shared" si="543"/>
        <v>0</v>
      </c>
      <c r="J996" s="1496"/>
      <c r="K996" s="1496"/>
      <c r="L996" s="1436"/>
      <c r="M996" s="1439"/>
      <c r="N996" s="1437"/>
      <c r="O996" s="1485"/>
      <c r="P996" s="1486"/>
      <c r="Q996" s="1486"/>
      <c r="R996" s="1487"/>
      <c r="S996" s="1444"/>
      <c r="T996" s="1444"/>
      <c r="U996" s="1444"/>
      <c r="V996" s="1488"/>
      <c r="W996" s="1488"/>
      <c r="X996" s="1488"/>
      <c r="Y996" s="1488"/>
      <c r="Z996" s="1488"/>
      <c r="AA996" s="1488"/>
      <c r="AB996" s="1488"/>
      <c r="AC996" s="1488"/>
      <c r="AD996" s="1488"/>
      <c r="AE996" s="1488"/>
      <c r="AF996" s="1488"/>
      <c r="AG996" s="1488"/>
      <c r="AH996" s="1451">
        <f t="shared" si="515"/>
        <v>0</v>
      </c>
      <c r="AI996" s="1488"/>
      <c r="AJ996" s="1488"/>
      <c r="AK996" s="1488"/>
      <c r="AL996" s="1488"/>
      <c r="AM996" s="1488"/>
      <c r="AN996" s="1488"/>
      <c r="AO996" s="1488"/>
      <c r="AP996" s="1488"/>
      <c r="AQ996" s="1488"/>
      <c r="AR996" s="1488"/>
      <c r="AS996" s="1488"/>
      <c r="AT996" s="1542"/>
      <c r="AU996" s="1599">
        <f t="shared" si="516"/>
        <v>0</v>
      </c>
      <c r="AV996" s="1544">
        <f t="shared" si="544"/>
        <v>0</v>
      </c>
      <c r="AW996" s="1452">
        <f t="shared" si="517"/>
        <v>0</v>
      </c>
      <c r="AX996" s="1452">
        <f t="shared" si="518"/>
        <v>0</v>
      </c>
      <c r="AY996" s="1452">
        <f t="shared" si="519"/>
        <v>0</v>
      </c>
      <c r="AZ996" s="1452">
        <f t="shared" si="520"/>
        <v>0</v>
      </c>
      <c r="BA996" s="1452">
        <f t="shared" si="521"/>
        <v>0</v>
      </c>
      <c r="BB996" s="1452">
        <f t="shared" si="522"/>
        <v>0</v>
      </c>
      <c r="BC996" s="1452">
        <f t="shared" si="523"/>
        <v>0</v>
      </c>
      <c r="BD996" s="1452">
        <f t="shared" si="524"/>
        <v>0</v>
      </c>
      <c r="BE996" s="1452">
        <f t="shared" si="525"/>
        <v>0</v>
      </c>
      <c r="BF996" s="1452">
        <f t="shared" si="526"/>
        <v>0</v>
      </c>
      <c r="BG996" s="1452">
        <f t="shared" si="527"/>
        <v>0</v>
      </c>
      <c r="BH996" s="1452">
        <f t="shared" si="528"/>
        <v>0</v>
      </c>
      <c r="BI996" s="1452">
        <f t="shared" si="545"/>
        <v>0</v>
      </c>
      <c r="BJ996" s="1452" t="str">
        <f t="shared" si="529"/>
        <v/>
      </c>
      <c r="BK996" s="1452" t="str">
        <f t="shared" si="530"/>
        <v/>
      </c>
      <c r="BL996" s="1452" t="str">
        <f t="shared" si="531"/>
        <v/>
      </c>
      <c r="BM996" s="1452" t="str">
        <f t="shared" si="532"/>
        <v/>
      </c>
      <c r="BN996" s="1452" t="str">
        <f t="shared" ca="1" si="533"/>
        <v/>
      </c>
      <c r="BO996" s="1452" t="str">
        <f t="shared" si="546"/>
        <v/>
      </c>
      <c r="BP996" s="1452" t="str">
        <f t="shared" si="534"/>
        <v/>
      </c>
      <c r="BQ996" s="1452" t="str">
        <f t="shared" si="535"/>
        <v/>
      </c>
      <c r="BR996" s="1452" t="str">
        <f t="shared" si="536"/>
        <v/>
      </c>
      <c r="BS996" s="1452" t="str">
        <f t="shared" si="537"/>
        <v/>
      </c>
      <c r="BT996" s="1452" t="str">
        <f t="shared" si="538"/>
        <v/>
      </c>
      <c r="BU996" s="1452" t="str">
        <f t="shared" si="539"/>
        <v/>
      </c>
      <c r="BV996" s="1452" t="str">
        <f t="shared" si="540"/>
        <v/>
      </c>
      <c r="BW996" s="1558">
        <f t="shared" ca="1" si="547"/>
        <v>0</v>
      </c>
    </row>
    <row r="997" spans="1:75" s="9" customFormat="1" ht="12.5">
      <c r="A997" s="1483" t="str">
        <f t="shared" si="541"/>
        <v>Public Health Wales Trust</v>
      </c>
      <c r="B997" s="1583"/>
      <c r="C997" s="1510"/>
      <c r="D997" s="1494"/>
      <c r="E997" s="1593"/>
      <c r="F997" s="1436"/>
      <c r="G997" s="1547">
        <f t="shared" si="542"/>
        <v>0</v>
      </c>
      <c r="H997" s="1484"/>
      <c r="I997" s="1547">
        <f t="shared" si="543"/>
        <v>0</v>
      </c>
      <c r="J997" s="1515"/>
      <c r="K997" s="1515"/>
      <c r="L997" s="1436"/>
      <c r="M997" s="1439"/>
      <c r="N997" s="1439"/>
      <c r="O997" s="1485"/>
      <c r="P997" s="1486"/>
      <c r="Q997" s="1486"/>
      <c r="R997" s="1487"/>
      <c r="S997" s="1444"/>
      <c r="T997" s="1444"/>
      <c r="U997" s="1444"/>
      <c r="V997" s="1488"/>
      <c r="W997" s="1488"/>
      <c r="X997" s="1488"/>
      <c r="Y997" s="1488"/>
      <c r="Z997" s="1488"/>
      <c r="AA997" s="1488"/>
      <c r="AB997" s="1488"/>
      <c r="AC997" s="1488"/>
      <c r="AD997" s="1488"/>
      <c r="AE997" s="1488"/>
      <c r="AF997" s="1488"/>
      <c r="AG997" s="1488"/>
      <c r="AH997" s="1451">
        <f t="shared" si="515"/>
        <v>0</v>
      </c>
      <c r="AI997" s="1488"/>
      <c r="AJ997" s="1488"/>
      <c r="AK997" s="1488"/>
      <c r="AL997" s="1488"/>
      <c r="AM997" s="1488"/>
      <c r="AN997" s="1488"/>
      <c r="AO997" s="1488"/>
      <c r="AP997" s="1488"/>
      <c r="AQ997" s="1488"/>
      <c r="AR997" s="1488"/>
      <c r="AS997" s="1488"/>
      <c r="AT997" s="1542"/>
      <c r="AU997" s="1599">
        <f t="shared" si="516"/>
        <v>0</v>
      </c>
      <c r="AV997" s="1544">
        <f t="shared" si="544"/>
        <v>0</v>
      </c>
      <c r="AW997" s="1452">
        <f t="shared" si="517"/>
        <v>0</v>
      </c>
      <c r="AX997" s="1452">
        <f t="shared" si="518"/>
        <v>0</v>
      </c>
      <c r="AY997" s="1452">
        <f t="shared" si="519"/>
        <v>0</v>
      </c>
      <c r="AZ997" s="1452">
        <f t="shared" si="520"/>
        <v>0</v>
      </c>
      <c r="BA997" s="1452">
        <f t="shared" si="521"/>
        <v>0</v>
      </c>
      <c r="BB997" s="1452">
        <f t="shared" si="522"/>
        <v>0</v>
      </c>
      <c r="BC997" s="1452">
        <f t="shared" si="523"/>
        <v>0</v>
      </c>
      <c r="BD997" s="1452">
        <f t="shared" si="524"/>
        <v>0</v>
      </c>
      <c r="BE997" s="1452">
        <f t="shared" si="525"/>
        <v>0</v>
      </c>
      <c r="BF997" s="1452">
        <f t="shared" si="526"/>
        <v>0</v>
      </c>
      <c r="BG997" s="1452">
        <f t="shared" si="527"/>
        <v>0</v>
      </c>
      <c r="BH997" s="1452">
        <f t="shared" si="528"/>
        <v>0</v>
      </c>
      <c r="BI997" s="1452">
        <f t="shared" si="545"/>
        <v>0</v>
      </c>
      <c r="BJ997" s="1452" t="str">
        <f t="shared" si="529"/>
        <v/>
      </c>
      <c r="BK997" s="1452" t="str">
        <f t="shared" si="530"/>
        <v/>
      </c>
      <c r="BL997" s="1452" t="str">
        <f t="shared" si="531"/>
        <v/>
      </c>
      <c r="BM997" s="1452" t="str">
        <f t="shared" si="532"/>
        <v/>
      </c>
      <c r="BN997" s="1452" t="str">
        <f t="shared" ca="1" si="533"/>
        <v/>
      </c>
      <c r="BO997" s="1452" t="str">
        <f t="shared" si="546"/>
        <v/>
      </c>
      <c r="BP997" s="1452" t="str">
        <f t="shared" si="534"/>
        <v/>
      </c>
      <c r="BQ997" s="1452" t="str">
        <f t="shared" si="535"/>
        <v/>
      </c>
      <c r="BR997" s="1452" t="str">
        <f t="shared" si="536"/>
        <v/>
      </c>
      <c r="BS997" s="1452" t="str">
        <f t="shared" si="537"/>
        <v/>
      </c>
      <c r="BT997" s="1452" t="str">
        <f t="shared" si="538"/>
        <v/>
      </c>
      <c r="BU997" s="1452" t="str">
        <f t="shared" si="539"/>
        <v/>
      </c>
      <c r="BV997" s="1452" t="str">
        <f t="shared" si="540"/>
        <v/>
      </c>
      <c r="BW997" s="1558">
        <f t="shared" ca="1" si="547"/>
        <v>0</v>
      </c>
    </row>
    <row r="998" spans="1:75" s="9" customFormat="1" ht="12.5">
      <c r="A998" s="1483" t="str">
        <f t="shared" si="541"/>
        <v>Public Health Wales Trust</v>
      </c>
      <c r="B998" s="1583"/>
      <c r="C998" s="1510"/>
      <c r="D998" s="1494"/>
      <c r="E998" s="1593"/>
      <c r="F998" s="1436"/>
      <c r="G998" s="1547">
        <f t="shared" si="542"/>
        <v>0</v>
      </c>
      <c r="H998" s="1484"/>
      <c r="I998" s="1547">
        <f t="shared" si="543"/>
        <v>0</v>
      </c>
      <c r="J998" s="1497"/>
      <c r="K998" s="1497"/>
      <c r="L998" s="1436"/>
      <c r="M998" s="1439"/>
      <c r="N998" s="1439"/>
      <c r="O998" s="1485"/>
      <c r="P998" s="1486"/>
      <c r="Q998" s="1486"/>
      <c r="R998" s="1487"/>
      <c r="S998" s="1444"/>
      <c r="T998" s="1444"/>
      <c r="U998" s="1444"/>
      <c r="V998" s="1488"/>
      <c r="W998" s="1488"/>
      <c r="X998" s="1488"/>
      <c r="Y998" s="1488"/>
      <c r="Z998" s="1488"/>
      <c r="AA998" s="1488"/>
      <c r="AB998" s="1488"/>
      <c r="AC998" s="1488"/>
      <c r="AD998" s="1488"/>
      <c r="AE998" s="1488"/>
      <c r="AF998" s="1488"/>
      <c r="AG998" s="1488"/>
      <c r="AH998" s="1451">
        <f t="shared" si="515"/>
        <v>0</v>
      </c>
      <c r="AI998" s="1488"/>
      <c r="AJ998" s="1488"/>
      <c r="AK998" s="1488"/>
      <c r="AL998" s="1488"/>
      <c r="AM998" s="1488"/>
      <c r="AN998" s="1488"/>
      <c r="AO998" s="1488"/>
      <c r="AP998" s="1488"/>
      <c r="AQ998" s="1488"/>
      <c r="AR998" s="1488"/>
      <c r="AS998" s="1488"/>
      <c r="AT998" s="1542"/>
      <c r="AU998" s="1599">
        <f t="shared" si="516"/>
        <v>0</v>
      </c>
      <c r="AV998" s="1544">
        <f t="shared" si="544"/>
        <v>0</v>
      </c>
      <c r="AW998" s="1452">
        <f t="shared" si="517"/>
        <v>0</v>
      </c>
      <c r="AX998" s="1452">
        <f t="shared" si="518"/>
        <v>0</v>
      </c>
      <c r="AY998" s="1452">
        <f t="shared" si="519"/>
        <v>0</v>
      </c>
      <c r="AZ998" s="1452">
        <f t="shared" si="520"/>
        <v>0</v>
      </c>
      <c r="BA998" s="1452">
        <f t="shared" si="521"/>
        <v>0</v>
      </c>
      <c r="BB998" s="1452">
        <f t="shared" si="522"/>
        <v>0</v>
      </c>
      <c r="BC998" s="1452">
        <f t="shared" si="523"/>
        <v>0</v>
      </c>
      <c r="BD998" s="1452">
        <f t="shared" si="524"/>
        <v>0</v>
      </c>
      <c r="BE998" s="1452">
        <f t="shared" si="525"/>
        <v>0</v>
      </c>
      <c r="BF998" s="1452">
        <f t="shared" si="526"/>
        <v>0</v>
      </c>
      <c r="BG998" s="1452">
        <f t="shared" si="527"/>
        <v>0</v>
      </c>
      <c r="BH998" s="1452">
        <f t="shared" si="528"/>
        <v>0</v>
      </c>
      <c r="BI998" s="1452">
        <f t="shared" si="545"/>
        <v>0</v>
      </c>
      <c r="BJ998" s="1452" t="str">
        <f t="shared" si="529"/>
        <v/>
      </c>
      <c r="BK998" s="1452" t="str">
        <f t="shared" si="530"/>
        <v/>
      </c>
      <c r="BL998" s="1452" t="str">
        <f t="shared" si="531"/>
        <v/>
      </c>
      <c r="BM998" s="1452" t="str">
        <f t="shared" si="532"/>
        <v/>
      </c>
      <c r="BN998" s="1452" t="str">
        <f t="shared" ca="1" si="533"/>
        <v/>
      </c>
      <c r="BO998" s="1452" t="str">
        <f t="shared" si="546"/>
        <v/>
      </c>
      <c r="BP998" s="1452" t="str">
        <f t="shared" si="534"/>
        <v/>
      </c>
      <c r="BQ998" s="1452" t="str">
        <f t="shared" si="535"/>
        <v/>
      </c>
      <c r="BR998" s="1452" t="str">
        <f t="shared" si="536"/>
        <v/>
      </c>
      <c r="BS998" s="1452" t="str">
        <f t="shared" si="537"/>
        <v/>
      </c>
      <c r="BT998" s="1452" t="str">
        <f t="shared" si="538"/>
        <v/>
      </c>
      <c r="BU998" s="1452" t="str">
        <f t="shared" si="539"/>
        <v/>
      </c>
      <c r="BV998" s="1452" t="str">
        <f t="shared" si="540"/>
        <v/>
      </c>
      <c r="BW998" s="1558">
        <f t="shared" ca="1" si="547"/>
        <v>0</v>
      </c>
    </row>
    <row r="999" spans="1:75" s="9" customFormat="1" ht="12.5">
      <c r="A999" s="1483" t="str">
        <f t="shared" si="541"/>
        <v>Public Health Wales Trust</v>
      </c>
      <c r="B999" s="1583"/>
      <c r="C999" s="1510"/>
      <c r="D999" s="1494"/>
      <c r="E999" s="1593"/>
      <c r="F999" s="1436"/>
      <c r="G999" s="1547">
        <f t="shared" si="542"/>
        <v>0</v>
      </c>
      <c r="H999" s="1484"/>
      <c r="I999" s="1547">
        <f t="shared" si="543"/>
        <v>0</v>
      </c>
      <c r="J999" s="1495"/>
      <c r="K999" s="1495"/>
      <c r="L999" s="1436"/>
      <c r="M999" s="1439"/>
      <c r="N999" s="1439"/>
      <c r="O999" s="1485"/>
      <c r="P999" s="1486"/>
      <c r="Q999" s="1486"/>
      <c r="R999" s="1487"/>
      <c r="S999" s="1444"/>
      <c r="T999" s="1444"/>
      <c r="U999" s="1444"/>
      <c r="V999" s="1488"/>
      <c r="W999" s="1488"/>
      <c r="X999" s="1488"/>
      <c r="Y999" s="1488"/>
      <c r="Z999" s="1488"/>
      <c r="AA999" s="1488"/>
      <c r="AB999" s="1488"/>
      <c r="AC999" s="1488"/>
      <c r="AD999" s="1488"/>
      <c r="AE999" s="1488"/>
      <c r="AF999" s="1488"/>
      <c r="AG999" s="1488"/>
      <c r="AH999" s="1451">
        <f t="shared" si="515"/>
        <v>0</v>
      </c>
      <c r="AI999" s="1488"/>
      <c r="AJ999" s="1488"/>
      <c r="AK999" s="1488"/>
      <c r="AL999" s="1488"/>
      <c r="AM999" s="1488"/>
      <c r="AN999" s="1488"/>
      <c r="AO999" s="1488"/>
      <c r="AP999" s="1488"/>
      <c r="AQ999" s="1488"/>
      <c r="AR999" s="1488"/>
      <c r="AS999" s="1488"/>
      <c r="AT999" s="1542"/>
      <c r="AU999" s="1599">
        <f t="shared" si="516"/>
        <v>0</v>
      </c>
      <c r="AV999" s="1544">
        <f t="shared" si="544"/>
        <v>0</v>
      </c>
      <c r="AW999" s="1452">
        <f t="shared" si="517"/>
        <v>0</v>
      </c>
      <c r="AX999" s="1452">
        <f t="shared" si="518"/>
        <v>0</v>
      </c>
      <c r="AY999" s="1452">
        <f t="shared" si="519"/>
        <v>0</v>
      </c>
      <c r="AZ999" s="1452">
        <f t="shared" si="520"/>
        <v>0</v>
      </c>
      <c r="BA999" s="1452">
        <f t="shared" si="521"/>
        <v>0</v>
      </c>
      <c r="BB999" s="1452">
        <f t="shared" si="522"/>
        <v>0</v>
      </c>
      <c r="BC999" s="1452">
        <f t="shared" si="523"/>
        <v>0</v>
      </c>
      <c r="BD999" s="1452">
        <f t="shared" si="524"/>
        <v>0</v>
      </c>
      <c r="BE999" s="1452">
        <f t="shared" si="525"/>
        <v>0</v>
      </c>
      <c r="BF999" s="1452">
        <f t="shared" si="526"/>
        <v>0</v>
      </c>
      <c r="BG999" s="1452">
        <f t="shared" si="527"/>
        <v>0</v>
      </c>
      <c r="BH999" s="1452">
        <f t="shared" si="528"/>
        <v>0</v>
      </c>
      <c r="BI999" s="1452">
        <f t="shared" si="545"/>
        <v>0</v>
      </c>
      <c r="BJ999" s="1452" t="str">
        <f t="shared" si="529"/>
        <v/>
      </c>
      <c r="BK999" s="1452" t="str">
        <f t="shared" si="530"/>
        <v/>
      </c>
      <c r="BL999" s="1452" t="str">
        <f t="shared" si="531"/>
        <v/>
      </c>
      <c r="BM999" s="1452" t="str">
        <f t="shared" si="532"/>
        <v/>
      </c>
      <c r="BN999" s="1452" t="str">
        <f t="shared" ca="1" si="533"/>
        <v/>
      </c>
      <c r="BO999" s="1452" t="str">
        <f t="shared" si="546"/>
        <v/>
      </c>
      <c r="BP999" s="1452" t="str">
        <f t="shared" si="534"/>
        <v/>
      </c>
      <c r="BQ999" s="1452" t="str">
        <f t="shared" si="535"/>
        <v/>
      </c>
      <c r="BR999" s="1452" t="str">
        <f t="shared" si="536"/>
        <v/>
      </c>
      <c r="BS999" s="1452" t="str">
        <f t="shared" si="537"/>
        <v/>
      </c>
      <c r="BT999" s="1452" t="str">
        <f t="shared" si="538"/>
        <v/>
      </c>
      <c r="BU999" s="1452" t="str">
        <f t="shared" si="539"/>
        <v/>
      </c>
      <c r="BV999" s="1452" t="str">
        <f t="shared" si="540"/>
        <v/>
      </c>
      <c r="BW999" s="1558">
        <f t="shared" ca="1" si="547"/>
        <v>0</v>
      </c>
    </row>
    <row r="1000" spans="1:75" s="9" customFormat="1" ht="12.5">
      <c r="A1000" s="1483" t="str">
        <f t="shared" si="541"/>
        <v>Public Health Wales Trust</v>
      </c>
      <c r="B1000" s="1583"/>
      <c r="C1000" s="1510"/>
      <c r="D1000" s="1494"/>
      <c r="E1000" s="1593"/>
      <c r="F1000" s="1436"/>
      <c r="G1000" s="1547">
        <f t="shared" si="542"/>
        <v>0</v>
      </c>
      <c r="H1000" s="1484"/>
      <c r="I1000" s="1547">
        <f t="shared" si="543"/>
        <v>0</v>
      </c>
      <c r="J1000" s="1495"/>
      <c r="K1000" s="1495"/>
      <c r="L1000" s="1436"/>
      <c r="M1000" s="1439"/>
      <c r="N1000" s="1439"/>
      <c r="O1000" s="1485"/>
      <c r="P1000" s="1486"/>
      <c r="Q1000" s="1486"/>
      <c r="R1000" s="1487"/>
      <c r="S1000" s="1444"/>
      <c r="T1000" s="1444"/>
      <c r="U1000" s="1444"/>
      <c r="V1000" s="1488"/>
      <c r="W1000" s="1488"/>
      <c r="X1000" s="1488"/>
      <c r="Y1000" s="1488"/>
      <c r="Z1000" s="1488"/>
      <c r="AA1000" s="1488"/>
      <c r="AB1000" s="1488"/>
      <c r="AC1000" s="1488"/>
      <c r="AD1000" s="1488"/>
      <c r="AE1000" s="1488"/>
      <c r="AF1000" s="1488"/>
      <c r="AG1000" s="1488"/>
      <c r="AH1000" s="1451">
        <f t="shared" si="515"/>
        <v>0</v>
      </c>
      <c r="AI1000" s="1488"/>
      <c r="AJ1000" s="1488"/>
      <c r="AK1000" s="1488"/>
      <c r="AL1000" s="1488"/>
      <c r="AM1000" s="1488"/>
      <c r="AN1000" s="1488"/>
      <c r="AO1000" s="1488"/>
      <c r="AP1000" s="1488"/>
      <c r="AQ1000" s="1488"/>
      <c r="AR1000" s="1488"/>
      <c r="AS1000" s="1488"/>
      <c r="AT1000" s="1542"/>
      <c r="AU1000" s="1599">
        <f t="shared" si="516"/>
        <v>0</v>
      </c>
      <c r="AV1000" s="1544">
        <f t="shared" si="544"/>
        <v>0</v>
      </c>
      <c r="AW1000" s="1452">
        <f t="shared" si="517"/>
        <v>0</v>
      </c>
      <c r="AX1000" s="1452">
        <f t="shared" si="518"/>
        <v>0</v>
      </c>
      <c r="AY1000" s="1452">
        <f t="shared" si="519"/>
        <v>0</v>
      </c>
      <c r="AZ1000" s="1452">
        <f t="shared" si="520"/>
        <v>0</v>
      </c>
      <c r="BA1000" s="1452">
        <f t="shared" si="521"/>
        <v>0</v>
      </c>
      <c r="BB1000" s="1452">
        <f t="shared" si="522"/>
        <v>0</v>
      </c>
      <c r="BC1000" s="1452">
        <f t="shared" si="523"/>
        <v>0</v>
      </c>
      <c r="BD1000" s="1452">
        <f t="shared" si="524"/>
        <v>0</v>
      </c>
      <c r="BE1000" s="1452">
        <f t="shared" si="525"/>
        <v>0</v>
      </c>
      <c r="BF1000" s="1452">
        <f t="shared" si="526"/>
        <v>0</v>
      </c>
      <c r="BG1000" s="1452">
        <f t="shared" si="527"/>
        <v>0</v>
      </c>
      <c r="BH1000" s="1452">
        <f t="shared" si="528"/>
        <v>0</v>
      </c>
      <c r="BI1000" s="1452">
        <f t="shared" si="545"/>
        <v>0</v>
      </c>
      <c r="BJ1000" s="1452" t="str">
        <f t="shared" si="529"/>
        <v/>
      </c>
      <c r="BK1000" s="1452" t="str">
        <f t="shared" si="530"/>
        <v/>
      </c>
      <c r="BL1000" s="1452" t="str">
        <f t="shared" si="531"/>
        <v/>
      </c>
      <c r="BM1000" s="1452" t="str">
        <f t="shared" si="532"/>
        <v/>
      </c>
      <c r="BN1000" s="1452" t="str">
        <f t="shared" ca="1" si="533"/>
        <v/>
      </c>
      <c r="BO1000" s="1452" t="str">
        <f t="shared" si="546"/>
        <v/>
      </c>
      <c r="BP1000" s="1452" t="str">
        <f t="shared" si="534"/>
        <v/>
      </c>
      <c r="BQ1000" s="1452" t="str">
        <f t="shared" si="535"/>
        <v/>
      </c>
      <c r="BR1000" s="1452" t="str">
        <f t="shared" si="536"/>
        <v/>
      </c>
      <c r="BS1000" s="1452" t="str">
        <f t="shared" si="537"/>
        <v/>
      </c>
      <c r="BT1000" s="1452" t="str">
        <f t="shared" si="538"/>
        <v/>
      </c>
      <c r="BU1000" s="1452" t="str">
        <f t="shared" si="539"/>
        <v/>
      </c>
      <c r="BV1000" s="1452" t="str">
        <f t="shared" si="540"/>
        <v/>
      </c>
      <c r="BW1000" s="1558">
        <f t="shared" ca="1" si="547"/>
        <v>0</v>
      </c>
    </row>
    <row r="1001" spans="1:75" s="9" customFormat="1" ht="12.5">
      <c r="A1001" s="1483" t="str">
        <f t="shared" si="541"/>
        <v>Public Health Wales Trust</v>
      </c>
      <c r="B1001" s="1583"/>
      <c r="C1001" s="1510"/>
      <c r="D1001" s="1494"/>
      <c r="E1001" s="1593"/>
      <c r="F1001" s="1436"/>
      <c r="G1001" s="1547">
        <f t="shared" si="542"/>
        <v>0</v>
      </c>
      <c r="H1001" s="1484"/>
      <c r="I1001" s="1547">
        <f t="shared" si="543"/>
        <v>0</v>
      </c>
      <c r="J1001" s="1495"/>
      <c r="K1001" s="1495"/>
      <c r="L1001" s="1436"/>
      <c r="M1001" s="1439"/>
      <c r="N1001" s="1439"/>
      <c r="O1001" s="1485"/>
      <c r="P1001" s="1486"/>
      <c r="Q1001" s="1486"/>
      <c r="R1001" s="1487"/>
      <c r="S1001" s="1444"/>
      <c r="T1001" s="1444"/>
      <c r="U1001" s="1444"/>
      <c r="V1001" s="1488"/>
      <c r="W1001" s="1488"/>
      <c r="X1001" s="1488"/>
      <c r="Y1001" s="1488"/>
      <c r="Z1001" s="1488"/>
      <c r="AA1001" s="1488"/>
      <c r="AB1001" s="1488"/>
      <c r="AC1001" s="1488"/>
      <c r="AD1001" s="1488"/>
      <c r="AE1001" s="1488"/>
      <c r="AF1001" s="1488"/>
      <c r="AG1001" s="1488"/>
      <c r="AH1001" s="1451">
        <f t="shared" si="515"/>
        <v>0</v>
      </c>
      <c r="AI1001" s="1488"/>
      <c r="AJ1001" s="1488"/>
      <c r="AK1001" s="1488"/>
      <c r="AL1001" s="1488"/>
      <c r="AM1001" s="1488"/>
      <c r="AN1001" s="1488"/>
      <c r="AO1001" s="1488"/>
      <c r="AP1001" s="1488"/>
      <c r="AQ1001" s="1488"/>
      <c r="AR1001" s="1488"/>
      <c r="AS1001" s="1488"/>
      <c r="AT1001" s="1542"/>
      <c r="AU1001" s="1599">
        <f t="shared" si="516"/>
        <v>0</v>
      </c>
      <c r="AV1001" s="1544">
        <f t="shared" si="544"/>
        <v>0</v>
      </c>
      <c r="AW1001" s="1452">
        <f t="shared" si="517"/>
        <v>0</v>
      </c>
      <c r="AX1001" s="1452">
        <f t="shared" si="518"/>
        <v>0</v>
      </c>
      <c r="AY1001" s="1452">
        <f t="shared" si="519"/>
        <v>0</v>
      </c>
      <c r="AZ1001" s="1452">
        <f t="shared" si="520"/>
        <v>0</v>
      </c>
      <c r="BA1001" s="1452">
        <f t="shared" si="521"/>
        <v>0</v>
      </c>
      <c r="BB1001" s="1452">
        <f t="shared" si="522"/>
        <v>0</v>
      </c>
      <c r="BC1001" s="1452">
        <f t="shared" si="523"/>
        <v>0</v>
      </c>
      <c r="BD1001" s="1452">
        <f t="shared" si="524"/>
        <v>0</v>
      </c>
      <c r="BE1001" s="1452">
        <f t="shared" si="525"/>
        <v>0</v>
      </c>
      <c r="BF1001" s="1452">
        <f t="shared" si="526"/>
        <v>0</v>
      </c>
      <c r="BG1001" s="1452">
        <f t="shared" si="527"/>
        <v>0</v>
      </c>
      <c r="BH1001" s="1452">
        <f t="shared" si="528"/>
        <v>0</v>
      </c>
      <c r="BI1001" s="1452">
        <f t="shared" si="545"/>
        <v>0</v>
      </c>
      <c r="BJ1001" s="1452" t="str">
        <f t="shared" si="529"/>
        <v/>
      </c>
      <c r="BK1001" s="1452" t="str">
        <f t="shared" si="530"/>
        <v/>
      </c>
      <c r="BL1001" s="1452" t="str">
        <f t="shared" si="531"/>
        <v/>
      </c>
      <c r="BM1001" s="1452" t="str">
        <f t="shared" si="532"/>
        <v/>
      </c>
      <c r="BN1001" s="1452" t="str">
        <f t="shared" ca="1" si="533"/>
        <v/>
      </c>
      <c r="BO1001" s="1452" t="str">
        <f t="shared" si="546"/>
        <v/>
      </c>
      <c r="BP1001" s="1452" t="str">
        <f t="shared" si="534"/>
        <v/>
      </c>
      <c r="BQ1001" s="1452" t="str">
        <f t="shared" si="535"/>
        <v/>
      </c>
      <c r="BR1001" s="1452" t="str">
        <f t="shared" si="536"/>
        <v/>
      </c>
      <c r="BS1001" s="1452" t="str">
        <f t="shared" si="537"/>
        <v/>
      </c>
      <c r="BT1001" s="1452" t="str">
        <f t="shared" si="538"/>
        <v/>
      </c>
      <c r="BU1001" s="1452" t="str">
        <f t="shared" si="539"/>
        <v/>
      </c>
      <c r="BV1001" s="1452" t="str">
        <f t="shared" si="540"/>
        <v/>
      </c>
      <c r="BW1001" s="1558">
        <f t="shared" ca="1" si="547"/>
        <v>0</v>
      </c>
    </row>
    <row r="1002" spans="1:75" s="9" customFormat="1" ht="12.5">
      <c r="A1002" s="1483" t="str">
        <f t="shared" si="541"/>
        <v>Public Health Wales Trust</v>
      </c>
      <c r="B1002" s="1583"/>
      <c r="C1002" s="1510"/>
      <c r="D1002" s="1494"/>
      <c r="E1002" s="1593"/>
      <c r="F1002" s="1436"/>
      <c r="G1002" s="1547">
        <f t="shared" si="542"/>
        <v>0</v>
      </c>
      <c r="H1002" s="1484"/>
      <c r="I1002" s="1547">
        <f t="shared" si="543"/>
        <v>0</v>
      </c>
      <c r="J1002" s="1495"/>
      <c r="K1002" s="1495"/>
      <c r="L1002" s="1436"/>
      <c r="M1002" s="1439"/>
      <c r="N1002" s="1439"/>
      <c r="O1002" s="1485"/>
      <c r="P1002" s="1486"/>
      <c r="Q1002" s="1486"/>
      <c r="R1002" s="1487"/>
      <c r="S1002" s="1444"/>
      <c r="T1002" s="1444"/>
      <c r="U1002" s="1444"/>
      <c r="V1002" s="1488"/>
      <c r="W1002" s="1488"/>
      <c r="X1002" s="1488"/>
      <c r="Y1002" s="1488"/>
      <c r="Z1002" s="1488"/>
      <c r="AA1002" s="1488"/>
      <c r="AB1002" s="1488"/>
      <c r="AC1002" s="1488"/>
      <c r="AD1002" s="1488"/>
      <c r="AE1002" s="1488"/>
      <c r="AF1002" s="1488"/>
      <c r="AG1002" s="1488"/>
      <c r="AH1002" s="1451">
        <f t="shared" si="515"/>
        <v>0</v>
      </c>
      <c r="AI1002" s="1488"/>
      <c r="AJ1002" s="1488"/>
      <c r="AK1002" s="1488"/>
      <c r="AL1002" s="1488"/>
      <c r="AM1002" s="1488"/>
      <c r="AN1002" s="1488"/>
      <c r="AO1002" s="1488"/>
      <c r="AP1002" s="1488"/>
      <c r="AQ1002" s="1488"/>
      <c r="AR1002" s="1488"/>
      <c r="AS1002" s="1488"/>
      <c r="AT1002" s="1542"/>
      <c r="AU1002" s="1599">
        <f t="shared" si="516"/>
        <v>0</v>
      </c>
      <c r="AV1002" s="1544">
        <f t="shared" si="544"/>
        <v>0</v>
      </c>
      <c r="AW1002" s="1452">
        <f t="shared" si="517"/>
        <v>0</v>
      </c>
      <c r="AX1002" s="1452">
        <f t="shared" si="518"/>
        <v>0</v>
      </c>
      <c r="AY1002" s="1452">
        <f t="shared" si="519"/>
        <v>0</v>
      </c>
      <c r="AZ1002" s="1452">
        <f t="shared" si="520"/>
        <v>0</v>
      </c>
      <c r="BA1002" s="1452">
        <f t="shared" si="521"/>
        <v>0</v>
      </c>
      <c r="BB1002" s="1452">
        <f t="shared" si="522"/>
        <v>0</v>
      </c>
      <c r="BC1002" s="1452">
        <f t="shared" si="523"/>
        <v>0</v>
      </c>
      <c r="BD1002" s="1452">
        <f t="shared" si="524"/>
        <v>0</v>
      </c>
      <c r="BE1002" s="1452">
        <f t="shared" si="525"/>
        <v>0</v>
      </c>
      <c r="BF1002" s="1452">
        <f t="shared" si="526"/>
        <v>0</v>
      </c>
      <c r="BG1002" s="1452">
        <f t="shared" si="527"/>
        <v>0</v>
      </c>
      <c r="BH1002" s="1452">
        <f t="shared" si="528"/>
        <v>0</v>
      </c>
      <c r="BI1002" s="1452">
        <f t="shared" si="545"/>
        <v>0</v>
      </c>
      <c r="BJ1002" s="1452" t="str">
        <f t="shared" si="529"/>
        <v/>
      </c>
      <c r="BK1002" s="1452" t="str">
        <f t="shared" si="530"/>
        <v/>
      </c>
      <c r="BL1002" s="1452" t="str">
        <f t="shared" si="531"/>
        <v/>
      </c>
      <c r="BM1002" s="1452" t="str">
        <f t="shared" si="532"/>
        <v/>
      </c>
      <c r="BN1002" s="1452" t="str">
        <f t="shared" ca="1" si="533"/>
        <v/>
      </c>
      <c r="BO1002" s="1452" t="str">
        <f t="shared" si="546"/>
        <v/>
      </c>
      <c r="BP1002" s="1452" t="str">
        <f t="shared" si="534"/>
        <v/>
      </c>
      <c r="BQ1002" s="1452" t="str">
        <f t="shared" si="535"/>
        <v/>
      </c>
      <c r="BR1002" s="1452" t="str">
        <f t="shared" si="536"/>
        <v/>
      </c>
      <c r="BS1002" s="1452" t="str">
        <f t="shared" si="537"/>
        <v/>
      </c>
      <c r="BT1002" s="1452" t="str">
        <f t="shared" si="538"/>
        <v/>
      </c>
      <c r="BU1002" s="1452" t="str">
        <f t="shared" si="539"/>
        <v/>
      </c>
      <c r="BV1002" s="1452" t="str">
        <f t="shared" si="540"/>
        <v/>
      </c>
      <c r="BW1002" s="1558">
        <f t="shared" ca="1" si="547"/>
        <v>0</v>
      </c>
    </row>
    <row r="1003" spans="1:75" s="9" customFormat="1" ht="12.5">
      <c r="A1003" s="1483" t="str">
        <f t="shared" si="541"/>
        <v>Public Health Wales Trust</v>
      </c>
      <c r="B1003" s="1583"/>
      <c r="C1003" s="1510"/>
      <c r="D1003" s="1494"/>
      <c r="E1003" s="1593"/>
      <c r="F1003" s="1436"/>
      <c r="G1003" s="1547">
        <f t="shared" si="542"/>
        <v>0</v>
      </c>
      <c r="H1003" s="1484"/>
      <c r="I1003" s="1547">
        <f t="shared" si="543"/>
        <v>0</v>
      </c>
      <c r="J1003" s="1495"/>
      <c r="K1003" s="1495"/>
      <c r="L1003" s="1436"/>
      <c r="M1003" s="1439"/>
      <c r="N1003" s="1439"/>
      <c r="O1003" s="1485"/>
      <c r="P1003" s="1486"/>
      <c r="Q1003" s="1486"/>
      <c r="R1003" s="1487"/>
      <c r="S1003" s="1444"/>
      <c r="T1003" s="1444"/>
      <c r="U1003" s="1444"/>
      <c r="V1003" s="1488"/>
      <c r="W1003" s="1488"/>
      <c r="X1003" s="1488"/>
      <c r="Y1003" s="1488"/>
      <c r="Z1003" s="1488"/>
      <c r="AA1003" s="1488"/>
      <c r="AB1003" s="1488"/>
      <c r="AC1003" s="1488"/>
      <c r="AD1003" s="1488"/>
      <c r="AE1003" s="1488"/>
      <c r="AF1003" s="1488"/>
      <c r="AG1003" s="1488"/>
      <c r="AH1003" s="1451">
        <f t="shared" ref="AH1003:AH1066" si="548">SUM(V1003:AG1003)</f>
        <v>0</v>
      </c>
      <c r="AI1003" s="1488"/>
      <c r="AJ1003" s="1488"/>
      <c r="AK1003" s="1488"/>
      <c r="AL1003" s="1488"/>
      <c r="AM1003" s="1488"/>
      <c r="AN1003" s="1488"/>
      <c r="AO1003" s="1488"/>
      <c r="AP1003" s="1488"/>
      <c r="AQ1003" s="1488"/>
      <c r="AR1003" s="1488"/>
      <c r="AS1003" s="1488"/>
      <c r="AT1003" s="1542"/>
      <c r="AU1003" s="1599">
        <f t="shared" ref="AU1003:AU1066" si="549">SUMPRODUCT($AC$40:$AN$40,AI1003:AT1003)</f>
        <v>0</v>
      </c>
      <c r="AV1003" s="1544">
        <f t="shared" si="544"/>
        <v>0</v>
      </c>
      <c r="AW1003" s="1452">
        <f t="shared" ref="AW1003:AW1066" si="550">AI1003-V1003</f>
        <v>0</v>
      </c>
      <c r="AX1003" s="1452">
        <f t="shared" ref="AX1003:AX1066" si="551">AJ1003-W1003</f>
        <v>0</v>
      </c>
      <c r="AY1003" s="1452">
        <f t="shared" ref="AY1003:AY1066" si="552">AK1003-X1003</f>
        <v>0</v>
      </c>
      <c r="AZ1003" s="1452">
        <f t="shared" ref="AZ1003:AZ1066" si="553">AL1003-Y1003</f>
        <v>0</v>
      </c>
      <c r="BA1003" s="1452">
        <f t="shared" ref="BA1003:BA1066" si="554">AM1003-Z1003</f>
        <v>0</v>
      </c>
      <c r="BB1003" s="1452">
        <f t="shared" ref="BB1003:BB1066" si="555">AN1003-AA1003</f>
        <v>0</v>
      </c>
      <c r="BC1003" s="1452">
        <f t="shared" ref="BC1003:BC1066" si="556">AO1003-AB1003</f>
        <v>0</v>
      </c>
      <c r="BD1003" s="1452">
        <f t="shared" ref="BD1003:BD1066" si="557">AP1003-AC1003</f>
        <v>0</v>
      </c>
      <c r="BE1003" s="1452">
        <f t="shared" ref="BE1003:BE1066" si="558">AQ1003-AD1003</f>
        <v>0</v>
      </c>
      <c r="BF1003" s="1452">
        <f t="shared" ref="BF1003:BF1066" si="559">AR1003-AE1003</f>
        <v>0</v>
      </c>
      <c r="BG1003" s="1452">
        <f t="shared" ref="BG1003:BG1066" si="560">AS1003-AF1003</f>
        <v>0</v>
      </c>
      <c r="BH1003" s="1452">
        <f t="shared" ref="BH1003:BH1066" si="561">AT1003-AG1003</f>
        <v>0</v>
      </c>
      <c r="BI1003" s="1452">
        <f t="shared" si="545"/>
        <v>0</v>
      </c>
      <c r="BJ1003" s="1452" t="str">
        <f t="shared" ref="BJ1003:BJ1066" si="562">IF(OR(G1003&gt;0,I1003&gt;0),IF(AND(B1003&lt;&gt;"",C1003&lt;&gt;"",D1003&lt;&gt;"",E1003&lt;&gt;"",F1003&lt;&gt;"",L1003&lt;&gt;"",M1003&lt;&gt;"",N1003&lt;&gt;"",O1003&lt;&gt;"",P1003&lt;&gt;"",Q1003&lt;&gt;"",R1003&lt;&gt;""),"","ERROR"),"")</f>
        <v/>
      </c>
      <c r="BK1003" s="1452" t="str">
        <f t="shared" ref="BK1003:BK1066" si="563">IF(COUNTIF($D$43:$D$1496,D1003)&gt;1,"ERROR","")</f>
        <v/>
      </c>
      <c r="BL1003" s="1452" t="str">
        <f t="shared" ref="BL1003:BL1066" si="564">IF(AND(OR(R1003=$CQ$1,R1003=$CQ$3),S1003=""),"ERROR","")</f>
        <v/>
      </c>
      <c r="BM1003" s="1452" t="str">
        <f t="shared" ref="BM1003:BM1066" si="565">IF(AND(OR(R1003=$CQ$2),S1003&lt;&gt;""),"ERROR","")</f>
        <v/>
      </c>
      <c r="BN1003" s="1452" t="str">
        <f t="shared" ref="BN1003:BN1066" ca="1" si="566">IF(AND(O1003=$CA$2,N1003&lt;TODAY()),"ERROR","")</f>
        <v/>
      </c>
      <c r="BO1003" s="1452" t="str">
        <f t="shared" si="546"/>
        <v/>
      </c>
      <c r="BP1003" s="1452" t="str">
        <f t="shared" ref="BP1003:BP1066" si="567">IF(AND(F1003=$BZ$1,G1003&gt;H1003),"ERROR","")</f>
        <v/>
      </c>
      <c r="BQ1003" s="1452" t="str">
        <f t="shared" ref="BQ1003:BQ1066" si="568">IF(AND(F1003=$BZ$1,I1003&gt;J1003),"ERROR","")</f>
        <v/>
      </c>
      <c r="BR1003" s="1452" t="str">
        <f t="shared" ref="BR1003:BR1066" si="569">IF(AND(F1003=$BZ$2,SUM(H1003,J1003)&gt;0),"ERROR","")</f>
        <v/>
      </c>
      <c r="BS1003" s="1452" t="str">
        <f t="shared" ref="BS1003:BS1066" si="570">IF(AND(I1003=0,J1003&gt;0),"ERROR","")</f>
        <v/>
      </c>
      <c r="BT1003" s="1452" t="str">
        <f t="shared" ref="BT1003:BT1066" si="571">IF(AND(O1003=$CA$1,K1003&lt;&gt;0),"ERROR","")</f>
        <v/>
      </c>
      <c r="BU1003" s="1452" t="str">
        <f t="shared" ref="BU1003:BU1066" si="572">IF(AND(O1003=$CA$2,I1003-AU1003-K1003&lt;0),"ERROR","")</f>
        <v/>
      </c>
      <c r="BV1003" s="1452" t="str">
        <f t="shared" ref="BV1003:BV1066" si="573">IF(S1003="","",VLOOKUP(S1003,$CS$1:$CT$14,2,0))</f>
        <v/>
      </c>
      <c r="BW1003" s="1558">
        <f t="shared" ca="1" si="547"/>
        <v>0</v>
      </c>
    </row>
    <row r="1004" spans="1:75" s="9" customFormat="1" ht="12.5">
      <c r="A1004" s="1483" t="str">
        <f t="shared" ref="A1004:A1067" si="574">$A$1</f>
        <v>Public Health Wales Trust</v>
      </c>
      <c r="B1004" s="1583"/>
      <c r="C1004" s="1510"/>
      <c r="D1004" s="1494"/>
      <c r="E1004" s="1593"/>
      <c r="F1004" s="1436"/>
      <c r="G1004" s="1547">
        <f t="shared" ref="G1004:G1067" si="575">AH1004</f>
        <v>0</v>
      </c>
      <c r="H1004" s="1484"/>
      <c r="I1004" s="1547">
        <f t="shared" ref="I1004:I1067" si="576">AV1004</f>
        <v>0</v>
      </c>
      <c r="J1004" s="1495"/>
      <c r="K1004" s="1495"/>
      <c r="L1004" s="1436"/>
      <c r="M1004" s="1439"/>
      <c r="N1004" s="1439"/>
      <c r="O1004" s="1485"/>
      <c r="P1004" s="1486"/>
      <c r="Q1004" s="1486"/>
      <c r="R1004" s="1487"/>
      <c r="S1004" s="1444"/>
      <c r="T1004" s="1444"/>
      <c r="U1004" s="1444"/>
      <c r="V1004" s="1488"/>
      <c r="W1004" s="1488"/>
      <c r="X1004" s="1488"/>
      <c r="Y1004" s="1488"/>
      <c r="Z1004" s="1488"/>
      <c r="AA1004" s="1488"/>
      <c r="AB1004" s="1488"/>
      <c r="AC1004" s="1488"/>
      <c r="AD1004" s="1488"/>
      <c r="AE1004" s="1488"/>
      <c r="AF1004" s="1488"/>
      <c r="AG1004" s="1488"/>
      <c r="AH1004" s="1451">
        <f t="shared" si="548"/>
        <v>0</v>
      </c>
      <c r="AI1004" s="1488"/>
      <c r="AJ1004" s="1488"/>
      <c r="AK1004" s="1488"/>
      <c r="AL1004" s="1488"/>
      <c r="AM1004" s="1488"/>
      <c r="AN1004" s="1488"/>
      <c r="AO1004" s="1488"/>
      <c r="AP1004" s="1488"/>
      <c r="AQ1004" s="1488"/>
      <c r="AR1004" s="1488"/>
      <c r="AS1004" s="1488"/>
      <c r="AT1004" s="1542"/>
      <c r="AU1004" s="1599">
        <f t="shared" si="549"/>
        <v>0</v>
      </c>
      <c r="AV1004" s="1544">
        <f t="shared" ref="AV1004:AV1067" si="577">SUM(AI1004:AT1004)</f>
        <v>0</v>
      </c>
      <c r="AW1004" s="1452">
        <f t="shared" si="550"/>
        <v>0</v>
      </c>
      <c r="AX1004" s="1452">
        <f t="shared" si="551"/>
        <v>0</v>
      </c>
      <c r="AY1004" s="1452">
        <f t="shared" si="552"/>
        <v>0</v>
      </c>
      <c r="AZ1004" s="1452">
        <f t="shared" si="553"/>
        <v>0</v>
      </c>
      <c r="BA1004" s="1452">
        <f t="shared" si="554"/>
        <v>0</v>
      </c>
      <c r="BB1004" s="1452">
        <f t="shared" si="555"/>
        <v>0</v>
      </c>
      <c r="BC1004" s="1452">
        <f t="shared" si="556"/>
        <v>0</v>
      </c>
      <c r="BD1004" s="1452">
        <f t="shared" si="557"/>
        <v>0</v>
      </c>
      <c r="BE1004" s="1452">
        <f t="shared" si="558"/>
        <v>0</v>
      </c>
      <c r="BF1004" s="1452">
        <f t="shared" si="559"/>
        <v>0</v>
      </c>
      <c r="BG1004" s="1452">
        <f t="shared" si="560"/>
        <v>0</v>
      </c>
      <c r="BH1004" s="1452">
        <f t="shared" si="561"/>
        <v>0</v>
      </c>
      <c r="BI1004" s="1452">
        <f t="shared" ref="BI1004:BI1067" si="578">SUM(AW1004:BH1004)</f>
        <v>0</v>
      </c>
      <c r="BJ1004" s="1452" t="str">
        <f t="shared" si="562"/>
        <v/>
      </c>
      <c r="BK1004" s="1452" t="str">
        <f t="shared" si="563"/>
        <v/>
      </c>
      <c r="BL1004" s="1452" t="str">
        <f t="shared" si="564"/>
        <v/>
      </c>
      <c r="BM1004" s="1452" t="str">
        <f t="shared" si="565"/>
        <v/>
      </c>
      <c r="BN1004" s="1452" t="str">
        <f t="shared" ca="1" si="566"/>
        <v/>
      </c>
      <c r="BO1004" s="1452" t="str">
        <f t="shared" ref="BO1004:BO1067" si="579">IF(AND(AV1004&gt;0,AH1004=0),"ERROR","")</f>
        <v/>
      </c>
      <c r="BP1004" s="1452" t="str">
        <f t="shared" si="567"/>
        <v/>
      </c>
      <c r="BQ1004" s="1452" t="str">
        <f t="shared" si="568"/>
        <v/>
      </c>
      <c r="BR1004" s="1452" t="str">
        <f t="shared" si="569"/>
        <v/>
      </c>
      <c r="BS1004" s="1452" t="str">
        <f t="shared" si="570"/>
        <v/>
      </c>
      <c r="BT1004" s="1452" t="str">
        <f t="shared" si="571"/>
        <v/>
      </c>
      <c r="BU1004" s="1452" t="str">
        <f t="shared" si="572"/>
        <v/>
      </c>
      <c r="BV1004" s="1452" t="str">
        <f t="shared" si="573"/>
        <v/>
      </c>
      <c r="BW1004" s="1558">
        <f t="shared" ref="BW1004:BW1067" ca="1" si="580">COUNTIF(BJ1004:BU1004,"ERROR")</f>
        <v>0</v>
      </c>
    </row>
    <row r="1005" spans="1:75" s="9" customFormat="1" ht="12.5">
      <c r="A1005" s="1483" t="str">
        <f t="shared" si="574"/>
        <v>Public Health Wales Trust</v>
      </c>
      <c r="B1005" s="1583"/>
      <c r="C1005" s="1510"/>
      <c r="D1005" s="1498"/>
      <c r="E1005" s="1436"/>
      <c r="F1005" s="1436"/>
      <c r="G1005" s="1547">
        <f t="shared" si="575"/>
        <v>0</v>
      </c>
      <c r="H1005" s="1484"/>
      <c r="I1005" s="1547">
        <f t="shared" si="576"/>
        <v>0</v>
      </c>
      <c r="J1005" s="1496"/>
      <c r="K1005" s="1496"/>
      <c r="L1005" s="1436"/>
      <c r="M1005" s="1439"/>
      <c r="N1005" s="1439"/>
      <c r="O1005" s="1485"/>
      <c r="P1005" s="1486"/>
      <c r="Q1005" s="1486"/>
      <c r="R1005" s="1487"/>
      <c r="S1005" s="1444"/>
      <c r="T1005" s="1444"/>
      <c r="U1005" s="1444"/>
      <c r="V1005" s="1488"/>
      <c r="W1005" s="1488"/>
      <c r="X1005" s="1488"/>
      <c r="Y1005" s="1488"/>
      <c r="Z1005" s="1488"/>
      <c r="AA1005" s="1488"/>
      <c r="AB1005" s="1488"/>
      <c r="AC1005" s="1488"/>
      <c r="AD1005" s="1488"/>
      <c r="AE1005" s="1488"/>
      <c r="AF1005" s="1488"/>
      <c r="AG1005" s="1488"/>
      <c r="AH1005" s="1451">
        <f t="shared" si="548"/>
        <v>0</v>
      </c>
      <c r="AI1005" s="1488"/>
      <c r="AJ1005" s="1488"/>
      <c r="AK1005" s="1488"/>
      <c r="AL1005" s="1488"/>
      <c r="AM1005" s="1488"/>
      <c r="AN1005" s="1488"/>
      <c r="AO1005" s="1488"/>
      <c r="AP1005" s="1488"/>
      <c r="AQ1005" s="1488"/>
      <c r="AR1005" s="1488"/>
      <c r="AS1005" s="1488"/>
      <c r="AT1005" s="1542"/>
      <c r="AU1005" s="1599">
        <f t="shared" si="549"/>
        <v>0</v>
      </c>
      <c r="AV1005" s="1544">
        <f t="shared" si="577"/>
        <v>0</v>
      </c>
      <c r="AW1005" s="1452">
        <f t="shared" si="550"/>
        <v>0</v>
      </c>
      <c r="AX1005" s="1452">
        <f t="shared" si="551"/>
        <v>0</v>
      </c>
      <c r="AY1005" s="1452">
        <f t="shared" si="552"/>
        <v>0</v>
      </c>
      <c r="AZ1005" s="1452">
        <f t="shared" si="553"/>
        <v>0</v>
      </c>
      <c r="BA1005" s="1452">
        <f t="shared" si="554"/>
        <v>0</v>
      </c>
      <c r="BB1005" s="1452">
        <f t="shared" si="555"/>
        <v>0</v>
      </c>
      <c r="BC1005" s="1452">
        <f t="shared" si="556"/>
        <v>0</v>
      </c>
      <c r="BD1005" s="1452">
        <f t="shared" si="557"/>
        <v>0</v>
      </c>
      <c r="BE1005" s="1452">
        <f t="shared" si="558"/>
        <v>0</v>
      </c>
      <c r="BF1005" s="1452">
        <f t="shared" si="559"/>
        <v>0</v>
      </c>
      <c r="BG1005" s="1452">
        <f t="shared" si="560"/>
        <v>0</v>
      </c>
      <c r="BH1005" s="1452">
        <f t="shared" si="561"/>
        <v>0</v>
      </c>
      <c r="BI1005" s="1452">
        <f t="shared" si="578"/>
        <v>0</v>
      </c>
      <c r="BJ1005" s="1452" t="str">
        <f t="shared" si="562"/>
        <v/>
      </c>
      <c r="BK1005" s="1452" t="str">
        <f t="shared" si="563"/>
        <v/>
      </c>
      <c r="BL1005" s="1452" t="str">
        <f t="shared" si="564"/>
        <v/>
      </c>
      <c r="BM1005" s="1452" t="str">
        <f t="shared" si="565"/>
        <v/>
      </c>
      <c r="BN1005" s="1452" t="str">
        <f t="shared" ca="1" si="566"/>
        <v/>
      </c>
      <c r="BO1005" s="1452" t="str">
        <f t="shared" si="579"/>
        <v/>
      </c>
      <c r="BP1005" s="1452" t="str">
        <f t="shared" si="567"/>
        <v/>
      </c>
      <c r="BQ1005" s="1452" t="str">
        <f t="shared" si="568"/>
        <v/>
      </c>
      <c r="BR1005" s="1452" t="str">
        <f t="shared" si="569"/>
        <v/>
      </c>
      <c r="BS1005" s="1452" t="str">
        <f t="shared" si="570"/>
        <v/>
      </c>
      <c r="BT1005" s="1452" t="str">
        <f t="shared" si="571"/>
        <v/>
      </c>
      <c r="BU1005" s="1452" t="str">
        <f t="shared" si="572"/>
        <v/>
      </c>
      <c r="BV1005" s="1452" t="str">
        <f t="shared" si="573"/>
        <v/>
      </c>
      <c r="BW1005" s="1558">
        <f t="shared" ca="1" si="580"/>
        <v>0</v>
      </c>
    </row>
    <row r="1006" spans="1:75" s="9" customFormat="1" ht="12.5">
      <c r="A1006" s="1483" t="str">
        <f t="shared" si="574"/>
        <v>Public Health Wales Trust</v>
      </c>
      <c r="B1006" s="1583"/>
      <c r="C1006" s="1510"/>
      <c r="D1006" s="1498"/>
      <c r="E1006" s="1436"/>
      <c r="F1006" s="1436"/>
      <c r="G1006" s="1547">
        <f t="shared" si="575"/>
        <v>0</v>
      </c>
      <c r="H1006" s="1484"/>
      <c r="I1006" s="1547">
        <f t="shared" si="576"/>
        <v>0</v>
      </c>
      <c r="J1006" s="1495"/>
      <c r="K1006" s="1495"/>
      <c r="L1006" s="1436"/>
      <c r="M1006" s="1439"/>
      <c r="N1006" s="1439"/>
      <c r="O1006" s="1485"/>
      <c r="P1006" s="1486"/>
      <c r="Q1006" s="1486"/>
      <c r="R1006" s="1487"/>
      <c r="S1006" s="1444"/>
      <c r="T1006" s="1444"/>
      <c r="U1006" s="1444"/>
      <c r="V1006" s="1488"/>
      <c r="W1006" s="1488"/>
      <c r="X1006" s="1488"/>
      <c r="Y1006" s="1488"/>
      <c r="Z1006" s="1488"/>
      <c r="AA1006" s="1488"/>
      <c r="AB1006" s="1488"/>
      <c r="AC1006" s="1488"/>
      <c r="AD1006" s="1488"/>
      <c r="AE1006" s="1488"/>
      <c r="AF1006" s="1488"/>
      <c r="AG1006" s="1488"/>
      <c r="AH1006" s="1451">
        <f t="shared" si="548"/>
        <v>0</v>
      </c>
      <c r="AI1006" s="1488"/>
      <c r="AJ1006" s="1488"/>
      <c r="AK1006" s="1488"/>
      <c r="AL1006" s="1488"/>
      <c r="AM1006" s="1488"/>
      <c r="AN1006" s="1488"/>
      <c r="AO1006" s="1488"/>
      <c r="AP1006" s="1488"/>
      <c r="AQ1006" s="1488"/>
      <c r="AR1006" s="1488"/>
      <c r="AS1006" s="1488"/>
      <c r="AT1006" s="1542"/>
      <c r="AU1006" s="1599">
        <f t="shared" si="549"/>
        <v>0</v>
      </c>
      <c r="AV1006" s="1544">
        <f t="shared" si="577"/>
        <v>0</v>
      </c>
      <c r="AW1006" s="1452">
        <f t="shared" si="550"/>
        <v>0</v>
      </c>
      <c r="AX1006" s="1452">
        <f t="shared" si="551"/>
        <v>0</v>
      </c>
      <c r="AY1006" s="1452">
        <f t="shared" si="552"/>
        <v>0</v>
      </c>
      <c r="AZ1006" s="1452">
        <f t="shared" si="553"/>
        <v>0</v>
      </c>
      <c r="BA1006" s="1452">
        <f t="shared" si="554"/>
        <v>0</v>
      </c>
      <c r="BB1006" s="1452">
        <f t="shared" si="555"/>
        <v>0</v>
      </c>
      <c r="BC1006" s="1452">
        <f t="shared" si="556"/>
        <v>0</v>
      </c>
      <c r="BD1006" s="1452">
        <f t="shared" si="557"/>
        <v>0</v>
      </c>
      <c r="BE1006" s="1452">
        <f t="shared" si="558"/>
        <v>0</v>
      </c>
      <c r="BF1006" s="1452">
        <f t="shared" si="559"/>
        <v>0</v>
      </c>
      <c r="BG1006" s="1452">
        <f t="shared" si="560"/>
        <v>0</v>
      </c>
      <c r="BH1006" s="1452">
        <f t="shared" si="561"/>
        <v>0</v>
      </c>
      <c r="BI1006" s="1452">
        <f t="shared" si="578"/>
        <v>0</v>
      </c>
      <c r="BJ1006" s="1452" t="str">
        <f t="shared" si="562"/>
        <v/>
      </c>
      <c r="BK1006" s="1452" t="str">
        <f t="shared" si="563"/>
        <v/>
      </c>
      <c r="BL1006" s="1452" t="str">
        <f t="shared" si="564"/>
        <v/>
      </c>
      <c r="BM1006" s="1452" t="str">
        <f t="shared" si="565"/>
        <v/>
      </c>
      <c r="BN1006" s="1452" t="str">
        <f t="shared" ca="1" si="566"/>
        <v/>
      </c>
      <c r="BO1006" s="1452" t="str">
        <f t="shared" si="579"/>
        <v/>
      </c>
      <c r="BP1006" s="1452" t="str">
        <f t="shared" si="567"/>
        <v/>
      </c>
      <c r="BQ1006" s="1452" t="str">
        <f t="shared" si="568"/>
        <v/>
      </c>
      <c r="BR1006" s="1452" t="str">
        <f t="shared" si="569"/>
        <v/>
      </c>
      <c r="BS1006" s="1452" t="str">
        <f t="shared" si="570"/>
        <v/>
      </c>
      <c r="BT1006" s="1452" t="str">
        <f t="shared" si="571"/>
        <v/>
      </c>
      <c r="BU1006" s="1452" t="str">
        <f t="shared" si="572"/>
        <v/>
      </c>
      <c r="BV1006" s="1452" t="str">
        <f t="shared" si="573"/>
        <v/>
      </c>
      <c r="BW1006" s="1558">
        <f t="shared" ca="1" si="580"/>
        <v>0</v>
      </c>
    </row>
    <row r="1007" spans="1:75" s="9" customFormat="1" ht="12.5">
      <c r="A1007" s="1483" t="str">
        <f t="shared" si="574"/>
        <v>Public Health Wales Trust</v>
      </c>
      <c r="B1007" s="1583"/>
      <c r="C1007" s="1510"/>
      <c r="D1007" s="1498"/>
      <c r="E1007" s="1436"/>
      <c r="F1007" s="1436"/>
      <c r="G1007" s="1547">
        <f t="shared" si="575"/>
        <v>0</v>
      </c>
      <c r="H1007" s="1484"/>
      <c r="I1007" s="1547">
        <f t="shared" si="576"/>
        <v>0</v>
      </c>
      <c r="J1007" s="1495"/>
      <c r="K1007" s="1495"/>
      <c r="L1007" s="1436"/>
      <c r="M1007" s="1439"/>
      <c r="N1007" s="1439"/>
      <c r="O1007" s="1485"/>
      <c r="P1007" s="1486"/>
      <c r="Q1007" s="1486"/>
      <c r="R1007" s="1487"/>
      <c r="S1007" s="1444"/>
      <c r="T1007" s="1444"/>
      <c r="U1007" s="1444"/>
      <c r="V1007" s="1488"/>
      <c r="W1007" s="1488"/>
      <c r="X1007" s="1488"/>
      <c r="Y1007" s="1488"/>
      <c r="Z1007" s="1488"/>
      <c r="AA1007" s="1488"/>
      <c r="AB1007" s="1488"/>
      <c r="AC1007" s="1488"/>
      <c r="AD1007" s="1488"/>
      <c r="AE1007" s="1488"/>
      <c r="AF1007" s="1488"/>
      <c r="AG1007" s="1488"/>
      <c r="AH1007" s="1451">
        <f t="shared" si="548"/>
        <v>0</v>
      </c>
      <c r="AI1007" s="1488"/>
      <c r="AJ1007" s="1488"/>
      <c r="AK1007" s="1488"/>
      <c r="AL1007" s="1488"/>
      <c r="AM1007" s="1488"/>
      <c r="AN1007" s="1488"/>
      <c r="AO1007" s="1488"/>
      <c r="AP1007" s="1488"/>
      <c r="AQ1007" s="1488"/>
      <c r="AR1007" s="1488"/>
      <c r="AS1007" s="1488"/>
      <c r="AT1007" s="1542"/>
      <c r="AU1007" s="1599">
        <f t="shared" si="549"/>
        <v>0</v>
      </c>
      <c r="AV1007" s="1544">
        <f t="shared" si="577"/>
        <v>0</v>
      </c>
      <c r="AW1007" s="1452">
        <f t="shared" si="550"/>
        <v>0</v>
      </c>
      <c r="AX1007" s="1452">
        <f t="shared" si="551"/>
        <v>0</v>
      </c>
      <c r="AY1007" s="1452">
        <f t="shared" si="552"/>
        <v>0</v>
      </c>
      <c r="AZ1007" s="1452">
        <f t="shared" si="553"/>
        <v>0</v>
      </c>
      <c r="BA1007" s="1452">
        <f t="shared" si="554"/>
        <v>0</v>
      </c>
      <c r="BB1007" s="1452">
        <f t="shared" si="555"/>
        <v>0</v>
      </c>
      <c r="BC1007" s="1452">
        <f t="shared" si="556"/>
        <v>0</v>
      </c>
      <c r="BD1007" s="1452">
        <f t="shared" si="557"/>
        <v>0</v>
      </c>
      <c r="BE1007" s="1452">
        <f t="shared" si="558"/>
        <v>0</v>
      </c>
      <c r="BF1007" s="1452">
        <f t="shared" si="559"/>
        <v>0</v>
      </c>
      <c r="BG1007" s="1452">
        <f t="shared" si="560"/>
        <v>0</v>
      </c>
      <c r="BH1007" s="1452">
        <f t="shared" si="561"/>
        <v>0</v>
      </c>
      <c r="BI1007" s="1452">
        <f t="shared" si="578"/>
        <v>0</v>
      </c>
      <c r="BJ1007" s="1452" t="str">
        <f t="shared" si="562"/>
        <v/>
      </c>
      <c r="BK1007" s="1452" t="str">
        <f t="shared" si="563"/>
        <v/>
      </c>
      <c r="BL1007" s="1452" t="str">
        <f t="shared" si="564"/>
        <v/>
      </c>
      <c r="BM1007" s="1452" t="str">
        <f t="shared" si="565"/>
        <v/>
      </c>
      <c r="BN1007" s="1452" t="str">
        <f t="shared" ca="1" si="566"/>
        <v/>
      </c>
      <c r="BO1007" s="1452" t="str">
        <f t="shared" si="579"/>
        <v/>
      </c>
      <c r="BP1007" s="1452" t="str">
        <f t="shared" si="567"/>
        <v/>
      </c>
      <c r="BQ1007" s="1452" t="str">
        <f t="shared" si="568"/>
        <v/>
      </c>
      <c r="BR1007" s="1452" t="str">
        <f t="shared" si="569"/>
        <v/>
      </c>
      <c r="BS1007" s="1452" t="str">
        <f t="shared" si="570"/>
        <v/>
      </c>
      <c r="BT1007" s="1452" t="str">
        <f t="shared" si="571"/>
        <v/>
      </c>
      <c r="BU1007" s="1452" t="str">
        <f t="shared" si="572"/>
        <v/>
      </c>
      <c r="BV1007" s="1452" t="str">
        <f t="shared" si="573"/>
        <v/>
      </c>
      <c r="BW1007" s="1558">
        <f t="shared" ca="1" si="580"/>
        <v>0</v>
      </c>
    </row>
    <row r="1008" spans="1:75" s="9" customFormat="1" ht="12.5">
      <c r="A1008" s="1483" t="str">
        <f t="shared" si="574"/>
        <v>Public Health Wales Trust</v>
      </c>
      <c r="B1008" s="1583"/>
      <c r="C1008" s="1510"/>
      <c r="D1008" s="1498"/>
      <c r="E1008" s="1436"/>
      <c r="F1008" s="1436"/>
      <c r="G1008" s="1547">
        <f t="shared" si="575"/>
        <v>0</v>
      </c>
      <c r="H1008" s="1484"/>
      <c r="I1008" s="1547">
        <f t="shared" si="576"/>
        <v>0</v>
      </c>
      <c r="J1008" s="1499"/>
      <c r="K1008" s="1499"/>
      <c r="L1008" s="1436"/>
      <c r="M1008" s="1439"/>
      <c r="N1008" s="1437"/>
      <c r="O1008" s="1485"/>
      <c r="P1008" s="1486"/>
      <c r="Q1008" s="1486"/>
      <c r="R1008" s="1487"/>
      <c r="S1008" s="1444"/>
      <c r="T1008" s="1444"/>
      <c r="U1008" s="1444"/>
      <c r="V1008" s="1488"/>
      <c r="W1008" s="1488"/>
      <c r="X1008" s="1488"/>
      <c r="Y1008" s="1488"/>
      <c r="Z1008" s="1488"/>
      <c r="AA1008" s="1488"/>
      <c r="AB1008" s="1488"/>
      <c r="AC1008" s="1488"/>
      <c r="AD1008" s="1488"/>
      <c r="AE1008" s="1488"/>
      <c r="AF1008" s="1488"/>
      <c r="AG1008" s="1488"/>
      <c r="AH1008" s="1451">
        <f t="shared" si="548"/>
        <v>0</v>
      </c>
      <c r="AI1008" s="1488"/>
      <c r="AJ1008" s="1488"/>
      <c r="AK1008" s="1488"/>
      <c r="AL1008" s="1488"/>
      <c r="AM1008" s="1488"/>
      <c r="AN1008" s="1488"/>
      <c r="AO1008" s="1488"/>
      <c r="AP1008" s="1488"/>
      <c r="AQ1008" s="1488"/>
      <c r="AR1008" s="1488"/>
      <c r="AS1008" s="1488"/>
      <c r="AT1008" s="1542"/>
      <c r="AU1008" s="1599">
        <f t="shared" si="549"/>
        <v>0</v>
      </c>
      <c r="AV1008" s="1544">
        <f t="shared" si="577"/>
        <v>0</v>
      </c>
      <c r="AW1008" s="1452">
        <f t="shared" si="550"/>
        <v>0</v>
      </c>
      <c r="AX1008" s="1452">
        <f t="shared" si="551"/>
        <v>0</v>
      </c>
      <c r="AY1008" s="1452">
        <f t="shared" si="552"/>
        <v>0</v>
      </c>
      <c r="AZ1008" s="1452">
        <f t="shared" si="553"/>
        <v>0</v>
      </c>
      <c r="BA1008" s="1452">
        <f t="shared" si="554"/>
        <v>0</v>
      </c>
      <c r="BB1008" s="1452">
        <f t="shared" si="555"/>
        <v>0</v>
      </c>
      <c r="BC1008" s="1452">
        <f t="shared" si="556"/>
        <v>0</v>
      </c>
      <c r="BD1008" s="1452">
        <f t="shared" si="557"/>
        <v>0</v>
      </c>
      <c r="BE1008" s="1452">
        <f t="shared" si="558"/>
        <v>0</v>
      </c>
      <c r="BF1008" s="1452">
        <f t="shared" si="559"/>
        <v>0</v>
      </c>
      <c r="BG1008" s="1452">
        <f t="shared" si="560"/>
        <v>0</v>
      </c>
      <c r="BH1008" s="1452">
        <f t="shared" si="561"/>
        <v>0</v>
      </c>
      <c r="BI1008" s="1452">
        <f t="shared" si="578"/>
        <v>0</v>
      </c>
      <c r="BJ1008" s="1452" t="str">
        <f t="shared" si="562"/>
        <v/>
      </c>
      <c r="BK1008" s="1452" t="str">
        <f t="shared" si="563"/>
        <v/>
      </c>
      <c r="BL1008" s="1452" t="str">
        <f t="shared" si="564"/>
        <v/>
      </c>
      <c r="BM1008" s="1452" t="str">
        <f t="shared" si="565"/>
        <v/>
      </c>
      <c r="BN1008" s="1452" t="str">
        <f t="shared" ca="1" si="566"/>
        <v/>
      </c>
      <c r="BO1008" s="1452" t="str">
        <f t="shared" si="579"/>
        <v/>
      </c>
      <c r="BP1008" s="1452" t="str">
        <f t="shared" si="567"/>
        <v/>
      </c>
      <c r="BQ1008" s="1452" t="str">
        <f t="shared" si="568"/>
        <v/>
      </c>
      <c r="BR1008" s="1452" t="str">
        <f t="shared" si="569"/>
        <v/>
      </c>
      <c r="BS1008" s="1452" t="str">
        <f t="shared" si="570"/>
        <v/>
      </c>
      <c r="BT1008" s="1452" t="str">
        <f t="shared" si="571"/>
        <v/>
      </c>
      <c r="BU1008" s="1452" t="str">
        <f t="shared" si="572"/>
        <v/>
      </c>
      <c r="BV1008" s="1452" t="str">
        <f t="shared" si="573"/>
        <v/>
      </c>
      <c r="BW1008" s="1558">
        <f t="shared" ca="1" si="580"/>
        <v>0</v>
      </c>
    </row>
    <row r="1009" spans="1:75" s="9" customFormat="1" ht="12.5">
      <c r="A1009" s="1483" t="str">
        <f t="shared" si="574"/>
        <v>Public Health Wales Trust</v>
      </c>
      <c r="B1009" s="1583"/>
      <c r="C1009" s="1510"/>
      <c r="D1009" s="1498"/>
      <c r="E1009" s="1436"/>
      <c r="F1009" s="1436"/>
      <c r="G1009" s="1547">
        <f t="shared" si="575"/>
        <v>0</v>
      </c>
      <c r="H1009" s="1484"/>
      <c r="I1009" s="1547">
        <f t="shared" si="576"/>
        <v>0</v>
      </c>
      <c r="J1009" s="1499"/>
      <c r="K1009" s="1499"/>
      <c r="L1009" s="1436"/>
      <c r="M1009" s="1439"/>
      <c r="N1009" s="1437"/>
      <c r="O1009" s="1485"/>
      <c r="P1009" s="1486"/>
      <c r="Q1009" s="1486"/>
      <c r="R1009" s="1487"/>
      <c r="S1009" s="1444"/>
      <c r="T1009" s="1444"/>
      <c r="U1009" s="1444"/>
      <c r="V1009" s="1488"/>
      <c r="W1009" s="1488"/>
      <c r="X1009" s="1488"/>
      <c r="Y1009" s="1488"/>
      <c r="Z1009" s="1488"/>
      <c r="AA1009" s="1488"/>
      <c r="AB1009" s="1488"/>
      <c r="AC1009" s="1488"/>
      <c r="AD1009" s="1488"/>
      <c r="AE1009" s="1488"/>
      <c r="AF1009" s="1488"/>
      <c r="AG1009" s="1488"/>
      <c r="AH1009" s="1451">
        <f t="shared" si="548"/>
        <v>0</v>
      </c>
      <c r="AI1009" s="1488"/>
      <c r="AJ1009" s="1488"/>
      <c r="AK1009" s="1488"/>
      <c r="AL1009" s="1488"/>
      <c r="AM1009" s="1488"/>
      <c r="AN1009" s="1488"/>
      <c r="AO1009" s="1488"/>
      <c r="AP1009" s="1488"/>
      <c r="AQ1009" s="1488"/>
      <c r="AR1009" s="1488"/>
      <c r="AS1009" s="1488"/>
      <c r="AT1009" s="1542"/>
      <c r="AU1009" s="1599">
        <f t="shared" si="549"/>
        <v>0</v>
      </c>
      <c r="AV1009" s="1544">
        <f t="shared" si="577"/>
        <v>0</v>
      </c>
      <c r="AW1009" s="1452">
        <f t="shared" si="550"/>
        <v>0</v>
      </c>
      <c r="AX1009" s="1452">
        <f t="shared" si="551"/>
        <v>0</v>
      </c>
      <c r="AY1009" s="1452">
        <f t="shared" si="552"/>
        <v>0</v>
      </c>
      <c r="AZ1009" s="1452">
        <f t="shared" si="553"/>
        <v>0</v>
      </c>
      <c r="BA1009" s="1452">
        <f t="shared" si="554"/>
        <v>0</v>
      </c>
      <c r="BB1009" s="1452">
        <f t="shared" si="555"/>
        <v>0</v>
      </c>
      <c r="BC1009" s="1452">
        <f t="shared" si="556"/>
        <v>0</v>
      </c>
      <c r="BD1009" s="1452">
        <f t="shared" si="557"/>
        <v>0</v>
      </c>
      <c r="BE1009" s="1452">
        <f t="shared" si="558"/>
        <v>0</v>
      </c>
      <c r="BF1009" s="1452">
        <f t="shared" si="559"/>
        <v>0</v>
      </c>
      <c r="BG1009" s="1452">
        <f t="shared" si="560"/>
        <v>0</v>
      </c>
      <c r="BH1009" s="1452">
        <f t="shared" si="561"/>
        <v>0</v>
      </c>
      <c r="BI1009" s="1452">
        <f t="shared" si="578"/>
        <v>0</v>
      </c>
      <c r="BJ1009" s="1452" t="str">
        <f t="shared" si="562"/>
        <v/>
      </c>
      <c r="BK1009" s="1452" t="str">
        <f t="shared" si="563"/>
        <v/>
      </c>
      <c r="BL1009" s="1452" t="str">
        <f t="shared" si="564"/>
        <v/>
      </c>
      <c r="BM1009" s="1452" t="str">
        <f t="shared" si="565"/>
        <v/>
      </c>
      <c r="BN1009" s="1452" t="str">
        <f t="shared" ca="1" si="566"/>
        <v/>
      </c>
      <c r="BO1009" s="1452" t="str">
        <f t="shared" si="579"/>
        <v/>
      </c>
      <c r="BP1009" s="1452" t="str">
        <f t="shared" si="567"/>
        <v/>
      </c>
      <c r="BQ1009" s="1452" t="str">
        <f t="shared" si="568"/>
        <v/>
      </c>
      <c r="BR1009" s="1452" t="str">
        <f t="shared" si="569"/>
        <v/>
      </c>
      <c r="BS1009" s="1452" t="str">
        <f t="shared" si="570"/>
        <v/>
      </c>
      <c r="BT1009" s="1452" t="str">
        <f t="shared" si="571"/>
        <v/>
      </c>
      <c r="BU1009" s="1452" t="str">
        <f t="shared" si="572"/>
        <v/>
      </c>
      <c r="BV1009" s="1452" t="str">
        <f t="shared" si="573"/>
        <v/>
      </c>
      <c r="BW1009" s="1558">
        <f t="shared" ca="1" si="580"/>
        <v>0</v>
      </c>
    </row>
    <row r="1010" spans="1:75" s="9" customFormat="1" ht="12.5">
      <c r="A1010" s="1483" t="str">
        <f t="shared" si="574"/>
        <v>Public Health Wales Trust</v>
      </c>
      <c r="B1010" s="1583"/>
      <c r="C1010" s="1510"/>
      <c r="D1010" s="1498"/>
      <c r="E1010" s="1436"/>
      <c r="F1010" s="1436"/>
      <c r="G1010" s="1547">
        <f t="shared" si="575"/>
        <v>0</v>
      </c>
      <c r="H1010" s="1484"/>
      <c r="I1010" s="1547">
        <f t="shared" si="576"/>
        <v>0</v>
      </c>
      <c r="J1010" s="1499"/>
      <c r="K1010" s="1499"/>
      <c r="L1010" s="1436"/>
      <c r="M1010" s="1439"/>
      <c r="N1010" s="1437"/>
      <c r="O1010" s="1485"/>
      <c r="P1010" s="1486"/>
      <c r="Q1010" s="1486"/>
      <c r="R1010" s="1487"/>
      <c r="S1010" s="1444"/>
      <c r="T1010" s="1444"/>
      <c r="U1010" s="1444"/>
      <c r="V1010" s="1488"/>
      <c r="W1010" s="1488"/>
      <c r="X1010" s="1488"/>
      <c r="Y1010" s="1488"/>
      <c r="Z1010" s="1488"/>
      <c r="AA1010" s="1488"/>
      <c r="AB1010" s="1488"/>
      <c r="AC1010" s="1488"/>
      <c r="AD1010" s="1488"/>
      <c r="AE1010" s="1488"/>
      <c r="AF1010" s="1488"/>
      <c r="AG1010" s="1488"/>
      <c r="AH1010" s="1451">
        <f t="shared" si="548"/>
        <v>0</v>
      </c>
      <c r="AI1010" s="1488"/>
      <c r="AJ1010" s="1488"/>
      <c r="AK1010" s="1488"/>
      <c r="AL1010" s="1488"/>
      <c r="AM1010" s="1488"/>
      <c r="AN1010" s="1488"/>
      <c r="AO1010" s="1488"/>
      <c r="AP1010" s="1488"/>
      <c r="AQ1010" s="1488"/>
      <c r="AR1010" s="1488"/>
      <c r="AS1010" s="1488"/>
      <c r="AT1010" s="1542"/>
      <c r="AU1010" s="1599">
        <f t="shared" si="549"/>
        <v>0</v>
      </c>
      <c r="AV1010" s="1544">
        <f t="shared" si="577"/>
        <v>0</v>
      </c>
      <c r="AW1010" s="1452">
        <f t="shared" si="550"/>
        <v>0</v>
      </c>
      <c r="AX1010" s="1452">
        <f t="shared" si="551"/>
        <v>0</v>
      </c>
      <c r="AY1010" s="1452">
        <f t="shared" si="552"/>
        <v>0</v>
      </c>
      <c r="AZ1010" s="1452">
        <f t="shared" si="553"/>
        <v>0</v>
      </c>
      <c r="BA1010" s="1452">
        <f t="shared" si="554"/>
        <v>0</v>
      </c>
      <c r="BB1010" s="1452">
        <f t="shared" si="555"/>
        <v>0</v>
      </c>
      <c r="BC1010" s="1452">
        <f t="shared" si="556"/>
        <v>0</v>
      </c>
      <c r="BD1010" s="1452">
        <f t="shared" si="557"/>
        <v>0</v>
      </c>
      <c r="BE1010" s="1452">
        <f t="shared" si="558"/>
        <v>0</v>
      </c>
      <c r="BF1010" s="1452">
        <f t="shared" si="559"/>
        <v>0</v>
      </c>
      <c r="BG1010" s="1452">
        <f t="shared" si="560"/>
        <v>0</v>
      </c>
      <c r="BH1010" s="1452">
        <f t="shared" si="561"/>
        <v>0</v>
      </c>
      <c r="BI1010" s="1452">
        <f t="shared" si="578"/>
        <v>0</v>
      </c>
      <c r="BJ1010" s="1452" t="str">
        <f t="shared" si="562"/>
        <v/>
      </c>
      <c r="BK1010" s="1452" t="str">
        <f t="shared" si="563"/>
        <v/>
      </c>
      <c r="BL1010" s="1452" t="str">
        <f t="shared" si="564"/>
        <v/>
      </c>
      <c r="BM1010" s="1452" t="str">
        <f t="shared" si="565"/>
        <v/>
      </c>
      <c r="BN1010" s="1452" t="str">
        <f t="shared" ca="1" si="566"/>
        <v/>
      </c>
      <c r="BO1010" s="1452" t="str">
        <f t="shared" si="579"/>
        <v/>
      </c>
      <c r="BP1010" s="1452" t="str">
        <f t="shared" si="567"/>
        <v/>
      </c>
      <c r="BQ1010" s="1452" t="str">
        <f t="shared" si="568"/>
        <v/>
      </c>
      <c r="BR1010" s="1452" t="str">
        <f t="shared" si="569"/>
        <v/>
      </c>
      <c r="BS1010" s="1452" t="str">
        <f t="shared" si="570"/>
        <v/>
      </c>
      <c r="BT1010" s="1452" t="str">
        <f t="shared" si="571"/>
        <v/>
      </c>
      <c r="BU1010" s="1452" t="str">
        <f t="shared" si="572"/>
        <v/>
      </c>
      <c r="BV1010" s="1452" t="str">
        <f t="shared" si="573"/>
        <v/>
      </c>
      <c r="BW1010" s="1558">
        <f t="shared" ca="1" si="580"/>
        <v>0</v>
      </c>
    </row>
    <row r="1011" spans="1:75" s="9" customFormat="1" ht="12.5">
      <c r="A1011" s="1483" t="str">
        <f t="shared" si="574"/>
        <v>Public Health Wales Trust</v>
      </c>
      <c r="B1011" s="1583"/>
      <c r="C1011" s="1510"/>
      <c r="D1011" s="1498"/>
      <c r="E1011" s="1436"/>
      <c r="F1011" s="1436"/>
      <c r="G1011" s="1547">
        <f t="shared" si="575"/>
        <v>0</v>
      </c>
      <c r="H1011" s="1484"/>
      <c r="I1011" s="1547">
        <f t="shared" si="576"/>
        <v>0</v>
      </c>
      <c r="J1011" s="1495"/>
      <c r="K1011" s="1495"/>
      <c r="L1011" s="1436"/>
      <c r="M1011" s="1439"/>
      <c r="N1011" s="1439"/>
      <c r="O1011" s="1485"/>
      <c r="P1011" s="1486"/>
      <c r="Q1011" s="1486"/>
      <c r="R1011" s="1487"/>
      <c r="S1011" s="1444"/>
      <c r="T1011" s="1444"/>
      <c r="U1011" s="1444"/>
      <c r="V1011" s="1488"/>
      <c r="W1011" s="1488"/>
      <c r="X1011" s="1488"/>
      <c r="Y1011" s="1488"/>
      <c r="Z1011" s="1488"/>
      <c r="AA1011" s="1488"/>
      <c r="AB1011" s="1488"/>
      <c r="AC1011" s="1488"/>
      <c r="AD1011" s="1488"/>
      <c r="AE1011" s="1488"/>
      <c r="AF1011" s="1488"/>
      <c r="AG1011" s="1488"/>
      <c r="AH1011" s="1451">
        <f t="shared" si="548"/>
        <v>0</v>
      </c>
      <c r="AI1011" s="1488"/>
      <c r="AJ1011" s="1488"/>
      <c r="AK1011" s="1488"/>
      <c r="AL1011" s="1488"/>
      <c r="AM1011" s="1488"/>
      <c r="AN1011" s="1488"/>
      <c r="AO1011" s="1488"/>
      <c r="AP1011" s="1488"/>
      <c r="AQ1011" s="1488"/>
      <c r="AR1011" s="1488"/>
      <c r="AS1011" s="1488"/>
      <c r="AT1011" s="1542"/>
      <c r="AU1011" s="1599">
        <f t="shared" si="549"/>
        <v>0</v>
      </c>
      <c r="AV1011" s="1544">
        <f t="shared" si="577"/>
        <v>0</v>
      </c>
      <c r="AW1011" s="1452">
        <f t="shared" si="550"/>
        <v>0</v>
      </c>
      <c r="AX1011" s="1452">
        <f t="shared" si="551"/>
        <v>0</v>
      </c>
      <c r="AY1011" s="1452">
        <f t="shared" si="552"/>
        <v>0</v>
      </c>
      <c r="AZ1011" s="1452">
        <f t="shared" si="553"/>
        <v>0</v>
      </c>
      <c r="BA1011" s="1452">
        <f t="shared" si="554"/>
        <v>0</v>
      </c>
      <c r="BB1011" s="1452">
        <f t="shared" si="555"/>
        <v>0</v>
      </c>
      <c r="BC1011" s="1452">
        <f t="shared" si="556"/>
        <v>0</v>
      </c>
      <c r="BD1011" s="1452">
        <f t="shared" si="557"/>
        <v>0</v>
      </c>
      <c r="BE1011" s="1452">
        <f t="shared" si="558"/>
        <v>0</v>
      </c>
      <c r="BF1011" s="1452">
        <f t="shared" si="559"/>
        <v>0</v>
      </c>
      <c r="BG1011" s="1452">
        <f t="shared" si="560"/>
        <v>0</v>
      </c>
      <c r="BH1011" s="1452">
        <f t="shared" si="561"/>
        <v>0</v>
      </c>
      <c r="BI1011" s="1452">
        <f t="shared" si="578"/>
        <v>0</v>
      </c>
      <c r="BJ1011" s="1452" t="str">
        <f t="shared" si="562"/>
        <v/>
      </c>
      <c r="BK1011" s="1452" t="str">
        <f t="shared" si="563"/>
        <v/>
      </c>
      <c r="BL1011" s="1452" t="str">
        <f t="shared" si="564"/>
        <v/>
      </c>
      <c r="BM1011" s="1452" t="str">
        <f t="shared" si="565"/>
        <v/>
      </c>
      <c r="BN1011" s="1452" t="str">
        <f t="shared" ca="1" si="566"/>
        <v/>
      </c>
      <c r="BO1011" s="1452" t="str">
        <f t="shared" si="579"/>
        <v/>
      </c>
      <c r="BP1011" s="1452" t="str">
        <f t="shared" si="567"/>
        <v/>
      </c>
      <c r="BQ1011" s="1452" t="str">
        <f t="shared" si="568"/>
        <v/>
      </c>
      <c r="BR1011" s="1452" t="str">
        <f t="shared" si="569"/>
        <v/>
      </c>
      <c r="BS1011" s="1452" t="str">
        <f t="shared" si="570"/>
        <v/>
      </c>
      <c r="BT1011" s="1452" t="str">
        <f t="shared" si="571"/>
        <v/>
      </c>
      <c r="BU1011" s="1452" t="str">
        <f t="shared" si="572"/>
        <v/>
      </c>
      <c r="BV1011" s="1452" t="str">
        <f t="shared" si="573"/>
        <v/>
      </c>
      <c r="BW1011" s="1558">
        <f t="shared" ca="1" si="580"/>
        <v>0</v>
      </c>
    </row>
    <row r="1012" spans="1:75" s="9" customFormat="1" ht="12.5">
      <c r="A1012" s="1483" t="str">
        <f t="shared" si="574"/>
        <v>Public Health Wales Trust</v>
      </c>
      <c r="B1012" s="1583"/>
      <c r="C1012" s="1510"/>
      <c r="D1012" s="1498"/>
      <c r="E1012" s="1592"/>
      <c r="F1012" s="1436"/>
      <c r="G1012" s="1547">
        <f t="shared" si="575"/>
        <v>0</v>
      </c>
      <c r="H1012" s="1484"/>
      <c r="I1012" s="1547">
        <f t="shared" si="576"/>
        <v>0</v>
      </c>
      <c r="J1012" s="1499"/>
      <c r="K1012" s="1499"/>
      <c r="L1012" s="1436"/>
      <c r="M1012" s="1439"/>
      <c r="N1012" s="1439"/>
      <c r="O1012" s="1485"/>
      <c r="P1012" s="1486"/>
      <c r="Q1012" s="1486"/>
      <c r="R1012" s="1487"/>
      <c r="S1012" s="1444"/>
      <c r="T1012" s="1444"/>
      <c r="U1012" s="1444"/>
      <c r="V1012" s="1488"/>
      <c r="W1012" s="1488"/>
      <c r="X1012" s="1488"/>
      <c r="Y1012" s="1488"/>
      <c r="Z1012" s="1488"/>
      <c r="AA1012" s="1488"/>
      <c r="AB1012" s="1488"/>
      <c r="AC1012" s="1488"/>
      <c r="AD1012" s="1488"/>
      <c r="AE1012" s="1488"/>
      <c r="AF1012" s="1488"/>
      <c r="AG1012" s="1488"/>
      <c r="AH1012" s="1451">
        <f t="shared" si="548"/>
        <v>0</v>
      </c>
      <c r="AI1012" s="1488"/>
      <c r="AJ1012" s="1488"/>
      <c r="AK1012" s="1488"/>
      <c r="AL1012" s="1488"/>
      <c r="AM1012" s="1488"/>
      <c r="AN1012" s="1488"/>
      <c r="AO1012" s="1488"/>
      <c r="AP1012" s="1488"/>
      <c r="AQ1012" s="1488"/>
      <c r="AR1012" s="1488"/>
      <c r="AS1012" s="1488"/>
      <c r="AT1012" s="1542"/>
      <c r="AU1012" s="1599">
        <f t="shared" si="549"/>
        <v>0</v>
      </c>
      <c r="AV1012" s="1544">
        <f t="shared" si="577"/>
        <v>0</v>
      </c>
      <c r="AW1012" s="1452">
        <f t="shared" si="550"/>
        <v>0</v>
      </c>
      <c r="AX1012" s="1452">
        <f t="shared" si="551"/>
        <v>0</v>
      </c>
      <c r="AY1012" s="1452">
        <f t="shared" si="552"/>
        <v>0</v>
      </c>
      <c r="AZ1012" s="1452">
        <f t="shared" si="553"/>
        <v>0</v>
      </c>
      <c r="BA1012" s="1452">
        <f t="shared" si="554"/>
        <v>0</v>
      </c>
      <c r="BB1012" s="1452">
        <f t="shared" si="555"/>
        <v>0</v>
      </c>
      <c r="BC1012" s="1452">
        <f t="shared" si="556"/>
        <v>0</v>
      </c>
      <c r="BD1012" s="1452">
        <f t="shared" si="557"/>
        <v>0</v>
      </c>
      <c r="BE1012" s="1452">
        <f t="shared" si="558"/>
        <v>0</v>
      </c>
      <c r="BF1012" s="1452">
        <f t="shared" si="559"/>
        <v>0</v>
      </c>
      <c r="BG1012" s="1452">
        <f t="shared" si="560"/>
        <v>0</v>
      </c>
      <c r="BH1012" s="1452">
        <f t="shared" si="561"/>
        <v>0</v>
      </c>
      <c r="BI1012" s="1452">
        <f t="shared" si="578"/>
        <v>0</v>
      </c>
      <c r="BJ1012" s="1452" t="str">
        <f t="shared" si="562"/>
        <v/>
      </c>
      <c r="BK1012" s="1452" t="str">
        <f t="shared" si="563"/>
        <v/>
      </c>
      <c r="BL1012" s="1452" t="str">
        <f t="shared" si="564"/>
        <v/>
      </c>
      <c r="BM1012" s="1452" t="str">
        <f t="shared" si="565"/>
        <v/>
      </c>
      <c r="BN1012" s="1452" t="str">
        <f t="shared" ca="1" si="566"/>
        <v/>
      </c>
      <c r="BO1012" s="1452" t="str">
        <f t="shared" si="579"/>
        <v/>
      </c>
      <c r="BP1012" s="1452" t="str">
        <f t="shared" si="567"/>
        <v/>
      </c>
      <c r="BQ1012" s="1452" t="str">
        <f t="shared" si="568"/>
        <v/>
      </c>
      <c r="BR1012" s="1452" t="str">
        <f t="shared" si="569"/>
        <v/>
      </c>
      <c r="BS1012" s="1452" t="str">
        <f t="shared" si="570"/>
        <v/>
      </c>
      <c r="BT1012" s="1452" t="str">
        <f t="shared" si="571"/>
        <v/>
      </c>
      <c r="BU1012" s="1452" t="str">
        <f t="shared" si="572"/>
        <v/>
      </c>
      <c r="BV1012" s="1452" t="str">
        <f t="shared" si="573"/>
        <v/>
      </c>
      <c r="BW1012" s="1558">
        <f t="shared" ca="1" si="580"/>
        <v>0</v>
      </c>
    </row>
    <row r="1013" spans="1:75" s="9" customFormat="1" ht="12.5">
      <c r="A1013" s="1483" t="str">
        <f t="shared" si="574"/>
        <v>Public Health Wales Trust</v>
      </c>
      <c r="B1013" s="1583"/>
      <c r="C1013" s="1510"/>
      <c r="D1013" s="1498"/>
      <c r="E1013" s="1436"/>
      <c r="F1013" s="1436"/>
      <c r="G1013" s="1547">
        <f t="shared" si="575"/>
        <v>0</v>
      </c>
      <c r="H1013" s="1484"/>
      <c r="I1013" s="1547">
        <f t="shared" si="576"/>
        <v>0</v>
      </c>
      <c r="J1013" s="1499"/>
      <c r="K1013" s="1499"/>
      <c r="L1013" s="1436"/>
      <c r="M1013" s="1439"/>
      <c r="N1013" s="1437"/>
      <c r="O1013" s="1485"/>
      <c r="P1013" s="1486"/>
      <c r="Q1013" s="1486"/>
      <c r="R1013" s="1487"/>
      <c r="S1013" s="1444"/>
      <c r="T1013" s="1444"/>
      <c r="U1013" s="1444"/>
      <c r="V1013" s="1488"/>
      <c r="W1013" s="1488"/>
      <c r="X1013" s="1488"/>
      <c r="Y1013" s="1488"/>
      <c r="Z1013" s="1488"/>
      <c r="AA1013" s="1488"/>
      <c r="AB1013" s="1488"/>
      <c r="AC1013" s="1488"/>
      <c r="AD1013" s="1488"/>
      <c r="AE1013" s="1488"/>
      <c r="AF1013" s="1488"/>
      <c r="AG1013" s="1488"/>
      <c r="AH1013" s="1451">
        <f t="shared" si="548"/>
        <v>0</v>
      </c>
      <c r="AI1013" s="1488"/>
      <c r="AJ1013" s="1488"/>
      <c r="AK1013" s="1488"/>
      <c r="AL1013" s="1488"/>
      <c r="AM1013" s="1488"/>
      <c r="AN1013" s="1488"/>
      <c r="AO1013" s="1488"/>
      <c r="AP1013" s="1488"/>
      <c r="AQ1013" s="1488"/>
      <c r="AR1013" s="1488"/>
      <c r="AS1013" s="1488"/>
      <c r="AT1013" s="1542"/>
      <c r="AU1013" s="1599">
        <f t="shared" si="549"/>
        <v>0</v>
      </c>
      <c r="AV1013" s="1544">
        <f t="shared" si="577"/>
        <v>0</v>
      </c>
      <c r="AW1013" s="1452">
        <f t="shared" si="550"/>
        <v>0</v>
      </c>
      <c r="AX1013" s="1452">
        <f t="shared" si="551"/>
        <v>0</v>
      </c>
      <c r="AY1013" s="1452">
        <f t="shared" si="552"/>
        <v>0</v>
      </c>
      <c r="AZ1013" s="1452">
        <f t="shared" si="553"/>
        <v>0</v>
      </c>
      <c r="BA1013" s="1452">
        <f t="shared" si="554"/>
        <v>0</v>
      </c>
      <c r="BB1013" s="1452">
        <f t="shared" si="555"/>
        <v>0</v>
      </c>
      <c r="BC1013" s="1452">
        <f t="shared" si="556"/>
        <v>0</v>
      </c>
      <c r="BD1013" s="1452">
        <f t="shared" si="557"/>
        <v>0</v>
      </c>
      <c r="BE1013" s="1452">
        <f t="shared" si="558"/>
        <v>0</v>
      </c>
      <c r="BF1013" s="1452">
        <f t="shared" si="559"/>
        <v>0</v>
      </c>
      <c r="BG1013" s="1452">
        <f t="shared" si="560"/>
        <v>0</v>
      </c>
      <c r="BH1013" s="1452">
        <f t="shared" si="561"/>
        <v>0</v>
      </c>
      <c r="BI1013" s="1452">
        <f t="shared" si="578"/>
        <v>0</v>
      </c>
      <c r="BJ1013" s="1452" t="str">
        <f t="shared" si="562"/>
        <v/>
      </c>
      <c r="BK1013" s="1452" t="str">
        <f t="shared" si="563"/>
        <v/>
      </c>
      <c r="BL1013" s="1452" t="str">
        <f t="shared" si="564"/>
        <v/>
      </c>
      <c r="BM1013" s="1452" t="str">
        <f t="shared" si="565"/>
        <v/>
      </c>
      <c r="BN1013" s="1452" t="str">
        <f t="shared" ca="1" si="566"/>
        <v/>
      </c>
      <c r="BO1013" s="1452" t="str">
        <f t="shared" si="579"/>
        <v/>
      </c>
      <c r="BP1013" s="1452" t="str">
        <f t="shared" si="567"/>
        <v/>
      </c>
      <c r="BQ1013" s="1452" t="str">
        <f t="shared" si="568"/>
        <v/>
      </c>
      <c r="BR1013" s="1452" t="str">
        <f t="shared" si="569"/>
        <v/>
      </c>
      <c r="BS1013" s="1452" t="str">
        <f t="shared" si="570"/>
        <v/>
      </c>
      <c r="BT1013" s="1452" t="str">
        <f t="shared" si="571"/>
        <v/>
      </c>
      <c r="BU1013" s="1452" t="str">
        <f t="shared" si="572"/>
        <v/>
      </c>
      <c r="BV1013" s="1452" t="str">
        <f t="shared" si="573"/>
        <v/>
      </c>
      <c r="BW1013" s="1558">
        <f t="shared" ca="1" si="580"/>
        <v>0</v>
      </c>
    </row>
    <row r="1014" spans="1:75" s="9" customFormat="1" ht="12.5">
      <c r="A1014" s="1483" t="str">
        <f t="shared" si="574"/>
        <v>Public Health Wales Trust</v>
      </c>
      <c r="B1014" s="1583"/>
      <c r="C1014" s="1510"/>
      <c r="D1014" s="1498"/>
      <c r="E1014" s="1436"/>
      <c r="F1014" s="1436"/>
      <c r="G1014" s="1547">
        <f t="shared" si="575"/>
        <v>0</v>
      </c>
      <c r="H1014" s="1484"/>
      <c r="I1014" s="1547">
        <f t="shared" si="576"/>
        <v>0</v>
      </c>
      <c r="J1014" s="1496"/>
      <c r="K1014" s="1496"/>
      <c r="L1014" s="1436"/>
      <c r="M1014" s="1439"/>
      <c r="N1014" s="1437"/>
      <c r="O1014" s="1485"/>
      <c r="P1014" s="1486"/>
      <c r="Q1014" s="1486"/>
      <c r="R1014" s="1487"/>
      <c r="S1014" s="1444"/>
      <c r="T1014" s="1444"/>
      <c r="U1014" s="1444"/>
      <c r="V1014" s="1488"/>
      <c r="W1014" s="1488"/>
      <c r="X1014" s="1488"/>
      <c r="Y1014" s="1488"/>
      <c r="Z1014" s="1488"/>
      <c r="AA1014" s="1488"/>
      <c r="AB1014" s="1488"/>
      <c r="AC1014" s="1488"/>
      <c r="AD1014" s="1488"/>
      <c r="AE1014" s="1488"/>
      <c r="AF1014" s="1488"/>
      <c r="AG1014" s="1488"/>
      <c r="AH1014" s="1451">
        <f t="shared" si="548"/>
        <v>0</v>
      </c>
      <c r="AI1014" s="1488"/>
      <c r="AJ1014" s="1488"/>
      <c r="AK1014" s="1488"/>
      <c r="AL1014" s="1488"/>
      <c r="AM1014" s="1488"/>
      <c r="AN1014" s="1488"/>
      <c r="AO1014" s="1488"/>
      <c r="AP1014" s="1488"/>
      <c r="AQ1014" s="1488"/>
      <c r="AR1014" s="1488"/>
      <c r="AS1014" s="1488"/>
      <c r="AT1014" s="1542"/>
      <c r="AU1014" s="1599">
        <f t="shared" si="549"/>
        <v>0</v>
      </c>
      <c r="AV1014" s="1544">
        <f t="shared" si="577"/>
        <v>0</v>
      </c>
      <c r="AW1014" s="1452">
        <f t="shared" si="550"/>
        <v>0</v>
      </c>
      <c r="AX1014" s="1452">
        <f t="shared" si="551"/>
        <v>0</v>
      </c>
      <c r="AY1014" s="1452">
        <f t="shared" si="552"/>
        <v>0</v>
      </c>
      <c r="AZ1014" s="1452">
        <f t="shared" si="553"/>
        <v>0</v>
      </c>
      <c r="BA1014" s="1452">
        <f t="shared" si="554"/>
        <v>0</v>
      </c>
      <c r="BB1014" s="1452">
        <f t="shared" si="555"/>
        <v>0</v>
      </c>
      <c r="BC1014" s="1452">
        <f t="shared" si="556"/>
        <v>0</v>
      </c>
      <c r="BD1014" s="1452">
        <f t="shared" si="557"/>
        <v>0</v>
      </c>
      <c r="BE1014" s="1452">
        <f t="shared" si="558"/>
        <v>0</v>
      </c>
      <c r="BF1014" s="1452">
        <f t="shared" si="559"/>
        <v>0</v>
      </c>
      <c r="BG1014" s="1452">
        <f t="shared" si="560"/>
        <v>0</v>
      </c>
      <c r="BH1014" s="1452">
        <f t="shared" si="561"/>
        <v>0</v>
      </c>
      <c r="BI1014" s="1452">
        <f t="shared" si="578"/>
        <v>0</v>
      </c>
      <c r="BJ1014" s="1452" t="str">
        <f t="shared" si="562"/>
        <v/>
      </c>
      <c r="BK1014" s="1452" t="str">
        <f t="shared" si="563"/>
        <v/>
      </c>
      <c r="BL1014" s="1452" t="str">
        <f t="shared" si="564"/>
        <v/>
      </c>
      <c r="BM1014" s="1452" t="str">
        <f t="shared" si="565"/>
        <v/>
      </c>
      <c r="BN1014" s="1452" t="str">
        <f t="shared" ca="1" si="566"/>
        <v/>
      </c>
      <c r="BO1014" s="1452" t="str">
        <f t="shared" si="579"/>
        <v/>
      </c>
      <c r="BP1014" s="1452" t="str">
        <f t="shared" si="567"/>
        <v/>
      </c>
      <c r="BQ1014" s="1452" t="str">
        <f t="shared" si="568"/>
        <v/>
      </c>
      <c r="BR1014" s="1452" t="str">
        <f t="shared" si="569"/>
        <v/>
      </c>
      <c r="BS1014" s="1452" t="str">
        <f t="shared" si="570"/>
        <v/>
      </c>
      <c r="BT1014" s="1452" t="str">
        <f t="shared" si="571"/>
        <v/>
      </c>
      <c r="BU1014" s="1452" t="str">
        <f t="shared" si="572"/>
        <v/>
      </c>
      <c r="BV1014" s="1452" t="str">
        <f t="shared" si="573"/>
        <v/>
      </c>
      <c r="BW1014" s="1558">
        <f t="shared" ca="1" si="580"/>
        <v>0</v>
      </c>
    </row>
    <row r="1015" spans="1:75" s="9" customFormat="1" ht="12.5">
      <c r="A1015" s="1483" t="str">
        <f t="shared" si="574"/>
        <v>Public Health Wales Trust</v>
      </c>
      <c r="B1015" s="1583"/>
      <c r="C1015" s="1510"/>
      <c r="D1015" s="1494"/>
      <c r="E1015" s="1436"/>
      <c r="F1015" s="1436"/>
      <c r="G1015" s="1547">
        <f t="shared" si="575"/>
        <v>0</v>
      </c>
      <c r="H1015" s="1484"/>
      <c r="I1015" s="1547">
        <f t="shared" si="576"/>
        <v>0</v>
      </c>
      <c r="J1015" s="1496"/>
      <c r="K1015" s="1496"/>
      <c r="L1015" s="1436"/>
      <c r="M1015" s="1439"/>
      <c r="N1015" s="1437"/>
      <c r="O1015" s="1485"/>
      <c r="P1015" s="1486"/>
      <c r="Q1015" s="1486"/>
      <c r="R1015" s="1487"/>
      <c r="S1015" s="1444"/>
      <c r="T1015" s="1444"/>
      <c r="U1015" s="1444"/>
      <c r="V1015" s="1488"/>
      <c r="W1015" s="1488"/>
      <c r="X1015" s="1488"/>
      <c r="Y1015" s="1488"/>
      <c r="Z1015" s="1488"/>
      <c r="AA1015" s="1488"/>
      <c r="AB1015" s="1488"/>
      <c r="AC1015" s="1488"/>
      <c r="AD1015" s="1488"/>
      <c r="AE1015" s="1488"/>
      <c r="AF1015" s="1488"/>
      <c r="AG1015" s="1488"/>
      <c r="AH1015" s="1451">
        <f t="shared" si="548"/>
        <v>0</v>
      </c>
      <c r="AI1015" s="1488"/>
      <c r="AJ1015" s="1488"/>
      <c r="AK1015" s="1488"/>
      <c r="AL1015" s="1488"/>
      <c r="AM1015" s="1488"/>
      <c r="AN1015" s="1488"/>
      <c r="AO1015" s="1488"/>
      <c r="AP1015" s="1488"/>
      <c r="AQ1015" s="1488"/>
      <c r="AR1015" s="1488"/>
      <c r="AS1015" s="1488"/>
      <c r="AT1015" s="1542"/>
      <c r="AU1015" s="1599">
        <f t="shared" si="549"/>
        <v>0</v>
      </c>
      <c r="AV1015" s="1544">
        <f t="shared" si="577"/>
        <v>0</v>
      </c>
      <c r="AW1015" s="1452">
        <f t="shared" si="550"/>
        <v>0</v>
      </c>
      <c r="AX1015" s="1452">
        <f t="shared" si="551"/>
        <v>0</v>
      </c>
      <c r="AY1015" s="1452">
        <f t="shared" si="552"/>
        <v>0</v>
      </c>
      <c r="AZ1015" s="1452">
        <f t="shared" si="553"/>
        <v>0</v>
      </c>
      <c r="BA1015" s="1452">
        <f t="shared" si="554"/>
        <v>0</v>
      </c>
      <c r="BB1015" s="1452">
        <f t="shared" si="555"/>
        <v>0</v>
      </c>
      <c r="BC1015" s="1452">
        <f t="shared" si="556"/>
        <v>0</v>
      </c>
      <c r="BD1015" s="1452">
        <f t="shared" si="557"/>
        <v>0</v>
      </c>
      <c r="BE1015" s="1452">
        <f t="shared" si="558"/>
        <v>0</v>
      </c>
      <c r="BF1015" s="1452">
        <f t="shared" si="559"/>
        <v>0</v>
      </c>
      <c r="BG1015" s="1452">
        <f t="shared" si="560"/>
        <v>0</v>
      </c>
      <c r="BH1015" s="1452">
        <f t="shared" si="561"/>
        <v>0</v>
      </c>
      <c r="BI1015" s="1452">
        <f t="shared" si="578"/>
        <v>0</v>
      </c>
      <c r="BJ1015" s="1452" t="str">
        <f t="shared" si="562"/>
        <v/>
      </c>
      <c r="BK1015" s="1452" t="str">
        <f t="shared" si="563"/>
        <v/>
      </c>
      <c r="BL1015" s="1452" t="str">
        <f t="shared" si="564"/>
        <v/>
      </c>
      <c r="BM1015" s="1452" t="str">
        <f t="shared" si="565"/>
        <v/>
      </c>
      <c r="BN1015" s="1452" t="str">
        <f t="shared" ca="1" si="566"/>
        <v/>
      </c>
      <c r="BO1015" s="1452" t="str">
        <f t="shared" si="579"/>
        <v/>
      </c>
      <c r="BP1015" s="1452" t="str">
        <f t="shared" si="567"/>
        <v/>
      </c>
      <c r="BQ1015" s="1452" t="str">
        <f t="shared" si="568"/>
        <v/>
      </c>
      <c r="BR1015" s="1452" t="str">
        <f t="shared" si="569"/>
        <v/>
      </c>
      <c r="BS1015" s="1452" t="str">
        <f t="shared" si="570"/>
        <v/>
      </c>
      <c r="BT1015" s="1452" t="str">
        <f t="shared" si="571"/>
        <v/>
      </c>
      <c r="BU1015" s="1452" t="str">
        <f t="shared" si="572"/>
        <v/>
      </c>
      <c r="BV1015" s="1452" t="str">
        <f t="shared" si="573"/>
        <v/>
      </c>
      <c r="BW1015" s="1558">
        <f t="shared" ca="1" si="580"/>
        <v>0</v>
      </c>
    </row>
    <row r="1016" spans="1:75" s="9" customFormat="1" ht="12.5">
      <c r="A1016" s="1483" t="str">
        <f t="shared" si="574"/>
        <v>Public Health Wales Trust</v>
      </c>
      <c r="B1016" s="1583"/>
      <c r="C1016" s="1510"/>
      <c r="D1016" s="1498"/>
      <c r="E1016" s="1436"/>
      <c r="F1016" s="1436"/>
      <c r="G1016" s="1547">
        <f t="shared" si="575"/>
        <v>0</v>
      </c>
      <c r="H1016" s="1484"/>
      <c r="I1016" s="1547">
        <f t="shared" si="576"/>
        <v>0</v>
      </c>
      <c r="J1016" s="1496"/>
      <c r="K1016" s="1496"/>
      <c r="L1016" s="1436"/>
      <c r="M1016" s="1439"/>
      <c r="N1016" s="1437"/>
      <c r="O1016" s="1485"/>
      <c r="P1016" s="1486"/>
      <c r="Q1016" s="1486"/>
      <c r="R1016" s="1487"/>
      <c r="S1016" s="1444"/>
      <c r="T1016" s="1444"/>
      <c r="U1016" s="1444"/>
      <c r="V1016" s="1488"/>
      <c r="W1016" s="1488"/>
      <c r="X1016" s="1488"/>
      <c r="Y1016" s="1488"/>
      <c r="Z1016" s="1488"/>
      <c r="AA1016" s="1488"/>
      <c r="AB1016" s="1488"/>
      <c r="AC1016" s="1488"/>
      <c r="AD1016" s="1488"/>
      <c r="AE1016" s="1488"/>
      <c r="AF1016" s="1488"/>
      <c r="AG1016" s="1488"/>
      <c r="AH1016" s="1451">
        <f t="shared" si="548"/>
        <v>0</v>
      </c>
      <c r="AI1016" s="1488"/>
      <c r="AJ1016" s="1488"/>
      <c r="AK1016" s="1488"/>
      <c r="AL1016" s="1488"/>
      <c r="AM1016" s="1488"/>
      <c r="AN1016" s="1488"/>
      <c r="AO1016" s="1488"/>
      <c r="AP1016" s="1488"/>
      <c r="AQ1016" s="1488"/>
      <c r="AR1016" s="1488"/>
      <c r="AS1016" s="1488"/>
      <c r="AT1016" s="1542"/>
      <c r="AU1016" s="1599">
        <f t="shared" si="549"/>
        <v>0</v>
      </c>
      <c r="AV1016" s="1544">
        <f t="shared" si="577"/>
        <v>0</v>
      </c>
      <c r="AW1016" s="1452">
        <f t="shared" si="550"/>
        <v>0</v>
      </c>
      <c r="AX1016" s="1452">
        <f t="shared" si="551"/>
        <v>0</v>
      </c>
      <c r="AY1016" s="1452">
        <f t="shared" si="552"/>
        <v>0</v>
      </c>
      <c r="AZ1016" s="1452">
        <f t="shared" si="553"/>
        <v>0</v>
      </c>
      <c r="BA1016" s="1452">
        <f t="shared" si="554"/>
        <v>0</v>
      </c>
      <c r="BB1016" s="1452">
        <f t="shared" si="555"/>
        <v>0</v>
      </c>
      <c r="BC1016" s="1452">
        <f t="shared" si="556"/>
        <v>0</v>
      </c>
      <c r="BD1016" s="1452">
        <f t="shared" si="557"/>
        <v>0</v>
      </c>
      <c r="BE1016" s="1452">
        <f t="shared" si="558"/>
        <v>0</v>
      </c>
      <c r="BF1016" s="1452">
        <f t="shared" si="559"/>
        <v>0</v>
      </c>
      <c r="BG1016" s="1452">
        <f t="shared" si="560"/>
        <v>0</v>
      </c>
      <c r="BH1016" s="1452">
        <f t="shared" si="561"/>
        <v>0</v>
      </c>
      <c r="BI1016" s="1452">
        <f t="shared" si="578"/>
        <v>0</v>
      </c>
      <c r="BJ1016" s="1452" t="str">
        <f t="shared" si="562"/>
        <v/>
      </c>
      <c r="BK1016" s="1452" t="str">
        <f t="shared" si="563"/>
        <v/>
      </c>
      <c r="BL1016" s="1452" t="str">
        <f t="shared" si="564"/>
        <v/>
      </c>
      <c r="BM1016" s="1452" t="str">
        <f t="shared" si="565"/>
        <v/>
      </c>
      <c r="BN1016" s="1452" t="str">
        <f t="shared" ca="1" si="566"/>
        <v/>
      </c>
      <c r="BO1016" s="1452" t="str">
        <f t="shared" si="579"/>
        <v/>
      </c>
      <c r="BP1016" s="1452" t="str">
        <f t="shared" si="567"/>
        <v/>
      </c>
      <c r="BQ1016" s="1452" t="str">
        <f t="shared" si="568"/>
        <v/>
      </c>
      <c r="BR1016" s="1452" t="str">
        <f t="shared" si="569"/>
        <v/>
      </c>
      <c r="BS1016" s="1452" t="str">
        <f t="shared" si="570"/>
        <v/>
      </c>
      <c r="BT1016" s="1452" t="str">
        <f t="shared" si="571"/>
        <v/>
      </c>
      <c r="BU1016" s="1452" t="str">
        <f t="shared" si="572"/>
        <v/>
      </c>
      <c r="BV1016" s="1452" t="str">
        <f t="shared" si="573"/>
        <v/>
      </c>
      <c r="BW1016" s="1558">
        <f t="shared" ca="1" si="580"/>
        <v>0</v>
      </c>
    </row>
    <row r="1017" spans="1:75" s="9" customFormat="1" ht="12.5">
      <c r="A1017" s="1483" t="str">
        <f t="shared" si="574"/>
        <v>Public Health Wales Trust</v>
      </c>
      <c r="B1017" s="1583"/>
      <c r="C1017" s="1510"/>
      <c r="D1017" s="1494"/>
      <c r="E1017" s="1436"/>
      <c r="F1017" s="1436"/>
      <c r="G1017" s="1547">
        <f t="shared" si="575"/>
        <v>0</v>
      </c>
      <c r="H1017" s="1484"/>
      <c r="I1017" s="1547">
        <f t="shared" si="576"/>
        <v>0</v>
      </c>
      <c r="J1017" s="1496"/>
      <c r="K1017" s="1496"/>
      <c r="L1017" s="1436"/>
      <c r="M1017" s="1439"/>
      <c r="N1017" s="1439"/>
      <c r="O1017" s="1485"/>
      <c r="P1017" s="1486"/>
      <c r="Q1017" s="1486"/>
      <c r="R1017" s="1487"/>
      <c r="S1017" s="1444"/>
      <c r="T1017" s="1444"/>
      <c r="U1017" s="1444"/>
      <c r="V1017" s="1488"/>
      <c r="W1017" s="1488"/>
      <c r="X1017" s="1488"/>
      <c r="Y1017" s="1488"/>
      <c r="Z1017" s="1488"/>
      <c r="AA1017" s="1488"/>
      <c r="AB1017" s="1488"/>
      <c r="AC1017" s="1488"/>
      <c r="AD1017" s="1488"/>
      <c r="AE1017" s="1488"/>
      <c r="AF1017" s="1488"/>
      <c r="AG1017" s="1488"/>
      <c r="AH1017" s="1451">
        <f t="shared" si="548"/>
        <v>0</v>
      </c>
      <c r="AI1017" s="1488"/>
      <c r="AJ1017" s="1488"/>
      <c r="AK1017" s="1488"/>
      <c r="AL1017" s="1488"/>
      <c r="AM1017" s="1488"/>
      <c r="AN1017" s="1488"/>
      <c r="AO1017" s="1488"/>
      <c r="AP1017" s="1488"/>
      <c r="AQ1017" s="1488"/>
      <c r="AR1017" s="1488"/>
      <c r="AS1017" s="1488"/>
      <c r="AT1017" s="1542"/>
      <c r="AU1017" s="1599">
        <f t="shared" si="549"/>
        <v>0</v>
      </c>
      <c r="AV1017" s="1544">
        <f t="shared" si="577"/>
        <v>0</v>
      </c>
      <c r="AW1017" s="1452">
        <f t="shared" si="550"/>
        <v>0</v>
      </c>
      <c r="AX1017" s="1452">
        <f t="shared" si="551"/>
        <v>0</v>
      </c>
      <c r="AY1017" s="1452">
        <f t="shared" si="552"/>
        <v>0</v>
      </c>
      <c r="AZ1017" s="1452">
        <f t="shared" si="553"/>
        <v>0</v>
      </c>
      <c r="BA1017" s="1452">
        <f t="shared" si="554"/>
        <v>0</v>
      </c>
      <c r="BB1017" s="1452">
        <f t="shared" si="555"/>
        <v>0</v>
      </c>
      <c r="BC1017" s="1452">
        <f t="shared" si="556"/>
        <v>0</v>
      </c>
      <c r="BD1017" s="1452">
        <f t="shared" si="557"/>
        <v>0</v>
      </c>
      <c r="BE1017" s="1452">
        <f t="shared" si="558"/>
        <v>0</v>
      </c>
      <c r="BF1017" s="1452">
        <f t="shared" si="559"/>
        <v>0</v>
      </c>
      <c r="BG1017" s="1452">
        <f t="shared" si="560"/>
        <v>0</v>
      </c>
      <c r="BH1017" s="1452">
        <f t="shared" si="561"/>
        <v>0</v>
      </c>
      <c r="BI1017" s="1452">
        <f t="shared" si="578"/>
        <v>0</v>
      </c>
      <c r="BJ1017" s="1452" t="str">
        <f t="shared" si="562"/>
        <v/>
      </c>
      <c r="BK1017" s="1452" t="str">
        <f t="shared" si="563"/>
        <v/>
      </c>
      <c r="BL1017" s="1452" t="str">
        <f t="shared" si="564"/>
        <v/>
      </c>
      <c r="BM1017" s="1452" t="str">
        <f t="shared" si="565"/>
        <v/>
      </c>
      <c r="BN1017" s="1452" t="str">
        <f t="shared" ca="1" si="566"/>
        <v/>
      </c>
      <c r="BO1017" s="1452" t="str">
        <f t="shared" si="579"/>
        <v/>
      </c>
      <c r="BP1017" s="1452" t="str">
        <f t="shared" si="567"/>
        <v/>
      </c>
      <c r="BQ1017" s="1452" t="str">
        <f t="shared" si="568"/>
        <v/>
      </c>
      <c r="BR1017" s="1452" t="str">
        <f t="shared" si="569"/>
        <v/>
      </c>
      <c r="BS1017" s="1452" t="str">
        <f t="shared" si="570"/>
        <v/>
      </c>
      <c r="BT1017" s="1452" t="str">
        <f t="shared" si="571"/>
        <v/>
      </c>
      <c r="BU1017" s="1452" t="str">
        <f t="shared" si="572"/>
        <v/>
      </c>
      <c r="BV1017" s="1452" t="str">
        <f t="shared" si="573"/>
        <v/>
      </c>
      <c r="BW1017" s="1558">
        <f t="shared" ca="1" si="580"/>
        <v>0</v>
      </c>
    </row>
    <row r="1018" spans="1:75" s="9" customFormat="1" ht="12.5">
      <c r="A1018" s="1483" t="str">
        <f t="shared" si="574"/>
        <v>Public Health Wales Trust</v>
      </c>
      <c r="B1018" s="1583"/>
      <c r="C1018" s="1510"/>
      <c r="D1018" s="1498"/>
      <c r="E1018" s="1436"/>
      <c r="F1018" s="1436"/>
      <c r="G1018" s="1547">
        <f t="shared" si="575"/>
        <v>0</v>
      </c>
      <c r="H1018" s="1484"/>
      <c r="I1018" s="1547">
        <f t="shared" si="576"/>
        <v>0</v>
      </c>
      <c r="J1018" s="1499"/>
      <c r="K1018" s="1499"/>
      <c r="L1018" s="1436"/>
      <c r="M1018" s="1439"/>
      <c r="N1018" s="1437"/>
      <c r="O1018" s="1485"/>
      <c r="P1018" s="1486"/>
      <c r="Q1018" s="1486"/>
      <c r="R1018" s="1487"/>
      <c r="S1018" s="1444"/>
      <c r="T1018" s="1444"/>
      <c r="U1018" s="1444"/>
      <c r="V1018" s="1488"/>
      <c r="W1018" s="1488"/>
      <c r="X1018" s="1488"/>
      <c r="Y1018" s="1488"/>
      <c r="Z1018" s="1488"/>
      <c r="AA1018" s="1488"/>
      <c r="AB1018" s="1488"/>
      <c r="AC1018" s="1488"/>
      <c r="AD1018" s="1488"/>
      <c r="AE1018" s="1488"/>
      <c r="AF1018" s="1488"/>
      <c r="AG1018" s="1488"/>
      <c r="AH1018" s="1451">
        <f t="shared" si="548"/>
        <v>0</v>
      </c>
      <c r="AI1018" s="1488"/>
      <c r="AJ1018" s="1488"/>
      <c r="AK1018" s="1488"/>
      <c r="AL1018" s="1488"/>
      <c r="AM1018" s="1488"/>
      <c r="AN1018" s="1488"/>
      <c r="AO1018" s="1488"/>
      <c r="AP1018" s="1488"/>
      <c r="AQ1018" s="1488"/>
      <c r="AR1018" s="1488"/>
      <c r="AS1018" s="1488"/>
      <c r="AT1018" s="1542"/>
      <c r="AU1018" s="1599">
        <f t="shared" si="549"/>
        <v>0</v>
      </c>
      <c r="AV1018" s="1544">
        <f t="shared" si="577"/>
        <v>0</v>
      </c>
      <c r="AW1018" s="1452">
        <f t="shared" si="550"/>
        <v>0</v>
      </c>
      <c r="AX1018" s="1452">
        <f t="shared" si="551"/>
        <v>0</v>
      </c>
      <c r="AY1018" s="1452">
        <f t="shared" si="552"/>
        <v>0</v>
      </c>
      <c r="AZ1018" s="1452">
        <f t="shared" si="553"/>
        <v>0</v>
      </c>
      <c r="BA1018" s="1452">
        <f t="shared" si="554"/>
        <v>0</v>
      </c>
      <c r="BB1018" s="1452">
        <f t="shared" si="555"/>
        <v>0</v>
      </c>
      <c r="BC1018" s="1452">
        <f t="shared" si="556"/>
        <v>0</v>
      </c>
      <c r="BD1018" s="1452">
        <f t="shared" si="557"/>
        <v>0</v>
      </c>
      <c r="BE1018" s="1452">
        <f t="shared" si="558"/>
        <v>0</v>
      </c>
      <c r="BF1018" s="1452">
        <f t="shared" si="559"/>
        <v>0</v>
      </c>
      <c r="BG1018" s="1452">
        <f t="shared" si="560"/>
        <v>0</v>
      </c>
      <c r="BH1018" s="1452">
        <f t="shared" si="561"/>
        <v>0</v>
      </c>
      <c r="BI1018" s="1452">
        <f t="shared" si="578"/>
        <v>0</v>
      </c>
      <c r="BJ1018" s="1452" t="str">
        <f t="shared" si="562"/>
        <v/>
      </c>
      <c r="BK1018" s="1452" t="str">
        <f t="shared" si="563"/>
        <v/>
      </c>
      <c r="BL1018" s="1452" t="str">
        <f t="shared" si="564"/>
        <v/>
      </c>
      <c r="BM1018" s="1452" t="str">
        <f t="shared" si="565"/>
        <v/>
      </c>
      <c r="BN1018" s="1452" t="str">
        <f t="shared" ca="1" si="566"/>
        <v/>
      </c>
      <c r="BO1018" s="1452" t="str">
        <f t="shared" si="579"/>
        <v/>
      </c>
      <c r="BP1018" s="1452" t="str">
        <f t="shared" si="567"/>
        <v/>
      </c>
      <c r="BQ1018" s="1452" t="str">
        <f t="shared" si="568"/>
        <v/>
      </c>
      <c r="BR1018" s="1452" t="str">
        <f t="shared" si="569"/>
        <v/>
      </c>
      <c r="BS1018" s="1452" t="str">
        <f t="shared" si="570"/>
        <v/>
      </c>
      <c r="BT1018" s="1452" t="str">
        <f t="shared" si="571"/>
        <v/>
      </c>
      <c r="BU1018" s="1452" t="str">
        <f t="shared" si="572"/>
        <v/>
      </c>
      <c r="BV1018" s="1452" t="str">
        <f t="shared" si="573"/>
        <v/>
      </c>
      <c r="BW1018" s="1558">
        <f t="shared" ca="1" si="580"/>
        <v>0</v>
      </c>
    </row>
    <row r="1019" spans="1:75" s="9" customFormat="1" ht="12.5">
      <c r="A1019" s="1483" t="str">
        <f t="shared" si="574"/>
        <v>Public Health Wales Trust</v>
      </c>
      <c r="B1019" s="1583"/>
      <c r="C1019" s="1510"/>
      <c r="D1019" s="1494"/>
      <c r="E1019" s="1594"/>
      <c r="F1019" s="1436"/>
      <c r="G1019" s="1547">
        <f t="shared" si="575"/>
        <v>0</v>
      </c>
      <c r="H1019" s="1484"/>
      <c r="I1019" s="1547">
        <f t="shared" si="576"/>
        <v>0</v>
      </c>
      <c r="J1019" s="1505"/>
      <c r="K1019" s="1505"/>
      <c r="L1019" s="1436"/>
      <c r="M1019" s="1439"/>
      <c r="N1019" s="1439"/>
      <c r="O1019" s="1485"/>
      <c r="P1019" s="1486"/>
      <c r="Q1019" s="1486"/>
      <c r="R1019" s="1487"/>
      <c r="S1019" s="1444"/>
      <c r="T1019" s="1444"/>
      <c r="U1019" s="1444"/>
      <c r="V1019" s="1488"/>
      <c r="W1019" s="1488"/>
      <c r="X1019" s="1488"/>
      <c r="Y1019" s="1488"/>
      <c r="Z1019" s="1488"/>
      <c r="AA1019" s="1488"/>
      <c r="AB1019" s="1488"/>
      <c r="AC1019" s="1488"/>
      <c r="AD1019" s="1488"/>
      <c r="AE1019" s="1488"/>
      <c r="AF1019" s="1488"/>
      <c r="AG1019" s="1488"/>
      <c r="AH1019" s="1451">
        <f t="shared" si="548"/>
        <v>0</v>
      </c>
      <c r="AI1019" s="1488"/>
      <c r="AJ1019" s="1488"/>
      <c r="AK1019" s="1488"/>
      <c r="AL1019" s="1488"/>
      <c r="AM1019" s="1488"/>
      <c r="AN1019" s="1488"/>
      <c r="AO1019" s="1488"/>
      <c r="AP1019" s="1488"/>
      <c r="AQ1019" s="1488"/>
      <c r="AR1019" s="1488"/>
      <c r="AS1019" s="1488"/>
      <c r="AT1019" s="1542"/>
      <c r="AU1019" s="1599">
        <f t="shared" si="549"/>
        <v>0</v>
      </c>
      <c r="AV1019" s="1544">
        <f t="shared" si="577"/>
        <v>0</v>
      </c>
      <c r="AW1019" s="1452">
        <f t="shared" si="550"/>
        <v>0</v>
      </c>
      <c r="AX1019" s="1452">
        <f t="shared" si="551"/>
        <v>0</v>
      </c>
      <c r="AY1019" s="1452">
        <f t="shared" si="552"/>
        <v>0</v>
      </c>
      <c r="AZ1019" s="1452">
        <f t="shared" si="553"/>
        <v>0</v>
      </c>
      <c r="BA1019" s="1452">
        <f t="shared" si="554"/>
        <v>0</v>
      </c>
      <c r="BB1019" s="1452">
        <f t="shared" si="555"/>
        <v>0</v>
      </c>
      <c r="BC1019" s="1452">
        <f t="shared" si="556"/>
        <v>0</v>
      </c>
      <c r="BD1019" s="1452">
        <f t="shared" si="557"/>
        <v>0</v>
      </c>
      <c r="BE1019" s="1452">
        <f t="shared" si="558"/>
        <v>0</v>
      </c>
      <c r="BF1019" s="1452">
        <f t="shared" si="559"/>
        <v>0</v>
      </c>
      <c r="BG1019" s="1452">
        <f t="shared" si="560"/>
        <v>0</v>
      </c>
      <c r="BH1019" s="1452">
        <f t="shared" si="561"/>
        <v>0</v>
      </c>
      <c r="BI1019" s="1452">
        <f t="shared" si="578"/>
        <v>0</v>
      </c>
      <c r="BJ1019" s="1452" t="str">
        <f t="shared" si="562"/>
        <v/>
      </c>
      <c r="BK1019" s="1452" t="str">
        <f t="shared" si="563"/>
        <v/>
      </c>
      <c r="BL1019" s="1452" t="str">
        <f t="shared" si="564"/>
        <v/>
      </c>
      <c r="BM1019" s="1452" t="str">
        <f t="shared" si="565"/>
        <v/>
      </c>
      <c r="BN1019" s="1452" t="str">
        <f t="shared" ca="1" si="566"/>
        <v/>
      </c>
      <c r="BO1019" s="1452" t="str">
        <f t="shared" si="579"/>
        <v/>
      </c>
      <c r="BP1019" s="1452" t="str">
        <f t="shared" si="567"/>
        <v/>
      </c>
      <c r="BQ1019" s="1452" t="str">
        <f t="shared" si="568"/>
        <v/>
      </c>
      <c r="BR1019" s="1452" t="str">
        <f t="shared" si="569"/>
        <v/>
      </c>
      <c r="BS1019" s="1452" t="str">
        <f t="shared" si="570"/>
        <v/>
      </c>
      <c r="BT1019" s="1452" t="str">
        <f t="shared" si="571"/>
        <v/>
      </c>
      <c r="BU1019" s="1452" t="str">
        <f t="shared" si="572"/>
        <v/>
      </c>
      <c r="BV1019" s="1452" t="str">
        <f t="shared" si="573"/>
        <v/>
      </c>
      <c r="BW1019" s="1558">
        <f t="shared" ca="1" si="580"/>
        <v>0</v>
      </c>
    </row>
    <row r="1020" spans="1:75" s="9" customFormat="1" ht="12.5">
      <c r="A1020" s="1483" t="str">
        <f t="shared" si="574"/>
        <v>Public Health Wales Trust</v>
      </c>
      <c r="B1020" s="1583"/>
      <c r="C1020" s="1510"/>
      <c r="D1020" s="1494"/>
      <c r="E1020" s="1593"/>
      <c r="F1020" s="1436"/>
      <c r="G1020" s="1547">
        <f t="shared" si="575"/>
        <v>0</v>
      </c>
      <c r="H1020" s="1484"/>
      <c r="I1020" s="1547">
        <f t="shared" si="576"/>
        <v>0</v>
      </c>
      <c r="J1020" s="1505"/>
      <c r="K1020" s="1505"/>
      <c r="L1020" s="1436"/>
      <c r="M1020" s="1439"/>
      <c r="N1020" s="1439"/>
      <c r="O1020" s="1485"/>
      <c r="P1020" s="1486"/>
      <c r="Q1020" s="1486"/>
      <c r="R1020" s="1487"/>
      <c r="S1020" s="1444"/>
      <c r="T1020" s="1444"/>
      <c r="U1020" s="1444"/>
      <c r="V1020" s="1488"/>
      <c r="W1020" s="1488"/>
      <c r="X1020" s="1488"/>
      <c r="Y1020" s="1488"/>
      <c r="Z1020" s="1488"/>
      <c r="AA1020" s="1488"/>
      <c r="AB1020" s="1488"/>
      <c r="AC1020" s="1488"/>
      <c r="AD1020" s="1488"/>
      <c r="AE1020" s="1488"/>
      <c r="AF1020" s="1488"/>
      <c r="AG1020" s="1488"/>
      <c r="AH1020" s="1451">
        <f t="shared" si="548"/>
        <v>0</v>
      </c>
      <c r="AI1020" s="1488"/>
      <c r="AJ1020" s="1488"/>
      <c r="AK1020" s="1488"/>
      <c r="AL1020" s="1488"/>
      <c r="AM1020" s="1488"/>
      <c r="AN1020" s="1488"/>
      <c r="AO1020" s="1488"/>
      <c r="AP1020" s="1488"/>
      <c r="AQ1020" s="1488"/>
      <c r="AR1020" s="1488"/>
      <c r="AS1020" s="1488"/>
      <c r="AT1020" s="1542"/>
      <c r="AU1020" s="1599">
        <f t="shared" si="549"/>
        <v>0</v>
      </c>
      <c r="AV1020" s="1544">
        <f t="shared" si="577"/>
        <v>0</v>
      </c>
      <c r="AW1020" s="1452">
        <f t="shared" si="550"/>
        <v>0</v>
      </c>
      <c r="AX1020" s="1452">
        <f t="shared" si="551"/>
        <v>0</v>
      </c>
      <c r="AY1020" s="1452">
        <f t="shared" si="552"/>
        <v>0</v>
      </c>
      <c r="AZ1020" s="1452">
        <f t="shared" si="553"/>
        <v>0</v>
      </c>
      <c r="BA1020" s="1452">
        <f t="shared" si="554"/>
        <v>0</v>
      </c>
      <c r="BB1020" s="1452">
        <f t="shared" si="555"/>
        <v>0</v>
      </c>
      <c r="BC1020" s="1452">
        <f t="shared" si="556"/>
        <v>0</v>
      </c>
      <c r="BD1020" s="1452">
        <f t="shared" si="557"/>
        <v>0</v>
      </c>
      <c r="BE1020" s="1452">
        <f t="shared" si="558"/>
        <v>0</v>
      </c>
      <c r="BF1020" s="1452">
        <f t="shared" si="559"/>
        <v>0</v>
      </c>
      <c r="BG1020" s="1452">
        <f t="shared" si="560"/>
        <v>0</v>
      </c>
      <c r="BH1020" s="1452">
        <f t="shared" si="561"/>
        <v>0</v>
      </c>
      <c r="BI1020" s="1452">
        <f t="shared" si="578"/>
        <v>0</v>
      </c>
      <c r="BJ1020" s="1452" t="str">
        <f t="shared" si="562"/>
        <v/>
      </c>
      <c r="BK1020" s="1452" t="str">
        <f t="shared" si="563"/>
        <v/>
      </c>
      <c r="BL1020" s="1452" t="str">
        <f t="shared" si="564"/>
        <v/>
      </c>
      <c r="BM1020" s="1452" t="str">
        <f t="shared" si="565"/>
        <v/>
      </c>
      <c r="BN1020" s="1452" t="str">
        <f t="shared" ca="1" si="566"/>
        <v/>
      </c>
      <c r="BO1020" s="1452" t="str">
        <f t="shared" si="579"/>
        <v/>
      </c>
      <c r="BP1020" s="1452" t="str">
        <f t="shared" si="567"/>
        <v/>
      </c>
      <c r="BQ1020" s="1452" t="str">
        <f t="shared" si="568"/>
        <v/>
      </c>
      <c r="BR1020" s="1452" t="str">
        <f t="shared" si="569"/>
        <v/>
      </c>
      <c r="BS1020" s="1452" t="str">
        <f t="shared" si="570"/>
        <v/>
      </c>
      <c r="BT1020" s="1452" t="str">
        <f t="shared" si="571"/>
        <v/>
      </c>
      <c r="BU1020" s="1452" t="str">
        <f t="shared" si="572"/>
        <v/>
      </c>
      <c r="BV1020" s="1452" t="str">
        <f t="shared" si="573"/>
        <v/>
      </c>
      <c r="BW1020" s="1558">
        <f t="shared" ca="1" si="580"/>
        <v>0</v>
      </c>
    </row>
    <row r="1021" spans="1:75" s="9" customFormat="1" ht="12.5">
      <c r="A1021" s="1483" t="str">
        <f t="shared" si="574"/>
        <v>Public Health Wales Trust</v>
      </c>
      <c r="B1021" s="1583"/>
      <c r="C1021" s="1510"/>
      <c r="D1021" s="1494"/>
      <c r="E1021" s="1593"/>
      <c r="F1021" s="1436"/>
      <c r="G1021" s="1547">
        <f t="shared" si="575"/>
        <v>0</v>
      </c>
      <c r="H1021" s="1484"/>
      <c r="I1021" s="1547">
        <f t="shared" si="576"/>
        <v>0</v>
      </c>
      <c r="J1021" s="1499"/>
      <c r="K1021" s="1499"/>
      <c r="L1021" s="1436"/>
      <c r="M1021" s="1439"/>
      <c r="N1021" s="1437"/>
      <c r="O1021" s="1485"/>
      <c r="P1021" s="1486"/>
      <c r="Q1021" s="1486"/>
      <c r="R1021" s="1487"/>
      <c r="S1021" s="1444"/>
      <c r="T1021" s="1444"/>
      <c r="U1021" s="1444"/>
      <c r="V1021" s="1488"/>
      <c r="W1021" s="1488"/>
      <c r="X1021" s="1488"/>
      <c r="Y1021" s="1488"/>
      <c r="Z1021" s="1488"/>
      <c r="AA1021" s="1488"/>
      <c r="AB1021" s="1488"/>
      <c r="AC1021" s="1488"/>
      <c r="AD1021" s="1488"/>
      <c r="AE1021" s="1488"/>
      <c r="AF1021" s="1488"/>
      <c r="AG1021" s="1488"/>
      <c r="AH1021" s="1451">
        <f t="shared" si="548"/>
        <v>0</v>
      </c>
      <c r="AI1021" s="1488"/>
      <c r="AJ1021" s="1488"/>
      <c r="AK1021" s="1488"/>
      <c r="AL1021" s="1488"/>
      <c r="AM1021" s="1488"/>
      <c r="AN1021" s="1488"/>
      <c r="AO1021" s="1488"/>
      <c r="AP1021" s="1488"/>
      <c r="AQ1021" s="1488"/>
      <c r="AR1021" s="1488"/>
      <c r="AS1021" s="1488"/>
      <c r="AT1021" s="1542"/>
      <c r="AU1021" s="1599">
        <f t="shared" si="549"/>
        <v>0</v>
      </c>
      <c r="AV1021" s="1544">
        <f t="shared" si="577"/>
        <v>0</v>
      </c>
      <c r="AW1021" s="1452">
        <f t="shared" si="550"/>
        <v>0</v>
      </c>
      <c r="AX1021" s="1452">
        <f t="shared" si="551"/>
        <v>0</v>
      </c>
      <c r="AY1021" s="1452">
        <f t="shared" si="552"/>
        <v>0</v>
      </c>
      <c r="AZ1021" s="1452">
        <f t="shared" si="553"/>
        <v>0</v>
      </c>
      <c r="BA1021" s="1452">
        <f t="shared" si="554"/>
        <v>0</v>
      </c>
      <c r="BB1021" s="1452">
        <f t="shared" si="555"/>
        <v>0</v>
      </c>
      <c r="BC1021" s="1452">
        <f t="shared" si="556"/>
        <v>0</v>
      </c>
      <c r="BD1021" s="1452">
        <f t="shared" si="557"/>
        <v>0</v>
      </c>
      <c r="BE1021" s="1452">
        <f t="shared" si="558"/>
        <v>0</v>
      </c>
      <c r="BF1021" s="1452">
        <f t="shared" si="559"/>
        <v>0</v>
      </c>
      <c r="BG1021" s="1452">
        <f t="shared" si="560"/>
        <v>0</v>
      </c>
      <c r="BH1021" s="1452">
        <f t="shared" si="561"/>
        <v>0</v>
      </c>
      <c r="BI1021" s="1452">
        <f t="shared" si="578"/>
        <v>0</v>
      </c>
      <c r="BJ1021" s="1452" t="str">
        <f t="shared" si="562"/>
        <v/>
      </c>
      <c r="BK1021" s="1452" t="str">
        <f t="shared" si="563"/>
        <v/>
      </c>
      <c r="BL1021" s="1452" t="str">
        <f t="shared" si="564"/>
        <v/>
      </c>
      <c r="BM1021" s="1452" t="str">
        <f t="shared" si="565"/>
        <v/>
      </c>
      <c r="BN1021" s="1452" t="str">
        <f t="shared" ca="1" si="566"/>
        <v/>
      </c>
      <c r="BO1021" s="1452" t="str">
        <f t="shared" si="579"/>
        <v/>
      </c>
      <c r="BP1021" s="1452" t="str">
        <f t="shared" si="567"/>
        <v/>
      </c>
      <c r="BQ1021" s="1452" t="str">
        <f t="shared" si="568"/>
        <v/>
      </c>
      <c r="BR1021" s="1452" t="str">
        <f t="shared" si="569"/>
        <v/>
      </c>
      <c r="BS1021" s="1452" t="str">
        <f t="shared" si="570"/>
        <v/>
      </c>
      <c r="BT1021" s="1452" t="str">
        <f t="shared" si="571"/>
        <v/>
      </c>
      <c r="BU1021" s="1452" t="str">
        <f t="shared" si="572"/>
        <v/>
      </c>
      <c r="BV1021" s="1452" t="str">
        <f t="shared" si="573"/>
        <v/>
      </c>
      <c r="BW1021" s="1558">
        <f t="shared" ca="1" si="580"/>
        <v>0</v>
      </c>
    </row>
    <row r="1022" spans="1:75" s="9" customFormat="1" ht="12.5">
      <c r="A1022" s="1483" t="str">
        <f t="shared" si="574"/>
        <v>Public Health Wales Trust</v>
      </c>
      <c r="B1022" s="1583"/>
      <c r="C1022" s="1510"/>
      <c r="D1022" s="1494"/>
      <c r="E1022" s="1593"/>
      <c r="F1022" s="1436"/>
      <c r="G1022" s="1547">
        <f t="shared" si="575"/>
        <v>0</v>
      </c>
      <c r="H1022" s="1484"/>
      <c r="I1022" s="1547">
        <f t="shared" si="576"/>
        <v>0</v>
      </c>
      <c r="J1022" s="1495"/>
      <c r="K1022" s="1495"/>
      <c r="L1022" s="1436"/>
      <c r="M1022" s="1439"/>
      <c r="N1022" s="1439"/>
      <c r="O1022" s="1485"/>
      <c r="P1022" s="1486"/>
      <c r="Q1022" s="1486"/>
      <c r="R1022" s="1487"/>
      <c r="S1022" s="1444"/>
      <c r="T1022" s="1444"/>
      <c r="U1022" s="1444"/>
      <c r="V1022" s="1488"/>
      <c r="W1022" s="1488"/>
      <c r="X1022" s="1488"/>
      <c r="Y1022" s="1488"/>
      <c r="Z1022" s="1488"/>
      <c r="AA1022" s="1488"/>
      <c r="AB1022" s="1488"/>
      <c r="AC1022" s="1488"/>
      <c r="AD1022" s="1488"/>
      <c r="AE1022" s="1488"/>
      <c r="AF1022" s="1488"/>
      <c r="AG1022" s="1488"/>
      <c r="AH1022" s="1451">
        <f t="shared" si="548"/>
        <v>0</v>
      </c>
      <c r="AI1022" s="1488"/>
      <c r="AJ1022" s="1488"/>
      <c r="AK1022" s="1488"/>
      <c r="AL1022" s="1488"/>
      <c r="AM1022" s="1488"/>
      <c r="AN1022" s="1488"/>
      <c r="AO1022" s="1488"/>
      <c r="AP1022" s="1488"/>
      <c r="AQ1022" s="1488"/>
      <c r="AR1022" s="1488"/>
      <c r="AS1022" s="1488"/>
      <c r="AT1022" s="1542"/>
      <c r="AU1022" s="1599">
        <f t="shared" si="549"/>
        <v>0</v>
      </c>
      <c r="AV1022" s="1544">
        <f t="shared" si="577"/>
        <v>0</v>
      </c>
      <c r="AW1022" s="1452">
        <f t="shared" si="550"/>
        <v>0</v>
      </c>
      <c r="AX1022" s="1452">
        <f t="shared" si="551"/>
        <v>0</v>
      </c>
      <c r="AY1022" s="1452">
        <f t="shared" si="552"/>
        <v>0</v>
      </c>
      <c r="AZ1022" s="1452">
        <f t="shared" si="553"/>
        <v>0</v>
      </c>
      <c r="BA1022" s="1452">
        <f t="shared" si="554"/>
        <v>0</v>
      </c>
      <c r="BB1022" s="1452">
        <f t="shared" si="555"/>
        <v>0</v>
      </c>
      <c r="BC1022" s="1452">
        <f t="shared" si="556"/>
        <v>0</v>
      </c>
      <c r="BD1022" s="1452">
        <f t="shared" si="557"/>
        <v>0</v>
      </c>
      <c r="BE1022" s="1452">
        <f t="shared" si="558"/>
        <v>0</v>
      </c>
      <c r="BF1022" s="1452">
        <f t="shared" si="559"/>
        <v>0</v>
      </c>
      <c r="BG1022" s="1452">
        <f t="shared" si="560"/>
        <v>0</v>
      </c>
      <c r="BH1022" s="1452">
        <f t="shared" si="561"/>
        <v>0</v>
      </c>
      <c r="BI1022" s="1452">
        <f t="shared" si="578"/>
        <v>0</v>
      </c>
      <c r="BJ1022" s="1452" t="str">
        <f t="shared" si="562"/>
        <v/>
      </c>
      <c r="BK1022" s="1452" t="str">
        <f t="shared" si="563"/>
        <v/>
      </c>
      <c r="BL1022" s="1452" t="str">
        <f t="shared" si="564"/>
        <v/>
      </c>
      <c r="BM1022" s="1452" t="str">
        <f t="shared" si="565"/>
        <v/>
      </c>
      <c r="BN1022" s="1452" t="str">
        <f t="shared" ca="1" si="566"/>
        <v/>
      </c>
      <c r="BO1022" s="1452" t="str">
        <f t="shared" si="579"/>
        <v/>
      </c>
      <c r="BP1022" s="1452" t="str">
        <f t="shared" si="567"/>
        <v/>
      </c>
      <c r="BQ1022" s="1452" t="str">
        <f t="shared" si="568"/>
        <v/>
      </c>
      <c r="BR1022" s="1452" t="str">
        <f t="shared" si="569"/>
        <v/>
      </c>
      <c r="BS1022" s="1452" t="str">
        <f t="shared" si="570"/>
        <v/>
      </c>
      <c r="BT1022" s="1452" t="str">
        <f t="shared" si="571"/>
        <v/>
      </c>
      <c r="BU1022" s="1452" t="str">
        <f t="shared" si="572"/>
        <v/>
      </c>
      <c r="BV1022" s="1452" t="str">
        <f t="shared" si="573"/>
        <v/>
      </c>
      <c r="BW1022" s="1558">
        <f t="shared" ca="1" si="580"/>
        <v>0</v>
      </c>
    </row>
    <row r="1023" spans="1:75" s="9" customFormat="1" ht="12.5">
      <c r="A1023" s="1483" t="str">
        <f t="shared" si="574"/>
        <v>Public Health Wales Trust</v>
      </c>
      <c r="B1023" s="1583"/>
      <c r="C1023" s="1510"/>
      <c r="D1023" s="1494"/>
      <c r="E1023" s="1593"/>
      <c r="F1023" s="1436"/>
      <c r="G1023" s="1547">
        <f t="shared" si="575"/>
        <v>0</v>
      </c>
      <c r="H1023" s="1484"/>
      <c r="I1023" s="1547">
        <f t="shared" si="576"/>
        <v>0</v>
      </c>
      <c r="J1023" s="1499"/>
      <c r="K1023" s="1499"/>
      <c r="L1023" s="1436"/>
      <c r="M1023" s="1439"/>
      <c r="N1023" s="1437"/>
      <c r="O1023" s="1485"/>
      <c r="P1023" s="1486"/>
      <c r="Q1023" s="1486"/>
      <c r="R1023" s="1487"/>
      <c r="S1023" s="1444"/>
      <c r="T1023" s="1444"/>
      <c r="U1023" s="1444"/>
      <c r="V1023" s="1488"/>
      <c r="W1023" s="1488"/>
      <c r="X1023" s="1488"/>
      <c r="Y1023" s="1488"/>
      <c r="Z1023" s="1488"/>
      <c r="AA1023" s="1488"/>
      <c r="AB1023" s="1488"/>
      <c r="AC1023" s="1488"/>
      <c r="AD1023" s="1488"/>
      <c r="AE1023" s="1488"/>
      <c r="AF1023" s="1488"/>
      <c r="AG1023" s="1488"/>
      <c r="AH1023" s="1451">
        <f t="shared" si="548"/>
        <v>0</v>
      </c>
      <c r="AI1023" s="1488"/>
      <c r="AJ1023" s="1488"/>
      <c r="AK1023" s="1488"/>
      <c r="AL1023" s="1488"/>
      <c r="AM1023" s="1488"/>
      <c r="AN1023" s="1488"/>
      <c r="AO1023" s="1488"/>
      <c r="AP1023" s="1488"/>
      <c r="AQ1023" s="1488"/>
      <c r="AR1023" s="1488"/>
      <c r="AS1023" s="1488"/>
      <c r="AT1023" s="1542"/>
      <c r="AU1023" s="1599">
        <f t="shared" si="549"/>
        <v>0</v>
      </c>
      <c r="AV1023" s="1544">
        <f t="shared" si="577"/>
        <v>0</v>
      </c>
      <c r="AW1023" s="1452">
        <f t="shared" si="550"/>
        <v>0</v>
      </c>
      <c r="AX1023" s="1452">
        <f t="shared" si="551"/>
        <v>0</v>
      </c>
      <c r="AY1023" s="1452">
        <f t="shared" si="552"/>
        <v>0</v>
      </c>
      <c r="AZ1023" s="1452">
        <f t="shared" si="553"/>
        <v>0</v>
      </c>
      <c r="BA1023" s="1452">
        <f t="shared" si="554"/>
        <v>0</v>
      </c>
      <c r="BB1023" s="1452">
        <f t="shared" si="555"/>
        <v>0</v>
      </c>
      <c r="BC1023" s="1452">
        <f t="shared" si="556"/>
        <v>0</v>
      </c>
      <c r="BD1023" s="1452">
        <f t="shared" si="557"/>
        <v>0</v>
      </c>
      <c r="BE1023" s="1452">
        <f t="shared" si="558"/>
        <v>0</v>
      </c>
      <c r="BF1023" s="1452">
        <f t="shared" si="559"/>
        <v>0</v>
      </c>
      <c r="BG1023" s="1452">
        <f t="shared" si="560"/>
        <v>0</v>
      </c>
      <c r="BH1023" s="1452">
        <f t="shared" si="561"/>
        <v>0</v>
      </c>
      <c r="BI1023" s="1452">
        <f t="shared" si="578"/>
        <v>0</v>
      </c>
      <c r="BJ1023" s="1452" t="str">
        <f t="shared" si="562"/>
        <v/>
      </c>
      <c r="BK1023" s="1452" t="str">
        <f t="shared" si="563"/>
        <v/>
      </c>
      <c r="BL1023" s="1452" t="str">
        <f t="shared" si="564"/>
        <v/>
      </c>
      <c r="BM1023" s="1452" t="str">
        <f t="shared" si="565"/>
        <v/>
      </c>
      <c r="BN1023" s="1452" t="str">
        <f t="shared" ca="1" si="566"/>
        <v/>
      </c>
      <c r="BO1023" s="1452" t="str">
        <f t="shared" si="579"/>
        <v/>
      </c>
      <c r="BP1023" s="1452" t="str">
        <f t="shared" si="567"/>
        <v/>
      </c>
      <c r="BQ1023" s="1452" t="str">
        <f t="shared" si="568"/>
        <v/>
      </c>
      <c r="BR1023" s="1452" t="str">
        <f t="shared" si="569"/>
        <v/>
      </c>
      <c r="BS1023" s="1452" t="str">
        <f t="shared" si="570"/>
        <v/>
      </c>
      <c r="BT1023" s="1452" t="str">
        <f t="shared" si="571"/>
        <v/>
      </c>
      <c r="BU1023" s="1452" t="str">
        <f t="shared" si="572"/>
        <v/>
      </c>
      <c r="BV1023" s="1452" t="str">
        <f t="shared" si="573"/>
        <v/>
      </c>
      <c r="BW1023" s="1558">
        <f t="shared" ca="1" si="580"/>
        <v>0</v>
      </c>
    </row>
    <row r="1024" spans="1:75" s="9" customFormat="1" ht="12.5">
      <c r="A1024" s="1483" t="str">
        <f t="shared" si="574"/>
        <v>Public Health Wales Trust</v>
      </c>
      <c r="B1024" s="1583"/>
      <c r="C1024" s="1510"/>
      <c r="D1024" s="1494"/>
      <c r="E1024" s="1593"/>
      <c r="F1024" s="1436"/>
      <c r="G1024" s="1547">
        <f t="shared" si="575"/>
        <v>0</v>
      </c>
      <c r="H1024" s="1484"/>
      <c r="I1024" s="1547">
        <f t="shared" si="576"/>
        <v>0</v>
      </c>
      <c r="J1024" s="1499"/>
      <c r="K1024" s="1499"/>
      <c r="L1024" s="1436"/>
      <c r="M1024" s="1439"/>
      <c r="N1024" s="1439"/>
      <c r="O1024" s="1485"/>
      <c r="P1024" s="1486"/>
      <c r="Q1024" s="1486"/>
      <c r="R1024" s="1487"/>
      <c r="S1024" s="1444"/>
      <c r="T1024" s="1444"/>
      <c r="U1024" s="1444"/>
      <c r="V1024" s="1488"/>
      <c r="W1024" s="1488"/>
      <c r="X1024" s="1488"/>
      <c r="Y1024" s="1488"/>
      <c r="Z1024" s="1488"/>
      <c r="AA1024" s="1488"/>
      <c r="AB1024" s="1488"/>
      <c r="AC1024" s="1488"/>
      <c r="AD1024" s="1488"/>
      <c r="AE1024" s="1488"/>
      <c r="AF1024" s="1488"/>
      <c r="AG1024" s="1488"/>
      <c r="AH1024" s="1451">
        <f t="shared" si="548"/>
        <v>0</v>
      </c>
      <c r="AI1024" s="1488"/>
      <c r="AJ1024" s="1488"/>
      <c r="AK1024" s="1488"/>
      <c r="AL1024" s="1488"/>
      <c r="AM1024" s="1488"/>
      <c r="AN1024" s="1488"/>
      <c r="AO1024" s="1488"/>
      <c r="AP1024" s="1488"/>
      <c r="AQ1024" s="1488"/>
      <c r="AR1024" s="1488"/>
      <c r="AS1024" s="1488"/>
      <c r="AT1024" s="1542"/>
      <c r="AU1024" s="1599">
        <f t="shared" si="549"/>
        <v>0</v>
      </c>
      <c r="AV1024" s="1544">
        <f t="shared" si="577"/>
        <v>0</v>
      </c>
      <c r="AW1024" s="1452">
        <f t="shared" si="550"/>
        <v>0</v>
      </c>
      <c r="AX1024" s="1452">
        <f t="shared" si="551"/>
        <v>0</v>
      </c>
      <c r="AY1024" s="1452">
        <f t="shared" si="552"/>
        <v>0</v>
      </c>
      <c r="AZ1024" s="1452">
        <f t="shared" si="553"/>
        <v>0</v>
      </c>
      <c r="BA1024" s="1452">
        <f t="shared" si="554"/>
        <v>0</v>
      </c>
      <c r="BB1024" s="1452">
        <f t="shared" si="555"/>
        <v>0</v>
      </c>
      <c r="BC1024" s="1452">
        <f t="shared" si="556"/>
        <v>0</v>
      </c>
      <c r="BD1024" s="1452">
        <f t="shared" si="557"/>
        <v>0</v>
      </c>
      <c r="BE1024" s="1452">
        <f t="shared" si="558"/>
        <v>0</v>
      </c>
      <c r="BF1024" s="1452">
        <f t="shared" si="559"/>
        <v>0</v>
      </c>
      <c r="BG1024" s="1452">
        <f t="shared" si="560"/>
        <v>0</v>
      </c>
      <c r="BH1024" s="1452">
        <f t="shared" si="561"/>
        <v>0</v>
      </c>
      <c r="BI1024" s="1452">
        <f t="shared" si="578"/>
        <v>0</v>
      </c>
      <c r="BJ1024" s="1452" t="str">
        <f t="shared" si="562"/>
        <v/>
      </c>
      <c r="BK1024" s="1452" t="str">
        <f t="shared" si="563"/>
        <v/>
      </c>
      <c r="BL1024" s="1452" t="str">
        <f t="shared" si="564"/>
        <v/>
      </c>
      <c r="BM1024" s="1452" t="str">
        <f t="shared" si="565"/>
        <v/>
      </c>
      <c r="BN1024" s="1452" t="str">
        <f t="shared" ca="1" si="566"/>
        <v/>
      </c>
      <c r="BO1024" s="1452" t="str">
        <f t="shared" si="579"/>
        <v/>
      </c>
      <c r="BP1024" s="1452" t="str">
        <f t="shared" si="567"/>
        <v/>
      </c>
      <c r="BQ1024" s="1452" t="str">
        <f t="shared" si="568"/>
        <v/>
      </c>
      <c r="BR1024" s="1452" t="str">
        <f t="shared" si="569"/>
        <v/>
      </c>
      <c r="BS1024" s="1452" t="str">
        <f t="shared" si="570"/>
        <v/>
      </c>
      <c r="BT1024" s="1452" t="str">
        <f t="shared" si="571"/>
        <v/>
      </c>
      <c r="BU1024" s="1452" t="str">
        <f t="shared" si="572"/>
        <v/>
      </c>
      <c r="BV1024" s="1452" t="str">
        <f t="shared" si="573"/>
        <v/>
      </c>
      <c r="BW1024" s="1558">
        <f t="shared" ca="1" si="580"/>
        <v>0</v>
      </c>
    </row>
    <row r="1025" spans="1:151" s="9" customFormat="1" ht="12.5">
      <c r="A1025" s="1483" t="str">
        <f t="shared" si="574"/>
        <v>Public Health Wales Trust</v>
      </c>
      <c r="B1025" s="1583"/>
      <c r="C1025" s="1510"/>
      <c r="D1025" s="1494"/>
      <c r="E1025" s="1593"/>
      <c r="F1025" s="1436"/>
      <c r="G1025" s="1547">
        <f t="shared" si="575"/>
        <v>0</v>
      </c>
      <c r="H1025" s="1484"/>
      <c r="I1025" s="1547">
        <f t="shared" si="576"/>
        <v>0</v>
      </c>
      <c r="J1025" s="1495"/>
      <c r="K1025" s="1495"/>
      <c r="L1025" s="1436"/>
      <c r="M1025" s="1439"/>
      <c r="N1025" s="1439"/>
      <c r="O1025" s="1485"/>
      <c r="P1025" s="1486"/>
      <c r="Q1025" s="1486"/>
      <c r="R1025" s="1487"/>
      <c r="S1025" s="1444"/>
      <c r="T1025" s="1444"/>
      <c r="U1025" s="1444"/>
      <c r="V1025" s="1488"/>
      <c r="W1025" s="1488"/>
      <c r="X1025" s="1488"/>
      <c r="Y1025" s="1488"/>
      <c r="Z1025" s="1488"/>
      <c r="AA1025" s="1488"/>
      <c r="AB1025" s="1488"/>
      <c r="AC1025" s="1488"/>
      <c r="AD1025" s="1488"/>
      <c r="AE1025" s="1488"/>
      <c r="AF1025" s="1488"/>
      <c r="AG1025" s="1488"/>
      <c r="AH1025" s="1451">
        <f t="shared" si="548"/>
        <v>0</v>
      </c>
      <c r="AI1025" s="1488"/>
      <c r="AJ1025" s="1488"/>
      <c r="AK1025" s="1488"/>
      <c r="AL1025" s="1488"/>
      <c r="AM1025" s="1488"/>
      <c r="AN1025" s="1488"/>
      <c r="AO1025" s="1488"/>
      <c r="AP1025" s="1488"/>
      <c r="AQ1025" s="1488"/>
      <c r="AR1025" s="1488"/>
      <c r="AS1025" s="1488"/>
      <c r="AT1025" s="1542"/>
      <c r="AU1025" s="1599">
        <f t="shared" si="549"/>
        <v>0</v>
      </c>
      <c r="AV1025" s="1544">
        <f t="shared" si="577"/>
        <v>0</v>
      </c>
      <c r="AW1025" s="1452">
        <f t="shared" si="550"/>
        <v>0</v>
      </c>
      <c r="AX1025" s="1452">
        <f t="shared" si="551"/>
        <v>0</v>
      </c>
      <c r="AY1025" s="1452">
        <f t="shared" si="552"/>
        <v>0</v>
      </c>
      <c r="AZ1025" s="1452">
        <f t="shared" si="553"/>
        <v>0</v>
      </c>
      <c r="BA1025" s="1452">
        <f t="shared" si="554"/>
        <v>0</v>
      </c>
      <c r="BB1025" s="1452">
        <f t="shared" si="555"/>
        <v>0</v>
      </c>
      <c r="BC1025" s="1452">
        <f t="shared" si="556"/>
        <v>0</v>
      </c>
      <c r="BD1025" s="1452">
        <f t="shared" si="557"/>
        <v>0</v>
      </c>
      <c r="BE1025" s="1452">
        <f t="shared" si="558"/>
        <v>0</v>
      </c>
      <c r="BF1025" s="1452">
        <f t="shared" si="559"/>
        <v>0</v>
      </c>
      <c r="BG1025" s="1452">
        <f t="shared" si="560"/>
        <v>0</v>
      </c>
      <c r="BH1025" s="1452">
        <f t="shared" si="561"/>
        <v>0</v>
      </c>
      <c r="BI1025" s="1452">
        <f t="shared" si="578"/>
        <v>0</v>
      </c>
      <c r="BJ1025" s="1452" t="str">
        <f t="shared" si="562"/>
        <v/>
      </c>
      <c r="BK1025" s="1452" t="str">
        <f t="shared" si="563"/>
        <v/>
      </c>
      <c r="BL1025" s="1452" t="str">
        <f t="shared" si="564"/>
        <v/>
      </c>
      <c r="BM1025" s="1452" t="str">
        <f t="shared" si="565"/>
        <v/>
      </c>
      <c r="BN1025" s="1452" t="str">
        <f t="shared" ca="1" si="566"/>
        <v/>
      </c>
      <c r="BO1025" s="1452" t="str">
        <f t="shared" si="579"/>
        <v/>
      </c>
      <c r="BP1025" s="1452" t="str">
        <f t="shared" si="567"/>
        <v/>
      </c>
      <c r="BQ1025" s="1452" t="str">
        <f t="shared" si="568"/>
        <v/>
      </c>
      <c r="BR1025" s="1452" t="str">
        <f t="shared" si="569"/>
        <v/>
      </c>
      <c r="BS1025" s="1452" t="str">
        <f t="shared" si="570"/>
        <v/>
      </c>
      <c r="BT1025" s="1452" t="str">
        <f t="shared" si="571"/>
        <v/>
      </c>
      <c r="BU1025" s="1452" t="str">
        <f t="shared" si="572"/>
        <v/>
      </c>
      <c r="BV1025" s="1452" t="str">
        <f t="shared" si="573"/>
        <v/>
      </c>
      <c r="BW1025" s="1558">
        <f t="shared" ca="1" si="580"/>
        <v>0</v>
      </c>
    </row>
    <row r="1026" spans="1:151" s="9" customFormat="1" ht="12.5">
      <c r="A1026" s="1483" t="str">
        <f t="shared" si="574"/>
        <v>Public Health Wales Trust</v>
      </c>
      <c r="B1026" s="1583"/>
      <c r="C1026" s="1583"/>
      <c r="D1026" s="1509"/>
      <c r="E1026" s="1436"/>
      <c r="F1026" s="1436"/>
      <c r="G1026" s="1547">
        <f t="shared" si="575"/>
        <v>0</v>
      </c>
      <c r="H1026" s="1484"/>
      <c r="I1026" s="1547">
        <f t="shared" si="576"/>
        <v>0</v>
      </c>
      <c r="J1026" s="1495"/>
      <c r="K1026" s="1495"/>
      <c r="L1026" s="1436"/>
      <c r="M1026" s="1439"/>
      <c r="N1026" s="1439"/>
      <c r="O1026" s="1485"/>
      <c r="P1026" s="1486"/>
      <c r="Q1026" s="1486"/>
      <c r="R1026" s="1487"/>
      <c r="S1026" s="1444"/>
      <c r="T1026" s="1444"/>
      <c r="U1026" s="1444"/>
      <c r="V1026" s="1488"/>
      <c r="W1026" s="1488"/>
      <c r="X1026" s="1488"/>
      <c r="Y1026" s="1488"/>
      <c r="Z1026" s="1488"/>
      <c r="AA1026" s="1488"/>
      <c r="AB1026" s="1488"/>
      <c r="AC1026" s="1488"/>
      <c r="AD1026" s="1488"/>
      <c r="AE1026" s="1488"/>
      <c r="AF1026" s="1488"/>
      <c r="AG1026" s="1488"/>
      <c r="AH1026" s="1451">
        <f t="shared" si="548"/>
        <v>0</v>
      </c>
      <c r="AI1026" s="1488"/>
      <c r="AJ1026" s="1488"/>
      <c r="AK1026" s="1488"/>
      <c r="AL1026" s="1488"/>
      <c r="AM1026" s="1488"/>
      <c r="AN1026" s="1488"/>
      <c r="AO1026" s="1488"/>
      <c r="AP1026" s="1488"/>
      <c r="AQ1026" s="1488"/>
      <c r="AR1026" s="1488"/>
      <c r="AS1026" s="1488"/>
      <c r="AT1026" s="1542"/>
      <c r="AU1026" s="1599">
        <f t="shared" si="549"/>
        <v>0</v>
      </c>
      <c r="AV1026" s="1544">
        <f t="shared" si="577"/>
        <v>0</v>
      </c>
      <c r="AW1026" s="1452">
        <f t="shared" si="550"/>
        <v>0</v>
      </c>
      <c r="AX1026" s="1452">
        <f t="shared" si="551"/>
        <v>0</v>
      </c>
      <c r="AY1026" s="1452">
        <f t="shared" si="552"/>
        <v>0</v>
      </c>
      <c r="AZ1026" s="1452">
        <f t="shared" si="553"/>
        <v>0</v>
      </c>
      <c r="BA1026" s="1452">
        <f t="shared" si="554"/>
        <v>0</v>
      </c>
      <c r="BB1026" s="1452">
        <f t="shared" si="555"/>
        <v>0</v>
      </c>
      <c r="BC1026" s="1452">
        <f t="shared" si="556"/>
        <v>0</v>
      </c>
      <c r="BD1026" s="1452">
        <f t="shared" si="557"/>
        <v>0</v>
      </c>
      <c r="BE1026" s="1452">
        <f t="shared" si="558"/>
        <v>0</v>
      </c>
      <c r="BF1026" s="1452">
        <f t="shared" si="559"/>
        <v>0</v>
      </c>
      <c r="BG1026" s="1452">
        <f t="shared" si="560"/>
        <v>0</v>
      </c>
      <c r="BH1026" s="1452">
        <f t="shared" si="561"/>
        <v>0</v>
      </c>
      <c r="BI1026" s="1452">
        <f t="shared" si="578"/>
        <v>0</v>
      </c>
      <c r="BJ1026" s="1452" t="str">
        <f t="shared" si="562"/>
        <v/>
      </c>
      <c r="BK1026" s="1452" t="str">
        <f t="shared" si="563"/>
        <v/>
      </c>
      <c r="BL1026" s="1452" t="str">
        <f t="shared" si="564"/>
        <v/>
      </c>
      <c r="BM1026" s="1452" t="str">
        <f t="shared" si="565"/>
        <v/>
      </c>
      <c r="BN1026" s="1452" t="str">
        <f t="shared" ca="1" si="566"/>
        <v/>
      </c>
      <c r="BO1026" s="1452" t="str">
        <f t="shared" si="579"/>
        <v/>
      </c>
      <c r="BP1026" s="1452" t="str">
        <f t="shared" si="567"/>
        <v/>
      </c>
      <c r="BQ1026" s="1452" t="str">
        <f t="shared" si="568"/>
        <v/>
      </c>
      <c r="BR1026" s="1452" t="str">
        <f t="shared" si="569"/>
        <v/>
      </c>
      <c r="BS1026" s="1452" t="str">
        <f t="shared" si="570"/>
        <v/>
      </c>
      <c r="BT1026" s="1452" t="str">
        <f t="shared" si="571"/>
        <v/>
      </c>
      <c r="BU1026" s="1452" t="str">
        <f t="shared" si="572"/>
        <v/>
      </c>
      <c r="BV1026" s="1452" t="str">
        <f t="shared" si="573"/>
        <v/>
      </c>
      <c r="BW1026" s="1558">
        <f t="shared" ca="1" si="580"/>
        <v>0</v>
      </c>
    </row>
    <row r="1027" spans="1:151" s="9" customFormat="1" ht="12.5">
      <c r="A1027" s="1483" t="str">
        <f t="shared" si="574"/>
        <v>Public Health Wales Trust</v>
      </c>
      <c r="B1027" s="1583"/>
      <c r="C1027" s="1583"/>
      <c r="D1027" s="1509"/>
      <c r="E1027" s="1436"/>
      <c r="F1027" s="1436"/>
      <c r="G1027" s="1547">
        <f t="shared" si="575"/>
        <v>0</v>
      </c>
      <c r="H1027" s="1484"/>
      <c r="I1027" s="1547">
        <f t="shared" si="576"/>
        <v>0</v>
      </c>
      <c r="J1027" s="1495"/>
      <c r="K1027" s="1495"/>
      <c r="L1027" s="1436"/>
      <c r="M1027" s="1439"/>
      <c r="N1027" s="1439"/>
      <c r="O1027" s="1485"/>
      <c r="P1027" s="1486"/>
      <c r="Q1027" s="1486"/>
      <c r="R1027" s="1487"/>
      <c r="S1027" s="1444"/>
      <c r="T1027" s="1444"/>
      <c r="U1027" s="1444"/>
      <c r="V1027" s="1488"/>
      <c r="W1027" s="1488"/>
      <c r="X1027" s="1488"/>
      <c r="Y1027" s="1488"/>
      <c r="Z1027" s="1488"/>
      <c r="AA1027" s="1488"/>
      <c r="AB1027" s="1488"/>
      <c r="AC1027" s="1488"/>
      <c r="AD1027" s="1488"/>
      <c r="AE1027" s="1488"/>
      <c r="AF1027" s="1488"/>
      <c r="AG1027" s="1488"/>
      <c r="AH1027" s="1451">
        <f t="shared" si="548"/>
        <v>0</v>
      </c>
      <c r="AI1027" s="1488"/>
      <c r="AJ1027" s="1488"/>
      <c r="AK1027" s="1488"/>
      <c r="AL1027" s="1488"/>
      <c r="AM1027" s="1488"/>
      <c r="AN1027" s="1488"/>
      <c r="AO1027" s="1488"/>
      <c r="AP1027" s="1488"/>
      <c r="AQ1027" s="1488"/>
      <c r="AR1027" s="1488"/>
      <c r="AS1027" s="1488"/>
      <c r="AT1027" s="1542"/>
      <c r="AU1027" s="1599">
        <f t="shared" si="549"/>
        <v>0</v>
      </c>
      <c r="AV1027" s="1544">
        <f t="shared" si="577"/>
        <v>0</v>
      </c>
      <c r="AW1027" s="1452">
        <f t="shared" si="550"/>
        <v>0</v>
      </c>
      <c r="AX1027" s="1452">
        <f t="shared" si="551"/>
        <v>0</v>
      </c>
      <c r="AY1027" s="1452">
        <f t="shared" si="552"/>
        <v>0</v>
      </c>
      <c r="AZ1027" s="1452">
        <f t="shared" si="553"/>
        <v>0</v>
      </c>
      <c r="BA1027" s="1452">
        <f t="shared" si="554"/>
        <v>0</v>
      </c>
      <c r="BB1027" s="1452">
        <f t="shared" si="555"/>
        <v>0</v>
      </c>
      <c r="BC1027" s="1452">
        <f t="shared" si="556"/>
        <v>0</v>
      </c>
      <c r="BD1027" s="1452">
        <f t="shared" si="557"/>
        <v>0</v>
      </c>
      <c r="BE1027" s="1452">
        <f t="shared" si="558"/>
        <v>0</v>
      </c>
      <c r="BF1027" s="1452">
        <f t="shared" si="559"/>
        <v>0</v>
      </c>
      <c r="BG1027" s="1452">
        <f t="shared" si="560"/>
        <v>0</v>
      </c>
      <c r="BH1027" s="1452">
        <f t="shared" si="561"/>
        <v>0</v>
      </c>
      <c r="BI1027" s="1452">
        <f t="shared" si="578"/>
        <v>0</v>
      </c>
      <c r="BJ1027" s="1452" t="str">
        <f t="shared" si="562"/>
        <v/>
      </c>
      <c r="BK1027" s="1452" t="str">
        <f t="shared" si="563"/>
        <v/>
      </c>
      <c r="BL1027" s="1452" t="str">
        <f t="shared" si="564"/>
        <v/>
      </c>
      <c r="BM1027" s="1452" t="str">
        <f t="shared" si="565"/>
        <v/>
      </c>
      <c r="BN1027" s="1452" t="str">
        <f t="shared" ca="1" si="566"/>
        <v/>
      </c>
      <c r="BO1027" s="1452" t="str">
        <f t="shared" si="579"/>
        <v/>
      </c>
      <c r="BP1027" s="1452" t="str">
        <f t="shared" si="567"/>
        <v/>
      </c>
      <c r="BQ1027" s="1452" t="str">
        <f t="shared" si="568"/>
        <v/>
      </c>
      <c r="BR1027" s="1452" t="str">
        <f t="shared" si="569"/>
        <v/>
      </c>
      <c r="BS1027" s="1452" t="str">
        <f t="shared" si="570"/>
        <v/>
      </c>
      <c r="BT1027" s="1452" t="str">
        <f t="shared" si="571"/>
        <v/>
      </c>
      <c r="BU1027" s="1452" t="str">
        <f t="shared" si="572"/>
        <v/>
      </c>
      <c r="BV1027" s="1452" t="str">
        <f t="shared" si="573"/>
        <v/>
      </c>
      <c r="BW1027" s="1558">
        <f t="shared" ca="1" si="580"/>
        <v>0</v>
      </c>
    </row>
    <row r="1028" spans="1:151" s="9" customFormat="1" ht="12.5">
      <c r="A1028" s="1483" t="str">
        <f t="shared" si="574"/>
        <v>Public Health Wales Trust</v>
      </c>
      <c r="B1028" s="1583"/>
      <c r="C1028" s="1583"/>
      <c r="D1028" s="1509"/>
      <c r="E1028" s="1436"/>
      <c r="F1028" s="1436"/>
      <c r="G1028" s="1547">
        <f t="shared" si="575"/>
        <v>0</v>
      </c>
      <c r="H1028" s="1484"/>
      <c r="I1028" s="1547">
        <f t="shared" si="576"/>
        <v>0</v>
      </c>
      <c r="J1028" s="1495"/>
      <c r="K1028" s="1495"/>
      <c r="L1028" s="1436"/>
      <c r="M1028" s="1439"/>
      <c r="N1028" s="1439"/>
      <c r="O1028" s="1485"/>
      <c r="P1028" s="1486"/>
      <c r="Q1028" s="1486"/>
      <c r="R1028" s="1487"/>
      <c r="S1028" s="1444"/>
      <c r="T1028" s="1444"/>
      <c r="U1028" s="1444"/>
      <c r="V1028" s="1488"/>
      <c r="W1028" s="1488"/>
      <c r="X1028" s="1488"/>
      <c r="Y1028" s="1488"/>
      <c r="Z1028" s="1488"/>
      <c r="AA1028" s="1488"/>
      <c r="AB1028" s="1488"/>
      <c r="AC1028" s="1488"/>
      <c r="AD1028" s="1488"/>
      <c r="AE1028" s="1488"/>
      <c r="AF1028" s="1488"/>
      <c r="AG1028" s="1488"/>
      <c r="AH1028" s="1451">
        <f t="shared" si="548"/>
        <v>0</v>
      </c>
      <c r="AI1028" s="1488"/>
      <c r="AJ1028" s="1488"/>
      <c r="AK1028" s="1488"/>
      <c r="AL1028" s="1488"/>
      <c r="AM1028" s="1488"/>
      <c r="AN1028" s="1488"/>
      <c r="AO1028" s="1488"/>
      <c r="AP1028" s="1488"/>
      <c r="AQ1028" s="1488"/>
      <c r="AR1028" s="1488"/>
      <c r="AS1028" s="1488"/>
      <c r="AT1028" s="1542"/>
      <c r="AU1028" s="1599">
        <f t="shared" si="549"/>
        <v>0</v>
      </c>
      <c r="AV1028" s="1544">
        <f t="shared" si="577"/>
        <v>0</v>
      </c>
      <c r="AW1028" s="1452">
        <f t="shared" si="550"/>
        <v>0</v>
      </c>
      <c r="AX1028" s="1452">
        <f t="shared" si="551"/>
        <v>0</v>
      </c>
      <c r="AY1028" s="1452">
        <f t="shared" si="552"/>
        <v>0</v>
      </c>
      <c r="AZ1028" s="1452">
        <f t="shared" si="553"/>
        <v>0</v>
      </c>
      <c r="BA1028" s="1452">
        <f t="shared" si="554"/>
        <v>0</v>
      </c>
      <c r="BB1028" s="1452">
        <f t="shared" si="555"/>
        <v>0</v>
      </c>
      <c r="BC1028" s="1452">
        <f t="shared" si="556"/>
        <v>0</v>
      </c>
      <c r="BD1028" s="1452">
        <f t="shared" si="557"/>
        <v>0</v>
      </c>
      <c r="BE1028" s="1452">
        <f t="shared" si="558"/>
        <v>0</v>
      </c>
      <c r="BF1028" s="1452">
        <f t="shared" si="559"/>
        <v>0</v>
      </c>
      <c r="BG1028" s="1452">
        <f t="shared" si="560"/>
        <v>0</v>
      </c>
      <c r="BH1028" s="1452">
        <f t="shared" si="561"/>
        <v>0</v>
      </c>
      <c r="BI1028" s="1452">
        <f t="shared" si="578"/>
        <v>0</v>
      </c>
      <c r="BJ1028" s="1452" t="str">
        <f t="shared" si="562"/>
        <v/>
      </c>
      <c r="BK1028" s="1452" t="str">
        <f t="shared" si="563"/>
        <v/>
      </c>
      <c r="BL1028" s="1452" t="str">
        <f t="shared" si="564"/>
        <v/>
      </c>
      <c r="BM1028" s="1452" t="str">
        <f t="shared" si="565"/>
        <v/>
      </c>
      <c r="BN1028" s="1452" t="str">
        <f t="shared" ca="1" si="566"/>
        <v/>
      </c>
      <c r="BO1028" s="1452" t="str">
        <f t="shared" si="579"/>
        <v/>
      </c>
      <c r="BP1028" s="1452" t="str">
        <f t="shared" si="567"/>
        <v/>
      </c>
      <c r="BQ1028" s="1452" t="str">
        <f t="shared" si="568"/>
        <v/>
      </c>
      <c r="BR1028" s="1452" t="str">
        <f t="shared" si="569"/>
        <v/>
      </c>
      <c r="BS1028" s="1452" t="str">
        <f t="shared" si="570"/>
        <v/>
      </c>
      <c r="BT1028" s="1452" t="str">
        <f t="shared" si="571"/>
        <v/>
      </c>
      <c r="BU1028" s="1452" t="str">
        <f t="shared" si="572"/>
        <v/>
      </c>
      <c r="BV1028" s="1452" t="str">
        <f t="shared" si="573"/>
        <v/>
      </c>
      <c r="BW1028" s="1558">
        <f t="shared" ca="1" si="580"/>
        <v>0</v>
      </c>
    </row>
    <row r="1029" spans="1:151" s="9" customFormat="1" ht="12.5">
      <c r="A1029" s="1483" t="str">
        <f t="shared" si="574"/>
        <v>Public Health Wales Trust</v>
      </c>
      <c r="B1029" s="1583"/>
      <c r="C1029" s="1583"/>
      <c r="D1029" s="1583"/>
      <c r="E1029" s="1581"/>
      <c r="F1029" s="1436"/>
      <c r="G1029" s="1547">
        <f t="shared" si="575"/>
        <v>0</v>
      </c>
      <c r="H1029" s="1484"/>
      <c r="I1029" s="1547">
        <f t="shared" si="576"/>
        <v>0</v>
      </c>
      <c r="J1029" s="1516"/>
      <c r="K1029" s="1516"/>
      <c r="L1029" s="1436"/>
      <c r="M1029" s="1439"/>
      <c r="N1029" s="1439"/>
      <c r="O1029" s="1485"/>
      <c r="P1029" s="1486"/>
      <c r="Q1029" s="1486"/>
      <c r="R1029" s="1487"/>
      <c r="S1029" s="1444"/>
      <c r="T1029" s="1444"/>
      <c r="U1029" s="1444"/>
      <c r="V1029" s="1488"/>
      <c r="W1029" s="1488"/>
      <c r="X1029" s="1488"/>
      <c r="Y1029" s="1488"/>
      <c r="Z1029" s="1488"/>
      <c r="AA1029" s="1488"/>
      <c r="AB1029" s="1488"/>
      <c r="AC1029" s="1488"/>
      <c r="AD1029" s="1488"/>
      <c r="AE1029" s="1488"/>
      <c r="AF1029" s="1488"/>
      <c r="AG1029" s="1488"/>
      <c r="AH1029" s="1451">
        <f t="shared" si="548"/>
        <v>0</v>
      </c>
      <c r="AI1029" s="1488"/>
      <c r="AJ1029" s="1488"/>
      <c r="AK1029" s="1488"/>
      <c r="AL1029" s="1488"/>
      <c r="AM1029" s="1488"/>
      <c r="AN1029" s="1488"/>
      <c r="AO1029" s="1488"/>
      <c r="AP1029" s="1488"/>
      <c r="AQ1029" s="1488"/>
      <c r="AR1029" s="1488"/>
      <c r="AS1029" s="1488"/>
      <c r="AT1029" s="1542"/>
      <c r="AU1029" s="1599">
        <f t="shared" si="549"/>
        <v>0</v>
      </c>
      <c r="AV1029" s="1544">
        <f t="shared" si="577"/>
        <v>0</v>
      </c>
      <c r="AW1029" s="1452">
        <f t="shared" si="550"/>
        <v>0</v>
      </c>
      <c r="AX1029" s="1452">
        <f t="shared" si="551"/>
        <v>0</v>
      </c>
      <c r="AY1029" s="1452">
        <f t="shared" si="552"/>
        <v>0</v>
      </c>
      <c r="AZ1029" s="1452">
        <f t="shared" si="553"/>
        <v>0</v>
      </c>
      <c r="BA1029" s="1452">
        <f t="shared" si="554"/>
        <v>0</v>
      </c>
      <c r="BB1029" s="1452">
        <f t="shared" si="555"/>
        <v>0</v>
      </c>
      <c r="BC1029" s="1452">
        <f t="shared" si="556"/>
        <v>0</v>
      </c>
      <c r="BD1029" s="1452">
        <f t="shared" si="557"/>
        <v>0</v>
      </c>
      <c r="BE1029" s="1452">
        <f t="shared" si="558"/>
        <v>0</v>
      </c>
      <c r="BF1029" s="1452">
        <f t="shared" si="559"/>
        <v>0</v>
      </c>
      <c r="BG1029" s="1452">
        <f t="shared" si="560"/>
        <v>0</v>
      </c>
      <c r="BH1029" s="1452">
        <f t="shared" si="561"/>
        <v>0</v>
      </c>
      <c r="BI1029" s="1452">
        <f t="shared" si="578"/>
        <v>0</v>
      </c>
      <c r="BJ1029" s="1452" t="str">
        <f t="shared" si="562"/>
        <v/>
      </c>
      <c r="BK1029" s="1452" t="str">
        <f t="shared" si="563"/>
        <v/>
      </c>
      <c r="BL1029" s="1452" t="str">
        <f t="shared" si="564"/>
        <v/>
      </c>
      <c r="BM1029" s="1452" t="str">
        <f t="shared" si="565"/>
        <v/>
      </c>
      <c r="BN1029" s="1452" t="str">
        <f t="shared" ca="1" si="566"/>
        <v/>
      </c>
      <c r="BO1029" s="1452" t="str">
        <f t="shared" si="579"/>
        <v/>
      </c>
      <c r="BP1029" s="1452" t="str">
        <f t="shared" si="567"/>
        <v/>
      </c>
      <c r="BQ1029" s="1452" t="str">
        <f t="shared" si="568"/>
        <v/>
      </c>
      <c r="BR1029" s="1452" t="str">
        <f t="shared" si="569"/>
        <v/>
      </c>
      <c r="BS1029" s="1452" t="str">
        <f t="shared" si="570"/>
        <v/>
      </c>
      <c r="BT1029" s="1452" t="str">
        <f t="shared" si="571"/>
        <v/>
      </c>
      <c r="BU1029" s="1452" t="str">
        <f t="shared" si="572"/>
        <v/>
      </c>
      <c r="BV1029" s="1452" t="str">
        <f t="shared" si="573"/>
        <v/>
      </c>
      <c r="BW1029" s="1558">
        <f t="shared" ca="1" si="580"/>
        <v>0</v>
      </c>
    </row>
    <row r="1030" spans="1:151" s="9" customFormat="1" ht="12.5">
      <c r="A1030" s="1483" t="str">
        <f t="shared" si="574"/>
        <v>Public Health Wales Trust</v>
      </c>
      <c r="B1030" s="1583"/>
      <c r="C1030" s="1583"/>
      <c r="D1030" s="1583"/>
      <c r="E1030" s="1581"/>
      <c r="F1030" s="1436"/>
      <c r="G1030" s="1547">
        <f t="shared" si="575"/>
        <v>0</v>
      </c>
      <c r="H1030" s="1484"/>
      <c r="I1030" s="1547">
        <f t="shared" si="576"/>
        <v>0</v>
      </c>
      <c r="J1030" s="1516"/>
      <c r="K1030" s="1516"/>
      <c r="L1030" s="1436"/>
      <c r="M1030" s="1439"/>
      <c r="N1030" s="1439"/>
      <c r="O1030" s="1485"/>
      <c r="P1030" s="1486"/>
      <c r="Q1030" s="1486"/>
      <c r="R1030" s="1487"/>
      <c r="S1030" s="1444"/>
      <c r="T1030" s="1444"/>
      <c r="U1030" s="1444"/>
      <c r="V1030" s="1488"/>
      <c r="W1030" s="1488"/>
      <c r="X1030" s="1488"/>
      <c r="Y1030" s="1488"/>
      <c r="Z1030" s="1488"/>
      <c r="AA1030" s="1488"/>
      <c r="AB1030" s="1488"/>
      <c r="AC1030" s="1488"/>
      <c r="AD1030" s="1488"/>
      <c r="AE1030" s="1488"/>
      <c r="AF1030" s="1488"/>
      <c r="AG1030" s="1488"/>
      <c r="AH1030" s="1451">
        <f t="shared" si="548"/>
        <v>0</v>
      </c>
      <c r="AI1030" s="1488"/>
      <c r="AJ1030" s="1488"/>
      <c r="AK1030" s="1488"/>
      <c r="AL1030" s="1488"/>
      <c r="AM1030" s="1488"/>
      <c r="AN1030" s="1488"/>
      <c r="AO1030" s="1488"/>
      <c r="AP1030" s="1488"/>
      <c r="AQ1030" s="1488"/>
      <c r="AR1030" s="1488"/>
      <c r="AS1030" s="1488"/>
      <c r="AT1030" s="1542"/>
      <c r="AU1030" s="1599">
        <f t="shared" si="549"/>
        <v>0</v>
      </c>
      <c r="AV1030" s="1544">
        <f t="shared" si="577"/>
        <v>0</v>
      </c>
      <c r="AW1030" s="1452">
        <f t="shared" si="550"/>
        <v>0</v>
      </c>
      <c r="AX1030" s="1452">
        <f t="shared" si="551"/>
        <v>0</v>
      </c>
      <c r="AY1030" s="1452">
        <f t="shared" si="552"/>
        <v>0</v>
      </c>
      <c r="AZ1030" s="1452">
        <f t="shared" si="553"/>
        <v>0</v>
      </c>
      <c r="BA1030" s="1452">
        <f t="shared" si="554"/>
        <v>0</v>
      </c>
      <c r="BB1030" s="1452">
        <f t="shared" si="555"/>
        <v>0</v>
      </c>
      <c r="BC1030" s="1452">
        <f t="shared" si="556"/>
        <v>0</v>
      </c>
      <c r="BD1030" s="1452">
        <f t="shared" si="557"/>
        <v>0</v>
      </c>
      <c r="BE1030" s="1452">
        <f t="shared" si="558"/>
        <v>0</v>
      </c>
      <c r="BF1030" s="1452">
        <f t="shared" si="559"/>
        <v>0</v>
      </c>
      <c r="BG1030" s="1452">
        <f t="shared" si="560"/>
        <v>0</v>
      </c>
      <c r="BH1030" s="1452">
        <f t="shared" si="561"/>
        <v>0</v>
      </c>
      <c r="BI1030" s="1452">
        <f t="shared" si="578"/>
        <v>0</v>
      </c>
      <c r="BJ1030" s="1452" t="str">
        <f t="shared" si="562"/>
        <v/>
      </c>
      <c r="BK1030" s="1452" t="str">
        <f t="shared" si="563"/>
        <v/>
      </c>
      <c r="BL1030" s="1452" t="str">
        <f t="shared" si="564"/>
        <v/>
      </c>
      <c r="BM1030" s="1452" t="str">
        <f t="shared" si="565"/>
        <v/>
      </c>
      <c r="BN1030" s="1452" t="str">
        <f t="shared" ca="1" si="566"/>
        <v/>
      </c>
      <c r="BO1030" s="1452" t="str">
        <f t="shared" si="579"/>
        <v/>
      </c>
      <c r="BP1030" s="1452" t="str">
        <f t="shared" si="567"/>
        <v/>
      </c>
      <c r="BQ1030" s="1452" t="str">
        <f t="shared" si="568"/>
        <v/>
      </c>
      <c r="BR1030" s="1452" t="str">
        <f t="shared" si="569"/>
        <v/>
      </c>
      <c r="BS1030" s="1452" t="str">
        <f t="shared" si="570"/>
        <v/>
      </c>
      <c r="BT1030" s="1452" t="str">
        <f t="shared" si="571"/>
        <v/>
      </c>
      <c r="BU1030" s="1452" t="str">
        <f t="shared" si="572"/>
        <v/>
      </c>
      <c r="BV1030" s="1452" t="str">
        <f t="shared" si="573"/>
        <v/>
      </c>
      <c r="BW1030" s="1558">
        <f t="shared" ca="1" si="580"/>
        <v>0</v>
      </c>
    </row>
    <row r="1031" spans="1:151" s="9" customFormat="1" ht="12.5">
      <c r="A1031" s="1483" t="str">
        <f t="shared" si="574"/>
        <v>Public Health Wales Trust</v>
      </c>
      <c r="B1031" s="1583"/>
      <c r="C1031" s="1583"/>
      <c r="D1031" s="1583"/>
      <c r="E1031" s="1581"/>
      <c r="F1031" s="1436"/>
      <c r="G1031" s="1547">
        <f t="shared" si="575"/>
        <v>0</v>
      </c>
      <c r="H1031" s="1484"/>
      <c r="I1031" s="1547">
        <f t="shared" si="576"/>
        <v>0</v>
      </c>
      <c r="J1031" s="1516"/>
      <c r="K1031" s="1516"/>
      <c r="L1031" s="1436"/>
      <c r="M1031" s="1439"/>
      <c r="N1031" s="1439"/>
      <c r="O1031" s="1485"/>
      <c r="P1031" s="1486"/>
      <c r="Q1031" s="1486"/>
      <c r="R1031" s="1487"/>
      <c r="S1031" s="1444"/>
      <c r="T1031" s="1444"/>
      <c r="U1031" s="1444"/>
      <c r="V1031" s="1488"/>
      <c r="W1031" s="1488"/>
      <c r="X1031" s="1488"/>
      <c r="Y1031" s="1488"/>
      <c r="Z1031" s="1488"/>
      <c r="AA1031" s="1488"/>
      <c r="AB1031" s="1488"/>
      <c r="AC1031" s="1488"/>
      <c r="AD1031" s="1488"/>
      <c r="AE1031" s="1488"/>
      <c r="AF1031" s="1488"/>
      <c r="AG1031" s="1488"/>
      <c r="AH1031" s="1451">
        <f t="shared" si="548"/>
        <v>0</v>
      </c>
      <c r="AI1031" s="1488"/>
      <c r="AJ1031" s="1488"/>
      <c r="AK1031" s="1488"/>
      <c r="AL1031" s="1488"/>
      <c r="AM1031" s="1488"/>
      <c r="AN1031" s="1488"/>
      <c r="AO1031" s="1488"/>
      <c r="AP1031" s="1488"/>
      <c r="AQ1031" s="1488"/>
      <c r="AR1031" s="1488"/>
      <c r="AS1031" s="1488"/>
      <c r="AT1031" s="1542"/>
      <c r="AU1031" s="1599">
        <f t="shared" si="549"/>
        <v>0</v>
      </c>
      <c r="AV1031" s="1544">
        <f t="shared" si="577"/>
        <v>0</v>
      </c>
      <c r="AW1031" s="1452">
        <f t="shared" si="550"/>
        <v>0</v>
      </c>
      <c r="AX1031" s="1452">
        <f t="shared" si="551"/>
        <v>0</v>
      </c>
      <c r="AY1031" s="1452">
        <f t="shared" si="552"/>
        <v>0</v>
      </c>
      <c r="AZ1031" s="1452">
        <f t="shared" si="553"/>
        <v>0</v>
      </c>
      <c r="BA1031" s="1452">
        <f t="shared" si="554"/>
        <v>0</v>
      </c>
      <c r="BB1031" s="1452">
        <f t="shared" si="555"/>
        <v>0</v>
      </c>
      <c r="BC1031" s="1452">
        <f t="shared" si="556"/>
        <v>0</v>
      </c>
      <c r="BD1031" s="1452">
        <f t="shared" si="557"/>
        <v>0</v>
      </c>
      <c r="BE1031" s="1452">
        <f t="shared" si="558"/>
        <v>0</v>
      </c>
      <c r="BF1031" s="1452">
        <f t="shared" si="559"/>
        <v>0</v>
      </c>
      <c r="BG1031" s="1452">
        <f t="shared" si="560"/>
        <v>0</v>
      </c>
      <c r="BH1031" s="1452">
        <f t="shared" si="561"/>
        <v>0</v>
      </c>
      <c r="BI1031" s="1452">
        <f t="shared" si="578"/>
        <v>0</v>
      </c>
      <c r="BJ1031" s="1452" t="str">
        <f t="shared" si="562"/>
        <v/>
      </c>
      <c r="BK1031" s="1452" t="str">
        <f t="shared" si="563"/>
        <v/>
      </c>
      <c r="BL1031" s="1452" t="str">
        <f t="shared" si="564"/>
        <v/>
      </c>
      <c r="BM1031" s="1452" t="str">
        <f t="shared" si="565"/>
        <v/>
      </c>
      <c r="BN1031" s="1452" t="str">
        <f t="shared" ca="1" si="566"/>
        <v/>
      </c>
      <c r="BO1031" s="1452" t="str">
        <f t="shared" si="579"/>
        <v/>
      </c>
      <c r="BP1031" s="1452" t="str">
        <f t="shared" si="567"/>
        <v/>
      </c>
      <c r="BQ1031" s="1452" t="str">
        <f t="shared" si="568"/>
        <v/>
      </c>
      <c r="BR1031" s="1452" t="str">
        <f t="shared" si="569"/>
        <v/>
      </c>
      <c r="BS1031" s="1452" t="str">
        <f t="shared" si="570"/>
        <v/>
      </c>
      <c r="BT1031" s="1452" t="str">
        <f t="shared" si="571"/>
        <v/>
      </c>
      <c r="BU1031" s="1452" t="str">
        <f t="shared" si="572"/>
        <v/>
      </c>
      <c r="BV1031" s="1452" t="str">
        <f t="shared" si="573"/>
        <v/>
      </c>
      <c r="BW1031" s="1558">
        <f t="shared" ca="1" si="580"/>
        <v>0</v>
      </c>
    </row>
    <row r="1032" spans="1:151" s="9" customFormat="1" ht="12.5">
      <c r="A1032" s="1483" t="str">
        <f t="shared" si="574"/>
        <v>Public Health Wales Trust</v>
      </c>
      <c r="B1032" s="1583"/>
      <c r="C1032" s="1583"/>
      <c r="D1032" s="1583"/>
      <c r="E1032" s="1581"/>
      <c r="F1032" s="1436"/>
      <c r="G1032" s="1547">
        <f t="shared" si="575"/>
        <v>0</v>
      </c>
      <c r="H1032" s="1484"/>
      <c r="I1032" s="1547">
        <f t="shared" si="576"/>
        <v>0</v>
      </c>
      <c r="J1032" s="1516"/>
      <c r="K1032" s="1516"/>
      <c r="L1032" s="1436"/>
      <c r="M1032" s="1439"/>
      <c r="N1032" s="1439"/>
      <c r="O1032" s="1485"/>
      <c r="P1032" s="1486"/>
      <c r="Q1032" s="1486"/>
      <c r="R1032" s="1487"/>
      <c r="S1032" s="1444"/>
      <c r="T1032" s="1444"/>
      <c r="U1032" s="1444"/>
      <c r="V1032" s="1488"/>
      <c r="W1032" s="1488"/>
      <c r="X1032" s="1488"/>
      <c r="Y1032" s="1488"/>
      <c r="Z1032" s="1488"/>
      <c r="AA1032" s="1488"/>
      <c r="AB1032" s="1488"/>
      <c r="AC1032" s="1488"/>
      <c r="AD1032" s="1488"/>
      <c r="AE1032" s="1488"/>
      <c r="AF1032" s="1488"/>
      <c r="AG1032" s="1488"/>
      <c r="AH1032" s="1451">
        <f t="shared" si="548"/>
        <v>0</v>
      </c>
      <c r="AI1032" s="1488"/>
      <c r="AJ1032" s="1488"/>
      <c r="AK1032" s="1488"/>
      <c r="AL1032" s="1488"/>
      <c r="AM1032" s="1488"/>
      <c r="AN1032" s="1488"/>
      <c r="AO1032" s="1488"/>
      <c r="AP1032" s="1488"/>
      <c r="AQ1032" s="1488"/>
      <c r="AR1032" s="1488"/>
      <c r="AS1032" s="1488"/>
      <c r="AT1032" s="1542"/>
      <c r="AU1032" s="1599">
        <f t="shared" si="549"/>
        <v>0</v>
      </c>
      <c r="AV1032" s="1544">
        <f t="shared" si="577"/>
        <v>0</v>
      </c>
      <c r="AW1032" s="1452">
        <f t="shared" si="550"/>
        <v>0</v>
      </c>
      <c r="AX1032" s="1452">
        <f t="shared" si="551"/>
        <v>0</v>
      </c>
      <c r="AY1032" s="1452">
        <f t="shared" si="552"/>
        <v>0</v>
      </c>
      <c r="AZ1032" s="1452">
        <f t="shared" si="553"/>
        <v>0</v>
      </c>
      <c r="BA1032" s="1452">
        <f t="shared" si="554"/>
        <v>0</v>
      </c>
      <c r="BB1032" s="1452">
        <f t="shared" si="555"/>
        <v>0</v>
      </c>
      <c r="BC1032" s="1452">
        <f t="shared" si="556"/>
        <v>0</v>
      </c>
      <c r="BD1032" s="1452">
        <f t="shared" si="557"/>
        <v>0</v>
      </c>
      <c r="BE1032" s="1452">
        <f t="shared" si="558"/>
        <v>0</v>
      </c>
      <c r="BF1032" s="1452">
        <f t="shared" si="559"/>
        <v>0</v>
      </c>
      <c r="BG1032" s="1452">
        <f t="shared" si="560"/>
        <v>0</v>
      </c>
      <c r="BH1032" s="1452">
        <f t="shared" si="561"/>
        <v>0</v>
      </c>
      <c r="BI1032" s="1452">
        <f t="shared" si="578"/>
        <v>0</v>
      </c>
      <c r="BJ1032" s="1452" t="str">
        <f t="shared" si="562"/>
        <v/>
      </c>
      <c r="BK1032" s="1452" t="str">
        <f t="shared" si="563"/>
        <v/>
      </c>
      <c r="BL1032" s="1452" t="str">
        <f t="shared" si="564"/>
        <v/>
      </c>
      <c r="BM1032" s="1452" t="str">
        <f t="shared" si="565"/>
        <v/>
      </c>
      <c r="BN1032" s="1452" t="str">
        <f t="shared" ca="1" si="566"/>
        <v/>
      </c>
      <c r="BO1032" s="1452" t="str">
        <f t="shared" si="579"/>
        <v/>
      </c>
      <c r="BP1032" s="1452" t="str">
        <f t="shared" si="567"/>
        <v/>
      </c>
      <c r="BQ1032" s="1452" t="str">
        <f t="shared" si="568"/>
        <v/>
      </c>
      <c r="BR1032" s="1452" t="str">
        <f t="shared" si="569"/>
        <v/>
      </c>
      <c r="BS1032" s="1452" t="str">
        <f t="shared" si="570"/>
        <v/>
      </c>
      <c r="BT1032" s="1452" t="str">
        <f t="shared" si="571"/>
        <v/>
      </c>
      <c r="BU1032" s="1452" t="str">
        <f t="shared" si="572"/>
        <v/>
      </c>
      <c r="BV1032" s="1452" t="str">
        <f t="shared" si="573"/>
        <v/>
      </c>
      <c r="BW1032" s="1558">
        <f t="shared" ca="1" si="580"/>
        <v>0</v>
      </c>
    </row>
    <row r="1033" spans="1:151" s="9" customFormat="1" ht="12.5">
      <c r="A1033" s="1483" t="str">
        <f t="shared" si="574"/>
        <v>Public Health Wales Trust</v>
      </c>
      <c r="B1033" s="1583"/>
      <c r="C1033" s="1583"/>
      <c r="D1033" s="1583"/>
      <c r="E1033" s="1581"/>
      <c r="F1033" s="1436"/>
      <c r="G1033" s="1547">
        <f t="shared" si="575"/>
        <v>0</v>
      </c>
      <c r="H1033" s="1484"/>
      <c r="I1033" s="1547">
        <f t="shared" si="576"/>
        <v>0</v>
      </c>
      <c r="J1033" s="1516"/>
      <c r="K1033" s="1516"/>
      <c r="L1033" s="1436"/>
      <c r="M1033" s="1439"/>
      <c r="N1033" s="1439"/>
      <c r="O1033" s="1485"/>
      <c r="P1033" s="1486"/>
      <c r="Q1033" s="1486"/>
      <c r="R1033" s="1487"/>
      <c r="S1033" s="1444"/>
      <c r="T1033" s="1444"/>
      <c r="U1033" s="1444"/>
      <c r="V1033" s="1488"/>
      <c r="W1033" s="1488"/>
      <c r="X1033" s="1488"/>
      <c r="Y1033" s="1488"/>
      <c r="Z1033" s="1488"/>
      <c r="AA1033" s="1488"/>
      <c r="AB1033" s="1488"/>
      <c r="AC1033" s="1488"/>
      <c r="AD1033" s="1488"/>
      <c r="AE1033" s="1488"/>
      <c r="AF1033" s="1488"/>
      <c r="AG1033" s="1488"/>
      <c r="AH1033" s="1451">
        <f t="shared" si="548"/>
        <v>0</v>
      </c>
      <c r="AI1033" s="1488"/>
      <c r="AJ1033" s="1488"/>
      <c r="AK1033" s="1488"/>
      <c r="AL1033" s="1488"/>
      <c r="AM1033" s="1488"/>
      <c r="AN1033" s="1488"/>
      <c r="AO1033" s="1488"/>
      <c r="AP1033" s="1488"/>
      <c r="AQ1033" s="1488"/>
      <c r="AR1033" s="1488"/>
      <c r="AS1033" s="1488"/>
      <c r="AT1033" s="1542"/>
      <c r="AU1033" s="1599">
        <f t="shared" si="549"/>
        <v>0</v>
      </c>
      <c r="AV1033" s="1544">
        <f t="shared" si="577"/>
        <v>0</v>
      </c>
      <c r="AW1033" s="1452">
        <f t="shared" si="550"/>
        <v>0</v>
      </c>
      <c r="AX1033" s="1452">
        <f t="shared" si="551"/>
        <v>0</v>
      </c>
      <c r="AY1033" s="1452">
        <f t="shared" si="552"/>
        <v>0</v>
      </c>
      <c r="AZ1033" s="1452">
        <f t="shared" si="553"/>
        <v>0</v>
      </c>
      <c r="BA1033" s="1452">
        <f t="shared" si="554"/>
        <v>0</v>
      </c>
      <c r="BB1033" s="1452">
        <f t="shared" si="555"/>
        <v>0</v>
      </c>
      <c r="BC1033" s="1452">
        <f t="shared" si="556"/>
        <v>0</v>
      </c>
      <c r="BD1033" s="1452">
        <f t="shared" si="557"/>
        <v>0</v>
      </c>
      <c r="BE1033" s="1452">
        <f t="shared" si="558"/>
        <v>0</v>
      </c>
      <c r="BF1033" s="1452">
        <f t="shared" si="559"/>
        <v>0</v>
      </c>
      <c r="BG1033" s="1452">
        <f t="shared" si="560"/>
        <v>0</v>
      </c>
      <c r="BH1033" s="1452">
        <f t="shared" si="561"/>
        <v>0</v>
      </c>
      <c r="BI1033" s="1452">
        <f t="shared" si="578"/>
        <v>0</v>
      </c>
      <c r="BJ1033" s="1452" t="str">
        <f t="shared" si="562"/>
        <v/>
      </c>
      <c r="BK1033" s="1452" t="str">
        <f t="shared" si="563"/>
        <v/>
      </c>
      <c r="BL1033" s="1452" t="str">
        <f t="shared" si="564"/>
        <v/>
      </c>
      <c r="BM1033" s="1452" t="str">
        <f t="shared" si="565"/>
        <v/>
      </c>
      <c r="BN1033" s="1452" t="str">
        <f t="shared" ca="1" si="566"/>
        <v/>
      </c>
      <c r="BO1033" s="1452" t="str">
        <f t="shared" si="579"/>
        <v/>
      </c>
      <c r="BP1033" s="1452" t="str">
        <f t="shared" si="567"/>
        <v/>
      </c>
      <c r="BQ1033" s="1452" t="str">
        <f t="shared" si="568"/>
        <v/>
      </c>
      <c r="BR1033" s="1452" t="str">
        <f t="shared" si="569"/>
        <v/>
      </c>
      <c r="BS1033" s="1452" t="str">
        <f t="shared" si="570"/>
        <v/>
      </c>
      <c r="BT1033" s="1452" t="str">
        <f t="shared" si="571"/>
        <v/>
      </c>
      <c r="BU1033" s="1452" t="str">
        <f t="shared" si="572"/>
        <v/>
      </c>
      <c r="BV1033" s="1452" t="str">
        <f t="shared" si="573"/>
        <v/>
      </c>
      <c r="BW1033" s="1558">
        <f t="shared" ca="1" si="580"/>
        <v>0</v>
      </c>
    </row>
    <row r="1034" spans="1:151" s="9" customFormat="1" ht="12.5">
      <c r="A1034" s="1483" t="str">
        <f t="shared" si="574"/>
        <v>Public Health Wales Trust</v>
      </c>
      <c r="B1034" s="1583"/>
      <c r="C1034" s="1583"/>
      <c r="D1034" s="1583"/>
      <c r="E1034" s="1581"/>
      <c r="F1034" s="1436"/>
      <c r="G1034" s="1547">
        <f t="shared" si="575"/>
        <v>0</v>
      </c>
      <c r="H1034" s="1484"/>
      <c r="I1034" s="1547">
        <f t="shared" si="576"/>
        <v>0</v>
      </c>
      <c r="J1034" s="1516"/>
      <c r="K1034" s="1516"/>
      <c r="L1034" s="1436"/>
      <c r="M1034" s="1439"/>
      <c r="N1034" s="1439"/>
      <c r="O1034" s="1485"/>
      <c r="P1034" s="1486"/>
      <c r="Q1034" s="1486"/>
      <c r="R1034" s="1487"/>
      <c r="S1034" s="1444"/>
      <c r="T1034" s="1444"/>
      <c r="U1034" s="1444"/>
      <c r="V1034" s="1488"/>
      <c r="W1034" s="1488"/>
      <c r="X1034" s="1488"/>
      <c r="Y1034" s="1488"/>
      <c r="Z1034" s="1488"/>
      <c r="AA1034" s="1488"/>
      <c r="AB1034" s="1488"/>
      <c r="AC1034" s="1488"/>
      <c r="AD1034" s="1488"/>
      <c r="AE1034" s="1488"/>
      <c r="AF1034" s="1488"/>
      <c r="AG1034" s="1488"/>
      <c r="AH1034" s="1451">
        <f t="shared" si="548"/>
        <v>0</v>
      </c>
      <c r="AI1034" s="1488"/>
      <c r="AJ1034" s="1488"/>
      <c r="AK1034" s="1488"/>
      <c r="AL1034" s="1488"/>
      <c r="AM1034" s="1488"/>
      <c r="AN1034" s="1488"/>
      <c r="AO1034" s="1488"/>
      <c r="AP1034" s="1488"/>
      <c r="AQ1034" s="1488"/>
      <c r="AR1034" s="1488"/>
      <c r="AS1034" s="1488"/>
      <c r="AT1034" s="1542"/>
      <c r="AU1034" s="1599">
        <f t="shared" si="549"/>
        <v>0</v>
      </c>
      <c r="AV1034" s="1544">
        <f t="shared" si="577"/>
        <v>0</v>
      </c>
      <c r="AW1034" s="1452">
        <f t="shared" si="550"/>
        <v>0</v>
      </c>
      <c r="AX1034" s="1452">
        <f t="shared" si="551"/>
        <v>0</v>
      </c>
      <c r="AY1034" s="1452">
        <f t="shared" si="552"/>
        <v>0</v>
      </c>
      <c r="AZ1034" s="1452">
        <f t="shared" si="553"/>
        <v>0</v>
      </c>
      <c r="BA1034" s="1452">
        <f t="shared" si="554"/>
        <v>0</v>
      </c>
      <c r="BB1034" s="1452">
        <f t="shared" si="555"/>
        <v>0</v>
      </c>
      <c r="BC1034" s="1452">
        <f t="shared" si="556"/>
        <v>0</v>
      </c>
      <c r="BD1034" s="1452">
        <f t="shared" si="557"/>
        <v>0</v>
      </c>
      <c r="BE1034" s="1452">
        <f t="shared" si="558"/>
        <v>0</v>
      </c>
      <c r="BF1034" s="1452">
        <f t="shared" si="559"/>
        <v>0</v>
      </c>
      <c r="BG1034" s="1452">
        <f t="shared" si="560"/>
        <v>0</v>
      </c>
      <c r="BH1034" s="1452">
        <f t="shared" si="561"/>
        <v>0</v>
      </c>
      <c r="BI1034" s="1452">
        <f t="shared" si="578"/>
        <v>0</v>
      </c>
      <c r="BJ1034" s="1452" t="str">
        <f t="shared" si="562"/>
        <v/>
      </c>
      <c r="BK1034" s="1452" t="str">
        <f t="shared" si="563"/>
        <v/>
      </c>
      <c r="BL1034" s="1452" t="str">
        <f t="shared" si="564"/>
        <v/>
      </c>
      <c r="BM1034" s="1452" t="str">
        <f t="shared" si="565"/>
        <v/>
      </c>
      <c r="BN1034" s="1452" t="str">
        <f t="shared" ca="1" si="566"/>
        <v/>
      </c>
      <c r="BO1034" s="1452" t="str">
        <f t="shared" si="579"/>
        <v/>
      </c>
      <c r="BP1034" s="1452" t="str">
        <f t="shared" si="567"/>
        <v/>
      </c>
      <c r="BQ1034" s="1452" t="str">
        <f t="shared" si="568"/>
        <v/>
      </c>
      <c r="BR1034" s="1452" t="str">
        <f t="shared" si="569"/>
        <v/>
      </c>
      <c r="BS1034" s="1452" t="str">
        <f t="shared" si="570"/>
        <v/>
      </c>
      <c r="BT1034" s="1452" t="str">
        <f t="shared" si="571"/>
        <v/>
      </c>
      <c r="BU1034" s="1452" t="str">
        <f t="shared" si="572"/>
        <v/>
      </c>
      <c r="BV1034" s="1452" t="str">
        <f t="shared" si="573"/>
        <v/>
      </c>
      <c r="BW1034" s="1558">
        <f t="shared" ca="1" si="580"/>
        <v>0</v>
      </c>
    </row>
    <row r="1035" spans="1:151" s="9" customFormat="1" ht="12.5">
      <c r="A1035" s="1483" t="str">
        <f t="shared" si="574"/>
        <v>Public Health Wales Trust</v>
      </c>
      <c r="B1035" s="1583"/>
      <c r="C1035" s="1583"/>
      <c r="D1035" s="1583"/>
      <c r="E1035" s="1581"/>
      <c r="F1035" s="1436"/>
      <c r="G1035" s="1547">
        <f t="shared" si="575"/>
        <v>0</v>
      </c>
      <c r="H1035" s="1484"/>
      <c r="I1035" s="1547">
        <f t="shared" si="576"/>
        <v>0</v>
      </c>
      <c r="J1035" s="1516"/>
      <c r="K1035" s="1516"/>
      <c r="L1035" s="1436"/>
      <c r="M1035" s="1439"/>
      <c r="N1035" s="1439"/>
      <c r="O1035" s="1485"/>
      <c r="P1035" s="1486"/>
      <c r="Q1035" s="1486"/>
      <c r="R1035" s="1487"/>
      <c r="S1035" s="1444"/>
      <c r="T1035" s="1444"/>
      <c r="U1035" s="1444"/>
      <c r="V1035" s="1488"/>
      <c r="W1035" s="1488"/>
      <c r="X1035" s="1488"/>
      <c r="Y1035" s="1488"/>
      <c r="Z1035" s="1488"/>
      <c r="AA1035" s="1488"/>
      <c r="AB1035" s="1488"/>
      <c r="AC1035" s="1488"/>
      <c r="AD1035" s="1488"/>
      <c r="AE1035" s="1488"/>
      <c r="AF1035" s="1488"/>
      <c r="AG1035" s="1488"/>
      <c r="AH1035" s="1451">
        <f t="shared" si="548"/>
        <v>0</v>
      </c>
      <c r="AI1035" s="1488"/>
      <c r="AJ1035" s="1488"/>
      <c r="AK1035" s="1488"/>
      <c r="AL1035" s="1488"/>
      <c r="AM1035" s="1488"/>
      <c r="AN1035" s="1488"/>
      <c r="AO1035" s="1488"/>
      <c r="AP1035" s="1488"/>
      <c r="AQ1035" s="1488"/>
      <c r="AR1035" s="1488"/>
      <c r="AS1035" s="1488"/>
      <c r="AT1035" s="1542"/>
      <c r="AU1035" s="1599">
        <f t="shared" si="549"/>
        <v>0</v>
      </c>
      <c r="AV1035" s="1544">
        <f t="shared" si="577"/>
        <v>0</v>
      </c>
      <c r="AW1035" s="1452">
        <f t="shared" si="550"/>
        <v>0</v>
      </c>
      <c r="AX1035" s="1452">
        <f t="shared" si="551"/>
        <v>0</v>
      </c>
      <c r="AY1035" s="1452">
        <f t="shared" si="552"/>
        <v>0</v>
      </c>
      <c r="AZ1035" s="1452">
        <f t="shared" si="553"/>
        <v>0</v>
      </c>
      <c r="BA1035" s="1452">
        <f t="shared" si="554"/>
        <v>0</v>
      </c>
      <c r="BB1035" s="1452">
        <f t="shared" si="555"/>
        <v>0</v>
      </c>
      <c r="BC1035" s="1452">
        <f t="shared" si="556"/>
        <v>0</v>
      </c>
      <c r="BD1035" s="1452">
        <f t="shared" si="557"/>
        <v>0</v>
      </c>
      <c r="BE1035" s="1452">
        <f t="shared" si="558"/>
        <v>0</v>
      </c>
      <c r="BF1035" s="1452">
        <f t="shared" si="559"/>
        <v>0</v>
      </c>
      <c r="BG1035" s="1452">
        <f t="shared" si="560"/>
        <v>0</v>
      </c>
      <c r="BH1035" s="1452">
        <f t="shared" si="561"/>
        <v>0</v>
      </c>
      <c r="BI1035" s="1452">
        <f t="shared" si="578"/>
        <v>0</v>
      </c>
      <c r="BJ1035" s="1452" t="str">
        <f t="shared" si="562"/>
        <v/>
      </c>
      <c r="BK1035" s="1452" t="str">
        <f t="shared" si="563"/>
        <v/>
      </c>
      <c r="BL1035" s="1452" t="str">
        <f t="shared" si="564"/>
        <v/>
      </c>
      <c r="BM1035" s="1452" t="str">
        <f t="shared" si="565"/>
        <v/>
      </c>
      <c r="BN1035" s="1452" t="str">
        <f t="shared" ca="1" si="566"/>
        <v/>
      </c>
      <c r="BO1035" s="1452" t="str">
        <f t="shared" si="579"/>
        <v/>
      </c>
      <c r="BP1035" s="1452" t="str">
        <f t="shared" si="567"/>
        <v/>
      </c>
      <c r="BQ1035" s="1452" t="str">
        <f t="shared" si="568"/>
        <v/>
      </c>
      <c r="BR1035" s="1452" t="str">
        <f t="shared" si="569"/>
        <v/>
      </c>
      <c r="BS1035" s="1452" t="str">
        <f t="shared" si="570"/>
        <v/>
      </c>
      <c r="BT1035" s="1452" t="str">
        <f t="shared" si="571"/>
        <v/>
      </c>
      <c r="BU1035" s="1452" t="str">
        <f t="shared" si="572"/>
        <v/>
      </c>
      <c r="BV1035" s="1452" t="str">
        <f t="shared" si="573"/>
        <v/>
      </c>
      <c r="BW1035" s="1558">
        <f t="shared" ca="1" si="580"/>
        <v>0</v>
      </c>
    </row>
    <row r="1036" spans="1:151" s="9" customFormat="1" ht="12.5">
      <c r="A1036" s="1483" t="str">
        <f t="shared" si="574"/>
        <v>Public Health Wales Trust</v>
      </c>
      <c r="B1036" s="1583"/>
      <c r="C1036" s="1583"/>
      <c r="D1036" s="1583"/>
      <c r="E1036" s="1581"/>
      <c r="F1036" s="1436"/>
      <c r="G1036" s="1547">
        <f t="shared" si="575"/>
        <v>0</v>
      </c>
      <c r="H1036" s="1484"/>
      <c r="I1036" s="1547">
        <f t="shared" si="576"/>
        <v>0</v>
      </c>
      <c r="J1036" s="1516"/>
      <c r="K1036" s="1516"/>
      <c r="L1036" s="1436"/>
      <c r="M1036" s="1439"/>
      <c r="N1036" s="1439"/>
      <c r="O1036" s="1485"/>
      <c r="P1036" s="1486"/>
      <c r="Q1036" s="1486"/>
      <c r="R1036" s="1487"/>
      <c r="S1036" s="1444"/>
      <c r="T1036" s="1444"/>
      <c r="U1036" s="1444"/>
      <c r="V1036" s="1488"/>
      <c r="W1036" s="1488"/>
      <c r="X1036" s="1488"/>
      <c r="Y1036" s="1488"/>
      <c r="Z1036" s="1488"/>
      <c r="AA1036" s="1488"/>
      <c r="AB1036" s="1488"/>
      <c r="AC1036" s="1488"/>
      <c r="AD1036" s="1488"/>
      <c r="AE1036" s="1488"/>
      <c r="AF1036" s="1488"/>
      <c r="AG1036" s="1488"/>
      <c r="AH1036" s="1451">
        <f t="shared" si="548"/>
        <v>0</v>
      </c>
      <c r="AI1036" s="1488"/>
      <c r="AJ1036" s="1488"/>
      <c r="AK1036" s="1488"/>
      <c r="AL1036" s="1488"/>
      <c r="AM1036" s="1488"/>
      <c r="AN1036" s="1488"/>
      <c r="AO1036" s="1488"/>
      <c r="AP1036" s="1488"/>
      <c r="AQ1036" s="1488"/>
      <c r="AR1036" s="1488"/>
      <c r="AS1036" s="1488"/>
      <c r="AT1036" s="1542"/>
      <c r="AU1036" s="1599">
        <f t="shared" si="549"/>
        <v>0</v>
      </c>
      <c r="AV1036" s="1544">
        <f t="shared" si="577"/>
        <v>0</v>
      </c>
      <c r="AW1036" s="1452">
        <f t="shared" si="550"/>
        <v>0</v>
      </c>
      <c r="AX1036" s="1452">
        <f t="shared" si="551"/>
        <v>0</v>
      </c>
      <c r="AY1036" s="1452">
        <f t="shared" si="552"/>
        <v>0</v>
      </c>
      <c r="AZ1036" s="1452">
        <f t="shared" si="553"/>
        <v>0</v>
      </c>
      <c r="BA1036" s="1452">
        <f t="shared" si="554"/>
        <v>0</v>
      </c>
      <c r="BB1036" s="1452">
        <f t="shared" si="555"/>
        <v>0</v>
      </c>
      <c r="BC1036" s="1452">
        <f t="shared" si="556"/>
        <v>0</v>
      </c>
      <c r="BD1036" s="1452">
        <f t="shared" si="557"/>
        <v>0</v>
      </c>
      <c r="BE1036" s="1452">
        <f t="shared" si="558"/>
        <v>0</v>
      </c>
      <c r="BF1036" s="1452">
        <f t="shared" si="559"/>
        <v>0</v>
      </c>
      <c r="BG1036" s="1452">
        <f t="shared" si="560"/>
        <v>0</v>
      </c>
      <c r="BH1036" s="1452">
        <f t="shared" si="561"/>
        <v>0</v>
      </c>
      <c r="BI1036" s="1452">
        <f t="shared" si="578"/>
        <v>0</v>
      </c>
      <c r="BJ1036" s="1452" t="str">
        <f t="shared" si="562"/>
        <v/>
      </c>
      <c r="BK1036" s="1452" t="str">
        <f t="shared" si="563"/>
        <v/>
      </c>
      <c r="BL1036" s="1452" t="str">
        <f t="shared" si="564"/>
        <v/>
      </c>
      <c r="BM1036" s="1452" t="str">
        <f t="shared" si="565"/>
        <v/>
      </c>
      <c r="BN1036" s="1452" t="str">
        <f t="shared" ca="1" si="566"/>
        <v/>
      </c>
      <c r="BO1036" s="1452" t="str">
        <f t="shared" si="579"/>
        <v/>
      </c>
      <c r="BP1036" s="1452" t="str">
        <f t="shared" si="567"/>
        <v/>
      </c>
      <c r="BQ1036" s="1452" t="str">
        <f t="shared" si="568"/>
        <v/>
      </c>
      <c r="BR1036" s="1452" t="str">
        <f t="shared" si="569"/>
        <v/>
      </c>
      <c r="BS1036" s="1452" t="str">
        <f t="shared" si="570"/>
        <v/>
      </c>
      <c r="BT1036" s="1452" t="str">
        <f t="shared" si="571"/>
        <v/>
      </c>
      <c r="BU1036" s="1452" t="str">
        <f t="shared" si="572"/>
        <v/>
      </c>
      <c r="BV1036" s="1452" t="str">
        <f t="shared" si="573"/>
        <v/>
      </c>
      <c r="BW1036" s="1558">
        <f t="shared" ca="1" si="580"/>
        <v>0</v>
      </c>
    </row>
    <row r="1037" spans="1:151" s="9" customFormat="1" ht="12.5">
      <c r="A1037" s="1483" t="str">
        <f t="shared" si="574"/>
        <v>Public Health Wales Trust</v>
      </c>
      <c r="B1037" s="1583"/>
      <c r="C1037" s="1583"/>
      <c r="D1037" s="1583"/>
      <c r="E1037" s="1581"/>
      <c r="F1037" s="1436"/>
      <c r="G1037" s="1547">
        <f t="shared" si="575"/>
        <v>0</v>
      </c>
      <c r="H1037" s="1484"/>
      <c r="I1037" s="1547">
        <f t="shared" si="576"/>
        <v>0</v>
      </c>
      <c r="J1037" s="1516"/>
      <c r="K1037" s="1516"/>
      <c r="L1037" s="1436"/>
      <c r="M1037" s="1439"/>
      <c r="N1037" s="1439"/>
      <c r="O1037" s="1485"/>
      <c r="P1037" s="1486"/>
      <c r="Q1037" s="1486"/>
      <c r="R1037" s="1487"/>
      <c r="S1037" s="1444"/>
      <c r="T1037" s="1444"/>
      <c r="U1037" s="1444"/>
      <c r="V1037" s="1488"/>
      <c r="W1037" s="1488"/>
      <c r="X1037" s="1488"/>
      <c r="Y1037" s="1488"/>
      <c r="Z1037" s="1488"/>
      <c r="AA1037" s="1488"/>
      <c r="AB1037" s="1488"/>
      <c r="AC1037" s="1488"/>
      <c r="AD1037" s="1488"/>
      <c r="AE1037" s="1488"/>
      <c r="AF1037" s="1488"/>
      <c r="AG1037" s="1488"/>
      <c r="AH1037" s="1451">
        <f t="shared" si="548"/>
        <v>0</v>
      </c>
      <c r="AI1037" s="1488"/>
      <c r="AJ1037" s="1488"/>
      <c r="AK1037" s="1488"/>
      <c r="AL1037" s="1488"/>
      <c r="AM1037" s="1488"/>
      <c r="AN1037" s="1488"/>
      <c r="AO1037" s="1488"/>
      <c r="AP1037" s="1488"/>
      <c r="AQ1037" s="1488"/>
      <c r="AR1037" s="1488"/>
      <c r="AS1037" s="1488"/>
      <c r="AT1037" s="1542"/>
      <c r="AU1037" s="1599">
        <f t="shared" si="549"/>
        <v>0</v>
      </c>
      <c r="AV1037" s="1544">
        <f t="shared" si="577"/>
        <v>0</v>
      </c>
      <c r="AW1037" s="1452">
        <f t="shared" si="550"/>
        <v>0</v>
      </c>
      <c r="AX1037" s="1452">
        <f t="shared" si="551"/>
        <v>0</v>
      </c>
      <c r="AY1037" s="1452">
        <f t="shared" si="552"/>
        <v>0</v>
      </c>
      <c r="AZ1037" s="1452">
        <f t="shared" si="553"/>
        <v>0</v>
      </c>
      <c r="BA1037" s="1452">
        <f t="shared" si="554"/>
        <v>0</v>
      </c>
      <c r="BB1037" s="1452">
        <f t="shared" si="555"/>
        <v>0</v>
      </c>
      <c r="BC1037" s="1452">
        <f t="shared" si="556"/>
        <v>0</v>
      </c>
      <c r="BD1037" s="1452">
        <f t="shared" si="557"/>
        <v>0</v>
      </c>
      <c r="BE1037" s="1452">
        <f t="shared" si="558"/>
        <v>0</v>
      </c>
      <c r="BF1037" s="1452">
        <f t="shared" si="559"/>
        <v>0</v>
      </c>
      <c r="BG1037" s="1452">
        <f t="shared" si="560"/>
        <v>0</v>
      </c>
      <c r="BH1037" s="1452">
        <f t="shared" si="561"/>
        <v>0</v>
      </c>
      <c r="BI1037" s="1452">
        <f t="shared" si="578"/>
        <v>0</v>
      </c>
      <c r="BJ1037" s="1452" t="str">
        <f t="shared" si="562"/>
        <v/>
      </c>
      <c r="BK1037" s="1452" t="str">
        <f t="shared" si="563"/>
        <v/>
      </c>
      <c r="BL1037" s="1452" t="str">
        <f t="shared" si="564"/>
        <v/>
      </c>
      <c r="BM1037" s="1452" t="str">
        <f t="shared" si="565"/>
        <v/>
      </c>
      <c r="BN1037" s="1452" t="str">
        <f t="shared" ca="1" si="566"/>
        <v/>
      </c>
      <c r="BO1037" s="1452" t="str">
        <f t="shared" si="579"/>
        <v/>
      </c>
      <c r="BP1037" s="1452" t="str">
        <f t="shared" si="567"/>
        <v/>
      </c>
      <c r="BQ1037" s="1452" t="str">
        <f t="shared" si="568"/>
        <v/>
      </c>
      <c r="BR1037" s="1452" t="str">
        <f t="shared" si="569"/>
        <v/>
      </c>
      <c r="BS1037" s="1452" t="str">
        <f t="shared" si="570"/>
        <v/>
      </c>
      <c r="BT1037" s="1452" t="str">
        <f t="shared" si="571"/>
        <v/>
      </c>
      <c r="BU1037" s="1452" t="str">
        <f t="shared" si="572"/>
        <v/>
      </c>
      <c r="BV1037" s="1452" t="str">
        <f t="shared" si="573"/>
        <v/>
      </c>
      <c r="BW1037" s="1558">
        <f t="shared" ca="1" si="580"/>
        <v>0</v>
      </c>
    </row>
    <row r="1038" spans="1:151" s="9" customFormat="1" ht="12.5">
      <c r="A1038" s="1483" t="str">
        <f t="shared" si="574"/>
        <v>Public Health Wales Trust</v>
      </c>
      <c r="B1038" s="1583"/>
      <c r="C1038" s="1510"/>
      <c r="D1038" s="1590"/>
      <c r="E1038" s="1589"/>
      <c r="F1038" s="1436"/>
      <c r="G1038" s="1547">
        <f t="shared" si="575"/>
        <v>0</v>
      </c>
      <c r="H1038" s="1484"/>
      <c r="I1038" s="1547">
        <f t="shared" si="576"/>
        <v>0</v>
      </c>
      <c r="J1038" s="1516"/>
      <c r="K1038" s="1516"/>
      <c r="L1038" s="1436"/>
      <c r="M1038" s="1439"/>
      <c r="N1038" s="1439"/>
      <c r="O1038" s="1485"/>
      <c r="P1038" s="1486"/>
      <c r="Q1038" s="1486"/>
      <c r="R1038" s="1487"/>
      <c r="S1038" s="1444"/>
      <c r="T1038" s="1444"/>
      <c r="U1038" s="1444"/>
      <c r="V1038" s="1488"/>
      <c r="W1038" s="1488"/>
      <c r="X1038" s="1488"/>
      <c r="Y1038" s="1488"/>
      <c r="Z1038" s="1488"/>
      <c r="AA1038" s="1488"/>
      <c r="AB1038" s="1488"/>
      <c r="AC1038" s="1488"/>
      <c r="AD1038" s="1488"/>
      <c r="AE1038" s="1488"/>
      <c r="AF1038" s="1488"/>
      <c r="AG1038" s="1488"/>
      <c r="AH1038" s="1451">
        <f t="shared" si="548"/>
        <v>0</v>
      </c>
      <c r="AI1038" s="1488"/>
      <c r="AJ1038" s="1488"/>
      <c r="AK1038" s="1488"/>
      <c r="AL1038" s="1488"/>
      <c r="AM1038" s="1488"/>
      <c r="AN1038" s="1488"/>
      <c r="AO1038" s="1488"/>
      <c r="AP1038" s="1488"/>
      <c r="AQ1038" s="1488"/>
      <c r="AR1038" s="1488"/>
      <c r="AS1038" s="1488"/>
      <c r="AT1038" s="1542"/>
      <c r="AU1038" s="1599">
        <f t="shared" si="549"/>
        <v>0</v>
      </c>
      <c r="AV1038" s="1544">
        <f t="shared" si="577"/>
        <v>0</v>
      </c>
      <c r="AW1038" s="1452">
        <f t="shared" si="550"/>
        <v>0</v>
      </c>
      <c r="AX1038" s="1452">
        <f t="shared" si="551"/>
        <v>0</v>
      </c>
      <c r="AY1038" s="1452">
        <f t="shared" si="552"/>
        <v>0</v>
      </c>
      <c r="AZ1038" s="1452">
        <f t="shared" si="553"/>
        <v>0</v>
      </c>
      <c r="BA1038" s="1452">
        <f t="shared" si="554"/>
        <v>0</v>
      </c>
      <c r="BB1038" s="1452">
        <f t="shared" si="555"/>
        <v>0</v>
      </c>
      <c r="BC1038" s="1452">
        <f t="shared" si="556"/>
        <v>0</v>
      </c>
      <c r="BD1038" s="1452">
        <f t="shared" si="557"/>
        <v>0</v>
      </c>
      <c r="BE1038" s="1452">
        <f t="shared" si="558"/>
        <v>0</v>
      </c>
      <c r="BF1038" s="1452">
        <f t="shared" si="559"/>
        <v>0</v>
      </c>
      <c r="BG1038" s="1452">
        <f t="shared" si="560"/>
        <v>0</v>
      </c>
      <c r="BH1038" s="1452">
        <f t="shared" si="561"/>
        <v>0</v>
      </c>
      <c r="BI1038" s="1452">
        <f t="shared" si="578"/>
        <v>0</v>
      </c>
      <c r="BJ1038" s="1452" t="str">
        <f t="shared" si="562"/>
        <v/>
      </c>
      <c r="BK1038" s="1452" t="str">
        <f t="shared" si="563"/>
        <v/>
      </c>
      <c r="BL1038" s="1452" t="str">
        <f t="shared" si="564"/>
        <v/>
      </c>
      <c r="BM1038" s="1452" t="str">
        <f t="shared" si="565"/>
        <v/>
      </c>
      <c r="BN1038" s="1452" t="str">
        <f t="shared" ca="1" si="566"/>
        <v/>
      </c>
      <c r="BO1038" s="1452" t="str">
        <f t="shared" si="579"/>
        <v/>
      </c>
      <c r="BP1038" s="1452" t="str">
        <f t="shared" si="567"/>
        <v/>
      </c>
      <c r="BQ1038" s="1452" t="str">
        <f t="shared" si="568"/>
        <v/>
      </c>
      <c r="BR1038" s="1452" t="str">
        <f t="shared" si="569"/>
        <v/>
      </c>
      <c r="BS1038" s="1452" t="str">
        <f t="shared" si="570"/>
        <v/>
      </c>
      <c r="BT1038" s="1452" t="str">
        <f t="shared" si="571"/>
        <v/>
      </c>
      <c r="BU1038" s="1452" t="str">
        <f t="shared" si="572"/>
        <v/>
      </c>
      <c r="BV1038" s="1452" t="str">
        <f t="shared" si="573"/>
        <v/>
      </c>
      <c r="BW1038" s="1558">
        <f t="shared" ca="1" si="580"/>
        <v>0</v>
      </c>
    </row>
    <row r="1039" spans="1:151" s="1442" customFormat="1" ht="12.5">
      <c r="A1039" s="1483" t="str">
        <f t="shared" si="574"/>
        <v>Public Health Wales Trust</v>
      </c>
      <c r="B1039" s="1583"/>
      <c r="C1039" s="1583"/>
      <c r="D1039" s="1583"/>
      <c r="E1039" s="1581"/>
      <c r="F1039" s="1436"/>
      <c r="G1039" s="1547">
        <f t="shared" si="575"/>
        <v>0</v>
      </c>
      <c r="H1039" s="1484"/>
      <c r="I1039" s="1547">
        <f t="shared" si="576"/>
        <v>0</v>
      </c>
      <c r="J1039" s="1516"/>
      <c r="K1039" s="1516"/>
      <c r="L1039" s="1436"/>
      <c r="M1039" s="1439"/>
      <c r="N1039" s="1439"/>
      <c r="O1039" s="1485"/>
      <c r="P1039" s="1486"/>
      <c r="Q1039" s="1486"/>
      <c r="R1039" s="1487"/>
      <c r="S1039" s="1444"/>
      <c r="T1039" s="1444"/>
      <c r="U1039" s="1444"/>
      <c r="V1039" s="1488"/>
      <c r="W1039" s="1488"/>
      <c r="X1039" s="1488"/>
      <c r="Y1039" s="1488"/>
      <c r="Z1039" s="1488"/>
      <c r="AA1039" s="1488"/>
      <c r="AB1039" s="1488"/>
      <c r="AC1039" s="1488"/>
      <c r="AD1039" s="1488"/>
      <c r="AE1039" s="1488"/>
      <c r="AF1039" s="1488"/>
      <c r="AG1039" s="1488"/>
      <c r="AH1039" s="1451">
        <f t="shared" si="548"/>
        <v>0</v>
      </c>
      <c r="AI1039" s="1488"/>
      <c r="AJ1039" s="1488"/>
      <c r="AK1039" s="1488"/>
      <c r="AL1039" s="1488"/>
      <c r="AM1039" s="1488"/>
      <c r="AN1039" s="1488"/>
      <c r="AO1039" s="1488"/>
      <c r="AP1039" s="1488"/>
      <c r="AQ1039" s="1488"/>
      <c r="AR1039" s="1488"/>
      <c r="AS1039" s="1488"/>
      <c r="AT1039" s="1542"/>
      <c r="AU1039" s="1599">
        <f t="shared" si="549"/>
        <v>0</v>
      </c>
      <c r="AV1039" s="1544">
        <f t="shared" si="577"/>
        <v>0</v>
      </c>
      <c r="AW1039" s="1452">
        <f t="shared" si="550"/>
        <v>0</v>
      </c>
      <c r="AX1039" s="1452">
        <f t="shared" si="551"/>
        <v>0</v>
      </c>
      <c r="AY1039" s="1452">
        <f t="shared" si="552"/>
        <v>0</v>
      </c>
      <c r="AZ1039" s="1452">
        <f t="shared" si="553"/>
        <v>0</v>
      </c>
      <c r="BA1039" s="1452">
        <f t="shared" si="554"/>
        <v>0</v>
      </c>
      <c r="BB1039" s="1452">
        <f t="shared" si="555"/>
        <v>0</v>
      </c>
      <c r="BC1039" s="1452">
        <f t="shared" si="556"/>
        <v>0</v>
      </c>
      <c r="BD1039" s="1452">
        <f t="shared" si="557"/>
        <v>0</v>
      </c>
      <c r="BE1039" s="1452">
        <f t="shared" si="558"/>
        <v>0</v>
      </c>
      <c r="BF1039" s="1452">
        <f t="shared" si="559"/>
        <v>0</v>
      </c>
      <c r="BG1039" s="1452">
        <f t="shared" si="560"/>
        <v>0</v>
      </c>
      <c r="BH1039" s="1452">
        <f t="shared" si="561"/>
        <v>0</v>
      </c>
      <c r="BI1039" s="1452">
        <f t="shared" si="578"/>
        <v>0</v>
      </c>
      <c r="BJ1039" s="1452" t="str">
        <f t="shared" si="562"/>
        <v/>
      </c>
      <c r="BK1039" s="1452" t="str">
        <f t="shared" si="563"/>
        <v/>
      </c>
      <c r="BL1039" s="1452" t="str">
        <f t="shared" si="564"/>
        <v/>
      </c>
      <c r="BM1039" s="1452" t="str">
        <f t="shared" si="565"/>
        <v/>
      </c>
      <c r="BN1039" s="1452" t="str">
        <f t="shared" ca="1" si="566"/>
        <v/>
      </c>
      <c r="BO1039" s="1452" t="str">
        <f t="shared" si="579"/>
        <v/>
      </c>
      <c r="BP1039" s="1452" t="str">
        <f t="shared" si="567"/>
        <v/>
      </c>
      <c r="BQ1039" s="1452" t="str">
        <f t="shared" si="568"/>
        <v/>
      </c>
      <c r="BR1039" s="1452" t="str">
        <f t="shared" si="569"/>
        <v/>
      </c>
      <c r="BS1039" s="1452" t="str">
        <f t="shared" si="570"/>
        <v/>
      </c>
      <c r="BT1039" s="1452" t="str">
        <f t="shared" si="571"/>
        <v/>
      </c>
      <c r="BU1039" s="1452" t="str">
        <f t="shared" si="572"/>
        <v/>
      </c>
      <c r="BV1039" s="1452" t="str">
        <f t="shared" si="573"/>
        <v/>
      </c>
      <c r="BW1039" s="1558">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2" customFormat="1" ht="12.5">
      <c r="A1040" s="1483" t="str">
        <f t="shared" si="574"/>
        <v>Public Health Wales Trust</v>
      </c>
      <c r="B1040" s="1583"/>
      <c r="C1040" s="1583"/>
      <c r="D1040" s="1583"/>
      <c r="E1040" s="1581"/>
      <c r="F1040" s="1436"/>
      <c r="G1040" s="1547">
        <f t="shared" si="575"/>
        <v>0</v>
      </c>
      <c r="H1040" s="1484"/>
      <c r="I1040" s="1547">
        <f t="shared" si="576"/>
        <v>0</v>
      </c>
      <c r="J1040" s="1516"/>
      <c r="K1040" s="1516"/>
      <c r="L1040" s="1436"/>
      <c r="M1040" s="1439"/>
      <c r="N1040" s="1439"/>
      <c r="O1040" s="1485"/>
      <c r="P1040" s="1486"/>
      <c r="Q1040" s="1486"/>
      <c r="R1040" s="1487"/>
      <c r="S1040" s="1444"/>
      <c r="T1040" s="1444"/>
      <c r="U1040" s="1444"/>
      <c r="V1040" s="1488"/>
      <c r="W1040" s="1488"/>
      <c r="X1040" s="1488"/>
      <c r="Y1040" s="1488"/>
      <c r="Z1040" s="1488"/>
      <c r="AA1040" s="1488"/>
      <c r="AB1040" s="1488"/>
      <c r="AC1040" s="1488"/>
      <c r="AD1040" s="1488"/>
      <c r="AE1040" s="1488"/>
      <c r="AF1040" s="1488"/>
      <c r="AG1040" s="1488"/>
      <c r="AH1040" s="1451">
        <f t="shared" si="548"/>
        <v>0</v>
      </c>
      <c r="AI1040" s="1488"/>
      <c r="AJ1040" s="1488"/>
      <c r="AK1040" s="1488"/>
      <c r="AL1040" s="1488"/>
      <c r="AM1040" s="1488"/>
      <c r="AN1040" s="1488"/>
      <c r="AO1040" s="1488"/>
      <c r="AP1040" s="1488"/>
      <c r="AQ1040" s="1488"/>
      <c r="AR1040" s="1488"/>
      <c r="AS1040" s="1488"/>
      <c r="AT1040" s="1542"/>
      <c r="AU1040" s="1599">
        <f t="shared" si="549"/>
        <v>0</v>
      </c>
      <c r="AV1040" s="1544">
        <f t="shared" si="577"/>
        <v>0</v>
      </c>
      <c r="AW1040" s="1452">
        <f t="shared" si="550"/>
        <v>0</v>
      </c>
      <c r="AX1040" s="1452">
        <f t="shared" si="551"/>
        <v>0</v>
      </c>
      <c r="AY1040" s="1452">
        <f t="shared" si="552"/>
        <v>0</v>
      </c>
      <c r="AZ1040" s="1452">
        <f t="shared" si="553"/>
        <v>0</v>
      </c>
      <c r="BA1040" s="1452">
        <f t="shared" si="554"/>
        <v>0</v>
      </c>
      <c r="BB1040" s="1452">
        <f t="shared" si="555"/>
        <v>0</v>
      </c>
      <c r="BC1040" s="1452">
        <f t="shared" si="556"/>
        <v>0</v>
      </c>
      <c r="BD1040" s="1452">
        <f t="shared" si="557"/>
        <v>0</v>
      </c>
      <c r="BE1040" s="1452">
        <f t="shared" si="558"/>
        <v>0</v>
      </c>
      <c r="BF1040" s="1452">
        <f t="shared" si="559"/>
        <v>0</v>
      </c>
      <c r="BG1040" s="1452">
        <f t="shared" si="560"/>
        <v>0</v>
      </c>
      <c r="BH1040" s="1452">
        <f t="shared" si="561"/>
        <v>0</v>
      </c>
      <c r="BI1040" s="1452">
        <f t="shared" si="578"/>
        <v>0</v>
      </c>
      <c r="BJ1040" s="1452" t="str">
        <f t="shared" si="562"/>
        <v/>
      </c>
      <c r="BK1040" s="1452" t="str">
        <f t="shared" si="563"/>
        <v/>
      </c>
      <c r="BL1040" s="1452" t="str">
        <f t="shared" si="564"/>
        <v/>
      </c>
      <c r="BM1040" s="1452" t="str">
        <f t="shared" si="565"/>
        <v/>
      </c>
      <c r="BN1040" s="1452" t="str">
        <f t="shared" ca="1" si="566"/>
        <v/>
      </c>
      <c r="BO1040" s="1452" t="str">
        <f t="shared" si="579"/>
        <v/>
      </c>
      <c r="BP1040" s="1452" t="str">
        <f t="shared" si="567"/>
        <v/>
      </c>
      <c r="BQ1040" s="1452" t="str">
        <f t="shared" si="568"/>
        <v/>
      </c>
      <c r="BR1040" s="1452" t="str">
        <f t="shared" si="569"/>
        <v/>
      </c>
      <c r="BS1040" s="1452" t="str">
        <f t="shared" si="570"/>
        <v/>
      </c>
      <c r="BT1040" s="1452" t="str">
        <f t="shared" si="571"/>
        <v/>
      </c>
      <c r="BU1040" s="1452" t="str">
        <f t="shared" si="572"/>
        <v/>
      </c>
      <c r="BV1040" s="1452" t="str">
        <f t="shared" si="573"/>
        <v/>
      </c>
      <c r="BW1040" s="1558">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2" customFormat="1" ht="12.5">
      <c r="A1041" s="1483" t="str">
        <f t="shared" si="574"/>
        <v>Public Health Wales Trust</v>
      </c>
      <c r="B1041" s="1583"/>
      <c r="C1041" s="1583"/>
      <c r="D1041" s="1583"/>
      <c r="E1041" s="1581"/>
      <c r="F1041" s="1436"/>
      <c r="G1041" s="1547">
        <f t="shared" si="575"/>
        <v>0</v>
      </c>
      <c r="H1041" s="1484"/>
      <c r="I1041" s="1547">
        <f t="shared" si="576"/>
        <v>0</v>
      </c>
      <c r="J1041" s="1516"/>
      <c r="K1041" s="1516"/>
      <c r="L1041" s="1436"/>
      <c r="M1041" s="1439"/>
      <c r="N1041" s="1439"/>
      <c r="O1041" s="1485"/>
      <c r="P1041" s="1486"/>
      <c r="Q1041" s="1486"/>
      <c r="R1041" s="1487"/>
      <c r="S1041" s="1444"/>
      <c r="T1041" s="1444"/>
      <c r="U1041" s="1444"/>
      <c r="V1041" s="1488"/>
      <c r="W1041" s="1488"/>
      <c r="X1041" s="1488"/>
      <c r="Y1041" s="1488"/>
      <c r="Z1041" s="1488"/>
      <c r="AA1041" s="1488"/>
      <c r="AB1041" s="1488"/>
      <c r="AC1041" s="1488"/>
      <c r="AD1041" s="1488"/>
      <c r="AE1041" s="1488"/>
      <c r="AF1041" s="1488"/>
      <c r="AG1041" s="1488"/>
      <c r="AH1041" s="1451">
        <f t="shared" si="548"/>
        <v>0</v>
      </c>
      <c r="AI1041" s="1488"/>
      <c r="AJ1041" s="1488"/>
      <c r="AK1041" s="1488"/>
      <c r="AL1041" s="1488"/>
      <c r="AM1041" s="1488"/>
      <c r="AN1041" s="1488"/>
      <c r="AO1041" s="1488"/>
      <c r="AP1041" s="1488"/>
      <c r="AQ1041" s="1488"/>
      <c r="AR1041" s="1488"/>
      <c r="AS1041" s="1488"/>
      <c r="AT1041" s="1542"/>
      <c r="AU1041" s="1599">
        <f t="shared" si="549"/>
        <v>0</v>
      </c>
      <c r="AV1041" s="1544">
        <f t="shared" si="577"/>
        <v>0</v>
      </c>
      <c r="AW1041" s="1452">
        <f t="shared" si="550"/>
        <v>0</v>
      </c>
      <c r="AX1041" s="1452">
        <f t="shared" si="551"/>
        <v>0</v>
      </c>
      <c r="AY1041" s="1452">
        <f t="shared" si="552"/>
        <v>0</v>
      </c>
      <c r="AZ1041" s="1452">
        <f t="shared" si="553"/>
        <v>0</v>
      </c>
      <c r="BA1041" s="1452">
        <f t="shared" si="554"/>
        <v>0</v>
      </c>
      <c r="BB1041" s="1452">
        <f t="shared" si="555"/>
        <v>0</v>
      </c>
      <c r="BC1041" s="1452">
        <f t="shared" si="556"/>
        <v>0</v>
      </c>
      <c r="BD1041" s="1452">
        <f t="shared" si="557"/>
        <v>0</v>
      </c>
      <c r="BE1041" s="1452">
        <f t="shared" si="558"/>
        <v>0</v>
      </c>
      <c r="BF1041" s="1452">
        <f t="shared" si="559"/>
        <v>0</v>
      </c>
      <c r="BG1041" s="1452">
        <f t="shared" si="560"/>
        <v>0</v>
      </c>
      <c r="BH1041" s="1452">
        <f t="shared" si="561"/>
        <v>0</v>
      </c>
      <c r="BI1041" s="1452">
        <f t="shared" si="578"/>
        <v>0</v>
      </c>
      <c r="BJ1041" s="1452" t="str">
        <f t="shared" si="562"/>
        <v/>
      </c>
      <c r="BK1041" s="1452" t="str">
        <f t="shared" si="563"/>
        <v/>
      </c>
      <c r="BL1041" s="1452" t="str">
        <f t="shared" si="564"/>
        <v/>
      </c>
      <c r="BM1041" s="1452" t="str">
        <f t="shared" si="565"/>
        <v/>
      </c>
      <c r="BN1041" s="1452" t="str">
        <f t="shared" ca="1" si="566"/>
        <v/>
      </c>
      <c r="BO1041" s="1452" t="str">
        <f t="shared" si="579"/>
        <v/>
      </c>
      <c r="BP1041" s="1452" t="str">
        <f t="shared" si="567"/>
        <v/>
      </c>
      <c r="BQ1041" s="1452" t="str">
        <f t="shared" si="568"/>
        <v/>
      </c>
      <c r="BR1041" s="1452" t="str">
        <f t="shared" si="569"/>
        <v/>
      </c>
      <c r="BS1041" s="1452" t="str">
        <f t="shared" si="570"/>
        <v/>
      </c>
      <c r="BT1041" s="1452" t="str">
        <f t="shared" si="571"/>
        <v/>
      </c>
      <c r="BU1041" s="1452" t="str">
        <f t="shared" si="572"/>
        <v/>
      </c>
      <c r="BV1041" s="1452" t="str">
        <f t="shared" si="573"/>
        <v/>
      </c>
      <c r="BW1041" s="1558">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3" t="str">
        <f t="shared" si="574"/>
        <v>Public Health Wales Trust</v>
      </c>
      <c r="B1042" s="1583"/>
      <c r="C1042" s="1583"/>
      <c r="D1042" s="1583"/>
      <c r="E1042" s="1581"/>
      <c r="F1042" s="1436"/>
      <c r="G1042" s="1547">
        <f t="shared" si="575"/>
        <v>0</v>
      </c>
      <c r="H1042" s="1484"/>
      <c r="I1042" s="1547">
        <f t="shared" si="576"/>
        <v>0</v>
      </c>
      <c r="J1042" s="1516"/>
      <c r="K1042" s="1516"/>
      <c r="L1042" s="1436"/>
      <c r="M1042" s="1439"/>
      <c r="N1042" s="1439"/>
      <c r="O1042" s="1485"/>
      <c r="P1042" s="1486"/>
      <c r="Q1042" s="1486"/>
      <c r="R1042" s="1487"/>
      <c r="S1042" s="1444"/>
      <c r="T1042" s="1444"/>
      <c r="U1042" s="1444"/>
      <c r="V1042" s="1488"/>
      <c r="W1042" s="1488"/>
      <c r="X1042" s="1488"/>
      <c r="Y1042" s="1488"/>
      <c r="Z1042" s="1488"/>
      <c r="AA1042" s="1488"/>
      <c r="AB1042" s="1488"/>
      <c r="AC1042" s="1488"/>
      <c r="AD1042" s="1488"/>
      <c r="AE1042" s="1488"/>
      <c r="AF1042" s="1488"/>
      <c r="AG1042" s="1488"/>
      <c r="AH1042" s="1451">
        <f t="shared" si="548"/>
        <v>0</v>
      </c>
      <c r="AI1042" s="1488"/>
      <c r="AJ1042" s="1488"/>
      <c r="AK1042" s="1488"/>
      <c r="AL1042" s="1488"/>
      <c r="AM1042" s="1488"/>
      <c r="AN1042" s="1488"/>
      <c r="AO1042" s="1488"/>
      <c r="AP1042" s="1488"/>
      <c r="AQ1042" s="1488"/>
      <c r="AR1042" s="1488"/>
      <c r="AS1042" s="1488"/>
      <c r="AT1042" s="1542"/>
      <c r="AU1042" s="1599">
        <f t="shared" si="549"/>
        <v>0</v>
      </c>
      <c r="AV1042" s="1544">
        <f t="shared" si="577"/>
        <v>0</v>
      </c>
      <c r="AW1042" s="1452">
        <f t="shared" si="550"/>
        <v>0</v>
      </c>
      <c r="AX1042" s="1452">
        <f t="shared" si="551"/>
        <v>0</v>
      </c>
      <c r="AY1042" s="1452">
        <f t="shared" si="552"/>
        <v>0</v>
      </c>
      <c r="AZ1042" s="1452">
        <f t="shared" si="553"/>
        <v>0</v>
      </c>
      <c r="BA1042" s="1452">
        <f t="shared" si="554"/>
        <v>0</v>
      </c>
      <c r="BB1042" s="1452">
        <f t="shared" si="555"/>
        <v>0</v>
      </c>
      <c r="BC1042" s="1452">
        <f t="shared" si="556"/>
        <v>0</v>
      </c>
      <c r="BD1042" s="1452">
        <f t="shared" si="557"/>
        <v>0</v>
      </c>
      <c r="BE1042" s="1452">
        <f t="shared" si="558"/>
        <v>0</v>
      </c>
      <c r="BF1042" s="1452">
        <f t="shared" si="559"/>
        <v>0</v>
      </c>
      <c r="BG1042" s="1452">
        <f t="shared" si="560"/>
        <v>0</v>
      </c>
      <c r="BH1042" s="1452">
        <f t="shared" si="561"/>
        <v>0</v>
      </c>
      <c r="BI1042" s="1452">
        <f t="shared" si="578"/>
        <v>0</v>
      </c>
      <c r="BJ1042" s="1452" t="str">
        <f t="shared" si="562"/>
        <v/>
      </c>
      <c r="BK1042" s="1452" t="str">
        <f t="shared" si="563"/>
        <v/>
      </c>
      <c r="BL1042" s="1452" t="str">
        <f t="shared" si="564"/>
        <v/>
      </c>
      <c r="BM1042" s="1452" t="str">
        <f t="shared" si="565"/>
        <v/>
      </c>
      <c r="BN1042" s="1452" t="str">
        <f t="shared" ca="1" si="566"/>
        <v/>
      </c>
      <c r="BO1042" s="1452" t="str">
        <f t="shared" si="579"/>
        <v/>
      </c>
      <c r="BP1042" s="1452" t="str">
        <f t="shared" si="567"/>
        <v/>
      </c>
      <c r="BQ1042" s="1452" t="str">
        <f t="shared" si="568"/>
        <v/>
      </c>
      <c r="BR1042" s="1452" t="str">
        <f t="shared" si="569"/>
        <v/>
      </c>
      <c r="BS1042" s="1452" t="str">
        <f t="shared" si="570"/>
        <v/>
      </c>
      <c r="BT1042" s="1452" t="str">
        <f t="shared" si="571"/>
        <v/>
      </c>
      <c r="BU1042" s="1452" t="str">
        <f t="shared" si="572"/>
        <v/>
      </c>
      <c r="BV1042" s="1452" t="str">
        <f t="shared" si="573"/>
        <v/>
      </c>
      <c r="BW1042" s="1558">
        <f t="shared" ca="1" si="580"/>
        <v>0</v>
      </c>
    </row>
    <row r="1043" spans="1:151" s="9" customFormat="1" ht="12.5">
      <c r="A1043" s="1483" t="str">
        <f t="shared" si="574"/>
        <v>Public Health Wales Trust</v>
      </c>
      <c r="B1043" s="1583"/>
      <c r="C1043" s="1583"/>
      <c r="D1043" s="1583"/>
      <c r="E1043" s="1581"/>
      <c r="F1043" s="1436"/>
      <c r="G1043" s="1547">
        <f t="shared" si="575"/>
        <v>0</v>
      </c>
      <c r="H1043" s="1484"/>
      <c r="I1043" s="1547">
        <f t="shared" si="576"/>
        <v>0</v>
      </c>
      <c r="J1043" s="1516"/>
      <c r="K1043" s="1516"/>
      <c r="L1043" s="1436"/>
      <c r="M1043" s="1439"/>
      <c r="N1043" s="1439"/>
      <c r="O1043" s="1485"/>
      <c r="P1043" s="1486"/>
      <c r="Q1043" s="1486"/>
      <c r="R1043" s="1487"/>
      <c r="S1043" s="1444"/>
      <c r="T1043" s="1444"/>
      <c r="U1043" s="1444"/>
      <c r="V1043" s="1488"/>
      <c r="W1043" s="1488"/>
      <c r="X1043" s="1488"/>
      <c r="Y1043" s="1488"/>
      <c r="Z1043" s="1488"/>
      <c r="AA1043" s="1488"/>
      <c r="AB1043" s="1488"/>
      <c r="AC1043" s="1488"/>
      <c r="AD1043" s="1488"/>
      <c r="AE1043" s="1488"/>
      <c r="AF1043" s="1488"/>
      <c r="AG1043" s="1488"/>
      <c r="AH1043" s="1451">
        <f t="shared" si="548"/>
        <v>0</v>
      </c>
      <c r="AI1043" s="1488"/>
      <c r="AJ1043" s="1488"/>
      <c r="AK1043" s="1488"/>
      <c r="AL1043" s="1488"/>
      <c r="AM1043" s="1488"/>
      <c r="AN1043" s="1488"/>
      <c r="AO1043" s="1488"/>
      <c r="AP1043" s="1488"/>
      <c r="AQ1043" s="1488"/>
      <c r="AR1043" s="1488"/>
      <c r="AS1043" s="1488"/>
      <c r="AT1043" s="1542"/>
      <c r="AU1043" s="1599">
        <f t="shared" si="549"/>
        <v>0</v>
      </c>
      <c r="AV1043" s="1544">
        <f t="shared" si="577"/>
        <v>0</v>
      </c>
      <c r="AW1043" s="1452">
        <f t="shared" si="550"/>
        <v>0</v>
      </c>
      <c r="AX1043" s="1452">
        <f t="shared" si="551"/>
        <v>0</v>
      </c>
      <c r="AY1043" s="1452">
        <f t="shared" si="552"/>
        <v>0</v>
      </c>
      <c r="AZ1043" s="1452">
        <f t="shared" si="553"/>
        <v>0</v>
      </c>
      <c r="BA1043" s="1452">
        <f t="shared" si="554"/>
        <v>0</v>
      </c>
      <c r="BB1043" s="1452">
        <f t="shared" si="555"/>
        <v>0</v>
      </c>
      <c r="BC1043" s="1452">
        <f t="shared" si="556"/>
        <v>0</v>
      </c>
      <c r="BD1043" s="1452">
        <f t="shared" si="557"/>
        <v>0</v>
      </c>
      <c r="BE1043" s="1452">
        <f t="shared" si="558"/>
        <v>0</v>
      </c>
      <c r="BF1043" s="1452">
        <f t="shared" si="559"/>
        <v>0</v>
      </c>
      <c r="BG1043" s="1452">
        <f t="shared" si="560"/>
        <v>0</v>
      </c>
      <c r="BH1043" s="1452">
        <f t="shared" si="561"/>
        <v>0</v>
      </c>
      <c r="BI1043" s="1452">
        <f t="shared" si="578"/>
        <v>0</v>
      </c>
      <c r="BJ1043" s="1452" t="str">
        <f t="shared" si="562"/>
        <v/>
      </c>
      <c r="BK1043" s="1452" t="str">
        <f t="shared" si="563"/>
        <v/>
      </c>
      <c r="BL1043" s="1452" t="str">
        <f t="shared" si="564"/>
        <v/>
      </c>
      <c r="BM1043" s="1452" t="str">
        <f t="shared" si="565"/>
        <v/>
      </c>
      <c r="BN1043" s="1452" t="str">
        <f t="shared" ca="1" si="566"/>
        <v/>
      </c>
      <c r="BO1043" s="1452" t="str">
        <f t="shared" si="579"/>
        <v/>
      </c>
      <c r="BP1043" s="1452" t="str">
        <f t="shared" si="567"/>
        <v/>
      </c>
      <c r="BQ1043" s="1452" t="str">
        <f t="shared" si="568"/>
        <v/>
      </c>
      <c r="BR1043" s="1452" t="str">
        <f t="shared" si="569"/>
        <v/>
      </c>
      <c r="BS1043" s="1452" t="str">
        <f t="shared" si="570"/>
        <v/>
      </c>
      <c r="BT1043" s="1452" t="str">
        <f t="shared" si="571"/>
        <v/>
      </c>
      <c r="BU1043" s="1452" t="str">
        <f t="shared" si="572"/>
        <v/>
      </c>
      <c r="BV1043" s="1452" t="str">
        <f t="shared" si="573"/>
        <v/>
      </c>
      <c r="BW1043" s="1558">
        <f t="shared" ca="1" si="580"/>
        <v>0</v>
      </c>
    </row>
    <row r="1044" spans="1:151" s="9" customFormat="1" ht="12.5">
      <c r="A1044" s="1483" t="str">
        <f t="shared" si="574"/>
        <v>Public Health Wales Trust</v>
      </c>
      <c r="B1044" s="1583"/>
      <c r="C1044" s="1583"/>
      <c r="D1044" s="1583"/>
      <c r="E1044" s="1581"/>
      <c r="F1044" s="1436"/>
      <c r="G1044" s="1547">
        <f t="shared" si="575"/>
        <v>0</v>
      </c>
      <c r="H1044" s="1484"/>
      <c r="I1044" s="1547">
        <f t="shared" si="576"/>
        <v>0</v>
      </c>
      <c r="J1044" s="1516"/>
      <c r="K1044" s="1516"/>
      <c r="L1044" s="1436"/>
      <c r="M1044" s="1439"/>
      <c r="N1044" s="1439"/>
      <c r="O1044" s="1485"/>
      <c r="P1044" s="1486"/>
      <c r="Q1044" s="1486"/>
      <c r="R1044" s="1487"/>
      <c r="S1044" s="1444"/>
      <c r="T1044" s="1444"/>
      <c r="U1044" s="1444"/>
      <c r="V1044" s="1488"/>
      <c r="W1044" s="1488"/>
      <c r="X1044" s="1488"/>
      <c r="Y1044" s="1488"/>
      <c r="Z1044" s="1488"/>
      <c r="AA1044" s="1488"/>
      <c r="AB1044" s="1488"/>
      <c r="AC1044" s="1488"/>
      <c r="AD1044" s="1488"/>
      <c r="AE1044" s="1488"/>
      <c r="AF1044" s="1488"/>
      <c r="AG1044" s="1488"/>
      <c r="AH1044" s="1451">
        <f t="shared" si="548"/>
        <v>0</v>
      </c>
      <c r="AI1044" s="1488"/>
      <c r="AJ1044" s="1488"/>
      <c r="AK1044" s="1488"/>
      <c r="AL1044" s="1488"/>
      <c r="AM1044" s="1488"/>
      <c r="AN1044" s="1488"/>
      <c r="AO1044" s="1488"/>
      <c r="AP1044" s="1488"/>
      <c r="AQ1044" s="1488"/>
      <c r="AR1044" s="1488"/>
      <c r="AS1044" s="1488"/>
      <c r="AT1044" s="1542"/>
      <c r="AU1044" s="1599">
        <f t="shared" si="549"/>
        <v>0</v>
      </c>
      <c r="AV1044" s="1544">
        <f t="shared" si="577"/>
        <v>0</v>
      </c>
      <c r="AW1044" s="1452">
        <f t="shared" si="550"/>
        <v>0</v>
      </c>
      <c r="AX1044" s="1452">
        <f t="shared" si="551"/>
        <v>0</v>
      </c>
      <c r="AY1044" s="1452">
        <f t="shared" si="552"/>
        <v>0</v>
      </c>
      <c r="AZ1044" s="1452">
        <f t="shared" si="553"/>
        <v>0</v>
      </c>
      <c r="BA1044" s="1452">
        <f t="shared" si="554"/>
        <v>0</v>
      </c>
      <c r="BB1044" s="1452">
        <f t="shared" si="555"/>
        <v>0</v>
      </c>
      <c r="BC1044" s="1452">
        <f t="shared" si="556"/>
        <v>0</v>
      </c>
      <c r="BD1044" s="1452">
        <f t="shared" si="557"/>
        <v>0</v>
      </c>
      <c r="BE1044" s="1452">
        <f t="shared" si="558"/>
        <v>0</v>
      </c>
      <c r="BF1044" s="1452">
        <f t="shared" si="559"/>
        <v>0</v>
      </c>
      <c r="BG1044" s="1452">
        <f t="shared" si="560"/>
        <v>0</v>
      </c>
      <c r="BH1044" s="1452">
        <f t="shared" si="561"/>
        <v>0</v>
      </c>
      <c r="BI1044" s="1452">
        <f t="shared" si="578"/>
        <v>0</v>
      </c>
      <c r="BJ1044" s="1452" t="str">
        <f t="shared" si="562"/>
        <v/>
      </c>
      <c r="BK1044" s="1452" t="str">
        <f t="shared" si="563"/>
        <v/>
      </c>
      <c r="BL1044" s="1452" t="str">
        <f t="shared" si="564"/>
        <v/>
      </c>
      <c r="BM1044" s="1452" t="str">
        <f t="shared" si="565"/>
        <v/>
      </c>
      <c r="BN1044" s="1452" t="str">
        <f t="shared" ca="1" si="566"/>
        <v/>
      </c>
      <c r="BO1044" s="1452" t="str">
        <f t="shared" si="579"/>
        <v/>
      </c>
      <c r="BP1044" s="1452" t="str">
        <f t="shared" si="567"/>
        <v/>
      </c>
      <c r="BQ1044" s="1452" t="str">
        <f t="shared" si="568"/>
        <v/>
      </c>
      <c r="BR1044" s="1452" t="str">
        <f t="shared" si="569"/>
        <v/>
      </c>
      <c r="BS1044" s="1452" t="str">
        <f t="shared" si="570"/>
        <v/>
      </c>
      <c r="BT1044" s="1452" t="str">
        <f t="shared" si="571"/>
        <v/>
      </c>
      <c r="BU1044" s="1452" t="str">
        <f t="shared" si="572"/>
        <v/>
      </c>
      <c r="BV1044" s="1452" t="str">
        <f t="shared" si="573"/>
        <v/>
      </c>
      <c r="BW1044" s="1558">
        <f t="shared" ca="1" si="580"/>
        <v>0</v>
      </c>
    </row>
    <row r="1045" spans="1:151" s="9" customFormat="1" ht="12.5">
      <c r="A1045" s="1483" t="str">
        <f t="shared" si="574"/>
        <v>Public Health Wales Trust</v>
      </c>
      <c r="B1045" s="1583"/>
      <c r="C1045" s="1583"/>
      <c r="D1045" s="1583"/>
      <c r="E1045" s="1586"/>
      <c r="F1045" s="1436"/>
      <c r="G1045" s="1547">
        <f t="shared" si="575"/>
        <v>0</v>
      </c>
      <c r="H1045" s="1484"/>
      <c r="I1045" s="1547">
        <f t="shared" si="576"/>
        <v>0</v>
      </c>
      <c r="J1045" s="1516"/>
      <c r="K1045" s="1516"/>
      <c r="L1045" s="1436"/>
      <c r="M1045" s="1439"/>
      <c r="N1045" s="1439"/>
      <c r="O1045" s="1485"/>
      <c r="P1045" s="1486"/>
      <c r="Q1045" s="1486"/>
      <c r="R1045" s="1487"/>
      <c r="S1045" s="1444"/>
      <c r="T1045" s="1444"/>
      <c r="U1045" s="1444"/>
      <c r="V1045" s="1488"/>
      <c r="W1045" s="1488"/>
      <c r="X1045" s="1488"/>
      <c r="Y1045" s="1488"/>
      <c r="Z1045" s="1488"/>
      <c r="AA1045" s="1488"/>
      <c r="AB1045" s="1488"/>
      <c r="AC1045" s="1488"/>
      <c r="AD1045" s="1488"/>
      <c r="AE1045" s="1488"/>
      <c r="AF1045" s="1488"/>
      <c r="AG1045" s="1488"/>
      <c r="AH1045" s="1451">
        <f t="shared" si="548"/>
        <v>0</v>
      </c>
      <c r="AI1045" s="1488"/>
      <c r="AJ1045" s="1488"/>
      <c r="AK1045" s="1488"/>
      <c r="AL1045" s="1488"/>
      <c r="AM1045" s="1488"/>
      <c r="AN1045" s="1488"/>
      <c r="AO1045" s="1488"/>
      <c r="AP1045" s="1488"/>
      <c r="AQ1045" s="1488"/>
      <c r="AR1045" s="1488"/>
      <c r="AS1045" s="1488"/>
      <c r="AT1045" s="1542"/>
      <c r="AU1045" s="1599">
        <f t="shared" si="549"/>
        <v>0</v>
      </c>
      <c r="AV1045" s="1544">
        <f t="shared" si="577"/>
        <v>0</v>
      </c>
      <c r="AW1045" s="1452">
        <f t="shared" si="550"/>
        <v>0</v>
      </c>
      <c r="AX1045" s="1452">
        <f t="shared" si="551"/>
        <v>0</v>
      </c>
      <c r="AY1045" s="1452">
        <f t="shared" si="552"/>
        <v>0</v>
      </c>
      <c r="AZ1045" s="1452">
        <f t="shared" si="553"/>
        <v>0</v>
      </c>
      <c r="BA1045" s="1452">
        <f t="shared" si="554"/>
        <v>0</v>
      </c>
      <c r="BB1045" s="1452">
        <f t="shared" si="555"/>
        <v>0</v>
      </c>
      <c r="BC1045" s="1452">
        <f t="shared" si="556"/>
        <v>0</v>
      </c>
      <c r="BD1045" s="1452">
        <f t="shared" si="557"/>
        <v>0</v>
      </c>
      <c r="BE1045" s="1452">
        <f t="shared" si="558"/>
        <v>0</v>
      </c>
      <c r="BF1045" s="1452">
        <f t="shared" si="559"/>
        <v>0</v>
      </c>
      <c r="BG1045" s="1452">
        <f t="shared" si="560"/>
        <v>0</v>
      </c>
      <c r="BH1045" s="1452">
        <f t="shared" si="561"/>
        <v>0</v>
      </c>
      <c r="BI1045" s="1452">
        <f t="shared" si="578"/>
        <v>0</v>
      </c>
      <c r="BJ1045" s="1452" t="str">
        <f t="shared" si="562"/>
        <v/>
      </c>
      <c r="BK1045" s="1452" t="str">
        <f t="shared" si="563"/>
        <v/>
      </c>
      <c r="BL1045" s="1452" t="str">
        <f t="shared" si="564"/>
        <v/>
      </c>
      <c r="BM1045" s="1452" t="str">
        <f t="shared" si="565"/>
        <v/>
      </c>
      <c r="BN1045" s="1452" t="str">
        <f t="shared" ca="1" si="566"/>
        <v/>
      </c>
      <c r="BO1045" s="1452" t="str">
        <f t="shared" si="579"/>
        <v/>
      </c>
      <c r="BP1045" s="1452" t="str">
        <f t="shared" si="567"/>
        <v/>
      </c>
      <c r="BQ1045" s="1452" t="str">
        <f t="shared" si="568"/>
        <v/>
      </c>
      <c r="BR1045" s="1452" t="str">
        <f t="shared" si="569"/>
        <v/>
      </c>
      <c r="BS1045" s="1452" t="str">
        <f t="shared" si="570"/>
        <v/>
      </c>
      <c r="BT1045" s="1452" t="str">
        <f t="shared" si="571"/>
        <v/>
      </c>
      <c r="BU1045" s="1452" t="str">
        <f t="shared" si="572"/>
        <v/>
      </c>
      <c r="BV1045" s="1452" t="str">
        <f t="shared" si="573"/>
        <v/>
      </c>
      <c r="BW1045" s="1558">
        <f t="shared" ca="1" si="580"/>
        <v>0</v>
      </c>
    </row>
    <row r="1046" spans="1:151" s="9" customFormat="1" ht="12.5">
      <c r="A1046" s="1483" t="str">
        <f t="shared" si="574"/>
        <v>Public Health Wales Trust</v>
      </c>
      <c r="B1046" s="1583"/>
      <c r="C1046" s="1583"/>
      <c r="D1046" s="1583"/>
      <c r="E1046" s="1586"/>
      <c r="F1046" s="1436"/>
      <c r="G1046" s="1547">
        <f t="shared" si="575"/>
        <v>0</v>
      </c>
      <c r="H1046" s="1484"/>
      <c r="I1046" s="1547">
        <f t="shared" si="576"/>
        <v>0</v>
      </c>
      <c r="J1046" s="1516"/>
      <c r="K1046" s="1516"/>
      <c r="L1046" s="1436"/>
      <c r="M1046" s="1439"/>
      <c r="N1046" s="1439"/>
      <c r="O1046" s="1485"/>
      <c r="P1046" s="1486"/>
      <c r="Q1046" s="1486"/>
      <c r="R1046" s="1487"/>
      <c r="S1046" s="1444"/>
      <c r="T1046" s="1444"/>
      <c r="U1046" s="1444"/>
      <c r="V1046" s="1488"/>
      <c r="W1046" s="1488"/>
      <c r="X1046" s="1488"/>
      <c r="Y1046" s="1488"/>
      <c r="Z1046" s="1488"/>
      <c r="AA1046" s="1488"/>
      <c r="AB1046" s="1488"/>
      <c r="AC1046" s="1488"/>
      <c r="AD1046" s="1488"/>
      <c r="AE1046" s="1488"/>
      <c r="AF1046" s="1488"/>
      <c r="AG1046" s="1488"/>
      <c r="AH1046" s="1451">
        <f t="shared" si="548"/>
        <v>0</v>
      </c>
      <c r="AI1046" s="1488"/>
      <c r="AJ1046" s="1488"/>
      <c r="AK1046" s="1488"/>
      <c r="AL1046" s="1488"/>
      <c r="AM1046" s="1488"/>
      <c r="AN1046" s="1488"/>
      <c r="AO1046" s="1488"/>
      <c r="AP1046" s="1488"/>
      <c r="AQ1046" s="1488"/>
      <c r="AR1046" s="1488"/>
      <c r="AS1046" s="1488"/>
      <c r="AT1046" s="1542"/>
      <c r="AU1046" s="1599">
        <f t="shared" si="549"/>
        <v>0</v>
      </c>
      <c r="AV1046" s="1544">
        <f t="shared" si="577"/>
        <v>0</v>
      </c>
      <c r="AW1046" s="1452">
        <f t="shared" si="550"/>
        <v>0</v>
      </c>
      <c r="AX1046" s="1452">
        <f t="shared" si="551"/>
        <v>0</v>
      </c>
      <c r="AY1046" s="1452">
        <f t="shared" si="552"/>
        <v>0</v>
      </c>
      <c r="AZ1046" s="1452">
        <f t="shared" si="553"/>
        <v>0</v>
      </c>
      <c r="BA1046" s="1452">
        <f t="shared" si="554"/>
        <v>0</v>
      </c>
      <c r="BB1046" s="1452">
        <f t="shared" si="555"/>
        <v>0</v>
      </c>
      <c r="BC1046" s="1452">
        <f t="shared" si="556"/>
        <v>0</v>
      </c>
      <c r="BD1046" s="1452">
        <f t="shared" si="557"/>
        <v>0</v>
      </c>
      <c r="BE1046" s="1452">
        <f t="shared" si="558"/>
        <v>0</v>
      </c>
      <c r="BF1046" s="1452">
        <f t="shared" si="559"/>
        <v>0</v>
      </c>
      <c r="BG1046" s="1452">
        <f t="shared" si="560"/>
        <v>0</v>
      </c>
      <c r="BH1046" s="1452">
        <f t="shared" si="561"/>
        <v>0</v>
      </c>
      <c r="BI1046" s="1452">
        <f t="shared" si="578"/>
        <v>0</v>
      </c>
      <c r="BJ1046" s="1452" t="str">
        <f t="shared" si="562"/>
        <v/>
      </c>
      <c r="BK1046" s="1452" t="str">
        <f t="shared" si="563"/>
        <v/>
      </c>
      <c r="BL1046" s="1452" t="str">
        <f t="shared" si="564"/>
        <v/>
      </c>
      <c r="BM1046" s="1452" t="str">
        <f t="shared" si="565"/>
        <v/>
      </c>
      <c r="BN1046" s="1452" t="str">
        <f t="shared" ca="1" si="566"/>
        <v/>
      </c>
      <c r="BO1046" s="1452" t="str">
        <f t="shared" si="579"/>
        <v/>
      </c>
      <c r="BP1046" s="1452" t="str">
        <f t="shared" si="567"/>
        <v/>
      </c>
      <c r="BQ1046" s="1452" t="str">
        <f t="shared" si="568"/>
        <v/>
      </c>
      <c r="BR1046" s="1452" t="str">
        <f t="shared" si="569"/>
        <v/>
      </c>
      <c r="BS1046" s="1452" t="str">
        <f t="shared" si="570"/>
        <v/>
      </c>
      <c r="BT1046" s="1452" t="str">
        <f t="shared" si="571"/>
        <v/>
      </c>
      <c r="BU1046" s="1452" t="str">
        <f t="shared" si="572"/>
        <v/>
      </c>
      <c r="BV1046" s="1452" t="str">
        <f t="shared" si="573"/>
        <v/>
      </c>
      <c r="BW1046" s="1558">
        <f t="shared" ca="1" si="580"/>
        <v>0</v>
      </c>
    </row>
    <row r="1047" spans="1:151" s="9" customFormat="1" ht="12.5">
      <c r="A1047" s="1483" t="str">
        <f t="shared" si="574"/>
        <v>Public Health Wales Trust</v>
      </c>
      <c r="B1047" s="1583"/>
      <c r="C1047" s="1583"/>
      <c r="D1047" s="1583"/>
      <c r="E1047" s="1581"/>
      <c r="F1047" s="1436"/>
      <c r="G1047" s="1547">
        <f t="shared" si="575"/>
        <v>0</v>
      </c>
      <c r="H1047" s="1484"/>
      <c r="I1047" s="1547">
        <f t="shared" si="576"/>
        <v>0</v>
      </c>
      <c r="J1047" s="1516"/>
      <c r="K1047" s="1516"/>
      <c r="L1047" s="1436"/>
      <c r="M1047" s="1439"/>
      <c r="N1047" s="1439"/>
      <c r="O1047" s="1485"/>
      <c r="P1047" s="1486"/>
      <c r="Q1047" s="1486"/>
      <c r="R1047" s="1487"/>
      <c r="S1047" s="1444"/>
      <c r="T1047" s="1444"/>
      <c r="U1047" s="1444"/>
      <c r="V1047" s="1488"/>
      <c r="W1047" s="1488"/>
      <c r="X1047" s="1488"/>
      <c r="Y1047" s="1488"/>
      <c r="Z1047" s="1488"/>
      <c r="AA1047" s="1488"/>
      <c r="AB1047" s="1488"/>
      <c r="AC1047" s="1488"/>
      <c r="AD1047" s="1488"/>
      <c r="AE1047" s="1488"/>
      <c r="AF1047" s="1488"/>
      <c r="AG1047" s="1488"/>
      <c r="AH1047" s="1451">
        <f t="shared" si="548"/>
        <v>0</v>
      </c>
      <c r="AI1047" s="1488"/>
      <c r="AJ1047" s="1488"/>
      <c r="AK1047" s="1488"/>
      <c r="AL1047" s="1488"/>
      <c r="AM1047" s="1488"/>
      <c r="AN1047" s="1488"/>
      <c r="AO1047" s="1488"/>
      <c r="AP1047" s="1488"/>
      <c r="AQ1047" s="1488"/>
      <c r="AR1047" s="1488"/>
      <c r="AS1047" s="1488"/>
      <c r="AT1047" s="1542"/>
      <c r="AU1047" s="1599">
        <f t="shared" si="549"/>
        <v>0</v>
      </c>
      <c r="AV1047" s="1544">
        <f t="shared" si="577"/>
        <v>0</v>
      </c>
      <c r="AW1047" s="1452">
        <f t="shared" si="550"/>
        <v>0</v>
      </c>
      <c r="AX1047" s="1452">
        <f t="shared" si="551"/>
        <v>0</v>
      </c>
      <c r="AY1047" s="1452">
        <f t="shared" si="552"/>
        <v>0</v>
      </c>
      <c r="AZ1047" s="1452">
        <f t="shared" si="553"/>
        <v>0</v>
      </c>
      <c r="BA1047" s="1452">
        <f t="shared" si="554"/>
        <v>0</v>
      </c>
      <c r="BB1047" s="1452">
        <f t="shared" si="555"/>
        <v>0</v>
      </c>
      <c r="BC1047" s="1452">
        <f t="shared" si="556"/>
        <v>0</v>
      </c>
      <c r="BD1047" s="1452">
        <f t="shared" si="557"/>
        <v>0</v>
      </c>
      <c r="BE1047" s="1452">
        <f t="shared" si="558"/>
        <v>0</v>
      </c>
      <c r="BF1047" s="1452">
        <f t="shared" si="559"/>
        <v>0</v>
      </c>
      <c r="BG1047" s="1452">
        <f t="shared" si="560"/>
        <v>0</v>
      </c>
      <c r="BH1047" s="1452">
        <f t="shared" si="561"/>
        <v>0</v>
      </c>
      <c r="BI1047" s="1452">
        <f t="shared" si="578"/>
        <v>0</v>
      </c>
      <c r="BJ1047" s="1452" t="str">
        <f t="shared" si="562"/>
        <v/>
      </c>
      <c r="BK1047" s="1452" t="str">
        <f t="shared" si="563"/>
        <v/>
      </c>
      <c r="BL1047" s="1452" t="str">
        <f t="shared" si="564"/>
        <v/>
      </c>
      <c r="BM1047" s="1452" t="str">
        <f t="shared" si="565"/>
        <v/>
      </c>
      <c r="BN1047" s="1452" t="str">
        <f t="shared" ca="1" si="566"/>
        <v/>
      </c>
      <c r="BO1047" s="1452" t="str">
        <f t="shared" si="579"/>
        <v/>
      </c>
      <c r="BP1047" s="1452" t="str">
        <f t="shared" si="567"/>
        <v/>
      </c>
      <c r="BQ1047" s="1452" t="str">
        <f t="shared" si="568"/>
        <v/>
      </c>
      <c r="BR1047" s="1452" t="str">
        <f t="shared" si="569"/>
        <v/>
      </c>
      <c r="BS1047" s="1452" t="str">
        <f t="shared" si="570"/>
        <v/>
      </c>
      <c r="BT1047" s="1452" t="str">
        <f t="shared" si="571"/>
        <v/>
      </c>
      <c r="BU1047" s="1452" t="str">
        <f t="shared" si="572"/>
        <v/>
      </c>
      <c r="BV1047" s="1452" t="str">
        <f t="shared" si="573"/>
        <v/>
      </c>
      <c r="BW1047" s="1558">
        <f t="shared" ca="1" si="580"/>
        <v>0</v>
      </c>
    </row>
    <row r="1048" spans="1:151" s="9" customFormat="1" ht="12.5">
      <c r="A1048" s="1483" t="str">
        <f t="shared" si="574"/>
        <v>Public Health Wales Trust</v>
      </c>
      <c r="B1048" s="1583"/>
      <c r="C1048" s="1583"/>
      <c r="D1048" s="1583"/>
      <c r="E1048" s="1581"/>
      <c r="F1048" s="1436"/>
      <c r="G1048" s="1547">
        <f t="shared" si="575"/>
        <v>0</v>
      </c>
      <c r="H1048" s="1484"/>
      <c r="I1048" s="1547">
        <f t="shared" si="576"/>
        <v>0</v>
      </c>
      <c r="J1048" s="1516"/>
      <c r="K1048" s="1516"/>
      <c r="L1048" s="1436"/>
      <c r="M1048" s="1439"/>
      <c r="N1048" s="1439"/>
      <c r="O1048" s="1485"/>
      <c r="P1048" s="1486"/>
      <c r="Q1048" s="1486"/>
      <c r="R1048" s="1487"/>
      <c r="S1048" s="1444"/>
      <c r="T1048" s="1444"/>
      <c r="U1048" s="1444"/>
      <c r="V1048" s="1488"/>
      <c r="W1048" s="1488"/>
      <c r="X1048" s="1488"/>
      <c r="Y1048" s="1488"/>
      <c r="Z1048" s="1488"/>
      <c r="AA1048" s="1488"/>
      <c r="AB1048" s="1488"/>
      <c r="AC1048" s="1488"/>
      <c r="AD1048" s="1488"/>
      <c r="AE1048" s="1488"/>
      <c r="AF1048" s="1488"/>
      <c r="AG1048" s="1488"/>
      <c r="AH1048" s="1451">
        <f t="shared" si="548"/>
        <v>0</v>
      </c>
      <c r="AI1048" s="1488"/>
      <c r="AJ1048" s="1488"/>
      <c r="AK1048" s="1488"/>
      <c r="AL1048" s="1488"/>
      <c r="AM1048" s="1488"/>
      <c r="AN1048" s="1488"/>
      <c r="AO1048" s="1488"/>
      <c r="AP1048" s="1488"/>
      <c r="AQ1048" s="1488"/>
      <c r="AR1048" s="1488"/>
      <c r="AS1048" s="1488"/>
      <c r="AT1048" s="1542"/>
      <c r="AU1048" s="1599">
        <f t="shared" si="549"/>
        <v>0</v>
      </c>
      <c r="AV1048" s="1544">
        <f t="shared" si="577"/>
        <v>0</v>
      </c>
      <c r="AW1048" s="1452">
        <f t="shared" si="550"/>
        <v>0</v>
      </c>
      <c r="AX1048" s="1452">
        <f t="shared" si="551"/>
        <v>0</v>
      </c>
      <c r="AY1048" s="1452">
        <f t="shared" si="552"/>
        <v>0</v>
      </c>
      <c r="AZ1048" s="1452">
        <f t="shared" si="553"/>
        <v>0</v>
      </c>
      <c r="BA1048" s="1452">
        <f t="shared" si="554"/>
        <v>0</v>
      </c>
      <c r="BB1048" s="1452">
        <f t="shared" si="555"/>
        <v>0</v>
      </c>
      <c r="BC1048" s="1452">
        <f t="shared" si="556"/>
        <v>0</v>
      </c>
      <c r="BD1048" s="1452">
        <f t="shared" si="557"/>
        <v>0</v>
      </c>
      <c r="BE1048" s="1452">
        <f t="shared" si="558"/>
        <v>0</v>
      </c>
      <c r="BF1048" s="1452">
        <f t="shared" si="559"/>
        <v>0</v>
      </c>
      <c r="BG1048" s="1452">
        <f t="shared" si="560"/>
        <v>0</v>
      </c>
      <c r="BH1048" s="1452">
        <f t="shared" si="561"/>
        <v>0</v>
      </c>
      <c r="BI1048" s="1452">
        <f t="shared" si="578"/>
        <v>0</v>
      </c>
      <c r="BJ1048" s="1452" t="str">
        <f t="shared" si="562"/>
        <v/>
      </c>
      <c r="BK1048" s="1452" t="str">
        <f t="shared" si="563"/>
        <v/>
      </c>
      <c r="BL1048" s="1452" t="str">
        <f t="shared" si="564"/>
        <v/>
      </c>
      <c r="BM1048" s="1452" t="str">
        <f t="shared" si="565"/>
        <v/>
      </c>
      <c r="BN1048" s="1452" t="str">
        <f t="shared" ca="1" si="566"/>
        <v/>
      </c>
      <c r="BO1048" s="1452" t="str">
        <f t="shared" si="579"/>
        <v/>
      </c>
      <c r="BP1048" s="1452" t="str">
        <f t="shared" si="567"/>
        <v/>
      </c>
      <c r="BQ1048" s="1452" t="str">
        <f t="shared" si="568"/>
        <v/>
      </c>
      <c r="BR1048" s="1452" t="str">
        <f t="shared" si="569"/>
        <v/>
      </c>
      <c r="BS1048" s="1452" t="str">
        <f t="shared" si="570"/>
        <v/>
      </c>
      <c r="BT1048" s="1452" t="str">
        <f t="shared" si="571"/>
        <v/>
      </c>
      <c r="BU1048" s="1452" t="str">
        <f t="shared" si="572"/>
        <v/>
      </c>
      <c r="BV1048" s="1452" t="str">
        <f t="shared" si="573"/>
        <v/>
      </c>
      <c r="BW1048" s="1558">
        <f t="shared" ca="1" si="580"/>
        <v>0</v>
      </c>
    </row>
    <row r="1049" spans="1:151" s="9" customFormat="1" ht="12.5">
      <c r="A1049" s="1483" t="str">
        <f t="shared" si="574"/>
        <v>Public Health Wales Trust</v>
      </c>
      <c r="B1049" s="1583"/>
      <c r="C1049" s="1583"/>
      <c r="D1049" s="1583"/>
      <c r="E1049" s="1581"/>
      <c r="F1049" s="1436"/>
      <c r="G1049" s="1547">
        <f t="shared" si="575"/>
        <v>0</v>
      </c>
      <c r="H1049" s="1484"/>
      <c r="I1049" s="1547">
        <f t="shared" si="576"/>
        <v>0</v>
      </c>
      <c r="J1049" s="1516"/>
      <c r="K1049" s="1516"/>
      <c r="L1049" s="1436"/>
      <c r="M1049" s="1439"/>
      <c r="N1049" s="1439"/>
      <c r="O1049" s="1485"/>
      <c r="P1049" s="1486"/>
      <c r="Q1049" s="1486"/>
      <c r="R1049" s="1487"/>
      <c r="S1049" s="1444"/>
      <c r="T1049" s="1444"/>
      <c r="U1049" s="1444"/>
      <c r="V1049" s="1488"/>
      <c r="W1049" s="1488"/>
      <c r="X1049" s="1488"/>
      <c r="Y1049" s="1488"/>
      <c r="Z1049" s="1488"/>
      <c r="AA1049" s="1488"/>
      <c r="AB1049" s="1488"/>
      <c r="AC1049" s="1488"/>
      <c r="AD1049" s="1488"/>
      <c r="AE1049" s="1488"/>
      <c r="AF1049" s="1488"/>
      <c r="AG1049" s="1488"/>
      <c r="AH1049" s="1451">
        <f t="shared" si="548"/>
        <v>0</v>
      </c>
      <c r="AI1049" s="1488"/>
      <c r="AJ1049" s="1488"/>
      <c r="AK1049" s="1488"/>
      <c r="AL1049" s="1488"/>
      <c r="AM1049" s="1488"/>
      <c r="AN1049" s="1488"/>
      <c r="AO1049" s="1488"/>
      <c r="AP1049" s="1488"/>
      <c r="AQ1049" s="1488"/>
      <c r="AR1049" s="1488"/>
      <c r="AS1049" s="1488"/>
      <c r="AT1049" s="1542"/>
      <c r="AU1049" s="1599">
        <f t="shared" si="549"/>
        <v>0</v>
      </c>
      <c r="AV1049" s="1544">
        <f t="shared" si="577"/>
        <v>0</v>
      </c>
      <c r="AW1049" s="1452">
        <f t="shared" si="550"/>
        <v>0</v>
      </c>
      <c r="AX1049" s="1452">
        <f t="shared" si="551"/>
        <v>0</v>
      </c>
      <c r="AY1049" s="1452">
        <f t="shared" si="552"/>
        <v>0</v>
      </c>
      <c r="AZ1049" s="1452">
        <f t="shared" si="553"/>
        <v>0</v>
      </c>
      <c r="BA1049" s="1452">
        <f t="shared" si="554"/>
        <v>0</v>
      </c>
      <c r="BB1049" s="1452">
        <f t="shared" si="555"/>
        <v>0</v>
      </c>
      <c r="BC1049" s="1452">
        <f t="shared" si="556"/>
        <v>0</v>
      </c>
      <c r="BD1049" s="1452">
        <f t="shared" si="557"/>
        <v>0</v>
      </c>
      <c r="BE1049" s="1452">
        <f t="shared" si="558"/>
        <v>0</v>
      </c>
      <c r="BF1049" s="1452">
        <f t="shared" si="559"/>
        <v>0</v>
      </c>
      <c r="BG1049" s="1452">
        <f t="shared" si="560"/>
        <v>0</v>
      </c>
      <c r="BH1049" s="1452">
        <f t="shared" si="561"/>
        <v>0</v>
      </c>
      <c r="BI1049" s="1452">
        <f t="shared" si="578"/>
        <v>0</v>
      </c>
      <c r="BJ1049" s="1452" t="str">
        <f t="shared" si="562"/>
        <v/>
      </c>
      <c r="BK1049" s="1452" t="str">
        <f t="shared" si="563"/>
        <v/>
      </c>
      <c r="BL1049" s="1452" t="str">
        <f t="shared" si="564"/>
        <v/>
      </c>
      <c r="BM1049" s="1452" t="str">
        <f t="shared" si="565"/>
        <v/>
      </c>
      <c r="BN1049" s="1452" t="str">
        <f t="shared" ca="1" si="566"/>
        <v/>
      </c>
      <c r="BO1049" s="1452" t="str">
        <f t="shared" si="579"/>
        <v/>
      </c>
      <c r="BP1049" s="1452" t="str">
        <f t="shared" si="567"/>
        <v/>
      </c>
      <c r="BQ1049" s="1452" t="str">
        <f t="shared" si="568"/>
        <v/>
      </c>
      <c r="BR1049" s="1452" t="str">
        <f t="shared" si="569"/>
        <v/>
      </c>
      <c r="BS1049" s="1452" t="str">
        <f t="shared" si="570"/>
        <v/>
      </c>
      <c r="BT1049" s="1452" t="str">
        <f t="shared" si="571"/>
        <v/>
      </c>
      <c r="BU1049" s="1452" t="str">
        <f t="shared" si="572"/>
        <v/>
      </c>
      <c r="BV1049" s="1452" t="str">
        <f t="shared" si="573"/>
        <v/>
      </c>
      <c r="BW1049" s="1558">
        <f t="shared" ca="1" si="580"/>
        <v>0</v>
      </c>
    </row>
    <row r="1050" spans="1:151" s="9" customFormat="1" ht="12.5">
      <c r="A1050" s="1483" t="str">
        <f t="shared" si="574"/>
        <v>Public Health Wales Trust</v>
      </c>
      <c r="B1050" s="1583"/>
      <c r="C1050" s="1583"/>
      <c r="D1050" s="1583"/>
      <c r="E1050" s="1581"/>
      <c r="F1050" s="1436"/>
      <c r="G1050" s="1547">
        <f t="shared" si="575"/>
        <v>0</v>
      </c>
      <c r="H1050" s="1484"/>
      <c r="I1050" s="1547">
        <f t="shared" si="576"/>
        <v>0</v>
      </c>
      <c r="J1050" s="1516"/>
      <c r="K1050" s="1516"/>
      <c r="L1050" s="1436"/>
      <c r="M1050" s="1439"/>
      <c r="N1050" s="1439"/>
      <c r="O1050" s="1485"/>
      <c r="P1050" s="1486"/>
      <c r="Q1050" s="1486"/>
      <c r="R1050" s="1487"/>
      <c r="S1050" s="1444"/>
      <c r="T1050" s="1444"/>
      <c r="U1050" s="1444"/>
      <c r="V1050" s="1488"/>
      <c r="W1050" s="1488"/>
      <c r="X1050" s="1488"/>
      <c r="Y1050" s="1488"/>
      <c r="Z1050" s="1488"/>
      <c r="AA1050" s="1488"/>
      <c r="AB1050" s="1488"/>
      <c r="AC1050" s="1488"/>
      <c r="AD1050" s="1488"/>
      <c r="AE1050" s="1488"/>
      <c r="AF1050" s="1488"/>
      <c r="AG1050" s="1488"/>
      <c r="AH1050" s="1451">
        <f t="shared" si="548"/>
        <v>0</v>
      </c>
      <c r="AI1050" s="1488"/>
      <c r="AJ1050" s="1488"/>
      <c r="AK1050" s="1488"/>
      <c r="AL1050" s="1488"/>
      <c r="AM1050" s="1488"/>
      <c r="AN1050" s="1488"/>
      <c r="AO1050" s="1488"/>
      <c r="AP1050" s="1488"/>
      <c r="AQ1050" s="1488"/>
      <c r="AR1050" s="1488"/>
      <c r="AS1050" s="1488"/>
      <c r="AT1050" s="1542"/>
      <c r="AU1050" s="1599">
        <f t="shared" si="549"/>
        <v>0</v>
      </c>
      <c r="AV1050" s="1544">
        <f t="shared" si="577"/>
        <v>0</v>
      </c>
      <c r="AW1050" s="1452">
        <f t="shared" si="550"/>
        <v>0</v>
      </c>
      <c r="AX1050" s="1452">
        <f t="shared" si="551"/>
        <v>0</v>
      </c>
      <c r="AY1050" s="1452">
        <f t="shared" si="552"/>
        <v>0</v>
      </c>
      <c r="AZ1050" s="1452">
        <f t="shared" si="553"/>
        <v>0</v>
      </c>
      <c r="BA1050" s="1452">
        <f t="shared" si="554"/>
        <v>0</v>
      </c>
      <c r="BB1050" s="1452">
        <f t="shared" si="555"/>
        <v>0</v>
      </c>
      <c r="BC1050" s="1452">
        <f t="shared" si="556"/>
        <v>0</v>
      </c>
      <c r="BD1050" s="1452">
        <f t="shared" si="557"/>
        <v>0</v>
      </c>
      <c r="BE1050" s="1452">
        <f t="shared" si="558"/>
        <v>0</v>
      </c>
      <c r="BF1050" s="1452">
        <f t="shared" si="559"/>
        <v>0</v>
      </c>
      <c r="BG1050" s="1452">
        <f t="shared" si="560"/>
        <v>0</v>
      </c>
      <c r="BH1050" s="1452">
        <f t="shared" si="561"/>
        <v>0</v>
      </c>
      <c r="BI1050" s="1452">
        <f t="shared" si="578"/>
        <v>0</v>
      </c>
      <c r="BJ1050" s="1452" t="str">
        <f t="shared" si="562"/>
        <v/>
      </c>
      <c r="BK1050" s="1452" t="str">
        <f t="shared" si="563"/>
        <v/>
      </c>
      <c r="BL1050" s="1452" t="str">
        <f t="shared" si="564"/>
        <v/>
      </c>
      <c r="BM1050" s="1452" t="str">
        <f t="shared" si="565"/>
        <v/>
      </c>
      <c r="BN1050" s="1452" t="str">
        <f t="shared" ca="1" si="566"/>
        <v/>
      </c>
      <c r="BO1050" s="1452" t="str">
        <f t="shared" si="579"/>
        <v/>
      </c>
      <c r="BP1050" s="1452" t="str">
        <f t="shared" si="567"/>
        <v/>
      </c>
      <c r="BQ1050" s="1452" t="str">
        <f t="shared" si="568"/>
        <v/>
      </c>
      <c r="BR1050" s="1452" t="str">
        <f t="shared" si="569"/>
        <v/>
      </c>
      <c r="BS1050" s="1452" t="str">
        <f t="shared" si="570"/>
        <v/>
      </c>
      <c r="BT1050" s="1452" t="str">
        <f t="shared" si="571"/>
        <v/>
      </c>
      <c r="BU1050" s="1452" t="str">
        <f t="shared" si="572"/>
        <v/>
      </c>
      <c r="BV1050" s="1452" t="str">
        <f t="shared" si="573"/>
        <v/>
      </c>
      <c r="BW1050" s="1558">
        <f t="shared" ca="1" si="580"/>
        <v>0</v>
      </c>
    </row>
    <row r="1051" spans="1:151" s="9" customFormat="1" ht="12.5">
      <c r="A1051" s="1483" t="str">
        <f t="shared" si="574"/>
        <v>Public Health Wales Trust</v>
      </c>
      <c r="B1051" s="1583"/>
      <c r="C1051" s="1583"/>
      <c r="D1051" s="1583"/>
      <c r="E1051" s="1581"/>
      <c r="F1051" s="1436"/>
      <c r="G1051" s="1547">
        <f t="shared" si="575"/>
        <v>0</v>
      </c>
      <c r="H1051" s="1484"/>
      <c r="I1051" s="1547">
        <f t="shared" si="576"/>
        <v>0</v>
      </c>
      <c r="J1051" s="1516"/>
      <c r="K1051" s="1516"/>
      <c r="L1051" s="1436"/>
      <c r="M1051" s="1439"/>
      <c r="N1051" s="1439"/>
      <c r="O1051" s="1485"/>
      <c r="P1051" s="1486"/>
      <c r="Q1051" s="1486"/>
      <c r="R1051" s="1487"/>
      <c r="S1051" s="1444"/>
      <c r="T1051" s="1444"/>
      <c r="U1051" s="1444"/>
      <c r="V1051" s="1488"/>
      <c r="W1051" s="1488"/>
      <c r="X1051" s="1488"/>
      <c r="Y1051" s="1488"/>
      <c r="Z1051" s="1488"/>
      <c r="AA1051" s="1488"/>
      <c r="AB1051" s="1488"/>
      <c r="AC1051" s="1488"/>
      <c r="AD1051" s="1488"/>
      <c r="AE1051" s="1488"/>
      <c r="AF1051" s="1488"/>
      <c r="AG1051" s="1488"/>
      <c r="AH1051" s="1451">
        <f t="shared" si="548"/>
        <v>0</v>
      </c>
      <c r="AI1051" s="1488"/>
      <c r="AJ1051" s="1488"/>
      <c r="AK1051" s="1488"/>
      <c r="AL1051" s="1488"/>
      <c r="AM1051" s="1488"/>
      <c r="AN1051" s="1488"/>
      <c r="AO1051" s="1488"/>
      <c r="AP1051" s="1488"/>
      <c r="AQ1051" s="1488"/>
      <c r="AR1051" s="1488"/>
      <c r="AS1051" s="1488"/>
      <c r="AT1051" s="1542"/>
      <c r="AU1051" s="1599">
        <f t="shared" si="549"/>
        <v>0</v>
      </c>
      <c r="AV1051" s="1544">
        <f t="shared" si="577"/>
        <v>0</v>
      </c>
      <c r="AW1051" s="1452">
        <f t="shared" si="550"/>
        <v>0</v>
      </c>
      <c r="AX1051" s="1452">
        <f t="shared" si="551"/>
        <v>0</v>
      </c>
      <c r="AY1051" s="1452">
        <f t="shared" si="552"/>
        <v>0</v>
      </c>
      <c r="AZ1051" s="1452">
        <f t="shared" si="553"/>
        <v>0</v>
      </c>
      <c r="BA1051" s="1452">
        <f t="shared" si="554"/>
        <v>0</v>
      </c>
      <c r="BB1051" s="1452">
        <f t="shared" si="555"/>
        <v>0</v>
      </c>
      <c r="BC1051" s="1452">
        <f t="shared" si="556"/>
        <v>0</v>
      </c>
      <c r="BD1051" s="1452">
        <f t="shared" si="557"/>
        <v>0</v>
      </c>
      <c r="BE1051" s="1452">
        <f t="shared" si="558"/>
        <v>0</v>
      </c>
      <c r="BF1051" s="1452">
        <f t="shared" si="559"/>
        <v>0</v>
      </c>
      <c r="BG1051" s="1452">
        <f t="shared" si="560"/>
        <v>0</v>
      </c>
      <c r="BH1051" s="1452">
        <f t="shared" si="561"/>
        <v>0</v>
      </c>
      <c r="BI1051" s="1452">
        <f t="shared" si="578"/>
        <v>0</v>
      </c>
      <c r="BJ1051" s="1452" t="str">
        <f t="shared" si="562"/>
        <v/>
      </c>
      <c r="BK1051" s="1452" t="str">
        <f t="shared" si="563"/>
        <v/>
      </c>
      <c r="BL1051" s="1452" t="str">
        <f t="shared" si="564"/>
        <v/>
      </c>
      <c r="BM1051" s="1452" t="str">
        <f t="shared" si="565"/>
        <v/>
      </c>
      <c r="BN1051" s="1452" t="str">
        <f t="shared" ca="1" si="566"/>
        <v/>
      </c>
      <c r="BO1051" s="1452" t="str">
        <f t="shared" si="579"/>
        <v/>
      </c>
      <c r="BP1051" s="1452" t="str">
        <f t="shared" si="567"/>
        <v/>
      </c>
      <c r="BQ1051" s="1452" t="str">
        <f t="shared" si="568"/>
        <v/>
      </c>
      <c r="BR1051" s="1452" t="str">
        <f t="shared" si="569"/>
        <v/>
      </c>
      <c r="BS1051" s="1452" t="str">
        <f t="shared" si="570"/>
        <v/>
      </c>
      <c r="BT1051" s="1452" t="str">
        <f t="shared" si="571"/>
        <v/>
      </c>
      <c r="BU1051" s="1452" t="str">
        <f t="shared" si="572"/>
        <v/>
      </c>
      <c r="BV1051" s="1452" t="str">
        <f t="shared" si="573"/>
        <v/>
      </c>
      <c r="BW1051" s="1558">
        <f t="shared" ca="1" si="580"/>
        <v>0</v>
      </c>
    </row>
    <row r="1052" spans="1:151" s="9" customFormat="1" ht="12.5">
      <c r="A1052" s="1483" t="str">
        <f t="shared" si="574"/>
        <v>Public Health Wales Trust</v>
      </c>
      <c r="B1052" s="1583"/>
      <c r="C1052" s="1583"/>
      <c r="D1052" s="1583"/>
      <c r="E1052" s="1581"/>
      <c r="F1052" s="1436"/>
      <c r="G1052" s="1547">
        <f t="shared" si="575"/>
        <v>0</v>
      </c>
      <c r="H1052" s="1484"/>
      <c r="I1052" s="1547">
        <f t="shared" si="576"/>
        <v>0</v>
      </c>
      <c r="J1052" s="1516"/>
      <c r="K1052" s="1516"/>
      <c r="L1052" s="1436"/>
      <c r="M1052" s="1439"/>
      <c r="N1052" s="1439"/>
      <c r="O1052" s="1485"/>
      <c r="P1052" s="1486"/>
      <c r="Q1052" s="1486"/>
      <c r="R1052" s="1487"/>
      <c r="S1052" s="1444"/>
      <c r="T1052" s="1444"/>
      <c r="U1052" s="1444"/>
      <c r="V1052" s="1488"/>
      <c r="W1052" s="1488"/>
      <c r="X1052" s="1488"/>
      <c r="Y1052" s="1488"/>
      <c r="Z1052" s="1488"/>
      <c r="AA1052" s="1488"/>
      <c r="AB1052" s="1488"/>
      <c r="AC1052" s="1488"/>
      <c r="AD1052" s="1488"/>
      <c r="AE1052" s="1488"/>
      <c r="AF1052" s="1488"/>
      <c r="AG1052" s="1488"/>
      <c r="AH1052" s="1451">
        <f t="shared" si="548"/>
        <v>0</v>
      </c>
      <c r="AI1052" s="1488"/>
      <c r="AJ1052" s="1488"/>
      <c r="AK1052" s="1488"/>
      <c r="AL1052" s="1488"/>
      <c r="AM1052" s="1488"/>
      <c r="AN1052" s="1488"/>
      <c r="AO1052" s="1488"/>
      <c r="AP1052" s="1488"/>
      <c r="AQ1052" s="1488"/>
      <c r="AR1052" s="1488"/>
      <c r="AS1052" s="1488"/>
      <c r="AT1052" s="1542"/>
      <c r="AU1052" s="1599">
        <f t="shared" si="549"/>
        <v>0</v>
      </c>
      <c r="AV1052" s="1544">
        <f t="shared" si="577"/>
        <v>0</v>
      </c>
      <c r="AW1052" s="1452">
        <f t="shared" si="550"/>
        <v>0</v>
      </c>
      <c r="AX1052" s="1452">
        <f t="shared" si="551"/>
        <v>0</v>
      </c>
      <c r="AY1052" s="1452">
        <f t="shared" si="552"/>
        <v>0</v>
      </c>
      <c r="AZ1052" s="1452">
        <f t="shared" si="553"/>
        <v>0</v>
      </c>
      <c r="BA1052" s="1452">
        <f t="shared" si="554"/>
        <v>0</v>
      </c>
      <c r="BB1052" s="1452">
        <f t="shared" si="555"/>
        <v>0</v>
      </c>
      <c r="BC1052" s="1452">
        <f t="shared" si="556"/>
        <v>0</v>
      </c>
      <c r="BD1052" s="1452">
        <f t="shared" si="557"/>
        <v>0</v>
      </c>
      <c r="BE1052" s="1452">
        <f t="shared" si="558"/>
        <v>0</v>
      </c>
      <c r="BF1052" s="1452">
        <f t="shared" si="559"/>
        <v>0</v>
      </c>
      <c r="BG1052" s="1452">
        <f t="shared" si="560"/>
        <v>0</v>
      </c>
      <c r="BH1052" s="1452">
        <f t="shared" si="561"/>
        <v>0</v>
      </c>
      <c r="BI1052" s="1452">
        <f t="shared" si="578"/>
        <v>0</v>
      </c>
      <c r="BJ1052" s="1452" t="str">
        <f t="shared" si="562"/>
        <v/>
      </c>
      <c r="BK1052" s="1452" t="str">
        <f t="shared" si="563"/>
        <v/>
      </c>
      <c r="BL1052" s="1452" t="str">
        <f t="shared" si="564"/>
        <v/>
      </c>
      <c r="BM1052" s="1452" t="str">
        <f t="shared" si="565"/>
        <v/>
      </c>
      <c r="BN1052" s="1452" t="str">
        <f t="shared" ca="1" si="566"/>
        <v/>
      </c>
      <c r="BO1052" s="1452" t="str">
        <f t="shared" si="579"/>
        <v/>
      </c>
      <c r="BP1052" s="1452" t="str">
        <f t="shared" si="567"/>
        <v/>
      </c>
      <c r="BQ1052" s="1452" t="str">
        <f t="shared" si="568"/>
        <v/>
      </c>
      <c r="BR1052" s="1452" t="str">
        <f t="shared" si="569"/>
        <v/>
      </c>
      <c r="BS1052" s="1452" t="str">
        <f t="shared" si="570"/>
        <v/>
      </c>
      <c r="BT1052" s="1452" t="str">
        <f t="shared" si="571"/>
        <v/>
      </c>
      <c r="BU1052" s="1452" t="str">
        <f t="shared" si="572"/>
        <v/>
      </c>
      <c r="BV1052" s="1452" t="str">
        <f t="shared" si="573"/>
        <v/>
      </c>
      <c r="BW1052" s="1558">
        <f t="shared" ca="1" si="580"/>
        <v>0</v>
      </c>
    </row>
    <row r="1053" spans="1:151" s="9" customFormat="1" ht="12.5">
      <c r="A1053" s="1483" t="str">
        <f t="shared" si="574"/>
        <v>Public Health Wales Trust</v>
      </c>
      <c r="B1053" s="1583"/>
      <c r="C1053" s="1583"/>
      <c r="D1053" s="1583"/>
      <c r="E1053" s="1581"/>
      <c r="F1053" s="1436"/>
      <c r="G1053" s="1547">
        <f t="shared" si="575"/>
        <v>0</v>
      </c>
      <c r="H1053" s="1484"/>
      <c r="I1053" s="1547">
        <f t="shared" si="576"/>
        <v>0</v>
      </c>
      <c r="J1053" s="1516"/>
      <c r="K1053" s="1516"/>
      <c r="L1053" s="1436"/>
      <c r="M1053" s="1439"/>
      <c r="N1053" s="1439"/>
      <c r="O1053" s="1485"/>
      <c r="P1053" s="1486"/>
      <c r="Q1053" s="1486"/>
      <c r="R1053" s="1487"/>
      <c r="S1053" s="1444"/>
      <c r="T1053" s="1444"/>
      <c r="U1053" s="1444"/>
      <c r="V1053" s="1488"/>
      <c r="W1053" s="1488"/>
      <c r="X1053" s="1488"/>
      <c r="Y1053" s="1488"/>
      <c r="Z1053" s="1488"/>
      <c r="AA1053" s="1488"/>
      <c r="AB1053" s="1488"/>
      <c r="AC1053" s="1488"/>
      <c r="AD1053" s="1488"/>
      <c r="AE1053" s="1488"/>
      <c r="AF1053" s="1488"/>
      <c r="AG1053" s="1488"/>
      <c r="AH1053" s="1451">
        <f t="shared" si="548"/>
        <v>0</v>
      </c>
      <c r="AI1053" s="1488"/>
      <c r="AJ1053" s="1488"/>
      <c r="AK1053" s="1488"/>
      <c r="AL1053" s="1488"/>
      <c r="AM1053" s="1488"/>
      <c r="AN1053" s="1488"/>
      <c r="AO1053" s="1488"/>
      <c r="AP1053" s="1488"/>
      <c r="AQ1053" s="1488"/>
      <c r="AR1053" s="1488"/>
      <c r="AS1053" s="1488"/>
      <c r="AT1053" s="1542"/>
      <c r="AU1053" s="1599">
        <f t="shared" si="549"/>
        <v>0</v>
      </c>
      <c r="AV1053" s="1544">
        <f t="shared" si="577"/>
        <v>0</v>
      </c>
      <c r="AW1053" s="1452">
        <f t="shared" si="550"/>
        <v>0</v>
      </c>
      <c r="AX1053" s="1452">
        <f t="shared" si="551"/>
        <v>0</v>
      </c>
      <c r="AY1053" s="1452">
        <f t="shared" si="552"/>
        <v>0</v>
      </c>
      <c r="AZ1053" s="1452">
        <f t="shared" si="553"/>
        <v>0</v>
      </c>
      <c r="BA1053" s="1452">
        <f t="shared" si="554"/>
        <v>0</v>
      </c>
      <c r="BB1053" s="1452">
        <f t="shared" si="555"/>
        <v>0</v>
      </c>
      <c r="BC1053" s="1452">
        <f t="shared" si="556"/>
        <v>0</v>
      </c>
      <c r="BD1053" s="1452">
        <f t="shared" si="557"/>
        <v>0</v>
      </c>
      <c r="BE1053" s="1452">
        <f t="shared" si="558"/>
        <v>0</v>
      </c>
      <c r="BF1053" s="1452">
        <f t="shared" si="559"/>
        <v>0</v>
      </c>
      <c r="BG1053" s="1452">
        <f t="shared" si="560"/>
        <v>0</v>
      </c>
      <c r="BH1053" s="1452">
        <f t="shared" si="561"/>
        <v>0</v>
      </c>
      <c r="BI1053" s="1452">
        <f t="shared" si="578"/>
        <v>0</v>
      </c>
      <c r="BJ1053" s="1452" t="str">
        <f t="shared" si="562"/>
        <v/>
      </c>
      <c r="BK1053" s="1452" t="str">
        <f t="shared" si="563"/>
        <v/>
      </c>
      <c r="BL1053" s="1452" t="str">
        <f t="shared" si="564"/>
        <v/>
      </c>
      <c r="BM1053" s="1452" t="str">
        <f t="shared" si="565"/>
        <v/>
      </c>
      <c r="BN1053" s="1452" t="str">
        <f t="shared" ca="1" si="566"/>
        <v/>
      </c>
      <c r="BO1053" s="1452" t="str">
        <f t="shared" si="579"/>
        <v/>
      </c>
      <c r="BP1053" s="1452" t="str">
        <f t="shared" si="567"/>
        <v/>
      </c>
      <c r="BQ1053" s="1452" t="str">
        <f t="shared" si="568"/>
        <v/>
      </c>
      <c r="BR1053" s="1452" t="str">
        <f t="shared" si="569"/>
        <v/>
      </c>
      <c r="BS1053" s="1452" t="str">
        <f t="shared" si="570"/>
        <v/>
      </c>
      <c r="BT1053" s="1452" t="str">
        <f t="shared" si="571"/>
        <v/>
      </c>
      <c r="BU1053" s="1452" t="str">
        <f t="shared" si="572"/>
        <v/>
      </c>
      <c r="BV1053" s="1452" t="str">
        <f t="shared" si="573"/>
        <v/>
      </c>
      <c r="BW1053" s="1558">
        <f t="shared" ca="1" si="580"/>
        <v>0</v>
      </c>
    </row>
    <row r="1054" spans="1:151" s="9" customFormat="1" ht="12.5">
      <c r="A1054" s="1483" t="str">
        <f t="shared" si="574"/>
        <v>Public Health Wales Trust</v>
      </c>
      <c r="B1054" s="1583"/>
      <c r="C1054" s="1583"/>
      <c r="D1054" s="1583"/>
      <c r="E1054" s="1581"/>
      <c r="F1054" s="1436"/>
      <c r="G1054" s="1547">
        <f t="shared" si="575"/>
        <v>0</v>
      </c>
      <c r="H1054" s="1484"/>
      <c r="I1054" s="1547">
        <f t="shared" si="576"/>
        <v>0</v>
      </c>
      <c r="J1054" s="1516"/>
      <c r="K1054" s="1516"/>
      <c r="L1054" s="1436"/>
      <c r="M1054" s="1439"/>
      <c r="N1054" s="1439"/>
      <c r="O1054" s="1485"/>
      <c r="P1054" s="1486"/>
      <c r="Q1054" s="1486"/>
      <c r="R1054" s="1487"/>
      <c r="S1054" s="1444"/>
      <c r="T1054" s="1444"/>
      <c r="U1054" s="1444"/>
      <c r="V1054" s="1488"/>
      <c r="W1054" s="1488"/>
      <c r="X1054" s="1488"/>
      <c r="Y1054" s="1488"/>
      <c r="Z1054" s="1488"/>
      <c r="AA1054" s="1488"/>
      <c r="AB1054" s="1488"/>
      <c r="AC1054" s="1488"/>
      <c r="AD1054" s="1488"/>
      <c r="AE1054" s="1488"/>
      <c r="AF1054" s="1488"/>
      <c r="AG1054" s="1488"/>
      <c r="AH1054" s="1451">
        <f t="shared" si="548"/>
        <v>0</v>
      </c>
      <c r="AI1054" s="1488"/>
      <c r="AJ1054" s="1488"/>
      <c r="AK1054" s="1488"/>
      <c r="AL1054" s="1488"/>
      <c r="AM1054" s="1488"/>
      <c r="AN1054" s="1488"/>
      <c r="AO1054" s="1488"/>
      <c r="AP1054" s="1488"/>
      <c r="AQ1054" s="1488"/>
      <c r="AR1054" s="1488"/>
      <c r="AS1054" s="1488"/>
      <c r="AT1054" s="1542"/>
      <c r="AU1054" s="1599">
        <f t="shared" si="549"/>
        <v>0</v>
      </c>
      <c r="AV1054" s="1544">
        <f t="shared" si="577"/>
        <v>0</v>
      </c>
      <c r="AW1054" s="1452">
        <f t="shared" si="550"/>
        <v>0</v>
      </c>
      <c r="AX1054" s="1452">
        <f t="shared" si="551"/>
        <v>0</v>
      </c>
      <c r="AY1054" s="1452">
        <f t="shared" si="552"/>
        <v>0</v>
      </c>
      <c r="AZ1054" s="1452">
        <f t="shared" si="553"/>
        <v>0</v>
      </c>
      <c r="BA1054" s="1452">
        <f t="shared" si="554"/>
        <v>0</v>
      </c>
      <c r="BB1054" s="1452">
        <f t="shared" si="555"/>
        <v>0</v>
      </c>
      <c r="BC1054" s="1452">
        <f t="shared" si="556"/>
        <v>0</v>
      </c>
      <c r="BD1054" s="1452">
        <f t="shared" si="557"/>
        <v>0</v>
      </c>
      <c r="BE1054" s="1452">
        <f t="shared" si="558"/>
        <v>0</v>
      </c>
      <c r="BF1054" s="1452">
        <f t="shared" si="559"/>
        <v>0</v>
      </c>
      <c r="BG1054" s="1452">
        <f t="shared" si="560"/>
        <v>0</v>
      </c>
      <c r="BH1054" s="1452">
        <f t="shared" si="561"/>
        <v>0</v>
      </c>
      <c r="BI1054" s="1452">
        <f t="shared" si="578"/>
        <v>0</v>
      </c>
      <c r="BJ1054" s="1452" t="str">
        <f t="shared" si="562"/>
        <v/>
      </c>
      <c r="BK1054" s="1452" t="str">
        <f t="shared" si="563"/>
        <v/>
      </c>
      <c r="BL1054" s="1452" t="str">
        <f t="shared" si="564"/>
        <v/>
      </c>
      <c r="BM1054" s="1452" t="str">
        <f t="shared" si="565"/>
        <v/>
      </c>
      <c r="BN1054" s="1452" t="str">
        <f t="shared" ca="1" si="566"/>
        <v/>
      </c>
      <c r="BO1054" s="1452" t="str">
        <f t="shared" si="579"/>
        <v/>
      </c>
      <c r="BP1054" s="1452" t="str">
        <f t="shared" si="567"/>
        <v/>
      </c>
      <c r="BQ1054" s="1452" t="str">
        <f t="shared" si="568"/>
        <v/>
      </c>
      <c r="BR1054" s="1452" t="str">
        <f t="shared" si="569"/>
        <v/>
      </c>
      <c r="BS1054" s="1452" t="str">
        <f t="shared" si="570"/>
        <v/>
      </c>
      <c r="BT1054" s="1452" t="str">
        <f t="shared" si="571"/>
        <v/>
      </c>
      <c r="BU1054" s="1452" t="str">
        <f t="shared" si="572"/>
        <v/>
      </c>
      <c r="BV1054" s="1452" t="str">
        <f t="shared" si="573"/>
        <v/>
      </c>
      <c r="BW1054" s="1558">
        <f t="shared" ca="1" si="580"/>
        <v>0</v>
      </c>
    </row>
    <row r="1055" spans="1:151" s="9" customFormat="1" ht="12.5">
      <c r="A1055" s="1483" t="str">
        <f t="shared" si="574"/>
        <v>Public Health Wales Trust</v>
      </c>
      <c r="B1055" s="1583"/>
      <c r="C1055" s="1583"/>
      <c r="D1055" s="1583"/>
      <c r="E1055" s="1581"/>
      <c r="F1055" s="1436"/>
      <c r="G1055" s="1547">
        <f t="shared" si="575"/>
        <v>0</v>
      </c>
      <c r="H1055" s="1484"/>
      <c r="I1055" s="1547">
        <f t="shared" si="576"/>
        <v>0</v>
      </c>
      <c r="J1055" s="1516"/>
      <c r="K1055" s="1516"/>
      <c r="L1055" s="1436"/>
      <c r="M1055" s="1439"/>
      <c r="N1055" s="1439"/>
      <c r="O1055" s="1485"/>
      <c r="P1055" s="1486"/>
      <c r="Q1055" s="1486"/>
      <c r="R1055" s="1487"/>
      <c r="S1055" s="1444"/>
      <c r="T1055" s="1444"/>
      <c r="U1055" s="1444"/>
      <c r="V1055" s="1488"/>
      <c r="W1055" s="1488"/>
      <c r="X1055" s="1488"/>
      <c r="Y1055" s="1488"/>
      <c r="Z1055" s="1488"/>
      <c r="AA1055" s="1488"/>
      <c r="AB1055" s="1488"/>
      <c r="AC1055" s="1488"/>
      <c r="AD1055" s="1488"/>
      <c r="AE1055" s="1488"/>
      <c r="AF1055" s="1488"/>
      <c r="AG1055" s="1488"/>
      <c r="AH1055" s="1451">
        <f t="shared" si="548"/>
        <v>0</v>
      </c>
      <c r="AI1055" s="1488"/>
      <c r="AJ1055" s="1488"/>
      <c r="AK1055" s="1488"/>
      <c r="AL1055" s="1488"/>
      <c r="AM1055" s="1488"/>
      <c r="AN1055" s="1488"/>
      <c r="AO1055" s="1488"/>
      <c r="AP1055" s="1488"/>
      <c r="AQ1055" s="1488"/>
      <c r="AR1055" s="1488"/>
      <c r="AS1055" s="1488"/>
      <c r="AT1055" s="1542"/>
      <c r="AU1055" s="1599">
        <f t="shared" si="549"/>
        <v>0</v>
      </c>
      <c r="AV1055" s="1544">
        <f t="shared" si="577"/>
        <v>0</v>
      </c>
      <c r="AW1055" s="1452">
        <f t="shared" si="550"/>
        <v>0</v>
      </c>
      <c r="AX1055" s="1452">
        <f t="shared" si="551"/>
        <v>0</v>
      </c>
      <c r="AY1055" s="1452">
        <f t="shared" si="552"/>
        <v>0</v>
      </c>
      <c r="AZ1055" s="1452">
        <f t="shared" si="553"/>
        <v>0</v>
      </c>
      <c r="BA1055" s="1452">
        <f t="shared" si="554"/>
        <v>0</v>
      </c>
      <c r="BB1055" s="1452">
        <f t="shared" si="555"/>
        <v>0</v>
      </c>
      <c r="BC1055" s="1452">
        <f t="shared" si="556"/>
        <v>0</v>
      </c>
      <c r="BD1055" s="1452">
        <f t="shared" si="557"/>
        <v>0</v>
      </c>
      <c r="BE1055" s="1452">
        <f t="shared" si="558"/>
        <v>0</v>
      </c>
      <c r="BF1055" s="1452">
        <f t="shared" si="559"/>
        <v>0</v>
      </c>
      <c r="BG1055" s="1452">
        <f t="shared" si="560"/>
        <v>0</v>
      </c>
      <c r="BH1055" s="1452">
        <f t="shared" si="561"/>
        <v>0</v>
      </c>
      <c r="BI1055" s="1452">
        <f t="shared" si="578"/>
        <v>0</v>
      </c>
      <c r="BJ1055" s="1452" t="str">
        <f t="shared" si="562"/>
        <v/>
      </c>
      <c r="BK1055" s="1452" t="str">
        <f t="shared" si="563"/>
        <v/>
      </c>
      <c r="BL1055" s="1452" t="str">
        <f t="shared" si="564"/>
        <v/>
      </c>
      <c r="BM1055" s="1452" t="str">
        <f t="shared" si="565"/>
        <v/>
      </c>
      <c r="BN1055" s="1452" t="str">
        <f t="shared" ca="1" si="566"/>
        <v/>
      </c>
      <c r="BO1055" s="1452" t="str">
        <f t="shared" si="579"/>
        <v/>
      </c>
      <c r="BP1055" s="1452" t="str">
        <f t="shared" si="567"/>
        <v/>
      </c>
      <c r="BQ1055" s="1452" t="str">
        <f t="shared" si="568"/>
        <v/>
      </c>
      <c r="BR1055" s="1452" t="str">
        <f t="shared" si="569"/>
        <v/>
      </c>
      <c r="BS1055" s="1452" t="str">
        <f t="shared" si="570"/>
        <v/>
      </c>
      <c r="BT1055" s="1452" t="str">
        <f t="shared" si="571"/>
        <v/>
      </c>
      <c r="BU1055" s="1452" t="str">
        <f t="shared" si="572"/>
        <v/>
      </c>
      <c r="BV1055" s="1452" t="str">
        <f t="shared" si="573"/>
        <v/>
      </c>
      <c r="BW1055" s="1558">
        <f t="shared" ca="1" si="580"/>
        <v>0</v>
      </c>
    </row>
    <row r="1056" spans="1:151" s="9" customFormat="1" ht="12.5">
      <c r="A1056" s="1483" t="str">
        <f t="shared" si="574"/>
        <v>Public Health Wales Trust</v>
      </c>
      <c r="B1056" s="1583"/>
      <c r="C1056" s="1583"/>
      <c r="D1056" s="1583"/>
      <c r="E1056" s="1581"/>
      <c r="F1056" s="1436"/>
      <c r="G1056" s="1547">
        <f t="shared" si="575"/>
        <v>0</v>
      </c>
      <c r="H1056" s="1484"/>
      <c r="I1056" s="1547">
        <f t="shared" si="576"/>
        <v>0</v>
      </c>
      <c r="J1056" s="1516"/>
      <c r="K1056" s="1516"/>
      <c r="L1056" s="1436"/>
      <c r="M1056" s="1439"/>
      <c r="N1056" s="1439"/>
      <c r="O1056" s="1485"/>
      <c r="P1056" s="1486"/>
      <c r="Q1056" s="1486"/>
      <c r="R1056" s="1487"/>
      <c r="S1056" s="1444"/>
      <c r="T1056" s="1444"/>
      <c r="U1056" s="1444"/>
      <c r="V1056" s="1488"/>
      <c r="W1056" s="1488"/>
      <c r="X1056" s="1488"/>
      <c r="Y1056" s="1488"/>
      <c r="Z1056" s="1488"/>
      <c r="AA1056" s="1488"/>
      <c r="AB1056" s="1488"/>
      <c r="AC1056" s="1488"/>
      <c r="AD1056" s="1488"/>
      <c r="AE1056" s="1488"/>
      <c r="AF1056" s="1488"/>
      <c r="AG1056" s="1488"/>
      <c r="AH1056" s="1451">
        <f t="shared" si="548"/>
        <v>0</v>
      </c>
      <c r="AI1056" s="1488"/>
      <c r="AJ1056" s="1488"/>
      <c r="AK1056" s="1488"/>
      <c r="AL1056" s="1488"/>
      <c r="AM1056" s="1488"/>
      <c r="AN1056" s="1488"/>
      <c r="AO1056" s="1488"/>
      <c r="AP1056" s="1488"/>
      <c r="AQ1056" s="1488"/>
      <c r="AR1056" s="1488"/>
      <c r="AS1056" s="1488"/>
      <c r="AT1056" s="1542"/>
      <c r="AU1056" s="1599">
        <f t="shared" si="549"/>
        <v>0</v>
      </c>
      <c r="AV1056" s="1544">
        <f t="shared" si="577"/>
        <v>0</v>
      </c>
      <c r="AW1056" s="1452">
        <f t="shared" si="550"/>
        <v>0</v>
      </c>
      <c r="AX1056" s="1452">
        <f t="shared" si="551"/>
        <v>0</v>
      </c>
      <c r="AY1056" s="1452">
        <f t="shared" si="552"/>
        <v>0</v>
      </c>
      <c r="AZ1056" s="1452">
        <f t="shared" si="553"/>
        <v>0</v>
      </c>
      <c r="BA1056" s="1452">
        <f t="shared" si="554"/>
        <v>0</v>
      </c>
      <c r="BB1056" s="1452">
        <f t="shared" si="555"/>
        <v>0</v>
      </c>
      <c r="BC1056" s="1452">
        <f t="shared" si="556"/>
        <v>0</v>
      </c>
      <c r="BD1056" s="1452">
        <f t="shared" si="557"/>
        <v>0</v>
      </c>
      <c r="BE1056" s="1452">
        <f t="shared" si="558"/>
        <v>0</v>
      </c>
      <c r="BF1056" s="1452">
        <f t="shared" si="559"/>
        <v>0</v>
      </c>
      <c r="BG1056" s="1452">
        <f t="shared" si="560"/>
        <v>0</v>
      </c>
      <c r="BH1056" s="1452">
        <f t="shared" si="561"/>
        <v>0</v>
      </c>
      <c r="BI1056" s="1452">
        <f t="shared" si="578"/>
        <v>0</v>
      </c>
      <c r="BJ1056" s="1452" t="str">
        <f t="shared" si="562"/>
        <v/>
      </c>
      <c r="BK1056" s="1452" t="str">
        <f t="shared" si="563"/>
        <v/>
      </c>
      <c r="BL1056" s="1452" t="str">
        <f t="shared" si="564"/>
        <v/>
      </c>
      <c r="BM1056" s="1452" t="str">
        <f t="shared" si="565"/>
        <v/>
      </c>
      <c r="BN1056" s="1452" t="str">
        <f t="shared" ca="1" si="566"/>
        <v/>
      </c>
      <c r="BO1056" s="1452" t="str">
        <f t="shared" si="579"/>
        <v/>
      </c>
      <c r="BP1056" s="1452" t="str">
        <f t="shared" si="567"/>
        <v/>
      </c>
      <c r="BQ1056" s="1452" t="str">
        <f t="shared" si="568"/>
        <v/>
      </c>
      <c r="BR1056" s="1452" t="str">
        <f t="shared" si="569"/>
        <v/>
      </c>
      <c r="BS1056" s="1452" t="str">
        <f t="shared" si="570"/>
        <v/>
      </c>
      <c r="BT1056" s="1452" t="str">
        <f t="shared" si="571"/>
        <v/>
      </c>
      <c r="BU1056" s="1452" t="str">
        <f t="shared" si="572"/>
        <v/>
      </c>
      <c r="BV1056" s="1452" t="str">
        <f t="shared" si="573"/>
        <v/>
      </c>
      <c r="BW1056" s="1558">
        <f t="shared" ca="1" si="580"/>
        <v>0</v>
      </c>
    </row>
    <row r="1057" spans="1:75" s="9" customFormat="1" ht="12.5">
      <c r="A1057" s="1483" t="str">
        <f t="shared" si="574"/>
        <v>Public Health Wales Trust</v>
      </c>
      <c r="B1057" s="1583"/>
      <c r="C1057" s="1583"/>
      <c r="D1057" s="1583"/>
      <c r="E1057" s="1581"/>
      <c r="F1057" s="1436"/>
      <c r="G1057" s="1547">
        <f t="shared" si="575"/>
        <v>0</v>
      </c>
      <c r="H1057" s="1484"/>
      <c r="I1057" s="1547">
        <f t="shared" si="576"/>
        <v>0</v>
      </c>
      <c r="J1057" s="1516"/>
      <c r="K1057" s="1516"/>
      <c r="L1057" s="1436"/>
      <c r="M1057" s="1439"/>
      <c r="N1057" s="1439"/>
      <c r="O1057" s="1485"/>
      <c r="P1057" s="1486"/>
      <c r="Q1057" s="1486"/>
      <c r="R1057" s="1487"/>
      <c r="S1057" s="1444"/>
      <c r="T1057" s="1444"/>
      <c r="U1057" s="1444"/>
      <c r="V1057" s="1488"/>
      <c r="W1057" s="1488"/>
      <c r="X1057" s="1488"/>
      <c r="Y1057" s="1488"/>
      <c r="Z1057" s="1488"/>
      <c r="AA1057" s="1488"/>
      <c r="AB1057" s="1488"/>
      <c r="AC1057" s="1488"/>
      <c r="AD1057" s="1488"/>
      <c r="AE1057" s="1488"/>
      <c r="AF1057" s="1488"/>
      <c r="AG1057" s="1488"/>
      <c r="AH1057" s="1451">
        <f t="shared" si="548"/>
        <v>0</v>
      </c>
      <c r="AI1057" s="1488"/>
      <c r="AJ1057" s="1488"/>
      <c r="AK1057" s="1488"/>
      <c r="AL1057" s="1488"/>
      <c r="AM1057" s="1488"/>
      <c r="AN1057" s="1488"/>
      <c r="AO1057" s="1488"/>
      <c r="AP1057" s="1488"/>
      <c r="AQ1057" s="1488"/>
      <c r="AR1057" s="1488"/>
      <c r="AS1057" s="1488"/>
      <c r="AT1057" s="1542"/>
      <c r="AU1057" s="1599">
        <f t="shared" si="549"/>
        <v>0</v>
      </c>
      <c r="AV1057" s="1544">
        <f t="shared" si="577"/>
        <v>0</v>
      </c>
      <c r="AW1057" s="1452">
        <f t="shared" si="550"/>
        <v>0</v>
      </c>
      <c r="AX1057" s="1452">
        <f t="shared" si="551"/>
        <v>0</v>
      </c>
      <c r="AY1057" s="1452">
        <f t="shared" si="552"/>
        <v>0</v>
      </c>
      <c r="AZ1057" s="1452">
        <f t="shared" si="553"/>
        <v>0</v>
      </c>
      <c r="BA1057" s="1452">
        <f t="shared" si="554"/>
        <v>0</v>
      </c>
      <c r="BB1057" s="1452">
        <f t="shared" si="555"/>
        <v>0</v>
      </c>
      <c r="BC1057" s="1452">
        <f t="shared" si="556"/>
        <v>0</v>
      </c>
      <c r="BD1057" s="1452">
        <f t="shared" si="557"/>
        <v>0</v>
      </c>
      <c r="BE1057" s="1452">
        <f t="shared" si="558"/>
        <v>0</v>
      </c>
      <c r="BF1057" s="1452">
        <f t="shared" si="559"/>
        <v>0</v>
      </c>
      <c r="BG1057" s="1452">
        <f t="shared" si="560"/>
        <v>0</v>
      </c>
      <c r="BH1057" s="1452">
        <f t="shared" si="561"/>
        <v>0</v>
      </c>
      <c r="BI1057" s="1452">
        <f t="shared" si="578"/>
        <v>0</v>
      </c>
      <c r="BJ1057" s="1452" t="str">
        <f t="shared" si="562"/>
        <v/>
      </c>
      <c r="BK1057" s="1452" t="str">
        <f t="shared" si="563"/>
        <v/>
      </c>
      <c r="BL1057" s="1452" t="str">
        <f t="shared" si="564"/>
        <v/>
      </c>
      <c r="BM1057" s="1452" t="str">
        <f t="shared" si="565"/>
        <v/>
      </c>
      <c r="BN1057" s="1452" t="str">
        <f t="shared" ca="1" si="566"/>
        <v/>
      </c>
      <c r="BO1057" s="1452" t="str">
        <f t="shared" si="579"/>
        <v/>
      </c>
      <c r="BP1057" s="1452" t="str">
        <f t="shared" si="567"/>
        <v/>
      </c>
      <c r="BQ1057" s="1452" t="str">
        <f t="shared" si="568"/>
        <v/>
      </c>
      <c r="BR1057" s="1452" t="str">
        <f t="shared" si="569"/>
        <v/>
      </c>
      <c r="BS1057" s="1452" t="str">
        <f t="shared" si="570"/>
        <v/>
      </c>
      <c r="BT1057" s="1452" t="str">
        <f t="shared" si="571"/>
        <v/>
      </c>
      <c r="BU1057" s="1452" t="str">
        <f t="shared" si="572"/>
        <v/>
      </c>
      <c r="BV1057" s="1452" t="str">
        <f t="shared" si="573"/>
        <v/>
      </c>
      <c r="BW1057" s="1558">
        <f t="shared" ca="1" si="580"/>
        <v>0</v>
      </c>
    </row>
    <row r="1058" spans="1:75" s="9" customFormat="1" ht="12.5">
      <c r="A1058" s="1483" t="str">
        <f t="shared" si="574"/>
        <v>Public Health Wales Trust</v>
      </c>
      <c r="B1058" s="1583"/>
      <c r="C1058" s="1583"/>
      <c r="D1058" s="1583"/>
      <c r="E1058" s="1581"/>
      <c r="F1058" s="1436"/>
      <c r="G1058" s="1547">
        <f t="shared" si="575"/>
        <v>0</v>
      </c>
      <c r="H1058" s="1484"/>
      <c r="I1058" s="1547">
        <f t="shared" si="576"/>
        <v>0</v>
      </c>
      <c r="J1058" s="1516"/>
      <c r="K1058" s="1516"/>
      <c r="L1058" s="1436"/>
      <c r="M1058" s="1439"/>
      <c r="N1058" s="1439"/>
      <c r="O1058" s="1485"/>
      <c r="P1058" s="1486"/>
      <c r="Q1058" s="1486"/>
      <c r="R1058" s="1487"/>
      <c r="S1058" s="1444"/>
      <c r="T1058" s="1444"/>
      <c r="U1058" s="1444"/>
      <c r="V1058" s="1488"/>
      <c r="W1058" s="1488"/>
      <c r="X1058" s="1488"/>
      <c r="Y1058" s="1488"/>
      <c r="Z1058" s="1488"/>
      <c r="AA1058" s="1488"/>
      <c r="AB1058" s="1488"/>
      <c r="AC1058" s="1488"/>
      <c r="AD1058" s="1488"/>
      <c r="AE1058" s="1488"/>
      <c r="AF1058" s="1488"/>
      <c r="AG1058" s="1488"/>
      <c r="AH1058" s="1451">
        <f t="shared" si="548"/>
        <v>0</v>
      </c>
      <c r="AI1058" s="1488"/>
      <c r="AJ1058" s="1488"/>
      <c r="AK1058" s="1488"/>
      <c r="AL1058" s="1488"/>
      <c r="AM1058" s="1488"/>
      <c r="AN1058" s="1488"/>
      <c r="AO1058" s="1488"/>
      <c r="AP1058" s="1488"/>
      <c r="AQ1058" s="1488"/>
      <c r="AR1058" s="1488"/>
      <c r="AS1058" s="1488"/>
      <c r="AT1058" s="1542"/>
      <c r="AU1058" s="1599">
        <f t="shared" si="549"/>
        <v>0</v>
      </c>
      <c r="AV1058" s="1544">
        <f t="shared" si="577"/>
        <v>0</v>
      </c>
      <c r="AW1058" s="1452">
        <f t="shared" si="550"/>
        <v>0</v>
      </c>
      <c r="AX1058" s="1452">
        <f t="shared" si="551"/>
        <v>0</v>
      </c>
      <c r="AY1058" s="1452">
        <f t="shared" si="552"/>
        <v>0</v>
      </c>
      <c r="AZ1058" s="1452">
        <f t="shared" si="553"/>
        <v>0</v>
      </c>
      <c r="BA1058" s="1452">
        <f t="shared" si="554"/>
        <v>0</v>
      </c>
      <c r="BB1058" s="1452">
        <f t="shared" si="555"/>
        <v>0</v>
      </c>
      <c r="BC1058" s="1452">
        <f t="shared" si="556"/>
        <v>0</v>
      </c>
      <c r="BD1058" s="1452">
        <f t="shared" si="557"/>
        <v>0</v>
      </c>
      <c r="BE1058" s="1452">
        <f t="shared" si="558"/>
        <v>0</v>
      </c>
      <c r="BF1058" s="1452">
        <f t="shared" si="559"/>
        <v>0</v>
      </c>
      <c r="BG1058" s="1452">
        <f t="shared" si="560"/>
        <v>0</v>
      </c>
      <c r="BH1058" s="1452">
        <f t="shared" si="561"/>
        <v>0</v>
      </c>
      <c r="BI1058" s="1452">
        <f t="shared" si="578"/>
        <v>0</v>
      </c>
      <c r="BJ1058" s="1452" t="str">
        <f t="shared" si="562"/>
        <v/>
      </c>
      <c r="BK1058" s="1452" t="str">
        <f t="shared" si="563"/>
        <v/>
      </c>
      <c r="BL1058" s="1452" t="str">
        <f t="shared" si="564"/>
        <v/>
      </c>
      <c r="BM1058" s="1452" t="str">
        <f t="shared" si="565"/>
        <v/>
      </c>
      <c r="BN1058" s="1452" t="str">
        <f t="shared" ca="1" si="566"/>
        <v/>
      </c>
      <c r="BO1058" s="1452" t="str">
        <f t="shared" si="579"/>
        <v/>
      </c>
      <c r="BP1058" s="1452" t="str">
        <f t="shared" si="567"/>
        <v/>
      </c>
      <c r="BQ1058" s="1452" t="str">
        <f t="shared" si="568"/>
        <v/>
      </c>
      <c r="BR1058" s="1452" t="str">
        <f t="shared" si="569"/>
        <v/>
      </c>
      <c r="BS1058" s="1452" t="str">
        <f t="shared" si="570"/>
        <v/>
      </c>
      <c r="BT1058" s="1452" t="str">
        <f t="shared" si="571"/>
        <v/>
      </c>
      <c r="BU1058" s="1452" t="str">
        <f t="shared" si="572"/>
        <v/>
      </c>
      <c r="BV1058" s="1452" t="str">
        <f t="shared" si="573"/>
        <v/>
      </c>
      <c r="BW1058" s="1558">
        <f t="shared" ca="1" si="580"/>
        <v>0</v>
      </c>
    </row>
    <row r="1059" spans="1:75" s="9" customFormat="1" ht="12.5">
      <c r="A1059" s="1483" t="str">
        <f t="shared" si="574"/>
        <v>Public Health Wales Trust</v>
      </c>
      <c r="B1059" s="1583"/>
      <c r="C1059" s="1583"/>
      <c r="D1059" s="1583"/>
      <c r="E1059" s="1581"/>
      <c r="F1059" s="1436"/>
      <c r="G1059" s="1547">
        <f t="shared" si="575"/>
        <v>0</v>
      </c>
      <c r="H1059" s="1484"/>
      <c r="I1059" s="1547">
        <f t="shared" si="576"/>
        <v>0</v>
      </c>
      <c r="J1059" s="1516"/>
      <c r="K1059" s="1516"/>
      <c r="L1059" s="1436"/>
      <c r="M1059" s="1439"/>
      <c r="N1059" s="1439"/>
      <c r="O1059" s="1485"/>
      <c r="P1059" s="1486"/>
      <c r="Q1059" s="1486"/>
      <c r="R1059" s="1487"/>
      <c r="S1059" s="1444"/>
      <c r="T1059" s="1444"/>
      <c r="U1059" s="1444"/>
      <c r="V1059" s="1488"/>
      <c r="W1059" s="1488"/>
      <c r="X1059" s="1488"/>
      <c r="Y1059" s="1488"/>
      <c r="Z1059" s="1488"/>
      <c r="AA1059" s="1488"/>
      <c r="AB1059" s="1488"/>
      <c r="AC1059" s="1488"/>
      <c r="AD1059" s="1488"/>
      <c r="AE1059" s="1488"/>
      <c r="AF1059" s="1488"/>
      <c r="AG1059" s="1488"/>
      <c r="AH1059" s="1451">
        <f t="shared" si="548"/>
        <v>0</v>
      </c>
      <c r="AI1059" s="1488"/>
      <c r="AJ1059" s="1488"/>
      <c r="AK1059" s="1488"/>
      <c r="AL1059" s="1488"/>
      <c r="AM1059" s="1488"/>
      <c r="AN1059" s="1488"/>
      <c r="AO1059" s="1488"/>
      <c r="AP1059" s="1488"/>
      <c r="AQ1059" s="1488"/>
      <c r="AR1059" s="1488"/>
      <c r="AS1059" s="1488"/>
      <c r="AT1059" s="1542"/>
      <c r="AU1059" s="1599">
        <f t="shared" si="549"/>
        <v>0</v>
      </c>
      <c r="AV1059" s="1544">
        <f t="shared" si="577"/>
        <v>0</v>
      </c>
      <c r="AW1059" s="1452">
        <f t="shared" si="550"/>
        <v>0</v>
      </c>
      <c r="AX1059" s="1452">
        <f t="shared" si="551"/>
        <v>0</v>
      </c>
      <c r="AY1059" s="1452">
        <f t="shared" si="552"/>
        <v>0</v>
      </c>
      <c r="AZ1059" s="1452">
        <f t="shared" si="553"/>
        <v>0</v>
      </c>
      <c r="BA1059" s="1452">
        <f t="shared" si="554"/>
        <v>0</v>
      </c>
      <c r="BB1059" s="1452">
        <f t="shared" si="555"/>
        <v>0</v>
      </c>
      <c r="BC1059" s="1452">
        <f t="shared" si="556"/>
        <v>0</v>
      </c>
      <c r="BD1059" s="1452">
        <f t="shared" si="557"/>
        <v>0</v>
      </c>
      <c r="BE1059" s="1452">
        <f t="shared" si="558"/>
        <v>0</v>
      </c>
      <c r="BF1059" s="1452">
        <f t="shared" si="559"/>
        <v>0</v>
      </c>
      <c r="BG1059" s="1452">
        <f t="shared" si="560"/>
        <v>0</v>
      </c>
      <c r="BH1059" s="1452">
        <f t="shared" si="561"/>
        <v>0</v>
      </c>
      <c r="BI1059" s="1452">
        <f t="shared" si="578"/>
        <v>0</v>
      </c>
      <c r="BJ1059" s="1452" t="str">
        <f t="shared" si="562"/>
        <v/>
      </c>
      <c r="BK1059" s="1452" t="str">
        <f t="shared" si="563"/>
        <v/>
      </c>
      <c r="BL1059" s="1452" t="str">
        <f t="shared" si="564"/>
        <v/>
      </c>
      <c r="BM1059" s="1452" t="str">
        <f t="shared" si="565"/>
        <v/>
      </c>
      <c r="BN1059" s="1452" t="str">
        <f t="shared" ca="1" si="566"/>
        <v/>
      </c>
      <c r="BO1059" s="1452" t="str">
        <f t="shared" si="579"/>
        <v/>
      </c>
      <c r="BP1059" s="1452" t="str">
        <f t="shared" si="567"/>
        <v/>
      </c>
      <c r="BQ1059" s="1452" t="str">
        <f t="shared" si="568"/>
        <v/>
      </c>
      <c r="BR1059" s="1452" t="str">
        <f t="shared" si="569"/>
        <v/>
      </c>
      <c r="BS1059" s="1452" t="str">
        <f t="shared" si="570"/>
        <v/>
      </c>
      <c r="BT1059" s="1452" t="str">
        <f t="shared" si="571"/>
        <v/>
      </c>
      <c r="BU1059" s="1452" t="str">
        <f t="shared" si="572"/>
        <v/>
      </c>
      <c r="BV1059" s="1452" t="str">
        <f t="shared" si="573"/>
        <v/>
      </c>
      <c r="BW1059" s="1558">
        <f t="shared" ca="1" si="580"/>
        <v>0</v>
      </c>
    </row>
    <row r="1060" spans="1:75" s="9" customFormat="1" ht="12.5">
      <c r="A1060" s="1483" t="str">
        <f t="shared" si="574"/>
        <v>Public Health Wales Trust</v>
      </c>
      <c r="B1060" s="1583"/>
      <c r="C1060" s="1583"/>
      <c r="D1060" s="1583"/>
      <c r="E1060" s="1581"/>
      <c r="F1060" s="1436"/>
      <c r="G1060" s="1547">
        <f t="shared" si="575"/>
        <v>0</v>
      </c>
      <c r="H1060" s="1484"/>
      <c r="I1060" s="1547">
        <f t="shared" si="576"/>
        <v>0</v>
      </c>
      <c r="J1060" s="1516"/>
      <c r="K1060" s="1516"/>
      <c r="L1060" s="1436"/>
      <c r="M1060" s="1439"/>
      <c r="N1060" s="1439"/>
      <c r="O1060" s="1485"/>
      <c r="P1060" s="1486"/>
      <c r="Q1060" s="1486"/>
      <c r="R1060" s="1487"/>
      <c r="S1060" s="1444"/>
      <c r="T1060" s="1444"/>
      <c r="U1060" s="1444"/>
      <c r="V1060" s="1488"/>
      <c r="W1060" s="1488"/>
      <c r="X1060" s="1488"/>
      <c r="Y1060" s="1488"/>
      <c r="Z1060" s="1488"/>
      <c r="AA1060" s="1488"/>
      <c r="AB1060" s="1488"/>
      <c r="AC1060" s="1488"/>
      <c r="AD1060" s="1488"/>
      <c r="AE1060" s="1488"/>
      <c r="AF1060" s="1488"/>
      <c r="AG1060" s="1488"/>
      <c r="AH1060" s="1451">
        <f t="shared" si="548"/>
        <v>0</v>
      </c>
      <c r="AI1060" s="1488"/>
      <c r="AJ1060" s="1488"/>
      <c r="AK1060" s="1488"/>
      <c r="AL1060" s="1488"/>
      <c r="AM1060" s="1488"/>
      <c r="AN1060" s="1488"/>
      <c r="AO1060" s="1488"/>
      <c r="AP1060" s="1488"/>
      <c r="AQ1060" s="1488"/>
      <c r="AR1060" s="1488"/>
      <c r="AS1060" s="1488"/>
      <c r="AT1060" s="1542"/>
      <c r="AU1060" s="1599">
        <f t="shared" si="549"/>
        <v>0</v>
      </c>
      <c r="AV1060" s="1544">
        <f t="shared" si="577"/>
        <v>0</v>
      </c>
      <c r="AW1060" s="1452">
        <f t="shared" si="550"/>
        <v>0</v>
      </c>
      <c r="AX1060" s="1452">
        <f t="shared" si="551"/>
        <v>0</v>
      </c>
      <c r="AY1060" s="1452">
        <f t="shared" si="552"/>
        <v>0</v>
      </c>
      <c r="AZ1060" s="1452">
        <f t="shared" si="553"/>
        <v>0</v>
      </c>
      <c r="BA1060" s="1452">
        <f t="shared" si="554"/>
        <v>0</v>
      </c>
      <c r="BB1060" s="1452">
        <f t="shared" si="555"/>
        <v>0</v>
      </c>
      <c r="BC1060" s="1452">
        <f t="shared" si="556"/>
        <v>0</v>
      </c>
      <c r="BD1060" s="1452">
        <f t="shared" si="557"/>
        <v>0</v>
      </c>
      <c r="BE1060" s="1452">
        <f t="shared" si="558"/>
        <v>0</v>
      </c>
      <c r="BF1060" s="1452">
        <f t="shared" si="559"/>
        <v>0</v>
      </c>
      <c r="BG1060" s="1452">
        <f t="shared" si="560"/>
        <v>0</v>
      </c>
      <c r="BH1060" s="1452">
        <f t="shared" si="561"/>
        <v>0</v>
      </c>
      <c r="BI1060" s="1452">
        <f t="shared" si="578"/>
        <v>0</v>
      </c>
      <c r="BJ1060" s="1452" t="str">
        <f t="shared" si="562"/>
        <v/>
      </c>
      <c r="BK1060" s="1452" t="str">
        <f t="shared" si="563"/>
        <v/>
      </c>
      <c r="BL1060" s="1452" t="str">
        <f t="shared" si="564"/>
        <v/>
      </c>
      <c r="BM1060" s="1452" t="str">
        <f t="shared" si="565"/>
        <v/>
      </c>
      <c r="BN1060" s="1452" t="str">
        <f t="shared" ca="1" si="566"/>
        <v/>
      </c>
      <c r="BO1060" s="1452" t="str">
        <f t="shared" si="579"/>
        <v/>
      </c>
      <c r="BP1060" s="1452" t="str">
        <f t="shared" si="567"/>
        <v/>
      </c>
      <c r="BQ1060" s="1452" t="str">
        <f t="shared" si="568"/>
        <v/>
      </c>
      <c r="BR1060" s="1452" t="str">
        <f t="shared" si="569"/>
        <v/>
      </c>
      <c r="BS1060" s="1452" t="str">
        <f t="shared" si="570"/>
        <v/>
      </c>
      <c r="BT1060" s="1452" t="str">
        <f t="shared" si="571"/>
        <v/>
      </c>
      <c r="BU1060" s="1452" t="str">
        <f t="shared" si="572"/>
        <v/>
      </c>
      <c r="BV1060" s="1452" t="str">
        <f t="shared" si="573"/>
        <v/>
      </c>
      <c r="BW1060" s="1558">
        <f t="shared" ca="1" si="580"/>
        <v>0</v>
      </c>
    </row>
    <row r="1061" spans="1:75" s="9" customFormat="1" ht="12.5">
      <c r="A1061" s="1483" t="str">
        <f t="shared" si="574"/>
        <v>Public Health Wales Trust</v>
      </c>
      <c r="B1061" s="1583"/>
      <c r="C1061" s="1583"/>
      <c r="D1061" s="1583"/>
      <c r="E1061" s="1581"/>
      <c r="F1061" s="1436"/>
      <c r="G1061" s="1547">
        <f t="shared" si="575"/>
        <v>0</v>
      </c>
      <c r="H1061" s="1484"/>
      <c r="I1061" s="1547">
        <f t="shared" si="576"/>
        <v>0</v>
      </c>
      <c r="J1061" s="1516"/>
      <c r="K1061" s="1516"/>
      <c r="L1061" s="1436"/>
      <c r="M1061" s="1439"/>
      <c r="N1061" s="1439"/>
      <c r="O1061" s="1485"/>
      <c r="P1061" s="1486"/>
      <c r="Q1061" s="1486"/>
      <c r="R1061" s="1487"/>
      <c r="S1061" s="1444"/>
      <c r="T1061" s="1444"/>
      <c r="U1061" s="1444"/>
      <c r="V1061" s="1488"/>
      <c r="W1061" s="1488"/>
      <c r="X1061" s="1488"/>
      <c r="Y1061" s="1488"/>
      <c r="Z1061" s="1488"/>
      <c r="AA1061" s="1488"/>
      <c r="AB1061" s="1488"/>
      <c r="AC1061" s="1488"/>
      <c r="AD1061" s="1488"/>
      <c r="AE1061" s="1488"/>
      <c r="AF1061" s="1488"/>
      <c r="AG1061" s="1488"/>
      <c r="AH1061" s="1451">
        <f t="shared" si="548"/>
        <v>0</v>
      </c>
      <c r="AI1061" s="1488"/>
      <c r="AJ1061" s="1488"/>
      <c r="AK1061" s="1488"/>
      <c r="AL1061" s="1488"/>
      <c r="AM1061" s="1488"/>
      <c r="AN1061" s="1488"/>
      <c r="AO1061" s="1488"/>
      <c r="AP1061" s="1488"/>
      <c r="AQ1061" s="1488"/>
      <c r="AR1061" s="1488"/>
      <c r="AS1061" s="1488"/>
      <c r="AT1061" s="1542"/>
      <c r="AU1061" s="1599">
        <f t="shared" si="549"/>
        <v>0</v>
      </c>
      <c r="AV1061" s="1544">
        <f t="shared" si="577"/>
        <v>0</v>
      </c>
      <c r="AW1061" s="1452">
        <f t="shared" si="550"/>
        <v>0</v>
      </c>
      <c r="AX1061" s="1452">
        <f t="shared" si="551"/>
        <v>0</v>
      </c>
      <c r="AY1061" s="1452">
        <f t="shared" si="552"/>
        <v>0</v>
      </c>
      <c r="AZ1061" s="1452">
        <f t="shared" si="553"/>
        <v>0</v>
      </c>
      <c r="BA1061" s="1452">
        <f t="shared" si="554"/>
        <v>0</v>
      </c>
      <c r="BB1061" s="1452">
        <f t="shared" si="555"/>
        <v>0</v>
      </c>
      <c r="BC1061" s="1452">
        <f t="shared" si="556"/>
        <v>0</v>
      </c>
      <c r="BD1061" s="1452">
        <f t="shared" si="557"/>
        <v>0</v>
      </c>
      <c r="BE1061" s="1452">
        <f t="shared" si="558"/>
        <v>0</v>
      </c>
      <c r="BF1061" s="1452">
        <f t="shared" si="559"/>
        <v>0</v>
      </c>
      <c r="BG1061" s="1452">
        <f t="shared" si="560"/>
        <v>0</v>
      </c>
      <c r="BH1061" s="1452">
        <f t="shared" si="561"/>
        <v>0</v>
      </c>
      <c r="BI1061" s="1452">
        <f t="shared" si="578"/>
        <v>0</v>
      </c>
      <c r="BJ1061" s="1452" t="str">
        <f t="shared" si="562"/>
        <v/>
      </c>
      <c r="BK1061" s="1452" t="str">
        <f t="shared" si="563"/>
        <v/>
      </c>
      <c r="BL1061" s="1452" t="str">
        <f t="shared" si="564"/>
        <v/>
      </c>
      <c r="BM1061" s="1452" t="str">
        <f t="shared" si="565"/>
        <v/>
      </c>
      <c r="BN1061" s="1452" t="str">
        <f t="shared" ca="1" si="566"/>
        <v/>
      </c>
      <c r="BO1061" s="1452" t="str">
        <f t="shared" si="579"/>
        <v/>
      </c>
      <c r="BP1061" s="1452" t="str">
        <f t="shared" si="567"/>
        <v/>
      </c>
      <c r="BQ1061" s="1452" t="str">
        <f t="shared" si="568"/>
        <v/>
      </c>
      <c r="BR1061" s="1452" t="str">
        <f t="shared" si="569"/>
        <v/>
      </c>
      <c r="BS1061" s="1452" t="str">
        <f t="shared" si="570"/>
        <v/>
      </c>
      <c r="BT1061" s="1452" t="str">
        <f t="shared" si="571"/>
        <v/>
      </c>
      <c r="BU1061" s="1452" t="str">
        <f t="shared" si="572"/>
        <v/>
      </c>
      <c r="BV1061" s="1452" t="str">
        <f t="shared" si="573"/>
        <v/>
      </c>
      <c r="BW1061" s="1558">
        <f t="shared" ca="1" si="580"/>
        <v>0</v>
      </c>
    </row>
    <row r="1062" spans="1:75" s="9" customFormat="1" ht="12.5">
      <c r="A1062" s="1483" t="str">
        <f t="shared" si="574"/>
        <v>Public Health Wales Trust</v>
      </c>
      <c r="B1062" s="1583"/>
      <c r="C1062" s="1583"/>
      <c r="D1062" s="1583"/>
      <c r="E1062" s="1581"/>
      <c r="F1062" s="1436"/>
      <c r="G1062" s="1547">
        <f t="shared" si="575"/>
        <v>0</v>
      </c>
      <c r="H1062" s="1484"/>
      <c r="I1062" s="1547">
        <f t="shared" si="576"/>
        <v>0</v>
      </c>
      <c r="J1062" s="1516"/>
      <c r="K1062" s="1516"/>
      <c r="L1062" s="1436"/>
      <c r="M1062" s="1439"/>
      <c r="N1062" s="1439"/>
      <c r="O1062" s="1485"/>
      <c r="P1062" s="1486"/>
      <c r="Q1062" s="1486"/>
      <c r="R1062" s="1487"/>
      <c r="S1062" s="1444"/>
      <c r="T1062" s="1444"/>
      <c r="U1062" s="1444"/>
      <c r="V1062" s="1488"/>
      <c r="W1062" s="1488"/>
      <c r="X1062" s="1488"/>
      <c r="Y1062" s="1488"/>
      <c r="Z1062" s="1488"/>
      <c r="AA1062" s="1488"/>
      <c r="AB1062" s="1488"/>
      <c r="AC1062" s="1488"/>
      <c r="AD1062" s="1488"/>
      <c r="AE1062" s="1488"/>
      <c r="AF1062" s="1488"/>
      <c r="AG1062" s="1488"/>
      <c r="AH1062" s="1451">
        <f t="shared" si="548"/>
        <v>0</v>
      </c>
      <c r="AI1062" s="1488"/>
      <c r="AJ1062" s="1488"/>
      <c r="AK1062" s="1488"/>
      <c r="AL1062" s="1488"/>
      <c r="AM1062" s="1488"/>
      <c r="AN1062" s="1488"/>
      <c r="AO1062" s="1488"/>
      <c r="AP1062" s="1488"/>
      <c r="AQ1062" s="1488"/>
      <c r="AR1062" s="1488"/>
      <c r="AS1062" s="1488"/>
      <c r="AT1062" s="1542"/>
      <c r="AU1062" s="1599">
        <f t="shared" si="549"/>
        <v>0</v>
      </c>
      <c r="AV1062" s="1544">
        <f t="shared" si="577"/>
        <v>0</v>
      </c>
      <c r="AW1062" s="1452">
        <f t="shared" si="550"/>
        <v>0</v>
      </c>
      <c r="AX1062" s="1452">
        <f t="shared" si="551"/>
        <v>0</v>
      </c>
      <c r="AY1062" s="1452">
        <f t="shared" si="552"/>
        <v>0</v>
      </c>
      <c r="AZ1062" s="1452">
        <f t="shared" si="553"/>
        <v>0</v>
      </c>
      <c r="BA1062" s="1452">
        <f t="shared" si="554"/>
        <v>0</v>
      </c>
      <c r="BB1062" s="1452">
        <f t="shared" si="555"/>
        <v>0</v>
      </c>
      <c r="BC1062" s="1452">
        <f t="shared" si="556"/>
        <v>0</v>
      </c>
      <c r="BD1062" s="1452">
        <f t="shared" si="557"/>
        <v>0</v>
      </c>
      <c r="BE1062" s="1452">
        <f t="shared" si="558"/>
        <v>0</v>
      </c>
      <c r="BF1062" s="1452">
        <f t="shared" si="559"/>
        <v>0</v>
      </c>
      <c r="BG1062" s="1452">
        <f t="shared" si="560"/>
        <v>0</v>
      </c>
      <c r="BH1062" s="1452">
        <f t="shared" si="561"/>
        <v>0</v>
      </c>
      <c r="BI1062" s="1452">
        <f t="shared" si="578"/>
        <v>0</v>
      </c>
      <c r="BJ1062" s="1452" t="str">
        <f t="shared" si="562"/>
        <v/>
      </c>
      <c r="BK1062" s="1452" t="str">
        <f t="shared" si="563"/>
        <v/>
      </c>
      <c r="BL1062" s="1452" t="str">
        <f t="shared" si="564"/>
        <v/>
      </c>
      <c r="BM1062" s="1452" t="str">
        <f t="shared" si="565"/>
        <v/>
      </c>
      <c r="BN1062" s="1452" t="str">
        <f t="shared" ca="1" si="566"/>
        <v/>
      </c>
      <c r="BO1062" s="1452" t="str">
        <f t="shared" si="579"/>
        <v/>
      </c>
      <c r="BP1062" s="1452" t="str">
        <f t="shared" si="567"/>
        <v/>
      </c>
      <c r="BQ1062" s="1452" t="str">
        <f t="shared" si="568"/>
        <v/>
      </c>
      <c r="BR1062" s="1452" t="str">
        <f t="shared" si="569"/>
        <v/>
      </c>
      <c r="BS1062" s="1452" t="str">
        <f t="shared" si="570"/>
        <v/>
      </c>
      <c r="BT1062" s="1452" t="str">
        <f t="shared" si="571"/>
        <v/>
      </c>
      <c r="BU1062" s="1452" t="str">
        <f t="shared" si="572"/>
        <v/>
      </c>
      <c r="BV1062" s="1452" t="str">
        <f t="shared" si="573"/>
        <v/>
      </c>
      <c r="BW1062" s="1558">
        <f t="shared" ca="1" si="580"/>
        <v>0</v>
      </c>
    </row>
    <row r="1063" spans="1:75" s="9" customFormat="1" ht="12.5">
      <c r="A1063" s="1483" t="str">
        <f t="shared" si="574"/>
        <v>Public Health Wales Trust</v>
      </c>
      <c r="B1063" s="1583"/>
      <c r="C1063" s="1583"/>
      <c r="D1063" s="1583"/>
      <c r="E1063" s="1581"/>
      <c r="F1063" s="1436"/>
      <c r="G1063" s="1547">
        <f t="shared" si="575"/>
        <v>0</v>
      </c>
      <c r="H1063" s="1484"/>
      <c r="I1063" s="1547">
        <f t="shared" si="576"/>
        <v>0</v>
      </c>
      <c r="J1063" s="1516"/>
      <c r="K1063" s="1516"/>
      <c r="L1063" s="1436"/>
      <c r="M1063" s="1439"/>
      <c r="N1063" s="1439"/>
      <c r="O1063" s="1485"/>
      <c r="P1063" s="1486"/>
      <c r="Q1063" s="1486"/>
      <c r="R1063" s="1487"/>
      <c r="S1063" s="1444"/>
      <c r="T1063" s="1444"/>
      <c r="U1063" s="1444"/>
      <c r="V1063" s="1488"/>
      <c r="W1063" s="1488"/>
      <c r="X1063" s="1488"/>
      <c r="Y1063" s="1488"/>
      <c r="Z1063" s="1488"/>
      <c r="AA1063" s="1488"/>
      <c r="AB1063" s="1488"/>
      <c r="AC1063" s="1488"/>
      <c r="AD1063" s="1488"/>
      <c r="AE1063" s="1488"/>
      <c r="AF1063" s="1488"/>
      <c r="AG1063" s="1488"/>
      <c r="AH1063" s="1451">
        <f t="shared" si="548"/>
        <v>0</v>
      </c>
      <c r="AI1063" s="1488"/>
      <c r="AJ1063" s="1488"/>
      <c r="AK1063" s="1488"/>
      <c r="AL1063" s="1488"/>
      <c r="AM1063" s="1488"/>
      <c r="AN1063" s="1488"/>
      <c r="AO1063" s="1488"/>
      <c r="AP1063" s="1488"/>
      <c r="AQ1063" s="1488"/>
      <c r="AR1063" s="1488"/>
      <c r="AS1063" s="1488"/>
      <c r="AT1063" s="1542"/>
      <c r="AU1063" s="1599">
        <f t="shared" si="549"/>
        <v>0</v>
      </c>
      <c r="AV1063" s="1544">
        <f t="shared" si="577"/>
        <v>0</v>
      </c>
      <c r="AW1063" s="1452">
        <f t="shared" si="550"/>
        <v>0</v>
      </c>
      <c r="AX1063" s="1452">
        <f t="shared" si="551"/>
        <v>0</v>
      </c>
      <c r="AY1063" s="1452">
        <f t="shared" si="552"/>
        <v>0</v>
      </c>
      <c r="AZ1063" s="1452">
        <f t="shared" si="553"/>
        <v>0</v>
      </c>
      <c r="BA1063" s="1452">
        <f t="shared" si="554"/>
        <v>0</v>
      </c>
      <c r="BB1063" s="1452">
        <f t="shared" si="555"/>
        <v>0</v>
      </c>
      <c r="BC1063" s="1452">
        <f t="shared" si="556"/>
        <v>0</v>
      </c>
      <c r="BD1063" s="1452">
        <f t="shared" si="557"/>
        <v>0</v>
      </c>
      <c r="BE1063" s="1452">
        <f t="shared" si="558"/>
        <v>0</v>
      </c>
      <c r="BF1063" s="1452">
        <f t="shared" si="559"/>
        <v>0</v>
      </c>
      <c r="BG1063" s="1452">
        <f t="shared" si="560"/>
        <v>0</v>
      </c>
      <c r="BH1063" s="1452">
        <f t="shared" si="561"/>
        <v>0</v>
      </c>
      <c r="BI1063" s="1452">
        <f t="shared" si="578"/>
        <v>0</v>
      </c>
      <c r="BJ1063" s="1452" t="str">
        <f t="shared" si="562"/>
        <v/>
      </c>
      <c r="BK1063" s="1452" t="str">
        <f t="shared" si="563"/>
        <v/>
      </c>
      <c r="BL1063" s="1452" t="str">
        <f t="shared" si="564"/>
        <v/>
      </c>
      <c r="BM1063" s="1452" t="str">
        <f t="shared" si="565"/>
        <v/>
      </c>
      <c r="BN1063" s="1452" t="str">
        <f t="shared" ca="1" si="566"/>
        <v/>
      </c>
      <c r="BO1063" s="1452" t="str">
        <f t="shared" si="579"/>
        <v/>
      </c>
      <c r="BP1063" s="1452" t="str">
        <f t="shared" si="567"/>
        <v/>
      </c>
      <c r="BQ1063" s="1452" t="str">
        <f t="shared" si="568"/>
        <v/>
      </c>
      <c r="BR1063" s="1452" t="str">
        <f t="shared" si="569"/>
        <v/>
      </c>
      <c r="BS1063" s="1452" t="str">
        <f t="shared" si="570"/>
        <v/>
      </c>
      <c r="BT1063" s="1452" t="str">
        <f t="shared" si="571"/>
        <v/>
      </c>
      <c r="BU1063" s="1452" t="str">
        <f t="shared" si="572"/>
        <v/>
      </c>
      <c r="BV1063" s="1452" t="str">
        <f t="shared" si="573"/>
        <v/>
      </c>
      <c r="BW1063" s="1558">
        <f t="shared" ca="1" si="580"/>
        <v>0</v>
      </c>
    </row>
    <row r="1064" spans="1:75" s="9" customFormat="1" ht="12.5">
      <c r="A1064" s="1483" t="str">
        <f t="shared" si="574"/>
        <v>Public Health Wales Trust</v>
      </c>
      <c r="B1064" s="1583"/>
      <c r="C1064" s="1583"/>
      <c r="D1064" s="1583"/>
      <c r="E1064" s="1581"/>
      <c r="F1064" s="1436"/>
      <c r="G1064" s="1547">
        <f t="shared" si="575"/>
        <v>0</v>
      </c>
      <c r="H1064" s="1484"/>
      <c r="I1064" s="1547">
        <f t="shared" si="576"/>
        <v>0</v>
      </c>
      <c r="J1064" s="1516"/>
      <c r="K1064" s="1516"/>
      <c r="L1064" s="1436"/>
      <c r="M1064" s="1439"/>
      <c r="N1064" s="1439"/>
      <c r="O1064" s="1485"/>
      <c r="P1064" s="1486"/>
      <c r="Q1064" s="1486"/>
      <c r="R1064" s="1487"/>
      <c r="S1064" s="1444"/>
      <c r="T1064" s="1444"/>
      <c r="U1064" s="1444"/>
      <c r="V1064" s="1488"/>
      <c r="W1064" s="1488"/>
      <c r="X1064" s="1488"/>
      <c r="Y1064" s="1488"/>
      <c r="Z1064" s="1488"/>
      <c r="AA1064" s="1488"/>
      <c r="AB1064" s="1488"/>
      <c r="AC1064" s="1488"/>
      <c r="AD1064" s="1488"/>
      <c r="AE1064" s="1488"/>
      <c r="AF1064" s="1488"/>
      <c r="AG1064" s="1488"/>
      <c r="AH1064" s="1451">
        <f t="shared" si="548"/>
        <v>0</v>
      </c>
      <c r="AI1064" s="1488"/>
      <c r="AJ1064" s="1488"/>
      <c r="AK1064" s="1488"/>
      <c r="AL1064" s="1488"/>
      <c r="AM1064" s="1488"/>
      <c r="AN1064" s="1488"/>
      <c r="AO1064" s="1488"/>
      <c r="AP1064" s="1488"/>
      <c r="AQ1064" s="1488"/>
      <c r="AR1064" s="1488"/>
      <c r="AS1064" s="1488"/>
      <c r="AT1064" s="1542"/>
      <c r="AU1064" s="1599">
        <f t="shared" si="549"/>
        <v>0</v>
      </c>
      <c r="AV1064" s="1544">
        <f t="shared" si="577"/>
        <v>0</v>
      </c>
      <c r="AW1064" s="1452">
        <f t="shared" si="550"/>
        <v>0</v>
      </c>
      <c r="AX1064" s="1452">
        <f t="shared" si="551"/>
        <v>0</v>
      </c>
      <c r="AY1064" s="1452">
        <f t="shared" si="552"/>
        <v>0</v>
      </c>
      <c r="AZ1064" s="1452">
        <f t="shared" si="553"/>
        <v>0</v>
      </c>
      <c r="BA1064" s="1452">
        <f t="shared" si="554"/>
        <v>0</v>
      </c>
      <c r="BB1064" s="1452">
        <f t="shared" si="555"/>
        <v>0</v>
      </c>
      <c r="BC1064" s="1452">
        <f t="shared" si="556"/>
        <v>0</v>
      </c>
      <c r="BD1064" s="1452">
        <f t="shared" si="557"/>
        <v>0</v>
      </c>
      <c r="BE1064" s="1452">
        <f t="shared" si="558"/>
        <v>0</v>
      </c>
      <c r="BF1064" s="1452">
        <f t="shared" si="559"/>
        <v>0</v>
      </c>
      <c r="BG1064" s="1452">
        <f t="shared" si="560"/>
        <v>0</v>
      </c>
      <c r="BH1064" s="1452">
        <f t="shared" si="561"/>
        <v>0</v>
      </c>
      <c r="BI1064" s="1452">
        <f t="shared" si="578"/>
        <v>0</v>
      </c>
      <c r="BJ1064" s="1452" t="str">
        <f t="shared" si="562"/>
        <v/>
      </c>
      <c r="BK1064" s="1452" t="str">
        <f t="shared" si="563"/>
        <v/>
      </c>
      <c r="BL1064" s="1452" t="str">
        <f t="shared" si="564"/>
        <v/>
      </c>
      <c r="BM1064" s="1452" t="str">
        <f t="shared" si="565"/>
        <v/>
      </c>
      <c r="BN1064" s="1452" t="str">
        <f t="shared" ca="1" si="566"/>
        <v/>
      </c>
      <c r="BO1064" s="1452" t="str">
        <f t="shared" si="579"/>
        <v/>
      </c>
      <c r="BP1064" s="1452" t="str">
        <f t="shared" si="567"/>
        <v/>
      </c>
      <c r="BQ1064" s="1452" t="str">
        <f t="shared" si="568"/>
        <v/>
      </c>
      <c r="BR1064" s="1452" t="str">
        <f t="shared" si="569"/>
        <v/>
      </c>
      <c r="BS1064" s="1452" t="str">
        <f t="shared" si="570"/>
        <v/>
      </c>
      <c r="BT1064" s="1452" t="str">
        <f t="shared" si="571"/>
        <v/>
      </c>
      <c r="BU1064" s="1452" t="str">
        <f t="shared" si="572"/>
        <v/>
      </c>
      <c r="BV1064" s="1452" t="str">
        <f t="shared" si="573"/>
        <v/>
      </c>
      <c r="BW1064" s="1558">
        <f t="shared" ca="1" si="580"/>
        <v>0</v>
      </c>
    </row>
    <row r="1065" spans="1:75" s="9" customFormat="1" ht="12.5">
      <c r="A1065" s="1483" t="str">
        <f t="shared" si="574"/>
        <v>Public Health Wales Trust</v>
      </c>
      <c r="B1065" s="1583"/>
      <c r="C1065" s="1583"/>
      <c r="D1065" s="1583"/>
      <c r="E1065" s="1581"/>
      <c r="F1065" s="1436"/>
      <c r="G1065" s="1547">
        <f t="shared" si="575"/>
        <v>0</v>
      </c>
      <c r="H1065" s="1484"/>
      <c r="I1065" s="1547">
        <f t="shared" si="576"/>
        <v>0</v>
      </c>
      <c r="J1065" s="1516"/>
      <c r="K1065" s="1516"/>
      <c r="L1065" s="1436"/>
      <c r="M1065" s="1439"/>
      <c r="N1065" s="1439"/>
      <c r="O1065" s="1485"/>
      <c r="P1065" s="1486"/>
      <c r="Q1065" s="1486"/>
      <c r="R1065" s="1487"/>
      <c r="S1065" s="1444"/>
      <c r="T1065" s="1444"/>
      <c r="U1065" s="1444"/>
      <c r="V1065" s="1488"/>
      <c r="W1065" s="1488"/>
      <c r="X1065" s="1488"/>
      <c r="Y1065" s="1488"/>
      <c r="Z1065" s="1488"/>
      <c r="AA1065" s="1488"/>
      <c r="AB1065" s="1488"/>
      <c r="AC1065" s="1488"/>
      <c r="AD1065" s="1488"/>
      <c r="AE1065" s="1488"/>
      <c r="AF1065" s="1488"/>
      <c r="AG1065" s="1488"/>
      <c r="AH1065" s="1451">
        <f t="shared" si="548"/>
        <v>0</v>
      </c>
      <c r="AI1065" s="1488"/>
      <c r="AJ1065" s="1488"/>
      <c r="AK1065" s="1488"/>
      <c r="AL1065" s="1488"/>
      <c r="AM1065" s="1488"/>
      <c r="AN1065" s="1488"/>
      <c r="AO1065" s="1488"/>
      <c r="AP1065" s="1488"/>
      <c r="AQ1065" s="1488"/>
      <c r="AR1065" s="1488"/>
      <c r="AS1065" s="1488"/>
      <c r="AT1065" s="1542"/>
      <c r="AU1065" s="1599">
        <f t="shared" si="549"/>
        <v>0</v>
      </c>
      <c r="AV1065" s="1544">
        <f t="shared" si="577"/>
        <v>0</v>
      </c>
      <c r="AW1065" s="1452">
        <f t="shared" si="550"/>
        <v>0</v>
      </c>
      <c r="AX1065" s="1452">
        <f t="shared" si="551"/>
        <v>0</v>
      </c>
      <c r="AY1065" s="1452">
        <f t="shared" si="552"/>
        <v>0</v>
      </c>
      <c r="AZ1065" s="1452">
        <f t="shared" si="553"/>
        <v>0</v>
      </c>
      <c r="BA1065" s="1452">
        <f t="shared" si="554"/>
        <v>0</v>
      </c>
      <c r="BB1065" s="1452">
        <f t="shared" si="555"/>
        <v>0</v>
      </c>
      <c r="BC1065" s="1452">
        <f t="shared" si="556"/>
        <v>0</v>
      </c>
      <c r="BD1065" s="1452">
        <f t="shared" si="557"/>
        <v>0</v>
      </c>
      <c r="BE1065" s="1452">
        <f t="shared" si="558"/>
        <v>0</v>
      </c>
      <c r="BF1065" s="1452">
        <f t="shared" si="559"/>
        <v>0</v>
      </c>
      <c r="BG1065" s="1452">
        <f t="shared" si="560"/>
        <v>0</v>
      </c>
      <c r="BH1065" s="1452">
        <f t="shared" si="561"/>
        <v>0</v>
      </c>
      <c r="BI1065" s="1452">
        <f t="shared" si="578"/>
        <v>0</v>
      </c>
      <c r="BJ1065" s="1452" t="str">
        <f t="shared" si="562"/>
        <v/>
      </c>
      <c r="BK1065" s="1452" t="str">
        <f t="shared" si="563"/>
        <v/>
      </c>
      <c r="BL1065" s="1452" t="str">
        <f t="shared" si="564"/>
        <v/>
      </c>
      <c r="BM1065" s="1452" t="str">
        <f t="shared" si="565"/>
        <v/>
      </c>
      <c r="BN1065" s="1452" t="str">
        <f t="shared" ca="1" si="566"/>
        <v/>
      </c>
      <c r="BO1065" s="1452" t="str">
        <f t="shared" si="579"/>
        <v/>
      </c>
      <c r="BP1065" s="1452" t="str">
        <f t="shared" si="567"/>
        <v/>
      </c>
      <c r="BQ1065" s="1452" t="str">
        <f t="shared" si="568"/>
        <v/>
      </c>
      <c r="BR1065" s="1452" t="str">
        <f t="shared" si="569"/>
        <v/>
      </c>
      <c r="BS1065" s="1452" t="str">
        <f t="shared" si="570"/>
        <v/>
      </c>
      <c r="BT1065" s="1452" t="str">
        <f t="shared" si="571"/>
        <v/>
      </c>
      <c r="BU1065" s="1452" t="str">
        <f t="shared" si="572"/>
        <v/>
      </c>
      <c r="BV1065" s="1452" t="str">
        <f t="shared" si="573"/>
        <v/>
      </c>
      <c r="BW1065" s="1558">
        <f t="shared" ca="1" si="580"/>
        <v>0</v>
      </c>
    </row>
    <row r="1066" spans="1:75" s="9" customFormat="1" ht="12.5">
      <c r="A1066" s="1483" t="str">
        <f t="shared" si="574"/>
        <v>Public Health Wales Trust</v>
      </c>
      <c r="B1066" s="1583"/>
      <c r="C1066" s="1583"/>
      <c r="D1066" s="1583"/>
      <c r="E1066" s="1581"/>
      <c r="F1066" s="1436"/>
      <c r="G1066" s="1547">
        <f t="shared" si="575"/>
        <v>0</v>
      </c>
      <c r="H1066" s="1484"/>
      <c r="I1066" s="1547">
        <f t="shared" si="576"/>
        <v>0</v>
      </c>
      <c r="J1066" s="1516"/>
      <c r="K1066" s="1516"/>
      <c r="L1066" s="1436"/>
      <c r="M1066" s="1439"/>
      <c r="N1066" s="1439"/>
      <c r="O1066" s="1485"/>
      <c r="P1066" s="1486"/>
      <c r="Q1066" s="1486"/>
      <c r="R1066" s="1487"/>
      <c r="S1066" s="1444"/>
      <c r="T1066" s="1444"/>
      <c r="U1066" s="1444"/>
      <c r="V1066" s="1488"/>
      <c r="W1066" s="1488"/>
      <c r="X1066" s="1488"/>
      <c r="Y1066" s="1488"/>
      <c r="Z1066" s="1488"/>
      <c r="AA1066" s="1488"/>
      <c r="AB1066" s="1488"/>
      <c r="AC1066" s="1488"/>
      <c r="AD1066" s="1488"/>
      <c r="AE1066" s="1488"/>
      <c r="AF1066" s="1488"/>
      <c r="AG1066" s="1488"/>
      <c r="AH1066" s="1451">
        <f t="shared" si="548"/>
        <v>0</v>
      </c>
      <c r="AI1066" s="1488"/>
      <c r="AJ1066" s="1488"/>
      <c r="AK1066" s="1488"/>
      <c r="AL1066" s="1488"/>
      <c r="AM1066" s="1488"/>
      <c r="AN1066" s="1488"/>
      <c r="AO1066" s="1488"/>
      <c r="AP1066" s="1488"/>
      <c r="AQ1066" s="1488"/>
      <c r="AR1066" s="1488"/>
      <c r="AS1066" s="1488"/>
      <c r="AT1066" s="1542"/>
      <c r="AU1066" s="1599">
        <f t="shared" si="549"/>
        <v>0</v>
      </c>
      <c r="AV1066" s="1544">
        <f t="shared" si="577"/>
        <v>0</v>
      </c>
      <c r="AW1066" s="1452">
        <f t="shared" si="550"/>
        <v>0</v>
      </c>
      <c r="AX1066" s="1452">
        <f t="shared" si="551"/>
        <v>0</v>
      </c>
      <c r="AY1066" s="1452">
        <f t="shared" si="552"/>
        <v>0</v>
      </c>
      <c r="AZ1066" s="1452">
        <f t="shared" si="553"/>
        <v>0</v>
      </c>
      <c r="BA1066" s="1452">
        <f t="shared" si="554"/>
        <v>0</v>
      </c>
      <c r="BB1066" s="1452">
        <f t="shared" si="555"/>
        <v>0</v>
      </c>
      <c r="BC1066" s="1452">
        <f t="shared" si="556"/>
        <v>0</v>
      </c>
      <c r="BD1066" s="1452">
        <f t="shared" si="557"/>
        <v>0</v>
      </c>
      <c r="BE1066" s="1452">
        <f t="shared" si="558"/>
        <v>0</v>
      </c>
      <c r="BF1066" s="1452">
        <f t="shared" si="559"/>
        <v>0</v>
      </c>
      <c r="BG1066" s="1452">
        <f t="shared" si="560"/>
        <v>0</v>
      </c>
      <c r="BH1066" s="1452">
        <f t="shared" si="561"/>
        <v>0</v>
      </c>
      <c r="BI1066" s="1452">
        <f t="shared" si="578"/>
        <v>0</v>
      </c>
      <c r="BJ1066" s="1452" t="str">
        <f t="shared" si="562"/>
        <v/>
      </c>
      <c r="BK1066" s="1452" t="str">
        <f t="shared" si="563"/>
        <v/>
      </c>
      <c r="BL1066" s="1452" t="str">
        <f t="shared" si="564"/>
        <v/>
      </c>
      <c r="BM1066" s="1452" t="str">
        <f t="shared" si="565"/>
        <v/>
      </c>
      <c r="BN1066" s="1452" t="str">
        <f t="shared" ca="1" si="566"/>
        <v/>
      </c>
      <c r="BO1066" s="1452" t="str">
        <f t="shared" si="579"/>
        <v/>
      </c>
      <c r="BP1066" s="1452" t="str">
        <f t="shared" si="567"/>
        <v/>
      </c>
      <c r="BQ1066" s="1452" t="str">
        <f t="shared" si="568"/>
        <v/>
      </c>
      <c r="BR1066" s="1452" t="str">
        <f t="shared" si="569"/>
        <v/>
      </c>
      <c r="BS1066" s="1452" t="str">
        <f t="shared" si="570"/>
        <v/>
      </c>
      <c r="BT1066" s="1452" t="str">
        <f t="shared" si="571"/>
        <v/>
      </c>
      <c r="BU1066" s="1452" t="str">
        <f t="shared" si="572"/>
        <v/>
      </c>
      <c r="BV1066" s="1452" t="str">
        <f t="shared" si="573"/>
        <v/>
      </c>
      <c r="BW1066" s="1558">
        <f t="shared" ca="1" si="580"/>
        <v>0</v>
      </c>
    </row>
    <row r="1067" spans="1:75" s="9" customFormat="1" ht="12.5">
      <c r="A1067" s="1483" t="str">
        <f t="shared" si="574"/>
        <v>Public Health Wales Trust</v>
      </c>
      <c r="B1067" s="1583"/>
      <c r="C1067" s="1583"/>
      <c r="D1067" s="1583"/>
      <c r="E1067" s="1581"/>
      <c r="F1067" s="1436"/>
      <c r="G1067" s="1547">
        <f t="shared" si="575"/>
        <v>0</v>
      </c>
      <c r="H1067" s="1484"/>
      <c r="I1067" s="1547">
        <f t="shared" si="576"/>
        <v>0</v>
      </c>
      <c r="J1067" s="1516"/>
      <c r="K1067" s="1516"/>
      <c r="L1067" s="1436"/>
      <c r="M1067" s="1439"/>
      <c r="N1067" s="1439"/>
      <c r="O1067" s="1485"/>
      <c r="P1067" s="1486"/>
      <c r="Q1067" s="1486"/>
      <c r="R1067" s="1487"/>
      <c r="S1067" s="1444"/>
      <c r="T1067" s="1444"/>
      <c r="U1067" s="1444"/>
      <c r="V1067" s="1488"/>
      <c r="W1067" s="1488"/>
      <c r="X1067" s="1488"/>
      <c r="Y1067" s="1488"/>
      <c r="Z1067" s="1488"/>
      <c r="AA1067" s="1488"/>
      <c r="AB1067" s="1488"/>
      <c r="AC1067" s="1488"/>
      <c r="AD1067" s="1488"/>
      <c r="AE1067" s="1488"/>
      <c r="AF1067" s="1488"/>
      <c r="AG1067" s="1488"/>
      <c r="AH1067" s="1451">
        <f t="shared" ref="AH1067:AH1130" si="581">SUM(V1067:AG1067)</f>
        <v>0</v>
      </c>
      <c r="AI1067" s="1488"/>
      <c r="AJ1067" s="1488"/>
      <c r="AK1067" s="1488"/>
      <c r="AL1067" s="1488"/>
      <c r="AM1067" s="1488"/>
      <c r="AN1067" s="1488"/>
      <c r="AO1067" s="1488"/>
      <c r="AP1067" s="1488"/>
      <c r="AQ1067" s="1488"/>
      <c r="AR1067" s="1488"/>
      <c r="AS1067" s="1488"/>
      <c r="AT1067" s="1542"/>
      <c r="AU1067" s="1599">
        <f t="shared" ref="AU1067:AU1130" si="582">SUMPRODUCT($AC$40:$AN$40,AI1067:AT1067)</f>
        <v>0</v>
      </c>
      <c r="AV1067" s="1544">
        <f t="shared" si="577"/>
        <v>0</v>
      </c>
      <c r="AW1067" s="1452">
        <f t="shared" ref="AW1067:AW1130" si="583">AI1067-V1067</f>
        <v>0</v>
      </c>
      <c r="AX1067" s="1452">
        <f t="shared" ref="AX1067:AX1130" si="584">AJ1067-W1067</f>
        <v>0</v>
      </c>
      <c r="AY1067" s="1452">
        <f t="shared" ref="AY1067:AY1130" si="585">AK1067-X1067</f>
        <v>0</v>
      </c>
      <c r="AZ1067" s="1452">
        <f t="shared" ref="AZ1067:AZ1130" si="586">AL1067-Y1067</f>
        <v>0</v>
      </c>
      <c r="BA1067" s="1452">
        <f t="shared" ref="BA1067:BA1130" si="587">AM1067-Z1067</f>
        <v>0</v>
      </c>
      <c r="BB1067" s="1452">
        <f t="shared" ref="BB1067:BB1130" si="588">AN1067-AA1067</f>
        <v>0</v>
      </c>
      <c r="BC1067" s="1452">
        <f t="shared" ref="BC1067:BC1130" si="589">AO1067-AB1067</f>
        <v>0</v>
      </c>
      <c r="BD1067" s="1452">
        <f t="shared" ref="BD1067:BD1130" si="590">AP1067-AC1067</f>
        <v>0</v>
      </c>
      <c r="BE1067" s="1452">
        <f t="shared" ref="BE1067:BE1130" si="591">AQ1067-AD1067</f>
        <v>0</v>
      </c>
      <c r="BF1067" s="1452">
        <f t="shared" ref="BF1067:BF1130" si="592">AR1067-AE1067</f>
        <v>0</v>
      </c>
      <c r="BG1067" s="1452">
        <f t="shared" ref="BG1067:BG1130" si="593">AS1067-AF1067</f>
        <v>0</v>
      </c>
      <c r="BH1067" s="1452">
        <f t="shared" ref="BH1067:BH1130" si="594">AT1067-AG1067</f>
        <v>0</v>
      </c>
      <c r="BI1067" s="1452">
        <f t="shared" si="578"/>
        <v>0</v>
      </c>
      <c r="BJ1067" s="1452" t="str">
        <f t="shared" ref="BJ1067:BJ1130" si="595">IF(OR(G1067&gt;0,I1067&gt;0),IF(AND(B1067&lt;&gt;"",C1067&lt;&gt;"",D1067&lt;&gt;"",E1067&lt;&gt;"",F1067&lt;&gt;"",L1067&lt;&gt;"",M1067&lt;&gt;"",N1067&lt;&gt;"",O1067&lt;&gt;"",P1067&lt;&gt;"",Q1067&lt;&gt;"",R1067&lt;&gt;""),"","ERROR"),"")</f>
        <v/>
      </c>
      <c r="BK1067" s="1452" t="str">
        <f t="shared" ref="BK1067:BK1130" si="596">IF(COUNTIF($D$43:$D$1496,D1067)&gt;1,"ERROR","")</f>
        <v/>
      </c>
      <c r="BL1067" s="1452" t="str">
        <f t="shared" ref="BL1067:BL1130" si="597">IF(AND(OR(R1067=$CQ$1,R1067=$CQ$3),S1067=""),"ERROR","")</f>
        <v/>
      </c>
      <c r="BM1067" s="1452" t="str">
        <f t="shared" ref="BM1067:BM1130" si="598">IF(AND(OR(R1067=$CQ$2),S1067&lt;&gt;""),"ERROR","")</f>
        <v/>
      </c>
      <c r="BN1067" s="1452" t="str">
        <f t="shared" ref="BN1067:BN1130" ca="1" si="599">IF(AND(O1067=$CA$2,N1067&lt;TODAY()),"ERROR","")</f>
        <v/>
      </c>
      <c r="BO1067" s="1452" t="str">
        <f t="shared" si="579"/>
        <v/>
      </c>
      <c r="BP1067" s="1452" t="str">
        <f t="shared" ref="BP1067:BP1130" si="600">IF(AND(F1067=$BZ$1,G1067&gt;H1067),"ERROR","")</f>
        <v/>
      </c>
      <c r="BQ1067" s="1452" t="str">
        <f t="shared" ref="BQ1067:BQ1130" si="601">IF(AND(F1067=$BZ$1,I1067&gt;J1067),"ERROR","")</f>
        <v/>
      </c>
      <c r="BR1067" s="1452" t="str">
        <f t="shared" ref="BR1067:BR1130" si="602">IF(AND(F1067=$BZ$2,SUM(H1067,J1067)&gt;0),"ERROR","")</f>
        <v/>
      </c>
      <c r="BS1067" s="1452" t="str">
        <f t="shared" ref="BS1067:BS1130" si="603">IF(AND(I1067=0,J1067&gt;0),"ERROR","")</f>
        <v/>
      </c>
      <c r="BT1067" s="1452" t="str">
        <f t="shared" ref="BT1067:BT1130" si="604">IF(AND(O1067=$CA$1,K1067&lt;&gt;0),"ERROR","")</f>
        <v/>
      </c>
      <c r="BU1067" s="1452" t="str">
        <f t="shared" ref="BU1067:BU1130" si="605">IF(AND(O1067=$CA$2,I1067-AU1067-K1067&lt;0),"ERROR","")</f>
        <v/>
      </c>
      <c r="BV1067" s="1452" t="str">
        <f t="shared" ref="BV1067:BV1130" si="606">IF(S1067="","",VLOOKUP(S1067,$CS$1:$CT$14,2,0))</f>
        <v/>
      </c>
      <c r="BW1067" s="1558">
        <f t="shared" ca="1" si="580"/>
        <v>0</v>
      </c>
    </row>
    <row r="1068" spans="1:75" s="9" customFormat="1" ht="12.5">
      <c r="A1068" s="1483" t="str">
        <f t="shared" ref="A1068:A1131" si="607">$A$1</f>
        <v>Public Health Wales Trust</v>
      </c>
      <c r="B1068" s="1583"/>
      <c r="C1068" s="1583"/>
      <c r="D1068" s="1583"/>
      <c r="E1068" s="1581"/>
      <c r="F1068" s="1436"/>
      <c r="G1068" s="1547">
        <f t="shared" ref="G1068:G1131" si="608">AH1068</f>
        <v>0</v>
      </c>
      <c r="H1068" s="1484"/>
      <c r="I1068" s="1547">
        <f t="shared" ref="I1068:I1131" si="609">AV1068</f>
        <v>0</v>
      </c>
      <c r="J1068" s="1516"/>
      <c r="K1068" s="1516"/>
      <c r="L1068" s="1436"/>
      <c r="M1068" s="1439"/>
      <c r="N1068" s="1439"/>
      <c r="O1068" s="1485"/>
      <c r="P1068" s="1486"/>
      <c r="Q1068" s="1486"/>
      <c r="R1068" s="1487"/>
      <c r="S1068" s="1444"/>
      <c r="T1068" s="1444"/>
      <c r="U1068" s="1444"/>
      <c r="V1068" s="1488"/>
      <c r="W1068" s="1488"/>
      <c r="X1068" s="1488"/>
      <c r="Y1068" s="1488"/>
      <c r="Z1068" s="1488"/>
      <c r="AA1068" s="1488"/>
      <c r="AB1068" s="1488"/>
      <c r="AC1068" s="1488"/>
      <c r="AD1068" s="1488"/>
      <c r="AE1068" s="1488"/>
      <c r="AF1068" s="1488"/>
      <c r="AG1068" s="1488"/>
      <c r="AH1068" s="1451">
        <f t="shared" si="581"/>
        <v>0</v>
      </c>
      <c r="AI1068" s="1488"/>
      <c r="AJ1068" s="1488"/>
      <c r="AK1068" s="1488"/>
      <c r="AL1068" s="1488"/>
      <c r="AM1068" s="1488"/>
      <c r="AN1068" s="1488"/>
      <c r="AO1068" s="1488"/>
      <c r="AP1068" s="1488"/>
      <c r="AQ1068" s="1488"/>
      <c r="AR1068" s="1488"/>
      <c r="AS1068" s="1488"/>
      <c r="AT1068" s="1542"/>
      <c r="AU1068" s="1599">
        <f t="shared" si="582"/>
        <v>0</v>
      </c>
      <c r="AV1068" s="1544">
        <f t="shared" ref="AV1068:AV1131" si="610">SUM(AI1068:AT1068)</f>
        <v>0</v>
      </c>
      <c r="AW1068" s="1452">
        <f t="shared" si="583"/>
        <v>0</v>
      </c>
      <c r="AX1068" s="1452">
        <f t="shared" si="584"/>
        <v>0</v>
      </c>
      <c r="AY1068" s="1452">
        <f t="shared" si="585"/>
        <v>0</v>
      </c>
      <c r="AZ1068" s="1452">
        <f t="shared" si="586"/>
        <v>0</v>
      </c>
      <c r="BA1068" s="1452">
        <f t="shared" si="587"/>
        <v>0</v>
      </c>
      <c r="BB1068" s="1452">
        <f t="shared" si="588"/>
        <v>0</v>
      </c>
      <c r="BC1068" s="1452">
        <f t="shared" si="589"/>
        <v>0</v>
      </c>
      <c r="BD1068" s="1452">
        <f t="shared" si="590"/>
        <v>0</v>
      </c>
      <c r="BE1068" s="1452">
        <f t="shared" si="591"/>
        <v>0</v>
      </c>
      <c r="BF1068" s="1452">
        <f t="shared" si="592"/>
        <v>0</v>
      </c>
      <c r="BG1068" s="1452">
        <f t="shared" si="593"/>
        <v>0</v>
      </c>
      <c r="BH1068" s="1452">
        <f t="shared" si="594"/>
        <v>0</v>
      </c>
      <c r="BI1068" s="1452">
        <f t="shared" ref="BI1068:BI1131" si="611">SUM(AW1068:BH1068)</f>
        <v>0</v>
      </c>
      <c r="BJ1068" s="1452" t="str">
        <f t="shared" si="595"/>
        <v/>
      </c>
      <c r="BK1068" s="1452" t="str">
        <f t="shared" si="596"/>
        <v/>
      </c>
      <c r="BL1068" s="1452" t="str">
        <f t="shared" si="597"/>
        <v/>
      </c>
      <c r="BM1068" s="1452" t="str">
        <f t="shared" si="598"/>
        <v/>
      </c>
      <c r="BN1068" s="1452" t="str">
        <f t="shared" ca="1" si="599"/>
        <v/>
      </c>
      <c r="BO1068" s="1452" t="str">
        <f t="shared" ref="BO1068:BO1131" si="612">IF(AND(AV1068&gt;0,AH1068=0),"ERROR","")</f>
        <v/>
      </c>
      <c r="BP1068" s="1452" t="str">
        <f t="shared" si="600"/>
        <v/>
      </c>
      <c r="BQ1068" s="1452" t="str">
        <f t="shared" si="601"/>
        <v/>
      </c>
      <c r="BR1068" s="1452" t="str">
        <f t="shared" si="602"/>
        <v/>
      </c>
      <c r="BS1068" s="1452" t="str">
        <f t="shared" si="603"/>
        <v/>
      </c>
      <c r="BT1068" s="1452" t="str">
        <f t="shared" si="604"/>
        <v/>
      </c>
      <c r="BU1068" s="1452" t="str">
        <f t="shared" si="605"/>
        <v/>
      </c>
      <c r="BV1068" s="1452" t="str">
        <f t="shared" si="606"/>
        <v/>
      </c>
      <c r="BW1068" s="1558">
        <f t="shared" ref="BW1068:BW1131" ca="1" si="613">COUNTIF(BJ1068:BU1068,"ERROR")</f>
        <v>0</v>
      </c>
    </row>
    <row r="1069" spans="1:75" s="9" customFormat="1" ht="12.5">
      <c r="A1069" s="1483" t="str">
        <f t="shared" si="607"/>
        <v>Public Health Wales Trust</v>
      </c>
      <c r="B1069" s="1583"/>
      <c r="C1069" s="1583"/>
      <c r="D1069" s="1583"/>
      <c r="E1069" s="1581"/>
      <c r="F1069" s="1436"/>
      <c r="G1069" s="1547">
        <f t="shared" si="608"/>
        <v>0</v>
      </c>
      <c r="H1069" s="1484"/>
      <c r="I1069" s="1547">
        <f t="shared" si="609"/>
        <v>0</v>
      </c>
      <c r="J1069" s="1516"/>
      <c r="K1069" s="1516"/>
      <c r="L1069" s="1436"/>
      <c r="M1069" s="1439"/>
      <c r="N1069" s="1439"/>
      <c r="O1069" s="1485"/>
      <c r="P1069" s="1486"/>
      <c r="Q1069" s="1486"/>
      <c r="R1069" s="1487"/>
      <c r="S1069" s="1444"/>
      <c r="T1069" s="1444"/>
      <c r="U1069" s="1444"/>
      <c r="V1069" s="1488"/>
      <c r="W1069" s="1488"/>
      <c r="X1069" s="1488"/>
      <c r="Y1069" s="1488"/>
      <c r="Z1069" s="1488"/>
      <c r="AA1069" s="1488"/>
      <c r="AB1069" s="1488"/>
      <c r="AC1069" s="1488"/>
      <c r="AD1069" s="1488"/>
      <c r="AE1069" s="1488"/>
      <c r="AF1069" s="1488"/>
      <c r="AG1069" s="1488"/>
      <c r="AH1069" s="1451">
        <f t="shared" si="581"/>
        <v>0</v>
      </c>
      <c r="AI1069" s="1488"/>
      <c r="AJ1069" s="1488"/>
      <c r="AK1069" s="1488"/>
      <c r="AL1069" s="1488"/>
      <c r="AM1069" s="1488"/>
      <c r="AN1069" s="1488"/>
      <c r="AO1069" s="1488"/>
      <c r="AP1069" s="1488"/>
      <c r="AQ1069" s="1488"/>
      <c r="AR1069" s="1488"/>
      <c r="AS1069" s="1488"/>
      <c r="AT1069" s="1542"/>
      <c r="AU1069" s="1599">
        <f t="shared" si="582"/>
        <v>0</v>
      </c>
      <c r="AV1069" s="1544">
        <f t="shared" si="610"/>
        <v>0</v>
      </c>
      <c r="AW1069" s="1452">
        <f t="shared" si="583"/>
        <v>0</v>
      </c>
      <c r="AX1069" s="1452">
        <f t="shared" si="584"/>
        <v>0</v>
      </c>
      <c r="AY1069" s="1452">
        <f t="shared" si="585"/>
        <v>0</v>
      </c>
      <c r="AZ1069" s="1452">
        <f t="shared" si="586"/>
        <v>0</v>
      </c>
      <c r="BA1069" s="1452">
        <f t="shared" si="587"/>
        <v>0</v>
      </c>
      <c r="BB1069" s="1452">
        <f t="shared" si="588"/>
        <v>0</v>
      </c>
      <c r="BC1069" s="1452">
        <f t="shared" si="589"/>
        <v>0</v>
      </c>
      <c r="BD1069" s="1452">
        <f t="shared" si="590"/>
        <v>0</v>
      </c>
      <c r="BE1069" s="1452">
        <f t="shared" si="591"/>
        <v>0</v>
      </c>
      <c r="BF1069" s="1452">
        <f t="shared" si="592"/>
        <v>0</v>
      </c>
      <c r="BG1069" s="1452">
        <f t="shared" si="593"/>
        <v>0</v>
      </c>
      <c r="BH1069" s="1452">
        <f t="shared" si="594"/>
        <v>0</v>
      </c>
      <c r="BI1069" s="1452">
        <f t="shared" si="611"/>
        <v>0</v>
      </c>
      <c r="BJ1069" s="1452" t="str">
        <f t="shared" si="595"/>
        <v/>
      </c>
      <c r="BK1069" s="1452" t="str">
        <f t="shared" si="596"/>
        <v/>
      </c>
      <c r="BL1069" s="1452" t="str">
        <f t="shared" si="597"/>
        <v/>
      </c>
      <c r="BM1069" s="1452" t="str">
        <f t="shared" si="598"/>
        <v/>
      </c>
      <c r="BN1069" s="1452" t="str">
        <f t="shared" ca="1" si="599"/>
        <v/>
      </c>
      <c r="BO1069" s="1452" t="str">
        <f t="shared" si="612"/>
        <v/>
      </c>
      <c r="BP1069" s="1452" t="str">
        <f t="shared" si="600"/>
        <v/>
      </c>
      <c r="BQ1069" s="1452" t="str">
        <f t="shared" si="601"/>
        <v/>
      </c>
      <c r="BR1069" s="1452" t="str">
        <f t="shared" si="602"/>
        <v/>
      </c>
      <c r="BS1069" s="1452" t="str">
        <f t="shared" si="603"/>
        <v/>
      </c>
      <c r="BT1069" s="1452" t="str">
        <f t="shared" si="604"/>
        <v/>
      </c>
      <c r="BU1069" s="1452" t="str">
        <f t="shared" si="605"/>
        <v/>
      </c>
      <c r="BV1069" s="1452" t="str">
        <f t="shared" si="606"/>
        <v/>
      </c>
      <c r="BW1069" s="1558">
        <f t="shared" ca="1" si="613"/>
        <v>0</v>
      </c>
    </row>
    <row r="1070" spans="1:75" s="9" customFormat="1" ht="12.5">
      <c r="A1070" s="1483" t="str">
        <f t="shared" si="607"/>
        <v>Public Health Wales Trust</v>
      </c>
      <c r="B1070" s="1583"/>
      <c r="C1070" s="1583"/>
      <c r="D1070" s="1583"/>
      <c r="E1070" s="1581"/>
      <c r="F1070" s="1436"/>
      <c r="G1070" s="1547">
        <f t="shared" si="608"/>
        <v>0</v>
      </c>
      <c r="H1070" s="1484"/>
      <c r="I1070" s="1547">
        <f t="shared" si="609"/>
        <v>0</v>
      </c>
      <c r="J1070" s="1516"/>
      <c r="K1070" s="1516"/>
      <c r="L1070" s="1436"/>
      <c r="M1070" s="1439"/>
      <c r="N1070" s="1439"/>
      <c r="O1070" s="1485"/>
      <c r="P1070" s="1486"/>
      <c r="Q1070" s="1486"/>
      <c r="R1070" s="1487"/>
      <c r="S1070" s="1444"/>
      <c r="T1070" s="1444"/>
      <c r="U1070" s="1444"/>
      <c r="V1070" s="1488"/>
      <c r="W1070" s="1488"/>
      <c r="X1070" s="1488"/>
      <c r="Y1070" s="1488"/>
      <c r="Z1070" s="1488"/>
      <c r="AA1070" s="1488"/>
      <c r="AB1070" s="1488"/>
      <c r="AC1070" s="1488"/>
      <c r="AD1070" s="1488"/>
      <c r="AE1070" s="1488"/>
      <c r="AF1070" s="1488"/>
      <c r="AG1070" s="1488"/>
      <c r="AH1070" s="1451">
        <f t="shared" si="581"/>
        <v>0</v>
      </c>
      <c r="AI1070" s="1488"/>
      <c r="AJ1070" s="1488"/>
      <c r="AK1070" s="1488"/>
      <c r="AL1070" s="1488"/>
      <c r="AM1070" s="1488"/>
      <c r="AN1070" s="1488"/>
      <c r="AO1070" s="1488"/>
      <c r="AP1070" s="1488"/>
      <c r="AQ1070" s="1488"/>
      <c r="AR1070" s="1488"/>
      <c r="AS1070" s="1488"/>
      <c r="AT1070" s="1542"/>
      <c r="AU1070" s="1599">
        <f t="shared" si="582"/>
        <v>0</v>
      </c>
      <c r="AV1070" s="1544">
        <f t="shared" si="610"/>
        <v>0</v>
      </c>
      <c r="AW1070" s="1452">
        <f t="shared" si="583"/>
        <v>0</v>
      </c>
      <c r="AX1070" s="1452">
        <f t="shared" si="584"/>
        <v>0</v>
      </c>
      <c r="AY1070" s="1452">
        <f t="shared" si="585"/>
        <v>0</v>
      </c>
      <c r="AZ1070" s="1452">
        <f t="shared" si="586"/>
        <v>0</v>
      </c>
      <c r="BA1070" s="1452">
        <f t="shared" si="587"/>
        <v>0</v>
      </c>
      <c r="BB1070" s="1452">
        <f t="shared" si="588"/>
        <v>0</v>
      </c>
      <c r="BC1070" s="1452">
        <f t="shared" si="589"/>
        <v>0</v>
      </c>
      <c r="BD1070" s="1452">
        <f t="shared" si="590"/>
        <v>0</v>
      </c>
      <c r="BE1070" s="1452">
        <f t="shared" si="591"/>
        <v>0</v>
      </c>
      <c r="BF1070" s="1452">
        <f t="shared" si="592"/>
        <v>0</v>
      </c>
      <c r="BG1070" s="1452">
        <f t="shared" si="593"/>
        <v>0</v>
      </c>
      <c r="BH1070" s="1452">
        <f t="shared" si="594"/>
        <v>0</v>
      </c>
      <c r="BI1070" s="1452">
        <f t="shared" si="611"/>
        <v>0</v>
      </c>
      <c r="BJ1070" s="1452" t="str">
        <f t="shared" si="595"/>
        <v/>
      </c>
      <c r="BK1070" s="1452" t="str">
        <f t="shared" si="596"/>
        <v/>
      </c>
      <c r="BL1070" s="1452" t="str">
        <f t="shared" si="597"/>
        <v/>
      </c>
      <c r="BM1070" s="1452" t="str">
        <f t="shared" si="598"/>
        <v/>
      </c>
      <c r="BN1070" s="1452" t="str">
        <f t="shared" ca="1" si="599"/>
        <v/>
      </c>
      <c r="BO1070" s="1452" t="str">
        <f t="shared" si="612"/>
        <v/>
      </c>
      <c r="BP1070" s="1452" t="str">
        <f t="shared" si="600"/>
        <v/>
      </c>
      <c r="BQ1070" s="1452" t="str">
        <f t="shared" si="601"/>
        <v/>
      </c>
      <c r="BR1070" s="1452" t="str">
        <f t="shared" si="602"/>
        <v/>
      </c>
      <c r="BS1070" s="1452" t="str">
        <f t="shared" si="603"/>
        <v/>
      </c>
      <c r="BT1070" s="1452" t="str">
        <f t="shared" si="604"/>
        <v/>
      </c>
      <c r="BU1070" s="1452" t="str">
        <f t="shared" si="605"/>
        <v/>
      </c>
      <c r="BV1070" s="1452" t="str">
        <f t="shared" si="606"/>
        <v/>
      </c>
      <c r="BW1070" s="1558">
        <f t="shared" ca="1" si="613"/>
        <v>0</v>
      </c>
    </row>
    <row r="1071" spans="1:75" s="9" customFormat="1" ht="12.5">
      <c r="A1071" s="1483" t="str">
        <f t="shared" si="607"/>
        <v>Public Health Wales Trust</v>
      </c>
      <c r="B1071" s="1583"/>
      <c r="C1071" s="1583"/>
      <c r="D1071" s="1583"/>
      <c r="E1071" s="1581"/>
      <c r="F1071" s="1436"/>
      <c r="G1071" s="1547">
        <f t="shared" si="608"/>
        <v>0</v>
      </c>
      <c r="H1071" s="1484"/>
      <c r="I1071" s="1547">
        <f t="shared" si="609"/>
        <v>0</v>
      </c>
      <c r="J1071" s="1516"/>
      <c r="K1071" s="1516"/>
      <c r="L1071" s="1436"/>
      <c r="M1071" s="1439"/>
      <c r="N1071" s="1439"/>
      <c r="O1071" s="1485"/>
      <c r="P1071" s="1486"/>
      <c r="Q1071" s="1486"/>
      <c r="R1071" s="1487"/>
      <c r="S1071" s="1444"/>
      <c r="T1071" s="1444"/>
      <c r="U1071" s="1444"/>
      <c r="V1071" s="1488"/>
      <c r="W1071" s="1488"/>
      <c r="X1071" s="1488"/>
      <c r="Y1071" s="1488"/>
      <c r="Z1071" s="1488"/>
      <c r="AA1071" s="1488"/>
      <c r="AB1071" s="1488"/>
      <c r="AC1071" s="1488"/>
      <c r="AD1071" s="1488"/>
      <c r="AE1071" s="1488"/>
      <c r="AF1071" s="1488"/>
      <c r="AG1071" s="1488"/>
      <c r="AH1071" s="1451">
        <f t="shared" si="581"/>
        <v>0</v>
      </c>
      <c r="AI1071" s="1488"/>
      <c r="AJ1071" s="1488"/>
      <c r="AK1071" s="1488"/>
      <c r="AL1071" s="1488"/>
      <c r="AM1071" s="1488"/>
      <c r="AN1071" s="1488"/>
      <c r="AO1071" s="1488"/>
      <c r="AP1071" s="1488"/>
      <c r="AQ1071" s="1488"/>
      <c r="AR1071" s="1488"/>
      <c r="AS1071" s="1488"/>
      <c r="AT1071" s="1542"/>
      <c r="AU1071" s="1599">
        <f t="shared" si="582"/>
        <v>0</v>
      </c>
      <c r="AV1071" s="1544">
        <f t="shared" si="610"/>
        <v>0</v>
      </c>
      <c r="AW1071" s="1452">
        <f t="shared" si="583"/>
        <v>0</v>
      </c>
      <c r="AX1071" s="1452">
        <f t="shared" si="584"/>
        <v>0</v>
      </c>
      <c r="AY1071" s="1452">
        <f t="shared" si="585"/>
        <v>0</v>
      </c>
      <c r="AZ1071" s="1452">
        <f t="shared" si="586"/>
        <v>0</v>
      </c>
      <c r="BA1071" s="1452">
        <f t="shared" si="587"/>
        <v>0</v>
      </c>
      <c r="BB1071" s="1452">
        <f t="shared" si="588"/>
        <v>0</v>
      </c>
      <c r="BC1071" s="1452">
        <f t="shared" si="589"/>
        <v>0</v>
      </c>
      <c r="BD1071" s="1452">
        <f t="shared" si="590"/>
        <v>0</v>
      </c>
      <c r="BE1071" s="1452">
        <f t="shared" si="591"/>
        <v>0</v>
      </c>
      <c r="BF1071" s="1452">
        <f t="shared" si="592"/>
        <v>0</v>
      </c>
      <c r="BG1071" s="1452">
        <f t="shared" si="593"/>
        <v>0</v>
      </c>
      <c r="BH1071" s="1452">
        <f t="shared" si="594"/>
        <v>0</v>
      </c>
      <c r="BI1071" s="1452">
        <f t="shared" si="611"/>
        <v>0</v>
      </c>
      <c r="BJ1071" s="1452" t="str">
        <f t="shared" si="595"/>
        <v/>
      </c>
      <c r="BK1071" s="1452" t="str">
        <f t="shared" si="596"/>
        <v/>
      </c>
      <c r="BL1071" s="1452" t="str">
        <f t="shared" si="597"/>
        <v/>
      </c>
      <c r="BM1071" s="1452" t="str">
        <f t="shared" si="598"/>
        <v/>
      </c>
      <c r="BN1071" s="1452" t="str">
        <f t="shared" ca="1" si="599"/>
        <v/>
      </c>
      <c r="BO1071" s="1452" t="str">
        <f t="shared" si="612"/>
        <v/>
      </c>
      <c r="BP1071" s="1452" t="str">
        <f t="shared" si="600"/>
        <v/>
      </c>
      <c r="BQ1071" s="1452" t="str">
        <f t="shared" si="601"/>
        <v/>
      </c>
      <c r="BR1071" s="1452" t="str">
        <f t="shared" si="602"/>
        <v/>
      </c>
      <c r="BS1071" s="1452" t="str">
        <f t="shared" si="603"/>
        <v/>
      </c>
      <c r="BT1071" s="1452" t="str">
        <f t="shared" si="604"/>
        <v/>
      </c>
      <c r="BU1071" s="1452" t="str">
        <f t="shared" si="605"/>
        <v/>
      </c>
      <c r="BV1071" s="1452" t="str">
        <f t="shared" si="606"/>
        <v/>
      </c>
      <c r="BW1071" s="1558">
        <f t="shared" ca="1" si="613"/>
        <v>0</v>
      </c>
    </row>
    <row r="1072" spans="1:75" s="9" customFormat="1" ht="12.5">
      <c r="A1072" s="1483" t="str">
        <f t="shared" si="607"/>
        <v>Public Health Wales Trust</v>
      </c>
      <c r="B1072" s="1583"/>
      <c r="C1072" s="1583"/>
      <c r="D1072" s="1583"/>
      <c r="E1072" s="1581"/>
      <c r="F1072" s="1436"/>
      <c r="G1072" s="1547">
        <f t="shared" si="608"/>
        <v>0</v>
      </c>
      <c r="H1072" s="1484"/>
      <c r="I1072" s="1547">
        <f t="shared" si="609"/>
        <v>0</v>
      </c>
      <c r="J1072" s="1516"/>
      <c r="K1072" s="1516"/>
      <c r="L1072" s="1436"/>
      <c r="M1072" s="1439"/>
      <c r="N1072" s="1439"/>
      <c r="O1072" s="1485"/>
      <c r="P1072" s="1486"/>
      <c r="Q1072" s="1486"/>
      <c r="R1072" s="1487"/>
      <c r="S1072" s="1444"/>
      <c r="T1072" s="1444"/>
      <c r="U1072" s="1444"/>
      <c r="V1072" s="1488"/>
      <c r="W1072" s="1488"/>
      <c r="X1072" s="1488"/>
      <c r="Y1072" s="1488"/>
      <c r="Z1072" s="1488"/>
      <c r="AA1072" s="1488"/>
      <c r="AB1072" s="1488"/>
      <c r="AC1072" s="1488"/>
      <c r="AD1072" s="1488"/>
      <c r="AE1072" s="1488"/>
      <c r="AF1072" s="1488"/>
      <c r="AG1072" s="1488"/>
      <c r="AH1072" s="1451">
        <f t="shared" si="581"/>
        <v>0</v>
      </c>
      <c r="AI1072" s="1488"/>
      <c r="AJ1072" s="1488"/>
      <c r="AK1072" s="1488"/>
      <c r="AL1072" s="1488"/>
      <c r="AM1072" s="1488"/>
      <c r="AN1072" s="1488"/>
      <c r="AO1072" s="1488"/>
      <c r="AP1072" s="1488"/>
      <c r="AQ1072" s="1488"/>
      <c r="AR1072" s="1488"/>
      <c r="AS1072" s="1488"/>
      <c r="AT1072" s="1542"/>
      <c r="AU1072" s="1599">
        <f t="shared" si="582"/>
        <v>0</v>
      </c>
      <c r="AV1072" s="1544">
        <f t="shared" si="610"/>
        <v>0</v>
      </c>
      <c r="AW1072" s="1452">
        <f t="shared" si="583"/>
        <v>0</v>
      </c>
      <c r="AX1072" s="1452">
        <f t="shared" si="584"/>
        <v>0</v>
      </c>
      <c r="AY1072" s="1452">
        <f t="shared" si="585"/>
        <v>0</v>
      </c>
      <c r="AZ1072" s="1452">
        <f t="shared" si="586"/>
        <v>0</v>
      </c>
      <c r="BA1072" s="1452">
        <f t="shared" si="587"/>
        <v>0</v>
      </c>
      <c r="BB1072" s="1452">
        <f t="shared" si="588"/>
        <v>0</v>
      </c>
      <c r="BC1072" s="1452">
        <f t="shared" si="589"/>
        <v>0</v>
      </c>
      <c r="BD1072" s="1452">
        <f t="shared" si="590"/>
        <v>0</v>
      </c>
      <c r="BE1072" s="1452">
        <f t="shared" si="591"/>
        <v>0</v>
      </c>
      <c r="BF1072" s="1452">
        <f t="shared" si="592"/>
        <v>0</v>
      </c>
      <c r="BG1072" s="1452">
        <f t="shared" si="593"/>
        <v>0</v>
      </c>
      <c r="BH1072" s="1452">
        <f t="shared" si="594"/>
        <v>0</v>
      </c>
      <c r="BI1072" s="1452">
        <f t="shared" si="611"/>
        <v>0</v>
      </c>
      <c r="BJ1072" s="1452" t="str">
        <f t="shared" si="595"/>
        <v/>
      </c>
      <c r="BK1072" s="1452" t="str">
        <f t="shared" si="596"/>
        <v/>
      </c>
      <c r="BL1072" s="1452" t="str">
        <f t="shared" si="597"/>
        <v/>
      </c>
      <c r="BM1072" s="1452" t="str">
        <f t="shared" si="598"/>
        <v/>
      </c>
      <c r="BN1072" s="1452" t="str">
        <f t="shared" ca="1" si="599"/>
        <v/>
      </c>
      <c r="BO1072" s="1452" t="str">
        <f t="shared" si="612"/>
        <v/>
      </c>
      <c r="BP1072" s="1452" t="str">
        <f t="shared" si="600"/>
        <v/>
      </c>
      <c r="BQ1072" s="1452" t="str">
        <f t="shared" si="601"/>
        <v/>
      </c>
      <c r="BR1072" s="1452" t="str">
        <f t="shared" si="602"/>
        <v/>
      </c>
      <c r="BS1072" s="1452" t="str">
        <f t="shared" si="603"/>
        <v/>
      </c>
      <c r="BT1072" s="1452" t="str">
        <f t="shared" si="604"/>
        <v/>
      </c>
      <c r="BU1072" s="1452" t="str">
        <f t="shared" si="605"/>
        <v/>
      </c>
      <c r="BV1072" s="1452" t="str">
        <f t="shared" si="606"/>
        <v/>
      </c>
      <c r="BW1072" s="1558">
        <f t="shared" ca="1" si="613"/>
        <v>0</v>
      </c>
    </row>
    <row r="1073" spans="1:75" s="9" customFormat="1" ht="12.5">
      <c r="A1073" s="1483" t="str">
        <f t="shared" si="607"/>
        <v>Public Health Wales Trust</v>
      </c>
      <c r="B1073" s="1583"/>
      <c r="C1073" s="1583"/>
      <c r="D1073" s="1583"/>
      <c r="E1073" s="1581"/>
      <c r="F1073" s="1436"/>
      <c r="G1073" s="1547">
        <f t="shared" si="608"/>
        <v>0</v>
      </c>
      <c r="H1073" s="1484"/>
      <c r="I1073" s="1547">
        <f t="shared" si="609"/>
        <v>0</v>
      </c>
      <c r="J1073" s="1516"/>
      <c r="K1073" s="1516"/>
      <c r="L1073" s="1436"/>
      <c r="M1073" s="1439"/>
      <c r="N1073" s="1439"/>
      <c r="O1073" s="1485"/>
      <c r="P1073" s="1486"/>
      <c r="Q1073" s="1486"/>
      <c r="R1073" s="1487"/>
      <c r="S1073" s="1444"/>
      <c r="T1073" s="1444"/>
      <c r="U1073" s="1444"/>
      <c r="V1073" s="1488"/>
      <c r="W1073" s="1488"/>
      <c r="X1073" s="1488"/>
      <c r="Y1073" s="1488"/>
      <c r="Z1073" s="1488"/>
      <c r="AA1073" s="1488"/>
      <c r="AB1073" s="1488"/>
      <c r="AC1073" s="1488"/>
      <c r="AD1073" s="1488"/>
      <c r="AE1073" s="1488"/>
      <c r="AF1073" s="1488"/>
      <c r="AG1073" s="1488"/>
      <c r="AH1073" s="1451">
        <f t="shared" si="581"/>
        <v>0</v>
      </c>
      <c r="AI1073" s="1488"/>
      <c r="AJ1073" s="1488"/>
      <c r="AK1073" s="1488"/>
      <c r="AL1073" s="1488"/>
      <c r="AM1073" s="1488"/>
      <c r="AN1073" s="1488"/>
      <c r="AO1073" s="1488"/>
      <c r="AP1073" s="1488"/>
      <c r="AQ1073" s="1488"/>
      <c r="AR1073" s="1488"/>
      <c r="AS1073" s="1488"/>
      <c r="AT1073" s="1542"/>
      <c r="AU1073" s="1599">
        <f t="shared" si="582"/>
        <v>0</v>
      </c>
      <c r="AV1073" s="1544">
        <f t="shared" si="610"/>
        <v>0</v>
      </c>
      <c r="AW1073" s="1452">
        <f t="shared" si="583"/>
        <v>0</v>
      </c>
      <c r="AX1073" s="1452">
        <f t="shared" si="584"/>
        <v>0</v>
      </c>
      <c r="AY1073" s="1452">
        <f t="shared" si="585"/>
        <v>0</v>
      </c>
      <c r="AZ1073" s="1452">
        <f t="shared" si="586"/>
        <v>0</v>
      </c>
      <c r="BA1073" s="1452">
        <f t="shared" si="587"/>
        <v>0</v>
      </c>
      <c r="BB1073" s="1452">
        <f t="shared" si="588"/>
        <v>0</v>
      </c>
      <c r="BC1073" s="1452">
        <f t="shared" si="589"/>
        <v>0</v>
      </c>
      <c r="BD1073" s="1452">
        <f t="shared" si="590"/>
        <v>0</v>
      </c>
      <c r="BE1073" s="1452">
        <f t="shared" si="591"/>
        <v>0</v>
      </c>
      <c r="BF1073" s="1452">
        <f t="shared" si="592"/>
        <v>0</v>
      </c>
      <c r="BG1073" s="1452">
        <f t="shared" si="593"/>
        <v>0</v>
      </c>
      <c r="BH1073" s="1452">
        <f t="shared" si="594"/>
        <v>0</v>
      </c>
      <c r="BI1073" s="1452">
        <f t="shared" si="611"/>
        <v>0</v>
      </c>
      <c r="BJ1073" s="1452" t="str">
        <f t="shared" si="595"/>
        <v/>
      </c>
      <c r="BK1073" s="1452" t="str">
        <f t="shared" si="596"/>
        <v/>
      </c>
      <c r="BL1073" s="1452" t="str">
        <f t="shared" si="597"/>
        <v/>
      </c>
      <c r="BM1073" s="1452" t="str">
        <f t="shared" si="598"/>
        <v/>
      </c>
      <c r="BN1073" s="1452" t="str">
        <f t="shared" ca="1" si="599"/>
        <v/>
      </c>
      <c r="BO1073" s="1452" t="str">
        <f t="shared" si="612"/>
        <v/>
      </c>
      <c r="BP1073" s="1452" t="str">
        <f t="shared" si="600"/>
        <v/>
      </c>
      <c r="BQ1073" s="1452" t="str">
        <f t="shared" si="601"/>
        <v/>
      </c>
      <c r="BR1073" s="1452" t="str">
        <f t="shared" si="602"/>
        <v/>
      </c>
      <c r="BS1073" s="1452" t="str">
        <f t="shared" si="603"/>
        <v/>
      </c>
      <c r="BT1073" s="1452" t="str">
        <f t="shared" si="604"/>
        <v/>
      </c>
      <c r="BU1073" s="1452" t="str">
        <f t="shared" si="605"/>
        <v/>
      </c>
      <c r="BV1073" s="1452" t="str">
        <f t="shared" si="606"/>
        <v/>
      </c>
      <c r="BW1073" s="1558">
        <f t="shared" ca="1" si="613"/>
        <v>0</v>
      </c>
    </row>
    <row r="1074" spans="1:75" s="9" customFormat="1" ht="12.5">
      <c r="A1074" s="1483" t="str">
        <f t="shared" si="607"/>
        <v>Public Health Wales Trust</v>
      </c>
      <c r="B1074" s="1583"/>
      <c r="C1074" s="1583"/>
      <c r="D1074" s="1583"/>
      <c r="E1074" s="1581"/>
      <c r="F1074" s="1436"/>
      <c r="G1074" s="1547">
        <f t="shared" si="608"/>
        <v>0</v>
      </c>
      <c r="H1074" s="1484"/>
      <c r="I1074" s="1547">
        <f t="shared" si="609"/>
        <v>0</v>
      </c>
      <c r="J1074" s="1516"/>
      <c r="K1074" s="1516"/>
      <c r="L1074" s="1436"/>
      <c r="M1074" s="1439"/>
      <c r="N1074" s="1439"/>
      <c r="O1074" s="1485"/>
      <c r="P1074" s="1486"/>
      <c r="Q1074" s="1486"/>
      <c r="R1074" s="1487"/>
      <c r="S1074" s="1444"/>
      <c r="T1074" s="1444"/>
      <c r="U1074" s="1444"/>
      <c r="V1074" s="1488"/>
      <c r="W1074" s="1488"/>
      <c r="X1074" s="1488"/>
      <c r="Y1074" s="1488"/>
      <c r="Z1074" s="1488"/>
      <c r="AA1074" s="1488"/>
      <c r="AB1074" s="1488"/>
      <c r="AC1074" s="1488"/>
      <c r="AD1074" s="1488"/>
      <c r="AE1074" s="1488"/>
      <c r="AF1074" s="1488"/>
      <c r="AG1074" s="1488"/>
      <c r="AH1074" s="1451">
        <f t="shared" si="581"/>
        <v>0</v>
      </c>
      <c r="AI1074" s="1488"/>
      <c r="AJ1074" s="1488"/>
      <c r="AK1074" s="1488"/>
      <c r="AL1074" s="1488"/>
      <c r="AM1074" s="1488"/>
      <c r="AN1074" s="1488"/>
      <c r="AO1074" s="1488"/>
      <c r="AP1074" s="1488"/>
      <c r="AQ1074" s="1488"/>
      <c r="AR1074" s="1488"/>
      <c r="AS1074" s="1488"/>
      <c r="AT1074" s="1542"/>
      <c r="AU1074" s="1599">
        <f t="shared" si="582"/>
        <v>0</v>
      </c>
      <c r="AV1074" s="1544">
        <f t="shared" si="610"/>
        <v>0</v>
      </c>
      <c r="AW1074" s="1452">
        <f t="shared" si="583"/>
        <v>0</v>
      </c>
      <c r="AX1074" s="1452">
        <f t="shared" si="584"/>
        <v>0</v>
      </c>
      <c r="AY1074" s="1452">
        <f t="shared" si="585"/>
        <v>0</v>
      </c>
      <c r="AZ1074" s="1452">
        <f t="shared" si="586"/>
        <v>0</v>
      </c>
      <c r="BA1074" s="1452">
        <f t="shared" si="587"/>
        <v>0</v>
      </c>
      <c r="BB1074" s="1452">
        <f t="shared" si="588"/>
        <v>0</v>
      </c>
      <c r="BC1074" s="1452">
        <f t="shared" si="589"/>
        <v>0</v>
      </c>
      <c r="BD1074" s="1452">
        <f t="shared" si="590"/>
        <v>0</v>
      </c>
      <c r="BE1074" s="1452">
        <f t="shared" si="591"/>
        <v>0</v>
      </c>
      <c r="BF1074" s="1452">
        <f t="shared" si="592"/>
        <v>0</v>
      </c>
      <c r="BG1074" s="1452">
        <f t="shared" si="593"/>
        <v>0</v>
      </c>
      <c r="BH1074" s="1452">
        <f t="shared" si="594"/>
        <v>0</v>
      </c>
      <c r="BI1074" s="1452">
        <f t="shared" si="611"/>
        <v>0</v>
      </c>
      <c r="BJ1074" s="1452" t="str">
        <f t="shared" si="595"/>
        <v/>
      </c>
      <c r="BK1074" s="1452" t="str">
        <f t="shared" si="596"/>
        <v/>
      </c>
      <c r="BL1074" s="1452" t="str">
        <f t="shared" si="597"/>
        <v/>
      </c>
      <c r="BM1074" s="1452" t="str">
        <f t="shared" si="598"/>
        <v/>
      </c>
      <c r="BN1074" s="1452" t="str">
        <f t="shared" ca="1" si="599"/>
        <v/>
      </c>
      <c r="BO1074" s="1452" t="str">
        <f t="shared" si="612"/>
        <v/>
      </c>
      <c r="BP1074" s="1452" t="str">
        <f t="shared" si="600"/>
        <v/>
      </c>
      <c r="BQ1074" s="1452" t="str">
        <f t="shared" si="601"/>
        <v/>
      </c>
      <c r="BR1074" s="1452" t="str">
        <f t="shared" si="602"/>
        <v/>
      </c>
      <c r="BS1074" s="1452" t="str">
        <f t="shared" si="603"/>
        <v/>
      </c>
      <c r="BT1074" s="1452" t="str">
        <f t="shared" si="604"/>
        <v/>
      </c>
      <c r="BU1074" s="1452" t="str">
        <f t="shared" si="605"/>
        <v/>
      </c>
      <c r="BV1074" s="1452" t="str">
        <f t="shared" si="606"/>
        <v/>
      </c>
      <c r="BW1074" s="1558">
        <f t="shared" ca="1" si="613"/>
        <v>0</v>
      </c>
    </row>
    <row r="1075" spans="1:75" s="9" customFormat="1" ht="12.5">
      <c r="A1075" s="1483" t="str">
        <f t="shared" si="607"/>
        <v>Public Health Wales Trust</v>
      </c>
      <c r="B1075" s="1583"/>
      <c r="C1075" s="1510"/>
      <c r="D1075" s="1514"/>
      <c r="E1075" s="1595"/>
      <c r="F1075" s="1436"/>
      <c r="G1075" s="1547">
        <f t="shared" si="608"/>
        <v>0</v>
      </c>
      <c r="H1075" s="1484"/>
      <c r="I1075" s="1547">
        <f t="shared" si="609"/>
        <v>0</v>
      </c>
      <c r="J1075" s="1516"/>
      <c r="K1075" s="1516"/>
      <c r="L1075" s="1436"/>
      <c r="M1075" s="1439"/>
      <c r="N1075" s="1439"/>
      <c r="O1075" s="1485"/>
      <c r="P1075" s="1486"/>
      <c r="Q1075" s="1486"/>
      <c r="R1075" s="1487"/>
      <c r="S1075" s="1444"/>
      <c r="T1075" s="1444"/>
      <c r="U1075" s="1444"/>
      <c r="V1075" s="1488"/>
      <c r="W1075" s="1488"/>
      <c r="X1075" s="1488"/>
      <c r="Y1075" s="1488"/>
      <c r="Z1075" s="1488"/>
      <c r="AA1075" s="1488"/>
      <c r="AB1075" s="1488"/>
      <c r="AC1075" s="1488"/>
      <c r="AD1075" s="1488"/>
      <c r="AE1075" s="1488"/>
      <c r="AF1075" s="1488"/>
      <c r="AG1075" s="1488"/>
      <c r="AH1075" s="1451">
        <f t="shared" si="581"/>
        <v>0</v>
      </c>
      <c r="AI1075" s="1488"/>
      <c r="AJ1075" s="1488"/>
      <c r="AK1075" s="1488"/>
      <c r="AL1075" s="1488"/>
      <c r="AM1075" s="1488"/>
      <c r="AN1075" s="1488"/>
      <c r="AO1075" s="1488"/>
      <c r="AP1075" s="1488"/>
      <c r="AQ1075" s="1488"/>
      <c r="AR1075" s="1488"/>
      <c r="AS1075" s="1488"/>
      <c r="AT1075" s="1542"/>
      <c r="AU1075" s="1599">
        <f t="shared" si="582"/>
        <v>0</v>
      </c>
      <c r="AV1075" s="1544">
        <f t="shared" si="610"/>
        <v>0</v>
      </c>
      <c r="AW1075" s="1452">
        <f t="shared" si="583"/>
        <v>0</v>
      </c>
      <c r="AX1075" s="1452">
        <f t="shared" si="584"/>
        <v>0</v>
      </c>
      <c r="AY1075" s="1452">
        <f t="shared" si="585"/>
        <v>0</v>
      </c>
      <c r="AZ1075" s="1452">
        <f t="shared" si="586"/>
        <v>0</v>
      </c>
      <c r="BA1075" s="1452">
        <f t="shared" si="587"/>
        <v>0</v>
      </c>
      <c r="BB1075" s="1452">
        <f t="shared" si="588"/>
        <v>0</v>
      </c>
      <c r="BC1075" s="1452">
        <f t="shared" si="589"/>
        <v>0</v>
      </c>
      <c r="BD1075" s="1452">
        <f t="shared" si="590"/>
        <v>0</v>
      </c>
      <c r="BE1075" s="1452">
        <f t="shared" si="591"/>
        <v>0</v>
      </c>
      <c r="BF1075" s="1452">
        <f t="shared" si="592"/>
        <v>0</v>
      </c>
      <c r="BG1075" s="1452">
        <f t="shared" si="593"/>
        <v>0</v>
      </c>
      <c r="BH1075" s="1452">
        <f t="shared" si="594"/>
        <v>0</v>
      </c>
      <c r="BI1075" s="1452">
        <f t="shared" si="611"/>
        <v>0</v>
      </c>
      <c r="BJ1075" s="1452" t="str">
        <f t="shared" si="595"/>
        <v/>
      </c>
      <c r="BK1075" s="1452" t="str">
        <f t="shared" si="596"/>
        <v/>
      </c>
      <c r="BL1075" s="1452" t="str">
        <f t="shared" si="597"/>
        <v/>
      </c>
      <c r="BM1075" s="1452" t="str">
        <f t="shared" si="598"/>
        <v/>
      </c>
      <c r="BN1075" s="1452" t="str">
        <f t="shared" ca="1" si="599"/>
        <v/>
      </c>
      <c r="BO1075" s="1452" t="str">
        <f t="shared" si="612"/>
        <v/>
      </c>
      <c r="BP1075" s="1452" t="str">
        <f t="shared" si="600"/>
        <v/>
      </c>
      <c r="BQ1075" s="1452" t="str">
        <f t="shared" si="601"/>
        <v/>
      </c>
      <c r="BR1075" s="1452" t="str">
        <f t="shared" si="602"/>
        <v/>
      </c>
      <c r="BS1075" s="1452" t="str">
        <f t="shared" si="603"/>
        <v/>
      </c>
      <c r="BT1075" s="1452" t="str">
        <f t="shared" si="604"/>
        <v/>
      </c>
      <c r="BU1075" s="1452" t="str">
        <f t="shared" si="605"/>
        <v/>
      </c>
      <c r="BV1075" s="1452" t="str">
        <f t="shared" si="606"/>
        <v/>
      </c>
      <c r="BW1075" s="1558">
        <f t="shared" ca="1" si="613"/>
        <v>0</v>
      </c>
    </row>
    <row r="1076" spans="1:75" s="9" customFormat="1" ht="12.5">
      <c r="A1076" s="1483" t="str">
        <f t="shared" si="607"/>
        <v>Public Health Wales Trust</v>
      </c>
      <c r="B1076" s="1583"/>
      <c r="C1076" s="1510"/>
      <c r="D1076" s="1514"/>
      <c r="E1076" s="1595"/>
      <c r="F1076" s="1436"/>
      <c r="G1076" s="1547">
        <f t="shared" si="608"/>
        <v>0</v>
      </c>
      <c r="H1076" s="1484"/>
      <c r="I1076" s="1547">
        <f t="shared" si="609"/>
        <v>0</v>
      </c>
      <c r="J1076" s="1516"/>
      <c r="K1076" s="1516"/>
      <c r="L1076" s="1436"/>
      <c r="M1076" s="1439"/>
      <c r="N1076" s="1439"/>
      <c r="O1076" s="1485"/>
      <c r="P1076" s="1486"/>
      <c r="Q1076" s="1486"/>
      <c r="R1076" s="1487"/>
      <c r="S1076" s="1444"/>
      <c r="T1076" s="1444"/>
      <c r="U1076" s="1444"/>
      <c r="V1076" s="1488"/>
      <c r="W1076" s="1488"/>
      <c r="X1076" s="1488"/>
      <c r="Y1076" s="1488"/>
      <c r="Z1076" s="1488"/>
      <c r="AA1076" s="1488"/>
      <c r="AB1076" s="1488"/>
      <c r="AC1076" s="1488"/>
      <c r="AD1076" s="1488"/>
      <c r="AE1076" s="1488"/>
      <c r="AF1076" s="1488"/>
      <c r="AG1076" s="1488"/>
      <c r="AH1076" s="1451">
        <f t="shared" si="581"/>
        <v>0</v>
      </c>
      <c r="AI1076" s="1488"/>
      <c r="AJ1076" s="1488"/>
      <c r="AK1076" s="1488"/>
      <c r="AL1076" s="1488"/>
      <c r="AM1076" s="1488"/>
      <c r="AN1076" s="1488"/>
      <c r="AO1076" s="1488"/>
      <c r="AP1076" s="1488"/>
      <c r="AQ1076" s="1488"/>
      <c r="AR1076" s="1488"/>
      <c r="AS1076" s="1488"/>
      <c r="AT1076" s="1542"/>
      <c r="AU1076" s="1599">
        <f t="shared" si="582"/>
        <v>0</v>
      </c>
      <c r="AV1076" s="1544">
        <f t="shared" si="610"/>
        <v>0</v>
      </c>
      <c r="AW1076" s="1452">
        <f t="shared" si="583"/>
        <v>0</v>
      </c>
      <c r="AX1076" s="1452">
        <f t="shared" si="584"/>
        <v>0</v>
      </c>
      <c r="AY1076" s="1452">
        <f t="shared" si="585"/>
        <v>0</v>
      </c>
      <c r="AZ1076" s="1452">
        <f t="shared" si="586"/>
        <v>0</v>
      </c>
      <c r="BA1076" s="1452">
        <f t="shared" si="587"/>
        <v>0</v>
      </c>
      <c r="BB1076" s="1452">
        <f t="shared" si="588"/>
        <v>0</v>
      </c>
      <c r="BC1076" s="1452">
        <f t="shared" si="589"/>
        <v>0</v>
      </c>
      <c r="BD1076" s="1452">
        <f t="shared" si="590"/>
        <v>0</v>
      </c>
      <c r="BE1076" s="1452">
        <f t="shared" si="591"/>
        <v>0</v>
      </c>
      <c r="BF1076" s="1452">
        <f t="shared" si="592"/>
        <v>0</v>
      </c>
      <c r="BG1076" s="1452">
        <f t="shared" si="593"/>
        <v>0</v>
      </c>
      <c r="BH1076" s="1452">
        <f t="shared" si="594"/>
        <v>0</v>
      </c>
      <c r="BI1076" s="1452">
        <f t="shared" si="611"/>
        <v>0</v>
      </c>
      <c r="BJ1076" s="1452" t="str">
        <f t="shared" si="595"/>
        <v/>
      </c>
      <c r="BK1076" s="1452" t="str">
        <f t="shared" si="596"/>
        <v/>
      </c>
      <c r="BL1076" s="1452" t="str">
        <f t="shared" si="597"/>
        <v/>
      </c>
      <c r="BM1076" s="1452" t="str">
        <f t="shared" si="598"/>
        <v/>
      </c>
      <c r="BN1076" s="1452" t="str">
        <f t="shared" ca="1" si="599"/>
        <v/>
      </c>
      <c r="BO1076" s="1452" t="str">
        <f t="shared" si="612"/>
        <v/>
      </c>
      <c r="BP1076" s="1452" t="str">
        <f t="shared" si="600"/>
        <v/>
      </c>
      <c r="BQ1076" s="1452" t="str">
        <f t="shared" si="601"/>
        <v/>
      </c>
      <c r="BR1076" s="1452" t="str">
        <f t="shared" si="602"/>
        <v/>
      </c>
      <c r="BS1076" s="1452" t="str">
        <f t="shared" si="603"/>
        <v/>
      </c>
      <c r="BT1076" s="1452" t="str">
        <f t="shared" si="604"/>
        <v/>
      </c>
      <c r="BU1076" s="1452" t="str">
        <f t="shared" si="605"/>
        <v/>
      </c>
      <c r="BV1076" s="1452" t="str">
        <f t="shared" si="606"/>
        <v/>
      </c>
      <c r="BW1076" s="1558">
        <f t="shared" ca="1" si="613"/>
        <v>0</v>
      </c>
    </row>
    <row r="1077" spans="1:75" s="9" customFormat="1" ht="12.5">
      <c r="A1077" s="1483" t="str">
        <f t="shared" si="607"/>
        <v>Public Health Wales Trust</v>
      </c>
      <c r="B1077" s="1583"/>
      <c r="C1077" s="1510"/>
      <c r="D1077" s="1514"/>
      <c r="E1077" s="1595"/>
      <c r="F1077" s="1436"/>
      <c r="G1077" s="1547">
        <f t="shared" si="608"/>
        <v>0</v>
      </c>
      <c r="H1077" s="1484"/>
      <c r="I1077" s="1547">
        <f t="shared" si="609"/>
        <v>0</v>
      </c>
      <c r="J1077" s="1516"/>
      <c r="K1077" s="1516"/>
      <c r="L1077" s="1436"/>
      <c r="M1077" s="1439"/>
      <c r="N1077" s="1439"/>
      <c r="O1077" s="1485"/>
      <c r="P1077" s="1486"/>
      <c r="Q1077" s="1486"/>
      <c r="R1077" s="1487"/>
      <c r="S1077" s="1444"/>
      <c r="T1077" s="1444"/>
      <c r="U1077" s="1444"/>
      <c r="V1077" s="1488"/>
      <c r="W1077" s="1488"/>
      <c r="X1077" s="1488"/>
      <c r="Y1077" s="1488"/>
      <c r="Z1077" s="1488"/>
      <c r="AA1077" s="1488"/>
      <c r="AB1077" s="1488"/>
      <c r="AC1077" s="1488"/>
      <c r="AD1077" s="1488"/>
      <c r="AE1077" s="1488"/>
      <c r="AF1077" s="1488"/>
      <c r="AG1077" s="1488"/>
      <c r="AH1077" s="1451">
        <f t="shared" si="581"/>
        <v>0</v>
      </c>
      <c r="AI1077" s="1488"/>
      <c r="AJ1077" s="1488"/>
      <c r="AK1077" s="1488"/>
      <c r="AL1077" s="1488"/>
      <c r="AM1077" s="1488"/>
      <c r="AN1077" s="1488"/>
      <c r="AO1077" s="1488"/>
      <c r="AP1077" s="1488"/>
      <c r="AQ1077" s="1488"/>
      <c r="AR1077" s="1488"/>
      <c r="AS1077" s="1488"/>
      <c r="AT1077" s="1542"/>
      <c r="AU1077" s="1599">
        <f t="shared" si="582"/>
        <v>0</v>
      </c>
      <c r="AV1077" s="1544">
        <f t="shared" si="610"/>
        <v>0</v>
      </c>
      <c r="AW1077" s="1452">
        <f t="shared" si="583"/>
        <v>0</v>
      </c>
      <c r="AX1077" s="1452">
        <f t="shared" si="584"/>
        <v>0</v>
      </c>
      <c r="AY1077" s="1452">
        <f t="shared" si="585"/>
        <v>0</v>
      </c>
      <c r="AZ1077" s="1452">
        <f t="shared" si="586"/>
        <v>0</v>
      </c>
      <c r="BA1077" s="1452">
        <f t="shared" si="587"/>
        <v>0</v>
      </c>
      <c r="BB1077" s="1452">
        <f t="shared" si="588"/>
        <v>0</v>
      </c>
      <c r="BC1077" s="1452">
        <f t="shared" si="589"/>
        <v>0</v>
      </c>
      <c r="BD1077" s="1452">
        <f t="shared" si="590"/>
        <v>0</v>
      </c>
      <c r="BE1077" s="1452">
        <f t="shared" si="591"/>
        <v>0</v>
      </c>
      <c r="BF1077" s="1452">
        <f t="shared" si="592"/>
        <v>0</v>
      </c>
      <c r="BG1077" s="1452">
        <f t="shared" si="593"/>
        <v>0</v>
      </c>
      <c r="BH1077" s="1452">
        <f t="shared" si="594"/>
        <v>0</v>
      </c>
      <c r="BI1077" s="1452">
        <f t="shared" si="611"/>
        <v>0</v>
      </c>
      <c r="BJ1077" s="1452" t="str">
        <f t="shared" si="595"/>
        <v/>
      </c>
      <c r="BK1077" s="1452" t="str">
        <f t="shared" si="596"/>
        <v/>
      </c>
      <c r="BL1077" s="1452" t="str">
        <f t="shared" si="597"/>
        <v/>
      </c>
      <c r="BM1077" s="1452" t="str">
        <f t="shared" si="598"/>
        <v/>
      </c>
      <c r="BN1077" s="1452" t="str">
        <f t="shared" ca="1" si="599"/>
        <v/>
      </c>
      <c r="BO1077" s="1452" t="str">
        <f t="shared" si="612"/>
        <v/>
      </c>
      <c r="BP1077" s="1452" t="str">
        <f t="shared" si="600"/>
        <v/>
      </c>
      <c r="BQ1077" s="1452" t="str">
        <f t="shared" si="601"/>
        <v/>
      </c>
      <c r="BR1077" s="1452" t="str">
        <f t="shared" si="602"/>
        <v/>
      </c>
      <c r="BS1077" s="1452" t="str">
        <f t="shared" si="603"/>
        <v/>
      </c>
      <c r="BT1077" s="1452" t="str">
        <f t="shared" si="604"/>
        <v/>
      </c>
      <c r="BU1077" s="1452" t="str">
        <f t="shared" si="605"/>
        <v/>
      </c>
      <c r="BV1077" s="1452" t="str">
        <f t="shared" si="606"/>
        <v/>
      </c>
      <c r="BW1077" s="1558">
        <f t="shared" ca="1" si="613"/>
        <v>0</v>
      </c>
    </row>
    <row r="1078" spans="1:75" s="9" customFormat="1" ht="12.5">
      <c r="A1078" s="1483" t="str">
        <f t="shared" si="607"/>
        <v>Public Health Wales Trust</v>
      </c>
      <c r="B1078" s="1583"/>
      <c r="C1078" s="1510"/>
      <c r="D1078" s="1514"/>
      <c r="E1078" s="1595"/>
      <c r="F1078" s="1436"/>
      <c r="G1078" s="1547">
        <f t="shared" si="608"/>
        <v>0</v>
      </c>
      <c r="H1078" s="1484"/>
      <c r="I1078" s="1547">
        <f t="shared" si="609"/>
        <v>0</v>
      </c>
      <c r="J1078" s="1516"/>
      <c r="K1078" s="1516"/>
      <c r="L1078" s="1436"/>
      <c r="M1078" s="1439"/>
      <c r="N1078" s="1439"/>
      <c r="O1078" s="1485"/>
      <c r="P1078" s="1486"/>
      <c r="Q1078" s="1486"/>
      <c r="R1078" s="1487"/>
      <c r="S1078" s="1444"/>
      <c r="T1078" s="1444"/>
      <c r="U1078" s="1444"/>
      <c r="V1078" s="1488"/>
      <c r="W1078" s="1488"/>
      <c r="X1078" s="1488"/>
      <c r="Y1078" s="1488"/>
      <c r="Z1078" s="1488"/>
      <c r="AA1078" s="1488"/>
      <c r="AB1078" s="1488"/>
      <c r="AC1078" s="1488"/>
      <c r="AD1078" s="1488"/>
      <c r="AE1078" s="1488"/>
      <c r="AF1078" s="1488"/>
      <c r="AG1078" s="1488"/>
      <c r="AH1078" s="1451">
        <f t="shared" si="581"/>
        <v>0</v>
      </c>
      <c r="AI1078" s="1488"/>
      <c r="AJ1078" s="1488"/>
      <c r="AK1078" s="1488"/>
      <c r="AL1078" s="1488"/>
      <c r="AM1078" s="1488"/>
      <c r="AN1078" s="1488"/>
      <c r="AO1078" s="1488"/>
      <c r="AP1078" s="1488"/>
      <c r="AQ1078" s="1488"/>
      <c r="AR1078" s="1488"/>
      <c r="AS1078" s="1488"/>
      <c r="AT1078" s="1542"/>
      <c r="AU1078" s="1599">
        <f t="shared" si="582"/>
        <v>0</v>
      </c>
      <c r="AV1078" s="1544">
        <f t="shared" si="610"/>
        <v>0</v>
      </c>
      <c r="AW1078" s="1452">
        <f t="shared" si="583"/>
        <v>0</v>
      </c>
      <c r="AX1078" s="1452">
        <f t="shared" si="584"/>
        <v>0</v>
      </c>
      <c r="AY1078" s="1452">
        <f t="shared" si="585"/>
        <v>0</v>
      </c>
      <c r="AZ1078" s="1452">
        <f t="shared" si="586"/>
        <v>0</v>
      </c>
      <c r="BA1078" s="1452">
        <f t="shared" si="587"/>
        <v>0</v>
      </c>
      <c r="BB1078" s="1452">
        <f t="shared" si="588"/>
        <v>0</v>
      </c>
      <c r="BC1078" s="1452">
        <f t="shared" si="589"/>
        <v>0</v>
      </c>
      <c r="BD1078" s="1452">
        <f t="shared" si="590"/>
        <v>0</v>
      </c>
      <c r="BE1078" s="1452">
        <f t="shared" si="591"/>
        <v>0</v>
      </c>
      <c r="BF1078" s="1452">
        <f t="shared" si="592"/>
        <v>0</v>
      </c>
      <c r="BG1078" s="1452">
        <f t="shared" si="593"/>
        <v>0</v>
      </c>
      <c r="BH1078" s="1452">
        <f t="shared" si="594"/>
        <v>0</v>
      </c>
      <c r="BI1078" s="1452">
        <f t="shared" si="611"/>
        <v>0</v>
      </c>
      <c r="BJ1078" s="1452" t="str">
        <f t="shared" si="595"/>
        <v/>
      </c>
      <c r="BK1078" s="1452" t="str">
        <f t="shared" si="596"/>
        <v/>
      </c>
      <c r="BL1078" s="1452" t="str">
        <f t="shared" si="597"/>
        <v/>
      </c>
      <c r="BM1078" s="1452" t="str">
        <f t="shared" si="598"/>
        <v/>
      </c>
      <c r="BN1078" s="1452" t="str">
        <f t="shared" ca="1" si="599"/>
        <v/>
      </c>
      <c r="BO1078" s="1452" t="str">
        <f t="shared" si="612"/>
        <v/>
      </c>
      <c r="BP1078" s="1452" t="str">
        <f t="shared" si="600"/>
        <v/>
      </c>
      <c r="BQ1078" s="1452" t="str">
        <f t="shared" si="601"/>
        <v/>
      </c>
      <c r="BR1078" s="1452" t="str">
        <f t="shared" si="602"/>
        <v/>
      </c>
      <c r="BS1078" s="1452" t="str">
        <f t="shared" si="603"/>
        <v/>
      </c>
      <c r="BT1078" s="1452" t="str">
        <f t="shared" si="604"/>
        <v/>
      </c>
      <c r="BU1078" s="1452" t="str">
        <f t="shared" si="605"/>
        <v/>
      </c>
      <c r="BV1078" s="1452" t="str">
        <f t="shared" si="606"/>
        <v/>
      </c>
      <c r="BW1078" s="1558">
        <f t="shared" ca="1" si="613"/>
        <v>0</v>
      </c>
    </row>
    <row r="1079" spans="1:75" s="9" customFormat="1" ht="12.5">
      <c r="A1079" s="1483" t="str">
        <f t="shared" si="607"/>
        <v>Public Health Wales Trust</v>
      </c>
      <c r="B1079" s="1583"/>
      <c r="C1079" s="1510"/>
      <c r="D1079" s="1514"/>
      <c r="E1079" s="1595"/>
      <c r="F1079" s="1436"/>
      <c r="G1079" s="1547">
        <f t="shared" si="608"/>
        <v>0</v>
      </c>
      <c r="H1079" s="1484"/>
      <c r="I1079" s="1547">
        <f t="shared" si="609"/>
        <v>0</v>
      </c>
      <c r="J1079" s="1517"/>
      <c r="K1079" s="1517"/>
      <c r="L1079" s="1436"/>
      <c r="M1079" s="1439"/>
      <c r="N1079" s="1439"/>
      <c r="O1079" s="1485"/>
      <c r="P1079" s="1486"/>
      <c r="Q1079" s="1486"/>
      <c r="R1079" s="1487"/>
      <c r="S1079" s="1444"/>
      <c r="T1079" s="1444"/>
      <c r="U1079" s="1444"/>
      <c r="V1079" s="1488"/>
      <c r="W1079" s="1488"/>
      <c r="X1079" s="1488"/>
      <c r="Y1079" s="1488"/>
      <c r="Z1079" s="1488"/>
      <c r="AA1079" s="1488"/>
      <c r="AB1079" s="1488"/>
      <c r="AC1079" s="1488"/>
      <c r="AD1079" s="1488"/>
      <c r="AE1079" s="1488"/>
      <c r="AF1079" s="1488"/>
      <c r="AG1079" s="1488"/>
      <c r="AH1079" s="1451">
        <f t="shared" si="581"/>
        <v>0</v>
      </c>
      <c r="AI1079" s="1488"/>
      <c r="AJ1079" s="1488"/>
      <c r="AK1079" s="1488"/>
      <c r="AL1079" s="1488"/>
      <c r="AM1079" s="1488"/>
      <c r="AN1079" s="1488"/>
      <c r="AO1079" s="1488"/>
      <c r="AP1079" s="1488"/>
      <c r="AQ1079" s="1488"/>
      <c r="AR1079" s="1488"/>
      <c r="AS1079" s="1488"/>
      <c r="AT1079" s="1542"/>
      <c r="AU1079" s="1599">
        <f t="shared" si="582"/>
        <v>0</v>
      </c>
      <c r="AV1079" s="1544">
        <f t="shared" si="610"/>
        <v>0</v>
      </c>
      <c r="AW1079" s="1452">
        <f t="shared" si="583"/>
        <v>0</v>
      </c>
      <c r="AX1079" s="1452">
        <f t="shared" si="584"/>
        <v>0</v>
      </c>
      <c r="AY1079" s="1452">
        <f t="shared" si="585"/>
        <v>0</v>
      </c>
      <c r="AZ1079" s="1452">
        <f t="shared" si="586"/>
        <v>0</v>
      </c>
      <c r="BA1079" s="1452">
        <f t="shared" si="587"/>
        <v>0</v>
      </c>
      <c r="BB1079" s="1452">
        <f t="shared" si="588"/>
        <v>0</v>
      </c>
      <c r="BC1079" s="1452">
        <f t="shared" si="589"/>
        <v>0</v>
      </c>
      <c r="BD1079" s="1452">
        <f t="shared" si="590"/>
        <v>0</v>
      </c>
      <c r="BE1079" s="1452">
        <f t="shared" si="591"/>
        <v>0</v>
      </c>
      <c r="BF1079" s="1452">
        <f t="shared" si="592"/>
        <v>0</v>
      </c>
      <c r="BG1079" s="1452">
        <f t="shared" si="593"/>
        <v>0</v>
      </c>
      <c r="BH1079" s="1452">
        <f t="shared" si="594"/>
        <v>0</v>
      </c>
      <c r="BI1079" s="1452">
        <f t="shared" si="611"/>
        <v>0</v>
      </c>
      <c r="BJ1079" s="1452" t="str">
        <f t="shared" si="595"/>
        <v/>
      </c>
      <c r="BK1079" s="1452" t="str">
        <f t="shared" si="596"/>
        <v/>
      </c>
      <c r="BL1079" s="1452" t="str">
        <f t="shared" si="597"/>
        <v/>
      </c>
      <c r="BM1079" s="1452" t="str">
        <f t="shared" si="598"/>
        <v/>
      </c>
      <c r="BN1079" s="1452" t="str">
        <f t="shared" ca="1" si="599"/>
        <v/>
      </c>
      <c r="BO1079" s="1452" t="str">
        <f t="shared" si="612"/>
        <v/>
      </c>
      <c r="BP1079" s="1452" t="str">
        <f t="shared" si="600"/>
        <v/>
      </c>
      <c r="BQ1079" s="1452" t="str">
        <f t="shared" si="601"/>
        <v/>
      </c>
      <c r="BR1079" s="1452" t="str">
        <f t="shared" si="602"/>
        <v/>
      </c>
      <c r="BS1079" s="1452" t="str">
        <f t="shared" si="603"/>
        <v/>
      </c>
      <c r="BT1079" s="1452" t="str">
        <f t="shared" si="604"/>
        <v/>
      </c>
      <c r="BU1079" s="1452" t="str">
        <f t="shared" si="605"/>
        <v/>
      </c>
      <c r="BV1079" s="1452" t="str">
        <f t="shared" si="606"/>
        <v/>
      </c>
      <c r="BW1079" s="1558">
        <f t="shared" ca="1" si="613"/>
        <v>0</v>
      </c>
    </row>
    <row r="1080" spans="1:75" s="9" customFormat="1" ht="12.5">
      <c r="A1080" s="1483" t="str">
        <f t="shared" si="607"/>
        <v>Public Health Wales Trust</v>
      </c>
      <c r="B1080" s="1583"/>
      <c r="C1080" s="1510"/>
      <c r="D1080" s="1514"/>
      <c r="E1080" s="1595"/>
      <c r="F1080" s="1436"/>
      <c r="G1080" s="1547">
        <f t="shared" si="608"/>
        <v>0</v>
      </c>
      <c r="H1080" s="1484"/>
      <c r="I1080" s="1547">
        <f t="shared" si="609"/>
        <v>0</v>
      </c>
      <c r="J1080" s="1517"/>
      <c r="K1080" s="1517"/>
      <c r="L1080" s="1436"/>
      <c r="M1080" s="1439"/>
      <c r="N1080" s="1439"/>
      <c r="O1080" s="1485"/>
      <c r="P1080" s="1486"/>
      <c r="Q1080" s="1486"/>
      <c r="R1080" s="1487"/>
      <c r="S1080" s="1444"/>
      <c r="T1080" s="1444"/>
      <c r="U1080" s="1444"/>
      <c r="V1080" s="1488"/>
      <c r="W1080" s="1488"/>
      <c r="X1080" s="1488"/>
      <c r="Y1080" s="1488"/>
      <c r="Z1080" s="1488"/>
      <c r="AA1080" s="1488"/>
      <c r="AB1080" s="1488"/>
      <c r="AC1080" s="1488"/>
      <c r="AD1080" s="1488"/>
      <c r="AE1080" s="1488"/>
      <c r="AF1080" s="1488"/>
      <c r="AG1080" s="1488"/>
      <c r="AH1080" s="1451">
        <f t="shared" si="581"/>
        <v>0</v>
      </c>
      <c r="AI1080" s="1488"/>
      <c r="AJ1080" s="1488"/>
      <c r="AK1080" s="1488"/>
      <c r="AL1080" s="1488"/>
      <c r="AM1080" s="1488"/>
      <c r="AN1080" s="1488"/>
      <c r="AO1080" s="1488"/>
      <c r="AP1080" s="1488"/>
      <c r="AQ1080" s="1488"/>
      <c r="AR1080" s="1488"/>
      <c r="AS1080" s="1488"/>
      <c r="AT1080" s="1542"/>
      <c r="AU1080" s="1599">
        <f t="shared" si="582"/>
        <v>0</v>
      </c>
      <c r="AV1080" s="1544">
        <f t="shared" si="610"/>
        <v>0</v>
      </c>
      <c r="AW1080" s="1452">
        <f t="shared" si="583"/>
        <v>0</v>
      </c>
      <c r="AX1080" s="1452">
        <f t="shared" si="584"/>
        <v>0</v>
      </c>
      <c r="AY1080" s="1452">
        <f t="shared" si="585"/>
        <v>0</v>
      </c>
      <c r="AZ1080" s="1452">
        <f t="shared" si="586"/>
        <v>0</v>
      </c>
      <c r="BA1080" s="1452">
        <f t="shared" si="587"/>
        <v>0</v>
      </c>
      <c r="BB1080" s="1452">
        <f t="shared" si="588"/>
        <v>0</v>
      </c>
      <c r="BC1080" s="1452">
        <f t="shared" si="589"/>
        <v>0</v>
      </c>
      <c r="BD1080" s="1452">
        <f t="shared" si="590"/>
        <v>0</v>
      </c>
      <c r="BE1080" s="1452">
        <f t="shared" si="591"/>
        <v>0</v>
      </c>
      <c r="BF1080" s="1452">
        <f t="shared" si="592"/>
        <v>0</v>
      </c>
      <c r="BG1080" s="1452">
        <f t="shared" si="593"/>
        <v>0</v>
      </c>
      <c r="BH1080" s="1452">
        <f t="shared" si="594"/>
        <v>0</v>
      </c>
      <c r="BI1080" s="1452">
        <f t="shared" si="611"/>
        <v>0</v>
      </c>
      <c r="BJ1080" s="1452" t="str">
        <f t="shared" si="595"/>
        <v/>
      </c>
      <c r="BK1080" s="1452" t="str">
        <f t="shared" si="596"/>
        <v/>
      </c>
      <c r="BL1080" s="1452" t="str">
        <f t="shared" si="597"/>
        <v/>
      </c>
      <c r="BM1080" s="1452" t="str">
        <f t="shared" si="598"/>
        <v/>
      </c>
      <c r="BN1080" s="1452" t="str">
        <f t="shared" ca="1" si="599"/>
        <v/>
      </c>
      <c r="BO1080" s="1452" t="str">
        <f t="shared" si="612"/>
        <v/>
      </c>
      <c r="BP1080" s="1452" t="str">
        <f t="shared" si="600"/>
        <v/>
      </c>
      <c r="BQ1080" s="1452" t="str">
        <f t="shared" si="601"/>
        <v/>
      </c>
      <c r="BR1080" s="1452" t="str">
        <f t="shared" si="602"/>
        <v/>
      </c>
      <c r="BS1080" s="1452" t="str">
        <f t="shared" si="603"/>
        <v/>
      </c>
      <c r="BT1080" s="1452" t="str">
        <f t="shared" si="604"/>
        <v/>
      </c>
      <c r="BU1080" s="1452" t="str">
        <f t="shared" si="605"/>
        <v/>
      </c>
      <c r="BV1080" s="1452" t="str">
        <f t="shared" si="606"/>
        <v/>
      </c>
      <c r="BW1080" s="1558">
        <f t="shared" ca="1" si="613"/>
        <v>0</v>
      </c>
    </row>
    <row r="1081" spans="1:75" s="9" customFormat="1" ht="12.5">
      <c r="A1081" s="1483" t="str">
        <f t="shared" si="607"/>
        <v>Public Health Wales Trust</v>
      </c>
      <c r="B1081" s="1583"/>
      <c r="C1081" s="1510"/>
      <c r="D1081" s="1514"/>
      <c r="E1081" s="1595"/>
      <c r="F1081" s="1436"/>
      <c r="G1081" s="1547">
        <f t="shared" si="608"/>
        <v>0</v>
      </c>
      <c r="H1081" s="1484"/>
      <c r="I1081" s="1547">
        <f t="shared" si="609"/>
        <v>0</v>
      </c>
      <c r="J1081" s="1517"/>
      <c r="K1081" s="1517"/>
      <c r="L1081" s="1436"/>
      <c r="M1081" s="1439"/>
      <c r="N1081" s="1439"/>
      <c r="O1081" s="1485"/>
      <c r="P1081" s="1486"/>
      <c r="Q1081" s="1486"/>
      <c r="R1081" s="1487"/>
      <c r="S1081" s="1444"/>
      <c r="T1081" s="1444"/>
      <c r="U1081" s="1444"/>
      <c r="V1081" s="1488"/>
      <c r="W1081" s="1488"/>
      <c r="X1081" s="1488"/>
      <c r="Y1081" s="1488"/>
      <c r="Z1081" s="1488"/>
      <c r="AA1081" s="1488"/>
      <c r="AB1081" s="1488"/>
      <c r="AC1081" s="1488"/>
      <c r="AD1081" s="1488"/>
      <c r="AE1081" s="1488"/>
      <c r="AF1081" s="1488"/>
      <c r="AG1081" s="1488"/>
      <c r="AH1081" s="1451">
        <f t="shared" si="581"/>
        <v>0</v>
      </c>
      <c r="AI1081" s="1488"/>
      <c r="AJ1081" s="1488"/>
      <c r="AK1081" s="1488"/>
      <c r="AL1081" s="1488"/>
      <c r="AM1081" s="1488"/>
      <c r="AN1081" s="1488"/>
      <c r="AO1081" s="1488"/>
      <c r="AP1081" s="1488"/>
      <c r="AQ1081" s="1488"/>
      <c r="AR1081" s="1488"/>
      <c r="AS1081" s="1488"/>
      <c r="AT1081" s="1542"/>
      <c r="AU1081" s="1599">
        <f t="shared" si="582"/>
        <v>0</v>
      </c>
      <c r="AV1081" s="1544">
        <f t="shared" si="610"/>
        <v>0</v>
      </c>
      <c r="AW1081" s="1452">
        <f t="shared" si="583"/>
        <v>0</v>
      </c>
      <c r="AX1081" s="1452">
        <f t="shared" si="584"/>
        <v>0</v>
      </c>
      <c r="AY1081" s="1452">
        <f t="shared" si="585"/>
        <v>0</v>
      </c>
      <c r="AZ1081" s="1452">
        <f t="shared" si="586"/>
        <v>0</v>
      </c>
      <c r="BA1081" s="1452">
        <f t="shared" si="587"/>
        <v>0</v>
      </c>
      <c r="BB1081" s="1452">
        <f t="shared" si="588"/>
        <v>0</v>
      </c>
      <c r="BC1081" s="1452">
        <f t="shared" si="589"/>
        <v>0</v>
      </c>
      <c r="BD1081" s="1452">
        <f t="shared" si="590"/>
        <v>0</v>
      </c>
      <c r="BE1081" s="1452">
        <f t="shared" si="591"/>
        <v>0</v>
      </c>
      <c r="BF1081" s="1452">
        <f t="shared" si="592"/>
        <v>0</v>
      </c>
      <c r="BG1081" s="1452">
        <f t="shared" si="593"/>
        <v>0</v>
      </c>
      <c r="BH1081" s="1452">
        <f t="shared" si="594"/>
        <v>0</v>
      </c>
      <c r="BI1081" s="1452">
        <f t="shared" si="611"/>
        <v>0</v>
      </c>
      <c r="BJ1081" s="1452" t="str">
        <f t="shared" si="595"/>
        <v/>
      </c>
      <c r="BK1081" s="1452" t="str">
        <f t="shared" si="596"/>
        <v/>
      </c>
      <c r="BL1081" s="1452" t="str">
        <f t="shared" si="597"/>
        <v/>
      </c>
      <c r="BM1081" s="1452" t="str">
        <f t="shared" si="598"/>
        <v/>
      </c>
      <c r="BN1081" s="1452" t="str">
        <f t="shared" ca="1" si="599"/>
        <v/>
      </c>
      <c r="BO1081" s="1452" t="str">
        <f t="shared" si="612"/>
        <v/>
      </c>
      <c r="BP1081" s="1452" t="str">
        <f t="shared" si="600"/>
        <v/>
      </c>
      <c r="BQ1081" s="1452" t="str">
        <f t="shared" si="601"/>
        <v/>
      </c>
      <c r="BR1081" s="1452" t="str">
        <f t="shared" si="602"/>
        <v/>
      </c>
      <c r="BS1081" s="1452" t="str">
        <f t="shared" si="603"/>
        <v/>
      </c>
      <c r="BT1081" s="1452" t="str">
        <f t="shared" si="604"/>
        <v/>
      </c>
      <c r="BU1081" s="1452" t="str">
        <f t="shared" si="605"/>
        <v/>
      </c>
      <c r="BV1081" s="1452" t="str">
        <f t="shared" si="606"/>
        <v/>
      </c>
      <c r="BW1081" s="1558">
        <f t="shared" ca="1" si="613"/>
        <v>0</v>
      </c>
    </row>
    <row r="1082" spans="1:75" s="9" customFormat="1" ht="12.5">
      <c r="A1082" s="1483" t="str">
        <f t="shared" si="607"/>
        <v>Public Health Wales Trust</v>
      </c>
      <c r="B1082" s="1583"/>
      <c r="C1082" s="1510"/>
      <c r="D1082" s="1514"/>
      <c r="E1082" s="1595"/>
      <c r="F1082" s="1436"/>
      <c r="G1082" s="1547">
        <f t="shared" si="608"/>
        <v>0</v>
      </c>
      <c r="H1082" s="1484"/>
      <c r="I1082" s="1547">
        <f t="shared" si="609"/>
        <v>0</v>
      </c>
      <c r="J1082" s="1517"/>
      <c r="K1082" s="1517"/>
      <c r="L1082" s="1436"/>
      <c r="M1082" s="1439"/>
      <c r="N1082" s="1439"/>
      <c r="O1082" s="1485"/>
      <c r="P1082" s="1486"/>
      <c r="Q1082" s="1486"/>
      <c r="R1082" s="1487"/>
      <c r="S1082" s="1444"/>
      <c r="T1082" s="1444"/>
      <c r="U1082" s="1444"/>
      <c r="V1082" s="1488"/>
      <c r="W1082" s="1488"/>
      <c r="X1082" s="1488"/>
      <c r="Y1082" s="1488"/>
      <c r="Z1082" s="1488"/>
      <c r="AA1082" s="1488"/>
      <c r="AB1082" s="1488"/>
      <c r="AC1082" s="1488"/>
      <c r="AD1082" s="1488"/>
      <c r="AE1082" s="1488"/>
      <c r="AF1082" s="1488"/>
      <c r="AG1082" s="1488"/>
      <c r="AH1082" s="1451">
        <f t="shared" si="581"/>
        <v>0</v>
      </c>
      <c r="AI1082" s="1488"/>
      <c r="AJ1082" s="1488"/>
      <c r="AK1082" s="1488"/>
      <c r="AL1082" s="1488"/>
      <c r="AM1082" s="1488"/>
      <c r="AN1082" s="1488"/>
      <c r="AO1082" s="1488"/>
      <c r="AP1082" s="1488"/>
      <c r="AQ1082" s="1488"/>
      <c r="AR1082" s="1488"/>
      <c r="AS1082" s="1488"/>
      <c r="AT1082" s="1542"/>
      <c r="AU1082" s="1599">
        <f t="shared" si="582"/>
        <v>0</v>
      </c>
      <c r="AV1082" s="1544">
        <f t="shared" si="610"/>
        <v>0</v>
      </c>
      <c r="AW1082" s="1452">
        <f t="shared" si="583"/>
        <v>0</v>
      </c>
      <c r="AX1082" s="1452">
        <f t="shared" si="584"/>
        <v>0</v>
      </c>
      <c r="AY1082" s="1452">
        <f t="shared" si="585"/>
        <v>0</v>
      </c>
      <c r="AZ1082" s="1452">
        <f t="shared" si="586"/>
        <v>0</v>
      </c>
      <c r="BA1082" s="1452">
        <f t="shared" si="587"/>
        <v>0</v>
      </c>
      <c r="BB1082" s="1452">
        <f t="shared" si="588"/>
        <v>0</v>
      </c>
      <c r="BC1082" s="1452">
        <f t="shared" si="589"/>
        <v>0</v>
      </c>
      <c r="BD1082" s="1452">
        <f t="shared" si="590"/>
        <v>0</v>
      </c>
      <c r="BE1082" s="1452">
        <f t="shared" si="591"/>
        <v>0</v>
      </c>
      <c r="BF1082" s="1452">
        <f t="shared" si="592"/>
        <v>0</v>
      </c>
      <c r="BG1082" s="1452">
        <f t="shared" si="593"/>
        <v>0</v>
      </c>
      <c r="BH1082" s="1452">
        <f t="shared" si="594"/>
        <v>0</v>
      </c>
      <c r="BI1082" s="1452">
        <f t="shared" si="611"/>
        <v>0</v>
      </c>
      <c r="BJ1082" s="1452" t="str">
        <f t="shared" si="595"/>
        <v/>
      </c>
      <c r="BK1082" s="1452" t="str">
        <f t="shared" si="596"/>
        <v/>
      </c>
      <c r="BL1082" s="1452" t="str">
        <f t="shared" si="597"/>
        <v/>
      </c>
      <c r="BM1082" s="1452" t="str">
        <f t="shared" si="598"/>
        <v/>
      </c>
      <c r="BN1082" s="1452" t="str">
        <f t="shared" ca="1" si="599"/>
        <v/>
      </c>
      <c r="BO1082" s="1452" t="str">
        <f t="shared" si="612"/>
        <v/>
      </c>
      <c r="BP1082" s="1452" t="str">
        <f t="shared" si="600"/>
        <v/>
      </c>
      <c r="BQ1082" s="1452" t="str">
        <f t="shared" si="601"/>
        <v/>
      </c>
      <c r="BR1082" s="1452" t="str">
        <f t="shared" si="602"/>
        <v/>
      </c>
      <c r="BS1082" s="1452" t="str">
        <f t="shared" si="603"/>
        <v/>
      </c>
      <c r="BT1082" s="1452" t="str">
        <f t="shared" si="604"/>
        <v/>
      </c>
      <c r="BU1082" s="1452" t="str">
        <f t="shared" si="605"/>
        <v/>
      </c>
      <c r="BV1082" s="1452" t="str">
        <f t="shared" si="606"/>
        <v/>
      </c>
      <c r="BW1082" s="1558">
        <f t="shared" ca="1" si="613"/>
        <v>0</v>
      </c>
    </row>
    <row r="1083" spans="1:75" s="9" customFormat="1" ht="12.5">
      <c r="A1083" s="1483" t="str">
        <f t="shared" si="607"/>
        <v>Public Health Wales Trust</v>
      </c>
      <c r="B1083" s="1583"/>
      <c r="C1083" s="1510"/>
      <c r="D1083" s="1514"/>
      <c r="E1083" s="1595"/>
      <c r="F1083" s="1436"/>
      <c r="G1083" s="1547">
        <f t="shared" si="608"/>
        <v>0</v>
      </c>
      <c r="H1083" s="1484"/>
      <c r="I1083" s="1547">
        <f t="shared" si="609"/>
        <v>0</v>
      </c>
      <c r="J1083" s="1517"/>
      <c r="K1083" s="1517"/>
      <c r="L1083" s="1436"/>
      <c r="M1083" s="1439"/>
      <c r="N1083" s="1439"/>
      <c r="O1083" s="1485"/>
      <c r="P1083" s="1486"/>
      <c r="Q1083" s="1486"/>
      <c r="R1083" s="1487"/>
      <c r="S1083" s="1444"/>
      <c r="T1083" s="1444"/>
      <c r="U1083" s="1444"/>
      <c r="V1083" s="1488"/>
      <c r="W1083" s="1488"/>
      <c r="X1083" s="1488"/>
      <c r="Y1083" s="1488"/>
      <c r="Z1083" s="1488"/>
      <c r="AA1083" s="1488"/>
      <c r="AB1083" s="1488"/>
      <c r="AC1083" s="1488"/>
      <c r="AD1083" s="1488"/>
      <c r="AE1083" s="1488"/>
      <c r="AF1083" s="1488"/>
      <c r="AG1083" s="1488"/>
      <c r="AH1083" s="1451">
        <f t="shared" si="581"/>
        <v>0</v>
      </c>
      <c r="AI1083" s="1488"/>
      <c r="AJ1083" s="1488"/>
      <c r="AK1083" s="1488"/>
      <c r="AL1083" s="1488"/>
      <c r="AM1083" s="1488"/>
      <c r="AN1083" s="1488"/>
      <c r="AO1083" s="1488"/>
      <c r="AP1083" s="1488"/>
      <c r="AQ1083" s="1488"/>
      <c r="AR1083" s="1488"/>
      <c r="AS1083" s="1488"/>
      <c r="AT1083" s="1542"/>
      <c r="AU1083" s="1599">
        <f t="shared" si="582"/>
        <v>0</v>
      </c>
      <c r="AV1083" s="1544">
        <f t="shared" si="610"/>
        <v>0</v>
      </c>
      <c r="AW1083" s="1452">
        <f t="shared" si="583"/>
        <v>0</v>
      </c>
      <c r="AX1083" s="1452">
        <f t="shared" si="584"/>
        <v>0</v>
      </c>
      <c r="AY1083" s="1452">
        <f t="shared" si="585"/>
        <v>0</v>
      </c>
      <c r="AZ1083" s="1452">
        <f t="shared" si="586"/>
        <v>0</v>
      </c>
      <c r="BA1083" s="1452">
        <f t="shared" si="587"/>
        <v>0</v>
      </c>
      <c r="BB1083" s="1452">
        <f t="shared" si="588"/>
        <v>0</v>
      </c>
      <c r="BC1083" s="1452">
        <f t="shared" si="589"/>
        <v>0</v>
      </c>
      <c r="BD1083" s="1452">
        <f t="shared" si="590"/>
        <v>0</v>
      </c>
      <c r="BE1083" s="1452">
        <f t="shared" si="591"/>
        <v>0</v>
      </c>
      <c r="BF1083" s="1452">
        <f t="shared" si="592"/>
        <v>0</v>
      </c>
      <c r="BG1083" s="1452">
        <f t="shared" si="593"/>
        <v>0</v>
      </c>
      <c r="BH1083" s="1452">
        <f t="shared" si="594"/>
        <v>0</v>
      </c>
      <c r="BI1083" s="1452">
        <f t="shared" si="611"/>
        <v>0</v>
      </c>
      <c r="BJ1083" s="1452" t="str">
        <f t="shared" si="595"/>
        <v/>
      </c>
      <c r="BK1083" s="1452" t="str">
        <f t="shared" si="596"/>
        <v/>
      </c>
      <c r="BL1083" s="1452" t="str">
        <f t="shared" si="597"/>
        <v/>
      </c>
      <c r="BM1083" s="1452" t="str">
        <f t="shared" si="598"/>
        <v/>
      </c>
      <c r="BN1083" s="1452" t="str">
        <f t="shared" ca="1" si="599"/>
        <v/>
      </c>
      <c r="BO1083" s="1452" t="str">
        <f t="shared" si="612"/>
        <v/>
      </c>
      <c r="BP1083" s="1452" t="str">
        <f t="shared" si="600"/>
        <v/>
      </c>
      <c r="BQ1083" s="1452" t="str">
        <f t="shared" si="601"/>
        <v/>
      </c>
      <c r="BR1083" s="1452" t="str">
        <f t="shared" si="602"/>
        <v/>
      </c>
      <c r="BS1083" s="1452" t="str">
        <f t="shared" si="603"/>
        <v/>
      </c>
      <c r="BT1083" s="1452" t="str">
        <f t="shared" si="604"/>
        <v/>
      </c>
      <c r="BU1083" s="1452" t="str">
        <f t="shared" si="605"/>
        <v/>
      </c>
      <c r="BV1083" s="1452" t="str">
        <f t="shared" si="606"/>
        <v/>
      </c>
      <c r="BW1083" s="1558">
        <f t="shared" ca="1" si="613"/>
        <v>0</v>
      </c>
    </row>
    <row r="1084" spans="1:75" s="9" customFormat="1" ht="12.5">
      <c r="A1084" s="1483" t="str">
        <f t="shared" si="607"/>
        <v>Public Health Wales Trust</v>
      </c>
      <c r="B1084" s="1583"/>
      <c r="C1084" s="1510"/>
      <c r="D1084" s="1514"/>
      <c r="E1084" s="1595"/>
      <c r="F1084" s="1436"/>
      <c r="G1084" s="1547">
        <f t="shared" si="608"/>
        <v>0</v>
      </c>
      <c r="H1084" s="1484"/>
      <c r="I1084" s="1547">
        <f t="shared" si="609"/>
        <v>0</v>
      </c>
      <c r="J1084" s="1517"/>
      <c r="K1084" s="1517"/>
      <c r="L1084" s="1436"/>
      <c r="M1084" s="1439"/>
      <c r="N1084" s="1439"/>
      <c r="O1084" s="1485"/>
      <c r="P1084" s="1486"/>
      <c r="Q1084" s="1486"/>
      <c r="R1084" s="1487"/>
      <c r="S1084" s="1444"/>
      <c r="T1084" s="1444"/>
      <c r="U1084" s="1444"/>
      <c r="V1084" s="1488"/>
      <c r="W1084" s="1488"/>
      <c r="X1084" s="1488"/>
      <c r="Y1084" s="1488"/>
      <c r="Z1084" s="1488"/>
      <c r="AA1084" s="1488"/>
      <c r="AB1084" s="1488"/>
      <c r="AC1084" s="1488"/>
      <c r="AD1084" s="1488"/>
      <c r="AE1084" s="1488"/>
      <c r="AF1084" s="1488"/>
      <c r="AG1084" s="1488"/>
      <c r="AH1084" s="1451">
        <f t="shared" si="581"/>
        <v>0</v>
      </c>
      <c r="AI1084" s="1488"/>
      <c r="AJ1084" s="1488"/>
      <c r="AK1084" s="1488"/>
      <c r="AL1084" s="1488"/>
      <c r="AM1084" s="1488"/>
      <c r="AN1084" s="1488"/>
      <c r="AO1084" s="1488"/>
      <c r="AP1084" s="1488"/>
      <c r="AQ1084" s="1488"/>
      <c r="AR1084" s="1488"/>
      <c r="AS1084" s="1488"/>
      <c r="AT1084" s="1542"/>
      <c r="AU1084" s="1599">
        <f t="shared" si="582"/>
        <v>0</v>
      </c>
      <c r="AV1084" s="1544">
        <f t="shared" si="610"/>
        <v>0</v>
      </c>
      <c r="AW1084" s="1452">
        <f t="shared" si="583"/>
        <v>0</v>
      </c>
      <c r="AX1084" s="1452">
        <f t="shared" si="584"/>
        <v>0</v>
      </c>
      <c r="AY1084" s="1452">
        <f t="shared" si="585"/>
        <v>0</v>
      </c>
      <c r="AZ1084" s="1452">
        <f t="shared" si="586"/>
        <v>0</v>
      </c>
      <c r="BA1084" s="1452">
        <f t="shared" si="587"/>
        <v>0</v>
      </c>
      <c r="BB1084" s="1452">
        <f t="shared" si="588"/>
        <v>0</v>
      </c>
      <c r="BC1084" s="1452">
        <f t="shared" si="589"/>
        <v>0</v>
      </c>
      <c r="BD1084" s="1452">
        <f t="shared" si="590"/>
        <v>0</v>
      </c>
      <c r="BE1084" s="1452">
        <f t="shared" si="591"/>
        <v>0</v>
      </c>
      <c r="BF1084" s="1452">
        <f t="shared" si="592"/>
        <v>0</v>
      </c>
      <c r="BG1084" s="1452">
        <f t="shared" si="593"/>
        <v>0</v>
      </c>
      <c r="BH1084" s="1452">
        <f t="shared" si="594"/>
        <v>0</v>
      </c>
      <c r="BI1084" s="1452">
        <f t="shared" si="611"/>
        <v>0</v>
      </c>
      <c r="BJ1084" s="1452" t="str">
        <f t="shared" si="595"/>
        <v/>
      </c>
      <c r="BK1084" s="1452" t="str">
        <f t="shared" si="596"/>
        <v/>
      </c>
      <c r="BL1084" s="1452" t="str">
        <f t="shared" si="597"/>
        <v/>
      </c>
      <c r="BM1084" s="1452" t="str">
        <f t="shared" si="598"/>
        <v/>
      </c>
      <c r="BN1084" s="1452" t="str">
        <f t="shared" ca="1" si="599"/>
        <v/>
      </c>
      <c r="BO1084" s="1452" t="str">
        <f t="shared" si="612"/>
        <v/>
      </c>
      <c r="BP1084" s="1452" t="str">
        <f t="shared" si="600"/>
        <v/>
      </c>
      <c r="BQ1084" s="1452" t="str">
        <f t="shared" si="601"/>
        <v/>
      </c>
      <c r="BR1084" s="1452" t="str">
        <f t="shared" si="602"/>
        <v/>
      </c>
      <c r="BS1084" s="1452" t="str">
        <f t="shared" si="603"/>
        <v/>
      </c>
      <c r="BT1084" s="1452" t="str">
        <f t="shared" si="604"/>
        <v/>
      </c>
      <c r="BU1084" s="1452" t="str">
        <f t="shared" si="605"/>
        <v/>
      </c>
      <c r="BV1084" s="1452" t="str">
        <f t="shared" si="606"/>
        <v/>
      </c>
      <c r="BW1084" s="1558">
        <f t="shared" ca="1" si="613"/>
        <v>0</v>
      </c>
    </row>
    <row r="1085" spans="1:75" s="9" customFormat="1" ht="12.5">
      <c r="A1085" s="1483" t="str">
        <f t="shared" si="607"/>
        <v>Public Health Wales Trust</v>
      </c>
      <c r="B1085" s="1583"/>
      <c r="C1085" s="1510"/>
      <c r="D1085" s="1514"/>
      <c r="E1085" s="1595"/>
      <c r="F1085" s="1436"/>
      <c r="G1085" s="1547">
        <f t="shared" si="608"/>
        <v>0</v>
      </c>
      <c r="H1085" s="1484"/>
      <c r="I1085" s="1547">
        <f t="shared" si="609"/>
        <v>0</v>
      </c>
      <c r="J1085" s="1517"/>
      <c r="K1085" s="1517"/>
      <c r="L1085" s="1436"/>
      <c r="M1085" s="1439"/>
      <c r="N1085" s="1439"/>
      <c r="O1085" s="1485"/>
      <c r="P1085" s="1486"/>
      <c r="Q1085" s="1486"/>
      <c r="R1085" s="1487"/>
      <c r="S1085" s="1444"/>
      <c r="T1085" s="1444"/>
      <c r="U1085" s="1444"/>
      <c r="V1085" s="1488"/>
      <c r="W1085" s="1488"/>
      <c r="X1085" s="1488"/>
      <c r="Y1085" s="1488"/>
      <c r="Z1085" s="1488"/>
      <c r="AA1085" s="1488"/>
      <c r="AB1085" s="1488"/>
      <c r="AC1085" s="1488"/>
      <c r="AD1085" s="1488"/>
      <c r="AE1085" s="1488"/>
      <c r="AF1085" s="1488"/>
      <c r="AG1085" s="1488"/>
      <c r="AH1085" s="1451">
        <f t="shared" si="581"/>
        <v>0</v>
      </c>
      <c r="AI1085" s="1488"/>
      <c r="AJ1085" s="1488"/>
      <c r="AK1085" s="1488"/>
      <c r="AL1085" s="1488"/>
      <c r="AM1085" s="1488"/>
      <c r="AN1085" s="1488"/>
      <c r="AO1085" s="1488"/>
      <c r="AP1085" s="1488"/>
      <c r="AQ1085" s="1488"/>
      <c r="AR1085" s="1488"/>
      <c r="AS1085" s="1488"/>
      <c r="AT1085" s="1542"/>
      <c r="AU1085" s="1599">
        <f t="shared" si="582"/>
        <v>0</v>
      </c>
      <c r="AV1085" s="1544">
        <f t="shared" si="610"/>
        <v>0</v>
      </c>
      <c r="AW1085" s="1452">
        <f t="shared" si="583"/>
        <v>0</v>
      </c>
      <c r="AX1085" s="1452">
        <f t="shared" si="584"/>
        <v>0</v>
      </c>
      <c r="AY1085" s="1452">
        <f t="shared" si="585"/>
        <v>0</v>
      </c>
      <c r="AZ1085" s="1452">
        <f t="shared" si="586"/>
        <v>0</v>
      </c>
      <c r="BA1085" s="1452">
        <f t="shared" si="587"/>
        <v>0</v>
      </c>
      <c r="BB1085" s="1452">
        <f t="shared" si="588"/>
        <v>0</v>
      </c>
      <c r="BC1085" s="1452">
        <f t="shared" si="589"/>
        <v>0</v>
      </c>
      <c r="BD1085" s="1452">
        <f t="shared" si="590"/>
        <v>0</v>
      </c>
      <c r="BE1085" s="1452">
        <f t="shared" si="591"/>
        <v>0</v>
      </c>
      <c r="BF1085" s="1452">
        <f t="shared" si="592"/>
        <v>0</v>
      </c>
      <c r="BG1085" s="1452">
        <f t="shared" si="593"/>
        <v>0</v>
      </c>
      <c r="BH1085" s="1452">
        <f t="shared" si="594"/>
        <v>0</v>
      </c>
      <c r="BI1085" s="1452">
        <f t="shared" si="611"/>
        <v>0</v>
      </c>
      <c r="BJ1085" s="1452" t="str">
        <f t="shared" si="595"/>
        <v/>
      </c>
      <c r="BK1085" s="1452" t="str">
        <f t="shared" si="596"/>
        <v/>
      </c>
      <c r="BL1085" s="1452" t="str">
        <f t="shared" si="597"/>
        <v/>
      </c>
      <c r="BM1085" s="1452" t="str">
        <f t="shared" si="598"/>
        <v/>
      </c>
      <c r="BN1085" s="1452" t="str">
        <f t="shared" ca="1" si="599"/>
        <v/>
      </c>
      <c r="BO1085" s="1452" t="str">
        <f t="shared" si="612"/>
        <v/>
      </c>
      <c r="BP1085" s="1452" t="str">
        <f t="shared" si="600"/>
        <v/>
      </c>
      <c r="BQ1085" s="1452" t="str">
        <f t="shared" si="601"/>
        <v/>
      </c>
      <c r="BR1085" s="1452" t="str">
        <f t="shared" si="602"/>
        <v/>
      </c>
      <c r="BS1085" s="1452" t="str">
        <f t="shared" si="603"/>
        <v/>
      </c>
      <c r="BT1085" s="1452" t="str">
        <f t="shared" si="604"/>
        <v/>
      </c>
      <c r="BU1085" s="1452" t="str">
        <f t="shared" si="605"/>
        <v/>
      </c>
      <c r="BV1085" s="1452" t="str">
        <f t="shared" si="606"/>
        <v/>
      </c>
      <c r="BW1085" s="1558">
        <f t="shared" ca="1" si="613"/>
        <v>0</v>
      </c>
    </row>
    <row r="1086" spans="1:75" s="9" customFormat="1" ht="12.5">
      <c r="A1086" s="1483" t="str">
        <f t="shared" si="607"/>
        <v>Public Health Wales Trust</v>
      </c>
      <c r="B1086" s="1583"/>
      <c r="C1086" s="1510"/>
      <c r="D1086" s="1514"/>
      <c r="E1086" s="1595"/>
      <c r="F1086" s="1436"/>
      <c r="G1086" s="1547">
        <f t="shared" si="608"/>
        <v>0</v>
      </c>
      <c r="H1086" s="1484"/>
      <c r="I1086" s="1547">
        <f t="shared" si="609"/>
        <v>0</v>
      </c>
      <c r="J1086" s="1517"/>
      <c r="K1086" s="1517"/>
      <c r="L1086" s="1436"/>
      <c r="M1086" s="1439"/>
      <c r="N1086" s="1439"/>
      <c r="O1086" s="1485"/>
      <c r="P1086" s="1486"/>
      <c r="Q1086" s="1486"/>
      <c r="R1086" s="1487"/>
      <c r="S1086" s="1444"/>
      <c r="T1086" s="1444"/>
      <c r="U1086" s="1444"/>
      <c r="V1086" s="1488"/>
      <c r="W1086" s="1488"/>
      <c r="X1086" s="1488"/>
      <c r="Y1086" s="1488"/>
      <c r="Z1086" s="1488"/>
      <c r="AA1086" s="1488"/>
      <c r="AB1086" s="1488"/>
      <c r="AC1086" s="1488"/>
      <c r="AD1086" s="1488"/>
      <c r="AE1086" s="1488"/>
      <c r="AF1086" s="1488"/>
      <c r="AG1086" s="1488"/>
      <c r="AH1086" s="1451">
        <f t="shared" si="581"/>
        <v>0</v>
      </c>
      <c r="AI1086" s="1488"/>
      <c r="AJ1086" s="1488"/>
      <c r="AK1086" s="1488"/>
      <c r="AL1086" s="1488"/>
      <c r="AM1086" s="1488"/>
      <c r="AN1086" s="1488"/>
      <c r="AO1086" s="1488"/>
      <c r="AP1086" s="1488"/>
      <c r="AQ1086" s="1488"/>
      <c r="AR1086" s="1488"/>
      <c r="AS1086" s="1488"/>
      <c r="AT1086" s="1542"/>
      <c r="AU1086" s="1599">
        <f t="shared" si="582"/>
        <v>0</v>
      </c>
      <c r="AV1086" s="1544">
        <f t="shared" si="610"/>
        <v>0</v>
      </c>
      <c r="AW1086" s="1452">
        <f t="shared" si="583"/>
        <v>0</v>
      </c>
      <c r="AX1086" s="1452">
        <f t="shared" si="584"/>
        <v>0</v>
      </c>
      <c r="AY1086" s="1452">
        <f t="shared" si="585"/>
        <v>0</v>
      </c>
      <c r="AZ1086" s="1452">
        <f t="shared" si="586"/>
        <v>0</v>
      </c>
      <c r="BA1086" s="1452">
        <f t="shared" si="587"/>
        <v>0</v>
      </c>
      <c r="BB1086" s="1452">
        <f t="shared" si="588"/>
        <v>0</v>
      </c>
      <c r="BC1086" s="1452">
        <f t="shared" si="589"/>
        <v>0</v>
      </c>
      <c r="BD1086" s="1452">
        <f t="shared" si="590"/>
        <v>0</v>
      </c>
      <c r="BE1086" s="1452">
        <f t="shared" si="591"/>
        <v>0</v>
      </c>
      <c r="BF1086" s="1452">
        <f t="shared" si="592"/>
        <v>0</v>
      </c>
      <c r="BG1086" s="1452">
        <f t="shared" si="593"/>
        <v>0</v>
      </c>
      <c r="BH1086" s="1452">
        <f t="shared" si="594"/>
        <v>0</v>
      </c>
      <c r="BI1086" s="1452">
        <f t="shared" si="611"/>
        <v>0</v>
      </c>
      <c r="BJ1086" s="1452" t="str">
        <f t="shared" si="595"/>
        <v/>
      </c>
      <c r="BK1086" s="1452" t="str">
        <f t="shared" si="596"/>
        <v/>
      </c>
      <c r="BL1086" s="1452" t="str">
        <f t="shared" si="597"/>
        <v/>
      </c>
      <c r="BM1086" s="1452" t="str">
        <f t="shared" si="598"/>
        <v/>
      </c>
      <c r="BN1086" s="1452" t="str">
        <f t="shared" ca="1" si="599"/>
        <v/>
      </c>
      <c r="BO1086" s="1452" t="str">
        <f t="shared" si="612"/>
        <v/>
      </c>
      <c r="BP1086" s="1452" t="str">
        <f t="shared" si="600"/>
        <v/>
      </c>
      <c r="BQ1086" s="1452" t="str">
        <f t="shared" si="601"/>
        <v/>
      </c>
      <c r="BR1086" s="1452" t="str">
        <f t="shared" si="602"/>
        <v/>
      </c>
      <c r="BS1086" s="1452" t="str">
        <f t="shared" si="603"/>
        <v/>
      </c>
      <c r="BT1086" s="1452" t="str">
        <f t="shared" si="604"/>
        <v/>
      </c>
      <c r="BU1086" s="1452" t="str">
        <f t="shared" si="605"/>
        <v/>
      </c>
      <c r="BV1086" s="1452" t="str">
        <f t="shared" si="606"/>
        <v/>
      </c>
      <c r="BW1086" s="1558">
        <f t="shared" ca="1" si="613"/>
        <v>0</v>
      </c>
    </row>
    <row r="1087" spans="1:75" s="9" customFormat="1" ht="12.5">
      <c r="A1087" s="1483" t="str">
        <f t="shared" si="607"/>
        <v>Public Health Wales Trust</v>
      </c>
      <c r="B1087" s="1583"/>
      <c r="C1087" s="1510"/>
      <c r="D1087" s="1514"/>
      <c r="E1087" s="1595"/>
      <c r="F1087" s="1436"/>
      <c r="G1087" s="1547">
        <f t="shared" si="608"/>
        <v>0</v>
      </c>
      <c r="H1087" s="1484"/>
      <c r="I1087" s="1547">
        <f t="shared" si="609"/>
        <v>0</v>
      </c>
      <c r="J1087" s="1517"/>
      <c r="K1087" s="1517"/>
      <c r="L1087" s="1436"/>
      <c r="M1087" s="1439"/>
      <c r="N1087" s="1439"/>
      <c r="O1087" s="1485"/>
      <c r="P1087" s="1486"/>
      <c r="Q1087" s="1486"/>
      <c r="R1087" s="1487"/>
      <c r="S1087" s="1444"/>
      <c r="T1087" s="1444"/>
      <c r="U1087" s="1444"/>
      <c r="V1087" s="1488"/>
      <c r="W1087" s="1488"/>
      <c r="X1087" s="1488"/>
      <c r="Y1087" s="1488"/>
      <c r="Z1087" s="1488"/>
      <c r="AA1087" s="1488"/>
      <c r="AB1087" s="1488"/>
      <c r="AC1087" s="1488"/>
      <c r="AD1087" s="1488"/>
      <c r="AE1087" s="1488"/>
      <c r="AF1087" s="1488"/>
      <c r="AG1087" s="1488"/>
      <c r="AH1087" s="1451">
        <f t="shared" si="581"/>
        <v>0</v>
      </c>
      <c r="AI1087" s="1488"/>
      <c r="AJ1087" s="1488"/>
      <c r="AK1087" s="1488"/>
      <c r="AL1087" s="1488"/>
      <c r="AM1087" s="1488"/>
      <c r="AN1087" s="1488"/>
      <c r="AO1087" s="1488"/>
      <c r="AP1087" s="1488"/>
      <c r="AQ1087" s="1488"/>
      <c r="AR1087" s="1488"/>
      <c r="AS1087" s="1488"/>
      <c r="AT1087" s="1542"/>
      <c r="AU1087" s="1599">
        <f t="shared" si="582"/>
        <v>0</v>
      </c>
      <c r="AV1087" s="1544">
        <f t="shared" si="610"/>
        <v>0</v>
      </c>
      <c r="AW1087" s="1452">
        <f t="shared" si="583"/>
        <v>0</v>
      </c>
      <c r="AX1087" s="1452">
        <f t="shared" si="584"/>
        <v>0</v>
      </c>
      <c r="AY1087" s="1452">
        <f t="shared" si="585"/>
        <v>0</v>
      </c>
      <c r="AZ1087" s="1452">
        <f t="shared" si="586"/>
        <v>0</v>
      </c>
      <c r="BA1087" s="1452">
        <f t="shared" si="587"/>
        <v>0</v>
      </c>
      <c r="BB1087" s="1452">
        <f t="shared" si="588"/>
        <v>0</v>
      </c>
      <c r="BC1087" s="1452">
        <f t="shared" si="589"/>
        <v>0</v>
      </c>
      <c r="BD1087" s="1452">
        <f t="shared" si="590"/>
        <v>0</v>
      </c>
      <c r="BE1087" s="1452">
        <f t="shared" si="591"/>
        <v>0</v>
      </c>
      <c r="BF1087" s="1452">
        <f t="shared" si="592"/>
        <v>0</v>
      </c>
      <c r="BG1087" s="1452">
        <f t="shared" si="593"/>
        <v>0</v>
      </c>
      <c r="BH1087" s="1452">
        <f t="shared" si="594"/>
        <v>0</v>
      </c>
      <c r="BI1087" s="1452">
        <f t="shared" si="611"/>
        <v>0</v>
      </c>
      <c r="BJ1087" s="1452" t="str">
        <f t="shared" si="595"/>
        <v/>
      </c>
      <c r="BK1087" s="1452" t="str">
        <f t="shared" si="596"/>
        <v/>
      </c>
      <c r="BL1087" s="1452" t="str">
        <f t="shared" si="597"/>
        <v/>
      </c>
      <c r="BM1087" s="1452" t="str">
        <f t="shared" si="598"/>
        <v/>
      </c>
      <c r="BN1087" s="1452" t="str">
        <f t="shared" ca="1" si="599"/>
        <v/>
      </c>
      <c r="BO1087" s="1452" t="str">
        <f t="shared" si="612"/>
        <v/>
      </c>
      <c r="BP1087" s="1452" t="str">
        <f t="shared" si="600"/>
        <v/>
      </c>
      <c r="BQ1087" s="1452" t="str">
        <f t="shared" si="601"/>
        <v/>
      </c>
      <c r="BR1087" s="1452" t="str">
        <f t="shared" si="602"/>
        <v/>
      </c>
      <c r="BS1087" s="1452" t="str">
        <f t="shared" si="603"/>
        <v/>
      </c>
      <c r="BT1087" s="1452" t="str">
        <f t="shared" si="604"/>
        <v/>
      </c>
      <c r="BU1087" s="1452" t="str">
        <f t="shared" si="605"/>
        <v/>
      </c>
      <c r="BV1087" s="1452" t="str">
        <f t="shared" si="606"/>
        <v/>
      </c>
      <c r="BW1087" s="1558">
        <f t="shared" ca="1" si="613"/>
        <v>0</v>
      </c>
    </row>
    <row r="1088" spans="1:75" s="9" customFormat="1" ht="12.5">
      <c r="A1088" s="1483" t="str">
        <f t="shared" si="607"/>
        <v>Public Health Wales Trust</v>
      </c>
      <c r="B1088" s="1583"/>
      <c r="C1088" s="1510"/>
      <c r="D1088" s="1514"/>
      <c r="E1088" s="1595"/>
      <c r="F1088" s="1436"/>
      <c r="G1088" s="1547">
        <f t="shared" si="608"/>
        <v>0</v>
      </c>
      <c r="H1088" s="1484"/>
      <c r="I1088" s="1547">
        <f t="shared" si="609"/>
        <v>0</v>
      </c>
      <c r="J1088" s="1517"/>
      <c r="K1088" s="1517"/>
      <c r="L1088" s="1436"/>
      <c r="M1088" s="1439"/>
      <c r="N1088" s="1439"/>
      <c r="O1088" s="1485"/>
      <c r="P1088" s="1486"/>
      <c r="Q1088" s="1486"/>
      <c r="R1088" s="1487"/>
      <c r="S1088" s="1444"/>
      <c r="T1088" s="1444"/>
      <c r="U1088" s="1444"/>
      <c r="V1088" s="1488"/>
      <c r="W1088" s="1488"/>
      <c r="X1088" s="1488"/>
      <c r="Y1088" s="1488"/>
      <c r="Z1088" s="1488"/>
      <c r="AA1088" s="1488"/>
      <c r="AB1088" s="1488"/>
      <c r="AC1088" s="1488"/>
      <c r="AD1088" s="1488"/>
      <c r="AE1088" s="1488"/>
      <c r="AF1088" s="1488"/>
      <c r="AG1088" s="1488"/>
      <c r="AH1088" s="1451">
        <f t="shared" si="581"/>
        <v>0</v>
      </c>
      <c r="AI1088" s="1488"/>
      <c r="AJ1088" s="1488"/>
      <c r="AK1088" s="1488"/>
      <c r="AL1088" s="1488"/>
      <c r="AM1088" s="1488"/>
      <c r="AN1088" s="1488"/>
      <c r="AO1088" s="1488"/>
      <c r="AP1088" s="1488"/>
      <c r="AQ1088" s="1488"/>
      <c r="AR1088" s="1488"/>
      <c r="AS1088" s="1488"/>
      <c r="AT1088" s="1542"/>
      <c r="AU1088" s="1599">
        <f t="shared" si="582"/>
        <v>0</v>
      </c>
      <c r="AV1088" s="1544">
        <f t="shared" si="610"/>
        <v>0</v>
      </c>
      <c r="AW1088" s="1452">
        <f t="shared" si="583"/>
        <v>0</v>
      </c>
      <c r="AX1088" s="1452">
        <f t="shared" si="584"/>
        <v>0</v>
      </c>
      <c r="AY1088" s="1452">
        <f t="shared" si="585"/>
        <v>0</v>
      </c>
      <c r="AZ1088" s="1452">
        <f t="shared" si="586"/>
        <v>0</v>
      </c>
      <c r="BA1088" s="1452">
        <f t="shared" si="587"/>
        <v>0</v>
      </c>
      <c r="BB1088" s="1452">
        <f t="shared" si="588"/>
        <v>0</v>
      </c>
      <c r="BC1088" s="1452">
        <f t="shared" si="589"/>
        <v>0</v>
      </c>
      <c r="BD1088" s="1452">
        <f t="shared" si="590"/>
        <v>0</v>
      </c>
      <c r="BE1088" s="1452">
        <f t="shared" si="591"/>
        <v>0</v>
      </c>
      <c r="BF1088" s="1452">
        <f t="shared" si="592"/>
        <v>0</v>
      </c>
      <c r="BG1088" s="1452">
        <f t="shared" si="593"/>
        <v>0</v>
      </c>
      <c r="BH1088" s="1452">
        <f t="shared" si="594"/>
        <v>0</v>
      </c>
      <c r="BI1088" s="1452">
        <f t="shared" si="611"/>
        <v>0</v>
      </c>
      <c r="BJ1088" s="1452" t="str">
        <f t="shared" si="595"/>
        <v/>
      </c>
      <c r="BK1088" s="1452" t="str">
        <f t="shared" si="596"/>
        <v/>
      </c>
      <c r="BL1088" s="1452" t="str">
        <f t="shared" si="597"/>
        <v/>
      </c>
      <c r="BM1088" s="1452" t="str">
        <f t="shared" si="598"/>
        <v/>
      </c>
      <c r="BN1088" s="1452" t="str">
        <f t="shared" ca="1" si="599"/>
        <v/>
      </c>
      <c r="BO1088" s="1452" t="str">
        <f t="shared" si="612"/>
        <v/>
      </c>
      <c r="BP1088" s="1452" t="str">
        <f t="shared" si="600"/>
        <v/>
      </c>
      <c r="BQ1088" s="1452" t="str">
        <f t="shared" si="601"/>
        <v/>
      </c>
      <c r="BR1088" s="1452" t="str">
        <f t="shared" si="602"/>
        <v/>
      </c>
      <c r="BS1088" s="1452" t="str">
        <f t="shared" si="603"/>
        <v/>
      </c>
      <c r="BT1088" s="1452" t="str">
        <f t="shared" si="604"/>
        <v/>
      </c>
      <c r="BU1088" s="1452" t="str">
        <f t="shared" si="605"/>
        <v/>
      </c>
      <c r="BV1088" s="1452" t="str">
        <f t="shared" si="606"/>
        <v/>
      </c>
      <c r="BW1088" s="1558">
        <f t="shared" ca="1" si="613"/>
        <v>0</v>
      </c>
    </row>
    <row r="1089" spans="1:75" s="9" customFormat="1" ht="12.5">
      <c r="A1089" s="1483" t="str">
        <f t="shared" si="607"/>
        <v>Public Health Wales Trust</v>
      </c>
      <c r="B1089" s="1583"/>
      <c r="C1089" s="1510"/>
      <c r="D1089" s="1514"/>
      <c r="E1089" s="1595"/>
      <c r="F1089" s="1436"/>
      <c r="G1089" s="1547">
        <f t="shared" si="608"/>
        <v>0</v>
      </c>
      <c r="H1089" s="1484"/>
      <c r="I1089" s="1547">
        <f t="shared" si="609"/>
        <v>0</v>
      </c>
      <c r="J1089" s="1517"/>
      <c r="K1089" s="1517"/>
      <c r="L1089" s="1436"/>
      <c r="M1089" s="1439"/>
      <c r="N1089" s="1439"/>
      <c r="O1089" s="1485"/>
      <c r="P1089" s="1486"/>
      <c r="Q1089" s="1486"/>
      <c r="R1089" s="1487"/>
      <c r="S1089" s="1444"/>
      <c r="T1089" s="1444"/>
      <c r="U1089" s="1444"/>
      <c r="V1089" s="1488"/>
      <c r="W1089" s="1488"/>
      <c r="X1089" s="1488"/>
      <c r="Y1089" s="1488"/>
      <c r="Z1089" s="1488"/>
      <c r="AA1089" s="1488"/>
      <c r="AB1089" s="1488"/>
      <c r="AC1089" s="1488"/>
      <c r="AD1089" s="1488"/>
      <c r="AE1089" s="1488"/>
      <c r="AF1089" s="1488"/>
      <c r="AG1089" s="1488"/>
      <c r="AH1089" s="1451">
        <f t="shared" si="581"/>
        <v>0</v>
      </c>
      <c r="AI1089" s="1488"/>
      <c r="AJ1089" s="1488"/>
      <c r="AK1089" s="1488"/>
      <c r="AL1089" s="1488"/>
      <c r="AM1089" s="1488"/>
      <c r="AN1089" s="1488"/>
      <c r="AO1089" s="1488"/>
      <c r="AP1089" s="1488"/>
      <c r="AQ1089" s="1488"/>
      <c r="AR1089" s="1488"/>
      <c r="AS1089" s="1488"/>
      <c r="AT1089" s="1542"/>
      <c r="AU1089" s="1599">
        <f t="shared" si="582"/>
        <v>0</v>
      </c>
      <c r="AV1089" s="1544">
        <f t="shared" si="610"/>
        <v>0</v>
      </c>
      <c r="AW1089" s="1452">
        <f t="shared" si="583"/>
        <v>0</v>
      </c>
      <c r="AX1089" s="1452">
        <f t="shared" si="584"/>
        <v>0</v>
      </c>
      <c r="AY1089" s="1452">
        <f t="shared" si="585"/>
        <v>0</v>
      </c>
      <c r="AZ1089" s="1452">
        <f t="shared" si="586"/>
        <v>0</v>
      </c>
      <c r="BA1089" s="1452">
        <f t="shared" si="587"/>
        <v>0</v>
      </c>
      <c r="BB1089" s="1452">
        <f t="shared" si="588"/>
        <v>0</v>
      </c>
      <c r="BC1089" s="1452">
        <f t="shared" si="589"/>
        <v>0</v>
      </c>
      <c r="BD1089" s="1452">
        <f t="shared" si="590"/>
        <v>0</v>
      </c>
      <c r="BE1089" s="1452">
        <f t="shared" si="591"/>
        <v>0</v>
      </c>
      <c r="BF1089" s="1452">
        <f t="shared" si="592"/>
        <v>0</v>
      </c>
      <c r="BG1089" s="1452">
        <f t="shared" si="593"/>
        <v>0</v>
      </c>
      <c r="BH1089" s="1452">
        <f t="shared" si="594"/>
        <v>0</v>
      </c>
      <c r="BI1089" s="1452">
        <f t="shared" si="611"/>
        <v>0</v>
      </c>
      <c r="BJ1089" s="1452" t="str">
        <f t="shared" si="595"/>
        <v/>
      </c>
      <c r="BK1089" s="1452" t="str">
        <f t="shared" si="596"/>
        <v/>
      </c>
      <c r="BL1089" s="1452" t="str">
        <f t="shared" si="597"/>
        <v/>
      </c>
      <c r="BM1089" s="1452" t="str">
        <f t="shared" si="598"/>
        <v/>
      </c>
      <c r="BN1089" s="1452" t="str">
        <f t="shared" ca="1" si="599"/>
        <v/>
      </c>
      <c r="BO1089" s="1452" t="str">
        <f t="shared" si="612"/>
        <v/>
      </c>
      <c r="BP1089" s="1452" t="str">
        <f t="shared" si="600"/>
        <v/>
      </c>
      <c r="BQ1089" s="1452" t="str">
        <f t="shared" si="601"/>
        <v/>
      </c>
      <c r="BR1089" s="1452" t="str">
        <f t="shared" si="602"/>
        <v/>
      </c>
      <c r="BS1089" s="1452" t="str">
        <f t="shared" si="603"/>
        <v/>
      </c>
      <c r="BT1089" s="1452" t="str">
        <f t="shared" si="604"/>
        <v/>
      </c>
      <c r="BU1089" s="1452" t="str">
        <f t="shared" si="605"/>
        <v/>
      </c>
      <c r="BV1089" s="1452" t="str">
        <f t="shared" si="606"/>
        <v/>
      </c>
      <c r="BW1089" s="1558">
        <f t="shared" ca="1" si="613"/>
        <v>0</v>
      </c>
    </row>
    <row r="1090" spans="1:75" s="9" customFormat="1" ht="12.5">
      <c r="A1090" s="1483" t="str">
        <f t="shared" si="607"/>
        <v>Public Health Wales Trust</v>
      </c>
      <c r="B1090" s="1583"/>
      <c r="C1090" s="1510"/>
      <c r="D1090" s="1514"/>
      <c r="E1090" s="1595"/>
      <c r="F1090" s="1436"/>
      <c r="G1090" s="1547">
        <f t="shared" si="608"/>
        <v>0</v>
      </c>
      <c r="H1090" s="1484"/>
      <c r="I1090" s="1547">
        <f t="shared" si="609"/>
        <v>0</v>
      </c>
      <c r="J1090" s="1517"/>
      <c r="K1090" s="1517"/>
      <c r="L1090" s="1436"/>
      <c r="M1090" s="1439"/>
      <c r="N1090" s="1439"/>
      <c r="O1090" s="1485"/>
      <c r="P1090" s="1486"/>
      <c r="Q1090" s="1486"/>
      <c r="R1090" s="1487"/>
      <c r="S1090" s="1444"/>
      <c r="T1090" s="1444"/>
      <c r="U1090" s="1444"/>
      <c r="V1090" s="1488"/>
      <c r="W1090" s="1488"/>
      <c r="X1090" s="1488"/>
      <c r="Y1090" s="1488"/>
      <c r="Z1090" s="1488"/>
      <c r="AA1090" s="1488"/>
      <c r="AB1090" s="1488"/>
      <c r="AC1090" s="1488"/>
      <c r="AD1090" s="1488"/>
      <c r="AE1090" s="1488"/>
      <c r="AF1090" s="1488"/>
      <c r="AG1090" s="1488"/>
      <c r="AH1090" s="1451">
        <f t="shared" si="581"/>
        <v>0</v>
      </c>
      <c r="AI1090" s="1488"/>
      <c r="AJ1090" s="1488"/>
      <c r="AK1090" s="1488"/>
      <c r="AL1090" s="1488"/>
      <c r="AM1090" s="1488"/>
      <c r="AN1090" s="1488"/>
      <c r="AO1090" s="1488"/>
      <c r="AP1090" s="1488"/>
      <c r="AQ1090" s="1488"/>
      <c r="AR1090" s="1488"/>
      <c r="AS1090" s="1488"/>
      <c r="AT1090" s="1542"/>
      <c r="AU1090" s="1599">
        <f t="shared" si="582"/>
        <v>0</v>
      </c>
      <c r="AV1090" s="1544">
        <f t="shared" si="610"/>
        <v>0</v>
      </c>
      <c r="AW1090" s="1452">
        <f t="shared" si="583"/>
        <v>0</v>
      </c>
      <c r="AX1090" s="1452">
        <f t="shared" si="584"/>
        <v>0</v>
      </c>
      <c r="AY1090" s="1452">
        <f t="shared" si="585"/>
        <v>0</v>
      </c>
      <c r="AZ1090" s="1452">
        <f t="shared" si="586"/>
        <v>0</v>
      </c>
      <c r="BA1090" s="1452">
        <f t="shared" si="587"/>
        <v>0</v>
      </c>
      <c r="BB1090" s="1452">
        <f t="shared" si="588"/>
        <v>0</v>
      </c>
      <c r="BC1090" s="1452">
        <f t="shared" si="589"/>
        <v>0</v>
      </c>
      <c r="BD1090" s="1452">
        <f t="shared" si="590"/>
        <v>0</v>
      </c>
      <c r="BE1090" s="1452">
        <f t="shared" si="591"/>
        <v>0</v>
      </c>
      <c r="BF1090" s="1452">
        <f t="shared" si="592"/>
        <v>0</v>
      </c>
      <c r="BG1090" s="1452">
        <f t="shared" si="593"/>
        <v>0</v>
      </c>
      <c r="BH1090" s="1452">
        <f t="shared" si="594"/>
        <v>0</v>
      </c>
      <c r="BI1090" s="1452">
        <f t="shared" si="611"/>
        <v>0</v>
      </c>
      <c r="BJ1090" s="1452" t="str">
        <f t="shared" si="595"/>
        <v/>
      </c>
      <c r="BK1090" s="1452" t="str">
        <f t="shared" si="596"/>
        <v/>
      </c>
      <c r="BL1090" s="1452" t="str">
        <f t="shared" si="597"/>
        <v/>
      </c>
      <c r="BM1090" s="1452" t="str">
        <f t="shared" si="598"/>
        <v/>
      </c>
      <c r="BN1090" s="1452" t="str">
        <f t="shared" ca="1" si="599"/>
        <v/>
      </c>
      <c r="BO1090" s="1452" t="str">
        <f t="shared" si="612"/>
        <v/>
      </c>
      <c r="BP1090" s="1452" t="str">
        <f t="shared" si="600"/>
        <v/>
      </c>
      <c r="BQ1090" s="1452" t="str">
        <f t="shared" si="601"/>
        <v/>
      </c>
      <c r="BR1090" s="1452" t="str">
        <f t="shared" si="602"/>
        <v/>
      </c>
      <c r="BS1090" s="1452" t="str">
        <f t="shared" si="603"/>
        <v/>
      </c>
      <c r="BT1090" s="1452" t="str">
        <f t="shared" si="604"/>
        <v/>
      </c>
      <c r="BU1090" s="1452" t="str">
        <f t="shared" si="605"/>
        <v/>
      </c>
      <c r="BV1090" s="1452" t="str">
        <f t="shared" si="606"/>
        <v/>
      </c>
      <c r="BW1090" s="1558">
        <f t="shared" ca="1" si="613"/>
        <v>0</v>
      </c>
    </row>
    <row r="1091" spans="1:75" s="9" customFormat="1" ht="12.5">
      <c r="A1091" s="1483" t="str">
        <f t="shared" si="607"/>
        <v>Public Health Wales Trust</v>
      </c>
      <c r="B1091" s="1583"/>
      <c r="C1091" s="1510"/>
      <c r="D1091" s="1514"/>
      <c r="E1091" s="1595"/>
      <c r="F1091" s="1436"/>
      <c r="G1091" s="1547">
        <f t="shared" si="608"/>
        <v>0</v>
      </c>
      <c r="H1091" s="1484"/>
      <c r="I1091" s="1547">
        <f t="shared" si="609"/>
        <v>0</v>
      </c>
      <c r="J1091" s="1517"/>
      <c r="K1091" s="1517"/>
      <c r="L1091" s="1436"/>
      <c r="M1091" s="1439"/>
      <c r="N1091" s="1439"/>
      <c r="O1091" s="1485"/>
      <c r="P1091" s="1486"/>
      <c r="Q1091" s="1486"/>
      <c r="R1091" s="1487"/>
      <c r="S1091" s="1444"/>
      <c r="T1091" s="1444"/>
      <c r="U1091" s="1444"/>
      <c r="V1091" s="1488"/>
      <c r="W1091" s="1488"/>
      <c r="X1091" s="1488"/>
      <c r="Y1091" s="1488"/>
      <c r="Z1091" s="1488"/>
      <c r="AA1091" s="1488"/>
      <c r="AB1091" s="1488"/>
      <c r="AC1091" s="1488"/>
      <c r="AD1091" s="1488"/>
      <c r="AE1091" s="1488"/>
      <c r="AF1091" s="1488"/>
      <c r="AG1091" s="1488"/>
      <c r="AH1091" s="1451">
        <f t="shared" si="581"/>
        <v>0</v>
      </c>
      <c r="AI1091" s="1488"/>
      <c r="AJ1091" s="1488"/>
      <c r="AK1091" s="1488"/>
      <c r="AL1091" s="1488"/>
      <c r="AM1091" s="1488"/>
      <c r="AN1091" s="1488"/>
      <c r="AO1091" s="1488"/>
      <c r="AP1091" s="1488"/>
      <c r="AQ1091" s="1488"/>
      <c r="AR1091" s="1488"/>
      <c r="AS1091" s="1488"/>
      <c r="AT1091" s="1542"/>
      <c r="AU1091" s="1599">
        <f t="shared" si="582"/>
        <v>0</v>
      </c>
      <c r="AV1091" s="1544">
        <f t="shared" si="610"/>
        <v>0</v>
      </c>
      <c r="AW1091" s="1452">
        <f t="shared" si="583"/>
        <v>0</v>
      </c>
      <c r="AX1091" s="1452">
        <f t="shared" si="584"/>
        <v>0</v>
      </c>
      <c r="AY1091" s="1452">
        <f t="shared" si="585"/>
        <v>0</v>
      </c>
      <c r="AZ1091" s="1452">
        <f t="shared" si="586"/>
        <v>0</v>
      </c>
      <c r="BA1091" s="1452">
        <f t="shared" si="587"/>
        <v>0</v>
      </c>
      <c r="BB1091" s="1452">
        <f t="shared" si="588"/>
        <v>0</v>
      </c>
      <c r="BC1091" s="1452">
        <f t="shared" si="589"/>
        <v>0</v>
      </c>
      <c r="BD1091" s="1452">
        <f t="shared" si="590"/>
        <v>0</v>
      </c>
      <c r="BE1091" s="1452">
        <f t="shared" si="591"/>
        <v>0</v>
      </c>
      <c r="BF1091" s="1452">
        <f t="shared" si="592"/>
        <v>0</v>
      </c>
      <c r="BG1091" s="1452">
        <f t="shared" si="593"/>
        <v>0</v>
      </c>
      <c r="BH1091" s="1452">
        <f t="shared" si="594"/>
        <v>0</v>
      </c>
      <c r="BI1091" s="1452">
        <f t="shared" si="611"/>
        <v>0</v>
      </c>
      <c r="BJ1091" s="1452" t="str">
        <f t="shared" si="595"/>
        <v/>
      </c>
      <c r="BK1091" s="1452" t="str">
        <f t="shared" si="596"/>
        <v/>
      </c>
      <c r="BL1091" s="1452" t="str">
        <f t="shared" si="597"/>
        <v/>
      </c>
      <c r="BM1091" s="1452" t="str">
        <f t="shared" si="598"/>
        <v/>
      </c>
      <c r="BN1091" s="1452" t="str">
        <f t="shared" ca="1" si="599"/>
        <v/>
      </c>
      <c r="BO1091" s="1452" t="str">
        <f t="shared" si="612"/>
        <v/>
      </c>
      <c r="BP1091" s="1452" t="str">
        <f t="shared" si="600"/>
        <v/>
      </c>
      <c r="BQ1091" s="1452" t="str">
        <f t="shared" si="601"/>
        <v/>
      </c>
      <c r="BR1091" s="1452" t="str">
        <f t="shared" si="602"/>
        <v/>
      </c>
      <c r="BS1091" s="1452" t="str">
        <f t="shared" si="603"/>
        <v/>
      </c>
      <c r="BT1091" s="1452" t="str">
        <f t="shared" si="604"/>
        <v/>
      </c>
      <c r="BU1091" s="1452" t="str">
        <f t="shared" si="605"/>
        <v/>
      </c>
      <c r="BV1091" s="1452" t="str">
        <f t="shared" si="606"/>
        <v/>
      </c>
      <c r="BW1091" s="1558">
        <f t="shared" ca="1" si="613"/>
        <v>0</v>
      </c>
    </row>
    <row r="1092" spans="1:75" s="9" customFormat="1" ht="12.5">
      <c r="A1092" s="1483" t="str">
        <f t="shared" si="607"/>
        <v>Public Health Wales Trust</v>
      </c>
      <c r="B1092" s="1583"/>
      <c r="C1092" s="1510"/>
      <c r="D1092" s="1514"/>
      <c r="E1092" s="1595"/>
      <c r="F1092" s="1436"/>
      <c r="G1092" s="1547">
        <f t="shared" si="608"/>
        <v>0</v>
      </c>
      <c r="H1092" s="1484"/>
      <c r="I1092" s="1547">
        <f t="shared" si="609"/>
        <v>0</v>
      </c>
      <c r="J1092" s="1517"/>
      <c r="K1092" s="1517"/>
      <c r="L1092" s="1436"/>
      <c r="M1092" s="1439"/>
      <c r="N1092" s="1439"/>
      <c r="O1092" s="1485"/>
      <c r="P1092" s="1486"/>
      <c r="Q1092" s="1486"/>
      <c r="R1092" s="1487"/>
      <c r="S1092" s="1444"/>
      <c r="T1092" s="1444"/>
      <c r="U1092" s="1444"/>
      <c r="V1092" s="1488"/>
      <c r="W1092" s="1488"/>
      <c r="X1092" s="1488"/>
      <c r="Y1092" s="1488"/>
      <c r="Z1092" s="1488"/>
      <c r="AA1092" s="1488"/>
      <c r="AB1092" s="1488"/>
      <c r="AC1092" s="1488"/>
      <c r="AD1092" s="1488"/>
      <c r="AE1092" s="1488"/>
      <c r="AF1092" s="1488"/>
      <c r="AG1092" s="1488"/>
      <c r="AH1092" s="1451">
        <f t="shared" si="581"/>
        <v>0</v>
      </c>
      <c r="AI1092" s="1488"/>
      <c r="AJ1092" s="1488"/>
      <c r="AK1092" s="1488"/>
      <c r="AL1092" s="1488"/>
      <c r="AM1092" s="1488"/>
      <c r="AN1092" s="1488"/>
      <c r="AO1092" s="1488"/>
      <c r="AP1092" s="1488"/>
      <c r="AQ1092" s="1488"/>
      <c r="AR1092" s="1488"/>
      <c r="AS1092" s="1488"/>
      <c r="AT1092" s="1542"/>
      <c r="AU1092" s="1599">
        <f t="shared" si="582"/>
        <v>0</v>
      </c>
      <c r="AV1092" s="1544">
        <f t="shared" si="610"/>
        <v>0</v>
      </c>
      <c r="AW1092" s="1452">
        <f t="shared" si="583"/>
        <v>0</v>
      </c>
      <c r="AX1092" s="1452">
        <f t="shared" si="584"/>
        <v>0</v>
      </c>
      <c r="AY1092" s="1452">
        <f t="shared" si="585"/>
        <v>0</v>
      </c>
      <c r="AZ1092" s="1452">
        <f t="shared" si="586"/>
        <v>0</v>
      </c>
      <c r="BA1092" s="1452">
        <f t="shared" si="587"/>
        <v>0</v>
      </c>
      <c r="BB1092" s="1452">
        <f t="shared" si="588"/>
        <v>0</v>
      </c>
      <c r="BC1092" s="1452">
        <f t="shared" si="589"/>
        <v>0</v>
      </c>
      <c r="BD1092" s="1452">
        <f t="shared" si="590"/>
        <v>0</v>
      </c>
      <c r="BE1092" s="1452">
        <f t="shared" si="591"/>
        <v>0</v>
      </c>
      <c r="BF1092" s="1452">
        <f t="shared" si="592"/>
        <v>0</v>
      </c>
      <c r="BG1092" s="1452">
        <f t="shared" si="593"/>
        <v>0</v>
      </c>
      <c r="BH1092" s="1452">
        <f t="shared" si="594"/>
        <v>0</v>
      </c>
      <c r="BI1092" s="1452">
        <f t="shared" si="611"/>
        <v>0</v>
      </c>
      <c r="BJ1092" s="1452" t="str">
        <f t="shared" si="595"/>
        <v/>
      </c>
      <c r="BK1092" s="1452" t="str">
        <f t="shared" si="596"/>
        <v/>
      </c>
      <c r="BL1092" s="1452" t="str">
        <f t="shared" si="597"/>
        <v/>
      </c>
      <c r="BM1092" s="1452" t="str">
        <f t="shared" si="598"/>
        <v/>
      </c>
      <c r="BN1092" s="1452" t="str">
        <f t="shared" ca="1" si="599"/>
        <v/>
      </c>
      <c r="BO1092" s="1452" t="str">
        <f t="shared" si="612"/>
        <v/>
      </c>
      <c r="BP1092" s="1452" t="str">
        <f t="shared" si="600"/>
        <v/>
      </c>
      <c r="BQ1092" s="1452" t="str">
        <f t="shared" si="601"/>
        <v/>
      </c>
      <c r="BR1092" s="1452" t="str">
        <f t="shared" si="602"/>
        <v/>
      </c>
      <c r="BS1092" s="1452" t="str">
        <f t="shared" si="603"/>
        <v/>
      </c>
      <c r="BT1092" s="1452" t="str">
        <f t="shared" si="604"/>
        <v/>
      </c>
      <c r="BU1092" s="1452" t="str">
        <f t="shared" si="605"/>
        <v/>
      </c>
      <c r="BV1092" s="1452" t="str">
        <f t="shared" si="606"/>
        <v/>
      </c>
      <c r="BW1092" s="1558">
        <f t="shared" ca="1" si="613"/>
        <v>0</v>
      </c>
    </row>
    <row r="1093" spans="1:75" s="9" customFormat="1" ht="12.5">
      <c r="A1093" s="1483" t="str">
        <f t="shared" si="607"/>
        <v>Public Health Wales Trust</v>
      </c>
      <c r="B1093" s="1583"/>
      <c r="C1093" s="1510"/>
      <c r="D1093" s="1514"/>
      <c r="E1093" s="1595"/>
      <c r="F1093" s="1436"/>
      <c r="G1093" s="1547">
        <f t="shared" si="608"/>
        <v>0</v>
      </c>
      <c r="H1093" s="1484"/>
      <c r="I1093" s="1547">
        <f t="shared" si="609"/>
        <v>0</v>
      </c>
      <c r="J1093" s="1517"/>
      <c r="K1093" s="1517"/>
      <c r="L1093" s="1436"/>
      <c r="M1093" s="1439"/>
      <c r="N1093" s="1439"/>
      <c r="O1093" s="1485"/>
      <c r="P1093" s="1486"/>
      <c r="Q1093" s="1486"/>
      <c r="R1093" s="1487"/>
      <c r="S1093" s="1444"/>
      <c r="T1093" s="1444"/>
      <c r="U1093" s="1444"/>
      <c r="V1093" s="1488"/>
      <c r="W1093" s="1488"/>
      <c r="X1093" s="1488"/>
      <c r="Y1093" s="1488"/>
      <c r="Z1093" s="1488"/>
      <c r="AA1093" s="1488"/>
      <c r="AB1093" s="1488"/>
      <c r="AC1093" s="1488"/>
      <c r="AD1093" s="1488"/>
      <c r="AE1093" s="1488"/>
      <c r="AF1093" s="1488"/>
      <c r="AG1093" s="1488"/>
      <c r="AH1093" s="1451">
        <f t="shared" si="581"/>
        <v>0</v>
      </c>
      <c r="AI1093" s="1488"/>
      <c r="AJ1093" s="1488"/>
      <c r="AK1093" s="1488"/>
      <c r="AL1093" s="1488"/>
      <c r="AM1093" s="1488"/>
      <c r="AN1093" s="1488"/>
      <c r="AO1093" s="1488"/>
      <c r="AP1093" s="1488"/>
      <c r="AQ1093" s="1488"/>
      <c r="AR1093" s="1488"/>
      <c r="AS1093" s="1488"/>
      <c r="AT1093" s="1542"/>
      <c r="AU1093" s="1599">
        <f t="shared" si="582"/>
        <v>0</v>
      </c>
      <c r="AV1093" s="1544">
        <f t="shared" si="610"/>
        <v>0</v>
      </c>
      <c r="AW1093" s="1452">
        <f t="shared" si="583"/>
        <v>0</v>
      </c>
      <c r="AX1093" s="1452">
        <f t="shared" si="584"/>
        <v>0</v>
      </c>
      <c r="AY1093" s="1452">
        <f t="shared" si="585"/>
        <v>0</v>
      </c>
      <c r="AZ1093" s="1452">
        <f t="shared" si="586"/>
        <v>0</v>
      </c>
      <c r="BA1093" s="1452">
        <f t="shared" si="587"/>
        <v>0</v>
      </c>
      <c r="BB1093" s="1452">
        <f t="shared" si="588"/>
        <v>0</v>
      </c>
      <c r="BC1093" s="1452">
        <f t="shared" si="589"/>
        <v>0</v>
      </c>
      <c r="BD1093" s="1452">
        <f t="shared" si="590"/>
        <v>0</v>
      </c>
      <c r="BE1093" s="1452">
        <f t="shared" si="591"/>
        <v>0</v>
      </c>
      <c r="BF1093" s="1452">
        <f t="shared" si="592"/>
        <v>0</v>
      </c>
      <c r="BG1093" s="1452">
        <f t="shared" si="593"/>
        <v>0</v>
      </c>
      <c r="BH1093" s="1452">
        <f t="shared" si="594"/>
        <v>0</v>
      </c>
      <c r="BI1093" s="1452">
        <f t="shared" si="611"/>
        <v>0</v>
      </c>
      <c r="BJ1093" s="1452" t="str">
        <f t="shared" si="595"/>
        <v/>
      </c>
      <c r="BK1093" s="1452" t="str">
        <f t="shared" si="596"/>
        <v/>
      </c>
      <c r="BL1093" s="1452" t="str">
        <f t="shared" si="597"/>
        <v/>
      </c>
      <c r="BM1093" s="1452" t="str">
        <f t="shared" si="598"/>
        <v/>
      </c>
      <c r="BN1093" s="1452" t="str">
        <f t="shared" ca="1" si="599"/>
        <v/>
      </c>
      <c r="BO1093" s="1452" t="str">
        <f t="shared" si="612"/>
        <v/>
      </c>
      <c r="BP1093" s="1452" t="str">
        <f t="shared" si="600"/>
        <v/>
      </c>
      <c r="BQ1093" s="1452" t="str">
        <f t="shared" si="601"/>
        <v/>
      </c>
      <c r="BR1093" s="1452" t="str">
        <f t="shared" si="602"/>
        <v/>
      </c>
      <c r="BS1093" s="1452" t="str">
        <f t="shared" si="603"/>
        <v/>
      </c>
      <c r="BT1093" s="1452" t="str">
        <f t="shared" si="604"/>
        <v/>
      </c>
      <c r="BU1093" s="1452" t="str">
        <f t="shared" si="605"/>
        <v/>
      </c>
      <c r="BV1093" s="1452" t="str">
        <f t="shared" si="606"/>
        <v/>
      </c>
      <c r="BW1093" s="1558">
        <f t="shared" ca="1" si="613"/>
        <v>0</v>
      </c>
    </row>
    <row r="1094" spans="1:75" s="9" customFormat="1" ht="12.5">
      <c r="A1094" s="1483" t="str">
        <f t="shared" si="607"/>
        <v>Public Health Wales Trust</v>
      </c>
      <c r="B1094" s="1583"/>
      <c r="C1094" s="1510"/>
      <c r="D1094" s="1514"/>
      <c r="E1094" s="1595"/>
      <c r="F1094" s="1436"/>
      <c r="G1094" s="1547">
        <f t="shared" si="608"/>
        <v>0</v>
      </c>
      <c r="H1094" s="1484"/>
      <c r="I1094" s="1547">
        <f t="shared" si="609"/>
        <v>0</v>
      </c>
      <c r="J1094" s="1517"/>
      <c r="K1094" s="1517"/>
      <c r="L1094" s="1436"/>
      <c r="M1094" s="1439"/>
      <c r="N1094" s="1439"/>
      <c r="O1094" s="1485"/>
      <c r="P1094" s="1486"/>
      <c r="Q1094" s="1486"/>
      <c r="R1094" s="1487"/>
      <c r="S1094" s="1444"/>
      <c r="T1094" s="1444"/>
      <c r="U1094" s="1444"/>
      <c r="V1094" s="1488"/>
      <c r="W1094" s="1488"/>
      <c r="X1094" s="1488"/>
      <c r="Y1094" s="1488"/>
      <c r="Z1094" s="1488"/>
      <c r="AA1094" s="1488"/>
      <c r="AB1094" s="1488"/>
      <c r="AC1094" s="1488"/>
      <c r="AD1094" s="1488"/>
      <c r="AE1094" s="1488"/>
      <c r="AF1094" s="1488"/>
      <c r="AG1094" s="1488"/>
      <c r="AH1094" s="1451">
        <f t="shared" si="581"/>
        <v>0</v>
      </c>
      <c r="AI1094" s="1488"/>
      <c r="AJ1094" s="1488"/>
      <c r="AK1094" s="1488"/>
      <c r="AL1094" s="1488"/>
      <c r="AM1094" s="1488"/>
      <c r="AN1094" s="1488"/>
      <c r="AO1094" s="1488"/>
      <c r="AP1094" s="1488"/>
      <c r="AQ1094" s="1488"/>
      <c r="AR1094" s="1488"/>
      <c r="AS1094" s="1488"/>
      <c r="AT1094" s="1542"/>
      <c r="AU1094" s="1599">
        <f t="shared" si="582"/>
        <v>0</v>
      </c>
      <c r="AV1094" s="1544">
        <f t="shared" si="610"/>
        <v>0</v>
      </c>
      <c r="AW1094" s="1452">
        <f t="shared" si="583"/>
        <v>0</v>
      </c>
      <c r="AX1094" s="1452">
        <f t="shared" si="584"/>
        <v>0</v>
      </c>
      <c r="AY1094" s="1452">
        <f t="shared" si="585"/>
        <v>0</v>
      </c>
      <c r="AZ1094" s="1452">
        <f t="shared" si="586"/>
        <v>0</v>
      </c>
      <c r="BA1094" s="1452">
        <f t="shared" si="587"/>
        <v>0</v>
      </c>
      <c r="BB1094" s="1452">
        <f t="shared" si="588"/>
        <v>0</v>
      </c>
      <c r="BC1094" s="1452">
        <f t="shared" si="589"/>
        <v>0</v>
      </c>
      <c r="BD1094" s="1452">
        <f t="shared" si="590"/>
        <v>0</v>
      </c>
      <c r="BE1094" s="1452">
        <f t="shared" si="591"/>
        <v>0</v>
      </c>
      <c r="BF1094" s="1452">
        <f t="shared" si="592"/>
        <v>0</v>
      </c>
      <c r="BG1094" s="1452">
        <f t="shared" si="593"/>
        <v>0</v>
      </c>
      <c r="BH1094" s="1452">
        <f t="shared" si="594"/>
        <v>0</v>
      </c>
      <c r="BI1094" s="1452">
        <f t="shared" si="611"/>
        <v>0</v>
      </c>
      <c r="BJ1094" s="1452" t="str">
        <f t="shared" si="595"/>
        <v/>
      </c>
      <c r="BK1094" s="1452" t="str">
        <f t="shared" si="596"/>
        <v/>
      </c>
      <c r="BL1094" s="1452" t="str">
        <f t="shared" si="597"/>
        <v/>
      </c>
      <c r="BM1094" s="1452" t="str">
        <f t="shared" si="598"/>
        <v/>
      </c>
      <c r="BN1094" s="1452" t="str">
        <f t="shared" ca="1" si="599"/>
        <v/>
      </c>
      <c r="BO1094" s="1452" t="str">
        <f t="shared" si="612"/>
        <v/>
      </c>
      <c r="BP1094" s="1452" t="str">
        <f t="shared" si="600"/>
        <v/>
      </c>
      <c r="BQ1094" s="1452" t="str">
        <f t="shared" si="601"/>
        <v/>
      </c>
      <c r="BR1094" s="1452" t="str">
        <f t="shared" si="602"/>
        <v/>
      </c>
      <c r="BS1094" s="1452" t="str">
        <f t="shared" si="603"/>
        <v/>
      </c>
      <c r="BT1094" s="1452" t="str">
        <f t="shared" si="604"/>
        <v/>
      </c>
      <c r="BU1094" s="1452" t="str">
        <f t="shared" si="605"/>
        <v/>
      </c>
      <c r="BV1094" s="1452" t="str">
        <f t="shared" si="606"/>
        <v/>
      </c>
      <c r="BW1094" s="1558">
        <f t="shared" ca="1" si="613"/>
        <v>0</v>
      </c>
    </row>
    <row r="1095" spans="1:75" s="9" customFormat="1" ht="12.5">
      <c r="A1095" s="1483" t="str">
        <f t="shared" si="607"/>
        <v>Public Health Wales Trust</v>
      </c>
      <c r="B1095" s="1583"/>
      <c r="C1095" s="1510"/>
      <c r="D1095" s="1514"/>
      <c r="E1095" s="1595"/>
      <c r="F1095" s="1436"/>
      <c r="G1095" s="1547">
        <f t="shared" si="608"/>
        <v>0</v>
      </c>
      <c r="H1095" s="1484"/>
      <c r="I1095" s="1547">
        <f t="shared" si="609"/>
        <v>0</v>
      </c>
      <c r="J1095" s="1516"/>
      <c r="K1095" s="1516"/>
      <c r="L1095" s="1436"/>
      <c r="M1095" s="1439"/>
      <c r="N1095" s="1439"/>
      <c r="O1095" s="1485"/>
      <c r="P1095" s="1486"/>
      <c r="Q1095" s="1486"/>
      <c r="R1095" s="1487"/>
      <c r="S1095" s="1444"/>
      <c r="T1095" s="1444"/>
      <c r="U1095" s="1444"/>
      <c r="V1095" s="1488"/>
      <c r="W1095" s="1488"/>
      <c r="X1095" s="1488"/>
      <c r="Y1095" s="1488"/>
      <c r="Z1095" s="1488"/>
      <c r="AA1095" s="1488"/>
      <c r="AB1095" s="1488"/>
      <c r="AC1095" s="1488"/>
      <c r="AD1095" s="1488"/>
      <c r="AE1095" s="1488"/>
      <c r="AF1095" s="1488"/>
      <c r="AG1095" s="1488"/>
      <c r="AH1095" s="1451">
        <f t="shared" si="581"/>
        <v>0</v>
      </c>
      <c r="AI1095" s="1488"/>
      <c r="AJ1095" s="1488"/>
      <c r="AK1095" s="1488"/>
      <c r="AL1095" s="1488"/>
      <c r="AM1095" s="1488"/>
      <c r="AN1095" s="1488"/>
      <c r="AO1095" s="1488"/>
      <c r="AP1095" s="1488"/>
      <c r="AQ1095" s="1488"/>
      <c r="AR1095" s="1488"/>
      <c r="AS1095" s="1488"/>
      <c r="AT1095" s="1542"/>
      <c r="AU1095" s="1599">
        <f t="shared" si="582"/>
        <v>0</v>
      </c>
      <c r="AV1095" s="1544">
        <f t="shared" si="610"/>
        <v>0</v>
      </c>
      <c r="AW1095" s="1452">
        <f t="shared" si="583"/>
        <v>0</v>
      </c>
      <c r="AX1095" s="1452">
        <f t="shared" si="584"/>
        <v>0</v>
      </c>
      <c r="AY1095" s="1452">
        <f t="shared" si="585"/>
        <v>0</v>
      </c>
      <c r="AZ1095" s="1452">
        <f t="shared" si="586"/>
        <v>0</v>
      </c>
      <c r="BA1095" s="1452">
        <f t="shared" si="587"/>
        <v>0</v>
      </c>
      <c r="BB1095" s="1452">
        <f t="shared" si="588"/>
        <v>0</v>
      </c>
      <c r="BC1095" s="1452">
        <f t="shared" si="589"/>
        <v>0</v>
      </c>
      <c r="BD1095" s="1452">
        <f t="shared" si="590"/>
        <v>0</v>
      </c>
      <c r="BE1095" s="1452">
        <f t="shared" si="591"/>
        <v>0</v>
      </c>
      <c r="BF1095" s="1452">
        <f t="shared" si="592"/>
        <v>0</v>
      </c>
      <c r="BG1095" s="1452">
        <f t="shared" si="593"/>
        <v>0</v>
      </c>
      <c r="BH1095" s="1452">
        <f t="shared" si="594"/>
        <v>0</v>
      </c>
      <c r="BI1095" s="1452">
        <f t="shared" si="611"/>
        <v>0</v>
      </c>
      <c r="BJ1095" s="1452" t="str">
        <f t="shared" si="595"/>
        <v/>
      </c>
      <c r="BK1095" s="1452" t="str">
        <f t="shared" si="596"/>
        <v/>
      </c>
      <c r="BL1095" s="1452" t="str">
        <f t="shared" si="597"/>
        <v/>
      </c>
      <c r="BM1095" s="1452" t="str">
        <f t="shared" si="598"/>
        <v/>
      </c>
      <c r="BN1095" s="1452" t="str">
        <f t="shared" ca="1" si="599"/>
        <v/>
      </c>
      <c r="BO1095" s="1452" t="str">
        <f t="shared" si="612"/>
        <v/>
      </c>
      <c r="BP1095" s="1452" t="str">
        <f t="shared" si="600"/>
        <v/>
      </c>
      <c r="BQ1095" s="1452" t="str">
        <f t="shared" si="601"/>
        <v/>
      </c>
      <c r="BR1095" s="1452" t="str">
        <f t="shared" si="602"/>
        <v/>
      </c>
      <c r="BS1095" s="1452" t="str">
        <f t="shared" si="603"/>
        <v/>
      </c>
      <c r="BT1095" s="1452" t="str">
        <f t="shared" si="604"/>
        <v/>
      </c>
      <c r="BU1095" s="1452" t="str">
        <f t="shared" si="605"/>
        <v/>
      </c>
      <c r="BV1095" s="1452" t="str">
        <f t="shared" si="606"/>
        <v/>
      </c>
      <c r="BW1095" s="1558">
        <f t="shared" ca="1" si="613"/>
        <v>0</v>
      </c>
    </row>
    <row r="1096" spans="1:75" s="9" customFormat="1" ht="12.5">
      <c r="A1096" s="1483" t="str">
        <f t="shared" si="607"/>
        <v>Public Health Wales Trust</v>
      </c>
      <c r="B1096" s="1583"/>
      <c r="C1096" s="1510"/>
      <c r="D1096" s="1514"/>
      <c r="E1096" s="1595"/>
      <c r="F1096" s="1436"/>
      <c r="G1096" s="1547">
        <f t="shared" si="608"/>
        <v>0</v>
      </c>
      <c r="H1096" s="1484"/>
      <c r="I1096" s="1547">
        <f t="shared" si="609"/>
        <v>0</v>
      </c>
      <c r="J1096" s="1517"/>
      <c r="K1096" s="1517"/>
      <c r="L1096" s="1436"/>
      <c r="M1096" s="1439"/>
      <c r="N1096" s="1439"/>
      <c r="O1096" s="1485"/>
      <c r="P1096" s="1486"/>
      <c r="Q1096" s="1486"/>
      <c r="R1096" s="1487"/>
      <c r="S1096" s="1444"/>
      <c r="T1096" s="1444"/>
      <c r="U1096" s="1444"/>
      <c r="V1096" s="1488"/>
      <c r="W1096" s="1488"/>
      <c r="X1096" s="1488"/>
      <c r="Y1096" s="1488"/>
      <c r="Z1096" s="1488"/>
      <c r="AA1096" s="1488"/>
      <c r="AB1096" s="1488"/>
      <c r="AC1096" s="1488"/>
      <c r="AD1096" s="1488"/>
      <c r="AE1096" s="1488"/>
      <c r="AF1096" s="1488"/>
      <c r="AG1096" s="1488"/>
      <c r="AH1096" s="1451">
        <f t="shared" si="581"/>
        <v>0</v>
      </c>
      <c r="AI1096" s="1488"/>
      <c r="AJ1096" s="1488"/>
      <c r="AK1096" s="1488"/>
      <c r="AL1096" s="1488"/>
      <c r="AM1096" s="1488"/>
      <c r="AN1096" s="1488"/>
      <c r="AO1096" s="1488"/>
      <c r="AP1096" s="1488"/>
      <c r="AQ1096" s="1488"/>
      <c r="AR1096" s="1488"/>
      <c r="AS1096" s="1488"/>
      <c r="AT1096" s="1542"/>
      <c r="AU1096" s="1599">
        <f t="shared" si="582"/>
        <v>0</v>
      </c>
      <c r="AV1096" s="1544">
        <f t="shared" si="610"/>
        <v>0</v>
      </c>
      <c r="AW1096" s="1452">
        <f t="shared" si="583"/>
        <v>0</v>
      </c>
      <c r="AX1096" s="1452">
        <f t="shared" si="584"/>
        <v>0</v>
      </c>
      <c r="AY1096" s="1452">
        <f t="shared" si="585"/>
        <v>0</v>
      </c>
      <c r="AZ1096" s="1452">
        <f t="shared" si="586"/>
        <v>0</v>
      </c>
      <c r="BA1096" s="1452">
        <f t="shared" si="587"/>
        <v>0</v>
      </c>
      <c r="BB1096" s="1452">
        <f t="shared" si="588"/>
        <v>0</v>
      </c>
      <c r="BC1096" s="1452">
        <f t="shared" si="589"/>
        <v>0</v>
      </c>
      <c r="BD1096" s="1452">
        <f t="shared" si="590"/>
        <v>0</v>
      </c>
      <c r="BE1096" s="1452">
        <f t="shared" si="591"/>
        <v>0</v>
      </c>
      <c r="BF1096" s="1452">
        <f t="shared" si="592"/>
        <v>0</v>
      </c>
      <c r="BG1096" s="1452">
        <f t="shared" si="593"/>
        <v>0</v>
      </c>
      <c r="BH1096" s="1452">
        <f t="shared" si="594"/>
        <v>0</v>
      </c>
      <c r="BI1096" s="1452">
        <f t="shared" si="611"/>
        <v>0</v>
      </c>
      <c r="BJ1096" s="1452" t="str">
        <f t="shared" si="595"/>
        <v/>
      </c>
      <c r="BK1096" s="1452" t="str">
        <f t="shared" si="596"/>
        <v/>
      </c>
      <c r="BL1096" s="1452" t="str">
        <f t="shared" si="597"/>
        <v/>
      </c>
      <c r="BM1096" s="1452" t="str">
        <f t="shared" si="598"/>
        <v/>
      </c>
      <c r="BN1096" s="1452" t="str">
        <f t="shared" ca="1" si="599"/>
        <v/>
      </c>
      <c r="BO1096" s="1452" t="str">
        <f t="shared" si="612"/>
        <v/>
      </c>
      <c r="BP1096" s="1452" t="str">
        <f t="shared" si="600"/>
        <v/>
      </c>
      <c r="BQ1096" s="1452" t="str">
        <f t="shared" si="601"/>
        <v/>
      </c>
      <c r="BR1096" s="1452" t="str">
        <f t="shared" si="602"/>
        <v/>
      </c>
      <c r="BS1096" s="1452" t="str">
        <f t="shared" si="603"/>
        <v/>
      </c>
      <c r="BT1096" s="1452" t="str">
        <f t="shared" si="604"/>
        <v/>
      </c>
      <c r="BU1096" s="1452" t="str">
        <f t="shared" si="605"/>
        <v/>
      </c>
      <c r="BV1096" s="1452" t="str">
        <f t="shared" si="606"/>
        <v/>
      </c>
      <c r="BW1096" s="1558">
        <f t="shared" ca="1" si="613"/>
        <v>0</v>
      </c>
    </row>
    <row r="1097" spans="1:75" s="9" customFormat="1" ht="12.5">
      <c r="A1097" s="1483" t="str">
        <f t="shared" si="607"/>
        <v>Public Health Wales Trust</v>
      </c>
      <c r="B1097" s="1583"/>
      <c r="C1097" s="1510"/>
      <c r="D1097" s="1514"/>
      <c r="E1097" s="1595"/>
      <c r="F1097" s="1436"/>
      <c r="G1097" s="1547">
        <f t="shared" si="608"/>
        <v>0</v>
      </c>
      <c r="H1097" s="1484"/>
      <c r="I1097" s="1547">
        <f t="shared" si="609"/>
        <v>0</v>
      </c>
      <c r="J1097" s="1517"/>
      <c r="K1097" s="1517"/>
      <c r="L1097" s="1436"/>
      <c r="M1097" s="1439"/>
      <c r="N1097" s="1439"/>
      <c r="O1097" s="1485"/>
      <c r="P1097" s="1486"/>
      <c r="Q1097" s="1486"/>
      <c r="R1097" s="1487"/>
      <c r="S1097" s="1444"/>
      <c r="T1097" s="1444"/>
      <c r="U1097" s="1444"/>
      <c r="V1097" s="1488"/>
      <c r="W1097" s="1488"/>
      <c r="X1097" s="1488"/>
      <c r="Y1097" s="1488"/>
      <c r="Z1097" s="1488"/>
      <c r="AA1097" s="1488"/>
      <c r="AB1097" s="1488"/>
      <c r="AC1097" s="1488"/>
      <c r="AD1097" s="1488"/>
      <c r="AE1097" s="1488"/>
      <c r="AF1097" s="1488"/>
      <c r="AG1097" s="1488"/>
      <c r="AH1097" s="1451">
        <f t="shared" si="581"/>
        <v>0</v>
      </c>
      <c r="AI1097" s="1488"/>
      <c r="AJ1097" s="1488"/>
      <c r="AK1097" s="1488"/>
      <c r="AL1097" s="1488"/>
      <c r="AM1097" s="1488"/>
      <c r="AN1097" s="1488"/>
      <c r="AO1097" s="1488"/>
      <c r="AP1097" s="1488"/>
      <c r="AQ1097" s="1488"/>
      <c r="AR1097" s="1488"/>
      <c r="AS1097" s="1488"/>
      <c r="AT1097" s="1542"/>
      <c r="AU1097" s="1599">
        <f t="shared" si="582"/>
        <v>0</v>
      </c>
      <c r="AV1097" s="1544">
        <f t="shared" si="610"/>
        <v>0</v>
      </c>
      <c r="AW1097" s="1452">
        <f t="shared" si="583"/>
        <v>0</v>
      </c>
      <c r="AX1097" s="1452">
        <f t="shared" si="584"/>
        <v>0</v>
      </c>
      <c r="AY1097" s="1452">
        <f t="shared" si="585"/>
        <v>0</v>
      </c>
      <c r="AZ1097" s="1452">
        <f t="shared" si="586"/>
        <v>0</v>
      </c>
      <c r="BA1097" s="1452">
        <f t="shared" si="587"/>
        <v>0</v>
      </c>
      <c r="BB1097" s="1452">
        <f t="shared" si="588"/>
        <v>0</v>
      </c>
      <c r="BC1097" s="1452">
        <f t="shared" si="589"/>
        <v>0</v>
      </c>
      <c r="BD1097" s="1452">
        <f t="shared" si="590"/>
        <v>0</v>
      </c>
      <c r="BE1097" s="1452">
        <f t="shared" si="591"/>
        <v>0</v>
      </c>
      <c r="BF1097" s="1452">
        <f t="shared" si="592"/>
        <v>0</v>
      </c>
      <c r="BG1097" s="1452">
        <f t="shared" si="593"/>
        <v>0</v>
      </c>
      <c r="BH1097" s="1452">
        <f t="shared" si="594"/>
        <v>0</v>
      </c>
      <c r="BI1097" s="1452">
        <f t="shared" si="611"/>
        <v>0</v>
      </c>
      <c r="BJ1097" s="1452" t="str">
        <f t="shared" si="595"/>
        <v/>
      </c>
      <c r="BK1097" s="1452" t="str">
        <f t="shared" si="596"/>
        <v/>
      </c>
      <c r="BL1097" s="1452" t="str">
        <f t="shared" si="597"/>
        <v/>
      </c>
      <c r="BM1097" s="1452" t="str">
        <f t="shared" si="598"/>
        <v/>
      </c>
      <c r="BN1097" s="1452" t="str">
        <f t="shared" ca="1" si="599"/>
        <v/>
      </c>
      <c r="BO1097" s="1452" t="str">
        <f t="shared" si="612"/>
        <v/>
      </c>
      <c r="BP1097" s="1452" t="str">
        <f t="shared" si="600"/>
        <v/>
      </c>
      <c r="BQ1097" s="1452" t="str">
        <f t="shared" si="601"/>
        <v/>
      </c>
      <c r="BR1097" s="1452" t="str">
        <f t="shared" si="602"/>
        <v/>
      </c>
      <c r="BS1097" s="1452" t="str">
        <f t="shared" si="603"/>
        <v/>
      </c>
      <c r="BT1097" s="1452" t="str">
        <f t="shared" si="604"/>
        <v/>
      </c>
      <c r="BU1097" s="1452" t="str">
        <f t="shared" si="605"/>
        <v/>
      </c>
      <c r="BV1097" s="1452" t="str">
        <f t="shared" si="606"/>
        <v/>
      </c>
      <c r="BW1097" s="1558">
        <f t="shared" ca="1" si="613"/>
        <v>0</v>
      </c>
    </row>
    <row r="1098" spans="1:75" s="9" customFormat="1" ht="12.5">
      <c r="A1098" s="1483" t="str">
        <f t="shared" si="607"/>
        <v>Public Health Wales Trust</v>
      </c>
      <c r="B1098" s="1583"/>
      <c r="C1098" s="1510"/>
      <c r="D1098" s="1514"/>
      <c r="E1098" s="1595"/>
      <c r="F1098" s="1436"/>
      <c r="G1098" s="1547">
        <f t="shared" si="608"/>
        <v>0</v>
      </c>
      <c r="H1098" s="1484"/>
      <c r="I1098" s="1547">
        <f t="shared" si="609"/>
        <v>0</v>
      </c>
      <c r="J1098" s="1517"/>
      <c r="K1098" s="1517"/>
      <c r="L1098" s="1436"/>
      <c r="M1098" s="1439"/>
      <c r="N1098" s="1439"/>
      <c r="O1098" s="1485"/>
      <c r="P1098" s="1486"/>
      <c r="Q1098" s="1486"/>
      <c r="R1098" s="1487"/>
      <c r="S1098" s="1444"/>
      <c r="T1098" s="1444"/>
      <c r="U1098" s="1444"/>
      <c r="V1098" s="1488"/>
      <c r="W1098" s="1488"/>
      <c r="X1098" s="1488"/>
      <c r="Y1098" s="1488"/>
      <c r="Z1098" s="1488"/>
      <c r="AA1098" s="1488"/>
      <c r="AB1098" s="1488"/>
      <c r="AC1098" s="1488"/>
      <c r="AD1098" s="1488"/>
      <c r="AE1098" s="1488"/>
      <c r="AF1098" s="1488"/>
      <c r="AG1098" s="1488"/>
      <c r="AH1098" s="1451">
        <f t="shared" si="581"/>
        <v>0</v>
      </c>
      <c r="AI1098" s="1488"/>
      <c r="AJ1098" s="1488"/>
      <c r="AK1098" s="1488"/>
      <c r="AL1098" s="1488"/>
      <c r="AM1098" s="1488"/>
      <c r="AN1098" s="1488"/>
      <c r="AO1098" s="1488"/>
      <c r="AP1098" s="1488"/>
      <c r="AQ1098" s="1488"/>
      <c r="AR1098" s="1488"/>
      <c r="AS1098" s="1488"/>
      <c r="AT1098" s="1542"/>
      <c r="AU1098" s="1599">
        <f t="shared" si="582"/>
        <v>0</v>
      </c>
      <c r="AV1098" s="1544">
        <f t="shared" si="610"/>
        <v>0</v>
      </c>
      <c r="AW1098" s="1452">
        <f t="shared" si="583"/>
        <v>0</v>
      </c>
      <c r="AX1098" s="1452">
        <f t="shared" si="584"/>
        <v>0</v>
      </c>
      <c r="AY1098" s="1452">
        <f t="shared" si="585"/>
        <v>0</v>
      </c>
      <c r="AZ1098" s="1452">
        <f t="shared" si="586"/>
        <v>0</v>
      </c>
      <c r="BA1098" s="1452">
        <f t="shared" si="587"/>
        <v>0</v>
      </c>
      <c r="BB1098" s="1452">
        <f t="shared" si="588"/>
        <v>0</v>
      </c>
      <c r="BC1098" s="1452">
        <f t="shared" si="589"/>
        <v>0</v>
      </c>
      <c r="BD1098" s="1452">
        <f t="shared" si="590"/>
        <v>0</v>
      </c>
      <c r="BE1098" s="1452">
        <f t="shared" si="591"/>
        <v>0</v>
      </c>
      <c r="BF1098" s="1452">
        <f t="shared" si="592"/>
        <v>0</v>
      </c>
      <c r="BG1098" s="1452">
        <f t="shared" si="593"/>
        <v>0</v>
      </c>
      <c r="BH1098" s="1452">
        <f t="shared" si="594"/>
        <v>0</v>
      </c>
      <c r="BI1098" s="1452">
        <f t="shared" si="611"/>
        <v>0</v>
      </c>
      <c r="BJ1098" s="1452" t="str">
        <f t="shared" si="595"/>
        <v/>
      </c>
      <c r="BK1098" s="1452" t="str">
        <f t="shared" si="596"/>
        <v/>
      </c>
      <c r="BL1098" s="1452" t="str">
        <f t="shared" si="597"/>
        <v/>
      </c>
      <c r="BM1098" s="1452" t="str">
        <f t="shared" si="598"/>
        <v/>
      </c>
      <c r="BN1098" s="1452" t="str">
        <f t="shared" ca="1" si="599"/>
        <v/>
      </c>
      <c r="BO1098" s="1452" t="str">
        <f t="shared" si="612"/>
        <v/>
      </c>
      <c r="BP1098" s="1452" t="str">
        <f t="shared" si="600"/>
        <v/>
      </c>
      <c r="BQ1098" s="1452" t="str">
        <f t="shared" si="601"/>
        <v/>
      </c>
      <c r="BR1098" s="1452" t="str">
        <f t="shared" si="602"/>
        <v/>
      </c>
      <c r="BS1098" s="1452" t="str">
        <f t="shared" si="603"/>
        <v/>
      </c>
      <c r="BT1098" s="1452" t="str">
        <f t="shared" si="604"/>
        <v/>
      </c>
      <c r="BU1098" s="1452" t="str">
        <f t="shared" si="605"/>
        <v/>
      </c>
      <c r="BV1098" s="1452" t="str">
        <f t="shared" si="606"/>
        <v/>
      </c>
      <c r="BW1098" s="1558">
        <f t="shared" ca="1" si="613"/>
        <v>0</v>
      </c>
    </row>
    <row r="1099" spans="1:75" s="9" customFormat="1" ht="12.5">
      <c r="A1099" s="1483" t="str">
        <f t="shared" si="607"/>
        <v>Public Health Wales Trust</v>
      </c>
      <c r="B1099" s="1583"/>
      <c r="C1099" s="1510"/>
      <c r="D1099" s="1514"/>
      <c r="E1099" s="1595"/>
      <c r="F1099" s="1436"/>
      <c r="G1099" s="1547">
        <f t="shared" si="608"/>
        <v>0</v>
      </c>
      <c r="H1099" s="1484"/>
      <c r="I1099" s="1547">
        <f t="shared" si="609"/>
        <v>0</v>
      </c>
      <c r="J1099" s="1517"/>
      <c r="K1099" s="1517"/>
      <c r="L1099" s="1436"/>
      <c r="M1099" s="1439"/>
      <c r="N1099" s="1439"/>
      <c r="O1099" s="1485"/>
      <c r="P1099" s="1486"/>
      <c r="Q1099" s="1486"/>
      <c r="R1099" s="1487"/>
      <c r="S1099" s="1444"/>
      <c r="T1099" s="1444"/>
      <c r="U1099" s="1444"/>
      <c r="V1099" s="1488"/>
      <c r="W1099" s="1488"/>
      <c r="X1099" s="1488"/>
      <c r="Y1099" s="1488"/>
      <c r="Z1099" s="1488"/>
      <c r="AA1099" s="1488"/>
      <c r="AB1099" s="1488"/>
      <c r="AC1099" s="1488"/>
      <c r="AD1099" s="1488"/>
      <c r="AE1099" s="1488"/>
      <c r="AF1099" s="1488"/>
      <c r="AG1099" s="1488"/>
      <c r="AH1099" s="1451">
        <f t="shared" si="581"/>
        <v>0</v>
      </c>
      <c r="AI1099" s="1488"/>
      <c r="AJ1099" s="1488"/>
      <c r="AK1099" s="1488"/>
      <c r="AL1099" s="1488"/>
      <c r="AM1099" s="1488"/>
      <c r="AN1099" s="1488"/>
      <c r="AO1099" s="1488"/>
      <c r="AP1099" s="1488"/>
      <c r="AQ1099" s="1488"/>
      <c r="AR1099" s="1488"/>
      <c r="AS1099" s="1488"/>
      <c r="AT1099" s="1542"/>
      <c r="AU1099" s="1599">
        <f t="shared" si="582"/>
        <v>0</v>
      </c>
      <c r="AV1099" s="1544">
        <f t="shared" si="610"/>
        <v>0</v>
      </c>
      <c r="AW1099" s="1452">
        <f t="shared" si="583"/>
        <v>0</v>
      </c>
      <c r="AX1099" s="1452">
        <f t="shared" si="584"/>
        <v>0</v>
      </c>
      <c r="AY1099" s="1452">
        <f t="shared" si="585"/>
        <v>0</v>
      </c>
      <c r="AZ1099" s="1452">
        <f t="shared" si="586"/>
        <v>0</v>
      </c>
      <c r="BA1099" s="1452">
        <f t="shared" si="587"/>
        <v>0</v>
      </c>
      <c r="BB1099" s="1452">
        <f t="shared" si="588"/>
        <v>0</v>
      </c>
      <c r="BC1099" s="1452">
        <f t="shared" si="589"/>
        <v>0</v>
      </c>
      <c r="BD1099" s="1452">
        <f t="shared" si="590"/>
        <v>0</v>
      </c>
      <c r="BE1099" s="1452">
        <f t="shared" si="591"/>
        <v>0</v>
      </c>
      <c r="BF1099" s="1452">
        <f t="shared" si="592"/>
        <v>0</v>
      </c>
      <c r="BG1099" s="1452">
        <f t="shared" si="593"/>
        <v>0</v>
      </c>
      <c r="BH1099" s="1452">
        <f t="shared" si="594"/>
        <v>0</v>
      </c>
      <c r="BI1099" s="1452">
        <f t="shared" si="611"/>
        <v>0</v>
      </c>
      <c r="BJ1099" s="1452" t="str">
        <f t="shared" si="595"/>
        <v/>
      </c>
      <c r="BK1099" s="1452" t="str">
        <f t="shared" si="596"/>
        <v/>
      </c>
      <c r="BL1099" s="1452" t="str">
        <f t="shared" si="597"/>
        <v/>
      </c>
      <c r="BM1099" s="1452" t="str">
        <f t="shared" si="598"/>
        <v/>
      </c>
      <c r="BN1099" s="1452" t="str">
        <f t="shared" ca="1" si="599"/>
        <v/>
      </c>
      <c r="BO1099" s="1452" t="str">
        <f t="shared" si="612"/>
        <v/>
      </c>
      <c r="BP1099" s="1452" t="str">
        <f t="shared" si="600"/>
        <v/>
      </c>
      <c r="BQ1099" s="1452" t="str">
        <f t="shared" si="601"/>
        <v/>
      </c>
      <c r="BR1099" s="1452" t="str">
        <f t="shared" si="602"/>
        <v/>
      </c>
      <c r="BS1099" s="1452" t="str">
        <f t="shared" si="603"/>
        <v/>
      </c>
      <c r="BT1099" s="1452" t="str">
        <f t="shared" si="604"/>
        <v/>
      </c>
      <c r="BU1099" s="1452" t="str">
        <f t="shared" si="605"/>
        <v/>
      </c>
      <c r="BV1099" s="1452" t="str">
        <f t="shared" si="606"/>
        <v/>
      </c>
      <c r="BW1099" s="1558">
        <f t="shared" ca="1" si="613"/>
        <v>0</v>
      </c>
    </row>
    <row r="1100" spans="1:75" s="9" customFormat="1" ht="12.5">
      <c r="A1100" s="1483" t="str">
        <f t="shared" si="607"/>
        <v>Public Health Wales Trust</v>
      </c>
      <c r="B1100" s="1583"/>
      <c r="C1100" s="1510"/>
      <c r="D1100" s="1514"/>
      <c r="E1100" s="1595"/>
      <c r="F1100" s="1436"/>
      <c r="G1100" s="1547">
        <f t="shared" si="608"/>
        <v>0</v>
      </c>
      <c r="H1100" s="1484"/>
      <c r="I1100" s="1547">
        <f t="shared" si="609"/>
        <v>0</v>
      </c>
      <c r="J1100" s="1517"/>
      <c r="K1100" s="1517"/>
      <c r="L1100" s="1436"/>
      <c r="M1100" s="1439"/>
      <c r="N1100" s="1439"/>
      <c r="O1100" s="1485"/>
      <c r="P1100" s="1486"/>
      <c r="Q1100" s="1486"/>
      <c r="R1100" s="1487"/>
      <c r="S1100" s="1444"/>
      <c r="T1100" s="1444"/>
      <c r="U1100" s="1444"/>
      <c r="V1100" s="1488"/>
      <c r="W1100" s="1488"/>
      <c r="X1100" s="1488"/>
      <c r="Y1100" s="1488"/>
      <c r="Z1100" s="1488"/>
      <c r="AA1100" s="1488"/>
      <c r="AB1100" s="1488"/>
      <c r="AC1100" s="1488"/>
      <c r="AD1100" s="1488"/>
      <c r="AE1100" s="1488"/>
      <c r="AF1100" s="1488"/>
      <c r="AG1100" s="1488"/>
      <c r="AH1100" s="1451">
        <f t="shared" si="581"/>
        <v>0</v>
      </c>
      <c r="AI1100" s="1488"/>
      <c r="AJ1100" s="1488"/>
      <c r="AK1100" s="1488"/>
      <c r="AL1100" s="1488"/>
      <c r="AM1100" s="1488"/>
      <c r="AN1100" s="1488"/>
      <c r="AO1100" s="1488"/>
      <c r="AP1100" s="1488"/>
      <c r="AQ1100" s="1488"/>
      <c r="AR1100" s="1488"/>
      <c r="AS1100" s="1488"/>
      <c r="AT1100" s="1542"/>
      <c r="AU1100" s="1599">
        <f t="shared" si="582"/>
        <v>0</v>
      </c>
      <c r="AV1100" s="1544">
        <f t="shared" si="610"/>
        <v>0</v>
      </c>
      <c r="AW1100" s="1452">
        <f t="shared" si="583"/>
        <v>0</v>
      </c>
      <c r="AX1100" s="1452">
        <f t="shared" si="584"/>
        <v>0</v>
      </c>
      <c r="AY1100" s="1452">
        <f t="shared" si="585"/>
        <v>0</v>
      </c>
      <c r="AZ1100" s="1452">
        <f t="shared" si="586"/>
        <v>0</v>
      </c>
      <c r="BA1100" s="1452">
        <f t="shared" si="587"/>
        <v>0</v>
      </c>
      <c r="BB1100" s="1452">
        <f t="shared" si="588"/>
        <v>0</v>
      </c>
      <c r="BC1100" s="1452">
        <f t="shared" si="589"/>
        <v>0</v>
      </c>
      <c r="BD1100" s="1452">
        <f t="shared" si="590"/>
        <v>0</v>
      </c>
      <c r="BE1100" s="1452">
        <f t="shared" si="591"/>
        <v>0</v>
      </c>
      <c r="BF1100" s="1452">
        <f t="shared" si="592"/>
        <v>0</v>
      </c>
      <c r="BG1100" s="1452">
        <f t="shared" si="593"/>
        <v>0</v>
      </c>
      <c r="BH1100" s="1452">
        <f t="shared" si="594"/>
        <v>0</v>
      </c>
      <c r="BI1100" s="1452">
        <f t="shared" si="611"/>
        <v>0</v>
      </c>
      <c r="BJ1100" s="1452" t="str">
        <f t="shared" si="595"/>
        <v/>
      </c>
      <c r="BK1100" s="1452" t="str">
        <f t="shared" si="596"/>
        <v/>
      </c>
      <c r="BL1100" s="1452" t="str">
        <f t="shared" si="597"/>
        <v/>
      </c>
      <c r="BM1100" s="1452" t="str">
        <f t="shared" si="598"/>
        <v/>
      </c>
      <c r="BN1100" s="1452" t="str">
        <f t="shared" ca="1" si="599"/>
        <v/>
      </c>
      <c r="BO1100" s="1452" t="str">
        <f t="shared" si="612"/>
        <v/>
      </c>
      <c r="BP1100" s="1452" t="str">
        <f t="shared" si="600"/>
        <v/>
      </c>
      <c r="BQ1100" s="1452" t="str">
        <f t="shared" si="601"/>
        <v/>
      </c>
      <c r="BR1100" s="1452" t="str">
        <f t="shared" si="602"/>
        <v/>
      </c>
      <c r="BS1100" s="1452" t="str">
        <f t="shared" si="603"/>
        <v/>
      </c>
      <c r="BT1100" s="1452" t="str">
        <f t="shared" si="604"/>
        <v/>
      </c>
      <c r="BU1100" s="1452" t="str">
        <f t="shared" si="605"/>
        <v/>
      </c>
      <c r="BV1100" s="1452" t="str">
        <f t="shared" si="606"/>
        <v/>
      </c>
      <c r="BW1100" s="1558">
        <f t="shared" ca="1" si="613"/>
        <v>0</v>
      </c>
    </row>
    <row r="1101" spans="1:75" s="9" customFormat="1" ht="12.5">
      <c r="A1101" s="1483" t="str">
        <f t="shared" si="607"/>
        <v>Public Health Wales Trust</v>
      </c>
      <c r="B1101" s="1583"/>
      <c r="C1101" s="1510"/>
      <c r="D1101" s="1514"/>
      <c r="E1101" s="1595"/>
      <c r="F1101" s="1436"/>
      <c r="G1101" s="1547">
        <f t="shared" si="608"/>
        <v>0</v>
      </c>
      <c r="H1101" s="1484"/>
      <c r="I1101" s="1547">
        <f t="shared" si="609"/>
        <v>0</v>
      </c>
      <c r="J1101" s="1517"/>
      <c r="K1101" s="1517"/>
      <c r="L1101" s="1436"/>
      <c r="M1101" s="1439"/>
      <c r="N1101" s="1439"/>
      <c r="O1101" s="1485"/>
      <c r="P1101" s="1486"/>
      <c r="Q1101" s="1486"/>
      <c r="R1101" s="1487"/>
      <c r="S1101" s="1444"/>
      <c r="T1101" s="1444"/>
      <c r="U1101" s="1444"/>
      <c r="V1101" s="1488"/>
      <c r="W1101" s="1488"/>
      <c r="X1101" s="1488"/>
      <c r="Y1101" s="1488"/>
      <c r="Z1101" s="1488"/>
      <c r="AA1101" s="1488"/>
      <c r="AB1101" s="1488"/>
      <c r="AC1101" s="1488"/>
      <c r="AD1101" s="1488"/>
      <c r="AE1101" s="1488"/>
      <c r="AF1101" s="1488"/>
      <c r="AG1101" s="1488"/>
      <c r="AH1101" s="1451">
        <f t="shared" si="581"/>
        <v>0</v>
      </c>
      <c r="AI1101" s="1488"/>
      <c r="AJ1101" s="1488"/>
      <c r="AK1101" s="1488"/>
      <c r="AL1101" s="1488"/>
      <c r="AM1101" s="1488"/>
      <c r="AN1101" s="1488"/>
      <c r="AO1101" s="1488"/>
      <c r="AP1101" s="1488"/>
      <c r="AQ1101" s="1488"/>
      <c r="AR1101" s="1488"/>
      <c r="AS1101" s="1488"/>
      <c r="AT1101" s="1542"/>
      <c r="AU1101" s="1599">
        <f t="shared" si="582"/>
        <v>0</v>
      </c>
      <c r="AV1101" s="1544">
        <f t="shared" si="610"/>
        <v>0</v>
      </c>
      <c r="AW1101" s="1452">
        <f t="shared" si="583"/>
        <v>0</v>
      </c>
      <c r="AX1101" s="1452">
        <f t="shared" si="584"/>
        <v>0</v>
      </c>
      <c r="AY1101" s="1452">
        <f t="shared" si="585"/>
        <v>0</v>
      </c>
      <c r="AZ1101" s="1452">
        <f t="shared" si="586"/>
        <v>0</v>
      </c>
      <c r="BA1101" s="1452">
        <f t="shared" si="587"/>
        <v>0</v>
      </c>
      <c r="BB1101" s="1452">
        <f t="shared" si="588"/>
        <v>0</v>
      </c>
      <c r="BC1101" s="1452">
        <f t="shared" si="589"/>
        <v>0</v>
      </c>
      <c r="BD1101" s="1452">
        <f t="shared" si="590"/>
        <v>0</v>
      </c>
      <c r="BE1101" s="1452">
        <f t="shared" si="591"/>
        <v>0</v>
      </c>
      <c r="BF1101" s="1452">
        <f t="shared" si="592"/>
        <v>0</v>
      </c>
      <c r="BG1101" s="1452">
        <f t="shared" si="593"/>
        <v>0</v>
      </c>
      <c r="BH1101" s="1452">
        <f t="shared" si="594"/>
        <v>0</v>
      </c>
      <c r="BI1101" s="1452">
        <f t="shared" si="611"/>
        <v>0</v>
      </c>
      <c r="BJ1101" s="1452" t="str">
        <f t="shared" si="595"/>
        <v/>
      </c>
      <c r="BK1101" s="1452" t="str">
        <f t="shared" si="596"/>
        <v/>
      </c>
      <c r="BL1101" s="1452" t="str">
        <f t="shared" si="597"/>
        <v/>
      </c>
      <c r="BM1101" s="1452" t="str">
        <f t="shared" si="598"/>
        <v/>
      </c>
      <c r="BN1101" s="1452" t="str">
        <f t="shared" ca="1" si="599"/>
        <v/>
      </c>
      <c r="BO1101" s="1452" t="str">
        <f t="shared" si="612"/>
        <v/>
      </c>
      <c r="BP1101" s="1452" t="str">
        <f t="shared" si="600"/>
        <v/>
      </c>
      <c r="BQ1101" s="1452" t="str">
        <f t="shared" si="601"/>
        <v/>
      </c>
      <c r="BR1101" s="1452" t="str">
        <f t="shared" si="602"/>
        <v/>
      </c>
      <c r="BS1101" s="1452" t="str">
        <f t="shared" si="603"/>
        <v/>
      </c>
      <c r="BT1101" s="1452" t="str">
        <f t="shared" si="604"/>
        <v/>
      </c>
      <c r="BU1101" s="1452" t="str">
        <f t="shared" si="605"/>
        <v/>
      </c>
      <c r="BV1101" s="1452" t="str">
        <f t="shared" si="606"/>
        <v/>
      </c>
      <c r="BW1101" s="1558">
        <f t="shared" ca="1" si="613"/>
        <v>0</v>
      </c>
    </row>
    <row r="1102" spans="1:75" s="9" customFormat="1" ht="12.5">
      <c r="A1102" s="1483" t="str">
        <f t="shared" si="607"/>
        <v>Public Health Wales Trust</v>
      </c>
      <c r="B1102" s="1583"/>
      <c r="C1102" s="1510"/>
      <c r="D1102" s="1514"/>
      <c r="E1102" s="1595"/>
      <c r="F1102" s="1436"/>
      <c r="G1102" s="1547">
        <f t="shared" si="608"/>
        <v>0</v>
      </c>
      <c r="H1102" s="1484"/>
      <c r="I1102" s="1547">
        <f t="shared" si="609"/>
        <v>0</v>
      </c>
      <c r="J1102" s="1517"/>
      <c r="K1102" s="1517"/>
      <c r="L1102" s="1436"/>
      <c r="M1102" s="1439"/>
      <c r="N1102" s="1439"/>
      <c r="O1102" s="1485"/>
      <c r="P1102" s="1486"/>
      <c r="Q1102" s="1486"/>
      <c r="R1102" s="1487"/>
      <c r="S1102" s="1444"/>
      <c r="T1102" s="1444"/>
      <c r="U1102" s="1444"/>
      <c r="V1102" s="1488"/>
      <c r="W1102" s="1488"/>
      <c r="X1102" s="1488"/>
      <c r="Y1102" s="1488"/>
      <c r="Z1102" s="1488"/>
      <c r="AA1102" s="1488"/>
      <c r="AB1102" s="1488"/>
      <c r="AC1102" s="1488"/>
      <c r="AD1102" s="1488"/>
      <c r="AE1102" s="1488"/>
      <c r="AF1102" s="1488"/>
      <c r="AG1102" s="1488"/>
      <c r="AH1102" s="1451">
        <f t="shared" si="581"/>
        <v>0</v>
      </c>
      <c r="AI1102" s="1488"/>
      <c r="AJ1102" s="1488"/>
      <c r="AK1102" s="1488"/>
      <c r="AL1102" s="1488"/>
      <c r="AM1102" s="1488"/>
      <c r="AN1102" s="1488"/>
      <c r="AO1102" s="1488"/>
      <c r="AP1102" s="1488"/>
      <c r="AQ1102" s="1488"/>
      <c r="AR1102" s="1488"/>
      <c r="AS1102" s="1488"/>
      <c r="AT1102" s="1542"/>
      <c r="AU1102" s="1599">
        <f t="shared" si="582"/>
        <v>0</v>
      </c>
      <c r="AV1102" s="1544">
        <f t="shared" si="610"/>
        <v>0</v>
      </c>
      <c r="AW1102" s="1452">
        <f t="shared" si="583"/>
        <v>0</v>
      </c>
      <c r="AX1102" s="1452">
        <f t="shared" si="584"/>
        <v>0</v>
      </c>
      <c r="AY1102" s="1452">
        <f t="shared" si="585"/>
        <v>0</v>
      </c>
      <c r="AZ1102" s="1452">
        <f t="shared" si="586"/>
        <v>0</v>
      </c>
      <c r="BA1102" s="1452">
        <f t="shared" si="587"/>
        <v>0</v>
      </c>
      <c r="BB1102" s="1452">
        <f t="shared" si="588"/>
        <v>0</v>
      </c>
      <c r="BC1102" s="1452">
        <f t="shared" si="589"/>
        <v>0</v>
      </c>
      <c r="BD1102" s="1452">
        <f t="shared" si="590"/>
        <v>0</v>
      </c>
      <c r="BE1102" s="1452">
        <f t="shared" si="591"/>
        <v>0</v>
      </c>
      <c r="BF1102" s="1452">
        <f t="shared" si="592"/>
        <v>0</v>
      </c>
      <c r="BG1102" s="1452">
        <f t="shared" si="593"/>
        <v>0</v>
      </c>
      <c r="BH1102" s="1452">
        <f t="shared" si="594"/>
        <v>0</v>
      </c>
      <c r="BI1102" s="1452">
        <f t="shared" si="611"/>
        <v>0</v>
      </c>
      <c r="BJ1102" s="1452" t="str">
        <f t="shared" si="595"/>
        <v/>
      </c>
      <c r="BK1102" s="1452" t="str">
        <f t="shared" si="596"/>
        <v/>
      </c>
      <c r="BL1102" s="1452" t="str">
        <f t="shared" si="597"/>
        <v/>
      </c>
      <c r="BM1102" s="1452" t="str">
        <f t="shared" si="598"/>
        <v/>
      </c>
      <c r="BN1102" s="1452" t="str">
        <f t="shared" ca="1" si="599"/>
        <v/>
      </c>
      <c r="BO1102" s="1452" t="str">
        <f t="shared" si="612"/>
        <v/>
      </c>
      <c r="BP1102" s="1452" t="str">
        <f t="shared" si="600"/>
        <v/>
      </c>
      <c r="BQ1102" s="1452" t="str">
        <f t="shared" si="601"/>
        <v/>
      </c>
      <c r="BR1102" s="1452" t="str">
        <f t="shared" si="602"/>
        <v/>
      </c>
      <c r="BS1102" s="1452" t="str">
        <f t="shared" si="603"/>
        <v/>
      </c>
      <c r="BT1102" s="1452" t="str">
        <f t="shared" si="604"/>
        <v/>
      </c>
      <c r="BU1102" s="1452" t="str">
        <f t="shared" si="605"/>
        <v/>
      </c>
      <c r="BV1102" s="1452" t="str">
        <f t="shared" si="606"/>
        <v/>
      </c>
      <c r="BW1102" s="1558">
        <f t="shared" ca="1" si="613"/>
        <v>0</v>
      </c>
    </row>
    <row r="1103" spans="1:75" s="9" customFormat="1" ht="12.5">
      <c r="A1103" s="1483" t="str">
        <f t="shared" si="607"/>
        <v>Public Health Wales Trust</v>
      </c>
      <c r="B1103" s="1583"/>
      <c r="C1103" s="1510"/>
      <c r="D1103" s="1514"/>
      <c r="E1103" s="1595"/>
      <c r="F1103" s="1436"/>
      <c r="G1103" s="1547">
        <f t="shared" si="608"/>
        <v>0</v>
      </c>
      <c r="H1103" s="1484"/>
      <c r="I1103" s="1547">
        <f t="shared" si="609"/>
        <v>0</v>
      </c>
      <c r="J1103" s="1517"/>
      <c r="K1103" s="1517"/>
      <c r="L1103" s="1436"/>
      <c r="M1103" s="1439"/>
      <c r="N1103" s="1439"/>
      <c r="O1103" s="1485"/>
      <c r="P1103" s="1486"/>
      <c r="Q1103" s="1486"/>
      <c r="R1103" s="1487"/>
      <c r="S1103" s="1444"/>
      <c r="T1103" s="1444"/>
      <c r="U1103" s="1444"/>
      <c r="V1103" s="1488"/>
      <c r="W1103" s="1488"/>
      <c r="X1103" s="1488"/>
      <c r="Y1103" s="1488"/>
      <c r="Z1103" s="1488"/>
      <c r="AA1103" s="1488"/>
      <c r="AB1103" s="1488"/>
      <c r="AC1103" s="1488"/>
      <c r="AD1103" s="1488"/>
      <c r="AE1103" s="1488"/>
      <c r="AF1103" s="1488"/>
      <c r="AG1103" s="1488"/>
      <c r="AH1103" s="1451">
        <f t="shared" si="581"/>
        <v>0</v>
      </c>
      <c r="AI1103" s="1488"/>
      <c r="AJ1103" s="1488"/>
      <c r="AK1103" s="1488"/>
      <c r="AL1103" s="1488"/>
      <c r="AM1103" s="1488"/>
      <c r="AN1103" s="1488"/>
      <c r="AO1103" s="1488"/>
      <c r="AP1103" s="1488"/>
      <c r="AQ1103" s="1488"/>
      <c r="AR1103" s="1488"/>
      <c r="AS1103" s="1488"/>
      <c r="AT1103" s="1542"/>
      <c r="AU1103" s="1599">
        <f t="shared" si="582"/>
        <v>0</v>
      </c>
      <c r="AV1103" s="1544">
        <f t="shared" si="610"/>
        <v>0</v>
      </c>
      <c r="AW1103" s="1452">
        <f t="shared" si="583"/>
        <v>0</v>
      </c>
      <c r="AX1103" s="1452">
        <f t="shared" si="584"/>
        <v>0</v>
      </c>
      <c r="AY1103" s="1452">
        <f t="shared" si="585"/>
        <v>0</v>
      </c>
      <c r="AZ1103" s="1452">
        <f t="shared" si="586"/>
        <v>0</v>
      </c>
      <c r="BA1103" s="1452">
        <f t="shared" si="587"/>
        <v>0</v>
      </c>
      <c r="BB1103" s="1452">
        <f t="shared" si="588"/>
        <v>0</v>
      </c>
      <c r="BC1103" s="1452">
        <f t="shared" si="589"/>
        <v>0</v>
      </c>
      <c r="BD1103" s="1452">
        <f t="shared" si="590"/>
        <v>0</v>
      </c>
      <c r="BE1103" s="1452">
        <f t="shared" si="591"/>
        <v>0</v>
      </c>
      <c r="BF1103" s="1452">
        <f t="shared" si="592"/>
        <v>0</v>
      </c>
      <c r="BG1103" s="1452">
        <f t="shared" si="593"/>
        <v>0</v>
      </c>
      <c r="BH1103" s="1452">
        <f t="shared" si="594"/>
        <v>0</v>
      </c>
      <c r="BI1103" s="1452">
        <f t="shared" si="611"/>
        <v>0</v>
      </c>
      <c r="BJ1103" s="1452" t="str">
        <f t="shared" si="595"/>
        <v/>
      </c>
      <c r="BK1103" s="1452" t="str">
        <f t="shared" si="596"/>
        <v/>
      </c>
      <c r="BL1103" s="1452" t="str">
        <f t="shared" si="597"/>
        <v/>
      </c>
      <c r="BM1103" s="1452" t="str">
        <f t="shared" si="598"/>
        <v/>
      </c>
      <c r="BN1103" s="1452" t="str">
        <f t="shared" ca="1" si="599"/>
        <v/>
      </c>
      <c r="BO1103" s="1452" t="str">
        <f t="shared" si="612"/>
        <v/>
      </c>
      <c r="BP1103" s="1452" t="str">
        <f t="shared" si="600"/>
        <v/>
      </c>
      <c r="BQ1103" s="1452" t="str">
        <f t="shared" si="601"/>
        <v/>
      </c>
      <c r="BR1103" s="1452" t="str">
        <f t="shared" si="602"/>
        <v/>
      </c>
      <c r="BS1103" s="1452" t="str">
        <f t="shared" si="603"/>
        <v/>
      </c>
      <c r="BT1103" s="1452" t="str">
        <f t="shared" si="604"/>
        <v/>
      </c>
      <c r="BU1103" s="1452" t="str">
        <f t="shared" si="605"/>
        <v/>
      </c>
      <c r="BV1103" s="1452" t="str">
        <f t="shared" si="606"/>
        <v/>
      </c>
      <c r="BW1103" s="1558">
        <f t="shared" ca="1" si="613"/>
        <v>0</v>
      </c>
    </row>
    <row r="1104" spans="1:75" s="9" customFormat="1" ht="12.5">
      <c r="A1104" s="1483" t="str">
        <f t="shared" si="607"/>
        <v>Public Health Wales Trust</v>
      </c>
      <c r="B1104" s="1583"/>
      <c r="C1104" s="1510"/>
      <c r="D1104" s="1514"/>
      <c r="E1104" s="1595"/>
      <c r="F1104" s="1436"/>
      <c r="G1104" s="1547">
        <f t="shared" si="608"/>
        <v>0</v>
      </c>
      <c r="H1104" s="1484"/>
      <c r="I1104" s="1547">
        <f t="shared" si="609"/>
        <v>0</v>
      </c>
      <c r="J1104" s="1517"/>
      <c r="K1104" s="1517"/>
      <c r="L1104" s="1436"/>
      <c r="M1104" s="1439"/>
      <c r="N1104" s="1439"/>
      <c r="O1104" s="1485"/>
      <c r="P1104" s="1486"/>
      <c r="Q1104" s="1486"/>
      <c r="R1104" s="1487"/>
      <c r="S1104" s="1444"/>
      <c r="T1104" s="1444"/>
      <c r="U1104" s="1444"/>
      <c r="V1104" s="1488"/>
      <c r="W1104" s="1488"/>
      <c r="X1104" s="1488"/>
      <c r="Y1104" s="1488"/>
      <c r="Z1104" s="1488"/>
      <c r="AA1104" s="1488"/>
      <c r="AB1104" s="1488"/>
      <c r="AC1104" s="1488"/>
      <c r="AD1104" s="1488"/>
      <c r="AE1104" s="1488"/>
      <c r="AF1104" s="1488"/>
      <c r="AG1104" s="1488"/>
      <c r="AH1104" s="1451">
        <f t="shared" si="581"/>
        <v>0</v>
      </c>
      <c r="AI1104" s="1488"/>
      <c r="AJ1104" s="1488"/>
      <c r="AK1104" s="1488"/>
      <c r="AL1104" s="1488"/>
      <c r="AM1104" s="1488"/>
      <c r="AN1104" s="1488"/>
      <c r="AO1104" s="1488"/>
      <c r="AP1104" s="1488"/>
      <c r="AQ1104" s="1488"/>
      <c r="AR1104" s="1488"/>
      <c r="AS1104" s="1488"/>
      <c r="AT1104" s="1542"/>
      <c r="AU1104" s="1599">
        <f t="shared" si="582"/>
        <v>0</v>
      </c>
      <c r="AV1104" s="1544">
        <f t="shared" si="610"/>
        <v>0</v>
      </c>
      <c r="AW1104" s="1452">
        <f t="shared" si="583"/>
        <v>0</v>
      </c>
      <c r="AX1104" s="1452">
        <f t="shared" si="584"/>
        <v>0</v>
      </c>
      <c r="AY1104" s="1452">
        <f t="shared" si="585"/>
        <v>0</v>
      </c>
      <c r="AZ1104" s="1452">
        <f t="shared" si="586"/>
        <v>0</v>
      </c>
      <c r="BA1104" s="1452">
        <f t="shared" si="587"/>
        <v>0</v>
      </c>
      <c r="BB1104" s="1452">
        <f t="shared" si="588"/>
        <v>0</v>
      </c>
      <c r="BC1104" s="1452">
        <f t="shared" si="589"/>
        <v>0</v>
      </c>
      <c r="BD1104" s="1452">
        <f t="shared" si="590"/>
        <v>0</v>
      </c>
      <c r="BE1104" s="1452">
        <f t="shared" si="591"/>
        <v>0</v>
      </c>
      <c r="BF1104" s="1452">
        <f t="shared" si="592"/>
        <v>0</v>
      </c>
      <c r="BG1104" s="1452">
        <f t="shared" si="593"/>
        <v>0</v>
      </c>
      <c r="BH1104" s="1452">
        <f t="shared" si="594"/>
        <v>0</v>
      </c>
      <c r="BI1104" s="1452">
        <f t="shared" si="611"/>
        <v>0</v>
      </c>
      <c r="BJ1104" s="1452" t="str">
        <f t="shared" si="595"/>
        <v/>
      </c>
      <c r="BK1104" s="1452" t="str">
        <f t="shared" si="596"/>
        <v/>
      </c>
      <c r="BL1104" s="1452" t="str">
        <f t="shared" si="597"/>
        <v/>
      </c>
      <c r="BM1104" s="1452" t="str">
        <f t="shared" si="598"/>
        <v/>
      </c>
      <c r="BN1104" s="1452" t="str">
        <f t="shared" ca="1" si="599"/>
        <v/>
      </c>
      <c r="BO1104" s="1452" t="str">
        <f t="shared" si="612"/>
        <v/>
      </c>
      <c r="BP1104" s="1452" t="str">
        <f t="shared" si="600"/>
        <v/>
      </c>
      <c r="BQ1104" s="1452" t="str">
        <f t="shared" si="601"/>
        <v/>
      </c>
      <c r="BR1104" s="1452" t="str">
        <f t="shared" si="602"/>
        <v/>
      </c>
      <c r="BS1104" s="1452" t="str">
        <f t="shared" si="603"/>
        <v/>
      </c>
      <c r="BT1104" s="1452" t="str">
        <f t="shared" si="604"/>
        <v/>
      </c>
      <c r="BU1104" s="1452" t="str">
        <f t="shared" si="605"/>
        <v/>
      </c>
      <c r="BV1104" s="1452" t="str">
        <f t="shared" si="606"/>
        <v/>
      </c>
      <c r="BW1104" s="1558">
        <f t="shared" ca="1" si="613"/>
        <v>0</v>
      </c>
    </row>
    <row r="1105" spans="1:75" s="9" customFormat="1" ht="12.5">
      <c r="A1105" s="1483" t="str">
        <f t="shared" si="607"/>
        <v>Public Health Wales Trust</v>
      </c>
      <c r="B1105" s="1583"/>
      <c r="C1105" s="1510"/>
      <c r="D1105" s="1514"/>
      <c r="E1105" s="1595"/>
      <c r="F1105" s="1436"/>
      <c r="G1105" s="1547">
        <f t="shared" si="608"/>
        <v>0</v>
      </c>
      <c r="H1105" s="1484"/>
      <c r="I1105" s="1547">
        <f t="shared" si="609"/>
        <v>0</v>
      </c>
      <c r="J1105" s="1517"/>
      <c r="K1105" s="1517"/>
      <c r="L1105" s="1436"/>
      <c r="M1105" s="1439"/>
      <c r="N1105" s="1439"/>
      <c r="O1105" s="1485"/>
      <c r="P1105" s="1486"/>
      <c r="Q1105" s="1486"/>
      <c r="R1105" s="1487"/>
      <c r="S1105" s="1444"/>
      <c r="T1105" s="1444"/>
      <c r="U1105" s="1444"/>
      <c r="V1105" s="1488"/>
      <c r="W1105" s="1488"/>
      <c r="X1105" s="1488"/>
      <c r="Y1105" s="1488"/>
      <c r="Z1105" s="1488"/>
      <c r="AA1105" s="1488"/>
      <c r="AB1105" s="1488"/>
      <c r="AC1105" s="1488"/>
      <c r="AD1105" s="1488"/>
      <c r="AE1105" s="1488"/>
      <c r="AF1105" s="1488"/>
      <c r="AG1105" s="1488"/>
      <c r="AH1105" s="1451">
        <f t="shared" si="581"/>
        <v>0</v>
      </c>
      <c r="AI1105" s="1488"/>
      <c r="AJ1105" s="1488"/>
      <c r="AK1105" s="1488"/>
      <c r="AL1105" s="1488"/>
      <c r="AM1105" s="1488"/>
      <c r="AN1105" s="1488"/>
      <c r="AO1105" s="1488"/>
      <c r="AP1105" s="1488"/>
      <c r="AQ1105" s="1488"/>
      <c r="AR1105" s="1488"/>
      <c r="AS1105" s="1488"/>
      <c r="AT1105" s="1542"/>
      <c r="AU1105" s="1599">
        <f t="shared" si="582"/>
        <v>0</v>
      </c>
      <c r="AV1105" s="1544">
        <f t="shared" si="610"/>
        <v>0</v>
      </c>
      <c r="AW1105" s="1452">
        <f t="shared" si="583"/>
        <v>0</v>
      </c>
      <c r="AX1105" s="1452">
        <f t="shared" si="584"/>
        <v>0</v>
      </c>
      <c r="AY1105" s="1452">
        <f t="shared" si="585"/>
        <v>0</v>
      </c>
      <c r="AZ1105" s="1452">
        <f t="shared" si="586"/>
        <v>0</v>
      </c>
      <c r="BA1105" s="1452">
        <f t="shared" si="587"/>
        <v>0</v>
      </c>
      <c r="BB1105" s="1452">
        <f t="shared" si="588"/>
        <v>0</v>
      </c>
      <c r="BC1105" s="1452">
        <f t="shared" si="589"/>
        <v>0</v>
      </c>
      <c r="BD1105" s="1452">
        <f t="shared" si="590"/>
        <v>0</v>
      </c>
      <c r="BE1105" s="1452">
        <f t="shared" si="591"/>
        <v>0</v>
      </c>
      <c r="BF1105" s="1452">
        <f t="shared" si="592"/>
        <v>0</v>
      </c>
      <c r="BG1105" s="1452">
        <f t="shared" si="593"/>
        <v>0</v>
      </c>
      <c r="BH1105" s="1452">
        <f t="shared" si="594"/>
        <v>0</v>
      </c>
      <c r="BI1105" s="1452">
        <f t="shared" si="611"/>
        <v>0</v>
      </c>
      <c r="BJ1105" s="1452" t="str">
        <f t="shared" si="595"/>
        <v/>
      </c>
      <c r="BK1105" s="1452" t="str">
        <f t="shared" si="596"/>
        <v/>
      </c>
      <c r="BL1105" s="1452" t="str">
        <f t="shared" si="597"/>
        <v/>
      </c>
      <c r="BM1105" s="1452" t="str">
        <f t="shared" si="598"/>
        <v/>
      </c>
      <c r="BN1105" s="1452" t="str">
        <f t="shared" ca="1" si="599"/>
        <v/>
      </c>
      <c r="BO1105" s="1452" t="str">
        <f t="shared" si="612"/>
        <v/>
      </c>
      <c r="BP1105" s="1452" t="str">
        <f t="shared" si="600"/>
        <v/>
      </c>
      <c r="BQ1105" s="1452" t="str">
        <f t="shared" si="601"/>
        <v/>
      </c>
      <c r="BR1105" s="1452" t="str">
        <f t="shared" si="602"/>
        <v/>
      </c>
      <c r="BS1105" s="1452" t="str">
        <f t="shared" si="603"/>
        <v/>
      </c>
      <c r="BT1105" s="1452" t="str">
        <f t="shared" si="604"/>
        <v/>
      </c>
      <c r="BU1105" s="1452" t="str">
        <f t="shared" si="605"/>
        <v/>
      </c>
      <c r="BV1105" s="1452" t="str">
        <f t="shared" si="606"/>
        <v/>
      </c>
      <c r="BW1105" s="1558">
        <f t="shared" ca="1" si="613"/>
        <v>0</v>
      </c>
    </row>
    <row r="1106" spans="1:75" s="9" customFormat="1" ht="12.5">
      <c r="A1106" s="1483" t="str">
        <f t="shared" si="607"/>
        <v>Public Health Wales Trust</v>
      </c>
      <c r="B1106" s="1583"/>
      <c r="C1106" s="1510"/>
      <c r="D1106" s="1514"/>
      <c r="E1106" s="1595"/>
      <c r="F1106" s="1436"/>
      <c r="G1106" s="1547">
        <f t="shared" si="608"/>
        <v>0</v>
      </c>
      <c r="H1106" s="1484"/>
      <c r="I1106" s="1547">
        <f t="shared" si="609"/>
        <v>0</v>
      </c>
      <c r="J1106" s="1517"/>
      <c r="K1106" s="1517"/>
      <c r="L1106" s="1436"/>
      <c r="M1106" s="1439"/>
      <c r="N1106" s="1439"/>
      <c r="O1106" s="1485"/>
      <c r="P1106" s="1486"/>
      <c r="Q1106" s="1486"/>
      <c r="R1106" s="1487"/>
      <c r="S1106" s="1444"/>
      <c r="T1106" s="1444"/>
      <c r="U1106" s="1444"/>
      <c r="V1106" s="1488"/>
      <c r="W1106" s="1488"/>
      <c r="X1106" s="1488"/>
      <c r="Y1106" s="1488"/>
      <c r="Z1106" s="1488"/>
      <c r="AA1106" s="1488"/>
      <c r="AB1106" s="1488"/>
      <c r="AC1106" s="1488"/>
      <c r="AD1106" s="1488"/>
      <c r="AE1106" s="1488"/>
      <c r="AF1106" s="1488"/>
      <c r="AG1106" s="1488"/>
      <c r="AH1106" s="1451">
        <f t="shared" si="581"/>
        <v>0</v>
      </c>
      <c r="AI1106" s="1488"/>
      <c r="AJ1106" s="1488"/>
      <c r="AK1106" s="1488"/>
      <c r="AL1106" s="1488"/>
      <c r="AM1106" s="1488"/>
      <c r="AN1106" s="1488"/>
      <c r="AO1106" s="1488"/>
      <c r="AP1106" s="1488"/>
      <c r="AQ1106" s="1488"/>
      <c r="AR1106" s="1488"/>
      <c r="AS1106" s="1488"/>
      <c r="AT1106" s="1542"/>
      <c r="AU1106" s="1599">
        <f t="shared" si="582"/>
        <v>0</v>
      </c>
      <c r="AV1106" s="1544">
        <f t="shared" si="610"/>
        <v>0</v>
      </c>
      <c r="AW1106" s="1452">
        <f t="shared" si="583"/>
        <v>0</v>
      </c>
      <c r="AX1106" s="1452">
        <f t="shared" si="584"/>
        <v>0</v>
      </c>
      <c r="AY1106" s="1452">
        <f t="shared" si="585"/>
        <v>0</v>
      </c>
      <c r="AZ1106" s="1452">
        <f t="shared" si="586"/>
        <v>0</v>
      </c>
      <c r="BA1106" s="1452">
        <f t="shared" si="587"/>
        <v>0</v>
      </c>
      <c r="BB1106" s="1452">
        <f t="shared" si="588"/>
        <v>0</v>
      </c>
      <c r="BC1106" s="1452">
        <f t="shared" si="589"/>
        <v>0</v>
      </c>
      <c r="BD1106" s="1452">
        <f t="shared" si="590"/>
        <v>0</v>
      </c>
      <c r="BE1106" s="1452">
        <f t="shared" si="591"/>
        <v>0</v>
      </c>
      <c r="BF1106" s="1452">
        <f t="shared" si="592"/>
        <v>0</v>
      </c>
      <c r="BG1106" s="1452">
        <f t="shared" si="593"/>
        <v>0</v>
      </c>
      <c r="BH1106" s="1452">
        <f t="shared" si="594"/>
        <v>0</v>
      </c>
      <c r="BI1106" s="1452">
        <f t="shared" si="611"/>
        <v>0</v>
      </c>
      <c r="BJ1106" s="1452" t="str">
        <f t="shared" si="595"/>
        <v/>
      </c>
      <c r="BK1106" s="1452" t="str">
        <f t="shared" si="596"/>
        <v/>
      </c>
      <c r="BL1106" s="1452" t="str">
        <f t="shared" si="597"/>
        <v/>
      </c>
      <c r="BM1106" s="1452" t="str">
        <f t="shared" si="598"/>
        <v/>
      </c>
      <c r="BN1106" s="1452" t="str">
        <f t="shared" ca="1" si="599"/>
        <v/>
      </c>
      <c r="BO1106" s="1452" t="str">
        <f t="shared" si="612"/>
        <v/>
      </c>
      <c r="BP1106" s="1452" t="str">
        <f t="shared" si="600"/>
        <v/>
      </c>
      <c r="BQ1106" s="1452" t="str">
        <f t="shared" si="601"/>
        <v/>
      </c>
      <c r="BR1106" s="1452" t="str">
        <f t="shared" si="602"/>
        <v/>
      </c>
      <c r="BS1106" s="1452" t="str">
        <f t="shared" si="603"/>
        <v/>
      </c>
      <c r="BT1106" s="1452" t="str">
        <f t="shared" si="604"/>
        <v/>
      </c>
      <c r="BU1106" s="1452" t="str">
        <f t="shared" si="605"/>
        <v/>
      </c>
      <c r="BV1106" s="1452" t="str">
        <f t="shared" si="606"/>
        <v/>
      </c>
      <c r="BW1106" s="1558">
        <f t="shared" ca="1" si="613"/>
        <v>0</v>
      </c>
    </row>
    <row r="1107" spans="1:75" s="9" customFormat="1" ht="12.5">
      <c r="A1107" s="1483" t="str">
        <f t="shared" si="607"/>
        <v>Public Health Wales Trust</v>
      </c>
      <c r="B1107" s="1583"/>
      <c r="C1107" s="1510"/>
      <c r="D1107" s="1514"/>
      <c r="E1107" s="1595"/>
      <c r="F1107" s="1436"/>
      <c r="G1107" s="1547">
        <f t="shared" si="608"/>
        <v>0</v>
      </c>
      <c r="H1107" s="1484"/>
      <c r="I1107" s="1547">
        <f t="shared" si="609"/>
        <v>0</v>
      </c>
      <c r="J1107" s="1516"/>
      <c r="K1107" s="1516"/>
      <c r="L1107" s="1436"/>
      <c r="M1107" s="1439"/>
      <c r="N1107" s="1439"/>
      <c r="O1107" s="1485"/>
      <c r="P1107" s="1486"/>
      <c r="Q1107" s="1486"/>
      <c r="R1107" s="1487"/>
      <c r="S1107" s="1444"/>
      <c r="T1107" s="1444"/>
      <c r="U1107" s="1444"/>
      <c r="V1107" s="1488"/>
      <c r="W1107" s="1488"/>
      <c r="X1107" s="1488"/>
      <c r="Y1107" s="1488"/>
      <c r="Z1107" s="1488"/>
      <c r="AA1107" s="1488"/>
      <c r="AB1107" s="1488"/>
      <c r="AC1107" s="1488"/>
      <c r="AD1107" s="1488"/>
      <c r="AE1107" s="1488"/>
      <c r="AF1107" s="1488"/>
      <c r="AG1107" s="1488"/>
      <c r="AH1107" s="1451">
        <f t="shared" si="581"/>
        <v>0</v>
      </c>
      <c r="AI1107" s="1488"/>
      <c r="AJ1107" s="1488"/>
      <c r="AK1107" s="1488"/>
      <c r="AL1107" s="1488"/>
      <c r="AM1107" s="1488"/>
      <c r="AN1107" s="1488"/>
      <c r="AO1107" s="1488"/>
      <c r="AP1107" s="1488"/>
      <c r="AQ1107" s="1488"/>
      <c r="AR1107" s="1488"/>
      <c r="AS1107" s="1488"/>
      <c r="AT1107" s="1542"/>
      <c r="AU1107" s="1599">
        <f t="shared" si="582"/>
        <v>0</v>
      </c>
      <c r="AV1107" s="1544">
        <f t="shared" si="610"/>
        <v>0</v>
      </c>
      <c r="AW1107" s="1452">
        <f t="shared" si="583"/>
        <v>0</v>
      </c>
      <c r="AX1107" s="1452">
        <f t="shared" si="584"/>
        <v>0</v>
      </c>
      <c r="AY1107" s="1452">
        <f t="shared" si="585"/>
        <v>0</v>
      </c>
      <c r="AZ1107" s="1452">
        <f t="shared" si="586"/>
        <v>0</v>
      </c>
      <c r="BA1107" s="1452">
        <f t="shared" si="587"/>
        <v>0</v>
      </c>
      <c r="BB1107" s="1452">
        <f t="shared" si="588"/>
        <v>0</v>
      </c>
      <c r="BC1107" s="1452">
        <f t="shared" si="589"/>
        <v>0</v>
      </c>
      <c r="BD1107" s="1452">
        <f t="shared" si="590"/>
        <v>0</v>
      </c>
      <c r="BE1107" s="1452">
        <f t="shared" si="591"/>
        <v>0</v>
      </c>
      <c r="BF1107" s="1452">
        <f t="shared" si="592"/>
        <v>0</v>
      </c>
      <c r="BG1107" s="1452">
        <f t="shared" si="593"/>
        <v>0</v>
      </c>
      <c r="BH1107" s="1452">
        <f t="shared" si="594"/>
        <v>0</v>
      </c>
      <c r="BI1107" s="1452">
        <f t="shared" si="611"/>
        <v>0</v>
      </c>
      <c r="BJ1107" s="1452" t="str">
        <f t="shared" si="595"/>
        <v/>
      </c>
      <c r="BK1107" s="1452" t="str">
        <f t="shared" si="596"/>
        <v/>
      </c>
      <c r="BL1107" s="1452" t="str">
        <f t="shared" si="597"/>
        <v/>
      </c>
      <c r="BM1107" s="1452" t="str">
        <f t="shared" si="598"/>
        <v/>
      </c>
      <c r="BN1107" s="1452" t="str">
        <f t="shared" ca="1" si="599"/>
        <v/>
      </c>
      <c r="BO1107" s="1452" t="str">
        <f t="shared" si="612"/>
        <v/>
      </c>
      <c r="BP1107" s="1452" t="str">
        <f t="shared" si="600"/>
        <v/>
      </c>
      <c r="BQ1107" s="1452" t="str">
        <f t="shared" si="601"/>
        <v/>
      </c>
      <c r="BR1107" s="1452" t="str">
        <f t="shared" si="602"/>
        <v/>
      </c>
      <c r="BS1107" s="1452" t="str">
        <f t="shared" si="603"/>
        <v/>
      </c>
      <c r="BT1107" s="1452" t="str">
        <f t="shared" si="604"/>
        <v/>
      </c>
      <c r="BU1107" s="1452" t="str">
        <f t="shared" si="605"/>
        <v/>
      </c>
      <c r="BV1107" s="1452" t="str">
        <f t="shared" si="606"/>
        <v/>
      </c>
      <c r="BW1107" s="1558">
        <f t="shared" ca="1" si="613"/>
        <v>0</v>
      </c>
    </row>
    <row r="1108" spans="1:75" s="9" customFormat="1" ht="12.5">
      <c r="A1108" s="1483" t="str">
        <f t="shared" si="607"/>
        <v>Public Health Wales Trust</v>
      </c>
      <c r="B1108" s="1583"/>
      <c r="C1108" s="1510"/>
      <c r="D1108" s="1514"/>
      <c r="E1108" s="1595"/>
      <c r="F1108" s="1436"/>
      <c r="G1108" s="1547">
        <f t="shared" si="608"/>
        <v>0</v>
      </c>
      <c r="H1108" s="1484"/>
      <c r="I1108" s="1547">
        <f t="shared" si="609"/>
        <v>0</v>
      </c>
      <c r="J1108" s="1516"/>
      <c r="K1108" s="1516"/>
      <c r="L1108" s="1436"/>
      <c r="M1108" s="1439"/>
      <c r="N1108" s="1439"/>
      <c r="O1108" s="1485"/>
      <c r="P1108" s="1486"/>
      <c r="Q1108" s="1486"/>
      <c r="R1108" s="1487"/>
      <c r="S1108" s="1444"/>
      <c r="T1108" s="1444"/>
      <c r="U1108" s="1444"/>
      <c r="V1108" s="1488"/>
      <c r="W1108" s="1488"/>
      <c r="X1108" s="1488"/>
      <c r="Y1108" s="1488"/>
      <c r="Z1108" s="1488"/>
      <c r="AA1108" s="1488"/>
      <c r="AB1108" s="1488"/>
      <c r="AC1108" s="1488"/>
      <c r="AD1108" s="1488"/>
      <c r="AE1108" s="1488"/>
      <c r="AF1108" s="1488"/>
      <c r="AG1108" s="1488"/>
      <c r="AH1108" s="1451">
        <f t="shared" si="581"/>
        <v>0</v>
      </c>
      <c r="AI1108" s="1488"/>
      <c r="AJ1108" s="1488"/>
      <c r="AK1108" s="1488"/>
      <c r="AL1108" s="1488"/>
      <c r="AM1108" s="1488"/>
      <c r="AN1108" s="1488"/>
      <c r="AO1108" s="1488"/>
      <c r="AP1108" s="1488"/>
      <c r="AQ1108" s="1488"/>
      <c r="AR1108" s="1488"/>
      <c r="AS1108" s="1488"/>
      <c r="AT1108" s="1542"/>
      <c r="AU1108" s="1599">
        <f t="shared" si="582"/>
        <v>0</v>
      </c>
      <c r="AV1108" s="1544">
        <f t="shared" si="610"/>
        <v>0</v>
      </c>
      <c r="AW1108" s="1452">
        <f t="shared" si="583"/>
        <v>0</v>
      </c>
      <c r="AX1108" s="1452">
        <f t="shared" si="584"/>
        <v>0</v>
      </c>
      <c r="AY1108" s="1452">
        <f t="shared" si="585"/>
        <v>0</v>
      </c>
      <c r="AZ1108" s="1452">
        <f t="shared" si="586"/>
        <v>0</v>
      </c>
      <c r="BA1108" s="1452">
        <f t="shared" si="587"/>
        <v>0</v>
      </c>
      <c r="BB1108" s="1452">
        <f t="shared" si="588"/>
        <v>0</v>
      </c>
      <c r="BC1108" s="1452">
        <f t="shared" si="589"/>
        <v>0</v>
      </c>
      <c r="BD1108" s="1452">
        <f t="shared" si="590"/>
        <v>0</v>
      </c>
      <c r="BE1108" s="1452">
        <f t="shared" si="591"/>
        <v>0</v>
      </c>
      <c r="BF1108" s="1452">
        <f t="shared" si="592"/>
        <v>0</v>
      </c>
      <c r="BG1108" s="1452">
        <f t="shared" si="593"/>
        <v>0</v>
      </c>
      <c r="BH1108" s="1452">
        <f t="shared" si="594"/>
        <v>0</v>
      </c>
      <c r="BI1108" s="1452">
        <f t="shared" si="611"/>
        <v>0</v>
      </c>
      <c r="BJ1108" s="1452" t="str">
        <f t="shared" si="595"/>
        <v/>
      </c>
      <c r="BK1108" s="1452" t="str">
        <f t="shared" si="596"/>
        <v/>
      </c>
      <c r="BL1108" s="1452" t="str">
        <f t="shared" si="597"/>
        <v/>
      </c>
      <c r="BM1108" s="1452" t="str">
        <f t="shared" si="598"/>
        <v/>
      </c>
      <c r="BN1108" s="1452" t="str">
        <f t="shared" ca="1" si="599"/>
        <v/>
      </c>
      <c r="BO1108" s="1452" t="str">
        <f t="shared" si="612"/>
        <v/>
      </c>
      <c r="BP1108" s="1452" t="str">
        <f t="shared" si="600"/>
        <v/>
      </c>
      <c r="BQ1108" s="1452" t="str">
        <f t="shared" si="601"/>
        <v/>
      </c>
      <c r="BR1108" s="1452" t="str">
        <f t="shared" si="602"/>
        <v/>
      </c>
      <c r="BS1108" s="1452" t="str">
        <f t="shared" si="603"/>
        <v/>
      </c>
      <c r="BT1108" s="1452" t="str">
        <f t="shared" si="604"/>
        <v/>
      </c>
      <c r="BU1108" s="1452" t="str">
        <f t="shared" si="605"/>
        <v/>
      </c>
      <c r="BV1108" s="1452" t="str">
        <f t="shared" si="606"/>
        <v/>
      </c>
      <c r="BW1108" s="1558">
        <f t="shared" ca="1" si="613"/>
        <v>0</v>
      </c>
    </row>
    <row r="1109" spans="1:75" s="9" customFormat="1" ht="12.5">
      <c r="A1109" s="1483" t="str">
        <f t="shared" si="607"/>
        <v>Public Health Wales Trust</v>
      </c>
      <c r="B1109" s="1583"/>
      <c r="C1109" s="1510"/>
      <c r="D1109" s="1514"/>
      <c r="E1109" s="1595"/>
      <c r="F1109" s="1436"/>
      <c r="G1109" s="1547">
        <f t="shared" si="608"/>
        <v>0</v>
      </c>
      <c r="H1109" s="1484"/>
      <c r="I1109" s="1547">
        <f t="shared" si="609"/>
        <v>0</v>
      </c>
      <c r="J1109" s="1516"/>
      <c r="K1109" s="1516"/>
      <c r="L1109" s="1436"/>
      <c r="M1109" s="1439"/>
      <c r="N1109" s="1439"/>
      <c r="O1109" s="1485"/>
      <c r="P1109" s="1486"/>
      <c r="Q1109" s="1486"/>
      <c r="R1109" s="1487"/>
      <c r="S1109" s="1444"/>
      <c r="T1109" s="1444"/>
      <c r="U1109" s="1444"/>
      <c r="V1109" s="1488"/>
      <c r="W1109" s="1488"/>
      <c r="X1109" s="1488"/>
      <c r="Y1109" s="1488"/>
      <c r="Z1109" s="1488"/>
      <c r="AA1109" s="1488"/>
      <c r="AB1109" s="1488"/>
      <c r="AC1109" s="1488"/>
      <c r="AD1109" s="1488"/>
      <c r="AE1109" s="1488"/>
      <c r="AF1109" s="1488"/>
      <c r="AG1109" s="1488"/>
      <c r="AH1109" s="1451">
        <f t="shared" si="581"/>
        <v>0</v>
      </c>
      <c r="AI1109" s="1488"/>
      <c r="AJ1109" s="1488"/>
      <c r="AK1109" s="1488"/>
      <c r="AL1109" s="1488"/>
      <c r="AM1109" s="1488"/>
      <c r="AN1109" s="1488"/>
      <c r="AO1109" s="1488"/>
      <c r="AP1109" s="1488"/>
      <c r="AQ1109" s="1488"/>
      <c r="AR1109" s="1488"/>
      <c r="AS1109" s="1488"/>
      <c r="AT1109" s="1542"/>
      <c r="AU1109" s="1599">
        <f t="shared" si="582"/>
        <v>0</v>
      </c>
      <c r="AV1109" s="1544">
        <f t="shared" si="610"/>
        <v>0</v>
      </c>
      <c r="AW1109" s="1452">
        <f t="shared" si="583"/>
        <v>0</v>
      </c>
      <c r="AX1109" s="1452">
        <f t="shared" si="584"/>
        <v>0</v>
      </c>
      <c r="AY1109" s="1452">
        <f t="shared" si="585"/>
        <v>0</v>
      </c>
      <c r="AZ1109" s="1452">
        <f t="shared" si="586"/>
        <v>0</v>
      </c>
      <c r="BA1109" s="1452">
        <f t="shared" si="587"/>
        <v>0</v>
      </c>
      <c r="BB1109" s="1452">
        <f t="shared" si="588"/>
        <v>0</v>
      </c>
      <c r="BC1109" s="1452">
        <f t="shared" si="589"/>
        <v>0</v>
      </c>
      <c r="BD1109" s="1452">
        <f t="shared" si="590"/>
        <v>0</v>
      </c>
      <c r="BE1109" s="1452">
        <f t="shared" si="591"/>
        <v>0</v>
      </c>
      <c r="BF1109" s="1452">
        <f t="shared" si="592"/>
        <v>0</v>
      </c>
      <c r="BG1109" s="1452">
        <f t="shared" si="593"/>
        <v>0</v>
      </c>
      <c r="BH1109" s="1452">
        <f t="shared" si="594"/>
        <v>0</v>
      </c>
      <c r="BI1109" s="1452">
        <f t="shared" si="611"/>
        <v>0</v>
      </c>
      <c r="BJ1109" s="1452" t="str">
        <f t="shared" si="595"/>
        <v/>
      </c>
      <c r="BK1109" s="1452" t="str">
        <f t="shared" si="596"/>
        <v/>
      </c>
      <c r="BL1109" s="1452" t="str">
        <f t="shared" si="597"/>
        <v/>
      </c>
      <c r="BM1109" s="1452" t="str">
        <f t="shared" si="598"/>
        <v/>
      </c>
      <c r="BN1109" s="1452" t="str">
        <f t="shared" ca="1" si="599"/>
        <v/>
      </c>
      <c r="BO1109" s="1452" t="str">
        <f t="shared" si="612"/>
        <v/>
      </c>
      <c r="BP1109" s="1452" t="str">
        <f t="shared" si="600"/>
        <v/>
      </c>
      <c r="BQ1109" s="1452" t="str">
        <f t="shared" si="601"/>
        <v/>
      </c>
      <c r="BR1109" s="1452" t="str">
        <f t="shared" si="602"/>
        <v/>
      </c>
      <c r="BS1109" s="1452" t="str">
        <f t="shared" si="603"/>
        <v/>
      </c>
      <c r="BT1109" s="1452" t="str">
        <f t="shared" si="604"/>
        <v/>
      </c>
      <c r="BU1109" s="1452" t="str">
        <f t="shared" si="605"/>
        <v/>
      </c>
      <c r="BV1109" s="1452" t="str">
        <f t="shared" si="606"/>
        <v/>
      </c>
      <c r="BW1109" s="1558">
        <f t="shared" ca="1" si="613"/>
        <v>0</v>
      </c>
    </row>
    <row r="1110" spans="1:75" s="9" customFormat="1" ht="12.5">
      <c r="A1110" s="1483" t="str">
        <f t="shared" si="607"/>
        <v>Public Health Wales Trust</v>
      </c>
      <c r="B1110" s="1583"/>
      <c r="C1110" s="1510"/>
      <c r="D1110" s="1514"/>
      <c r="E1110" s="1595"/>
      <c r="F1110" s="1436"/>
      <c r="G1110" s="1547">
        <f t="shared" si="608"/>
        <v>0</v>
      </c>
      <c r="H1110" s="1484"/>
      <c r="I1110" s="1547">
        <f t="shared" si="609"/>
        <v>0</v>
      </c>
      <c r="J1110" s="1516"/>
      <c r="K1110" s="1516"/>
      <c r="L1110" s="1436"/>
      <c r="M1110" s="1439"/>
      <c r="N1110" s="1439"/>
      <c r="O1110" s="1485"/>
      <c r="P1110" s="1486"/>
      <c r="Q1110" s="1486"/>
      <c r="R1110" s="1487"/>
      <c r="S1110" s="1444"/>
      <c r="T1110" s="1444"/>
      <c r="U1110" s="1444"/>
      <c r="V1110" s="1488"/>
      <c r="W1110" s="1488"/>
      <c r="X1110" s="1488"/>
      <c r="Y1110" s="1488"/>
      <c r="Z1110" s="1488"/>
      <c r="AA1110" s="1488"/>
      <c r="AB1110" s="1488"/>
      <c r="AC1110" s="1488"/>
      <c r="AD1110" s="1488"/>
      <c r="AE1110" s="1488"/>
      <c r="AF1110" s="1488"/>
      <c r="AG1110" s="1488"/>
      <c r="AH1110" s="1451">
        <f t="shared" si="581"/>
        <v>0</v>
      </c>
      <c r="AI1110" s="1488"/>
      <c r="AJ1110" s="1488"/>
      <c r="AK1110" s="1488"/>
      <c r="AL1110" s="1488"/>
      <c r="AM1110" s="1488"/>
      <c r="AN1110" s="1488"/>
      <c r="AO1110" s="1488"/>
      <c r="AP1110" s="1488"/>
      <c r="AQ1110" s="1488"/>
      <c r="AR1110" s="1488"/>
      <c r="AS1110" s="1488"/>
      <c r="AT1110" s="1542"/>
      <c r="AU1110" s="1599">
        <f t="shared" si="582"/>
        <v>0</v>
      </c>
      <c r="AV1110" s="1544">
        <f t="shared" si="610"/>
        <v>0</v>
      </c>
      <c r="AW1110" s="1452">
        <f t="shared" si="583"/>
        <v>0</v>
      </c>
      <c r="AX1110" s="1452">
        <f t="shared" si="584"/>
        <v>0</v>
      </c>
      <c r="AY1110" s="1452">
        <f t="shared" si="585"/>
        <v>0</v>
      </c>
      <c r="AZ1110" s="1452">
        <f t="shared" si="586"/>
        <v>0</v>
      </c>
      <c r="BA1110" s="1452">
        <f t="shared" si="587"/>
        <v>0</v>
      </c>
      <c r="BB1110" s="1452">
        <f t="shared" si="588"/>
        <v>0</v>
      </c>
      <c r="BC1110" s="1452">
        <f t="shared" si="589"/>
        <v>0</v>
      </c>
      <c r="BD1110" s="1452">
        <f t="shared" si="590"/>
        <v>0</v>
      </c>
      <c r="BE1110" s="1452">
        <f t="shared" si="591"/>
        <v>0</v>
      </c>
      <c r="BF1110" s="1452">
        <f t="shared" si="592"/>
        <v>0</v>
      </c>
      <c r="BG1110" s="1452">
        <f t="shared" si="593"/>
        <v>0</v>
      </c>
      <c r="BH1110" s="1452">
        <f t="shared" si="594"/>
        <v>0</v>
      </c>
      <c r="BI1110" s="1452">
        <f t="shared" si="611"/>
        <v>0</v>
      </c>
      <c r="BJ1110" s="1452" t="str">
        <f t="shared" si="595"/>
        <v/>
      </c>
      <c r="BK1110" s="1452" t="str">
        <f t="shared" si="596"/>
        <v/>
      </c>
      <c r="BL1110" s="1452" t="str">
        <f t="shared" si="597"/>
        <v/>
      </c>
      <c r="BM1110" s="1452" t="str">
        <f t="shared" si="598"/>
        <v/>
      </c>
      <c r="BN1110" s="1452" t="str">
        <f t="shared" ca="1" si="599"/>
        <v/>
      </c>
      <c r="BO1110" s="1452" t="str">
        <f t="shared" si="612"/>
        <v/>
      </c>
      <c r="BP1110" s="1452" t="str">
        <f t="shared" si="600"/>
        <v/>
      </c>
      <c r="BQ1110" s="1452" t="str">
        <f t="shared" si="601"/>
        <v/>
      </c>
      <c r="BR1110" s="1452" t="str">
        <f t="shared" si="602"/>
        <v/>
      </c>
      <c r="BS1110" s="1452" t="str">
        <f t="shared" si="603"/>
        <v/>
      </c>
      <c r="BT1110" s="1452" t="str">
        <f t="shared" si="604"/>
        <v/>
      </c>
      <c r="BU1110" s="1452" t="str">
        <f t="shared" si="605"/>
        <v/>
      </c>
      <c r="BV1110" s="1452" t="str">
        <f t="shared" si="606"/>
        <v/>
      </c>
      <c r="BW1110" s="1558">
        <f t="shared" ca="1" si="613"/>
        <v>0</v>
      </c>
    </row>
    <row r="1111" spans="1:75" s="9" customFormat="1" ht="12.5">
      <c r="A1111" s="1483" t="str">
        <f t="shared" si="607"/>
        <v>Public Health Wales Trust</v>
      </c>
      <c r="B1111" s="1583"/>
      <c r="C1111" s="1510"/>
      <c r="D1111" s="1514"/>
      <c r="E1111" s="1595"/>
      <c r="F1111" s="1436"/>
      <c r="G1111" s="1547">
        <f t="shared" si="608"/>
        <v>0</v>
      </c>
      <c r="H1111" s="1484"/>
      <c r="I1111" s="1547">
        <f t="shared" si="609"/>
        <v>0</v>
      </c>
      <c r="J1111" s="1516"/>
      <c r="K1111" s="1516"/>
      <c r="L1111" s="1436"/>
      <c r="M1111" s="1439"/>
      <c r="N1111" s="1439"/>
      <c r="O1111" s="1485"/>
      <c r="P1111" s="1486"/>
      <c r="Q1111" s="1486"/>
      <c r="R1111" s="1487"/>
      <c r="S1111" s="1444"/>
      <c r="T1111" s="1444"/>
      <c r="U1111" s="1444"/>
      <c r="V1111" s="1488"/>
      <c r="W1111" s="1488"/>
      <c r="X1111" s="1488"/>
      <c r="Y1111" s="1488"/>
      <c r="Z1111" s="1488"/>
      <c r="AA1111" s="1488"/>
      <c r="AB1111" s="1488"/>
      <c r="AC1111" s="1488"/>
      <c r="AD1111" s="1488"/>
      <c r="AE1111" s="1488"/>
      <c r="AF1111" s="1488"/>
      <c r="AG1111" s="1488"/>
      <c r="AH1111" s="1451">
        <f t="shared" si="581"/>
        <v>0</v>
      </c>
      <c r="AI1111" s="1488"/>
      <c r="AJ1111" s="1488"/>
      <c r="AK1111" s="1488"/>
      <c r="AL1111" s="1488"/>
      <c r="AM1111" s="1488"/>
      <c r="AN1111" s="1488"/>
      <c r="AO1111" s="1488"/>
      <c r="AP1111" s="1488"/>
      <c r="AQ1111" s="1488"/>
      <c r="AR1111" s="1488"/>
      <c r="AS1111" s="1488"/>
      <c r="AT1111" s="1542"/>
      <c r="AU1111" s="1599">
        <f t="shared" si="582"/>
        <v>0</v>
      </c>
      <c r="AV1111" s="1544">
        <f t="shared" si="610"/>
        <v>0</v>
      </c>
      <c r="AW1111" s="1452">
        <f t="shared" si="583"/>
        <v>0</v>
      </c>
      <c r="AX1111" s="1452">
        <f t="shared" si="584"/>
        <v>0</v>
      </c>
      <c r="AY1111" s="1452">
        <f t="shared" si="585"/>
        <v>0</v>
      </c>
      <c r="AZ1111" s="1452">
        <f t="shared" si="586"/>
        <v>0</v>
      </c>
      <c r="BA1111" s="1452">
        <f t="shared" si="587"/>
        <v>0</v>
      </c>
      <c r="BB1111" s="1452">
        <f t="shared" si="588"/>
        <v>0</v>
      </c>
      <c r="BC1111" s="1452">
        <f t="shared" si="589"/>
        <v>0</v>
      </c>
      <c r="BD1111" s="1452">
        <f t="shared" si="590"/>
        <v>0</v>
      </c>
      <c r="BE1111" s="1452">
        <f t="shared" si="591"/>
        <v>0</v>
      </c>
      <c r="BF1111" s="1452">
        <f t="shared" si="592"/>
        <v>0</v>
      </c>
      <c r="BG1111" s="1452">
        <f t="shared" si="593"/>
        <v>0</v>
      </c>
      <c r="BH1111" s="1452">
        <f t="shared" si="594"/>
        <v>0</v>
      </c>
      <c r="BI1111" s="1452">
        <f t="shared" si="611"/>
        <v>0</v>
      </c>
      <c r="BJ1111" s="1452" t="str">
        <f t="shared" si="595"/>
        <v/>
      </c>
      <c r="BK1111" s="1452" t="str">
        <f t="shared" si="596"/>
        <v/>
      </c>
      <c r="BL1111" s="1452" t="str">
        <f t="shared" si="597"/>
        <v/>
      </c>
      <c r="BM1111" s="1452" t="str">
        <f t="shared" si="598"/>
        <v/>
      </c>
      <c r="BN1111" s="1452" t="str">
        <f t="shared" ca="1" si="599"/>
        <v/>
      </c>
      <c r="BO1111" s="1452" t="str">
        <f t="shared" si="612"/>
        <v/>
      </c>
      <c r="BP1111" s="1452" t="str">
        <f t="shared" si="600"/>
        <v/>
      </c>
      <c r="BQ1111" s="1452" t="str">
        <f t="shared" si="601"/>
        <v/>
      </c>
      <c r="BR1111" s="1452" t="str">
        <f t="shared" si="602"/>
        <v/>
      </c>
      <c r="BS1111" s="1452" t="str">
        <f t="shared" si="603"/>
        <v/>
      </c>
      <c r="BT1111" s="1452" t="str">
        <f t="shared" si="604"/>
        <v/>
      </c>
      <c r="BU1111" s="1452" t="str">
        <f t="shared" si="605"/>
        <v/>
      </c>
      <c r="BV1111" s="1452" t="str">
        <f t="shared" si="606"/>
        <v/>
      </c>
      <c r="BW1111" s="1558">
        <f t="shared" ca="1" si="613"/>
        <v>0</v>
      </c>
    </row>
    <row r="1112" spans="1:75" s="9" customFormat="1" ht="12.5">
      <c r="A1112" s="1483" t="str">
        <f t="shared" si="607"/>
        <v>Public Health Wales Trust</v>
      </c>
      <c r="B1112" s="1583"/>
      <c r="C1112" s="1510"/>
      <c r="D1112" s="1514"/>
      <c r="E1112" s="1595"/>
      <c r="F1112" s="1436"/>
      <c r="G1112" s="1547">
        <f t="shared" si="608"/>
        <v>0</v>
      </c>
      <c r="H1112" s="1484"/>
      <c r="I1112" s="1547">
        <f t="shared" si="609"/>
        <v>0</v>
      </c>
      <c r="J1112" s="1516"/>
      <c r="K1112" s="1516"/>
      <c r="L1112" s="1436"/>
      <c r="M1112" s="1439"/>
      <c r="N1112" s="1439"/>
      <c r="O1112" s="1485"/>
      <c r="P1112" s="1486"/>
      <c r="Q1112" s="1486"/>
      <c r="R1112" s="1487"/>
      <c r="S1112" s="1444"/>
      <c r="T1112" s="1444"/>
      <c r="U1112" s="1444"/>
      <c r="V1112" s="1488"/>
      <c r="W1112" s="1488"/>
      <c r="X1112" s="1488"/>
      <c r="Y1112" s="1488"/>
      <c r="Z1112" s="1488"/>
      <c r="AA1112" s="1488"/>
      <c r="AB1112" s="1488"/>
      <c r="AC1112" s="1488"/>
      <c r="AD1112" s="1488"/>
      <c r="AE1112" s="1488"/>
      <c r="AF1112" s="1488"/>
      <c r="AG1112" s="1488"/>
      <c r="AH1112" s="1451">
        <f t="shared" si="581"/>
        <v>0</v>
      </c>
      <c r="AI1112" s="1488"/>
      <c r="AJ1112" s="1488"/>
      <c r="AK1112" s="1488"/>
      <c r="AL1112" s="1488"/>
      <c r="AM1112" s="1488"/>
      <c r="AN1112" s="1488"/>
      <c r="AO1112" s="1488"/>
      <c r="AP1112" s="1488"/>
      <c r="AQ1112" s="1488"/>
      <c r="AR1112" s="1488"/>
      <c r="AS1112" s="1488"/>
      <c r="AT1112" s="1542"/>
      <c r="AU1112" s="1599">
        <f t="shared" si="582"/>
        <v>0</v>
      </c>
      <c r="AV1112" s="1544">
        <f t="shared" si="610"/>
        <v>0</v>
      </c>
      <c r="AW1112" s="1452">
        <f t="shared" si="583"/>
        <v>0</v>
      </c>
      <c r="AX1112" s="1452">
        <f t="shared" si="584"/>
        <v>0</v>
      </c>
      <c r="AY1112" s="1452">
        <f t="shared" si="585"/>
        <v>0</v>
      </c>
      <c r="AZ1112" s="1452">
        <f t="shared" si="586"/>
        <v>0</v>
      </c>
      <c r="BA1112" s="1452">
        <f t="shared" si="587"/>
        <v>0</v>
      </c>
      <c r="BB1112" s="1452">
        <f t="shared" si="588"/>
        <v>0</v>
      </c>
      <c r="BC1112" s="1452">
        <f t="shared" si="589"/>
        <v>0</v>
      </c>
      <c r="BD1112" s="1452">
        <f t="shared" si="590"/>
        <v>0</v>
      </c>
      <c r="BE1112" s="1452">
        <f t="shared" si="591"/>
        <v>0</v>
      </c>
      <c r="BF1112" s="1452">
        <f t="shared" si="592"/>
        <v>0</v>
      </c>
      <c r="BG1112" s="1452">
        <f t="shared" si="593"/>
        <v>0</v>
      </c>
      <c r="BH1112" s="1452">
        <f t="shared" si="594"/>
        <v>0</v>
      </c>
      <c r="BI1112" s="1452">
        <f t="shared" si="611"/>
        <v>0</v>
      </c>
      <c r="BJ1112" s="1452" t="str">
        <f t="shared" si="595"/>
        <v/>
      </c>
      <c r="BK1112" s="1452" t="str">
        <f t="shared" si="596"/>
        <v/>
      </c>
      <c r="BL1112" s="1452" t="str">
        <f t="shared" si="597"/>
        <v/>
      </c>
      <c r="BM1112" s="1452" t="str">
        <f t="shared" si="598"/>
        <v/>
      </c>
      <c r="BN1112" s="1452" t="str">
        <f t="shared" ca="1" si="599"/>
        <v/>
      </c>
      <c r="BO1112" s="1452" t="str">
        <f t="shared" si="612"/>
        <v/>
      </c>
      <c r="BP1112" s="1452" t="str">
        <f t="shared" si="600"/>
        <v/>
      </c>
      <c r="BQ1112" s="1452" t="str">
        <f t="shared" si="601"/>
        <v/>
      </c>
      <c r="BR1112" s="1452" t="str">
        <f t="shared" si="602"/>
        <v/>
      </c>
      <c r="BS1112" s="1452" t="str">
        <f t="shared" si="603"/>
        <v/>
      </c>
      <c r="BT1112" s="1452" t="str">
        <f t="shared" si="604"/>
        <v/>
      </c>
      <c r="BU1112" s="1452" t="str">
        <f t="shared" si="605"/>
        <v/>
      </c>
      <c r="BV1112" s="1452" t="str">
        <f t="shared" si="606"/>
        <v/>
      </c>
      <c r="BW1112" s="1558">
        <f t="shared" ca="1" si="613"/>
        <v>0</v>
      </c>
    </row>
    <row r="1113" spans="1:75" s="9" customFormat="1" ht="12.5">
      <c r="A1113" s="1483" t="str">
        <f t="shared" si="607"/>
        <v>Public Health Wales Trust</v>
      </c>
      <c r="B1113" s="1583"/>
      <c r="C1113" s="1510"/>
      <c r="D1113" s="1514"/>
      <c r="E1113" s="1595"/>
      <c r="F1113" s="1436"/>
      <c r="G1113" s="1547">
        <f t="shared" si="608"/>
        <v>0</v>
      </c>
      <c r="H1113" s="1484"/>
      <c r="I1113" s="1547">
        <f t="shared" si="609"/>
        <v>0</v>
      </c>
      <c r="J1113" s="1516"/>
      <c r="K1113" s="1516"/>
      <c r="L1113" s="1436"/>
      <c r="M1113" s="1439"/>
      <c r="N1113" s="1439"/>
      <c r="O1113" s="1485"/>
      <c r="P1113" s="1486"/>
      <c r="Q1113" s="1486"/>
      <c r="R1113" s="1487"/>
      <c r="S1113" s="1444"/>
      <c r="T1113" s="1444"/>
      <c r="U1113" s="1444"/>
      <c r="V1113" s="1488"/>
      <c r="W1113" s="1488"/>
      <c r="X1113" s="1488"/>
      <c r="Y1113" s="1488"/>
      <c r="Z1113" s="1488"/>
      <c r="AA1113" s="1488"/>
      <c r="AB1113" s="1488"/>
      <c r="AC1113" s="1488"/>
      <c r="AD1113" s="1488"/>
      <c r="AE1113" s="1488"/>
      <c r="AF1113" s="1488"/>
      <c r="AG1113" s="1488"/>
      <c r="AH1113" s="1451">
        <f t="shared" si="581"/>
        <v>0</v>
      </c>
      <c r="AI1113" s="1488"/>
      <c r="AJ1113" s="1488"/>
      <c r="AK1113" s="1488"/>
      <c r="AL1113" s="1488"/>
      <c r="AM1113" s="1488"/>
      <c r="AN1113" s="1488"/>
      <c r="AO1113" s="1488"/>
      <c r="AP1113" s="1488"/>
      <c r="AQ1113" s="1488"/>
      <c r="AR1113" s="1488"/>
      <c r="AS1113" s="1488"/>
      <c r="AT1113" s="1542"/>
      <c r="AU1113" s="1599">
        <f t="shared" si="582"/>
        <v>0</v>
      </c>
      <c r="AV1113" s="1544">
        <f t="shared" si="610"/>
        <v>0</v>
      </c>
      <c r="AW1113" s="1452">
        <f t="shared" si="583"/>
        <v>0</v>
      </c>
      <c r="AX1113" s="1452">
        <f t="shared" si="584"/>
        <v>0</v>
      </c>
      <c r="AY1113" s="1452">
        <f t="shared" si="585"/>
        <v>0</v>
      </c>
      <c r="AZ1113" s="1452">
        <f t="shared" si="586"/>
        <v>0</v>
      </c>
      <c r="BA1113" s="1452">
        <f t="shared" si="587"/>
        <v>0</v>
      </c>
      <c r="BB1113" s="1452">
        <f t="shared" si="588"/>
        <v>0</v>
      </c>
      <c r="BC1113" s="1452">
        <f t="shared" si="589"/>
        <v>0</v>
      </c>
      <c r="BD1113" s="1452">
        <f t="shared" si="590"/>
        <v>0</v>
      </c>
      <c r="BE1113" s="1452">
        <f t="shared" si="591"/>
        <v>0</v>
      </c>
      <c r="BF1113" s="1452">
        <f t="shared" si="592"/>
        <v>0</v>
      </c>
      <c r="BG1113" s="1452">
        <f t="shared" si="593"/>
        <v>0</v>
      </c>
      <c r="BH1113" s="1452">
        <f t="shared" si="594"/>
        <v>0</v>
      </c>
      <c r="BI1113" s="1452">
        <f t="shared" si="611"/>
        <v>0</v>
      </c>
      <c r="BJ1113" s="1452" t="str">
        <f t="shared" si="595"/>
        <v/>
      </c>
      <c r="BK1113" s="1452" t="str">
        <f t="shared" si="596"/>
        <v/>
      </c>
      <c r="BL1113" s="1452" t="str">
        <f t="shared" si="597"/>
        <v/>
      </c>
      <c r="BM1113" s="1452" t="str">
        <f t="shared" si="598"/>
        <v/>
      </c>
      <c r="BN1113" s="1452" t="str">
        <f t="shared" ca="1" si="599"/>
        <v/>
      </c>
      <c r="BO1113" s="1452" t="str">
        <f t="shared" si="612"/>
        <v/>
      </c>
      <c r="BP1113" s="1452" t="str">
        <f t="shared" si="600"/>
        <v/>
      </c>
      <c r="BQ1113" s="1452" t="str">
        <f t="shared" si="601"/>
        <v/>
      </c>
      <c r="BR1113" s="1452" t="str">
        <f t="shared" si="602"/>
        <v/>
      </c>
      <c r="BS1113" s="1452" t="str">
        <f t="shared" si="603"/>
        <v/>
      </c>
      <c r="BT1113" s="1452" t="str">
        <f t="shared" si="604"/>
        <v/>
      </c>
      <c r="BU1113" s="1452" t="str">
        <f t="shared" si="605"/>
        <v/>
      </c>
      <c r="BV1113" s="1452" t="str">
        <f t="shared" si="606"/>
        <v/>
      </c>
      <c r="BW1113" s="1558">
        <f t="shared" ca="1" si="613"/>
        <v>0</v>
      </c>
    </row>
    <row r="1114" spans="1:75" s="9" customFormat="1" ht="12.5">
      <c r="A1114" s="1483" t="str">
        <f t="shared" si="607"/>
        <v>Public Health Wales Trust</v>
      </c>
      <c r="B1114" s="1583"/>
      <c r="C1114" s="1510"/>
      <c r="D1114" s="1514"/>
      <c r="E1114" s="1595"/>
      <c r="F1114" s="1436"/>
      <c r="G1114" s="1547">
        <f t="shared" si="608"/>
        <v>0</v>
      </c>
      <c r="H1114" s="1484"/>
      <c r="I1114" s="1547">
        <f t="shared" si="609"/>
        <v>0</v>
      </c>
      <c r="J1114" s="1516"/>
      <c r="K1114" s="1516"/>
      <c r="L1114" s="1436"/>
      <c r="M1114" s="1439"/>
      <c r="N1114" s="1439"/>
      <c r="O1114" s="1485"/>
      <c r="P1114" s="1486"/>
      <c r="Q1114" s="1486"/>
      <c r="R1114" s="1487"/>
      <c r="S1114" s="1444"/>
      <c r="T1114" s="1444"/>
      <c r="U1114" s="1444"/>
      <c r="V1114" s="1488"/>
      <c r="W1114" s="1488"/>
      <c r="X1114" s="1488"/>
      <c r="Y1114" s="1488"/>
      <c r="Z1114" s="1488"/>
      <c r="AA1114" s="1488"/>
      <c r="AB1114" s="1488"/>
      <c r="AC1114" s="1488"/>
      <c r="AD1114" s="1488"/>
      <c r="AE1114" s="1488"/>
      <c r="AF1114" s="1488"/>
      <c r="AG1114" s="1488"/>
      <c r="AH1114" s="1451">
        <f t="shared" si="581"/>
        <v>0</v>
      </c>
      <c r="AI1114" s="1488"/>
      <c r="AJ1114" s="1488"/>
      <c r="AK1114" s="1488"/>
      <c r="AL1114" s="1488"/>
      <c r="AM1114" s="1488"/>
      <c r="AN1114" s="1488"/>
      <c r="AO1114" s="1488"/>
      <c r="AP1114" s="1488"/>
      <c r="AQ1114" s="1488"/>
      <c r="AR1114" s="1488"/>
      <c r="AS1114" s="1488"/>
      <c r="AT1114" s="1542"/>
      <c r="AU1114" s="1599">
        <f t="shared" si="582"/>
        <v>0</v>
      </c>
      <c r="AV1114" s="1544">
        <f t="shared" si="610"/>
        <v>0</v>
      </c>
      <c r="AW1114" s="1452">
        <f t="shared" si="583"/>
        <v>0</v>
      </c>
      <c r="AX1114" s="1452">
        <f t="shared" si="584"/>
        <v>0</v>
      </c>
      <c r="AY1114" s="1452">
        <f t="shared" si="585"/>
        <v>0</v>
      </c>
      <c r="AZ1114" s="1452">
        <f t="shared" si="586"/>
        <v>0</v>
      </c>
      <c r="BA1114" s="1452">
        <f t="shared" si="587"/>
        <v>0</v>
      </c>
      <c r="BB1114" s="1452">
        <f t="shared" si="588"/>
        <v>0</v>
      </c>
      <c r="BC1114" s="1452">
        <f t="shared" si="589"/>
        <v>0</v>
      </c>
      <c r="BD1114" s="1452">
        <f t="shared" si="590"/>
        <v>0</v>
      </c>
      <c r="BE1114" s="1452">
        <f t="shared" si="591"/>
        <v>0</v>
      </c>
      <c r="BF1114" s="1452">
        <f t="shared" si="592"/>
        <v>0</v>
      </c>
      <c r="BG1114" s="1452">
        <f t="shared" si="593"/>
        <v>0</v>
      </c>
      <c r="BH1114" s="1452">
        <f t="shared" si="594"/>
        <v>0</v>
      </c>
      <c r="BI1114" s="1452">
        <f t="shared" si="611"/>
        <v>0</v>
      </c>
      <c r="BJ1114" s="1452" t="str">
        <f t="shared" si="595"/>
        <v/>
      </c>
      <c r="BK1114" s="1452" t="str">
        <f t="shared" si="596"/>
        <v/>
      </c>
      <c r="BL1114" s="1452" t="str">
        <f t="shared" si="597"/>
        <v/>
      </c>
      <c r="BM1114" s="1452" t="str">
        <f t="shared" si="598"/>
        <v/>
      </c>
      <c r="BN1114" s="1452" t="str">
        <f t="shared" ca="1" si="599"/>
        <v/>
      </c>
      <c r="BO1114" s="1452" t="str">
        <f t="shared" si="612"/>
        <v/>
      </c>
      <c r="BP1114" s="1452" t="str">
        <f t="shared" si="600"/>
        <v/>
      </c>
      <c r="BQ1114" s="1452" t="str">
        <f t="shared" si="601"/>
        <v/>
      </c>
      <c r="BR1114" s="1452" t="str">
        <f t="shared" si="602"/>
        <v/>
      </c>
      <c r="BS1114" s="1452" t="str">
        <f t="shared" si="603"/>
        <v/>
      </c>
      <c r="BT1114" s="1452" t="str">
        <f t="shared" si="604"/>
        <v/>
      </c>
      <c r="BU1114" s="1452" t="str">
        <f t="shared" si="605"/>
        <v/>
      </c>
      <c r="BV1114" s="1452" t="str">
        <f t="shared" si="606"/>
        <v/>
      </c>
      <c r="BW1114" s="1558">
        <f t="shared" ca="1" si="613"/>
        <v>0</v>
      </c>
    </row>
    <row r="1115" spans="1:75" s="9" customFormat="1" ht="12.5">
      <c r="A1115" s="1483" t="str">
        <f t="shared" si="607"/>
        <v>Public Health Wales Trust</v>
      </c>
      <c r="B1115" s="1583"/>
      <c r="C1115" s="1510"/>
      <c r="D1115" s="1514"/>
      <c r="E1115" s="1595"/>
      <c r="F1115" s="1436"/>
      <c r="G1115" s="1547">
        <f t="shared" si="608"/>
        <v>0</v>
      </c>
      <c r="H1115" s="1484"/>
      <c r="I1115" s="1547">
        <f t="shared" si="609"/>
        <v>0</v>
      </c>
      <c r="J1115" s="1516"/>
      <c r="K1115" s="1516"/>
      <c r="L1115" s="1436"/>
      <c r="M1115" s="1439"/>
      <c r="N1115" s="1439"/>
      <c r="O1115" s="1485"/>
      <c r="P1115" s="1486"/>
      <c r="Q1115" s="1486"/>
      <c r="R1115" s="1487"/>
      <c r="S1115" s="1444"/>
      <c r="T1115" s="1444"/>
      <c r="U1115" s="1444"/>
      <c r="V1115" s="1488"/>
      <c r="W1115" s="1488"/>
      <c r="X1115" s="1488"/>
      <c r="Y1115" s="1488"/>
      <c r="Z1115" s="1488"/>
      <c r="AA1115" s="1488"/>
      <c r="AB1115" s="1488"/>
      <c r="AC1115" s="1488"/>
      <c r="AD1115" s="1488"/>
      <c r="AE1115" s="1488"/>
      <c r="AF1115" s="1488"/>
      <c r="AG1115" s="1488"/>
      <c r="AH1115" s="1451">
        <f t="shared" si="581"/>
        <v>0</v>
      </c>
      <c r="AI1115" s="1488"/>
      <c r="AJ1115" s="1488"/>
      <c r="AK1115" s="1488"/>
      <c r="AL1115" s="1488"/>
      <c r="AM1115" s="1488"/>
      <c r="AN1115" s="1488"/>
      <c r="AO1115" s="1488"/>
      <c r="AP1115" s="1488"/>
      <c r="AQ1115" s="1488"/>
      <c r="AR1115" s="1488"/>
      <c r="AS1115" s="1488"/>
      <c r="AT1115" s="1542"/>
      <c r="AU1115" s="1599">
        <f t="shared" si="582"/>
        <v>0</v>
      </c>
      <c r="AV1115" s="1544">
        <f t="shared" si="610"/>
        <v>0</v>
      </c>
      <c r="AW1115" s="1452">
        <f t="shared" si="583"/>
        <v>0</v>
      </c>
      <c r="AX1115" s="1452">
        <f t="shared" si="584"/>
        <v>0</v>
      </c>
      <c r="AY1115" s="1452">
        <f t="shared" si="585"/>
        <v>0</v>
      </c>
      <c r="AZ1115" s="1452">
        <f t="shared" si="586"/>
        <v>0</v>
      </c>
      <c r="BA1115" s="1452">
        <f t="shared" si="587"/>
        <v>0</v>
      </c>
      <c r="BB1115" s="1452">
        <f t="shared" si="588"/>
        <v>0</v>
      </c>
      <c r="BC1115" s="1452">
        <f t="shared" si="589"/>
        <v>0</v>
      </c>
      <c r="BD1115" s="1452">
        <f t="shared" si="590"/>
        <v>0</v>
      </c>
      <c r="BE1115" s="1452">
        <f t="shared" si="591"/>
        <v>0</v>
      </c>
      <c r="BF1115" s="1452">
        <f t="shared" si="592"/>
        <v>0</v>
      </c>
      <c r="BG1115" s="1452">
        <f t="shared" si="593"/>
        <v>0</v>
      </c>
      <c r="BH1115" s="1452">
        <f t="shared" si="594"/>
        <v>0</v>
      </c>
      <c r="BI1115" s="1452">
        <f t="shared" si="611"/>
        <v>0</v>
      </c>
      <c r="BJ1115" s="1452" t="str">
        <f t="shared" si="595"/>
        <v/>
      </c>
      <c r="BK1115" s="1452" t="str">
        <f t="shared" si="596"/>
        <v/>
      </c>
      <c r="BL1115" s="1452" t="str">
        <f t="shared" si="597"/>
        <v/>
      </c>
      <c r="BM1115" s="1452" t="str">
        <f t="shared" si="598"/>
        <v/>
      </c>
      <c r="BN1115" s="1452" t="str">
        <f t="shared" ca="1" si="599"/>
        <v/>
      </c>
      <c r="BO1115" s="1452" t="str">
        <f t="shared" si="612"/>
        <v/>
      </c>
      <c r="BP1115" s="1452" t="str">
        <f t="shared" si="600"/>
        <v/>
      </c>
      <c r="BQ1115" s="1452" t="str">
        <f t="shared" si="601"/>
        <v/>
      </c>
      <c r="BR1115" s="1452" t="str">
        <f t="shared" si="602"/>
        <v/>
      </c>
      <c r="BS1115" s="1452" t="str">
        <f t="shared" si="603"/>
        <v/>
      </c>
      <c r="BT1115" s="1452" t="str">
        <f t="shared" si="604"/>
        <v/>
      </c>
      <c r="BU1115" s="1452" t="str">
        <f t="shared" si="605"/>
        <v/>
      </c>
      <c r="BV1115" s="1452" t="str">
        <f t="shared" si="606"/>
        <v/>
      </c>
      <c r="BW1115" s="1558">
        <f t="shared" ca="1" si="613"/>
        <v>0</v>
      </c>
    </row>
    <row r="1116" spans="1:75" s="9" customFormat="1" ht="12.5">
      <c r="A1116" s="1483" t="str">
        <f t="shared" si="607"/>
        <v>Public Health Wales Trust</v>
      </c>
      <c r="B1116" s="1583"/>
      <c r="C1116" s="1510"/>
      <c r="D1116" s="1514"/>
      <c r="E1116" s="1595"/>
      <c r="F1116" s="1436"/>
      <c r="G1116" s="1547">
        <f t="shared" si="608"/>
        <v>0</v>
      </c>
      <c r="H1116" s="1484"/>
      <c r="I1116" s="1547">
        <f t="shared" si="609"/>
        <v>0</v>
      </c>
      <c r="J1116" s="1516"/>
      <c r="K1116" s="1516"/>
      <c r="L1116" s="1436"/>
      <c r="M1116" s="1439"/>
      <c r="N1116" s="1439"/>
      <c r="O1116" s="1485"/>
      <c r="P1116" s="1486"/>
      <c r="Q1116" s="1486"/>
      <c r="R1116" s="1487"/>
      <c r="S1116" s="1444"/>
      <c r="T1116" s="1444"/>
      <c r="U1116" s="1444"/>
      <c r="V1116" s="1488"/>
      <c r="W1116" s="1488"/>
      <c r="X1116" s="1488"/>
      <c r="Y1116" s="1488"/>
      <c r="Z1116" s="1488"/>
      <c r="AA1116" s="1488"/>
      <c r="AB1116" s="1488"/>
      <c r="AC1116" s="1488"/>
      <c r="AD1116" s="1488"/>
      <c r="AE1116" s="1488"/>
      <c r="AF1116" s="1488"/>
      <c r="AG1116" s="1488"/>
      <c r="AH1116" s="1451">
        <f t="shared" si="581"/>
        <v>0</v>
      </c>
      <c r="AI1116" s="1488"/>
      <c r="AJ1116" s="1488"/>
      <c r="AK1116" s="1488"/>
      <c r="AL1116" s="1488"/>
      <c r="AM1116" s="1488"/>
      <c r="AN1116" s="1488"/>
      <c r="AO1116" s="1488"/>
      <c r="AP1116" s="1488"/>
      <c r="AQ1116" s="1488"/>
      <c r="AR1116" s="1488"/>
      <c r="AS1116" s="1488"/>
      <c r="AT1116" s="1542"/>
      <c r="AU1116" s="1599">
        <f t="shared" si="582"/>
        <v>0</v>
      </c>
      <c r="AV1116" s="1544">
        <f t="shared" si="610"/>
        <v>0</v>
      </c>
      <c r="AW1116" s="1452">
        <f t="shared" si="583"/>
        <v>0</v>
      </c>
      <c r="AX1116" s="1452">
        <f t="shared" si="584"/>
        <v>0</v>
      </c>
      <c r="AY1116" s="1452">
        <f t="shared" si="585"/>
        <v>0</v>
      </c>
      <c r="AZ1116" s="1452">
        <f t="shared" si="586"/>
        <v>0</v>
      </c>
      <c r="BA1116" s="1452">
        <f t="shared" si="587"/>
        <v>0</v>
      </c>
      <c r="BB1116" s="1452">
        <f t="shared" si="588"/>
        <v>0</v>
      </c>
      <c r="BC1116" s="1452">
        <f t="shared" si="589"/>
        <v>0</v>
      </c>
      <c r="BD1116" s="1452">
        <f t="shared" si="590"/>
        <v>0</v>
      </c>
      <c r="BE1116" s="1452">
        <f t="shared" si="591"/>
        <v>0</v>
      </c>
      <c r="BF1116" s="1452">
        <f t="shared" si="592"/>
        <v>0</v>
      </c>
      <c r="BG1116" s="1452">
        <f t="shared" si="593"/>
        <v>0</v>
      </c>
      <c r="BH1116" s="1452">
        <f t="shared" si="594"/>
        <v>0</v>
      </c>
      <c r="BI1116" s="1452">
        <f t="shared" si="611"/>
        <v>0</v>
      </c>
      <c r="BJ1116" s="1452" t="str">
        <f t="shared" si="595"/>
        <v/>
      </c>
      <c r="BK1116" s="1452" t="str">
        <f t="shared" si="596"/>
        <v/>
      </c>
      <c r="BL1116" s="1452" t="str">
        <f t="shared" si="597"/>
        <v/>
      </c>
      <c r="BM1116" s="1452" t="str">
        <f t="shared" si="598"/>
        <v/>
      </c>
      <c r="BN1116" s="1452" t="str">
        <f t="shared" ca="1" si="599"/>
        <v/>
      </c>
      <c r="BO1116" s="1452" t="str">
        <f t="shared" si="612"/>
        <v/>
      </c>
      <c r="BP1116" s="1452" t="str">
        <f t="shared" si="600"/>
        <v/>
      </c>
      <c r="BQ1116" s="1452" t="str">
        <f t="shared" si="601"/>
        <v/>
      </c>
      <c r="BR1116" s="1452" t="str">
        <f t="shared" si="602"/>
        <v/>
      </c>
      <c r="BS1116" s="1452" t="str">
        <f t="shared" si="603"/>
        <v/>
      </c>
      <c r="BT1116" s="1452" t="str">
        <f t="shared" si="604"/>
        <v/>
      </c>
      <c r="BU1116" s="1452" t="str">
        <f t="shared" si="605"/>
        <v/>
      </c>
      <c r="BV1116" s="1452" t="str">
        <f t="shared" si="606"/>
        <v/>
      </c>
      <c r="BW1116" s="1558">
        <f t="shared" ca="1" si="613"/>
        <v>0</v>
      </c>
    </row>
    <row r="1117" spans="1:75" s="9" customFormat="1" ht="12.5">
      <c r="A1117" s="1483" t="str">
        <f t="shared" si="607"/>
        <v>Public Health Wales Trust</v>
      </c>
      <c r="B1117" s="1583"/>
      <c r="C1117" s="1510"/>
      <c r="D1117" s="1514"/>
      <c r="E1117" s="1595"/>
      <c r="F1117" s="1436"/>
      <c r="G1117" s="1547">
        <f t="shared" si="608"/>
        <v>0</v>
      </c>
      <c r="H1117" s="1484"/>
      <c r="I1117" s="1547">
        <f t="shared" si="609"/>
        <v>0</v>
      </c>
      <c r="J1117" s="1516"/>
      <c r="K1117" s="1516"/>
      <c r="L1117" s="1436"/>
      <c r="M1117" s="1439"/>
      <c r="N1117" s="1439"/>
      <c r="O1117" s="1485"/>
      <c r="P1117" s="1486"/>
      <c r="Q1117" s="1486"/>
      <c r="R1117" s="1487"/>
      <c r="S1117" s="1444"/>
      <c r="T1117" s="1444"/>
      <c r="U1117" s="1444"/>
      <c r="V1117" s="1488"/>
      <c r="W1117" s="1488"/>
      <c r="X1117" s="1488"/>
      <c r="Y1117" s="1488"/>
      <c r="Z1117" s="1488"/>
      <c r="AA1117" s="1488"/>
      <c r="AB1117" s="1488"/>
      <c r="AC1117" s="1488"/>
      <c r="AD1117" s="1488"/>
      <c r="AE1117" s="1488"/>
      <c r="AF1117" s="1488"/>
      <c r="AG1117" s="1488"/>
      <c r="AH1117" s="1451">
        <f t="shared" si="581"/>
        <v>0</v>
      </c>
      <c r="AI1117" s="1488"/>
      <c r="AJ1117" s="1488"/>
      <c r="AK1117" s="1488"/>
      <c r="AL1117" s="1488"/>
      <c r="AM1117" s="1488"/>
      <c r="AN1117" s="1488"/>
      <c r="AO1117" s="1488"/>
      <c r="AP1117" s="1488"/>
      <c r="AQ1117" s="1488"/>
      <c r="AR1117" s="1488"/>
      <c r="AS1117" s="1488"/>
      <c r="AT1117" s="1542"/>
      <c r="AU1117" s="1599">
        <f t="shared" si="582"/>
        <v>0</v>
      </c>
      <c r="AV1117" s="1544">
        <f t="shared" si="610"/>
        <v>0</v>
      </c>
      <c r="AW1117" s="1452">
        <f t="shared" si="583"/>
        <v>0</v>
      </c>
      <c r="AX1117" s="1452">
        <f t="shared" si="584"/>
        <v>0</v>
      </c>
      <c r="AY1117" s="1452">
        <f t="shared" si="585"/>
        <v>0</v>
      </c>
      <c r="AZ1117" s="1452">
        <f t="shared" si="586"/>
        <v>0</v>
      </c>
      <c r="BA1117" s="1452">
        <f t="shared" si="587"/>
        <v>0</v>
      </c>
      <c r="BB1117" s="1452">
        <f t="shared" si="588"/>
        <v>0</v>
      </c>
      <c r="BC1117" s="1452">
        <f t="shared" si="589"/>
        <v>0</v>
      </c>
      <c r="BD1117" s="1452">
        <f t="shared" si="590"/>
        <v>0</v>
      </c>
      <c r="BE1117" s="1452">
        <f t="shared" si="591"/>
        <v>0</v>
      </c>
      <c r="BF1117" s="1452">
        <f t="shared" si="592"/>
        <v>0</v>
      </c>
      <c r="BG1117" s="1452">
        <f t="shared" si="593"/>
        <v>0</v>
      </c>
      <c r="BH1117" s="1452">
        <f t="shared" si="594"/>
        <v>0</v>
      </c>
      <c r="BI1117" s="1452">
        <f t="shared" si="611"/>
        <v>0</v>
      </c>
      <c r="BJ1117" s="1452" t="str">
        <f t="shared" si="595"/>
        <v/>
      </c>
      <c r="BK1117" s="1452" t="str">
        <f t="shared" si="596"/>
        <v/>
      </c>
      <c r="BL1117" s="1452" t="str">
        <f t="shared" si="597"/>
        <v/>
      </c>
      <c r="BM1117" s="1452" t="str">
        <f t="shared" si="598"/>
        <v/>
      </c>
      <c r="BN1117" s="1452" t="str">
        <f t="shared" ca="1" si="599"/>
        <v/>
      </c>
      <c r="BO1117" s="1452" t="str">
        <f t="shared" si="612"/>
        <v/>
      </c>
      <c r="BP1117" s="1452" t="str">
        <f t="shared" si="600"/>
        <v/>
      </c>
      <c r="BQ1117" s="1452" t="str">
        <f t="shared" si="601"/>
        <v/>
      </c>
      <c r="BR1117" s="1452" t="str">
        <f t="shared" si="602"/>
        <v/>
      </c>
      <c r="BS1117" s="1452" t="str">
        <f t="shared" si="603"/>
        <v/>
      </c>
      <c r="BT1117" s="1452" t="str">
        <f t="shared" si="604"/>
        <v/>
      </c>
      <c r="BU1117" s="1452" t="str">
        <f t="shared" si="605"/>
        <v/>
      </c>
      <c r="BV1117" s="1452" t="str">
        <f t="shared" si="606"/>
        <v/>
      </c>
      <c r="BW1117" s="1558">
        <f t="shared" ca="1" si="613"/>
        <v>0</v>
      </c>
    </row>
    <row r="1118" spans="1:75" s="9" customFormat="1" ht="12.5">
      <c r="A1118" s="1483" t="str">
        <f t="shared" si="607"/>
        <v>Public Health Wales Trust</v>
      </c>
      <c r="B1118" s="1583"/>
      <c r="C1118" s="1510"/>
      <c r="D1118" s="1514"/>
      <c r="E1118" s="1595"/>
      <c r="F1118" s="1436"/>
      <c r="G1118" s="1547">
        <f t="shared" si="608"/>
        <v>0</v>
      </c>
      <c r="H1118" s="1484"/>
      <c r="I1118" s="1547">
        <f t="shared" si="609"/>
        <v>0</v>
      </c>
      <c r="J1118" s="1516"/>
      <c r="K1118" s="1516"/>
      <c r="L1118" s="1436"/>
      <c r="M1118" s="1439"/>
      <c r="N1118" s="1439"/>
      <c r="O1118" s="1485"/>
      <c r="P1118" s="1486"/>
      <c r="Q1118" s="1486"/>
      <c r="R1118" s="1487"/>
      <c r="S1118" s="1444"/>
      <c r="T1118" s="1444"/>
      <c r="U1118" s="1444"/>
      <c r="V1118" s="1488"/>
      <c r="W1118" s="1488"/>
      <c r="X1118" s="1488"/>
      <c r="Y1118" s="1488"/>
      <c r="Z1118" s="1488"/>
      <c r="AA1118" s="1488"/>
      <c r="AB1118" s="1488"/>
      <c r="AC1118" s="1488"/>
      <c r="AD1118" s="1488"/>
      <c r="AE1118" s="1488"/>
      <c r="AF1118" s="1488"/>
      <c r="AG1118" s="1488"/>
      <c r="AH1118" s="1451">
        <f t="shared" si="581"/>
        <v>0</v>
      </c>
      <c r="AI1118" s="1488"/>
      <c r="AJ1118" s="1488"/>
      <c r="AK1118" s="1488"/>
      <c r="AL1118" s="1488"/>
      <c r="AM1118" s="1488"/>
      <c r="AN1118" s="1488"/>
      <c r="AO1118" s="1488"/>
      <c r="AP1118" s="1488"/>
      <c r="AQ1118" s="1488"/>
      <c r="AR1118" s="1488"/>
      <c r="AS1118" s="1488"/>
      <c r="AT1118" s="1542"/>
      <c r="AU1118" s="1599">
        <f t="shared" si="582"/>
        <v>0</v>
      </c>
      <c r="AV1118" s="1544">
        <f t="shared" si="610"/>
        <v>0</v>
      </c>
      <c r="AW1118" s="1452">
        <f t="shared" si="583"/>
        <v>0</v>
      </c>
      <c r="AX1118" s="1452">
        <f t="shared" si="584"/>
        <v>0</v>
      </c>
      <c r="AY1118" s="1452">
        <f t="shared" si="585"/>
        <v>0</v>
      </c>
      <c r="AZ1118" s="1452">
        <f t="shared" si="586"/>
        <v>0</v>
      </c>
      <c r="BA1118" s="1452">
        <f t="shared" si="587"/>
        <v>0</v>
      </c>
      <c r="BB1118" s="1452">
        <f t="shared" si="588"/>
        <v>0</v>
      </c>
      <c r="BC1118" s="1452">
        <f t="shared" si="589"/>
        <v>0</v>
      </c>
      <c r="BD1118" s="1452">
        <f t="shared" si="590"/>
        <v>0</v>
      </c>
      <c r="BE1118" s="1452">
        <f t="shared" si="591"/>
        <v>0</v>
      </c>
      <c r="BF1118" s="1452">
        <f t="shared" si="592"/>
        <v>0</v>
      </c>
      <c r="BG1118" s="1452">
        <f t="shared" si="593"/>
        <v>0</v>
      </c>
      <c r="BH1118" s="1452">
        <f t="shared" si="594"/>
        <v>0</v>
      </c>
      <c r="BI1118" s="1452">
        <f t="shared" si="611"/>
        <v>0</v>
      </c>
      <c r="BJ1118" s="1452" t="str">
        <f t="shared" si="595"/>
        <v/>
      </c>
      <c r="BK1118" s="1452" t="str">
        <f t="shared" si="596"/>
        <v/>
      </c>
      <c r="BL1118" s="1452" t="str">
        <f t="shared" si="597"/>
        <v/>
      </c>
      <c r="BM1118" s="1452" t="str">
        <f t="shared" si="598"/>
        <v/>
      </c>
      <c r="BN1118" s="1452" t="str">
        <f t="shared" ca="1" si="599"/>
        <v/>
      </c>
      <c r="BO1118" s="1452" t="str">
        <f t="shared" si="612"/>
        <v/>
      </c>
      <c r="BP1118" s="1452" t="str">
        <f t="shared" si="600"/>
        <v/>
      </c>
      <c r="BQ1118" s="1452" t="str">
        <f t="shared" si="601"/>
        <v/>
      </c>
      <c r="BR1118" s="1452" t="str">
        <f t="shared" si="602"/>
        <v/>
      </c>
      <c r="BS1118" s="1452" t="str">
        <f t="shared" si="603"/>
        <v/>
      </c>
      <c r="BT1118" s="1452" t="str">
        <f t="shared" si="604"/>
        <v/>
      </c>
      <c r="BU1118" s="1452" t="str">
        <f t="shared" si="605"/>
        <v/>
      </c>
      <c r="BV1118" s="1452" t="str">
        <f t="shared" si="606"/>
        <v/>
      </c>
      <c r="BW1118" s="1558">
        <f t="shared" ca="1" si="613"/>
        <v>0</v>
      </c>
    </row>
    <row r="1119" spans="1:75" s="9" customFormat="1" ht="12.5">
      <c r="A1119" s="1483" t="str">
        <f t="shared" si="607"/>
        <v>Public Health Wales Trust</v>
      </c>
      <c r="B1119" s="1583"/>
      <c r="C1119" s="1510"/>
      <c r="D1119" s="1514"/>
      <c r="E1119" s="1595"/>
      <c r="F1119" s="1436"/>
      <c r="G1119" s="1547">
        <f t="shared" si="608"/>
        <v>0</v>
      </c>
      <c r="H1119" s="1484"/>
      <c r="I1119" s="1547">
        <f t="shared" si="609"/>
        <v>0</v>
      </c>
      <c r="J1119" s="1516"/>
      <c r="K1119" s="1516"/>
      <c r="L1119" s="1436"/>
      <c r="M1119" s="1439"/>
      <c r="N1119" s="1439"/>
      <c r="O1119" s="1485"/>
      <c r="P1119" s="1486"/>
      <c r="Q1119" s="1486"/>
      <c r="R1119" s="1487"/>
      <c r="S1119" s="1444"/>
      <c r="T1119" s="1444"/>
      <c r="U1119" s="1444"/>
      <c r="V1119" s="1488"/>
      <c r="W1119" s="1488"/>
      <c r="X1119" s="1488"/>
      <c r="Y1119" s="1488"/>
      <c r="Z1119" s="1488"/>
      <c r="AA1119" s="1488"/>
      <c r="AB1119" s="1488"/>
      <c r="AC1119" s="1488"/>
      <c r="AD1119" s="1488"/>
      <c r="AE1119" s="1488"/>
      <c r="AF1119" s="1488"/>
      <c r="AG1119" s="1488"/>
      <c r="AH1119" s="1451">
        <f t="shared" si="581"/>
        <v>0</v>
      </c>
      <c r="AI1119" s="1488"/>
      <c r="AJ1119" s="1488"/>
      <c r="AK1119" s="1488"/>
      <c r="AL1119" s="1488"/>
      <c r="AM1119" s="1488"/>
      <c r="AN1119" s="1488"/>
      <c r="AO1119" s="1488"/>
      <c r="AP1119" s="1488"/>
      <c r="AQ1119" s="1488"/>
      <c r="AR1119" s="1488"/>
      <c r="AS1119" s="1488"/>
      <c r="AT1119" s="1542"/>
      <c r="AU1119" s="1599">
        <f t="shared" si="582"/>
        <v>0</v>
      </c>
      <c r="AV1119" s="1544">
        <f t="shared" si="610"/>
        <v>0</v>
      </c>
      <c r="AW1119" s="1452">
        <f t="shared" si="583"/>
        <v>0</v>
      </c>
      <c r="AX1119" s="1452">
        <f t="shared" si="584"/>
        <v>0</v>
      </c>
      <c r="AY1119" s="1452">
        <f t="shared" si="585"/>
        <v>0</v>
      </c>
      <c r="AZ1119" s="1452">
        <f t="shared" si="586"/>
        <v>0</v>
      </c>
      <c r="BA1119" s="1452">
        <f t="shared" si="587"/>
        <v>0</v>
      </c>
      <c r="BB1119" s="1452">
        <f t="shared" si="588"/>
        <v>0</v>
      </c>
      <c r="BC1119" s="1452">
        <f t="shared" si="589"/>
        <v>0</v>
      </c>
      <c r="BD1119" s="1452">
        <f t="shared" si="590"/>
        <v>0</v>
      </c>
      <c r="BE1119" s="1452">
        <f t="shared" si="591"/>
        <v>0</v>
      </c>
      <c r="BF1119" s="1452">
        <f t="shared" si="592"/>
        <v>0</v>
      </c>
      <c r="BG1119" s="1452">
        <f t="shared" si="593"/>
        <v>0</v>
      </c>
      <c r="BH1119" s="1452">
        <f t="shared" si="594"/>
        <v>0</v>
      </c>
      <c r="BI1119" s="1452">
        <f t="shared" si="611"/>
        <v>0</v>
      </c>
      <c r="BJ1119" s="1452" t="str">
        <f t="shared" si="595"/>
        <v/>
      </c>
      <c r="BK1119" s="1452" t="str">
        <f t="shared" si="596"/>
        <v/>
      </c>
      <c r="BL1119" s="1452" t="str">
        <f t="shared" si="597"/>
        <v/>
      </c>
      <c r="BM1119" s="1452" t="str">
        <f t="shared" si="598"/>
        <v/>
      </c>
      <c r="BN1119" s="1452" t="str">
        <f t="shared" ca="1" si="599"/>
        <v/>
      </c>
      <c r="BO1119" s="1452" t="str">
        <f t="shared" si="612"/>
        <v/>
      </c>
      <c r="BP1119" s="1452" t="str">
        <f t="shared" si="600"/>
        <v/>
      </c>
      <c r="BQ1119" s="1452" t="str">
        <f t="shared" si="601"/>
        <v/>
      </c>
      <c r="BR1119" s="1452" t="str">
        <f t="shared" si="602"/>
        <v/>
      </c>
      <c r="BS1119" s="1452" t="str">
        <f t="shared" si="603"/>
        <v/>
      </c>
      <c r="BT1119" s="1452" t="str">
        <f t="shared" si="604"/>
        <v/>
      </c>
      <c r="BU1119" s="1452" t="str">
        <f t="shared" si="605"/>
        <v/>
      </c>
      <c r="BV1119" s="1452" t="str">
        <f t="shared" si="606"/>
        <v/>
      </c>
      <c r="BW1119" s="1558">
        <f t="shared" ca="1" si="613"/>
        <v>0</v>
      </c>
    </row>
    <row r="1120" spans="1:75" s="9" customFormat="1" ht="12.5">
      <c r="A1120" s="1483" t="str">
        <f t="shared" si="607"/>
        <v>Public Health Wales Trust</v>
      </c>
      <c r="B1120" s="1583"/>
      <c r="C1120" s="1510"/>
      <c r="D1120" s="1514"/>
      <c r="E1120" s="1595"/>
      <c r="F1120" s="1436"/>
      <c r="G1120" s="1547">
        <f t="shared" si="608"/>
        <v>0</v>
      </c>
      <c r="H1120" s="1484"/>
      <c r="I1120" s="1547">
        <f t="shared" si="609"/>
        <v>0</v>
      </c>
      <c r="J1120" s="1516"/>
      <c r="K1120" s="1516"/>
      <c r="L1120" s="1436"/>
      <c r="M1120" s="1439"/>
      <c r="N1120" s="1439"/>
      <c r="O1120" s="1485"/>
      <c r="P1120" s="1486"/>
      <c r="Q1120" s="1486"/>
      <c r="R1120" s="1487"/>
      <c r="S1120" s="1444"/>
      <c r="T1120" s="1444"/>
      <c r="U1120" s="1444"/>
      <c r="V1120" s="1488"/>
      <c r="W1120" s="1488"/>
      <c r="X1120" s="1488"/>
      <c r="Y1120" s="1488"/>
      <c r="Z1120" s="1488"/>
      <c r="AA1120" s="1488"/>
      <c r="AB1120" s="1488"/>
      <c r="AC1120" s="1488"/>
      <c r="AD1120" s="1488"/>
      <c r="AE1120" s="1488"/>
      <c r="AF1120" s="1488"/>
      <c r="AG1120" s="1488"/>
      <c r="AH1120" s="1451">
        <f t="shared" si="581"/>
        <v>0</v>
      </c>
      <c r="AI1120" s="1488"/>
      <c r="AJ1120" s="1488"/>
      <c r="AK1120" s="1488"/>
      <c r="AL1120" s="1488"/>
      <c r="AM1120" s="1488"/>
      <c r="AN1120" s="1488"/>
      <c r="AO1120" s="1488"/>
      <c r="AP1120" s="1488"/>
      <c r="AQ1120" s="1488"/>
      <c r="AR1120" s="1488"/>
      <c r="AS1120" s="1488"/>
      <c r="AT1120" s="1542"/>
      <c r="AU1120" s="1599">
        <f t="shared" si="582"/>
        <v>0</v>
      </c>
      <c r="AV1120" s="1544">
        <f t="shared" si="610"/>
        <v>0</v>
      </c>
      <c r="AW1120" s="1452">
        <f t="shared" si="583"/>
        <v>0</v>
      </c>
      <c r="AX1120" s="1452">
        <f t="shared" si="584"/>
        <v>0</v>
      </c>
      <c r="AY1120" s="1452">
        <f t="shared" si="585"/>
        <v>0</v>
      </c>
      <c r="AZ1120" s="1452">
        <f t="shared" si="586"/>
        <v>0</v>
      </c>
      <c r="BA1120" s="1452">
        <f t="shared" si="587"/>
        <v>0</v>
      </c>
      <c r="BB1120" s="1452">
        <f t="shared" si="588"/>
        <v>0</v>
      </c>
      <c r="BC1120" s="1452">
        <f t="shared" si="589"/>
        <v>0</v>
      </c>
      <c r="BD1120" s="1452">
        <f t="shared" si="590"/>
        <v>0</v>
      </c>
      <c r="BE1120" s="1452">
        <f t="shared" si="591"/>
        <v>0</v>
      </c>
      <c r="BF1120" s="1452">
        <f t="shared" si="592"/>
        <v>0</v>
      </c>
      <c r="BG1120" s="1452">
        <f t="shared" si="593"/>
        <v>0</v>
      </c>
      <c r="BH1120" s="1452">
        <f t="shared" si="594"/>
        <v>0</v>
      </c>
      <c r="BI1120" s="1452">
        <f t="shared" si="611"/>
        <v>0</v>
      </c>
      <c r="BJ1120" s="1452" t="str">
        <f t="shared" si="595"/>
        <v/>
      </c>
      <c r="BK1120" s="1452" t="str">
        <f t="shared" si="596"/>
        <v/>
      </c>
      <c r="BL1120" s="1452" t="str">
        <f t="shared" si="597"/>
        <v/>
      </c>
      <c r="BM1120" s="1452" t="str">
        <f t="shared" si="598"/>
        <v/>
      </c>
      <c r="BN1120" s="1452" t="str">
        <f t="shared" ca="1" si="599"/>
        <v/>
      </c>
      <c r="BO1120" s="1452" t="str">
        <f t="shared" si="612"/>
        <v/>
      </c>
      <c r="BP1120" s="1452" t="str">
        <f t="shared" si="600"/>
        <v/>
      </c>
      <c r="BQ1120" s="1452" t="str">
        <f t="shared" si="601"/>
        <v/>
      </c>
      <c r="BR1120" s="1452" t="str">
        <f t="shared" si="602"/>
        <v/>
      </c>
      <c r="BS1120" s="1452" t="str">
        <f t="shared" si="603"/>
        <v/>
      </c>
      <c r="BT1120" s="1452" t="str">
        <f t="shared" si="604"/>
        <v/>
      </c>
      <c r="BU1120" s="1452" t="str">
        <f t="shared" si="605"/>
        <v/>
      </c>
      <c r="BV1120" s="1452" t="str">
        <f t="shared" si="606"/>
        <v/>
      </c>
      <c r="BW1120" s="1558">
        <f t="shared" ca="1" si="613"/>
        <v>0</v>
      </c>
    </row>
    <row r="1121" spans="1:75" s="9" customFormat="1" ht="12.5">
      <c r="A1121" s="1483" t="str">
        <f t="shared" si="607"/>
        <v>Public Health Wales Trust</v>
      </c>
      <c r="B1121" s="1583"/>
      <c r="C1121" s="1510"/>
      <c r="D1121" s="1514"/>
      <c r="E1121" s="1595"/>
      <c r="F1121" s="1436"/>
      <c r="G1121" s="1547">
        <f t="shared" si="608"/>
        <v>0</v>
      </c>
      <c r="H1121" s="1484"/>
      <c r="I1121" s="1547">
        <f t="shared" si="609"/>
        <v>0</v>
      </c>
      <c r="J1121" s="1516"/>
      <c r="K1121" s="1516"/>
      <c r="L1121" s="1436"/>
      <c r="M1121" s="1439"/>
      <c r="N1121" s="1439"/>
      <c r="O1121" s="1485"/>
      <c r="P1121" s="1486"/>
      <c r="Q1121" s="1486"/>
      <c r="R1121" s="1487"/>
      <c r="S1121" s="1444"/>
      <c r="T1121" s="1444"/>
      <c r="U1121" s="1444"/>
      <c r="V1121" s="1488"/>
      <c r="W1121" s="1488"/>
      <c r="X1121" s="1488"/>
      <c r="Y1121" s="1488"/>
      <c r="Z1121" s="1488"/>
      <c r="AA1121" s="1488"/>
      <c r="AB1121" s="1488"/>
      <c r="AC1121" s="1488"/>
      <c r="AD1121" s="1488"/>
      <c r="AE1121" s="1488"/>
      <c r="AF1121" s="1488"/>
      <c r="AG1121" s="1488"/>
      <c r="AH1121" s="1451">
        <f t="shared" si="581"/>
        <v>0</v>
      </c>
      <c r="AI1121" s="1488"/>
      <c r="AJ1121" s="1488"/>
      <c r="AK1121" s="1488"/>
      <c r="AL1121" s="1488"/>
      <c r="AM1121" s="1488"/>
      <c r="AN1121" s="1488"/>
      <c r="AO1121" s="1488"/>
      <c r="AP1121" s="1488"/>
      <c r="AQ1121" s="1488"/>
      <c r="AR1121" s="1488"/>
      <c r="AS1121" s="1488"/>
      <c r="AT1121" s="1542"/>
      <c r="AU1121" s="1599">
        <f t="shared" si="582"/>
        <v>0</v>
      </c>
      <c r="AV1121" s="1544">
        <f t="shared" si="610"/>
        <v>0</v>
      </c>
      <c r="AW1121" s="1452">
        <f t="shared" si="583"/>
        <v>0</v>
      </c>
      <c r="AX1121" s="1452">
        <f t="shared" si="584"/>
        <v>0</v>
      </c>
      <c r="AY1121" s="1452">
        <f t="shared" si="585"/>
        <v>0</v>
      </c>
      <c r="AZ1121" s="1452">
        <f t="shared" si="586"/>
        <v>0</v>
      </c>
      <c r="BA1121" s="1452">
        <f t="shared" si="587"/>
        <v>0</v>
      </c>
      <c r="BB1121" s="1452">
        <f t="shared" si="588"/>
        <v>0</v>
      </c>
      <c r="BC1121" s="1452">
        <f t="shared" si="589"/>
        <v>0</v>
      </c>
      <c r="BD1121" s="1452">
        <f t="shared" si="590"/>
        <v>0</v>
      </c>
      <c r="BE1121" s="1452">
        <f t="shared" si="591"/>
        <v>0</v>
      </c>
      <c r="BF1121" s="1452">
        <f t="shared" si="592"/>
        <v>0</v>
      </c>
      <c r="BG1121" s="1452">
        <f t="shared" si="593"/>
        <v>0</v>
      </c>
      <c r="BH1121" s="1452">
        <f t="shared" si="594"/>
        <v>0</v>
      </c>
      <c r="BI1121" s="1452">
        <f t="shared" si="611"/>
        <v>0</v>
      </c>
      <c r="BJ1121" s="1452" t="str">
        <f t="shared" si="595"/>
        <v/>
      </c>
      <c r="BK1121" s="1452" t="str">
        <f t="shared" si="596"/>
        <v/>
      </c>
      <c r="BL1121" s="1452" t="str">
        <f t="shared" si="597"/>
        <v/>
      </c>
      <c r="BM1121" s="1452" t="str">
        <f t="shared" si="598"/>
        <v/>
      </c>
      <c r="BN1121" s="1452" t="str">
        <f t="shared" ca="1" si="599"/>
        <v/>
      </c>
      <c r="BO1121" s="1452" t="str">
        <f t="shared" si="612"/>
        <v/>
      </c>
      <c r="BP1121" s="1452" t="str">
        <f t="shared" si="600"/>
        <v/>
      </c>
      <c r="BQ1121" s="1452" t="str">
        <f t="shared" si="601"/>
        <v/>
      </c>
      <c r="BR1121" s="1452" t="str">
        <f t="shared" si="602"/>
        <v/>
      </c>
      <c r="BS1121" s="1452" t="str">
        <f t="shared" si="603"/>
        <v/>
      </c>
      <c r="BT1121" s="1452" t="str">
        <f t="shared" si="604"/>
        <v/>
      </c>
      <c r="BU1121" s="1452" t="str">
        <f t="shared" si="605"/>
        <v/>
      </c>
      <c r="BV1121" s="1452" t="str">
        <f t="shared" si="606"/>
        <v/>
      </c>
      <c r="BW1121" s="1558">
        <f t="shared" ca="1" si="613"/>
        <v>0</v>
      </c>
    </row>
    <row r="1122" spans="1:75" s="9" customFormat="1" ht="12.5">
      <c r="A1122" s="1483" t="str">
        <f t="shared" si="607"/>
        <v>Public Health Wales Trust</v>
      </c>
      <c r="B1122" s="1583"/>
      <c r="C1122" s="1510"/>
      <c r="D1122" s="1514"/>
      <c r="E1122" s="1595"/>
      <c r="F1122" s="1436"/>
      <c r="G1122" s="1547">
        <f t="shared" si="608"/>
        <v>0</v>
      </c>
      <c r="H1122" s="1484"/>
      <c r="I1122" s="1547">
        <f t="shared" si="609"/>
        <v>0</v>
      </c>
      <c r="J1122" s="1516"/>
      <c r="K1122" s="1516"/>
      <c r="L1122" s="1436"/>
      <c r="M1122" s="1439"/>
      <c r="N1122" s="1439"/>
      <c r="O1122" s="1485"/>
      <c r="P1122" s="1486"/>
      <c r="Q1122" s="1486"/>
      <c r="R1122" s="1487"/>
      <c r="S1122" s="1444"/>
      <c r="T1122" s="1444"/>
      <c r="U1122" s="1444"/>
      <c r="V1122" s="1488"/>
      <c r="W1122" s="1488"/>
      <c r="X1122" s="1488"/>
      <c r="Y1122" s="1488"/>
      <c r="Z1122" s="1488"/>
      <c r="AA1122" s="1488"/>
      <c r="AB1122" s="1488"/>
      <c r="AC1122" s="1488"/>
      <c r="AD1122" s="1488"/>
      <c r="AE1122" s="1488"/>
      <c r="AF1122" s="1488"/>
      <c r="AG1122" s="1488"/>
      <c r="AH1122" s="1451">
        <f t="shared" si="581"/>
        <v>0</v>
      </c>
      <c r="AI1122" s="1488"/>
      <c r="AJ1122" s="1488"/>
      <c r="AK1122" s="1488"/>
      <c r="AL1122" s="1488"/>
      <c r="AM1122" s="1488"/>
      <c r="AN1122" s="1488"/>
      <c r="AO1122" s="1488"/>
      <c r="AP1122" s="1488"/>
      <c r="AQ1122" s="1488"/>
      <c r="AR1122" s="1488"/>
      <c r="AS1122" s="1488"/>
      <c r="AT1122" s="1542"/>
      <c r="AU1122" s="1599">
        <f t="shared" si="582"/>
        <v>0</v>
      </c>
      <c r="AV1122" s="1544">
        <f t="shared" si="610"/>
        <v>0</v>
      </c>
      <c r="AW1122" s="1452">
        <f t="shared" si="583"/>
        <v>0</v>
      </c>
      <c r="AX1122" s="1452">
        <f t="shared" si="584"/>
        <v>0</v>
      </c>
      <c r="AY1122" s="1452">
        <f t="shared" si="585"/>
        <v>0</v>
      </c>
      <c r="AZ1122" s="1452">
        <f t="shared" si="586"/>
        <v>0</v>
      </c>
      <c r="BA1122" s="1452">
        <f t="shared" si="587"/>
        <v>0</v>
      </c>
      <c r="BB1122" s="1452">
        <f t="shared" si="588"/>
        <v>0</v>
      </c>
      <c r="BC1122" s="1452">
        <f t="shared" si="589"/>
        <v>0</v>
      </c>
      <c r="BD1122" s="1452">
        <f t="shared" si="590"/>
        <v>0</v>
      </c>
      <c r="BE1122" s="1452">
        <f t="shared" si="591"/>
        <v>0</v>
      </c>
      <c r="BF1122" s="1452">
        <f t="shared" si="592"/>
        <v>0</v>
      </c>
      <c r="BG1122" s="1452">
        <f t="shared" si="593"/>
        <v>0</v>
      </c>
      <c r="BH1122" s="1452">
        <f t="shared" si="594"/>
        <v>0</v>
      </c>
      <c r="BI1122" s="1452">
        <f t="shared" si="611"/>
        <v>0</v>
      </c>
      <c r="BJ1122" s="1452" t="str">
        <f t="shared" si="595"/>
        <v/>
      </c>
      <c r="BK1122" s="1452" t="str">
        <f t="shared" si="596"/>
        <v/>
      </c>
      <c r="BL1122" s="1452" t="str">
        <f t="shared" si="597"/>
        <v/>
      </c>
      <c r="BM1122" s="1452" t="str">
        <f t="shared" si="598"/>
        <v/>
      </c>
      <c r="BN1122" s="1452" t="str">
        <f t="shared" ca="1" si="599"/>
        <v/>
      </c>
      <c r="BO1122" s="1452" t="str">
        <f t="shared" si="612"/>
        <v/>
      </c>
      <c r="BP1122" s="1452" t="str">
        <f t="shared" si="600"/>
        <v/>
      </c>
      <c r="BQ1122" s="1452" t="str">
        <f t="shared" si="601"/>
        <v/>
      </c>
      <c r="BR1122" s="1452" t="str">
        <f t="shared" si="602"/>
        <v/>
      </c>
      <c r="BS1122" s="1452" t="str">
        <f t="shared" si="603"/>
        <v/>
      </c>
      <c r="BT1122" s="1452" t="str">
        <f t="shared" si="604"/>
        <v/>
      </c>
      <c r="BU1122" s="1452" t="str">
        <f t="shared" si="605"/>
        <v/>
      </c>
      <c r="BV1122" s="1452" t="str">
        <f t="shared" si="606"/>
        <v/>
      </c>
      <c r="BW1122" s="1558">
        <f t="shared" ca="1" si="613"/>
        <v>0</v>
      </c>
    </row>
    <row r="1123" spans="1:75" s="9" customFormat="1" ht="12.5">
      <c r="A1123" s="1483" t="str">
        <f t="shared" si="607"/>
        <v>Public Health Wales Trust</v>
      </c>
      <c r="B1123" s="1583"/>
      <c r="C1123" s="1510"/>
      <c r="D1123" s="1514"/>
      <c r="E1123" s="1595"/>
      <c r="F1123" s="1436"/>
      <c r="G1123" s="1547">
        <f t="shared" si="608"/>
        <v>0</v>
      </c>
      <c r="H1123" s="1484"/>
      <c r="I1123" s="1547">
        <f t="shared" si="609"/>
        <v>0</v>
      </c>
      <c r="J1123" s="1516"/>
      <c r="K1123" s="1516"/>
      <c r="L1123" s="1436"/>
      <c r="M1123" s="1439"/>
      <c r="N1123" s="1439"/>
      <c r="O1123" s="1485"/>
      <c r="P1123" s="1486"/>
      <c r="Q1123" s="1486"/>
      <c r="R1123" s="1487"/>
      <c r="S1123" s="1444"/>
      <c r="T1123" s="1444"/>
      <c r="U1123" s="1444"/>
      <c r="V1123" s="1488"/>
      <c r="W1123" s="1488"/>
      <c r="X1123" s="1488"/>
      <c r="Y1123" s="1488"/>
      <c r="Z1123" s="1488"/>
      <c r="AA1123" s="1488"/>
      <c r="AB1123" s="1488"/>
      <c r="AC1123" s="1488"/>
      <c r="AD1123" s="1488"/>
      <c r="AE1123" s="1488"/>
      <c r="AF1123" s="1488"/>
      <c r="AG1123" s="1488"/>
      <c r="AH1123" s="1451">
        <f t="shared" si="581"/>
        <v>0</v>
      </c>
      <c r="AI1123" s="1488"/>
      <c r="AJ1123" s="1488"/>
      <c r="AK1123" s="1488"/>
      <c r="AL1123" s="1488"/>
      <c r="AM1123" s="1488"/>
      <c r="AN1123" s="1488"/>
      <c r="AO1123" s="1488"/>
      <c r="AP1123" s="1488"/>
      <c r="AQ1123" s="1488"/>
      <c r="AR1123" s="1488"/>
      <c r="AS1123" s="1488"/>
      <c r="AT1123" s="1542"/>
      <c r="AU1123" s="1599">
        <f t="shared" si="582"/>
        <v>0</v>
      </c>
      <c r="AV1123" s="1544">
        <f t="shared" si="610"/>
        <v>0</v>
      </c>
      <c r="AW1123" s="1452">
        <f t="shared" si="583"/>
        <v>0</v>
      </c>
      <c r="AX1123" s="1452">
        <f t="shared" si="584"/>
        <v>0</v>
      </c>
      <c r="AY1123" s="1452">
        <f t="shared" si="585"/>
        <v>0</v>
      </c>
      <c r="AZ1123" s="1452">
        <f t="shared" si="586"/>
        <v>0</v>
      </c>
      <c r="BA1123" s="1452">
        <f t="shared" si="587"/>
        <v>0</v>
      </c>
      <c r="BB1123" s="1452">
        <f t="shared" si="588"/>
        <v>0</v>
      </c>
      <c r="BC1123" s="1452">
        <f t="shared" si="589"/>
        <v>0</v>
      </c>
      <c r="BD1123" s="1452">
        <f t="shared" si="590"/>
        <v>0</v>
      </c>
      <c r="BE1123" s="1452">
        <f t="shared" si="591"/>
        <v>0</v>
      </c>
      <c r="BF1123" s="1452">
        <f t="shared" si="592"/>
        <v>0</v>
      </c>
      <c r="BG1123" s="1452">
        <f t="shared" si="593"/>
        <v>0</v>
      </c>
      <c r="BH1123" s="1452">
        <f t="shared" si="594"/>
        <v>0</v>
      </c>
      <c r="BI1123" s="1452">
        <f t="shared" si="611"/>
        <v>0</v>
      </c>
      <c r="BJ1123" s="1452" t="str">
        <f t="shared" si="595"/>
        <v/>
      </c>
      <c r="BK1123" s="1452" t="str">
        <f t="shared" si="596"/>
        <v/>
      </c>
      <c r="BL1123" s="1452" t="str">
        <f t="shared" si="597"/>
        <v/>
      </c>
      <c r="BM1123" s="1452" t="str">
        <f t="shared" si="598"/>
        <v/>
      </c>
      <c r="BN1123" s="1452" t="str">
        <f t="shared" ca="1" si="599"/>
        <v/>
      </c>
      <c r="BO1123" s="1452" t="str">
        <f t="shared" si="612"/>
        <v/>
      </c>
      <c r="BP1123" s="1452" t="str">
        <f t="shared" si="600"/>
        <v/>
      </c>
      <c r="BQ1123" s="1452" t="str">
        <f t="shared" si="601"/>
        <v/>
      </c>
      <c r="BR1123" s="1452" t="str">
        <f t="shared" si="602"/>
        <v/>
      </c>
      <c r="BS1123" s="1452" t="str">
        <f t="shared" si="603"/>
        <v/>
      </c>
      <c r="BT1123" s="1452" t="str">
        <f t="shared" si="604"/>
        <v/>
      </c>
      <c r="BU1123" s="1452" t="str">
        <f t="shared" si="605"/>
        <v/>
      </c>
      <c r="BV1123" s="1452" t="str">
        <f t="shared" si="606"/>
        <v/>
      </c>
      <c r="BW1123" s="1558">
        <f t="shared" ca="1" si="613"/>
        <v>0</v>
      </c>
    </row>
    <row r="1124" spans="1:75" s="9" customFormat="1" ht="12.5">
      <c r="A1124" s="1483" t="str">
        <f t="shared" si="607"/>
        <v>Public Health Wales Trust</v>
      </c>
      <c r="B1124" s="1583"/>
      <c r="C1124" s="1510"/>
      <c r="D1124" s="1514"/>
      <c r="E1124" s="1595"/>
      <c r="F1124" s="1436"/>
      <c r="G1124" s="1547">
        <f t="shared" si="608"/>
        <v>0</v>
      </c>
      <c r="H1124" s="1484"/>
      <c r="I1124" s="1547">
        <f t="shared" si="609"/>
        <v>0</v>
      </c>
      <c r="J1124" s="1516"/>
      <c r="K1124" s="1516"/>
      <c r="L1124" s="1436"/>
      <c r="M1124" s="1439"/>
      <c r="N1124" s="1439"/>
      <c r="O1124" s="1485"/>
      <c r="P1124" s="1486"/>
      <c r="Q1124" s="1486"/>
      <c r="R1124" s="1487"/>
      <c r="S1124" s="1444"/>
      <c r="T1124" s="1444"/>
      <c r="U1124" s="1444"/>
      <c r="V1124" s="1488"/>
      <c r="W1124" s="1488"/>
      <c r="X1124" s="1488"/>
      <c r="Y1124" s="1488"/>
      <c r="Z1124" s="1488"/>
      <c r="AA1124" s="1488"/>
      <c r="AB1124" s="1488"/>
      <c r="AC1124" s="1488"/>
      <c r="AD1124" s="1488"/>
      <c r="AE1124" s="1488"/>
      <c r="AF1124" s="1488"/>
      <c r="AG1124" s="1488"/>
      <c r="AH1124" s="1451">
        <f t="shared" si="581"/>
        <v>0</v>
      </c>
      <c r="AI1124" s="1488"/>
      <c r="AJ1124" s="1488"/>
      <c r="AK1124" s="1488"/>
      <c r="AL1124" s="1488"/>
      <c r="AM1124" s="1488"/>
      <c r="AN1124" s="1488"/>
      <c r="AO1124" s="1488"/>
      <c r="AP1124" s="1488"/>
      <c r="AQ1124" s="1488"/>
      <c r="AR1124" s="1488"/>
      <c r="AS1124" s="1488"/>
      <c r="AT1124" s="1542"/>
      <c r="AU1124" s="1599">
        <f t="shared" si="582"/>
        <v>0</v>
      </c>
      <c r="AV1124" s="1544">
        <f t="shared" si="610"/>
        <v>0</v>
      </c>
      <c r="AW1124" s="1452">
        <f t="shared" si="583"/>
        <v>0</v>
      </c>
      <c r="AX1124" s="1452">
        <f t="shared" si="584"/>
        <v>0</v>
      </c>
      <c r="AY1124" s="1452">
        <f t="shared" si="585"/>
        <v>0</v>
      </c>
      <c r="AZ1124" s="1452">
        <f t="shared" si="586"/>
        <v>0</v>
      </c>
      <c r="BA1124" s="1452">
        <f t="shared" si="587"/>
        <v>0</v>
      </c>
      <c r="BB1124" s="1452">
        <f t="shared" si="588"/>
        <v>0</v>
      </c>
      <c r="BC1124" s="1452">
        <f t="shared" si="589"/>
        <v>0</v>
      </c>
      <c r="BD1124" s="1452">
        <f t="shared" si="590"/>
        <v>0</v>
      </c>
      <c r="BE1124" s="1452">
        <f t="shared" si="591"/>
        <v>0</v>
      </c>
      <c r="BF1124" s="1452">
        <f t="shared" si="592"/>
        <v>0</v>
      </c>
      <c r="BG1124" s="1452">
        <f t="shared" si="593"/>
        <v>0</v>
      </c>
      <c r="BH1124" s="1452">
        <f t="shared" si="594"/>
        <v>0</v>
      </c>
      <c r="BI1124" s="1452">
        <f t="shared" si="611"/>
        <v>0</v>
      </c>
      <c r="BJ1124" s="1452" t="str">
        <f t="shared" si="595"/>
        <v/>
      </c>
      <c r="BK1124" s="1452" t="str">
        <f t="shared" si="596"/>
        <v/>
      </c>
      <c r="BL1124" s="1452" t="str">
        <f t="shared" si="597"/>
        <v/>
      </c>
      <c r="BM1124" s="1452" t="str">
        <f t="shared" si="598"/>
        <v/>
      </c>
      <c r="BN1124" s="1452" t="str">
        <f t="shared" ca="1" si="599"/>
        <v/>
      </c>
      <c r="BO1124" s="1452" t="str">
        <f t="shared" si="612"/>
        <v/>
      </c>
      <c r="BP1124" s="1452" t="str">
        <f t="shared" si="600"/>
        <v/>
      </c>
      <c r="BQ1124" s="1452" t="str">
        <f t="shared" si="601"/>
        <v/>
      </c>
      <c r="BR1124" s="1452" t="str">
        <f t="shared" si="602"/>
        <v/>
      </c>
      <c r="BS1124" s="1452" t="str">
        <f t="shared" si="603"/>
        <v/>
      </c>
      <c r="BT1124" s="1452" t="str">
        <f t="shared" si="604"/>
        <v/>
      </c>
      <c r="BU1124" s="1452" t="str">
        <f t="shared" si="605"/>
        <v/>
      </c>
      <c r="BV1124" s="1452" t="str">
        <f t="shared" si="606"/>
        <v/>
      </c>
      <c r="BW1124" s="1558">
        <f t="shared" ca="1" si="613"/>
        <v>0</v>
      </c>
    </row>
    <row r="1125" spans="1:75" s="9" customFormat="1" ht="12.5">
      <c r="A1125" s="1483" t="str">
        <f t="shared" si="607"/>
        <v>Public Health Wales Trust</v>
      </c>
      <c r="B1125" s="1583"/>
      <c r="C1125" s="1510"/>
      <c r="D1125" s="1514"/>
      <c r="E1125" s="1595"/>
      <c r="F1125" s="1436"/>
      <c r="G1125" s="1547">
        <f t="shared" si="608"/>
        <v>0</v>
      </c>
      <c r="H1125" s="1484"/>
      <c r="I1125" s="1547">
        <f t="shared" si="609"/>
        <v>0</v>
      </c>
      <c r="J1125" s="1516"/>
      <c r="K1125" s="1516"/>
      <c r="L1125" s="1436"/>
      <c r="M1125" s="1439"/>
      <c r="N1125" s="1439"/>
      <c r="O1125" s="1485"/>
      <c r="P1125" s="1486"/>
      <c r="Q1125" s="1486"/>
      <c r="R1125" s="1487"/>
      <c r="S1125" s="1444"/>
      <c r="T1125" s="1444"/>
      <c r="U1125" s="1444"/>
      <c r="V1125" s="1488"/>
      <c r="W1125" s="1488"/>
      <c r="X1125" s="1488"/>
      <c r="Y1125" s="1488"/>
      <c r="Z1125" s="1488"/>
      <c r="AA1125" s="1488"/>
      <c r="AB1125" s="1488"/>
      <c r="AC1125" s="1488"/>
      <c r="AD1125" s="1488"/>
      <c r="AE1125" s="1488"/>
      <c r="AF1125" s="1488"/>
      <c r="AG1125" s="1488"/>
      <c r="AH1125" s="1451">
        <f t="shared" si="581"/>
        <v>0</v>
      </c>
      <c r="AI1125" s="1488"/>
      <c r="AJ1125" s="1488"/>
      <c r="AK1125" s="1488"/>
      <c r="AL1125" s="1488"/>
      <c r="AM1125" s="1488"/>
      <c r="AN1125" s="1488"/>
      <c r="AO1125" s="1488"/>
      <c r="AP1125" s="1488"/>
      <c r="AQ1125" s="1488"/>
      <c r="AR1125" s="1488"/>
      <c r="AS1125" s="1488"/>
      <c r="AT1125" s="1542"/>
      <c r="AU1125" s="1599">
        <f t="shared" si="582"/>
        <v>0</v>
      </c>
      <c r="AV1125" s="1544">
        <f t="shared" si="610"/>
        <v>0</v>
      </c>
      <c r="AW1125" s="1452">
        <f t="shared" si="583"/>
        <v>0</v>
      </c>
      <c r="AX1125" s="1452">
        <f t="shared" si="584"/>
        <v>0</v>
      </c>
      <c r="AY1125" s="1452">
        <f t="shared" si="585"/>
        <v>0</v>
      </c>
      <c r="AZ1125" s="1452">
        <f t="shared" si="586"/>
        <v>0</v>
      </c>
      <c r="BA1125" s="1452">
        <f t="shared" si="587"/>
        <v>0</v>
      </c>
      <c r="BB1125" s="1452">
        <f t="shared" si="588"/>
        <v>0</v>
      </c>
      <c r="BC1125" s="1452">
        <f t="shared" si="589"/>
        <v>0</v>
      </c>
      <c r="BD1125" s="1452">
        <f t="shared" si="590"/>
        <v>0</v>
      </c>
      <c r="BE1125" s="1452">
        <f t="shared" si="591"/>
        <v>0</v>
      </c>
      <c r="BF1125" s="1452">
        <f t="shared" si="592"/>
        <v>0</v>
      </c>
      <c r="BG1125" s="1452">
        <f t="shared" si="593"/>
        <v>0</v>
      </c>
      <c r="BH1125" s="1452">
        <f t="shared" si="594"/>
        <v>0</v>
      </c>
      <c r="BI1125" s="1452">
        <f t="shared" si="611"/>
        <v>0</v>
      </c>
      <c r="BJ1125" s="1452" t="str">
        <f t="shared" si="595"/>
        <v/>
      </c>
      <c r="BK1125" s="1452" t="str">
        <f t="shared" si="596"/>
        <v/>
      </c>
      <c r="BL1125" s="1452" t="str">
        <f t="shared" si="597"/>
        <v/>
      </c>
      <c r="BM1125" s="1452" t="str">
        <f t="shared" si="598"/>
        <v/>
      </c>
      <c r="BN1125" s="1452" t="str">
        <f t="shared" ca="1" si="599"/>
        <v/>
      </c>
      <c r="BO1125" s="1452" t="str">
        <f t="shared" si="612"/>
        <v/>
      </c>
      <c r="BP1125" s="1452" t="str">
        <f t="shared" si="600"/>
        <v/>
      </c>
      <c r="BQ1125" s="1452" t="str">
        <f t="shared" si="601"/>
        <v/>
      </c>
      <c r="BR1125" s="1452" t="str">
        <f t="shared" si="602"/>
        <v/>
      </c>
      <c r="BS1125" s="1452" t="str">
        <f t="shared" si="603"/>
        <v/>
      </c>
      <c r="BT1125" s="1452" t="str">
        <f t="shared" si="604"/>
        <v/>
      </c>
      <c r="BU1125" s="1452" t="str">
        <f t="shared" si="605"/>
        <v/>
      </c>
      <c r="BV1125" s="1452" t="str">
        <f t="shared" si="606"/>
        <v/>
      </c>
      <c r="BW1125" s="1558">
        <f t="shared" ca="1" si="613"/>
        <v>0</v>
      </c>
    </row>
    <row r="1126" spans="1:75" s="9" customFormat="1" ht="12.5">
      <c r="A1126" s="1483" t="str">
        <f t="shared" si="607"/>
        <v>Public Health Wales Trust</v>
      </c>
      <c r="B1126" s="1583"/>
      <c r="C1126" s="1510"/>
      <c r="D1126" s="1514"/>
      <c r="E1126" s="1595"/>
      <c r="F1126" s="1436"/>
      <c r="G1126" s="1547">
        <f t="shared" si="608"/>
        <v>0</v>
      </c>
      <c r="H1126" s="1484"/>
      <c r="I1126" s="1547">
        <f t="shared" si="609"/>
        <v>0</v>
      </c>
      <c r="J1126" s="1516"/>
      <c r="K1126" s="1516"/>
      <c r="L1126" s="1436"/>
      <c r="M1126" s="1439"/>
      <c r="N1126" s="1439"/>
      <c r="O1126" s="1485"/>
      <c r="P1126" s="1486"/>
      <c r="Q1126" s="1486"/>
      <c r="R1126" s="1487"/>
      <c r="S1126" s="1444"/>
      <c r="T1126" s="1444"/>
      <c r="U1126" s="1444"/>
      <c r="V1126" s="1488"/>
      <c r="W1126" s="1488"/>
      <c r="X1126" s="1488"/>
      <c r="Y1126" s="1488"/>
      <c r="Z1126" s="1488"/>
      <c r="AA1126" s="1488"/>
      <c r="AB1126" s="1488"/>
      <c r="AC1126" s="1488"/>
      <c r="AD1126" s="1488"/>
      <c r="AE1126" s="1488"/>
      <c r="AF1126" s="1488"/>
      <c r="AG1126" s="1488"/>
      <c r="AH1126" s="1451">
        <f t="shared" si="581"/>
        <v>0</v>
      </c>
      <c r="AI1126" s="1488"/>
      <c r="AJ1126" s="1488"/>
      <c r="AK1126" s="1488"/>
      <c r="AL1126" s="1488"/>
      <c r="AM1126" s="1488"/>
      <c r="AN1126" s="1488"/>
      <c r="AO1126" s="1488"/>
      <c r="AP1126" s="1488"/>
      <c r="AQ1126" s="1488"/>
      <c r="AR1126" s="1488"/>
      <c r="AS1126" s="1488"/>
      <c r="AT1126" s="1542"/>
      <c r="AU1126" s="1599">
        <f t="shared" si="582"/>
        <v>0</v>
      </c>
      <c r="AV1126" s="1544">
        <f t="shared" si="610"/>
        <v>0</v>
      </c>
      <c r="AW1126" s="1452">
        <f t="shared" si="583"/>
        <v>0</v>
      </c>
      <c r="AX1126" s="1452">
        <f t="shared" si="584"/>
        <v>0</v>
      </c>
      <c r="AY1126" s="1452">
        <f t="shared" si="585"/>
        <v>0</v>
      </c>
      <c r="AZ1126" s="1452">
        <f t="shared" si="586"/>
        <v>0</v>
      </c>
      <c r="BA1126" s="1452">
        <f t="shared" si="587"/>
        <v>0</v>
      </c>
      <c r="BB1126" s="1452">
        <f t="shared" si="588"/>
        <v>0</v>
      </c>
      <c r="BC1126" s="1452">
        <f t="shared" si="589"/>
        <v>0</v>
      </c>
      <c r="BD1126" s="1452">
        <f t="shared" si="590"/>
        <v>0</v>
      </c>
      <c r="BE1126" s="1452">
        <f t="shared" si="591"/>
        <v>0</v>
      </c>
      <c r="BF1126" s="1452">
        <f t="shared" si="592"/>
        <v>0</v>
      </c>
      <c r="BG1126" s="1452">
        <f t="shared" si="593"/>
        <v>0</v>
      </c>
      <c r="BH1126" s="1452">
        <f t="shared" si="594"/>
        <v>0</v>
      </c>
      <c r="BI1126" s="1452">
        <f t="shared" si="611"/>
        <v>0</v>
      </c>
      <c r="BJ1126" s="1452" t="str">
        <f t="shared" si="595"/>
        <v/>
      </c>
      <c r="BK1126" s="1452" t="str">
        <f t="shared" si="596"/>
        <v/>
      </c>
      <c r="BL1126" s="1452" t="str">
        <f t="shared" si="597"/>
        <v/>
      </c>
      <c r="BM1126" s="1452" t="str">
        <f t="shared" si="598"/>
        <v/>
      </c>
      <c r="BN1126" s="1452" t="str">
        <f t="shared" ca="1" si="599"/>
        <v/>
      </c>
      <c r="BO1126" s="1452" t="str">
        <f t="shared" si="612"/>
        <v/>
      </c>
      <c r="BP1126" s="1452" t="str">
        <f t="shared" si="600"/>
        <v/>
      </c>
      <c r="BQ1126" s="1452" t="str">
        <f t="shared" si="601"/>
        <v/>
      </c>
      <c r="BR1126" s="1452" t="str">
        <f t="shared" si="602"/>
        <v/>
      </c>
      <c r="BS1126" s="1452" t="str">
        <f t="shared" si="603"/>
        <v/>
      </c>
      <c r="BT1126" s="1452" t="str">
        <f t="shared" si="604"/>
        <v/>
      </c>
      <c r="BU1126" s="1452" t="str">
        <f t="shared" si="605"/>
        <v/>
      </c>
      <c r="BV1126" s="1452" t="str">
        <f t="shared" si="606"/>
        <v/>
      </c>
      <c r="BW1126" s="1558">
        <f t="shared" ca="1" si="613"/>
        <v>0</v>
      </c>
    </row>
    <row r="1127" spans="1:75" s="9" customFormat="1" ht="12.5">
      <c r="A1127" s="1483" t="str">
        <f t="shared" si="607"/>
        <v>Public Health Wales Trust</v>
      </c>
      <c r="B1127" s="1583"/>
      <c r="C1127" s="1510"/>
      <c r="D1127" s="1514"/>
      <c r="E1127" s="1595"/>
      <c r="F1127" s="1436"/>
      <c r="G1127" s="1547">
        <f t="shared" si="608"/>
        <v>0</v>
      </c>
      <c r="H1127" s="1484"/>
      <c r="I1127" s="1547">
        <f t="shared" si="609"/>
        <v>0</v>
      </c>
      <c r="J1127" s="1516"/>
      <c r="K1127" s="1516"/>
      <c r="L1127" s="1436"/>
      <c r="M1127" s="1439"/>
      <c r="N1127" s="1439"/>
      <c r="O1127" s="1485"/>
      <c r="P1127" s="1486"/>
      <c r="Q1127" s="1486"/>
      <c r="R1127" s="1487"/>
      <c r="S1127" s="1444"/>
      <c r="T1127" s="1444"/>
      <c r="U1127" s="1444"/>
      <c r="V1127" s="1488"/>
      <c r="W1127" s="1488"/>
      <c r="X1127" s="1488"/>
      <c r="Y1127" s="1488"/>
      <c r="Z1127" s="1488"/>
      <c r="AA1127" s="1488"/>
      <c r="AB1127" s="1488"/>
      <c r="AC1127" s="1488"/>
      <c r="AD1127" s="1488"/>
      <c r="AE1127" s="1488"/>
      <c r="AF1127" s="1488"/>
      <c r="AG1127" s="1488"/>
      <c r="AH1127" s="1451">
        <f t="shared" si="581"/>
        <v>0</v>
      </c>
      <c r="AI1127" s="1488"/>
      <c r="AJ1127" s="1488"/>
      <c r="AK1127" s="1488"/>
      <c r="AL1127" s="1488"/>
      <c r="AM1127" s="1488"/>
      <c r="AN1127" s="1488"/>
      <c r="AO1127" s="1488"/>
      <c r="AP1127" s="1488"/>
      <c r="AQ1127" s="1488"/>
      <c r="AR1127" s="1488"/>
      <c r="AS1127" s="1488"/>
      <c r="AT1127" s="1542"/>
      <c r="AU1127" s="1599">
        <f t="shared" si="582"/>
        <v>0</v>
      </c>
      <c r="AV1127" s="1544">
        <f t="shared" si="610"/>
        <v>0</v>
      </c>
      <c r="AW1127" s="1452">
        <f t="shared" si="583"/>
        <v>0</v>
      </c>
      <c r="AX1127" s="1452">
        <f t="shared" si="584"/>
        <v>0</v>
      </c>
      <c r="AY1127" s="1452">
        <f t="shared" si="585"/>
        <v>0</v>
      </c>
      <c r="AZ1127" s="1452">
        <f t="shared" si="586"/>
        <v>0</v>
      </c>
      <c r="BA1127" s="1452">
        <f t="shared" si="587"/>
        <v>0</v>
      </c>
      <c r="BB1127" s="1452">
        <f t="shared" si="588"/>
        <v>0</v>
      </c>
      <c r="BC1127" s="1452">
        <f t="shared" si="589"/>
        <v>0</v>
      </c>
      <c r="BD1127" s="1452">
        <f t="shared" si="590"/>
        <v>0</v>
      </c>
      <c r="BE1127" s="1452">
        <f t="shared" si="591"/>
        <v>0</v>
      </c>
      <c r="BF1127" s="1452">
        <f t="shared" si="592"/>
        <v>0</v>
      </c>
      <c r="BG1127" s="1452">
        <f t="shared" si="593"/>
        <v>0</v>
      </c>
      <c r="BH1127" s="1452">
        <f t="shared" si="594"/>
        <v>0</v>
      </c>
      <c r="BI1127" s="1452">
        <f t="shared" si="611"/>
        <v>0</v>
      </c>
      <c r="BJ1127" s="1452" t="str">
        <f t="shared" si="595"/>
        <v/>
      </c>
      <c r="BK1127" s="1452" t="str">
        <f t="shared" si="596"/>
        <v/>
      </c>
      <c r="BL1127" s="1452" t="str">
        <f t="shared" si="597"/>
        <v/>
      </c>
      <c r="BM1127" s="1452" t="str">
        <f t="shared" si="598"/>
        <v/>
      </c>
      <c r="BN1127" s="1452" t="str">
        <f t="shared" ca="1" si="599"/>
        <v/>
      </c>
      <c r="BO1127" s="1452" t="str">
        <f t="shared" si="612"/>
        <v/>
      </c>
      <c r="BP1127" s="1452" t="str">
        <f t="shared" si="600"/>
        <v/>
      </c>
      <c r="BQ1127" s="1452" t="str">
        <f t="shared" si="601"/>
        <v/>
      </c>
      <c r="BR1127" s="1452" t="str">
        <f t="shared" si="602"/>
        <v/>
      </c>
      <c r="BS1127" s="1452" t="str">
        <f t="shared" si="603"/>
        <v/>
      </c>
      <c r="BT1127" s="1452" t="str">
        <f t="shared" si="604"/>
        <v/>
      </c>
      <c r="BU1127" s="1452" t="str">
        <f t="shared" si="605"/>
        <v/>
      </c>
      <c r="BV1127" s="1452" t="str">
        <f t="shared" si="606"/>
        <v/>
      </c>
      <c r="BW1127" s="1558">
        <f t="shared" ca="1" si="613"/>
        <v>0</v>
      </c>
    </row>
    <row r="1128" spans="1:75" s="9" customFormat="1" ht="12.5">
      <c r="A1128" s="1483" t="str">
        <f t="shared" si="607"/>
        <v>Public Health Wales Trust</v>
      </c>
      <c r="B1128" s="1583"/>
      <c r="C1128" s="1510"/>
      <c r="D1128" s="1514"/>
      <c r="E1128" s="1595"/>
      <c r="F1128" s="1436"/>
      <c r="G1128" s="1547">
        <f t="shared" si="608"/>
        <v>0</v>
      </c>
      <c r="H1128" s="1484"/>
      <c r="I1128" s="1547">
        <f t="shared" si="609"/>
        <v>0</v>
      </c>
      <c r="J1128" s="1516"/>
      <c r="K1128" s="1516"/>
      <c r="L1128" s="1436"/>
      <c r="M1128" s="1439"/>
      <c r="N1128" s="1439"/>
      <c r="O1128" s="1485"/>
      <c r="P1128" s="1486"/>
      <c r="Q1128" s="1486"/>
      <c r="R1128" s="1487"/>
      <c r="S1128" s="1444"/>
      <c r="T1128" s="1444"/>
      <c r="U1128" s="1444"/>
      <c r="V1128" s="1488"/>
      <c r="W1128" s="1488"/>
      <c r="X1128" s="1488"/>
      <c r="Y1128" s="1488"/>
      <c r="Z1128" s="1488"/>
      <c r="AA1128" s="1488"/>
      <c r="AB1128" s="1488"/>
      <c r="AC1128" s="1488"/>
      <c r="AD1128" s="1488"/>
      <c r="AE1128" s="1488"/>
      <c r="AF1128" s="1488"/>
      <c r="AG1128" s="1488"/>
      <c r="AH1128" s="1451">
        <f t="shared" si="581"/>
        <v>0</v>
      </c>
      <c r="AI1128" s="1488"/>
      <c r="AJ1128" s="1488"/>
      <c r="AK1128" s="1488"/>
      <c r="AL1128" s="1488"/>
      <c r="AM1128" s="1488"/>
      <c r="AN1128" s="1488"/>
      <c r="AO1128" s="1488"/>
      <c r="AP1128" s="1488"/>
      <c r="AQ1128" s="1488"/>
      <c r="AR1128" s="1488"/>
      <c r="AS1128" s="1488"/>
      <c r="AT1128" s="1542"/>
      <c r="AU1128" s="1599">
        <f t="shared" si="582"/>
        <v>0</v>
      </c>
      <c r="AV1128" s="1544">
        <f t="shared" si="610"/>
        <v>0</v>
      </c>
      <c r="AW1128" s="1452">
        <f t="shared" si="583"/>
        <v>0</v>
      </c>
      <c r="AX1128" s="1452">
        <f t="shared" si="584"/>
        <v>0</v>
      </c>
      <c r="AY1128" s="1452">
        <f t="shared" si="585"/>
        <v>0</v>
      </c>
      <c r="AZ1128" s="1452">
        <f t="shared" si="586"/>
        <v>0</v>
      </c>
      <c r="BA1128" s="1452">
        <f t="shared" si="587"/>
        <v>0</v>
      </c>
      <c r="BB1128" s="1452">
        <f t="shared" si="588"/>
        <v>0</v>
      </c>
      <c r="BC1128" s="1452">
        <f t="shared" si="589"/>
        <v>0</v>
      </c>
      <c r="BD1128" s="1452">
        <f t="shared" si="590"/>
        <v>0</v>
      </c>
      <c r="BE1128" s="1452">
        <f t="shared" si="591"/>
        <v>0</v>
      </c>
      <c r="BF1128" s="1452">
        <f t="shared" si="592"/>
        <v>0</v>
      </c>
      <c r="BG1128" s="1452">
        <f t="shared" si="593"/>
        <v>0</v>
      </c>
      <c r="BH1128" s="1452">
        <f t="shared" si="594"/>
        <v>0</v>
      </c>
      <c r="BI1128" s="1452">
        <f t="shared" si="611"/>
        <v>0</v>
      </c>
      <c r="BJ1128" s="1452" t="str">
        <f t="shared" si="595"/>
        <v/>
      </c>
      <c r="BK1128" s="1452" t="str">
        <f t="shared" si="596"/>
        <v/>
      </c>
      <c r="BL1128" s="1452" t="str">
        <f t="shared" si="597"/>
        <v/>
      </c>
      <c r="BM1128" s="1452" t="str">
        <f t="shared" si="598"/>
        <v/>
      </c>
      <c r="BN1128" s="1452" t="str">
        <f t="shared" ca="1" si="599"/>
        <v/>
      </c>
      <c r="BO1128" s="1452" t="str">
        <f t="shared" si="612"/>
        <v/>
      </c>
      <c r="BP1128" s="1452" t="str">
        <f t="shared" si="600"/>
        <v/>
      </c>
      <c r="BQ1128" s="1452" t="str">
        <f t="shared" si="601"/>
        <v/>
      </c>
      <c r="BR1128" s="1452" t="str">
        <f t="shared" si="602"/>
        <v/>
      </c>
      <c r="BS1128" s="1452" t="str">
        <f t="shared" si="603"/>
        <v/>
      </c>
      <c r="BT1128" s="1452" t="str">
        <f t="shared" si="604"/>
        <v/>
      </c>
      <c r="BU1128" s="1452" t="str">
        <f t="shared" si="605"/>
        <v/>
      </c>
      <c r="BV1128" s="1452" t="str">
        <f t="shared" si="606"/>
        <v/>
      </c>
      <c r="BW1128" s="1558">
        <f t="shared" ca="1" si="613"/>
        <v>0</v>
      </c>
    </row>
    <row r="1129" spans="1:75" s="9" customFormat="1" ht="12.5">
      <c r="A1129" s="1483" t="str">
        <f t="shared" si="607"/>
        <v>Public Health Wales Trust</v>
      </c>
      <c r="B1129" s="1583"/>
      <c r="C1129" s="1510"/>
      <c r="D1129" s="1514"/>
      <c r="E1129" s="1595"/>
      <c r="F1129" s="1436"/>
      <c r="G1129" s="1547">
        <f t="shared" si="608"/>
        <v>0</v>
      </c>
      <c r="H1129" s="1484"/>
      <c r="I1129" s="1547">
        <f t="shared" si="609"/>
        <v>0</v>
      </c>
      <c r="J1129" s="1516"/>
      <c r="K1129" s="1516"/>
      <c r="L1129" s="1436"/>
      <c r="M1129" s="1439"/>
      <c r="N1129" s="1439"/>
      <c r="O1129" s="1485"/>
      <c r="P1129" s="1486"/>
      <c r="Q1129" s="1486"/>
      <c r="R1129" s="1487"/>
      <c r="S1129" s="1444"/>
      <c r="T1129" s="1444"/>
      <c r="U1129" s="1444"/>
      <c r="V1129" s="1488"/>
      <c r="W1129" s="1488"/>
      <c r="X1129" s="1488"/>
      <c r="Y1129" s="1488"/>
      <c r="Z1129" s="1488"/>
      <c r="AA1129" s="1488"/>
      <c r="AB1129" s="1488"/>
      <c r="AC1129" s="1488"/>
      <c r="AD1129" s="1488"/>
      <c r="AE1129" s="1488"/>
      <c r="AF1129" s="1488"/>
      <c r="AG1129" s="1488"/>
      <c r="AH1129" s="1451">
        <f t="shared" si="581"/>
        <v>0</v>
      </c>
      <c r="AI1129" s="1488"/>
      <c r="AJ1129" s="1488"/>
      <c r="AK1129" s="1488"/>
      <c r="AL1129" s="1488"/>
      <c r="AM1129" s="1488"/>
      <c r="AN1129" s="1488"/>
      <c r="AO1129" s="1488"/>
      <c r="AP1129" s="1488"/>
      <c r="AQ1129" s="1488"/>
      <c r="AR1129" s="1488"/>
      <c r="AS1129" s="1488"/>
      <c r="AT1129" s="1542"/>
      <c r="AU1129" s="1599">
        <f t="shared" si="582"/>
        <v>0</v>
      </c>
      <c r="AV1129" s="1544">
        <f t="shared" si="610"/>
        <v>0</v>
      </c>
      <c r="AW1129" s="1452">
        <f t="shared" si="583"/>
        <v>0</v>
      </c>
      <c r="AX1129" s="1452">
        <f t="shared" si="584"/>
        <v>0</v>
      </c>
      <c r="AY1129" s="1452">
        <f t="shared" si="585"/>
        <v>0</v>
      </c>
      <c r="AZ1129" s="1452">
        <f t="shared" si="586"/>
        <v>0</v>
      </c>
      <c r="BA1129" s="1452">
        <f t="shared" si="587"/>
        <v>0</v>
      </c>
      <c r="BB1129" s="1452">
        <f t="shared" si="588"/>
        <v>0</v>
      </c>
      <c r="BC1129" s="1452">
        <f t="shared" si="589"/>
        <v>0</v>
      </c>
      <c r="BD1129" s="1452">
        <f t="shared" si="590"/>
        <v>0</v>
      </c>
      <c r="BE1129" s="1452">
        <f t="shared" si="591"/>
        <v>0</v>
      </c>
      <c r="BF1129" s="1452">
        <f t="shared" si="592"/>
        <v>0</v>
      </c>
      <c r="BG1129" s="1452">
        <f t="shared" si="593"/>
        <v>0</v>
      </c>
      <c r="BH1129" s="1452">
        <f t="shared" si="594"/>
        <v>0</v>
      </c>
      <c r="BI1129" s="1452">
        <f t="shared" si="611"/>
        <v>0</v>
      </c>
      <c r="BJ1129" s="1452" t="str">
        <f t="shared" si="595"/>
        <v/>
      </c>
      <c r="BK1129" s="1452" t="str">
        <f t="shared" si="596"/>
        <v/>
      </c>
      <c r="BL1129" s="1452" t="str">
        <f t="shared" si="597"/>
        <v/>
      </c>
      <c r="BM1129" s="1452" t="str">
        <f t="shared" si="598"/>
        <v/>
      </c>
      <c r="BN1129" s="1452" t="str">
        <f t="shared" ca="1" si="599"/>
        <v/>
      </c>
      <c r="BO1129" s="1452" t="str">
        <f t="shared" si="612"/>
        <v/>
      </c>
      <c r="BP1129" s="1452" t="str">
        <f t="shared" si="600"/>
        <v/>
      </c>
      <c r="BQ1129" s="1452" t="str">
        <f t="shared" si="601"/>
        <v/>
      </c>
      <c r="BR1129" s="1452" t="str">
        <f t="shared" si="602"/>
        <v/>
      </c>
      <c r="BS1129" s="1452" t="str">
        <f t="shared" si="603"/>
        <v/>
      </c>
      <c r="BT1129" s="1452" t="str">
        <f t="shared" si="604"/>
        <v/>
      </c>
      <c r="BU1129" s="1452" t="str">
        <f t="shared" si="605"/>
        <v/>
      </c>
      <c r="BV1129" s="1452" t="str">
        <f t="shared" si="606"/>
        <v/>
      </c>
      <c r="BW1129" s="1558">
        <f t="shared" ca="1" si="613"/>
        <v>0</v>
      </c>
    </row>
    <row r="1130" spans="1:75" s="9" customFormat="1" ht="12.5">
      <c r="A1130" s="1483" t="str">
        <f t="shared" si="607"/>
        <v>Public Health Wales Trust</v>
      </c>
      <c r="B1130" s="1583"/>
      <c r="C1130" s="1510"/>
      <c r="D1130" s="1510"/>
      <c r="E1130" s="1581"/>
      <c r="F1130" s="1436"/>
      <c r="G1130" s="1547">
        <f t="shared" si="608"/>
        <v>0</v>
      </c>
      <c r="H1130" s="1484"/>
      <c r="I1130" s="1547">
        <f t="shared" si="609"/>
        <v>0</v>
      </c>
      <c r="J1130" s="1516"/>
      <c r="K1130" s="1516"/>
      <c r="L1130" s="1436"/>
      <c r="M1130" s="1439"/>
      <c r="N1130" s="1439"/>
      <c r="O1130" s="1485"/>
      <c r="P1130" s="1486"/>
      <c r="Q1130" s="1486"/>
      <c r="R1130" s="1487"/>
      <c r="S1130" s="1444"/>
      <c r="T1130" s="1444"/>
      <c r="U1130" s="1444"/>
      <c r="V1130" s="1488"/>
      <c r="W1130" s="1488"/>
      <c r="X1130" s="1488"/>
      <c r="Y1130" s="1488"/>
      <c r="Z1130" s="1488"/>
      <c r="AA1130" s="1488"/>
      <c r="AB1130" s="1488"/>
      <c r="AC1130" s="1488"/>
      <c r="AD1130" s="1488"/>
      <c r="AE1130" s="1488"/>
      <c r="AF1130" s="1488"/>
      <c r="AG1130" s="1488"/>
      <c r="AH1130" s="1451">
        <f t="shared" si="581"/>
        <v>0</v>
      </c>
      <c r="AI1130" s="1488"/>
      <c r="AJ1130" s="1488"/>
      <c r="AK1130" s="1488"/>
      <c r="AL1130" s="1488"/>
      <c r="AM1130" s="1488"/>
      <c r="AN1130" s="1488"/>
      <c r="AO1130" s="1488"/>
      <c r="AP1130" s="1488"/>
      <c r="AQ1130" s="1488"/>
      <c r="AR1130" s="1488"/>
      <c r="AS1130" s="1488"/>
      <c r="AT1130" s="1542"/>
      <c r="AU1130" s="1599">
        <f t="shared" si="582"/>
        <v>0</v>
      </c>
      <c r="AV1130" s="1544">
        <f t="shared" si="610"/>
        <v>0</v>
      </c>
      <c r="AW1130" s="1452">
        <f t="shared" si="583"/>
        <v>0</v>
      </c>
      <c r="AX1130" s="1452">
        <f t="shared" si="584"/>
        <v>0</v>
      </c>
      <c r="AY1130" s="1452">
        <f t="shared" si="585"/>
        <v>0</v>
      </c>
      <c r="AZ1130" s="1452">
        <f t="shared" si="586"/>
        <v>0</v>
      </c>
      <c r="BA1130" s="1452">
        <f t="shared" si="587"/>
        <v>0</v>
      </c>
      <c r="BB1130" s="1452">
        <f t="shared" si="588"/>
        <v>0</v>
      </c>
      <c r="BC1130" s="1452">
        <f t="shared" si="589"/>
        <v>0</v>
      </c>
      <c r="BD1130" s="1452">
        <f t="shared" si="590"/>
        <v>0</v>
      </c>
      <c r="BE1130" s="1452">
        <f t="shared" si="591"/>
        <v>0</v>
      </c>
      <c r="BF1130" s="1452">
        <f t="shared" si="592"/>
        <v>0</v>
      </c>
      <c r="BG1130" s="1452">
        <f t="shared" si="593"/>
        <v>0</v>
      </c>
      <c r="BH1130" s="1452">
        <f t="shared" si="594"/>
        <v>0</v>
      </c>
      <c r="BI1130" s="1452">
        <f t="shared" si="611"/>
        <v>0</v>
      </c>
      <c r="BJ1130" s="1452" t="str">
        <f t="shared" si="595"/>
        <v/>
      </c>
      <c r="BK1130" s="1452" t="str">
        <f t="shared" si="596"/>
        <v/>
      </c>
      <c r="BL1130" s="1452" t="str">
        <f t="shared" si="597"/>
        <v/>
      </c>
      <c r="BM1130" s="1452" t="str">
        <f t="shared" si="598"/>
        <v/>
      </c>
      <c r="BN1130" s="1452" t="str">
        <f t="shared" ca="1" si="599"/>
        <v/>
      </c>
      <c r="BO1130" s="1452" t="str">
        <f t="shared" si="612"/>
        <v/>
      </c>
      <c r="BP1130" s="1452" t="str">
        <f t="shared" si="600"/>
        <v/>
      </c>
      <c r="BQ1130" s="1452" t="str">
        <f t="shared" si="601"/>
        <v/>
      </c>
      <c r="BR1130" s="1452" t="str">
        <f t="shared" si="602"/>
        <v/>
      </c>
      <c r="BS1130" s="1452" t="str">
        <f t="shared" si="603"/>
        <v/>
      </c>
      <c r="BT1130" s="1452" t="str">
        <f t="shared" si="604"/>
        <v/>
      </c>
      <c r="BU1130" s="1452" t="str">
        <f t="shared" si="605"/>
        <v/>
      </c>
      <c r="BV1130" s="1452" t="str">
        <f t="shared" si="606"/>
        <v/>
      </c>
      <c r="BW1130" s="1558">
        <f t="shared" ca="1" si="613"/>
        <v>0</v>
      </c>
    </row>
    <row r="1131" spans="1:75" s="9" customFormat="1" ht="12.5">
      <c r="A1131" s="1483" t="str">
        <f t="shared" si="607"/>
        <v>Public Health Wales Trust</v>
      </c>
      <c r="B1131" s="1583"/>
      <c r="C1131" s="1583"/>
      <c r="D1131" s="1583"/>
      <c r="E1131" s="1581"/>
      <c r="F1131" s="1436"/>
      <c r="G1131" s="1547">
        <f t="shared" si="608"/>
        <v>0</v>
      </c>
      <c r="H1131" s="1484"/>
      <c r="I1131" s="1547">
        <f t="shared" si="609"/>
        <v>0</v>
      </c>
      <c r="J1131" s="1516"/>
      <c r="K1131" s="1516"/>
      <c r="L1131" s="1436"/>
      <c r="M1131" s="1439"/>
      <c r="N1131" s="1439"/>
      <c r="O1131" s="1485"/>
      <c r="P1131" s="1486"/>
      <c r="Q1131" s="1486"/>
      <c r="R1131" s="1487"/>
      <c r="S1131" s="1444"/>
      <c r="T1131" s="1444"/>
      <c r="U1131" s="1444"/>
      <c r="V1131" s="1488"/>
      <c r="W1131" s="1488"/>
      <c r="X1131" s="1488"/>
      <c r="Y1131" s="1488"/>
      <c r="Z1131" s="1488"/>
      <c r="AA1131" s="1488"/>
      <c r="AB1131" s="1488"/>
      <c r="AC1131" s="1488"/>
      <c r="AD1131" s="1488"/>
      <c r="AE1131" s="1488"/>
      <c r="AF1131" s="1488"/>
      <c r="AG1131" s="1488"/>
      <c r="AH1131" s="1451">
        <f t="shared" ref="AH1131:AH1194" si="614">SUM(V1131:AG1131)</f>
        <v>0</v>
      </c>
      <c r="AI1131" s="1488"/>
      <c r="AJ1131" s="1488"/>
      <c r="AK1131" s="1488"/>
      <c r="AL1131" s="1488"/>
      <c r="AM1131" s="1488"/>
      <c r="AN1131" s="1488"/>
      <c r="AO1131" s="1488"/>
      <c r="AP1131" s="1488"/>
      <c r="AQ1131" s="1488"/>
      <c r="AR1131" s="1488"/>
      <c r="AS1131" s="1488"/>
      <c r="AT1131" s="1542"/>
      <c r="AU1131" s="1599">
        <f t="shared" ref="AU1131:AU1194" si="615">SUMPRODUCT($AC$40:$AN$40,AI1131:AT1131)</f>
        <v>0</v>
      </c>
      <c r="AV1131" s="1544">
        <f t="shared" si="610"/>
        <v>0</v>
      </c>
      <c r="AW1131" s="1452">
        <f t="shared" ref="AW1131:AW1194" si="616">AI1131-V1131</f>
        <v>0</v>
      </c>
      <c r="AX1131" s="1452">
        <f t="shared" ref="AX1131:AX1194" si="617">AJ1131-W1131</f>
        <v>0</v>
      </c>
      <c r="AY1131" s="1452">
        <f t="shared" ref="AY1131:AY1194" si="618">AK1131-X1131</f>
        <v>0</v>
      </c>
      <c r="AZ1131" s="1452">
        <f t="shared" ref="AZ1131:AZ1194" si="619">AL1131-Y1131</f>
        <v>0</v>
      </c>
      <c r="BA1131" s="1452">
        <f t="shared" ref="BA1131:BA1194" si="620">AM1131-Z1131</f>
        <v>0</v>
      </c>
      <c r="BB1131" s="1452">
        <f t="shared" ref="BB1131:BB1194" si="621">AN1131-AA1131</f>
        <v>0</v>
      </c>
      <c r="BC1131" s="1452">
        <f t="shared" ref="BC1131:BC1194" si="622">AO1131-AB1131</f>
        <v>0</v>
      </c>
      <c r="BD1131" s="1452">
        <f t="shared" ref="BD1131:BD1194" si="623">AP1131-AC1131</f>
        <v>0</v>
      </c>
      <c r="BE1131" s="1452">
        <f t="shared" ref="BE1131:BE1194" si="624">AQ1131-AD1131</f>
        <v>0</v>
      </c>
      <c r="BF1131" s="1452">
        <f t="shared" ref="BF1131:BF1194" si="625">AR1131-AE1131</f>
        <v>0</v>
      </c>
      <c r="BG1131" s="1452">
        <f t="shared" ref="BG1131:BG1194" si="626">AS1131-AF1131</f>
        <v>0</v>
      </c>
      <c r="BH1131" s="1452">
        <f t="shared" ref="BH1131:BH1194" si="627">AT1131-AG1131</f>
        <v>0</v>
      </c>
      <c r="BI1131" s="1452">
        <f t="shared" si="611"/>
        <v>0</v>
      </c>
      <c r="BJ1131" s="1452" t="str">
        <f t="shared" ref="BJ1131:BJ1194" si="628">IF(OR(G1131&gt;0,I1131&gt;0),IF(AND(B1131&lt;&gt;"",C1131&lt;&gt;"",D1131&lt;&gt;"",E1131&lt;&gt;"",F1131&lt;&gt;"",L1131&lt;&gt;"",M1131&lt;&gt;"",N1131&lt;&gt;"",O1131&lt;&gt;"",P1131&lt;&gt;"",Q1131&lt;&gt;"",R1131&lt;&gt;""),"","ERROR"),"")</f>
        <v/>
      </c>
      <c r="BK1131" s="1452" t="str">
        <f t="shared" ref="BK1131:BK1194" si="629">IF(COUNTIF($D$43:$D$1496,D1131)&gt;1,"ERROR","")</f>
        <v/>
      </c>
      <c r="BL1131" s="1452" t="str">
        <f t="shared" ref="BL1131:BL1194" si="630">IF(AND(OR(R1131=$CQ$1,R1131=$CQ$3),S1131=""),"ERROR","")</f>
        <v/>
      </c>
      <c r="BM1131" s="1452" t="str">
        <f t="shared" ref="BM1131:BM1194" si="631">IF(AND(OR(R1131=$CQ$2),S1131&lt;&gt;""),"ERROR","")</f>
        <v/>
      </c>
      <c r="BN1131" s="1452" t="str">
        <f t="shared" ref="BN1131:BN1194" ca="1" si="632">IF(AND(O1131=$CA$2,N1131&lt;TODAY()),"ERROR","")</f>
        <v/>
      </c>
      <c r="BO1131" s="1452" t="str">
        <f t="shared" si="612"/>
        <v/>
      </c>
      <c r="BP1131" s="1452" t="str">
        <f t="shared" ref="BP1131:BP1194" si="633">IF(AND(F1131=$BZ$1,G1131&gt;H1131),"ERROR","")</f>
        <v/>
      </c>
      <c r="BQ1131" s="1452" t="str">
        <f t="shared" ref="BQ1131:BQ1194" si="634">IF(AND(F1131=$BZ$1,I1131&gt;J1131),"ERROR","")</f>
        <v/>
      </c>
      <c r="BR1131" s="1452" t="str">
        <f t="shared" ref="BR1131:BR1194" si="635">IF(AND(F1131=$BZ$2,SUM(H1131,J1131)&gt;0),"ERROR","")</f>
        <v/>
      </c>
      <c r="BS1131" s="1452" t="str">
        <f t="shared" ref="BS1131:BS1194" si="636">IF(AND(I1131=0,J1131&gt;0),"ERROR","")</f>
        <v/>
      </c>
      <c r="BT1131" s="1452" t="str">
        <f t="shared" ref="BT1131:BT1194" si="637">IF(AND(O1131=$CA$1,K1131&lt;&gt;0),"ERROR","")</f>
        <v/>
      </c>
      <c r="BU1131" s="1452" t="str">
        <f t="shared" ref="BU1131:BU1194" si="638">IF(AND(O1131=$CA$2,I1131-AU1131-K1131&lt;0),"ERROR","")</f>
        <v/>
      </c>
      <c r="BV1131" s="1452" t="str">
        <f t="shared" ref="BV1131:BV1194" si="639">IF(S1131="","",VLOOKUP(S1131,$CS$1:$CT$14,2,0))</f>
        <v/>
      </c>
      <c r="BW1131" s="1558">
        <f t="shared" ca="1" si="613"/>
        <v>0</v>
      </c>
    </row>
    <row r="1132" spans="1:75" s="9" customFormat="1" ht="12.5">
      <c r="A1132" s="1483" t="str">
        <f t="shared" ref="A1132:A1195" si="640">$A$1</f>
        <v>Public Health Wales Trust</v>
      </c>
      <c r="B1132" s="1583"/>
      <c r="C1132" s="1583"/>
      <c r="D1132" s="1583"/>
      <c r="E1132" s="1581"/>
      <c r="F1132" s="1436"/>
      <c r="G1132" s="1547">
        <f t="shared" ref="G1132:G1195" si="641">AH1132</f>
        <v>0</v>
      </c>
      <c r="H1132" s="1484"/>
      <c r="I1132" s="1547">
        <f t="shared" ref="I1132:I1195" si="642">AV1132</f>
        <v>0</v>
      </c>
      <c r="J1132" s="1516"/>
      <c r="K1132" s="1516"/>
      <c r="L1132" s="1436"/>
      <c r="M1132" s="1439"/>
      <c r="N1132" s="1439"/>
      <c r="O1132" s="1485"/>
      <c r="P1132" s="1486"/>
      <c r="Q1132" s="1486"/>
      <c r="R1132" s="1487"/>
      <c r="S1132" s="1444"/>
      <c r="T1132" s="1444"/>
      <c r="U1132" s="1444"/>
      <c r="V1132" s="1488"/>
      <c r="W1132" s="1488"/>
      <c r="X1132" s="1488"/>
      <c r="Y1132" s="1488"/>
      <c r="Z1132" s="1488"/>
      <c r="AA1132" s="1488"/>
      <c r="AB1132" s="1488"/>
      <c r="AC1132" s="1488"/>
      <c r="AD1132" s="1488"/>
      <c r="AE1132" s="1488"/>
      <c r="AF1132" s="1488"/>
      <c r="AG1132" s="1488"/>
      <c r="AH1132" s="1451">
        <f t="shared" si="614"/>
        <v>0</v>
      </c>
      <c r="AI1132" s="1488"/>
      <c r="AJ1132" s="1488"/>
      <c r="AK1132" s="1488"/>
      <c r="AL1132" s="1488"/>
      <c r="AM1132" s="1488"/>
      <c r="AN1132" s="1488"/>
      <c r="AO1132" s="1488"/>
      <c r="AP1132" s="1488"/>
      <c r="AQ1132" s="1488"/>
      <c r="AR1132" s="1488"/>
      <c r="AS1132" s="1488"/>
      <c r="AT1132" s="1542"/>
      <c r="AU1132" s="1599">
        <f t="shared" si="615"/>
        <v>0</v>
      </c>
      <c r="AV1132" s="1544">
        <f t="shared" ref="AV1132:AV1195" si="643">SUM(AI1132:AT1132)</f>
        <v>0</v>
      </c>
      <c r="AW1132" s="1452">
        <f t="shared" si="616"/>
        <v>0</v>
      </c>
      <c r="AX1132" s="1452">
        <f t="shared" si="617"/>
        <v>0</v>
      </c>
      <c r="AY1132" s="1452">
        <f t="shared" si="618"/>
        <v>0</v>
      </c>
      <c r="AZ1132" s="1452">
        <f t="shared" si="619"/>
        <v>0</v>
      </c>
      <c r="BA1132" s="1452">
        <f t="shared" si="620"/>
        <v>0</v>
      </c>
      <c r="BB1132" s="1452">
        <f t="shared" si="621"/>
        <v>0</v>
      </c>
      <c r="BC1132" s="1452">
        <f t="shared" si="622"/>
        <v>0</v>
      </c>
      <c r="BD1132" s="1452">
        <f t="shared" si="623"/>
        <v>0</v>
      </c>
      <c r="BE1132" s="1452">
        <f t="shared" si="624"/>
        <v>0</v>
      </c>
      <c r="BF1132" s="1452">
        <f t="shared" si="625"/>
        <v>0</v>
      </c>
      <c r="BG1132" s="1452">
        <f t="shared" si="626"/>
        <v>0</v>
      </c>
      <c r="BH1132" s="1452">
        <f t="shared" si="627"/>
        <v>0</v>
      </c>
      <c r="BI1132" s="1452">
        <f t="shared" ref="BI1132:BI1195" si="644">SUM(AW1132:BH1132)</f>
        <v>0</v>
      </c>
      <c r="BJ1132" s="1452" t="str">
        <f t="shared" si="628"/>
        <v/>
      </c>
      <c r="BK1132" s="1452" t="str">
        <f t="shared" si="629"/>
        <v/>
      </c>
      <c r="BL1132" s="1452" t="str">
        <f t="shared" si="630"/>
        <v/>
      </c>
      <c r="BM1132" s="1452" t="str">
        <f t="shared" si="631"/>
        <v/>
      </c>
      <c r="BN1132" s="1452" t="str">
        <f t="shared" ca="1" si="632"/>
        <v/>
      </c>
      <c r="BO1132" s="1452" t="str">
        <f t="shared" ref="BO1132:BO1195" si="645">IF(AND(AV1132&gt;0,AH1132=0),"ERROR","")</f>
        <v/>
      </c>
      <c r="BP1132" s="1452" t="str">
        <f t="shared" si="633"/>
        <v/>
      </c>
      <c r="BQ1132" s="1452" t="str">
        <f t="shared" si="634"/>
        <v/>
      </c>
      <c r="BR1132" s="1452" t="str">
        <f t="shared" si="635"/>
        <v/>
      </c>
      <c r="BS1132" s="1452" t="str">
        <f t="shared" si="636"/>
        <v/>
      </c>
      <c r="BT1132" s="1452" t="str">
        <f t="shared" si="637"/>
        <v/>
      </c>
      <c r="BU1132" s="1452" t="str">
        <f t="shared" si="638"/>
        <v/>
      </c>
      <c r="BV1132" s="1452" t="str">
        <f t="shared" si="639"/>
        <v/>
      </c>
      <c r="BW1132" s="1558">
        <f t="shared" ref="BW1132:BW1195" ca="1" si="646">COUNTIF(BJ1132:BU1132,"ERROR")</f>
        <v>0</v>
      </c>
    </row>
    <row r="1133" spans="1:75" s="9" customFormat="1" ht="12.5">
      <c r="A1133" s="1483" t="str">
        <f t="shared" si="640"/>
        <v>Public Health Wales Trust</v>
      </c>
      <c r="B1133" s="1583"/>
      <c r="C1133" s="1583"/>
      <c r="D1133" s="1583"/>
      <c r="E1133" s="1581"/>
      <c r="F1133" s="1436"/>
      <c r="G1133" s="1547">
        <f t="shared" si="641"/>
        <v>0</v>
      </c>
      <c r="H1133" s="1484"/>
      <c r="I1133" s="1547">
        <f t="shared" si="642"/>
        <v>0</v>
      </c>
      <c r="J1133" s="1516"/>
      <c r="K1133" s="1516"/>
      <c r="L1133" s="1436"/>
      <c r="M1133" s="1439"/>
      <c r="N1133" s="1439"/>
      <c r="O1133" s="1485"/>
      <c r="P1133" s="1486"/>
      <c r="Q1133" s="1486"/>
      <c r="R1133" s="1487"/>
      <c r="S1133" s="1444"/>
      <c r="T1133" s="1444"/>
      <c r="U1133" s="1444"/>
      <c r="V1133" s="1488"/>
      <c r="W1133" s="1488"/>
      <c r="X1133" s="1488"/>
      <c r="Y1133" s="1488"/>
      <c r="Z1133" s="1488"/>
      <c r="AA1133" s="1488"/>
      <c r="AB1133" s="1488"/>
      <c r="AC1133" s="1488"/>
      <c r="AD1133" s="1488"/>
      <c r="AE1133" s="1488"/>
      <c r="AF1133" s="1488"/>
      <c r="AG1133" s="1488"/>
      <c r="AH1133" s="1451">
        <f t="shared" si="614"/>
        <v>0</v>
      </c>
      <c r="AI1133" s="1488"/>
      <c r="AJ1133" s="1488"/>
      <c r="AK1133" s="1488"/>
      <c r="AL1133" s="1488"/>
      <c r="AM1133" s="1488"/>
      <c r="AN1133" s="1488"/>
      <c r="AO1133" s="1488"/>
      <c r="AP1133" s="1488"/>
      <c r="AQ1133" s="1488"/>
      <c r="AR1133" s="1488"/>
      <c r="AS1133" s="1488"/>
      <c r="AT1133" s="1542"/>
      <c r="AU1133" s="1599">
        <f t="shared" si="615"/>
        <v>0</v>
      </c>
      <c r="AV1133" s="1544">
        <f t="shared" si="643"/>
        <v>0</v>
      </c>
      <c r="AW1133" s="1452">
        <f t="shared" si="616"/>
        <v>0</v>
      </c>
      <c r="AX1133" s="1452">
        <f t="shared" si="617"/>
        <v>0</v>
      </c>
      <c r="AY1133" s="1452">
        <f t="shared" si="618"/>
        <v>0</v>
      </c>
      <c r="AZ1133" s="1452">
        <f t="shared" si="619"/>
        <v>0</v>
      </c>
      <c r="BA1133" s="1452">
        <f t="shared" si="620"/>
        <v>0</v>
      </c>
      <c r="BB1133" s="1452">
        <f t="shared" si="621"/>
        <v>0</v>
      </c>
      <c r="BC1133" s="1452">
        <f t="shared" si="622"/>
        <v>0</v>
      </c>
      <c r="BD1133" s="1452">
        <f t="shared" si="623"/>
        <v>0</v>
      </c>
      <c r="BE1133" s="1452">
        <f t="shared" si="624"/>
        <v>0</v>
      </c>
      <c r="BF1133" s="1452">
        <f t="shared" si="625"/>
        <v>0</v>
      </c>
      <c r="BG1133" s="1452">
        <f t="shared" si="626"/>
        <v>0</v>
      </c>
      <c r="BH1133" s="1452">
        <f t="shared" si="627"/>
        <v>0</v>
      </c>
      <c r="BI1133" s="1452">
        <f t="shared" si="644"/>
        <v>0</v>
      </c>
      <c r="BJ1133" s="1452" t="str">
        <f t="shared" si="628"/>
        <v/>
      </c>
      <c r="BK1133" s="1452" t="str">
        <f t="shared" si="629"/>
        <v/>
      </c>
      <c r="BL1133" s="1452" t="str">
        <f t="shared" si="630"/>
        <v/>
      </c>
      <c r="BM1133" s="1452" t="str">
        <f t="shared" si="631"/>
        <v/>
      </c>
      <c r="BN1133" s="1452" t="str">
        <f t="shared" ca="1" si="632"/>
        <v/>
      </c>
      <c r="BO1133" s="1452" t="str">
        <f t="shared" si="645"/>
        <v/>
      </c>
      <c r="BP1133" s="1452" t="str">
        <f t="shared" si="633"/>
        <v/>
      </c>
      <c r="BQ1133" s="1452" t="str">
        <f t="shared" si="634"/>
        <v/>
      </c>
      <c r="BR1133" s="1452" t="str">
        <f t="shared" si="635"/>
        <v/>
      </c>
      <c r="BS1133" s="1452" t="str">
        <f t="shared" si="636"/>
        <v/>
      </c>
      <c r="BT1133" s="1452" t="str">
        <f t="shared" si="637"/>
        <v/>
      </c>
      <c r="BU1133" s="1452" t="str">
        <f t="shared" si="638"/>
        <v/>
      </c>
      <c r="BV1133" s="1452" t="str">
        <f t="shared" si="639"/>
        <v/>
      </c>
      <c r="BW1133" s="1558">
        <f t="shared" ca="1" si="646"/>
        <v>0</v>
      </c>
    </row>
    <row r="1134" spans="1:75" s="9" customFormat="1" ht="12.5">
      <c r="A1134" s="1483" t="str">
        <f t="shared" si="640"/>
        <v>Public Health Wales Trust</v>
      </c>
      <c r="B1134" s="1583"/>
      <c r="C1134" s="1583"/>
      <c r="D1134" s="1583"/>
      <c r="E1134" s="1581"/>
      <c r="F1134" s="1436"/>
      <c r="G1134" s="1547">
        <f t="shared" si="641"/>
        <v>0</v>
      </c>
      <c r="H1134" s="1484"/>
      <c r="I1134" s="1547">
        <f t="shared" si="642"/>
        <v>0</v>
      </c>
      <c r="J1134" s="1516"/>
      <c r="K1134" s="1516"/>
      <c r="L1134" s="1436"/>
      <c r="M1134" s="1439"/>
      <c r="N1134" s="1439"/>
      <c r="O1134" s="1485"/>
      <c r="P1134" s="1486"/>
      <c r="Q1134" s="1486"/>
      <c r="R1134" s="1487"/>
      <c r="S1134" s="1444"/>
      <c r="T1134" s="1444"/>
      <c r="U1134" s="1444"/>
      <c r="V1134" s="1488"/>
      <c r="W1134" s="1488"/>
      <c r="X1134" s="1488"/>
      <c r="Y1134" s="1488"/>
      <c r="Z1134" s="1488"/>
      <c r="AA1134" s="1488"/>
      <c r="AB1134" s="1488"/>
      <c r="AC1134" s="1488"/>
      <c r="AD1134" s="1488"/>
      <c r="AE1134" s="1488"/>
      <c r="AF1134" s="1488"/>
      <c r="AG1134" s="1488"/>
      <c r="AH1134" s="1451">
        <f t="shared" si="614"/>
        <v>0</v>
      </c>
      <c r="AI1134" s="1488"/>
      <c r="AJ1134" s="1488"/>
      <c r="AK1134" s="1488"/>
      <c r="AL1134" s="1488"/>
      <c r="AM1134" s="1488"/>
      <c r="AN1134" s="1488"/>
      <c r="AO1134" s="1488"/>
      <c r="AP1134" s="1488"/>
      <c r="AQ1134" s="1488"/>
      <c r="AR1134" s="1488"/>
      <c r="AS1134" s="1488"/>
      <c r="AT1134" s="1542"/>
      <c r="AU1134" s="1599">
        <f t="shared" si="615"/>
        <v>0</v>
      </c>
      <c r="AV1134" s="1544">
        <f t="shared" si="643"/>
        <v>0</v>
      </c>
      <c r="AW1134" s="1452">
        <f t="shared" si="616"/>
        <v>0</v>
      </c>
      <c r="AX1134" s="1452">
        <f t="shared" si="617"/>
        <v>0</v>
      </c>
      <c r="AY1134" s="1452">
        <f t="shared" si="618"/>
        <v>0</v>
      </c>
      <c r="AZ1134" s="1452">
        <f t="shared" si="619"/>
        <v>0</v>
      </c>
      <c r="BA1134" s="1452">
        <f t="shared" si="620"/>
        <v>0</v>
      </c>
      <c r="BB1134" s="1452">
        <f t="shared" si="621"/>
        <v>0</v>
      </c>
      <c r="BC1134" s="1452">
        <f t="shared" si="622"/>
        <v>0</v>
      </c>
      <c r="BD1134" s="1452">
        <f t="shared" si="623"/>
        <v>0</v>
      </c>
      <c r="BE1134" s="1452">
        <f t="shared" si="624"/>
        <v>0</v>
      </c>
      <c r="BF1134" s="1452">
        <f t="shared" si="625"/>
        <v>0</v>
      </c>
      <c r="BG1134" s="1452">
        <f t="shared" si="626"/>
        <v>0</v>
      </c>
      <c r="BH1134" s="1452">
        <f t="shared" si="627"/>
        <v>0</v>
      </c>
      <c r="BI1134" s="1452">
        <f t="shared" si="644"/>
        <v>0</v>
      </c>
      <c r="BJ1134" s="1452" t="str">
        <f t="shared" si="628"/>
        <v/>
      </c>
      <c r="BK1134" s="1452" t="str">
        <f t="shared" si="629"/>
        <v/>
      </c>
      <c r="BL1134" s="1452" t="str">
        <f t="shared" si="630"/>
        <v/>
      </c>
      <c r="BM1134" s="1452" t="str">
        <f t="shared" si="631"/>
        <v/>
      </c>
      <c r="BN1134" s="1452" t="str">
        <f t="shared" ca="1" si="632"/>
        <v/>
      </c>
      <c r="BO1134" s="1452" t="str">
        <f t="shared" si="645"/>
        <v/>
      </c>
      <c r="BP1134" s="1452" t="str">
        <f t="shared" si="633"/>
        <v/>
      </c>
      <c r="BQ1134" s="1452" t="str">
        <f t="shared" si="634"/>
        <v/>
      </c>
      <c r="BR1134" s="1452" t="str">
        <f t="shared" si="635"/>
        <v/>
      </c>
      <c r="BS1134" s="1452" t="str">
        <f t="shared" si="636"/>
        <v/>
      </c>
      <c r="BT1134" s="1452" t="str">
        <f t="shared" si="637"/>
        <v/>
      </c>
      <c r="BU1134" s="1452" t="str">
        <f t="shared" si="638"/>
        <v/>
      </c>
      <c r="BV1134" s="1452" t="str">
        <f t="shared" si="639"/>
        <v/>
      </c>
      <c r="BW1134" s="1558">
        <f t="shared" ca="1" si="646"/>
        <v>0</v>
      </c>
    </row>
    <row r="1135" spans="1:75" s="9" customFormat="1" ht="12.5">
      <c r="A1135" s="1483" t="str">
        <f t="shared" si="640"/>
        <v>Public Health Wales Trust</v>
      </c>
      <c r="B1135" s="1583"/>
      <c r="C1135" s="1583"/>
      <c r="D1135" s="1583"/>
      <c r="E1135" s="1581"/>
      <c r="F1135" s="1436"/>
      <c r="G1135" s="1547">
        <f t="shared" si="641"/>
        <v>0</v>
      </c>
      <c r="H1135" s="1484"/>
      <c r="I1135" s="1547">
        <f t="shared" si="642"/>
        <v>0</v>
      </c>
      <c r="J1135" s="1516"/>
      <c r="K1135" s="1516"/>
      <c r="L1135" s="1436"/>
      <c r="M1135" s="1439"/>
      <c r="N1135" s="1439"/>
      <c r="O1135" s="1485"/>
      <c r="P1135" s="1486"/>
      <c r="Q1135" s="1486"/>
      <c r="R1135" s="1487"/>
      <c r="S1135" s="1444"/>
      <c r="T1135" s="1444"/>
      <c r="U1135" s="1444"/>
      <c r="V1135" s="1488"/>
      <c r="W1135" s="1488"/>
      <c r="X1135" s="1488"/>
      <c r="Y1135" s="1488"/>
      <c r="Z1135" s="1488"/>
      <c r="AA1135" s="1488"/>
      <c r="AB1135" s="1488"/>
      <c r="AC1135" s="1488"/>
      <c r="AD1135" s="1488"/>
      <c r="AE1135" s="1488"/>
      <c r="AF1135" s="1488"/>
      <c r="AG1135" s="1488"/>
      <c r="AH1135" s="1451">
        <f t="shared" si="614"/>
        <v>0</v>
      </c>
      <c r="AI1135" s="1488"/>
      <c r="AJ1135" s="1488"/>
      <c r="AK1135" s="1488"/>
      <c r="AL1135" s="1488"/>
      <c r="AM1135" s="1488"/>
      <c r="AN1135" s="1488"/>
      <c r="AO1135" s="1488"/>
      <c r="AP1135" s="1488"/>
      <c r="AQ1135" s="1488"/>
      <c r="AR1135" s="1488"/>
      <c r="AS1135" s="1488"/>
      <c r="AT1135" s="1542"/>
      <c r="AU1135" s="1599">
        <f t="shared" si="615"/>
        <v>0</v>
      </c>
      <c r="AV1135" s="1544">
        <f t="shared" si="643"/>
        <v>0</v>
      </c>
      <c r="AW1135" s="1452">
        <f t="shared" si="616"/>
        <v>0</v>
      </c>
      <c r="AX1135" s="1452">
        <f t="shared" si="617"/>
        <v>0</v>
      </c>
      <c r="AY1135" s="1452">
        <f t="shared" si="618"/>
        <v>0</v>
      </c>
      <c r="AZ1135" s="1452">
        <f t="shared" si="619"/>
        <v>0</v>
      </c>
      <c r="BA1135" s="1452">
        <f t="shared" si="620"/>
        <v>0</v>
      </c>
      <c r="BB1135" s="1452">
        <f t="shared" si="621"/>
        <v>0</v>
      </c>
      <c r="BC1135" s="1452">
        <f t="shared" si="622"/>
        <v>0</v>
      </c>
      <c r="BD1135" s="1452">
        <f t="shared" si="623"/>
        <v>0</v>
      </c>
      <c r="BE1135" s="1452">
        <f t="shared" si="624"/>
        <v>0</v>
      </c>
      <c r="BF1135" s="1452">
        <f t="shared" si="625"/>
        <v>0</v>
      </c>
      <c r="BG1135" s="1452">
        <f t="shared" si="626"/>
        <v>0</v>
      </c>
      <c r="BH1135" s="1452">
        <f t="shared" si="627"/>
        <v>0</v>
      </c>
      <c r="BI1135" s="1452">
        <f t="shared" si="644"/>
        <v>0</v>
      </c>
      <c r="BJ1135" s="1452" t="str">
        <f t="shared" si="628"/>
        <v/>
      </c>
      <c r="BK1135" s="1452" t="str">
        <f t="shared" si="629"/>
        <v/>
      </c>
      <c r="BL1135" s="1452" t="str">
        <f t="shared" si="630"/>
        <v/>
      </c>
      <c r="BM1135" s="1452" t="str">
        <f t="shared" si="631"/>
        <v/>
      </c>
      <c r="BN1135" s="1452" t="str">
        <f t="shared" ca="1" si="632"/>
        <v/>
      </c>
      <c r="BO1135" s="1452" t="str">
        <f t="shared" si="645"/>
        <v/>
      </c>
      <c r="BP1135" s="1452" t="str">
        <f t="shared" si="633"/>
        <v/>
      </c>
      <c r="BQ1135" s="1452" t="str">
        <f t="shared" si="634"/>
        <v/>
      </c>
      <c r="BR1135" s="1452" t="str">
        <f t="shared" si="635"/>
        <v/>
      </c>
      <c r="BS1135" s="1452" t="str">
        <f t="shared" si="636"/>
        <v/>
      </c>
      <c r="BT1135" s="1452" t="str">
        <f t="shared" si="637"/>
        <v/>
      </c>
      <c r="BU1135" s="1452" t="str">
        <f t="shared" si="638"/>
        <v/>
      </c>
      <c r="BV1135" s="1452" t="str">
        <f t="shared" si="639"/>
        <v/>
      </c>
      <c r="BW1135" s="1558">
        <f t="shared" ca="1" si="646"/>
        <v>0</v>
      </c>
    </row>
    <row r="1136" spans="1:75" s="9" customFormat="1" ht="12.5">
      <c r="A1136" s="1483" t="str">
        <f t="shared" si="640"/>
        <v>Public Health Wales Trust</v>
      </c>
      <c r="B1136" s="1583"/>
      <c r="C1136" s="1583"/>
      <c r="D1136" s="1583"/>
      <c r="E1136" s="1581"/>
      <c r="F1136" s="1436"/>
      <c r="G1136" s="1547">
        <f t="shared" si="641"/>
        <v>0</v>
      </c>
      <c r="H1136" s="1484"/>
      <c r="I1136" s="1547">
        <f t="shared" si="642"/>
        <v>0</v>
      </c>
      <c r="J1136" s="1516"/>
      <c r="K1136" s="1516"/>
      <c r="L1136" s="1436"/>
      <c r="M1136" s="1439"/>
      <c r="N1136" s="1439"/>
      <c r="O1136" s="1485"/>
      <c r="P1136" s="1486"/>
      <c r="Q1136" s="1486"/>
      <c r="R1136" s="1487"/>
      <c r="S1136" s="1444"/>
      <c r="T1136" s="1444"/>
      <c r="U1136" s="1444"/>
      <c r="V1136" s="1488"/>
      <c r="W1136" s="1488"/>
      <c r="X1136" s="1488"/>
      <c r="Y1136" s="1488"/>
      <c r="Z1136" s="1488"/>
      <c r="AA1136" s="1488"/>
      <c r="AB1136" s="1488"/>
      <c r="AC1136" s="1488"/>
      <c r="AD1136" s="1488"/>
      <c r="AE1136" s="1488"/>
      <c r="AF1136" s="1488"/>
      <c r="AG1136" s="1488"/>
      <c r="AH1136" s="1451">
        <f t="shared" si="614"/>
        <v>0</v>
      </c>
      <c r="AI1136" s="1488"/>
      <c r="AJ1136" s="1488"/>
      <c r="AK1136" s="1488"/>
      <c r="AL1136" s="1488"/>
      <c r="AM1136" s="1488"/>
      <c r="AN1136" s="1488"/>
      <c r="AO1136" s="1488"/>
      <c r="AP1136" s="1488"/>
      <c r="AQ1136" s="1488"/>
      <c r="AR1136" s="1488"/>
      <c r="AS1136" s="1488"/>
      <c r="AT1136" s="1542"/>
      <c r="AU1136" s="1599">
        <f t="shared" si="615"/>
        <v>0</v>
      </c>
      <c r="AV1136" s="1544">
        <f t="shared" si="643"/>
        <v>0</v>
      </c>
      <c r="AW1136" s="1452">
        <f t="shared" si="616"/>
        <v>0</v>
      </c>
      <c r="AX1136" s="1452">
        <f t="shared" si="617"/>
        <v>0</v>
      </c>
      <c r="AY1136" s="1452">
        <f t="shared" si="618"/>
        <v>0</v>
      </c>
      <c r="AZ1136" s="1452">
        <f t="shared" si="619"/>
        <v>0</v>
      </c>
      <c r="BA1136" s="1452">
        <f t="shared" si="620"/>
        <v>0</v>
      </c>
      <c r="BB1136" s="1452">
        <f t="shared" si="621"/>
        <v>0</v>
      </c>
      <c r="BC1136" s="1452">
        <f t="shared" si="622"/>
        <v>0</v>
      </c>
      <c r="BD1136" s="1452">
        <f t="shared" si="623"/>
        <v>0</v>
      </c>
      <c r="BE1136" s="1452">
        <f t="shared" si="624"/>
        <v>0</v>
      </c>
      <c r="BF1136" s="1452">
        <f t="shared" si="625"/>
        <v>0</v>
      </c>
      <c r="BG1136" s="1452">
        <f t="shared" si="626"/>
        <v>0</v>
      </c>
      <c r="BH1136" s="1452">
        <f t="shared" si="627"/>
        <v>0</v>
      </c>
      <c r="BI1136" s="1452">
        <f t="shared" si="644"/>
        <v>0</v>
      </c>
      <c r="BJ1136" s="1452" t="str">
        <f t="shared" si="628"/>
        <v/>
      </c>
      <c r="BK1136" s="1452" t="str">
        <f t="shared" si="629"/>
        <v/>
      </c>
      <c r="BL1136" s="1452" t="str">
        <f t="shared" si="630"/>
        <v/>
      </c>
      <c r="BM1136" s="1452" t="str">
        <f t="shared" si="631"/>
        <v/>
      </c>
      <c r="BN1136" s="1452" t="str">
        <f t="shared" ca="1" si="632"/>
        <v/>
      </c>
      <c r="BO1136" s="1452" t="str">
        <f t="shared" si="645"/>
        <v/>
      </c>
      <c r="BP1136" s="1452" t="str">
        <f t="shared" si="633"/>
        <v/>
      </c>
      <c r="BQ1136" s="1452" t="str">
        <f t="shared" si="634"/>
        <v/>
      </c>
      <c r="BR1136" s="1452" t="str">
        <f t="shared" si="635"/>
        <v/>
      </c>
      <c r="BS1136" s="1452" t="str">
        <f t="shared" si="636"/>
        <v/>
      </c>
      <c r="BT1136" s="1452" t="str">
        <f t="shared" si="637"/>
        <v/>
      </c>
      <c r="BU1136" s="1452" t="str">
        <f t="shared" si="638"/>
        <v/>
      </c>
      <c r="BV1136" s="1452" t="str">
        <f t="shared" si="639"/>
        <v/>
      </c>
      <c r="BW1136" s="1558">
        <f t="shared" ca="1" si="646"/>
        <v>0</v>
      </c>
    </row>
    <row r="1137" spans="1:75" s="9" customFormat="1" ht="12.5">
      <c r="A1137" s="1483" t="str">
        <f t="shared" si="640"/>
        <v>Public Health Wales Trust</v>
      </c>
      <c r="B1137" s="1583"/>
      <c r="C1137" s="1583"/>
      <c r="D1137" s="1583"/>
      <c r="E1137" s="1581"/>
      <c r="F1137" s="1436"/>
      <c r="G1137" s="1547">
        <f t="shared" si="641"/>
        <v>0</v>
      </c>
      <c r="H1137" s="1484"/>
      <c r="I1137" s="1547">
        <f t="shared" si="642"/>
        <v>0</v>
      </c>
      <c r="J1137" s="1516"/>
      <c r="K1137" s="1516"/>
      <c r="L1137" s="1436"/>
      <c r="M1137" s="1439"/>
      <c r="N1137" s="1439"/>
      <c r="O1137" s="1485"/>
      <c r="P1137" s="1486"/>
      <c r="Q1137" s="1486"/>
      <c r="R1137" s="1487"/>
      <c r="S1137" s="1444"/>
      <c r="T1137" s="1444"/>
      <c r="U1137" s="1444"/>
      <c r="V1137" s="1488"/>
      <c r="W1137" s="1488"/>
      <c r="X1137" s="1488"/>
      <c r="Y1137" s="1488"/>
      <c r="Z1137" s="1488"/>
      <c r="AA1137" s="1488"/>
      <c r="AB1137" s="1488"/>
      <c r="AC1137" s="1488"/>
      <c r="AD1137" s="1488"/>
      <c r="AE1137" s="1488"/>
      <c r="AF1137" s="1488"/>
      <c r="AG1137" s="1488"/>
      <c r="AH1137" s="1451">
        <f t="shared" si="614"/>
        <v>0</v>
      </c>
      <c r="AI1137" s="1488"/>
      <c r="AJ1137" s="1488"/>
      <c r="AK1137" s="1488"/>
      <c r="AL1137" s="1488"/>
      <c r="AM1137" s="1488"/>
      <c r="AN1137" s="1488"/>
      <c r="AO1137" s="1488"/>
      <c r="AP1137" s="1488"/>
      <c r="AQ1137" s="1488"/>
      <c r="AR1137" s="1488"/>
      <c r="AS1137" s="1488"/>
      <c r="AT1137" s="1542"/>
      <c r="AU1137" s="1599">
        <f t="shared" si="615"/>
        <v>0</v>
      </c>
      <c r="AV1137" s="1544">
        <f t="shared" si="643"/>
        <v>0</v>
      </c>
      <c r="AW1137" s="1452">
        <f t="shared" si="616"/>
        <v>0</v>
      </c>
      <c r="AX1137" s="1452">
        <f t="shared" si="617"/>
        <v>0</v>
      </c>
      <c r="AY1137" s="1452">
        <f t="shared" si="618"/>
        <v>0</v>
      </c>
      <c r="AZ1137" s="1452">
        <f t="shared" si="619"/>
        <v>0</v>
      </c>
      <c r="BA1137" s="1452">
        <f t="shared" si="620"/>
        <v>0</v>
      </c>
      <c r="BB1137" s="1452">
        <f t="shared" si="621"/>
        <v>0</v>
      </c>
      <c r="BC1137" s="1452">
        <f t="shared" si="622"/>
        <v>0</v>
      </c>
      <c r="BD1137" s="1452">
        <f t="shared" si="623"/>
        <v>0</v>
      </c>
      <c r="BE1137" s="1452">
        <f t="shared" si="624"/>
        <v>0</v>
      </c>
      <c r="BF1137" s="1452">
        <f t="shared" si="625"/>
        <v>0</v>
      </c>
      <c r="BG1137" s="1452">
        <f t="shared" si="626"/>
        <v>0</v>
      </c>
      <c r="BH1137" s="1452">
        <f t="shared" si="627"/>
        <v>0</v>
      </c>
      <c r="BI1137" s="1452">
        <f t="shared" si="644"/>
        <v>0</v>
      </c>
      <c r="BJ1137" s="1452" t="str">
        <f t="shared" si="628"/>
        <v/>
      </c>
      <c r="BK1137" s="1452" t="str">
        <f t="shared" si="629"/>
        <v/>
      </c>
      <c r="BL1137" s="1452" t="str">
        <f t="shared" si="630"/>
        <v/>
      </c>
      <c r="BM1137" s="1452" t="str">
        <f t="shared" si="631"/>
        <v/>
      </c>
      <c r="BN1137" s="1452" t="str">
        <f t="shared" ca="1" si="632"/>
        <v/>
      </c>
      <c r="BO1137" s="1452" t="str">
        <f t="shared" si="645"/>
        <v/>
      </c>
      <c r="BP1137" s="1452" t="str">
        <f t="shared" si="633"/>
        <v/>
      </c>
      <c r="BQ1137" s="1452" t="str">
        <f t="shared" si="634"/>
        <v/>
      </c>
      <c r="BR1137" s="1452" t="str">
        <f t="shared" si="635"/>
        <v/>
      </c>
      <c r="BS1137" s="1452" t="str">
        <f t="shared" si="636"/>
        <v/>
      </c>
      <c r="BT1137" s="1452" t="str">
        <f t="shared" si="637"/>
        <v/>
      </c>
      <c r="BU1137" s="1452" t="str">
        <f t="shared" si="638"/>
        <v/>
      </c>
      <c r="BV1137" s="1452" t="str">
        <f t="shared" si="639"/>
        <v/>
      </c>
      <c r="BW1137" s="1558">
        <f t="shared" ca="1" si="646"/>
        <v>0</v>
      </c>
    </row>
    <row r="1138" spans="1:75" s="9" customFormat="1" ht="12.5">
      <c r="A1138" s="1483" t="str">
        <f t="shared" si="640"/>
        <v>Public Health Wales Trust</v>
      </c>
      <c r="B1138" s="1583"/>
      <c r="C1138" s="1583"/>
      <c r="D1138" s="1583"/>
      <c r="E1138" s="1581"/>
      <c r="F1138" s="1436"/>
      <c r="G1138" s="1547">
        <f t="shared" si="641"/>
        <v>0</v>
      </c>
      <c r="H1138" s="1484"/>
      <c r="I1138" s="1547">
        <f t="shared" si="642"/>
        <v>0</v>
      </c>
      <c r="J1138" s="1516"/>
      <c r="K1138" s="1516"/>
      <c r="L1138" s="1436"/>
      <c r="M1138" s="1439"/>
      <c r="N1138" s="1439"/>
      <c r="O1138" s="1485"/>
      <c r="P1138" s="1486"/>
      <c r="Q1138" s="1486"/>
      <c r="R1138" s="1487"/>
      <c r="S1138" s="1444"/>
      <c r="T1138" s="1444"/>
      <c r="U1138" s="1444"/>
      <c r="V1138" s="1488"/>
      <c r="W1138" s="1488"/>
      <c r="X1138" s="1488"/>
      <c r="Y1138" s="1488"/>
      <c r="Z1138" s="1488"/>
      <c r="AA1138" s="1488"/>
      <c r="AB1138" s="1488"/>
      <c r="AC1138" s="1488"/>
      <c r="AD1138" s="1488"/>
      <c r="AE1138" s="1488"/>
      <c r="AF1138" s="1488"/>
      <c r="AG1138" s="1488"/>
      <c r="AH1138" s="1451">
        <f t="shared" si="614"/>
        <v>0</v>
      </c>
      <c r="AI1138" s="1488"/>
      <c r="AJ1138" s="1488"/>
      <c r="AK1138" s="1488"/>
      <c r="AL1138" s="1488"/>
      <c r="AM1138" s="1488"/>
      <c r="AN1138" s="1488"/>
      <c r="AO1138" s="1488"/>
      <c r="AP1138" s="1488"/>
      <c r="AQ1138" s="1488"/>
      <c r="AR1138" s="1488"/>
      <c r="AS1138" s="1488"/>
      <c r="AT1138" s="1542"/>
      <c r="AU1138" s="1599">
        <f t="shared" si="615"/>
        <v>0</v>
      </c>
      <c r="AV1138" s="1544">
        <f t="shared" si="643"/>
        <v>0</v>
      </c>
      <c r="AW1138" s="1452">
        <f t="shared" si="616"/>
        <v>0</v>
      </c>
      <c r="AX1138" s="1452">
        <f t="shared" si="617"/>
        <v>0</v>
      </c>
      <c r="AY1138" s="1452">
        <f t="shared" si="618"/>
        <v>0</v>
      </c>
      <c r="AZ1138" s="1452">
        <f t="shared" si="619"/>
        <v>0</v>
      </c>
      <c r="BA1138" s="1452">
        <f t="shared" si="620"/>
        <v>0</v>
      </c>
      <c r="BB1138" s="1452">
        <f t="shared" si="621"/>
        <v>0</v>
      </c>
      <c r="BC1138" s="1452">
        <f t="shared" si="622"/>
        <v>0</v>
      </c>
      <c r="BD1138" s="1452">
        <f t="shared" si="623"/>
        <v>0</v>
      </c>
      <c r="BE1138" s="1452">
        <f t="shared" si="624"/>
        <v>0</v>
      </c>
      <c r="BF1138" s="1452">
        <f t="shared" si="625"/>
        <v>0</v>
      </c>
      <c r="BG1138" s="1452">
        <f t="shared" si="626"/>
        <v>0</v>
      </c>
      <c r="BH1138" s="1452">
        <f t="shared" si="627"/>
        <v>0</v>
      </c>
      <c r="BI1138" s="1452">
        <f t="shared" si="644"/>
        <v>0</v>
      </c>
      <c r="BJ1138" s="1452" t="str">
        <f t="shared" si="628"/>
        <v/>
      </c>
      <c r="BK1138" s="1452" t="str">
        <f t="shared" si="629"/>
        <v/>
      </c>
      <c r="BL1138" s="1452" t="str">
        <f t="shared" si="630"/>
        <v/>
      </c>
      <c r="BM1138" s="1452" t="str">
        <f t="shared" si="631"/>
        <v/>
      </c>
      <c r="BN1138" s="1452" t="str">
        <f t="shared" ca="1" si="632"/>
        <v/>
      </c>
      <c r="BO1138" s="1452" t="str">
        <f t="shared" si="645"/>
        <v/>
      </c>
      <c r="BP1138" s="1452" t="str">
        <f t="shared" si="633"/>
        <v/>
      </c>
      <c r="BQ1138" s="1452" t="str">
        <f t="shared" si="634"/>
        <v/>
      </c>
      <c r="BR1138" s="1452" t="str">
        <f t="shared" si="635"/>
        <v/>
      </c>
      <c r="BS1138" s="1452" t="str">
        <f t="shared" si="636"/>
        <v/>
      </c>
      <c r="BT1138" s="1452" t="str">
        <f t="shared" si="637"/>
        <v/>
      </c>
      <c r="BU1138" s="1452" t="str">
        <f t="shared" si="638"/>
        <v/>
      </c>
      <c r="BV1138" s="1452" t="str">
        <f t="shared" si="639"/>
        <v/>
      </c>
      <c r="BW1138" s="1558">
        <f t="shared" ca="1" si="646"/>
        <v>0</v>
      </c>
    </row>
    <row r="1139" spans="1:75" s="9" customFormat="1" ht="12.5">
      <c r="A1139" s="1483" t="str">
        <f t="shared" si="640"/>
        <v>Public Health Wales Trust</v>
      </c>
      <c r="B1139" s="1583"/>
      <c r="C1139" s="1583"/>
      <c r="D1139" s="1583"/>
      <c r="E1139" s="1581"/>
      <c r="F1139" s="1436"/>
      <c r="G1139" s="1547">
        <f t="shared" si="641"/>
        <v>0</v>
      </c>
      <c r="H1139" s="1484"/>
      <c r="I1139" s="1547">
        <f t="shared" si="642"/>
        <v>0</v>
      </c>
      <c r="J1139" s="1516"/>
      <c r="K1139" s="1516"/>
      <c r="L1139" s="1436"/>
      <c r="M1139" s="1439"/>
      <c r="N1139" s="1439"/>
      <c r="O1139" s="1485"/>
      <c r="P1139" s="1486"/>
      <c r="Q1139" s="1486"/>
      <c r="R1139" s="1487"/>
      <c r="S1139" s="1444"/>
      <c r="T1139" s="1444"/>
      <c r="U1139" s="1444"/>
      <c r="V1139" s="1488"/>
      <c r="W1139" s="1488"/>
      <c r="X1139" s="1488"/>
      <c r="Y1139" s="1488"/>
      <c r="Z1139" s="1488"/>
      <c r="AA1139" s="1488"/>
      <c r="AB1139" s="1488"/>
      <c r="AC1139" s="1488"/>
      <c r="AD1139" s="1488"/>
      <c r="AE1139" s="1488"/>
      <c r="AF1139" s="1488"/>
      <c r="AG1139" s="1488"/>
      <c r="AH1139" s="1451">
        <f t="shared" si="614"/>
        <v>0</v>
      </c>
      <c r="AI1139" s="1488"/>
      <c r="AJ1139" s="1488"/>
      <c r="AK1139" s="1488"/>
      <c r="AL1139" s="1488"/>
      <c r="AM1139" s="1488"/>
      <c r="AN1139" s="1488"/>
      <c r="AO1139" s="1488"/>
      <c r="AP1139" s="1488"/>
      <c r="AQ1139" s="1488"/>
      <c r="AR1139" s="1488"/>
      <c r="AS1139" s="1488"/>
      <c r="AT1139" s="1542"/>
      <c r="AU1139" s="1599">
        <f t="shared" si="615"/>
        <v>0</v>
      </c>
      <c r="AV1139" s="1544">
        <f t="shared" si="643"/>
        <v>0</v>
      </c>
      <c r="AW1139" s="1452">
        <f t="shared" si="616"/>
        <v>0</v>
      </c>
      <c r="AX1139" s="1452">
        <f t="shared" si="617"/>
        <v>0</v>
      </c>
      <c r="AY1139" s="1452">
        <f t="shared" si="618"/>
        <v>0</v>
      </c>
      <c r="AZ1139" s="1452">
        <f t="shared" si="619"/>
        <v>0</v>
      </c>
      <c r="BA1139" s="1452">
        <f t="shared" si="620"/>
        <v>0</v>
      </c>
      <c r="BB1139" s="1452">
        <f t="shared" si="621"/>
        <v>0</v>
      </c>
      <c r="BC1139" s="1452">
        <f t="shared" si="622"/>
        <v>0</v>
      </c>
      <c r="BD1139" s="1452">
        <f t="shared" si="623"/>
        <v>0</v>
      </c>
      <c r="BE1139" s="1452">
        <f t="shared" si="624"/>
        <v>0</v>
      </c>
      <c r="BF1139" s="1452">
        <f t="shared" si="625"/>
        <v>0</v>
      </c>
      <c r="BG1139" s="1452">
        <f t="shared" si="626"/>
        <v>0</v>
      </c>
      <c r="BH1139" s="1452">
        <f t="shared" si="627"/>
        <v>0</v>
      </c>
      <c r="BI1139" s="1452">
        <f t="shared" si="644"/>
        <v>0</v>
      </c>
      <c r="BJ1139" s="1452" t="str">
        <f t="shared" si="628"/>
        <v/>
      </c>
      <c r="BK1139" s="1452" t="str">
        <f t="shared" si="629"/>
        <v/>
      </c>
      <c r="BL1139" s="1452" t="str">
        <f t="shared" si="630"/>
        <v/>
      </c>
      <c r="BM1139" s="1452" t="str">
        <f t="shared" si="631"/>
        <v/>
      </c>
      <c r="BN1139" s="1452" t="str">
        <f t="shared" ca="1" si="632"/>
        <v/>
      </c>
      <c r="BO1139" s="1452" t="str">
        <f t="shared" si="645"/>
        <v/>
      </c>
      <c r="BP1139" s="1452" t="str">
        <f t="shared" si="633"/>
        <v/>
      </c>
      <c r="BQ1139" s="1452" t="str">
        <f t="shared" si="634"/>
        <v/>
      </c>
      <c r="BR1139" s="1452" t="str">
        <f t="shared" si="635"/>
        <v/>
      </c>
      <c r="BS1139" s="1452" t="str">
        <f t="shared" si="636"/>
        <v/>
      </c>
      <c r="BT1139" s="1452" t="str">
        <f t="shared" si="637"/>
        <v/>
      </c>
      <c r="BU1139" s="1452" t="str">
        <f t="shared" si="638"/>
        <v/>
      </c>
      <c r="BV1139" s="1452" t="str">
        <f t="shared" si="639"/>
        <v/>
      </c>
      <c r="BW1139" s="1558">
        <f t="shared" ca="1" si="646"/>
        <v>0</v>
      </c>
    </row>
    <row r="1140" spans="1:75" s="9" customFormat="1" ht="12.5">
      <c r="A1140" s="1483" t="str">
        <f t="shared" si="640"/>
        <v>Public Health Wales Trust</v>
      </c>
      <c r="B1140" s="1583"/>
      <c r="C1140" s="1583"/>
      <c r="D1140" s="1583"/>
      <c r="E1140" s="1581"/>
      <c r="F1140" s="1436"/>
      <c r="G1140" s="1547">
        <f t="shared" si="641"/>
        <v>0</v>
      </c>
      <c r="H1140" s="1484"/>
      <c r="I1140" s="1547">
        <f t="shared" si="642"/>
        <v>0</v>
      </c>
      <c r="J1140" s="1516"/>
      <c r="K1140" s="1516"/>
      <c r="L1140" s="1436"/>
      <c r="M1140" s="1439"/>
      <c r="N1140" s="1439"/>
      <c r="O1140" s="1485"/>
      <c r="P1140" s="1486"/>
      <c r="Q1140" s="1486"/>
      <c r="R1140" s="1487"/>
      <c r="S1140" s="1444"/>
      <c r="T1140" s="1444"/>
      <c r="U1140" s="1444"/>
      <c r="V1140" s="1488"/>
      <c r="W1140" s="1488"/>
      <c r="X1140" s="1488"/>
      <c r="Y1140" s="1488"/>
      <c r="Z1140" s="1488"/>
      <c r="AA1140" s="1488"/>
      <c r="AB1140" s="1488"/>
      <c r="AC1140" s="1488"/>
      <c r="AD1140" s="1488"/>
      <c r="AE1140" s="1488"/>
      <c r="AF1140" s="1488"/>
      <c r="AG1140" s="1488"/>
      <c r="AH1140" s="1451">
        <f t="shared" si="614"/>
        <v>0</v>
      </c>
      <c r="AI1140" s="1488"/>
      <c r="AJ1140" s="1488"/>
      <c r="AK1140" s="1488"/>
      <c r="AL1140" s="1488"/>
      <c r="AM1140" s="1488"/>
      <c r="AN1140" s="1488"/>
      <c r="AO1140" s="1488"/>
      <c r="AP1140" s="1488"/>
      <c r="AQ1140" s="1488"/>
      <c r="AR1140" s="1488"/>
      <c r="AS1140" s="1488"/>
      <c r="AT1140" s="1542"/>
      <c r="AU1140" s="1599">
        <f t="shared" si="615"/>
        <v>0</v>
      </c>
      <c r="AV1140" s="1544">
        <f t="shared" si="643"/>
        <v>0</v>
      </c>
      <c r="AW1140" s="1452">
        <f t="shared" si="616"/>
        <v>0</v>
      </c>
      <c r="AX1140" s="1452">
        <f t="shared" si="617"/>
        <v>0</v>
      </c>
      <c r="AY1140" s="1452">
        <f t="shared" si="618"/>
        <v>0</v>
      </c>
      <c r="AZ1140" s="1452">
        <f t="shared" si="619"/>
        <v>0</v>
      </c>
      <c r="BA1140" s="1452">
        <f t="shared" si="620"/>
        <v>0</v>
      </c>
      <c r="BB1140" s="1452">
        <f t="shared" si="621"/>
        <v>0</v>
      </c>
      <c r="BC1140" s="1452">
        <f t="shared" si="622"/>
        <v>0</v>
      </c>
      <c r="BD1140" s="1452">
        <f t="shared" si="623"/>
        <v>0</v>
      </c>
      <c r="BE1140" s="1452">
        <f t="shared" si="624"/>
        <v>0</v>
      </c>
      <c r="BF1140" s="1452">
        <f t="shared" si="625"/>
        <v>0</v>
      </c>
      <c r="BG1140" s="1452">
        <f t="shared" si="626"/>
        <v>0</v>
      </c>
      <c r="BH1140" s="1452">
        <f t="shared" si="627"/>
        <v>0</v>
      </c>
      <c r="BI1140" s="1452">
        <f t="shared" si="644"/>
        <v>0</v>
      </c>
      <c r="BJ1140" s="1452" t="str">
        <f t="shared" si="628"/>
        <v/>
      </c>
      <c r="BK1140" s="1452" t="str">
        <f t="shared" si="629"/>
        <v/>
      </c>
      <c r="BL1140" s="1452" t="str">
        <f t="shared" si="630"/>
        <v/>
      </c>
      <c r="BM1140" s="1452" t="str">
        <f t="shared" si="631"/>
        <v/>
      </c>
      <c r="BN1140" s="1452" t="str">
        <f t="shared" ca="1" si="632"/>
        <v/>
      </c>
      <c r="BO1140" s="1452" t="str">
        <f t="shared" si="645"/>
        <v/>
      </c>
      <c r="BP1140" s="1452" t="str">
        <f t="shared" si="633"/>
        <v/>
      </c>
      <c r="BQ1140" s="1452" t="str">
        <f t="shared" si="634"/>
        <v/>
      </c>
      <c r="BR1140" s="1452" t="str">
        <f t="shared" si="635"/>
        <v/>
      </c>
      <c r="BS1140" s="1452" t="str">
        <f t="shared" si="636"/>
        <v/>
      </c>
      <c r="BT1140" s="1452" t="str">
        <f t="shared" si="637"/>
        <v/>
      </c>
      <c r="BU1140" s="1452" t="str">
        <f t="shared" si="638"/>
        <v/>
      </c>
      <c r="BV1140" s="1452" t="str">
        <f t="shared" si="639"/>
        <v/>
      </c>
      <c r="BW1140" s="1558">
        <f t="shared" ca="1" si="646"/>
        <v>0</v>
      </c>
    </row>
    <row r="1141" spans="1:75" s="9" customFormat="1" ht="12.5">
      <c r="A1141" s="1483" t="str">
        <f t="shared" si="640"/>
        <v>Public Health Wales Trust</v>
      </c>
      <c r="B1141" s="1583"/>
      <c r="C1141" s="1583"/>
      <c r="D1141" s="1583"/>
      <c r="E1141" s="1581"/>
      <c r="F1141" s="1436"/>
      <c r="G1141" s="1547">
        <f t="shared" si="641"/>
        <v>0</v>
      </c>
      <c r="H1141" s="1484"/>
      <c r="I1141" s="1547">
        <f t="shared" si="642"/>
        <v>0</v>
      </c>
      <c r="J1141" s="1516"/>
      <c r="K1141" s="1516"/>
      <c r="L1141" s="1436"/>
      <c r="M1141" s="1439"/>
      <c r="N1141" s="1439"/>
      <c r="O1141" s="1485"/>
      <c r="P1141" s="1486"/>
      <c r="Q1141" s="1486"/>
      <c r="R1141" s="1487"/>
      <c r="S1141" s="1444"/>
      <c r="T1141" s="1444"/>
      <c r="U1141" s="1444"/>
      <c r="V1141" s="1488"/>
      <c r="W1141" s="1488"/>
      <c r="X1141" s="1488"/>
      <c r="Y1141" s="1488"/>
      <c r="Z1141" s="1488"/>
      <c r="AA1141" s="1488"/>
      <c r="AB1141" s="1488"/>
      <c r="AC1141" s="1488"/>
      <c r="AD1141" s="1488"/>
      <c r="AE1141" s="1488"/>
      <c r="AF1141" s="1488"/>
      <c r="AG1141" s="1488"/>
      <c r="AH1141" s="1451">
        <f t="shared" si="614"/>
        <v>0</v>
      </c>
      <c r="AI1141" s="1488"/>
      <c r="AJ1141" s="1488"/>
      <c r="AK1141" s="1488"/>
      <c r="AL1141" s="1488"/>
      <c r="AM1141" s="1488"/>
      <c r="AN1141" s="1488"/>
      <c r="AO1141" s="1488"/>
      <c r="AP1141" s="1488"/>
      <c r="AQ1141" s="1488"/>
      <c r="AR1141" s="1488"/>
      <c r="AS1141" s="1488"/>
      <c r="AT1141" s="1542"/>
      <c r="AU1141" s="1599">
        <f t="shared" si="615"/>
        <v>0</v>
      </c>
      <c r="AV1141" s="1544">
        <f t="shared" si="643"/>
        <v>0</v>
      </c>
      <c r="AW1141" s="1452">
        <f t="shared" si="616"/>
        <v>0</v>
      </c>
      <c r="AX1141" s="1452">
        <f t="shared" si="617"/>
        <v>0</v>
      </c>
      <c r="AY1141" s="1452">
        <f t="shared" si="618"/>
        <v>0</v>
      </c>
      <c r="AZ1141" s="1452">
        <f t="shared" si="619"/>
        <v>0</v>
      </c>
      <c r="BA1141" s="1452">
        <f t="shared" si="620"/>
        <v>0</v>
      </c>
      <c r="BB1141" s="1452">
        <f t="shared" si="621"/>
        <v>0</v>
      </c>
      <c r="BC1141" s="1452">
        <f t="shared" si="622"/>
        <v>0</v>
      </c>
      <c r="BD1141" s="1452">
        <f t="shared" si="623"/>
        <v>0</v>
      </c>
      <c r="BE1141" s="1452">
        <f t="shared" si="624"/>
        <v>0</v>
      </c>
      <c r="BF1141" s="1452">
        <f t="shared" si="625"/>
        <v>0</v>
      </c>
      <c r="BG1141" s="1452">
        <f t="shared" si="626"/>
        <v>0</v>
      </c>
      <c r="BH1141" s="1452">
        <f t="shared" si="627"/>
        <v>0</v>
      </c>
      <c r="BI1141" s="1452">
        <f t="shared" si="644"/>
        <v>0</v>
      </c>
      <c r="BJ1141" s="1452" t="str">
        <f t="shared" si="628"/>
        <v/>
      </c>
      <c r="BK1141" s="1452" t="str">
        <f t="shared" si="629"/>
        <v/>
      </c>
      <c r="BL1141" s="1452" t="str">
        <f t="shared" si="630"/>
        <v/>
      </c>
      <c r="BM1141" s="1452" t="str">
        <f t="shared" si="631"/>
        <v/>
      </c>
      <c r="BN1141" s="1452" t="str">
        <f t="shared" ca="1" si="632"/>
        <v/>
      </c>
      <c r="BO1141" s="1452" t="str">
        <f t="shared" si="645"/>
        <v/>
      </c>
      <c r="BP1141" s="1452" t="str">
        <f t="shared" si="633"/>
        <v/>
      </c>
      <c r="BQ1141" s="1452" t="str">
        <f t="shared" si="634"/>
        <v/>
      </c>
      <c r="BR1141" s="1452" t="str">
        <f t="shared" si="635"/>
        <v/>
      </c>
      <c r="BS1141" s="1452" t="str">
        <f t="shared" si="636"/>
        <v/>
      </c>
      <c r="BT1141" s="1452" t="str">
        <f t="shared" si="637"/>
        <v/>
      </c>
      <c r="BU1141" s="1452" t="str">
        <f t="shared" si="638"/>
        <v/>
      </c>
      <c r="BV1141" s="1452" t="str">
        <f t="shared" si="639"/>
        <v/>
      </c>
      <c r="BW1141" s="1558">
        <f t="shared" ca="1" si="646"/>
        <v>0</v>
      </c>
    </row>
    <row r="1142" spans="1:75" s="9" customFormat="1" ht="12.5">
      <c r="A1142" s="1483" t="str">
        <f t="shared" si="640"/>
        <v>Public Health Wales Trust</v>
      </c>
      <c r="B1142" s="1583"/>
      <c r="C1142" s="1583"/>
      <c r="D1142" s="1583"/>
      <c r="E1142" s="1581"/>
      <c r="F1142" s="1436"/>
      <c r="G1142" s="1547">
        <f t="shared" si="641"/>
        <v>0</v>
      </c>
      <c r="H1142" s="1484"/>
      <c r="I1142" s="1547">
        <f t="shared" si="642"/>
        <v>0</v>
      </c>
      <c r="J1142" s="1516"/>
      <c r="K1142" s="1516"/>
      <c r="L1142" s="1436"/>
      <c r="M1142" s="1439"/>
      <c r="N1142" s="1439"/>
      <c r="O1142" s="1485"/>
      <c r="P1142" s="1486"/>
      <c r="Q1142" s="1486"/>
      <c r="R1142" s="1487"/>
      <c r="S1142" s="1444"/>
      <c r="T1142" s="1444"/>
      <c r="U1142" s="1444"/>
      <c r="V1142" s="1488"/>
      <c r="W1142" s="1488"/>
      <c r="X1142" s="1488"/>
      <c r="Y1142" s="1488"/>
      <c r="Z1142" s="1488"/>
      <c r="AA1142" s="1488"/>
      <c r="AB1142" s="1488"/>
      <c r="AC1142" s="1488"/>
      <c r="AD1142" s="1488"/>
      <c r="AE1142" s="1488"/>
      <c r="AF1142" s="1488"/>
      <c r="AG1142" s="1488"/>
      <c r="AH1142" s="1451">
        <f t="shared" si="614"/>
        <v>0</v>
      </c>
      <c r="AI1142" s="1488"/>
      <c r="AJ1142" s="1488"/>
      <c r="AK1142" s="1488"/>
      <c r="AL1142" s="1488"/>
      <c r="AM1142" s="1488"/>
      <c r="AN1142" s="1488"/>
      <c r="AO1142" s="1488"/>
      <c r="AP1142" s="1488"/>
      <c r="AQ1142" s="1488"/>
      <c r="AR1142" s="1488"/>
      <c r="AS1142" s="1488"/>
      <c r="AT1142" s="1542"/>
      <c r="AU1142" s="1599">
        <f t="shared" si="615"/>
        <v>0</v>
      </c>
      <c r="AV1142" s="1544">
        <f t="shared" si="643"/>
        <v>0</v>
      </c>
      <c r="AW1142" s="1452">
        <f t="shared" si="616"/>
        <v>0</v>
      </c>
      <c r="AX1142" s="1452">
        <f t="shared" si="617"/>
        <v>0</v>
      </c>
      <c r="AY1142" s="1452">
        <f t="shared" si="618"/>
        <v>0</v>
      </c>
      <c r="AZ1142" s="1452">
        <f t="shared" si="619"/>
        <v>0</v>
      </c>
      <c r="BA1142" s="1452">
        <f t="shared" si="620"/>
        <v>0</v>
      </c>
      <c r="BB1142" s="1452">
        <f t="shared" si="621"/>
        <v>0</v>
      </c>
      <c r="BC1142" s="1452">
        <f t="shared" si="622"/>
        <v>0</v>
      </c>
      <c r="BD1142" s="1452">
        <f t="shared" si="623"/>
        <v>0</v>
      </c>
      <c r="BE1142" s="1452">
        <f t="shared" si="624"/>
        <v>0</v>
      </c>
      <c r="BF1142" s="1452">
        <f t="shared" si="625"/>
        <v>0</v>
      </c>
      <c r="BG1142" s="1452">
        <f t="shared" si="626"/>
        <v>0</v>
      </c>
      <c r="BH1142" s="1452">
        <f t="shared" si="627"/>
        <v>0</v>
      </c>
      <c r="BI1142" s="1452">
        <f t="shared" si="644"/>
        <v>0</v>
      </c>
      <c r="BJ1142" s="1452" t="str">
        <f t="shared" si="628"/>
        <v/>
      </c>
      <c r="BK1142" s="1452" t="str">
        <f t="shared" si="629"/>
        <v/>
      </c>
      <c r="BL1142" s="1452" t="str">
        <f t="shared" si="630"/>
        <v/>
      </c>
      <c r="BM1142" s="1452" t="str">
        <f t="shared" si="631"/>
        <v/>
      </c>
      <c r="BN1142" s="1452" t="str">
        <f t="shared" ca="1" si="632"/>
        <v/>
      </c>
      <c r="BO1142" s="1452" t="str">
        <f t="shared" si="645"/>
        <v/>
      </c>
      <c r="BP1142" s="1452" t="str">
        <f t="shared" si="633"/>
        <v/>
      </c>
      <c r="BQ1142" s="1452" t="str">
        <f t="shared" si="634"/>
        <v/>
      </c>
      <c r="BR1142" s="1452" t="str">
        <f t="shared" si="635"/>
        <v/>
      </c>
      <c r="BS1142" s="1452" t="str">
        <f t="shared" si="636"/>
        <v/>
      </c>
      <c r="BT1142" s="1452" t="str">
        <f t="shared" si="637"/>
        <v/>
      </c>
      <c r="BU1142" s="1452" t="str">
        <f t="shared" si="638"/>
        <v/>
      </c>
      <c r="BV1142" s="1452" t="str">
        <f t="shared" si="639"/>
        <v/>
      </c>
      <c r="BW1142" s="1558">
        <f t="shared" ca="1" si="646"/>
        <v>0</v>
      </c>
    </row>
    <row r="1143" spans="1:75" s="9" customFormat="1" ht="12.5">
      <c r="A1143" s="1483" t="str">
        <f t="shared" si="640"/>
        <v>Public Health Wales Trust</v>
      </c>
      <c r="B1143" s="1583"/>
      <c r="C1143" s="1583"/>
      <c r="D1143" s="1583"/>
      <c r="E1143" s="1581"/>
      <c r="F1143" s="1436"/>
      <c r="G1143" s="1547">
        <f t="shared" si="641"/>
        <v>0</v>
      </c>
      <c r="H1143" s="1484"/>
      <c r="I1143" s="1547">
        <f t="shared" si="642"/>
        <v>0</v>
      </c>
      <c r="J1143" s="1516"/>
      <c r="K1143" s="1516"/>
      <c r="L1143" s="1436"/>
      <c r="M1143" s="1439"/>
      <c r="N1143" s="1439"/>
      <c r="O1143" s="1485"/>
      <c r="P1143" s="1486"/>
      <c r="Q1143" s="1486"/>
      <c r="R1143" s="1487"/>
      <c r="S1143" s="1444"/>
      <c r="T1143" s="1444"/>
      <c r="U1143" s="1444"/>
      <c r="V1143" s="1488"/>
      <c r="W1143" s="1488"/>
      <c r="X1143" s="1488"/>
      <c r="Y1143" s="1488"/>
      <c r="Z1143" s="1488"/>
      <c r="AA1143" s="1488"/>
      <c r="AB1143" s="1488"/>
      <c r="AC1143" s="1488"/>
      <c r="AD1143" s="1488"/>
      <c r="AE1143" s="1488"/>
      <c r="AF1143" s="1488"/>
      <c r="AG1143" s="1488"/>
      <c r="AH1143" s="1451">
        <f t="shared" si="614"/>
        <v>0</v>
      </c>
      <c r="AI1143" s="1488"/>
      <c r="AJ1143" s="1488"/>
      <c r="AK1143" s="1488"/>
      <c r="AL1143" s="1488"/>
      <c r="AM1143" s="1488"/>
      <c r="AN1143" s="1488"/>
      <c r="AO1143" s="1488"/>
      <c r="AP1143" s="1488"/>
      <c r="AQ1143" s="1488"/>
      <c r="AR1143" s="1488"/>
      <c r="AS1143" s="1488"/>
      <c r="AT1143" s="1542"/>
      <c r="AU1143" s="1599">
        <f t="shared" si="615"/>
        <v>0</v>
      </c>
      <c r="AV1143" s="1544">
        <f t="shared" si="643"/>
        <v>0</v>
      </c>
      <c r="AW1143" s="1452">
        <f t="shared" si="616"/>
        <v>0</v>
      </c>
      <c r="AX1143" s="1452">
        <f t="shared" si="617"/>
        <v>0</v>
      </c>
      <c r="AY1143" s="1452">
        <f t="shared" si="618"/>
        <v>0</v>
      </c>
      <c r="AZ1143" s="1452">
        <f t="shared" si="619"/>
        <v>0</v>
      </c>
      <c r="BA1143" s="1452">
        <f t="shared" si="620"/>
        <v>0</v>
      </c>
      <c r="BB1143" s="1452">
        <f t="shared" si="621"/>
        <v>0</v>
      </c>
      <c r="BC1143" s="1452">
        <f t="shared" si="622"/>
        <v>0</v>
      </c>
      <c r="BD1143" s="1452">
        <f t="shared" si="623"/>
        <v>0</v>
      </c>
      <c r="BE1143" s="1452">
        <f t="shared" si="624"/>
        <v>0</v>
      </c>
      <c r="BF1143" s="1452">
        <f t="shared" si="625"/>
        <v>0</v>
      </c>
      <c r="BG1143" s="1452">
        <f t="shared" si="626"/>
        <v>0</v>
      </c>
      <c r="BH1143" s="1452">
        <f t="shared" si="627"/>
        <v>0</v>
      </c>
      <c r="BI1143" s="1452">
        <f t="shared" si="644"/>
        <v>0</v>
      </c>
      <c r="BJ1143" s="1452" t="str">
        <f t="shared" si="628"/>
        <v/>
      </c>
      <c r="BK1143" s="1452" t="str">
        <f t="shared" si="629"/>
        <v/>
      </c>
      <c r="BL1143" s="1452" t="str">
        <f t="shared" si="630"/>
        <v/>
      </c>
      <c r="BM1143" s="1452" t="str">
        <f t="shared" si="631"/>
        <v/>
      </c>
      <c r="BN1143" s="1452" t="str">
        <f t="shared" ca="1" si="632"/>
        <v/>
      </c>
      <c r="BO1143" s="1452" t="str">
        <f t="shared" si="645"/>
        <v/>
      </c>
      <c r="BP1143" s="1452" t="str">
        <f t="shared" si="633"/>
        <v/>
      </c>
      <c r="BQ1143" s="1452" t="str">
        <f t="shared" si="634"/>
        <v/>
      </c>
      <c r="BR1143" s="1452" t="str">
        <f t="shared" si="635"/>
        <v/>
      </c>
      <c r="BS1143" s="1452" t="str">
        <f t="shared" si="636"/>
        <v/>
      </c>
      <c r="BT1143" s="1452" t="str">
        <f t="shared" si="637"/>
        <v/>
      </c>
      <c r="BU1143" s="1452" t="str">
        <f t="shared" si="638"/>
        <v/>
      </c>
      <c r="BV1143" s="1452" t="str">
        <f t="shared" si="639"/>
        <v/>
      </c>
      <c r="BW1143" s="1558">
        <f t="shared" ca="1" si="646"/>
        <v>0</v>
      </c>
    </row>
    <row r="1144" spans="1:75" s="9" customFormat="1" ht="12.5">
      <c r="A1144" s="1483" t="str">
        <f t="shared" si="640"/>
        <v>Public Health Wales Trust</v>
      </c>
      <c r="B1144" s="1583"/>
      <c r="C1144" s="1583"/>
      <c r="D1144" s="1583"/>
      <c r="E1144" s="1581"/>
      <c r="F1144" s="1436"/>
      <c r="G1144" s="1547">
        <f t="shared" si="641"/>
        <v>0</v>
      </c>
      <c r="H1144" s="1484"/>
      <c r="I1144" s="1547">
        <f t="shared" si="642"/>
        <v>0</v>
      </c>
      <c r="J1144" s="1516"/>
      <c r="K1144" s="1516"/>
      <c r="L1144" s="1436"/>
      <c r="M1144" s="1439"/>
      <c r="N1144" s="1439"/>
      <c r="O1144" s="1485"/>
      <c r="P1144" s="1486"/>
      <c r="Q1144" s="1486"/>
      <c r="R1144" s="1487"/>
      <c r="S1144" s="1444"/>
      <c r="T1144" s="1444"/>
      <c r="U1144" s="1444"/>
      <c r="V1144" s="1488"/>
      <c r="W1144" s="1488"/>
      <c r="X1144" s="1488"/>
      <c r="Y1144" s="1488"/>
      <c r="Z1144" s="1488"/>
      <c r="AA1144" s="1488"/>
      <c r="AB1144" s="1488"/>
      <c r="AC1144" s="1488"/>
      <c r="AD1144" s="1488"/>
      <c r="AE1144" s="1488"/>
      <c r="AF1144" s="1488"/>
      <c r="AG1144" s="1488"/>
      <c r="AH1144" s="1451">
        <f t="shared" si="614"/>
        <v>0</v>
      </c>
      <c r="AI1144" s="1488"/>
      <c r="AJ1144" s="1488"/>
      <c r="AK1144" s="1488"/>
      <c r="AL1144" s="1488"/>
      <c r="AM1144" s="1488"/>
      <c r="AN1144" s="1488"/>
      <c r="AO1144" s="1488"/>
      <c r="AP1144" s="1488"/>
      <c r="AQ1144" s="1488"/>
      <c r="AR1144" s="1488"/>
      <c r="AS1144" s="1488"/>
      <c r="AT1144" s="1542"/>
      <c r="AU1144" s="1599">
        <f t="shared" si="615"/>
        <v>0</v>
      </c>
      <c r="AV1144" s="1544">
        <f t="shared" si="643"/>
        <v>0</v>
      </c>
      <c r="AW1144" s="1452">
        <f t="shared" si="616"/>
        <v>0</v>
      </c>
      <c r="AX1144" s="1452">
        <f t="shared" si="617"/>
        <v>0</v>
      </c>
      <c r="AY1144" s="1452">
        <f t="shared" si="618"/>
        <v>0</v>
      </c>
      <c r="AZ1144" s="1452">
        <f t="shared" si="619"/>
        <v>0</v>
      </c>
      <c r="BA1144" s="1452">
        <f t="shared" si="620"/>
        <v>0</v>
      </c>
      <c r="BB1144" s="1452">
        <f t="shared" si="621"/>
        <v>0</v>
      </c>
      <c r="BC1144" s="1452">
        <f t="shared" si="622"/>
        <v>0</v>
      </c>
      <c r="BD1144" s="1452">
        <f t="shared" si="623"/>
        <v>0</v>
      </c>
      <c r="BE1144" s="1452">
        <f t="shared" si="624"/>
        <v>0</v>
      </c>
      <c r="BF1144" s="1452">
        <f t="shared" si="625"/>
        <v>0</v>
      </c>
      <c r="BG1144" s="1452">
        <f t="shared" si="626"/>
        <v>0</v>
      </c>
      <c r="BH1144" s="1452">
        <f t="shared" si="627"/>
        <v>0</v>
      </c>
      <c r="BI1144" s="1452">
        <f t="shared" si="644"/>
        <v>0</v>
      </c>
      <c r="BJ1144" s="1452" t="str">
        <f t="shared" si="628"/>
        <v/>
      </c>
      <c r="BK1144" s="1452" t="str">
        <f t="shared" si="629"/>
        <v/>
      </c>
      <c r="BL1144" s="1452" t="str">
        <f t="shared" si="630"/>
        <v/>
      </c>
      <c r="BM1144" s="1452" t="str">
        <f t="shared" si="631"/>
        <v/>
      </c>
      <c r="BN1144" s="1452" t="str">
        <f t="shared" ca="1" si="632"/>
        <v/>
      </c>
      <c r="BO1144" s="1452" t="str">
        <f t="shared" si="645"/>
        <v/>
      </c>
      <c r="BP1144" s="1452" t="str">
        <f t="shared" si="633"/>
        <v/>
      </c>
      <c r="BQ1144" s="1452" t="str">
        <f t="shared" si="634"/>
        <v/>
      </c>
      <c r="BR1144" s="1452" t="str">
        <f t="shared" si="635"/>
        <v/>
      </c>
      <c r="BS1144" s="1452" t="str">
        <f t="shared" si="636"/>
        <v/>
      </c>
      <c r="BT1144" s="1452" t="str">
        <f t="shared" si="637"/>
        <v/>
      </c>
      <c r="BU1144" s="1452" t="str">
        <f t="shared" si="638"/>
        <v/>
      </c>
      <c r="BV1144" s="1452" t="str">
        <f t="shared" si="639"/>
        <v/>
      </c>
      <c r="BW1144" s="1558">
        <f t="shared" ca="1" si="646"/>
        <v>0</v>
      </c>
    </row>
    <row r="1145" spans="1:75" s="9" customFormat="1" ht="12.5">
      <c r="A1145" s="1483" t="str">
        <f t="shared" si="640"/>
        <v>Public Health Wales Trust</v>
      </c>
      <c r="B1145" s="1583"/>
      <c r="C1145" s="1583"/>
      <c r="D1145" s="1583"/>
      <c r="E1145" s="1581"/>
      <c r="F1145" s="1436"/>
      <c r="G1145" s="1547">
        <f t="shared" si="641"/>
        <v>0</v>
      </c>
      <c r="H1145" s="1484"/>
      <c r="I1145" s="1547">
        <f t="shared" si="642"/>
        <v>0</v>
      </c>
      <c r="J1145" s="1516"/>
      <c r="K1145" s="1516"/>
      <c r="L1145" s="1436"/>
      <c r="M1145" s="1439"/>
      <c r="N1145" s="1439"/>
      <c r="O1145" s="1485"/>
      <c r="P1145" s="1486"/>
      <c r="Q1145" s="1486"/>
      <c r="R1145" s="1487"/>
      <c r="S1145" s="1444"/>
      <c r="T1145" s="1444"/>
      <c r="U1145" s="1444"/>
      <c r="V1145" s="1488"/>
      <c r="W1145" s="1488"/>
      <c r="X1145" s="1488"/>
      <c r="Y1145" s="1488"/>
      <c r="Z1145" s="1488"/>
      <c r="AA1145" s="1488"/>
      <c r="AB1145" s="1488"/>
      <c r="AC1145" s="1488"/>
      <c r="AD1145" s="1488"/>
      <c r="AE1145" s="1488"/>
      <c r="AF1145" s="1488"/>
      <c r="AG1145" s="1488"/>
      <c r="AH1145" s="1451">
        <f t="shared" si="614"/>
        <v>0</v>
      </c>
      <c r="AI1145" s="1488"/>
      <c r="AJ1145" s="1488"/>
      <c r="AK1145" s="1488"/>
      <c r="AL1145" s="1488"/>
      <c r="AM1145" s="1488"/>
      <c r="AN1145" s="1488"/>
      <c r="AO1145" s="1488"/>
      <c r="AP1145" s="1488"/>
      <c r="AQ1145" s="1488"/>
      <c r="AR1145" s="1488"/>
      <c r="AS1145" s="1488"/>
      <c r="AT1145" s="1542"/>
      <c r="AU1145" s="1599">
        <f t="shared" si="615"/>
        <v>0</v>
      </c>
      <c r="AV1145" s="1544">
        <f t="shared" si="643"/>
        <v>0</v>
      </c>
      <c r="AW1145" s="1452">
        <f t="shared" si="616"/>
        <v>0</v>
      </c>
      <c r="AX1145" s="1452">
        <f t="shared" si="617"/>
        <v>0</v>
      </c>
      <c r="AY1145" s="1452">
        <f t="shared" si="618"/>
        <v>0</v>
      </c>
      <c r="AZ1145" s="1452">
        <f t="shared" si="619"/>
        <v>0</v>
      </c>
      <c r="BA1145" s="1452">
        <f t="shared" si="620"/>
        <v>0</v>
      </c>
      <c r="BB1145" s="1452">
        <f t="shared" si="621"/>
        <v>0</v>
      </c>
      <c r="BC1145" s="1452">
        <f t="shared" si="622"/>
        <v>0</v>
      </c>
      <c r="BD1145" s="1452">
        <f t="shared" si="623"/>
        <v>0</v>
      </c>
      <c r="BE1145" s="1452">
        <f t="shared" si="624"/>
        <v>0</v>
      </c>
      <c r="BF1145" s="1452">
        <f t="shared" si="625"/>
        <v>0</v>
      </c>
      <c r="BG1145" s="1452">
        <f t="shared" si="626"/>
        <v>0</v>
      </c>
      <c r="BH1145" s="1452">
        <f t="shared" si="627"/>
        <v>0</v>
      </c>
      <c r="BI1145" s="1452">
        <f t="shared" si="644"/>
        <v>0</v>
      </c>
      <c r="BJ1145" s="1452" t="str">
        <f t="shared" si="628"/>
        <v/>
      </c>
      <c r="BK1145" s="1452" t="str">
        <f t="shared" si="629"/>
        <v/>
      </c>
      <c r="BL1145" s="1452" t="str">
        <f t="shared" si="630"/>
        <v/>
      </c>
      <c r="BM1145" s="1452" t="str">
        <f t="shared" si="631"/>
        <v/>
      </c>
      <c r="BN1145" s="1452" t="str">
        <f t="shared" ca="1" si="632"/>
        <v/>
      </c>
      <c r="BO1145" s="1452" t="str">
        <f t="shared" si="645"/>
        <v/>
      </c>
      <c r="BP1145" s="1452" t="str">
        <f t="shared" si="633"/>
        <v/>
      </c>
      <c r="BQ1145" s="1452" t="str">
        <f t="shared" si="634"/>
        <v/>
      </c>
      <c r="BR1145" s="1452" t="str">
        <f t="shared" si="635"/>
        <v/>
      </c>
      <c r="BS1145" s="1452" t="str">
        <f t="shared" si="636"/>
        <v/>
      </c>
      <c r="BT1145" s="1452" t="str">
        <f t="shared" si="637"/>
        <v/>
      </c>
      <c r="BU1145" s="1452" t="str">
        <f t="shared" si="638"/>
        <v/>
      </c>
      <c r="BV1145" s="1452" t="str">
        <f t="shared" si="639"/>
        <v/>
      </c>
      <c r="BW1145" s="1558">
        <f t="shared" ca="1" si="646"/>
        <v>0</v>
      </c>
    </row>
    <row r="1146" spans="1:75" s="9" customFormat="1" ht="12.5">
      <c r="A1146" s="1483" t="str">
        <f t="shared" si="640"/>
        <v>Public Health Wales Trust</v>
      </c>
      <c r="B1146" s="1583"/>
      <c r="C1146" s="1583"/>
      <c r="D1146" s="1583"/>
      <c r="E1146" s="1581"/>
      <c r="F1146" s="1436"/>
      <c r="G1146" s="1547">
        <f t="shared" si="641"/>
        <v>0</v>
      </c>
      <c r="H1146" s="1484"/>
      <c r="I1146" s="1547">
        <f t="shared" si="642"/>
        <v>0</v>
      </c>
      <c r="J1146" s="1516"/>
      <c r="K1146" s="1516"/>
      <c r="L1146" s="1436"/>
      <c r="M1146" s="1439"/>
      <c r="N1146" s="1439"/>
      <c r="O1146" s="1485"/>
      <c r="P1146" s="1486"/>
      <c r="Q1146" s="1486"/>
      <c r="R1146" s="1487"/>
      <c r="S1146" s="1444"/>
      <c r="T1146" s="1444"/>
      <c r="U1146" s="1444"/>
      <c r="V1146" s="1488"/>
      <c r="W1146" s="1488"/>
      <c r="X1146" s="1488"/>
      <c r="Y1146" s="1488"/>
      <c r="Z1146" s="1488"/>
      <c r="AA1146" s="1488"/>
      <c r="AB1146" s="1488"/>
      <c r="AC1146" s="1488"/>
      <c r="AD1146" s="1488"/>
      <c r="AE1146" s="1488"/>
      <c r="AF1146" s="1488"/>
      <c r="AG1146" s="1488"/>
      <c r="AH1146" s="1451">
        <f t="shared" si="614"/>
        <v>0</v>
      </c>
      <c r="AI1146" s="1488"/>
      <c r="AJ1146" s="1488"/>
      <c r="AK1146" s="1488"/>
      <c r="AL1146" s="1488"/>
      <c r="AM1146" s="1488"/>
      <c r="AN1146" s="1488"/>
      <c r="AO1146" s="1488"/>
      <c r="AP1146" s="1488"/>
      <c r="AQ1146" s="1488"/>
      <c r="AR1146" s="1488"/>
      <c r="AS1146" s="1488"/>
      <c r="AT1146" s="1542"/>
      <c r="AU1146" s="1599">
        <f t="shared" si="615"/>
        <v>0</v>
      </c>
      <c r="AV1146" s="1544">
        <f t="shared" si="643"/>
        <v>0</v>
      </c>
      <c r="AW1146" s="1452">
        <f t="shared" si="616"/>
        <v>0</v>
      </c>
      <c r="AX1146" s="1452">
        <f t="shared" si="617"/>
        <v>0</v>
      </c>
      <c r="AY1146" s="1452">
        <f t="shared" si="618"/>
        <v>0</v>
      </c>
      <c r="AZ1146" s="1452">
        <f t="shared" si="619"/>
        <v>0</v>
      </c>
      <c r="BA1146" s="1452">
        <f t="shared" si="620"/>
        <v>0</v>
      </c>
      <c r="BB1146" s="1452">
        <f t="shared" si="621"/>
        <v>0</v>
      </c>
      <c r="BC1146" s="1452">
        <f t="shared" si="622"/>
        <v>0</v>
      </c>
      <c r="BD1146" s="1452">
        <f t="shared" si="623"/>
        <v>0</v>
      </c>
      <c r="BE1146" s="1452">
        <f t="shared" si="624"/>
        <v>0</v>
      </c>
      <c r="BF1146" s="1452">
        <f t="shared" si="625"/>
        <v>0</v>
      </c>
      <c r="BG1146" s="1452">
        <f t="shared" si="626"/>
        <v>0</v>
      </c>
      <c r="BH1146" s="1452">
        <f t="shared" si="627"/>
        <v>0</v>
      </c>
      <c r="BI1146" s="1452">
        <f t="shared" si="644"/>
        <v>0</v>
      </c>
      <c r="BJ1146" s="1452" t="str">
        <f t="shared" si="628"/>
        <v/>
      </c>
      <c r="BK1146" s="1452" t="str">
        <f t="shared" si="629"/>
        <v/>
      </c>
      <c r="BL1146" s="1452" t="str">
        <f t="shared" si="630"/>
        <v/>
      </c>
      <c r="BM1146" s="1452" t="str">
        <f t="shared" si="631"/>
        <v/>
      </c>
      <c r="BN1146" s="1452" t="str">
        <f t="shared" ca="1" si="632"/>
        <v/>
      </c>
      <c r="BO1146" s="1452" t="str">
        <f t="shared" si="645"/>
        <v/>
      </c>
      <c r="BP1146" s="1452" t="str">
        <f t="shared" si="633"/>
        <v/>
      </c>
      <c r="BQ1146" s="1452" t="str">
        <f t="shared" si="634"/>
        <v/>
      </c>
      <c r="BR1146" s="1452" t="str">
        <f t="shared" si="635"/>
        <v/>
      </c>
      <c r="BS1146" s="1452" t="str">
        <f t="shared" si="636"/>
        <v/>
      </c>
      <c r="BT1146" s="1452" t="str">
        <f t="shared" si="637"/>
        <v/>
      </c>
      <c r="BU1146" s="1452" t="str">
        <f t="shared" si="638"/>
        <v/>
      </c>
      <c r="BV1146" s="1452" t="str">
        <f t="shared" si="639"/>
        <v/>
      </c>
      <c r="BW1146" s="1558">
        <f t="shared" ca="1" si="646"/>
        <v>0</v>
      </c>
    </row>
    <row r="1147" spans="1:75" s="9" customFormat="1" ht="12.5">
      <c r="A1147" s="1483" t="str">
        <f t="shared" si="640"/>
        <v>Public Health Wales Trust</v>
      </c>
      <c r="B1147" s="1583"/>
      <c r="C1147" s="1583"/>
      <c r="D1147" s="1583"/>
      <c r="E1147" s="1581"/>
      <c r="F1147" s="1436"/>
      <c r="G1147" s="1547">
        <f t="shared" si="641"/>
        <v>0</v>
      </c>
      <c r="H1147" s="1484"/>
      <c r="I1147" s="1547">
        <f t="shared" si="642"/>
        <v>0</v>
      </c>
      <c r="J1147" s="1516"/>
      <c r="K1147" s="1516"/>
      <c r="L1147" s="1436"/>
      <c r="M1147" s="1439"/>
      <c r="N1147" s="1439"/>
      <c r="O1147" s="1485"/>
      <c r="P1147" s="1486"/>
      <c r="Q1147" s="1486"/>
      <c r="R1147" s="1487"/>
      <c r="S1147" s="1444"/>
      <c r="T1147" s="1444"/>
      <c r="U1147" s="1444"/>
      <c r="V1147" s="1488"/>
      <c r="W1147" s="1488"/>
      <c r="X1147" s="1488"/>
      <c r="Y1147" s="1488"/>
      <c r="Z1147" s="1488"/>
      <c r="AA1147" s="1488"/>
      <c r="AB1147" s="1488"/>
      <c r="AC1147" s="1488"/>
      <c r="AD1147" s="1488"/>
      <c r="AE1147" s="1488"/>
      <c r="AF1147" s="1488"/>
      <c r="AG1147" s="1488"/>
      <c r="AH1147" s="1451">
        <f t="shared" si="614"/>
        <v>0</v>
      </c>
      <c r="AI1147" s="1488"/>
      <c r="AJ1147" s="1488"/>
      <c r="AK1147" s="1488"/>
      <c r="AL1147" s="1488"/>
      <c r="AM1147" s="1488"/>
      <c r="AN1147" s="1488"/>
      <c r="AO1147" s="1488"/>
      <c r="AP1147" s="1488"/>
      <c r="AQ1147" s="1488"/>
      <c r="AR1147" s="1488"/>
      <c r="AS1147" s="1488"/>
      <c r="AT1147" s="1542"/>
      <c r="AU1147" s="1599">
        <f t="shared" si="615"/>
        <v>0</v>
      </c>
      <c r="AV1147" s="1544">
        <f t="shared" si="643"/>
        <v>0</v>
      </c>
      <c r="AW1147" s="1452">
        <f t="shared" si="616"/>
        <v>0</v>
      </c>
      <c r="AX1147" s="1452">
        <f t="shared" si="617"/>
        <v>0</v>
      </c>
      <c r="AY1147" s="1452">
        <f t="shared" si="618"/>
        <v>0</v>
      </c>
      <c r="AZ1147" s="1452">
        <f t="shared" si="619"/>
        <v>0</v>
      </c>
      <c r="BA1147" s="1452">
        <f t="shared" si="620"/>
        <v>0</v>
      </c>
      <c r="BB1147" s="1452">
        <f t="shared" si="621"/>
        <v>0</v>
      </c>
      <c r="BC1147" s="1452">
        <f t="shared" si="622"/>
        <v>0</v>
      </c>
      <c r="BD1147" s="1452">
        <f t="shared" si="623"/>
        <v>0</v>
      </c>
      <c r="BE1147" s="1452">
        <f t="shared" si="624"/>
        <v>0</v>
      </c>
      <c r="BF1147" s="1452">
        <f t="shared" si="625"/>
        <v>0</v>
      </c>
      <c r="BG1147" s="1452">
        <f t="shared" si="626"/>
        <v>0</v>
      </c>
      <c r="BH1147" s="1452">
        <f t="shared" si="627"/>
        <v>0</v>
      </c>
      <c r="BI1147" s="1452">
        <f t="shared" si="644"/>
        <v>0</v>
      </c>
      <c r="BJ1147" s="1452" t="str">
        <f t="shared" si="628"/>
        <v/>
      </c>
      <c r="BK1147" s="1452" t="str">
        <f t="shared" si="629"/>
        <v/>
      </c>
      <c r="BL1147" s="1452" t="str">
        <f t="shared" si="630"/>
        <v/>
      </c>
      <c r="BM1147" s="1452" t="str">
        <f t="shared" si="631"/>
        <v/>
      </c>
      <c r="BN1147" s="1452" t="str">
        <f t="shared" ca="1" si="632"/>
        <v/>
      </c>
      <c r="BO1147" s="1452" t="str">
        <f t="shared" si="645"/>
        <v/>
      </c>
      <c r="BP1147" s="1452" t="str">
        <f t="shared" si="633"/>
        <v/>
      </c>
      <c r="BQ1147" s="1452" t="str">
        <f t="shared" si="634"/>
        <v/>
      </c>
      <c r="BR1147" s="1452" t="str">
        <f t="shared" si="635"/>
        <v/>
      </c>
      <c r="BS1147" s="1452" t="str">
        <f t="shared" si="636"/>
        <v/>
      </c>
      <c r="BT1147" s="1452" t="str">
        <f t="shared" si="637"/>
        <v/>
      </c>
      <c r="BU1147" s="1452" t="str">
        <f t="shared" si="638"/>
        <v/>
      </c>
      <c r="BV1147" s="1452" t="str">
        <f t="shared" si="639"/>
        <v/>
      </c>
      <c r="BW1147" s="1558">
        <f t="shared" ca="1" si="646"/>
        <v>0</v>
      </c>
    </row>
    <row r="1148" spans="1:75" s="9" customFormat="1" ht="12.5">
      <c r="A1148" s="1483" t="str">
        <f t="shared" si="640"/>
        <v>Public Health Wales Trust</v>
      </c>
      <c r="B1148" s="1583"/>
      <c r="C1148" s="1583"/>
      <c r="D1148" s="1583"/>
      <c r="E1148" s="1581"/>
      <c r="F1148" s="1436"/>
      <c r="G1148" s="1547">
        <f t="shared" si="641"/>
        <v>0</v>
      </c>
      <c r="H1148" s="1484"/>
      <c r="I1148" s="1547">
        <f t="shared" si="642"/>
        <v>0</v>
      </c>
      <c r="J1148" s="1516"/>
      <c r="K1148" s="1516"/>
      <c r="L1148" s="1436"/>
      <c r="M1148" s="1439"/>
      <c r="N1148" s="1439"/>
      <c r="O1148" s="1485"/>
      <c r="P1148" s="1486"/>
      <c r="Q1148" s="1486"/>
      <c r="R1148" s="1487"/>
      <c r="S1148" s="1444"/>
      <c r="T1148" s="1444"/>
      <c r="U1148" s="1444"/>
      <c r="V1148" s="1488"/>
      <c r="W1148" s="1488"/>
      <c r="X1148" s="1488"/>
      <c r="Y1148" s="1488"/>
      <c r="Z1148" s="1488"/>
      <c r="AA1148" s="1488"/>
      <c r="AB1148" s="1488"/>
      <c r="AC1148" s="1488"/>
      <c r="AD1148" s="1488"/>
      <c r="AE1148" s="1488"/>
      <c r="AF1148" s="1488"/>
      <c r="AG1148" s="1488"/>
      <c r="AH1148" s="1451">
        <f t="shared" si="614"/>
        <v>0</v>
      </c>
      <c r="AI1148" s="1488"/>
      <c r="AJ1148" s="1488"/>
      <c r="AK1148" s="1488"/>
      <c r="AL1148" s="1488"/>
      <c r="AM1148" s="1488"/>
      <c r="AN1148" s="1488"/>
      <c r="AO1148" s="1488"/>
      <c r="AP1148" s="1488"/>
      <c r="AQ1148" s="1488"/>
      <c r="AR1148" s="1488"/>
      <c r="AS1148" s="1488"/>
      <c r="AT1148" s="1542"/>
      <c r="AU1148" s="1599">
        <f t="shared" si="615"/>
        <v>0</v>
      </c>
      <c r="AV1148" s="1544">
        <f t="shared" si="643"/>
        <v>0</v>
      </c>
      <c r="AW1148" s="1452">
        <f t="shared" si="616"/>
        <v>0</v>
      </c>
      <c r="AX1148" s="1452">
        <f t="shared" si="617"/>
        <v>0</v>
      </c>
      <c r="AY1148" s="1452">
        <f t="shared" si="618"/>
        <v>0</v>
      </c>
      <c r="AZ1148" s="1452">
        <f t="shared" si="619"/>
        <v>0</v>
      </c>
      <c r="BA1148" s="1452">
        <f t="shared" si="620"/>
        <v>0</v>
      </c>
      <c r="BB1148" s="1452">
        <f t="shared" si="621"/>
        <v>0</v>
      </c>
      <c r="BC1148" s="1452">
        <f t="shared" si="622"/>
        <v>0</v>
      </c>
      <c r="BD1148" s="1452">
        <f t="shared" si="623"/>
        <v>0</v>
      </c>
      <c r="BE1148" s="1452">
        <f t="shared" si="624"/>
        <v>0</v>
      </c>
      <c r="BF1148" s="1452">
        <f t="shared" si="625"/>
        <v>0</v>
      </c>
      <c r="BG1148" s="1452">
        <f t="shared" si="626"/>
        <v>0</v>
      </c>
      <c r="BH1148" s="1452">
        <f t="shared" si="627"/>
        <v>0</v>
      </c>
      <c r="BI1148" s="1452">
        <f t="shared" si="644"/>
        <v>0</v>
      </c>
      <c r="BJ1148" s="1452" t="str">
        <f t="shared" si="628"/>
        <v/>
      </c>
      <c r="BK1148" s="1452" t="str">
        <f t="shared" si="629"/>
        <v/>
      </c>
      <c r="BL1148" s="1452" t="str">
        <f t="shared" si="630"/>
        <v/>
      </c>
      <c r="BM1148" s="1452" t="str">
        <f t="shared" si="631"/>
        <v/>
      </c>
      <c r="BN1148" s="1452" t="str">
        <f t="shared" ca="1" si="632"/>
        <v/>
      </c>
      <c r="BO1148" s="1452" t="str">
        <f t="shared" si="645"/>
        <v/>
      </c>
      <c r="BP1148" s="1452" t="str">
        <f t="shared" si="633"/>
        <v/>
      </c>
      <c r="BQ1148" s="1452" t="str">
        <f t="shared" si="634"/>
        <v/>
      </c>
      <c r="BR1148" s="1452" t="str">
        <f t="shared" si="635"/>
        <v/>
      </c>
      <c r="BS1148" s="1452" t="str">
        <f t="shared" si="636"/>
        <v/>
      </c>
      <c r="BT1148" s="1452" t="str">
        <f t="shared" si="637"/>
        <v/>
      </c>
      <c r="BU1148" s="1452" t="str">
        <f t="shared" si="638"/>
        <v/>
      </c>
      <c r="BV1148" s="1452" t="str">
        <f t="shared" si="639"/>
        <v/>
      </c>
      <c r="BW1148" s="1558">
        <f t="shared" ca="1" si="646"/>
        <v>0</v>
      </c>
    </row>
    <row r="1149" spans="1:75" s="9" customFormat="1" ht="12.5">
      <c r="A1149" s="1483" t="str">
        <f t="shared" si="640"/>
        <v>Public Health Wales Trust</v>
      </c>
      <c r="B1149" s="1583"/>
      <c r="C1149" s="1583"/>
      <c r="D1149" s="1583"/>
      <c r="E1149" s="1581"/>
      <c r="F1149" s="1436"/>
      <c r="G1149" s="1547">
        <f t="shared" si="641"/>
        <v>0</v>
      </c>
      <c r="H1149" s="1484"/>
      <c r="I1149" s="1547">
        <f t="shared" si="642"/>
        <v>0</v>
      </c>
      <c r="J1149" s="1516"/>
      <c r="K1149" s="1516"/>
      <c r="L1149" s="1436"/>
      <c r="M1149" s="1439"/>
      <c r="N1149" s="1439"/>
      <c r="O1149" s="1485"/>
      <c r="P1149" s="1486"/>
      <c r="Q1149" s="1486"/>
      <c r="R1149" s="1487"/>
      <c r="S1149" s="1444"/>
      <c r="T1149" s="1444"/>
      <c r="U1149" s="1444"/>
      <c r="V1149" s="1488"/>
      <c r="W1149" s="1488"/>
      <c r="X1149" s="1488"/>
      <c r="Y1149" s="1488"/>
      <c r="Z1149" s="1488"/>
      <c r="AA1149" s="1488"/>
      <c r="AB1149" s="1488"/>
      <c r="AC1149" s="1488"/>
      <c r="AD1149" s="1488"/>
      <c r="AE1149" s="1488"/>
      <c r="AF1149" s="1488"/>
      <c r="AG1149" s="1488"/>
      <c r="AH1149" s="1451">
        <f t="shared" si="614"/>
        <v>0</v>
      </c>
      <c r="AI1149" s="1488"/>
      <c r="AJ1149" s="1488"/>
      <c r="AK1149" s="1488"/>
      <c r="AL1149" s="1488"/>
      <c r="AM1149" s="1488"/>
      <c r="AN1149" s="1488"/>
      <c r="AO1149" s="1488"/>
      <c r="AP1149" s="1488"/>
      <c r="AQ1149" s="1488"/>
      <c r="AR1149" s="1488"/>
      <c r="AS1149" s="1488"/>
      <c r="AT1149" s="1542"/>
      <c r="AU1149" s="1599">
        <f t="shared" si="615"/>
        <v>0</v>
      </c>
      <c r="AV1149" s="1544">
        <f t="shared" si="643"/>
        <v>0</v>
      </c>
      <c r="AW1149" s="1452">
        <f t="shared" si="616"/>
        <v>0</v>
      </c>
      <c r="AX1149" s="1452">
        <f t="shared" si="617"/>
        <v>0</v>
      </c>
      <c r="AY1149" s="1452">
        <f t="shared" si="618"/>
        <v>0</v>
      </c>
      <c r="AZ1149" s="1452">
        <f t="shared" si="619"/>
        <v>0</v>
      </c>
      <c r="BA1149" s="1452">
        <f t="shared" si="620"/>
        <v>0</v>
      </c>
      <c r="BB1149" s="1452">
        <f t="shared" si="621"/>
        <v>0</v>
      </c>
      <c r="BC1149" s="1452">
        <f t="shared" si="622"/>
        <v>0</v>
      </c>
      <c r="BD1149" s="1452">
        <f t="shared" si="623"/>
        <v>0</v>
      </c>
      <c r="BE1149" s="1452">
        <f t="shared" si="624"/>
        <v>0</v>
      </c>
      <c r="BF1149" s="1452">
        <f t="shared" si="625"/>
        <v>0</v>
      </c>
      <c r="BG1149" s="1452">
        <f t="shared" si="626"/>
        <v>0</v>
      </c>
      <c r="BH1149" s="1452">
        <f t="shared" si="627"/>
        <v>0</v>
      </c>
      <c r="BI1149" s="1452">
        <f t="shared" si="644"/>
        <v>0</v>
      </c>
      <c r="BJ1149" s="1452" t="str">
        <f t="shared" si="628"/>
        <v/>
      </c>
      <c r="BK1149" s="1452" t="str">
        <f t="shared" si="629"/>
        <v/>
      </c>
      <c r="BL1149" s="1452" t="str">
        <f t="shared" si="630"/>
        <v/>
      </c>
      <c r="BM1149" s="1452" t="str">
        <f t="shared" si="631"/>
        <v/>
      </c>
      <c r="BN1149" s="1452" t="str">
        <f t="shared" ca="1" si="632"/>
        <v/>
      </c>
      <c r="BO1149" s="1452" t="str">
        <f t="shared" si="645"/>
        <v/>
      </c>
      <c r="BP1149" s="1452" t="str">
        <f t="shared" si="633"/>
        <v/>
      </c>
      <c r="BQ1149" s="1452" t="str">
        <f t="shared" si="634"/>
        <v/>
      </c>
      <c r="BR1149" s="1452" t="str">
        <f t="shared" si="635"/>
        <v/>
      </c>
      <c r="BS1149" s="1452" t="str">
        <f t="shared" si="636"/>
        <v/>
      </c>
      <c r="BT1149" s="1452" t="str">
        <f t="shared" si="637"/>
        <v/>
      </c>
      <c r="BU1149" s="1452" t="str">
        <f t="shared" si="638"/>
        <v/>
      </c>
      <c r="BV1149" s="1452" t="str">
        <f t="shared" si="639"/>
        <v/>
      </c>
      <c r="BW1149" s="1558">
        <f t="shared" ca="1" si="646"/>
        <v>0</v>
      </c>
    </row>
    <row r="1150" spans="1:75" s="9" customFormat="1" ht="12.5">
      <c r="A1150" s="1483" t="str">
        <f t="shared" si="640"/>
        <v>Public Health Wales Trust</v>
      </c>
      <c r="B1150" s="1583"/>
      <c r="C1150" s="1583"/>
      <c r="D1150" s="1583"/>
      <c r="E1150" s="1581"/>
      <c r="F1150" s="1436"/>
      <c r="G1150" s="1547">
        <f t="shared" si="641"/>
        <v>0</v>
      </c>
      <c r="H1150" s="1484"/>
      <c r="I1150" s="1547">
        <f t="shared" si="642"/>
        <v>0</v>
      </c>
      <c r="J1150" s="1516"/>
      <c r="K1150" s="1516"/>
      <c r="L1150" s="1436"/>
      <c r="M1150" s="1439"/>
      <c r="N1150" s="1439"/>
      <c r="O1150" s="1485"/>
      <c r="P1150" s="1486"/>
      <c r="Q1150" s="1486"/>
      <c r="R1150" s="1487"/>
      <c r="S1150" s="1444"/>
      <c r="T1150" s="1444"/>
      <c r="U1150" s="1444"/>
      <c r="V1150" s="1488"/>
      <c r="W1150" s="1488"/>
      <c r="X1150" s="1488"/>
      <c r="Y1150" s="1488"/>
      <c r="Z1150" s="1488"/>
      <c r="AA1150" s="1488"/>
      <c r="AB1150" s="1488"/>
      <c r="AC1150" s="1488"/>
      <c r="AD1150" s="1488"/>
      <c r="AE1150" s="1488"/>
      <c r="AF1150" s="1488"/>
      <c r="AG1150" s="1488"/>
      <c r="AH1150" s="1451">
        <f t="shared" si="614"/>
        <v>0</v>
      </c>
      <c r="AI1150" s="1488"/>
      <c r="AJ1150" s="1488"/>
      <c r="AK1150" s="1488"/>
      <c r="AL1150" s="1488"/>
      <c r="AM1150" s="1488"/>
      <c r="AN1150" s="1488"/>
      <c r="AO1150" s="1488"/>
      <c r="AP1150" s="1488"/>
      <c r="AQ1150" s="1488"/>
      <c r="AR1150" s="1488"/>
      <c r="AS1150" s="1488"/>
      <c r="AT1150" s="1542"/>
      <c r="AU1150" s="1599">
        <f t="shared" si="615"/>
        <v>0</v>
      </c>
      <c r="AV1150" s="1544">
        <f t="shared" si="643"/>
        <v>0</v>
      </c>
      <c r="AW1150" s="1452">
        <f t="shared" si="616"/>
        <v>0</v>
      </c>
      <c r="AX1150" s="1452">
        <f t="shared" si="617"/>
        <v>0</v>
      </c>
      <c r="AY1150" s="1452">
        <f t="shared" si="618"/>
        <v>0</v>
      </c>
      <c r="AZ1150" s="1452">
        <f t="shared" si="619"/>
        <v>0</v>
      </c>
      <c r="BA1150" s="1452">
        <f t="shared" si="620"/>
        <v>0</v>
      </c>
      <c r="BB1150" s="1452">
        <f t="shared" si="621"/>
        <v>0</v>
      </c>
      <c r="BC1150" s="1452">
        <f t="shared" si="622"/>
        <v>0</v>
      </c>
      <c r="BD1150" s="1452">
        <f t="shared" si="623"/>
        <v>0</v>
      </c>
      <c r="BE1150" s="1452">
        <f t="shared" si="624"/>
        <v>0</v>
      </c>
      <c r="BF1150" s="1452">
        <f t="shared" si="625"/>
        <v>0</v>
      </c>
      <c r="BG1150" s="1452">
        <f t="shared" si="626"/>
        <v>0</v>
      </c>
      <c r="BH1150" s="1452">
        <f t="shared" si="627"/>
        <v>0</v>
      </c>
      <c r="BI1150" s="1452">
        <f t="shared" si="644"/>
        <v>0</v>
      </c>
      <c r="BJ1150" s="1452" t="str">
        <f t="shared" si="628"/>
        <v/>
      </c>
      <c r="BK1150" s="1452" t="str">
        <f t="shared" si="629"/>
        <v/>
      </c>
      <c r="BL1150" s="1452" t="str">
        <f t="shared" si="630"/>
        <v/>
      </c>
      <c r="BM1150" s="1452" t="str">
        <f t="shared" si="631"/>
        <v/>
      </c>
      <c r="BN1150" s="1452" t="str">
        <f t="shared" ca="1" si="632"/>
        <v/>
      </c>
      <c r="BO1150" s="1452" t="str">
        <f t="shared" si="645"/>
        <v/>
      </c>
      <c r="BP1150" s="1452" t="str">
        <f t="shared" si="633"/>
        <v/>
      </c>
      <c r="BQ1150" s="1452" t="str">
        <f t="shared" si="634"/>
        <v/>
      </c>
      <c r="BR1150" s="1452" t="str">
        <f t="shared" si="635"/>
        <v/>
      </c>
      <c r="BS1150" s="1452" t="str">
        <f t="shared" si="636"/>
        <v/>
      </c>
      <c r="BT1150" s="1452" t="str">
        <f t="shared" si="637"/>
        <v/>
      </c>
      <c r="BU1150" s="1452" t="str">
        <f t="shared" si="638"/>
        <v/>
      </c>
      <c r="BV1150" s="1452" t="str">
        <f t="shared" si="639"/>
        <v/>
      </c>
      <c r="BW1150" s="1558">
        <f t="shared" ca="1" si="646"/>
        <v>0</v>
      </c>
    </row>
    <row r="1151" spans="1:75" s="9" customFormat="1" ht="12.5">
      <c r="A1151" s="1483" t="str">
        <f t="shared" si="640"/>
        <v>Public Health Wales Trust</v>
      </c>
      <c r="B1151" s="1583"/>
      <c r="C1151" s="1583"/>
      <c r="D1151" s="1583"/>
      <c r="E1151" s="1581"/>
      <c r="F1151" s="1436"/>
      <c r="G1151" s="1547">
        <f t="shared" si="641"/>
        <v>0</v>
      </c>
      <c r="H1151" s="1484"/>
      <c r="I1151" s="1547">
        <f t="shared" si="642"/>
        <v>0</v>
      </c>
      <c r="J1151" s="1516"/>
      <c r="K1151" s="1516"/>
      <c r="L1151" s="1436"/>
      <c r="M1151" s="1439"/>
      <c r="N1151" s="1439"/>
      <c r="O1151" s="1485"/>
      <c r="P1151" s="1486"/>
      <c r="Q1151" s="1486"/>
      <c r="R1151" s="1487"/>
      <c r="S1151" s="1444"/>
      <c r="T1151" s="1444"/>
      <c r="U1151" s="1444"/>
      <c r="V1151" s="1488"/>
      <c r="W1151" s="1488"/>
      <c r="X1151" s="1488"/>
      <c r="Y1151" s="1488"/>
      <c r="Z1151" s="1488"/>
      <c r="AA1151" s="1488"/>
      <c r="AB1151" s="1488"/>
      <c r="AC1151" s="1488"/>
      <c r="AD1151" s="1488"/>
      <c r="AE1151" s="1488"/>
      <c r="AF1151" s="1488"/>
      <c r="AG1151" s="1488"/>
      <c r="AH1151" s="1451">
        <f t="shared" si="614"/>
        <v>0</v>
      </c>
      <c r="AI1151" s="1488"/>
      <c r="AJ1151" s="1488"/>
      <c r="AK1151" s="1488"/>
      <c r="AL1151" s="1488"/>
      <c r="AM1151" s="1488"/>
      <c r="AN1151" s="1488"/>
      <c r="AO1151" s="1488"/>
      <c r="AP1151" s="1488"/>
      <c r="AQ1151" s="1488"/>
      <c r="AR1151" s="1488"/>
      <c r="AS1151" s="1488"/>
      <c r="AT1151" s="1542"/>
      <c r="AU1151" s="1599">
        <f t="shared" si="615"/>
        <v>0</v>
      </c>
      <c r="AV1151" s="1544">
        <f t="shared" si="643"/>
        <v>0</v>
      </c>
      <c r="AW1151" s="1452">
        <f t="shared" si="616"/>
        <v>0</v>
      </c>
      <c r="AX1151" s="1452">
        <f t="shared" si="617"/>
        <v>0</v>
      </c>
      <c r="AY1151" s="1452">
        <f t="shared" si="618"/>
        <v>0</v>
      </c>
      <c r="AZ1151" s="1452">
        <f t="shared" si="619"/>
        <v>0</v>
      </c>
      <c r="BA1151" s="1452">
        <f t="shared" si="620"/>
        <v>0</v>
      </c>
      <c r="BB1151" s="1452">
        <f t="shared" si="621"/>
        <v>0</v>
      </c>
      <c r="BC1151" s="1452">
        <f t="shared" si="622"/>
        <v>0</v>
      </c>
      <c r="BD1151" s="1452">
        <f t="shared" si="623"/>
        <v>0</v>
      </c>
      <c r="BE1151" s="1452">
        <f t="shared" si="624"/>
        <v>0</v>
      </c>
      <c r="BF1151" s="1452">
        <f t="shared" si="625"/>
        <v>0</v>
      </c>
      <c r="BG1151" s="1452">
        <f t="shared" si="626"/>
        <v>0</v>
      </c>
      <c r="BH1151" s="1452">
        <f t="shared" si="627"/>
        <v>0</v>
      </c>
      <c r="BI1151" s="1452">
        <f t="shared" si="644"/>
        <v>0</v>
      </c>
      <c r="BJ1151" s="1452" t="str">
        <f t="shared" si="628"/>
        <v/>
      </c>
      <c r="BK1151" s="1452" t="str">
        <f t="shared" si="629"/>
        <v/>
      </c>
      <c r="BL1151" s="1452" t="str">
        <f t="shared" si="630"/>
        <v/>
      </c>
      <c r="BM1151" s="1452" t="str">
        <f t="shared" si="631"/>
        <v/>
      </c>
      <c r="BN1151" s="1452" t="str">
        <f t="shared" ca="1" si="632"/>
        <v/>
      </c>
      <c r="BO1151" s="1452" t="str">
        <f t="shared" si="645"/>
        <v/>
      </c>
      <c r="BP1151" s="1452" t="str">
        <f t="shared" si="633"/>
        <v/>
      </c>
      <c r="BQ1151" s="1452" t="str">
        <f t="shared" si="634"/>
        <v/>
      </c>
      <c r="BR1151" s="1452" t="str">
        <f t="shared" si="635"/>
        <v/>
      </c>
      <c r="BS1151" s="1452" t="str">
        <f t="shared" si="636"/>
        <v/>
      </c>
      <c r="BT1151" s="1452" t="str">
        <f t="shared" si="637"/>
        <v/>
      </c>
      <c r="BU1151" s="1452" t="str">
        <f t="shared" si="638"/>
        <v/>
      </c>
      <c r="BV1151" s="1452" t="str">
        <f t="shared" si="639"/>
        <v/>
      </c>
      <c r="BW1151" s="1558">
        <f t="shared" ca="1" si="646"/>
        <v>0</v>
      </c>
    </row>
    <row r="1152" spans="1:75" s="9" customFormat="1" ht="12.5">
      <c r="A1152" s="1483" t="str">
        <f t="shared" si="640"/>
        <v>Public Health Wales Trust</v>
      </c>
      <c r="B1152" s="1583"/>
      <c r="C1152" s="1583"/>
      <c r="D1152" s="1583"/>
      <c r="E1152" s="1581"/>
      <c r="F1152" s="1436"/>
      <c r="G1152" s="1547">
        <f t="shared" si="641"/>
        <v>0</v>
      </c>
      <c r="H1152" s="1484"/>
      <c r="I1152" s="1547">
        <f t="shared" si="642"/>
        <v>0</v>
      </c>
      <c r="J1152" s="1516"/>
      <c r="K1152" s="1516"/>
      <c r="L1152" s="1436"/>
      <c r="M1152" s="1439"/>
      <c r="N1152" s="1439"/>
      <c r="O1152" s="1485"/>
      <c r="P1152" s="1486"/>
      <c r="Q1152" s="1486"/>
      <c r="R1152" s="1487"/>
      <c r="S1152" s="1444"/>
      <c r="T1152" s="1444"/>
      <c r="U1152" s="1444"/>
      <c r="V1152" s="1488"/>
      <c r="W1152" s="1488"/>
      <c r="X1152" s="1488"/>
      <c r="Y1152" s="1488"/>
      <c r="Z1152" s="1488"/>
      <c r="AA1152" s="1488"/>
      <c r="AB1152" s="1488"/>
      <c r="AC1152" s="1488"/>
      <c r="AD1152" s="1488"/>
      <c r="AE1152" s="1488"/>
      <c r="AF1152" s="1488"/>
      <c r="AG1152" s="1488"/>
      <c r="AH1152" s="1451">
        <f t="shared" si="614"/>
        <v>0</v>
      </c>
      <c r="AI1152" s="1488"/>
      <c r="AJ1152" s="1488"/>
      <c r="AK1152" s="1488"/>
      <c r="AL1152" s="1488"/>
      <c r="AM1152" s="1488"/>
      <c r="AN1152" s="1488"/>
      <c r="AO1152" s="1488"/>
      <c r="AP1152" s="1488"/>
      <c r="AQ1152" s="1488"/>
      <c r="AR1152" s="1488"/>
      <c r="AS1152" s="1488"/>
      <c r="AT1152" s="1542"/>
      <c r="AU1152" s="1599">
        <f t="shared" si="615"/>
        <v>0</v>
      </c>
      <c r="AV1152" s="1544">
        <f t="shared" si="643"/>
        <v>0</v>
      </c>
      <c r="AW1152" s="1452">
        <f t="shared" si="616"/>
        <v>0</v>
      </c>
      <c r="AX1152" s="1452">
        <f t="shared" si="617"/>
        <v>0</v>
      </c>
      <c r="AY1152" s="1452">
        <f t="shared" si="618"/>
        <v>0</v>
      </c>
      <c r="AZ1152" s="1452">
        <f t="shared" si="619"/>
        <v>0</v>
      </c>
      <c r="BA1152" s="1452">
        <f t="shared" si="620"/>
        <v>0</v>
      </c>
      <c r="BB1152" s="1452">
        <f t="shared" si="621"/>
        <v>0</v>
      </c>
      <c r="BC1152" s="1452">
        <f t="shared" si="622"/>
        <v>0</v>
      </c>
      <c r="BD1152" s="1452">
        <f t="shared" si="623"/>
        <v>0</v>
      </c>
      <c r="BE1152" s="1452">
        <f t="shared" si="624"/>
        <v>0</v>
      </c>
      <c r="BF1152" s="1452">
        <f t="shared" si="625"/>
        <v>0</v>
      </c>
      <c r="BG1152" s="1452">
        <f t="shared" si="626"/>
        <v>0</v>
      </c>
      <c r="BH1152" s="1452">
        <f t="shared" si="627"/>
        <v>0</v>
      </c>
      <c r="BI1152" s="1452">
        <f t="shared" si="644"/>
        <v>0</v>
      </c>
      <c r="BJ1152" s="1452" t="str">
        <f t="shared" si="628"/>
        <v/>
      </c>
      <c r="BK1152" s="1452" t="str">
        <f t="shared" si="629"/>
        <v/>
      </c>
      <c r="BL1152" s="1452" t="str">
        <f t="shared" si="630"/>
        <v/>
      </c>
      <c r="BM1152" s="1452" t="str">
        <f t="shared" si="631"/>
        <v/>
      </c>
      <c r="BN1152" s="1452" t="str">
        <f t="shared" ca="1" si="632"/>
        <v/>
      </c>
      <c r="BO1152" s="1452" t="str">
        <f t="shared" si="645"/>
        <v/>
      </c>
      <c r="BP1152" s="1452" t="str">
        <f t="shared" si="633"/>
        <v/>
      </c>
      <c r="BQ1152" s="1452" t="str">
        <f t="shared" si="634"/>
        <v/>
      </c>
      <c r="BR1152" s="1452" t="str">
        <f t="shared" si="635"/>
        <v/>
      </c>
      <c r="BS1152" s="1452" t="str">
        <f t="shared" si="636"/>
        <v/>
      </c>
      <c r="BT1152" s="1452" t="str">
        <f t="shared" si="637"/>
        <v/>
      </c>
      <c r="BU1152" s="1452" t="str">
        <f t="shared" si="638"/>
        <v/>
      </c>
      <c r="BV1152" s="1452" t="str">
        <f t="shared" si="639"/>
        <v/>
      </c>
      <c r="BW1152" s="1558">
        <f t="shared" ca="1" si="646"/>
        <v>0</v>
      </c>
    </row>
    <row r="1153" spans="1:151" s="9" customFormat="1" ht="12.5">
      <c r="A1153" s="1483" t="str">
        <f t="shared" si="640"/>
        <v>Public Health Wales Trust</v>
      </c>
      <c r="B1153" s="1583"/>
      <c r="C1153" s="1583"/>
      <c r="D1153" s="1583"/>
      <c r="E1153" s="1581"/>
      <c r="F1153" s="1436"/>
      <c r="G1153" s="1547">
        <f t="shared" si="641"/>
        <v>0</v>
      </c>
      <c r="H1153" s="1484"/>
      <c r="I1153" s="1547">
        <f t="shared" si="642"/>
        <v>0</v>
      </c>
      <c r="J1153" s="1516"/>
      <c r="K1153" s="1516"/>
      <c r="L1153" s="1436"/>
      <c r="M1153" s="1439"/>
      <c r="N1153" s="1439"/>
      <c r="O1153" s="1485"/>
      <c r="P1153" s="1486"/>
      <c r="Q1153" s="1486"/>
      <c r="R1153" s="1487"/>
      <c r="S1153" s="1444"/>
      <c r="T1153" s="1444"/>
      <c r="U1153" s="1444"/>
      <c r="V1153" s="1488"/>
      <c r="W1153" s="1488"/>
      <c r="X1153" s="1488"/>
      <c r="Y1153" s="1488"/>
      <c r="Z1153" s="1488"/>
      <c r="AA1153" s="1488"/>
      <c r="AB1153" s="1488"/>
      <c r="AC1153" s="1488"/>
      <c r="AD1153" s="1488"/>
      <c r="AE1153" s="1488"/>
      <c r="AF1153" s="1488"/>
      <c r="AG1153" s="1488"/>
      <c r="AH1153" s="1451">
        <f t="shared" si="614"/>
        <v>0</v>
      </c>
      <c r="AI1153" s="1488"/>
      <c r="AJ1153" s="1488"/>
      <c r="AK1153" s="1488"/>
      <c r="AL1153" s="1488"/>
      <c r="AM1153" s="1488"/>
      <c r="AN1153" s="1488"/>
      <c r="AO1153" s="1488"/>
      <c r="AP1153" s="1488"/>
      <c r="AQ1153" s="1488"/>
      <c r="AR1153" s="1488"/>
      <c r="AS1153" s="1488"/>
      <c r="AT1153" s="1542"/>
      <c r="AU1153" s="1599">
        <f t="shared" si="615"/>
        <v>0</v>
      </c>
      <c r="AV1153" s="1544">
        <f t="shared" si="643"/>
        <v>0</v>
      </c>
      <c r="AW1153" s="1452">
        <f t="shared" si="616"/>
        <v>0</v>
      </c>
      <c r="AX1153" s="1452">
        <f t="shared" si="617"/>
        <v>0</v>
      </c>
      <c r="AY1153" s="1452">
        <f t="shared" si="618"/>
        <v>0</v>
      </c>
      <c r="AZ1153" s="1452">
        <f t="shared" si="619"/>
        <v>0</v>
      </c>
      <c r="BA1153" s="1452">
        <f t="shared" si="620"/>
        <v>0</v>
      </c>
      <c r="BB1153" s="1452">
        <f t="shared" si="621"/>
        <v>0</v>
      </c>
      <c r="BC1153" s="1452">
        <f t="shared" si="622"/>
        <v>0</v>
      </c>
      <c r="BD1153" s="1452">
        <f t="shared" si="623"/>
        <v>0</v>
      </c>
      <c r="BE1153" s="1452">
        <f t="shared" si="624"/>
        <v>0</v>
      </c>
      <c r="BF1153" s="1452">
        <f t="shared" si="625"/>
        <v>0</v>
      </c>
      <c r="BG1153" s="1452">
        <f t="shared" si="626"/>
        <v>0</v>
      </c>
      <c r="BH1153" s="1452">
        <f t="shared" si="627"/>
        <v>0</v>
      </c>
      <c r="BI1153" s="1452">
        <f t="shared" si="644"/>
        <v>0</v>
      </c>
      <c r="BJ1153" s="1452" t="str">
        <f t="shared" si="628"/>
        <v/>
      </c>
      <c r="BK1153" s="1452" t="str">
        <f t="shared" si="629"/>
        <v/>
      </c>
      <c r="BL1153" s="1452" t="str">
        <f t="shared" si="630"/>
        <v/>
      </c>
      <c r="BM1153" s="1452" t="str">
        <f t="shared" si="631"/>
        <v/>
      </c>
      <c r="BN1153" s="1452" t="str">
        <f t="shared" ca="1" si="632"/>
        <v/>
      </c>
      <c r="BO1153" s="1452" t="str">
        <f t="shared" si="645"/>
        <v/>
      </c>
      <c r="BP1153" s="1452" t="str">
        <f t="shared" si="633"/>
        <v/>
      </c>
      <c r="BQ1153" s="1452" t="str">
        <f t="shared" si="634"/>
        <v/>
      </c>
      <c r="BR1153" s="1452" t="str">
        <f t="shared" si="635"/>
        <v/>
      </c>
      <c r="BS1153" s="1452" t="str">
        <f t="shared" si="636"/>
        <v/>
      </c>
      <c r="BT1153" s="1452" t="str">
        <f t="shared" si="637"/>
        <v/>
      </c>
      <c r="BU1153" s="1452" t="str">
        <f t="shared" si="638"/>
        <v/>
      </c>
      <c r="BV1153" s="1452" t="str">
        <f t="shared" si="639"/>
        <v/>
      </c>
      <c r="BW1153" s="1558">
        <f t="shared" ca="1" si="646"/>
        <v>0</v>
      </c>
    </row>
    <row r="1154" spans="1:151" s="1442" customFormat="1" ht="12.5">
      <c r="A1154" s="1483" t="str">
        <f t="shared" si="640"/>
        <v>Public Health Wales Trust</v>
      </c>
      <c r="B1154" s="1583"/>
      <c r="C1154" s="1583"/>
      <c r="D1154" s="1583"/>
      <c r="E1154" s="1581"/>
      <c r="F1154" s="1436"/>
      <c r="G1154" s="1547">
        <f t="shared" si="641"/>
        <v>0</v>
      </c>
      <c r="H1154" s="1484"/>
      <c r="I1154" s="1547">
        <f t="shared" si="642"/>
        <v>0</v>
      </c>
      <c r="J1154" s="1516"/>
      <c r="K1154" s="1516"/>
      <c r="L1154" s="1436"/>
      <c r="M1154" s="1439"/>
      <c r="N1154" s="1439"/>
      <c r="O1154" s="1485"/>
      <c r="P1154" s="1486"/>
      <c r="Q1154" s="1486"/>
      <c r="R1154" s="1487"/>
      <c r="S1154" s="1444"/>
      <c r="T1154" s="1444"/>
      <c r="U1154" s="1444"/>
      <c r="V1154" s="1488"/>
      <c r="W1154" s="1488"/>
      <c r="X1154" s="1488"/>
      <c r="Y1154" s="1488"/>
      <c r="Z1154" s="1488"/>
      <c r="AA1154" s="1488"/>
      <c r="AB1154" s="1488"/>
      <c r="AC1154" s="1488"/>
      <c r="AD1154" s="1488"/>
      <c r="AE1154" s="1488"/>
      <c r="AF1154" s="1488"/>
      <c r="AG1154" s="1488"/>
      <c r="AH1154" s="1451">
        <f t="shared" si="614"/>
        <v>0</v>
      </c>
      <c r="AI1154" s="1488"/>
      <c r="AJ1154" s="1488"/>
      <c r="AK1154" s="1488"/>
      <c r="AL1154" s="1488"/>
      <c r="AM1154" s="1488"/>
      <c r="AN1154" s="1488"/>
      <c r="AO1154" s="1488"/>
      <c r="AP1154" s="1488"/>
      <c r="AQ1154" s="1488"/>
      <c r="AR1154" s="1488"/>
      <c r="AS1154" s="1488"/>
      <c r="AT1154" s="1542"/>
      <c r="AU1154" s="1599">
        <f t="shared" si="615"/>
        <v>0</v>
      </c>
      <c r="AV1154" s="1544">
        <f t="shared" si="643"/>
        <v>0</v>
      </c>
      <c r="AW1154" s="1452">
        <f t="shared" si="616"/>
        <v>0</v>
      </c>
      <c r="AX1154" s="1452">
        <f t="shared" si="617"/>
        <v>0</v>
      </c>
      <c r="AY1154" s="1452">
        <f t="shared" si="618"/>
        <v>0</v>
      </c>
      <c r="AZ1154" s="1452">
        <f t="shared" si="619"/>
        <v>0</v>
      </c>
      <c r="BA1154" s="1452">
        <f t="shared" si="620"/>
        <v>0</v>
      </c>
      <c r="BB1154" s="1452">
        <f t="shared" si="621"/>
        <v>0</v>
      </c>
      <c r="BC1154" s="1452">
        <f t="shared" si="622"/>
        <v>0</v>
      </c>
      <c r="BD1154" s="1452">
        <f t="shared" si="623"/>
        <v>0</v>
      </c>
      <c r="BE1154" s="1452">
        <f t="shared" si="624"/>
        <v>0</v>
      </c>
      <c r="BF1154" s="1452">
        <f t="shared" si="625"/>
        <v>0</v>
      </c>
      <c r="BG1154" s="1452">
        <f t="shared" si="626"/>
        <v>0</v>
      </c>
      <c r="BH1154" s="1452">
        <f t="shared" si="627"/>
        <v>0</v>
      </c>
      <c r="BI1154" s="1452">
        <f t="shared" si="644"/>
        <v>0</v>
      </c>
      <c r="BJ1154" s="1452" t="str">
        <f t="shared" si="628"/>
        <v/>
      </c>
      <c r="BK1154" s="1452" t="str">
        <f t="shared" si="629"/>
        <v/>
      </c>
      <c r="BL1154" s="1452" t="str">
        <f t="shared" si="630"/>
        <v/>
      </c>
      <c r="BM1154" s="1452" t="str">
        <f t="shared" si="631"/>
        <v/>
      </c>
      <c r="BN1154" s="1452" t="str">
        <f t="shared" ca="1" si="632"/>
        <v/>
      </c>
      <c r="BO1154" s="1452" t="str">
        <f t="shared" si="645"/>
        <v/>
      </c>
      <c r="BP1154" s="1452" t="str">
        <f t="shared" si="633"/>
        <v/>
      </c>
      <c r="BQ1154" s="1452" t="str">
        <f t="shared" si="634"/>
        <v/>
      </c>
      <c r="BR1154" s="1452" t="str">
        <f t="shared" si="635"/>
        <v/>
      </c>
      <c r="BS1154" s="1452" t="str">
        <f t="shared" si="636"/>
        <v/>
      </c>
      <c r="BT1154" s="1452" t="str">
        <f t="shared" si="637"/>
        <v/>
      </c>
      <c r="BU1154" s="1452" t="str">
        <f t="shared" si="638"/>
        <v/>
      </c>
      <c r="BV1154" s="1452" t="str">
        <f t="shared" si="639"/>
        <v/>
      </c>
      <c r="BW1154" s="1558">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3" t="str">
        <f t="shared" si="640"/>
        <v>Public Health Wales Trust</v>
      </c>
      <c r="B1155" s="1583"/>
      <c r="C1155" s="1583"/>
      <c r="D1155" s="1583"/>
      <c r="E1155" s="1581"/>
      <c r="F1155" s="1436"/>
      <c r="G1155" s="1547">
        <f t="shared" si="641"/>
        <v>0</v>
      </c>
      <c r="H1155" s="1484"/>
      <c r="I1155" s="1547">
        <f t="shared" si="642"/>
        <v>0</v>
      </c>
      <c r="J1155" s="1516"/>
      <c r="K1155" s="1516"/>
      <c r="L1155" s="1436"/>
      <c r="M1155" s="1439"/>
      <c r="N1155" s="1439"/>
      <c r="O1155" s="1485"/>
      <c r="P1155" s="1486"/>
      <c r="Q1155" s="1486"/>
      <c r="R1155" s="1487"/>
      <c r="S1155" s="1444"/>
      <c r="T1155" s="1444"/>
      <c r="U1155" s="1444"/>
      <c r="V1155" s="1488"/>
      <c r="W1155" s="1488"/>
      <c r="X1155" s="1488"/>
      <c r="Y1155" s="1488"/>
      <c r="Z1155" s="1488"/>
      <c r="AA1155" s="1488"/>
      <c r="AB1155" s="1488"/>
      <c r="AC1155" s="1488"/>
      <c r="AD1155" s="1488"/>
      <c r="AE1155" s="1488"/>
      <c r="AF1155" s="1488"/>
      <c r="AG1155" s="1488"/>
      <c r="AH1155" s="1451">
        <f t="shared" si="614"/>
        <v>0</v>
      </c>
      <c r="AI1155" s="1488"/>
      <c r="AJ1155" s="1488"/>
      <c r="AK1155" s="1488"/>
      <c r="AL1155" s="1488"/>
      <c r="AM1155" s="1488"/>
      <c r="AN1155" s="1488"/>
      <c r="AO1155" s="1488"/>
      <c r="AP1155" s="1488"/>
      <c r="AQ1155" s="1488"/>
      <c r="AR1155" s="1488"/>
      <c r="AS1155" s="1488"/>
      <c r="AT1155" s="1542"/>
      <c r="AU1155" s="1599">
        <f t="shared" si="615"/>
        <v>0</v>
      </c>
      <c r="AV1155" s="1544">
        <f t="shared" si="643"/>
        <v>0</v>
      </c>
      <c r="AW1155" s="1452">
        <f t="shared" si="616"/>
        <v>0</v>
      </c>
      <c r="AX1155" s="1452">
        <f t="shared" si="617"/>
        <v>0</v>
      </c>
      <c r="AY1155" s="1452">
        <f t="shared" si="618"/>
        <v>0</v>
      </c>
      <c r="AZ1155" s="1452">
        <f t="shared" si="619"/>
        <v>0</v>
      </c>
      <c r="BA1155" s="1452">
        <f t="shared" si="620"/>
        <v>0</v>
      </c>
      <c r="BB1155" s="1452">
        <f t="shared" si="621"/>
        <v>0</v>
      </c>
      <c r="BC1155" s="1452">
        <f t="shared" si="622"/>
        <v>0</v>
      </c>
      <c r="BD1155" s="1452">
        <f t="shared" si="623"/>
        <v>0</v>
      </c>
      <c r="BE1155" s="1452">
        <f t="shared" si="624"/>
        <v>0</v>
      </c>
      <c r="BF1155" s="1452">
        <f t="shared" si="625"/>
        <v>0</v>
      </c>
      <c r="BG1155" s="1452">
        <f t="shared" si="626"/>
        <v>0</v>
      </c>
      <c r="BH1155" s="1452">
        <f t="shared" si="627"/>
        <v>0</v>
      </c>
      <c r="BI1155" s="1452">
        <f t="shared" si="644"/>
        <v>0</v>
      </c>
      <c r="BJ1155" s="1452" t="str">
        <f t="shared" si="628"/>
        <v/>
      </c>
      <c r="BK1155" s="1452" t="str">
        <f t="shared" si="629"/>
        <v/>
      </c>
      <c r="BL1155" s="1452" t="str">
        <f t="shared" si="630"/>
        <v/>
      </c>
      <c r="BM1155" s="1452" t="str">
        <f t="shared" si="631"/>
        <v/>
      </c>
      <c r="BN1155" s="1452" t="str">
        <f t="shared" ca="1" si="632"/>
        <v/>
      </c>
      <c r="BO1155" s="1452" t="str">
        <f t="shared" si="645"/>
        <v/>
      </c>
      <c r="BP1155" s="1452" t="str">
        <f t="shared" si="633"/>
        <v/>
      </c>
      <c r="BQ1155" s="1452" t="str">
        <f t="shared" si="634"/>
        <v/>
      </c>
      <c r="BR1155" s="1452" t="str">
        <f t="shared" si="635"/>
        <v/>
      </c>
      <c r="BS1155" s="1452" t="str">
        <f t="shared" si="636"/>
        <v/>
      </c>
      <c r="BT1155" s="1452" t="str">
        <f t="shared" si="637"/>
        <v/>
      </c>
      <c r="BU1155" s="1452" t="str">
        <f t="shared" si="638"/>
        <v/>
      </c>
      <c r="BV1155" s="1452" t="str">
        <f t="shared" si="639"/>
        <v/>
      </c>
      <c r="BW1155" s="1558">
        <f t="shared" ca="1" si="646"/>
        <v>0</v>
      </c>
    </row>
    <row r="1156" spans="1:151" s="9" customFormat="1" ht="12.5">
      <c r="A1156" s="1483" t="str">
        <f t="shared" si="640"/>
        <v>Public Health Wales Trust</v>
      </c>
      <c r="B1156" s="1583"/>
      <c r="C1156" s="1583"/>
      <c r="D1156" s="1583"/>
      <c r="E1156" s="1581"/>
      <c r="F1156" s="1436"/>
      <c r="G1156" s="1547">
        <f t="shared" si="641"/>
        <v>0</v>
      </c>
      <c r="H1156" s="1484"/>
      <c r="I1156" s="1547">
        <f t="shared" si="642"/>
        <v>0</v>
      </c>
      <c r="J1156" s="1516"/>
      <c r="K1156" s="1516"/>
      <c r="L1156" s="1436"/>
      <c r="M1156" s="1439"/>
      <c r="N1156" s="1439"/>
      <c r="O1156" s="1485"/>
      <c r="P1156" s="1486"/>
      <c r="Q1156" s="1486"/>
      <c r="R1156" s="1487"/>
      <c r="S1156" s="1444"/>
      <c r="T1156" s="1444"/>
      <c r="U1156" s="1444"/>
      <c r="V1156" s="1488"/>
      <c r="W1156" s="1488"/>
      <c r="X1156" s="1488"/>
      <c r="Y1156" s="1488"/>
      <c r="Z1156" s="1488"/>
      <c r="AA1156" s="1488"/>
      <c r="AB1156" s="1488"/>
      <c r="AC1156" s="1488"/>
      <c r="AD1156" s="1488"/>
      <c r="AE1156" s="1488"/>
      <c r="AF1156" s="1488"/>
      <c r="AG1156" s="1488"/>
      <c r="AH1156" s="1451">
        <f t="shared" si="614"/>
        <v>0</v>
      </c>
      <c r="AI1156" s="1488"/>
      <c r="AJ1156" s="1488"/>
      <c r="AK1156" s="1488"/>
      <c r="AL1156" s="1488"/>
      <c r="AM1156" s="1488"/>
      <c r="AN1156" s="1488"/>
      <c r="AO1156" s="1488"/>
      <c r="AP1156" s="1488"/>
      <c r="AQ1156" s="1488"/>
      <c r="AR1156" s="1488"/>
      <c r="AS1156" s="1488"/>
      <c r="AT1156" s="1542"/>
      <c r="AU1156" s="1599">
        <f t="shared" si="615"/>
        <v>0</v>
      </c>
      <c r="AV1156" s="1544">
        <f t="shared" si="643"/>
        <v>0</v>
      </c>
      <c r="AW1156" s="1452">
        <f t="shared" si="616"/>
        <v>0</v>
      </c>
      <c r="AX1156" s="1452">
        <f t="shared" si="617"/>
        <v>0</v>
      </c>
      <c r="AY1156" s="1452">
        <f t="shared" si="618"/>
        <v>0</v>
      </c>
      <c r="AZ1156" s="1452">
        <f t="shared" si="619"/>
        <v>0</v>
      </c>
      <c r="BA1156" s="1452">
        <f t="shared" si="620"/>
        <v>0</v>
      </c>
      <c r="BB1156" s="1452">
        <f t="shared" si="621"/>
        <v>0</v>
      </c>
      <c r="BC1156" s="1452">
        <f t="shared" si="622"/>
        <v>0</v>
      </c>
      <c r="BD1156" s="1452">
        <f t="shared" si="623"/>
        <v>0</v>
      </c>
      <c r="BE1156" s="1452">
        <f t="shared" si="624"/>
        <v>0</v>
      </c>
      <c r="BF1156" s="1452">
        <f t="shared" si="625"/>
        <v>0</v>
      </c>
      <c r="BG1156" s="1452">
        <f t="shared" si="626"/>
        <v>0</v>
      </c>
      <c r="BH1156" s="1452">
        <f t="shared" si="627"/>
        <v>0</v>
      </c>
      <c r="BI1156" s="1452">
        <f t="shared" si="644"/>
        <v>0</v>
      </c>
      <c r="BJ1156" s="1452" t="str">
        <f t="shared" si="628"/>
        <v/>
      </c>
      <c r="BK1156" s="1452" t="str">
        <f t="shared" si="629"/>
        <v/>
      </c>
      <c r="BL1156" s="1452" t="str">
        <f t="shared" si="630"/>
        <v/>
      </c>
      <c r="BM1156" s="1452" t="str">
        <f t="shared" si="631"/>
        <v/>
      </c>
      <c r="BN1156" s="1452" t="str">
        <f t="shared" ca="1" si="632"/>
        <v/>
      </c>
      <c r="BO1156" s="1452" t="str">
        <f t="shared" si="645"/>
        <v/>
      </c>
      <c r="BP1156" s="1452" t="str">
        <f t="shared" si="633"/>
        <v/>
      </c>
      <c r="BQ1156" s="1452" t="str">
        <f t="shared" si="634"/>
        <v/>
      </c>
      <c r="BR1156" s="1452" t="str">
        <f t="shared" si="635"/>
        <v/>
      </c>
      <c r="BS1156" s="1452" t="str">
        <f t="shared" si="636"/>
        <v/>
      </c>
      <c r="BT1156" s="1452" t="str">
        <f t="shared" si="637"/>
        <v/>
      </c>
      <c r="BU1156" s="1452" t="str">
        <f t="shared" si="638"/>
        <v/>
      </c>
      <c r="BV1156" s="1452" t="str">
        <f t="shared" si="639"/>
        <v/>
      </c>
      <c r="BW1156" s="1558">
        <f t="shared" ca="1" si="646"/>
        <v>0</v>
      </c>
    </row>
    <row r="1157" spans="1:151" s="9" customFormat="1" ht="12.5">
      <c r="A1157" s="1483" t="str">
        <f t="shared" si="640"/>
        <v>Public Health Wales Trust</v>
      </c>
      <c r="B1157" s="1583"/>
      <c r="C1157" s="1583"/>
      <c r="D1157" s="1583"/>
      <c r="E1157" s="1581"/>
      <c r="F1157" s="1436"/>
      <c r="G1157" s="1547">
        <f t="shared" si="641"/>
        <v>0</v>
      </c>
      <c r="H1157" s="1484"/>
      <c r="I1157" s="1547">
        <f t="shared" si="642"/>
        <v>0</v>
      </c>
      <c r="J1157" s="1516"/>
      <c r="K1157" s="1516"/>
      <c r="L1157" s="1436"/>
      <c r="M1157" s="1439"/>
      <c r="N1157" s="1439"/>
      <c r="O1157" s="1485"/>
      <c r="P1157" s="1486"/>
      <c r="Q1157" s="1486"/>
      <c r="R1157" s="1487"/>
      <c r="S1157" s="1444"/>
      <c r="T1157" s="1444"/>
      <c r="U1157" s="1444"/>
      <c r="V1157" s="1488"/>
      <c r="W1157" s="1488"/>
      <c r="X1157" s="1488"/>
      <c r="Y1157" s="1488"/>
      <c r="Z1157" s="1488"/>
      <c r="AA1157" s="1488"/>
      <c r="AB1157" s="1488"/>
      <c r="AC1157" s="1488"/>
      <c r="AD1157" s="1488"/>
      <c r="AE1157" s="1488"/>
      <c r="AF1157" s="1488"/>
      <c r="AG1157" s="1488"/>
      <c r="AH1157" s="1451">
        <f t="shared" si="614"/>
        <v>0</v>
      </c>
      <c r="AI1157" s="1488"/>
      <c r="AJ1157" s="1488"/>
      <c r="AK1157" s="1488"/>
      <c r="AL1157" s="1488"/>
      <c r="AM1157" s="1488"/>
      <c r="AN1157" s="1488"/>
      <c r="AO1157" s="1488"/>
      <c r="AP1157" s="1488"/>
      <c r="AQ1157" s="1488"/>
      <c r="AR1157" s="1488"/>
      <c r="AS1157" s="1488"/>
      <c r="AT1157" s="1542"/>
      <c r="AU1157" s="1599">
        <f t="shared" si="615"/>
        <v>0</v>
      </c>
      <c r="AV1157" s="1544">
        <f t="shared" si="643"/>
        <v>0</v>
      </c>
      <c r="AW1157" s="1452">
        <f t="shared" si="616"/>
        <v>0</v>
      </c>
      <c r="AX1157" s="1452">
        <f t="shared" si="617"/>
        <v>0</v>
      </c>
      <c r="AY1157" s="1452">
        <f t="shared" si="618"/>
        <v>0</v>
      </c>
      <c r="AZ1157" s="1452">
        <f t="shared" si="619"/>
        <v>0</v>
      </c>
      <c r="BA1157" s="1452">
        <f t="shared" si="620"/>
        <v>0</v>
      </c>
      <c r="BB1157" s="1452">
        <f t="shared" si="621"/>
        <v>0</v>
      </c>
      <c r="BC1157" s="1452">
        <f t="shared" si="622"/>
        <v>0</v>
      </c>
      <c r="BD1157" s="1452">
        <f t="shared" si="623"/>
        <v>0</v>
      </c>
      <c r="BE1157" s="1452">
        <f t="shared" si="624"/>
        <v>0</v>
      </c>
      <c r="BF1157" s="1452">
        <f t="shared" si="625"/>
        <v>0</v>
      </c>
      <c r="BG1157" s="1452">
        <f t="shared" si="626"/>
        <v>0</v>
      </c>
      <c r="BH1157" s="1452">
        <f t="shared" si="627"/>
        <v>0</v>
      </c>
      <c r="BI1157" s="1452">
        <f t="shared" si="644"/>
        <v>0</v>
      </c>
      <c r="BJ1157" s="1452" t="str">
        <f t="shared" si="628"/>
        <v/>
      </c>
      <c r="BK1157" s="1452" t="str">
        <f t="shared" si="629"/>
        <v/>
      </c>
      <c r="BL1157" s="1452" t="str">
        <f t="shared" si="630"/>
        <v/>
      </c>
      <c r="BM1157" s="1452" t="str">
        <f t="shared" si="631"/>
        <v/>
      </c>
      <c r="BN1157" s="1452" t="str">
        <f t="shared" ca="1" si="632"/>
        <v/>
      </c>
      <c r="BO1157" s="1452" t="str">
        <f t="shared" si="645"/>
        <v/>
      </c>
      <c r="BP1157" s="1452" t="str">
        <f t="shared" si="633"/>
        <v/>
      </c>
      <c r="BQ1157" s="1452" t="str">
        <f t="shared" si="634"/>
        <v/>
      </c>
      <c r="BR1157" s="1452" t="str">
        <f t="shared" si="635"/>
        <v/>
      </c>
      <c r="BS1157" s="1452" t="str">
        <f t="shared" si="636"/>
        <v/>
      </c>
      <c r="BT1157" s="1452" t="str">
        <f t="shared" si="637"/>
        <v/>
      </c>
      <c r="BU1157" s="1452" t="str">
        <f t="shared" si="638"/>
        <v/>
      </c>
      <c r="BV1157" s="1452" t="str">
        <f t="shared" si="639"/>
        <v/>
      </c>
      <c r="BW1157" s="1558">
        <f t="shared" ca="1" si="646"/>
        <v>0</v>
      </c>
    </row>
    <row r="1158" spans="1:151" s="9" customFormat="1" ht="12.5">
      <c r="A1158" s="1483" t="str">
        <f t="shared" si="640"/>
        <v>Public Health Wales Trust</v>
      </c>
      <c r="B1158" s="1583"/>
      <c r="C1158" s="1583"/>
      <c r="D1158" s="1583"/>
      <c r="E1158" s="1581"/>
      <c r="F1158" s="1436"/>
      <c r="G1158" s="1547">
        <f t="shared" si="641"/>
        <v>0</v>
      </c>
      <c r="H1158" s="1484"/>
      <c r="I1158" s="1547">
        <f t="shared" si="642"/>
        <v>0</v>
      </c>
      <c r="J1158" s="1516"/>
      <c r="K1158" s="1516"/>
      <c r="L1158" s="1436"/>
      <c r="M1158" s="1439"/>
      <c r="N1158" s="1439"/>
      <c r="O1158" s="1485"/>
      <c r="P1158" s="1486"/>
      <c r="Q1158" s="1486"/>
      <c r="R1158" s="1487"/>
      <c r="S1158" s="1444"/>
      <c r="T1158" s="1444"/>
      <c r="U1158" s="1444"/>
      <c r="V1158" s="1488"/>
      <c r="W1158" s="1488"/>
      <c r="X1158" s="1488"/>
      <c r="Y1158" s="1488"/>
      <c r="Z1158" s="1488"/>
      <c r="AA1158" s="1488"/>
      <c r="AB1158" s="1488"/>
      <c r="AC1158" s="1488"/>
      <c r="AD1158" s="1488"/>
      <c r="AE1158" s="1488"/>
      <c r="AF1158" s="1488"/>
      <c r="AG1158" s="1488"/>
      <c r="AH1158" s="1451">
        <f t="shared" si="614"/>
        <v>0</v>
      </c>
      <c r="AI1158" s="1488"/>
      <c r="AJ1158" s="1488"/>
      <c r="AK1158" s="1488"/>
      <c r="AL1158" s="1488"/>
      <c r="AM1158" s="1488"/>
      <c r="AN1158" s="1488"/>
      <c r="AO1158" s="1488"/>
      <c r="AP1158" s="1488"/>
      <c r="AQ1158" s="1488"/>
      <c r="AR1158" s="1488"/>
      <c r="AS1158" s="1488"/>
      <c r="AT1158" s="1542"/>
      <c r="AU1158" s="1599">
        <f t="shared" si="615"/>
        <v>0</v>
      </c>
      <c r="AV1158" s="1544">
        <f t="shared" si="643"/>
        <v>0</v>
      </c>
      <c r="AW1158" s="1452">
        <f t="shared" si="616"/>
        <v>0</v>
      </c>
      <c r="AX1158" s="1452">
        <f t="shared" si="617"/>
        <v>0</v>
      </c>
      <c r="AY1158" s="1452">
        <f t="shared" si="618"/>
        <v>0</v>
      </c>
      <c r="AZ1158" s="1452">
        <f t="shared" si="619"/>
        <v>0</v>
      </c>
      <c r="BA1158" s="1452">
        <f t="shared" si="620"/>
        <v>0</v>
      </c>
      <c r="BB1158" s="1452">
        <f t="shared" si="621"/>
        <v>0</v>
      </c>
      <c r="BC1158" s="1452">
        <f t="shared" si="622"/>
        <v>0</v>
      </c>
      <c r="BD1158" s="1452">
        <f t="shared" si="623"/>
        <v>0</v>
      </c>
      <c r="BE1158" s="1452">
        <f t="shared" si="624"/>
        <v>0</v>
      </c>
      <c r="BF1158" s="1452">
        <f t="shared" si="625"/>
        <v>0</v>
      </c>
      <c r="BG1158" s="1452">
        <f t="shared" si="626"/>
        <v>0</v>
      </c>
      <c r="BH1158" s="1452">
        <f t="shared" si="627"/>
        <v>0</v>
      </c>
      <c r="BI1158" s="1452">
        <f t="shared" si="644"/>
        <v>0</v>
      </c>
      <c r="BJ1158" s="1452" t="str">
        <f t="shared" si="628"/>
        <v/>
      </c>
      <c r="BK1158" s="1452" t="str">
        <f t="shared" si="629"/>
        <v/>
      </c>
      <c r="BL1158" s="1452" t="str">
        <f t="shared" si="630"/>
        <v/>
      </c>
      <c r="BM1158" s="1452" t="str">
        <f t="shared" si="631"/>
        <v/>
      </c>
      <c r="BN1158" s="1452" t="str">
        <f t="shared" ca="1" si="632"/>
        <v/>
      </c>
      <c r="BO1158" s="1452" t="str">
        <f t="shared" si="645"/>
        <v/>
      </c>
      <c r="BP1158" s="1452" t="str">
        <f t="shared" si="633"/>
        <v/>
      </c>
      <c r="BQ1158" s="1452" t="str">
        <f t="shared" si="634"/>
        <v/>
      </c>
      <c r="BR1158" s="1452" t="str">
        <f t="shared" si="635"/>
        <v/>
      </c>
      <c r="BS1158" s="1452" t="str">
        <f t="shared" si="636"/>
        <v/>
      </c>
      <c r="BT1158" s="1452" t="str">
        <f t="shared" si="637"/>
        <v/>
      </c>
      <c r="BU1158" s="1452" t="str">
        <f t="shared" si="638"/>
        <v/>
      </c>
      <c r="BV1158" s="1452" t="str">
        <f t="shared" si="639"/>
        <v/>
      </c>
      <c r="BW1158" s="1558">
        <f t="shared" ca="1" si="646"/>
        <v>0</v>
      </c>
    </row>
    <row r="1159" spans="1:151" s="9" customFormat="1" ht="12.5">
      <c r="A1159" s="1483" t="str">
        <f t="shared" si="640"/>
        <v>Public Health Wales Trust</v>
      </c>
      <c r="B1159" s="1583"/>
      <c r="C1159" s="1583"/>
      <c r="D1159" s="1583"/>
      <c r="E1159" s="1581"/>
      <c r="F1159" s="1436"/>
      <c r="G1159" s="1547">
        <f t="shared" si="641"/>
        <v>0</v>
      </c>
      <c r="H1159" s="1484"/>
      <c r="I1159" s="1547">
        <f t="shared" si="642"/>
        <v>0</v>
      </c>
      <c r="J1159" s="1516"/>
      <c r="K1159" s="1516"/>
      <c r="L1159" s="1436"/>
      <c r="M1159" s="1439"/>
      <c r="N1159" s="1439"/>
      <c r="O1159" s="1485"/>
      <c r="P1159" s="1486"/>
      <c r="Q1159" s="1486"/>
      <c r="R1159" s="1487"/>
      <c r="S1159" s="1444"/>
      <c r="T1159" s="1444"/>
      <c r="U1159" s="1444"/>
      <c r="V1159" s="1488"/>
      <c r="W1159" s="1488"/>
      <c r="X1159" s="1488"/>
      <c r="Y1159" s="1488"/>
      <c r="Z1159" s="1488"/>
      <c r="AA1159" s="1488"/>
      <c r="AB1159" s="1488"/>
      <c r="AC1159" s="1488"/>
      <c r="AD1159" s="1488"/>
      <c r="AE1159" s="1488"/>
      <c r="AF1159" s="1488"/>
      <c r="AG1159" s="1488"/>
      <c r="AH1159" s="1451">
        <f t="shared" si="614"/>
        <v>0</v>
      </c>
      <c r="AI1159" s="1488"/>
      <c r="AJ1159" s="1488"/>
      <c r="AK1159" s="1488"/>
      <c r="AL1159" s="1488"/>
      <c r="AM1159" s="1488"/>
      <c r="AN1159" s="1488"/>
      <c r="AO1159" s="1488"/>
      <c r="AP1159" s="1488"/>
      <c r="AQ1159" s="1488"/>
      <c r="AR1159" s="1488"/>
      <c r="AS1159" s="1488"/>
      <c r="AT1159" s="1542"/>
      <c r="AU1159" s="1599">
        <f t="shared" si="615"/>
        <v>0</v>
      </c>
      <c r="AV1159" s="1544">
        <f t="shared" si="643"/>
        <v>0</v>
      </c>
      <c r="AW1159" s="1452">
        <f t="shared" si="616"/>
        <v>0</v>
      </c>
      <c r="AX1159" s="1452">
        <f t="shared" si="617"/>
        <v>0</v>
      </c>
      <c r="AY1159" s="1452">
        <f t="shared" si="618"/>
        <v>0</v>
      </c>
      <c r="AZ1159" s="1452">
        <f t="shared" si="619"/>
        <v>0</v>
      </c>
      <c r="BA1159" s="1452">
        <f t="shared" si="620"/>
        <v>0</v>
      </c>
      <c r="BB1159" s="1452">
        <f t="shared" si="621"/>
        <v>0</v>
      </c>
      <c r="BC1159" s="1452">
        <f t="shared" si="622"/>
        <v>0</v>
      </c>
      <c r="BD1159" s="1452">
        <f t="shared" si="623"/>
        <v>0</v>
      </c>
      <c r="BE1159" s="1452">
        <f t="shared" si="624"/>
        <v>0</v>
      </c>
      <c r="BF1159" s="1452">
        <f t="shared" si="625"/>
        <v>0</v>
      </c>
      <c r="BG1159" s="1452">
        <f t="shared" si="626"/>
        <v>0</v>
      </c>
      <c r="BH1159" s="1452">
        <f t="shared" si="627"/>
        <v>0</v>
      </c>
      <c r="BI1159" s="1452">
        <f t="shared" si="644"/>
        <v>0</v>
      </c>
      <c r="BJ1159" s="1452" t="str">
        <f t="shared" si="628"/>
        <v/>
      </c>
      <c r="BK1159" s="1452" t="str">
        <f t="shared" si="629"/>
        <v/>
      </c>
      <c r="BL1159" s="1452" t="str">
        <f t="shared" si="630"/>
        <v/>
      </c>
      <c r="BM1159" s="1452" t="str">
        <f t="shared" si="631"/>
        <v/>
      </c>
      <c r="BN1159" s="1452" t="str">
        <f t="shared" ca="1" si="632"/>
        <v/>
      </c>
      <c r="BO1159" s="1452" t="str">
        <f t="shared" si="645"/>
        <v/>
      </c>
      <c r="BP1159" s="1452" t="str">
        <f t="shared" si="633"/>
        <v/>
      </c>
      <c r="BQ1159" s="1452" t="str">
        <f t="shared" si="634"/>
        <v/>
      </c>
      <c r="BR1159" s="1452" t="str">
        <f t="shared" si="635"/>
        <v/>
      </c>
      <c r="BS1159" s="1452" t="str">
        <f t="shared" si="636"/>
        <v/>
      </c>
      <c r="BT1159" s="1452" t="str">
        <f t="shared" si="637"/>
        <v/>
      </c>
      <c r="BU1159" s="1452" t="str">
        <f t="shared" si="638"/>
        <v/>
      </c>
      <c r="BV1159" s="1452" t="str">
        <f t="shared" si="639"/>
        <v/>
      </c>
      <c r="BW1159" s="1558">
        <f t="shared" ca="1" si="646"/>
        <v>0</v>
      </c>
    </row>
    <row r="1160" spans="1:151" s="9" customFormat="1" ht="12.5">
      <c r="A1160" s="1483" t="str">
        <f t="shared" si="640"/>
        <v>Public Health Wales Trust</v>
      </c>
      <c r="B1160" s="1583"/>
      <c r="C1160" s="1510"/>
      <c r="D1160" s="1514"/>
      <c r="E1160" s="1595"/>
      <c r="F1160" s="1436"/>
      <c r="G1160" s="1547">
        <f t="shared" si="641"/>
        <v>0</v>
      </c>
      <c r="H1160" s="1484"/>
      <c r="I1160" s="1547">
        <f t="shared" si="642"/>
        <v>0</v>
      </c>
      <c r="J1160" s="1516"/>
      <c r="K1160" s="1516"/>
      <c r="L1160" s="1436"/>
      <c r="M1160" s="1439"/>
      <c r="N1160" s="1439"/>
      <c r="O1160" s="1485"/>
      <c r="P1160" s="1486"/>
      <c r="Q1160" s="1486"/>
      <c r="R1160" s="1487"/>
      <c r="S1160" s="1444"/>
      <c r="T1160" s="1444"/>
      <c r="U1160" s="1444"/>
      <c r="V1160" s="1488"/>
      <c r="W1160" s="1488"/>
      <c r="X1160" s="1488"/>
      <c r="Y1160" s="1488"/>
      <c r="Z1160" s="1488"/>
      <c r="AA1160" s="1488"/>
      <c r="AB1160" s="1488"/>
      <c r="AC1160" s="1488"/>
      <c r="AD1160" s="1488"/>
      <c r="AE1160" s="1488"/>
      <c r="AF1160" s="1488"/>
      <c r="AG1160" s="1488"/>
      <c r="AH1160" s="1451">
        <f t="shared" si="614"/>
        <v>0</v>
      </c>
      <c r="AI1160" s="1488"/>
      <c r="AJ1160" s="1488"/>
      <c r="AK1160" s="1488"/>
      <c r="AL1160" s="1488"/>
      <c r="AM1160" s="1488"/>
      <c r="AN1160" s="1488"/>
      <c r="AO1160" s="1488"/>
      <c r="AP1160" s="1488"/>
      <c r="AQ1160" s="1488"/>
      <c r="AR1160" s="1488"/>
      <c r="AS1160" s="1488"/>
      <c r="AT1160" s="1542"/>
      <c r="AU1160" s="1599">
        <f t="shared" si="615"/>
        <v>0</v>
      </c>
      <c r="AV1160" s="1544">
        <f t="shared" si="643"/>
        <v>0</v>
      </c>
      <c r="AW1160" s="1452">
        <f t="shared" si="616"/>
        <v>0</v>
      </c>
      <c r="AX1160" s="1452">
        <f t="shared" si="617"/>
        <v>0</v>
      </c>
      <c r="AY1160" s="1452">
        <f t="shared" si="618"/>
        <v>0</v>
      </c>
      <c r="AZ1160" s="1452">
        <f t="shared" si="619"/>
        <v>0</v>
      </c>
      <c r="BA1160" s="1452">
        <f t="shared" si="620"/>
        <v>0</v>
      </c>
      <c r="BB1160" s="1452">
        <f t="shared" si="621"/>
        <v>0</v>
      </c>
      <c r="BC1160" s="1452">
        <f t="shared" si="622"/>
        <v>0</v>
      </c>
      <c r="BD1160" s="1452">
        <f t="shared" si="623"/>
        <v>0</v>
      </c>
      <c r="BE1160" s="1452">
        <f t="shared" si="624"/>
        <v>0</v>
      </c>
      <c r="BF1160" s="1452">
        <f t="shared" si="625"/>
        <v>0</v>
      </c>
      <c r="BG1160" s="1452">
        <f t="shared" si="626"/>
        <v>0</v>
      </c>
      <c r="BH1160" s="1452">
        <f t="shared" si="627"/>
        <v>0</v>
      </c>
      <c r="BI1160" s="1452">
        <f t="shared" si="644"/>
        <v>0</v>
      </c>
      <c r="BJ1160" s="1452" t="str">
        <f t="shared" si="628"/>
        <v/>
      </c>
      <c r="BK1160" s="1452" t="str">
        <f t="shared" si="629"/>
        <v/>
      </c>
      <c r="BL1160" s="1452" t="str">
        <f t="shared" si="630"/>
        <v/>
      </c>
      <c r="BM1160" s="1452" t="str">
        <f t="shared" si="631"/>
        <v/>
      </c>
      <c r="BN1160" s="1452" t="str">
        <f t="shared" ca="1" si="632"/>
        <v/>
      </c>
      <c r="BO1160" s="1452" t="str">
        <f t="shared" si="645"/>
        <v/>
      </c>
      <c r="BP1160" s="1452" t="str">
        <f t="shared" si="633"/>
        <v/>
      </c>
      <c r="BQ1160" s="1452" t="str">
        <f t="shared" si="634"/>
        <v/>
      </c>
      <c r="BR1160" s="1452" t="str">
        <f t="shared" si="635"/>
        <v/>
      </c>
      <c r="BS1160" s="1452" t="str">
        <f t="shared" si="636"/>
        <v/>
      </c>
      <c r="BT1160" s="1452" t="str">
        <f t="shared" si="637"/>
        <v/>
      </c>
      <c r="BU1160" s="1452" t="str">
        <f t="shared" si="638"/>
        <v/>
      </c>
      <c r="BV1160" s="1452" t="str">
        <f t="shared" si="639"/>
        <v/>
      </c>
      <c r="BW1160" s="1558">
        <f t="shared" ca="1" si="646"/>
        <v>0</v>
      </c>
    </row>
    <row r="1161" spans="1:151" s="9" customFormat="1" ht="12.5">
      <c r="A1161" s="1483" t="str">
        <f t="shared" si="640"/>
        <v>Public Health Wales Trust</v>
      </c>
      <c r="B1161" s="1583"/>
      <c r="C1161" s="1510"/>
      <c r="D1161" s="1514"/>
      <c r="E1161" s="1595"/>
      <c r="F1161" s="1436"/>
      <c r="G1161" s="1547">
        <f t="shared" si="641"/>
        <v>0</v>
      </c>
      <c r="H1161" s="1484"/>
      <c r="I1161" s="1547">
        <f t="shared" si="642"/>
        <v>0</v>
      </c>
      <c r="J1161" s="1516"/>
      <c r="K1161" s="1516"/>
      <c r="L1161" s="1436"/>
      <c r="M1161" s="1439"/>
      <c r="N1161" s="1439"/>
      <c r="O1161" s="1485"/>
      <c r="P1161" s="1486"/>
      <c r="Q1161" s="1486"/>
      <c r="R1161" s="1487"/>
      <c r="S1161" s="1444"/>
      <c r="T1161" s="1444"/>
      <c r="U1161" s="1444"/>
      <c r="V1161" s="1488"/>
      <c r="W1161" s="1488"/>
      <c r="X1161" s="1488"/>
      <c r="Y1161" s="1488"/>
      <c r="Z1161" s="1488"/>
      <c r="AA1161" s="1488"/>
      <c r="AB1161" s="1488"/>
      <c r="AC1161" s="1488"/>
      <c r="AD1161" s="1488"/>
      <c r="AE1161" s="1488"/>
      <c r="AF1161" s="1488"/>
      <c r="AG1161" s="1488"/>
      <c r="AH1161" s="1451">
        <f t="shared" si="614"/>
        <v>0</v>
      </c>
      <c r="AI1161" s="1488"/>
      <c r="AJ1161" s="1488"/>
      <c r="AK1161" s="1488"/>
      <c r="AL1161" s="1488"/>
      <c r="AM1161" s="1488"/>
      <c r="AN1161" s="1488"/>
      <c r="AO1161" s="1488"/>
      <c r="AP1161" s="1488"/>
      <c r="AQ1161" s="1488"/>
      <c r="AR1161" s="1488"/>
      <c r="AS1161" s="1488"/>
      <c r="AT1161" s="1542"/>
      <c r="AU1161" s="1599">
        <f t="shared" si="615"/>
        <v>0</v>
      </c>
      <c r="AV1161" s="1544">
        <f t="shared" si="643"/>
        <v>0</v>
      </c>
      <c r="AW1161" s="1452">
        <f t="shared" si="616"/>
        <v>0</v>
      </c>
      <c r="AX1161" s="1452">
        <f t="shared" si="617"/>
        <v>0</v>
      </c>
      <c r="AY1161" s="1452">
        <f t="shared" si="618"/>
        <v>0</v>
      </c>
      <c r="AZ1161" s="1452">
        <f t="shared" si="619"/>
        <v>0</v>
      </c>
      <c r="BA1161" s="1452">
        <f t="shared" si="620"/>
        <v>0</v>
      </c>
      <c r="BB1161" s="1452">
        <f t="shared" si="621"/>
        <v>0</v>
      </c>
      <c r="BC1161" s="1452">
        <f t="shared" si="622"/>
        <v>0</v>
      </c>
      <c r="BD1161" s="1452">
        <f t="shared" si="623"/>
        <v>0</v>
      </c>
      <c r="BE1161" s="1452">
        <f t="shared" si="624"/>
        <v>0</v>
      </c>
      <c r="BF1161" s="1452">
        <f t="shared" si="625"/>
        <v>0</v>
      </c>
      <c r="BG1161" s="1452">
        <f t="shared" si="626"/>
        <v>0</v>
      </c>
      <c r="BH1161" s="1452">
        <f t="shared" si="627"/>
        <v>0</v>
      </c>
      <c r="BI1161" s="1452">
        <f t="shared" si="644"/>
        <v>0</v>
      </c>
      <c r="BJ1161" s="1452" t="str">
        <f t="shared" si="628"/>
        <v/>
      </c>
      <c r="BK1161" s="1452" t="str">
        <f t="shared" si="629"/>
        <v/>
      </c>
      <c r="BL1161" s="1452" t="str">
        <f t="shared" si="630"/>
        <v/>
      </c>
      <c r="BM1161" s="1452" t="str">
        <f t="shared" si="631"/>
        <v/>
      </c>
      <c r="BN1161" s="1452" t="str">
        <f t="shared" ca="1" si="632"/>
        <v/>
      </c>
      <c r="BO1161" s="1452" t="str">
        <f t="shared" si="645"/>
        <v/>
      </c>
      <c r="BP1161" s="1452" t="str">
        <f t="shared" si="633"/>
        <v/>
      </c>
      <c r="BQ1161" s="1452" t="str">
        <f t="shared" si="634"/>
        <v/>
      </c>
      <c r="BR1161" s="1452" t="str">
        <f t="shared" si="635"/>
        <v/>
      </c>
      <c r="BS1161" s="1452" t="str">
        <f t="shared" si="636"/>
        <v/>
      </c>
      <c r="BT1161" s="1452" t="str">
        <f t="shared" si="637"/>
        <v/>
      </c>
      <c r="BU1161" s="1452" t="str">
        <f t="shared" si="638"/>
        <v/>
      </c>
      <c r="BV1161" s="1452" t="str">
        <f t="shared" si="639"/>
        <v/>
      </c>
      <c r="BW1161" s="1558">
        <f t="shared" ca="1" si="646"/>
        <v>0</v>
      </c>
    </row>
    <row r="1162" spans="1:151" s="9" customFormat="1" ht="12.5">
      <c r="A1162" s="1483" t="str">
        <f t="shared" si="640"/>
        <v>Public Health Wales Trust</v>
      </c>
      <c r="B1162" s="1583"/>
      <c r="C1162" s="1583"/>
      <c r="D1162" s="1583"/>
      <c r="E1162" s="1581"/>
      <c r="F1162" s="1436"/>
      <c r="G1162" s="1547">
        <f t="shared" si="641"/>
        <v>0</v>
      </c>
      <c r="H1162" s="1484"/>
      <c r="I1162" s="1547">
        <f t="shared" si="642"/>
        <v>0</v>
      </c>
      <c r="J1162" s="1516"/>
      <c r="K1162" s="1516"/>
      <c r="L1162" s="1436"/>
      <c r="M1162" s="1439"/>
      <c r="N1162" s="1439"/>
      <c r="O1162" s="1485"/>
      <c r="P1162" s="1486"/>
      <c r="Q1162" s="1486"/>
      <c r="R1162" s="1487"/>
      <c r="S1162" s="1444"/>
      <c r="T1162" s="1444"/>
      <c r="U1162" s="1444"/>
      <c r="V1162" s="1488"/>
      <c r="W1162" s="1488"/>
      <c r="X1162" s="1488"/>
      <c r="Y1162" s="1488"/>
      <c r="Z1162" s="1488"/>
      <c r="AA1162" s="1488"/>
      <c r="AB1162" s="1488"/>
      <c r="AC1162" s="1488"/>
      <c r="AD1162" s="1488"/>
      <c r="AE1162" s="1488"/>
      <c r="AF1162" s="1488"/>
      <c r="AG1162" s="1488"/>
      <c r="AH1162" s="1451">
        <f t="shared" si="614"/>
        <v>0</v>
      </c>
      <c r="AI1162" s="1488"/>
      <c r="AJ1162" s="1488"/>
      <c r="AK1162" s="1488"/>
      <c r="AL1162" s="1488"/>
      <c r="AM1162" s="1488"/>
      <c r="AN1162" s="1488"/>
      <c r="AO1162" s="1488"/>
      <c r="AP1162" s="1488"/>
      <c r="AQ1162" s="1488"/>
      <c r="AR1162" s="1488"/>
      <c r="AS1162" s="1488"/>
      <c r="AT1162" s="1542"/>
      <c r="AU1162" s="1599">
        <f t="shared" si="615"/>
        <v>0</v>
      </c>
      <c r="AV1162" s="1544">
        <f t="shared" si="643"/>
        <v>0</v>
      </c>
      <c r="AW1162" s="1452">
        <f t="shared" si="616"/>
        <v>0</v>
      </c>
      <c r="AX1162" s="1452">
        <f t="shared" si="617"/>
        <v>0</v>
      </c>
      <c r="AY1162" s="1452">
        <f t="shared" si="618"/>
        <v>0</v>
      </c>
      <c r="AZ1162" s="1452">
        <f t="shared" si="619"/>
        <v>0</v>
      </c>
      <c r="BA1162" s="1452">
        <f t="shared" si="620"/>
        <v>0</v>
      </c>
      <c r="BB1162" s="1452">
        <f t="shared" si="621"/>
        <v>0</v>
      </c>
      <c r="BC1162" s="1452">
        <f t="shared" si="622"/>
        <v>0</v>
      </c>
      <c r="BD1162" s="1452">
        <f t="shared" si="623"/>
        <v>0</v>
      </c>
      <c r="BE1162" s="1452">
        <f t="shared" si="624"/>
        <v>0</v>
      </c>
      <c r="BF1162" s="1452">
        <f t="shared" si="625"/>
        <v>0</v>
      </c>
      <c r="BG1162" s="1452">
        <f t="shared" si="626"/>
        <v>0</v>
      </c>
      <c r="BH1162" s="1452">
        <f t="shared" si="627"/>
        <v>0</v>
      </c>
      <c r="BI1162" s="1452">
        <f t="shared" si="644"/>
        <v>0</v>
      </c>
      <c r="BJ1162" s="1452" t="str">
        <f t="shared" si="628"/>
        <v/>
      </c>
      <c r="BK1162" s="1452" t="str">
        <f t="shared" si="629"/>
        <v/>
      </c>
      <c r="BL1162" s="1452" t="str">
        <f t="shared" si="630"/>
        <v/>
      </c>
      <c r="BM1162" s="1452" t="str">
        <f t="shared" si="631"/>
        <v/>
      </c>
      <c r="BN1162" s="1452" t="str">
        <f t="shared" ca="1" si="632"/>
        <v/>
      </c>
      <c r="BO1162" s="1452" t="str">
        <f t="shared" si="645"/>
        <v/>
      </c>
      <c r="BP1162" s="1452" t="str">
        <f t="shared" si="633"/>
        <v/>
      </c>
      <c r="BQ1162" s="1452" t="str">
        <f t="shared" si="634"/>
        <v/>
      </c>
      <c r="BR1162" s="1452" t="str">
        <f t="shared" si="635"/>
        <v/>
      </c>
      <c r="BS1162" s="1452" t="str">
        <f t="shared" si="636"/>
        <v/>
      </c>
      <c r="BT1162" s="1452" t="str">
        <f t="shared" si="637"/>
        <v/>
      </c>
      <c r="BU1162" s="1452" t="str">
        <f t="shared" si="638"/>
        <v/>
      </c>
      <c r="BV1162" s="1452" t="str">
        <f t="shared" si="639"/>
        <v/>
      </c>
      <c r="BW1162" s="1558">
        <f t="shared" ca="1" si="646"/>
        <v>0</v>
      </c>
    </row>
    <row r="1163" spans="1:151" s="9" customFormat="1" ht="12.5">
      <c r="A1163" s="1483" t="str">
        <f t="shared" si="640"/>
        <v>Public Health Wales Trust</v>
      </c>
      <c r="B1163" s="1583"/>
      <c r="C1163" s="1583"/>
      <c r="D1163" s="1583"/>
      <c r="E1163" s="1581"/>
      <c r="F1163" s="1436"/>
      <c r="G1163" s="1547">
        <f t="shared" si="641"/>
        <v>0</v>
      </c>
      <c r="H1163" s="1484"/>
      <c r="I1163" s="1547">
        <f t="shared" si="642"/>
        <v>0</v>
      </c>
      <c r="J1163" s="1516"/>
      <c r="K1163" s="1516"/>
      <c r="L1163" s="1436"/>
      <c r="M1163" s="1439"/>
      <c r="N1163" s="1439"/>
      <c r="O1163" s="1485"/>
      <c r="P1163" s="1486"/>
      <c r="Q1163" s="1486"/>
      <c r="R1163" s="1487"/>
      <c r="S1163" s="1444"/>
      <c r="T1163" s="1444"/>
      <c r="U1163" s="1444"/>
      <c r="V1163" s="1488"/>
      <c r="W1163" s="1488"/>
      <c r="X1163" s="1488"/>
      <c r="Y1163" s="1488"/>
      <c r="Z1163" s="1488"/>
      <c r="AA1163" s="1488"/>
      <c r="AB1163" s="1488"/>
      <c r="AC1163" s="1488"/>
      <c r="AD1163" s="1488"/>
      <c r="AE1163" s="1488"/>
      <c r="AF1163" s="1488"/>
      <c r="AG1163" s="1488"/>
      <c r="AH1163" s="1451">
        <f t="shared" si="614"/>
        <v>0</v>
      </c>
      <c r="AI1163" s="1488"/>
      <c r="AJ1163" s="1488"/>
      <c r="AK1163" s="1488"/>
      <c r="AL1163" s="1488"/>
      <c r="AM1163" s="1488"/>
      <c r="AN1163" s="1488"/>
      <c r="AO1163" s="1488"/>
      <c r="AP1163" s="1488"/>
      <c r="AQ1163" s="1488"/>
      <c r="AR1163" s="1488"/>
      <c r="AS1163" s="1488"/>
      <c r="AT1163" s="1542"/>
      <c r="AU1163" s="1599">
        <f t="shared" si="615"/>
        <v>0</v>
      </c>
      <c r="AV1163" s="1544">
        <f t="shared" si="643"/>
        <v>0</v>
      </c>
      <c r="AW1163" s="1452">
        <f t="shared" si="616"/>
        <v>0</v>
      </c>
      <c r="AX1163" s="1452">
        <f t="shared" si="617"/>
        <v>0</v>
      </c>
      <c r="AY1163" s="1452">
        <f t="shared" si="618"/>
        <v>0</v>
      </c>
      <c r="AZ1163" s="1452">
        <f t="shared" si="619"/>
        <v>0</v>
      </c>
      <c r="BA1163" s="1452">
        <f t="shared" si="620"/>
        <v>0</v>
      </c>
      <c r="BB1163" s="1452">
        <f t="shared" si="621"/>
        <v>0</v>
      </c>
      <c r="BC1163" s="1452">
        <f t="shared" si="622"/>
        <v>0</v>
      </c>
      <c r="BD1163" s="1452">
        <f t="shared" si="623"/>
        <v>0</v>
      </c>
      <c r="BE1163" s="1452">
        <f t="shared" si="624"/>
        <v>0</v>
      </c>
      <c r="BF1163" s="1452">
        <f t="shared" si="625"/>
        <v>0</v>
      </c>
      <c r="BG1163" s="1452">
        <f t="shared" si="626"/>
        <v>0</v>
      </c>
      <c r="BH1163" s="1452">
        <f t="shared" si="627"/>
        <v>0</v>
      </c>
      <c r="BI1163" s="1452">
        <f t="shared" si="644"/>
        <v>0</v>
      </c>
      <c r="BJ1163" s="1452" t="str">
        <f t="shared" si="628"/>
        <v/>
      </c>
      <c r="BK1163" s="1452" t="str">
        <f t="shared" si="629"/>
        <v/>
      </c>
      <c r="BL1163" s="1452" t="str">
        <f t="shared" si="630"/>
        <v/>
      </c>
      <c r="BM1163" s="1452" t="str">
        <f t="shared" si="631"/>
        <v/>
      </c>
      <c r="BN1163" s="1452" t="str">
        <f t="shared" ca="1" si="632"/>
        <v/>
      </c>
      <c r="BO1163" s="1452" t="str">
        <f t="shared" si="645"/>
        <v/>
      </c>
      <c r="BP1163" s="1452" t="str">
        <f t="shared" si="633"/>
        <v/>
      </c>
      <c r="BQ1163" s="1452" t="str">
        <f t="shared" si="634"/>
        <v/>
      </c>
      <c r="BR1163" s="1452" t="str">
        <f t="shared" si="635"/>
        <v/>
      </c>
      <c r="BS1163" s="1452" t="str">
        <f t="shared" si="636"/>
        <v/>
      </c>
      <c r="BT1163" s="1452" t="str">
        <f t="shared" si="637"/>
        <v/>
      </c>
      <c r="BU1163" s="1452" t="str">
        <f t="shared" si="638"/>
        <v/>
      </c>
      <c r="BV1163" s="1452" t="str">
        <f t="shared" si="639"/>
        <v/>
      </c>
      <c r="BW1163" s="1558">
        <f t="shared" ca="1" si="646"/>
        <v>0</v>
      </c>
    </row>
    <row r="1164" spans="1:151" s="9" customFormat="1" ht="12.5">
      <c r="A1164" s="1483" t="str">
        <f t="shared" si="640"/>
        <v>Public Health Wales Trust</v>
      </c>
      <c r="B1164" s="1583"/>
      <c r="C1164" s="1583"/>
      <c r="D1164" s="1583"/>
      <c r="E1164" s="1581"/>
      <c r="F1164" s="1436"/>
      <c r="G1164" s="1547">
        <f t="shared" si="641"/>
        <v>0</v>
      </c>
      <c r="H1164" s="1484"/>
      <c r="I1164" s="1547">
        <f t="shared" si="642"/>
        <v>0</v>
      </c>
      <c r="J1164" s="1516"/>
      <c r="K1164" s="1516"/>
      <c r="L1164" s="1436"/>
      <c r="M1164" s="1439"/>
      <c r="N1164" s="1439"/>
      <c r="O1164" s="1485"/>
      <c r="P1164" s="1486"/>
      <c r="Q1164" s="1486"/>
      <c r="R1164" s="1487"/>
      <c r="S1164" s="1444"/>
      <c r="T1164" s="1444"/>
      <c r="U1164" s="1444"/>
      <c r="V1164" s="1488"/>
      <c r="W1164" s="1488"/>
      <c r="X1164" s="1488"/>
      <c r="Y1164" s="1488"/>
      <c r="Z1164" s="1488"/>
      <c r="AA1164" s="1488"/>
      <c r="AB1164" s="1488"/>
      <c r="AC1164" s="1488"/>
      <c r="AD1164" s="1488"/>
      <c r="AE1164" s="1488"/>
      <c r="AF1164" s="1488"/>
      <c r="AG1164" s="1488"/>
      <c r="AH1164" s="1451">
        <f t="shared" si="614"/>
        <v>0</v>
      </c>
      <c r="AI1164" s="1488"/>
      <c r="AJ1164" s="1488"/>
      <c r="AK1164" s="1488"/>
      <c r="AL1164" s="1488"/>
      <c r="AM1164" s="1488"/>
      <c r="AN1164" s="1488"/>
      <c r="AO1164" s="1488"/>
      <c r="AP1164" s="1488"/>
      <c r="AQ1164" s="1488"/>
      <c r="AR1164" s="1488"/>
      <c r="AS1164" s="1488"/>
      <c r="AT1164" s="1542"/>
      <c r="AU1164" s="1599">
        <f t="shared" si="615"/>
        <v>0</v>
      </c>
      <c r="AV1164" s="1544">
        <f t="shared" si="643"/>
        <v>0</v>
      </c>
      <c r="AW1164" s="1452">
        <f t="shared" si="616"/>
        <v>0</v>
      </c>
      <c r="AX1164" s="1452">
        <f t="shared" si="617"/>
        <v>0</v>
      </c>
      <c r="AY1164" s="1452">
        <f t="shared" si="618"/>
        <v>0</v>
      </c>
      <c r="AZ1164" s="1452">
        <f t="shared" si="619"/>
        <v>0</v>
      </c>
      <c r="BA1164" s="1452">
        <f t="shared" si="620"/>
        <v>0</v>
      </c>
      <c r="BB1164" s="1452">
        <f t="shared" si="621"/>
        <v>0</v>
      </c>
      <c r="BC1164" s="1452">
        <f t="shared" si="622"/>
        <v>0</v>
      </c>
      <c r="BD1164" s="1452">
        <f t="shared" si="623"/>
        <v>0</v>
      </c>
      <c r="BE1164" s="1452">
        <f t="shared" si="624"/>
        <v>0</v>
      </c>
      <c r="BF1164" s="1452">
        <f t="shared" si="625"/>
        <v>0</v>
      </c>
      <c r="BG1164" s="1452">
        <f t="shared" si="626"/>
        <v>0</v>
      </c>
      <c r="BH1164" s="1452">
        <f t="shared" si="627"/>
        <v>0</v>
      </c>
      <c r="BI1164" s="1452">
        <f t="shared" si="644"/>
        <v>0</v>
      </c>
      <c r="BJ1164" s="1452" t="str">
        <f t="shared" si="628"/>
        <v/>
      </c>
      <c r="BK1164" s="1452" t="str">
        <f t="shared" si="629"/>
        <v/>
      </c>
      <c r="BL1164" s="1452" t="str">
        <f t="shared" si="630"/>
        <v/>
      </c>
      <c r="BM1164" s="1452" t="str">
        <f t="shared" si="631"/>
        <v/>
      </c>
      <c r="BN1164" s="1452" t="str">
        <f t="shared" ca="1" si="632"/>
        <v/>
      </c>
      <c r="BO1164" s="1452" t="str">
        <f t="shared" si="645"/>
        <v/>
      </c>
      <c r="BP1164" s="1452" t="str">
        <f t="shared" si="633"/>
        <v/>
      </c>
      <c r="BQ1164" s="1452" t="str">
        <f t="shared" si="634"/>
        <v/>
      </c>
      <c r="BR1164" s="1452" t="str">
        <f t="shared" si="635"/>
        <v/>
      </c>
      <c r="BS1164" s="1452" t="str">
        <f t="shared" si="636"/>
        <v/>
      </c>
      <c r="BT1164" s="1452" t="str">
        <f t="shared" si="637"/>
        <v/>
      </c>
      <c r="BU1164" s="1452" t="str">
        <f t="shared" si="638"/>
        <v/>
      </c>
      <c r="BV1164" s="1452" t="str">
        <f t="shared" si="639"/>
        <v/>
      </c>
      <c r="BW1164" s="1558">
        <f t="shared" ca="1" si="646"/>
        <v>0</v>
      </c>
    </row>
    <row r="1165" spans="1:151" s="9" customFormat="1" ht="12.5">
      <c r="A1165" s="1483" t="str">
        <f t="shared" si="640"/>
        <v>Public Health Wales Trust</v>
      </c>
      <c r="B1165" s="1583"/>
      <c r="C1165" s="1583"/>
      <c r="D1165" s="1583"/>
      <c r="E1165" s="1581"/>
      <c r="F1165" s="1436"/>
      <c r="G1165" s="1547">
        <f t="shared" si="641"/>
        <v>0</v>
      </c>
      <c r="H1165" s="1484"/>
      <c r="I1165" s="1547">
        <f t="shared" si="642"/>
        <v>0</v>
      </c>
      <c r="J1165" s="1516"/>
      <c r="K1165" s="1516"/>
      <c r="L1165" s="1436"/>
      <c r="M1165" s="1439"/>
      <c r="N1165" s="1439"/>
      <c r="O1165" s="1485"/>
      <c r="P1165" s="1486"/>
      <c r="Q1165" s="1486"/>
      <c r="R1165" s="1487"/>
      <c r="S1165" s="1444"/>
      <c r="T1165" s="1444"/>
      <c r="U1165" s="1444"/>
      <c r="V1165" s="1488"/>
      <c r="W1165" s="1488"/>
      <c r="X1165" s="1488"/>
      <c r="Y1165" s="1488"/>
      <c r="Z1165" s="1488"/>
      <c r="AA1165" s="1488"/>
      <c r="AB1165" s="1488"/>
      <c r="AC1165" s="1488"/>
      <c r="AD1165" s="1488"/>
      <c r="AE1165" s="1488"/>
      <c r="AF1165" s="1488"/>
      <c r="AG1165" s="1488"/>
      <c r="AH1165" s="1451">
        <f t="shared" si="614"/>
        <v>0</v>
      </c>
      <c r="AI1165" s="1488"/>
      <c r="AJ1165" s="1488"/>
      <c r="AK1165" s="1488"/>
      <c r="AL1165" s="1488"/>
      <c r="AM1165" s="1488"/>
      <c r="AN1165" s="1488"/>
      <c r="AO1165" s="1488"/>
      <c r="AP1165" s="1488"/>
      <c r="AQ1165" s="1488"/>
      <c r="AR1165" s="1488"/>
      <c r="AS1165" s="1488"/>
      <c r="AT1165" s="1542"/>
      <c r="AU1165" s="1599">
        <f t="shared" si="615"/>
        <v>0</v>
      </c>
      <c r="AV1165" s="1544">
        <f t="shared" si="643"/>
        <v>0</v>
      </c>
      <c r="AW1165" s="1452">
        <f t="shared" si="616"/>
        <v>0</v>
      </c>
      <c r="AX1165" s="1452">
        <f t="shared" si="617"/>
        <v>0</v>
      </c>
      <c r="AY1165" s="1452">
        <f t="shared" si="618"/>
        <v>0</v>
      </c>
      <c r="AZ1165" s="1452">
        <f t="shared" si="619"/>
        <v>0</v>
      </c>
      <c r="BA1165" s="1452">
        <f t="shared" si="620"/>
        <v>0</v>
      </c>
      <c r="BB1165" s="1452">
        <f t="shared" si="621"/>
        <v>0</v>
      </c>
      <c r="BC1165" s="1452">
        <f t="shared" si="622"/>
        <v>0</v>
      </c>
      <c r="BD1165" s="1452">
        <f t="shared" si="623"/>
        <v>0</v>
      </c>
      <c r="BE1165" s="1452">
        <f t="shared" si="624"/>
        <v>0</v>
      </c>
      <c r="BF1165" s="1452">
        <f t="shared" si="625"/>
        <v>0</v>
      </c>
      <c r="BG1165" s="1452">
        <f t="shared" si="626"/>
        <v>0</v>
      </c>
      <c r="BH1165" s="1452">
        <f t="shared" si="627"/>
        <v>0</v>
      </c>
      <c r="BI1165" s="1452">
        <f t="shared" si="644"/>
        <v>0</v>
      </c>
      <c r="BJ1165" s="1452" t="str">
        <f t="shared" si="628"/>
        <v/>
      </c>
      <c r="BK1165" s="1452" t="str">
        <f t="shared" si="629"/>
        <v/>
      </c>
      <c r="BL1165" s="1452" t="str">
        <f t="shared" si="630"/>
        <v/>
      </c>
      <c r="BM1165" s="1452" t="str">
        <f t="shared" si="631"/>
        <v/>
      </c>
      <c r="BN1165" s="1452" t="str">
        <f t="shared" ca="1" si="632"/>
        <v/>
      </c>
      <c r="BO1165" s="1452" t="str">
        <f t="shared" si="645"/>
        <v/>
      </c>
      <c r="BP1165" s="1452" t="str">
        <f t="shared" si="633"/>
        <v/>
      </c>
      <c r="BQ1165" s="1452" t="str">
        <f t="shared" si="634"/>
        <v/>
      </c>
      <c r="BR1165" s="1452" t="str">
        <f t="shared" si="635"/>
        <v/>
      </c>
      <c r="BS1165" s="1452" t="str">
        <f t="shared" si="636"/>
        <v/>
      </c>
      <c r="BT1165" s="1452" t="str">
        <f t="shared" si="637"/>
        <v/>
      </c>
      <c r="BU1165" s="1452" t="str">
        <f t="shared" si="638"/>
        <v/>
      </c>
      <c r="BV1165" s="1452" t="str">
        <f t="shared" si="639"/>
        <v/>
      </c>
      <c r="BW1165" s="1558">
        <f t="shared" ca="1" si="646"/>
        <v>0</v>
      </c>
    </row>
    <row r="1166" spans="1:151" s="9" customFormat="1" ht="12.5">
      <c r="A1166" s="1483" t="str">
        <f t="shared" si="640"/>
        <v>Public Health Wales Trust</v>
      </c>
      <c r="B1166" s="1583"/>
      <c r="C1166" s="1583"/>
      <c r="D1166" s="1583"/>
      <c r="E1166" s="1581"/>
      <c r="F1166" s="1436"/>
      <c r="G1166" s="1547">
        <f t="shared" si="641"/>
        <v>0</v>
      </c>
      <c r="H1166" s="1484"/>
      <c r="I1166" s="1547">
        <f t="shared" si="642"/>
        <v>0</v>
      </c>
      <c r="J1166" s="1516"/>
      <c r="K1166" s="1516"/>
      <c r="L1166" s="1436"/>
      <c r="M1166" s="1439"/>
      <c r="N1166" s="1439"/>
      <c r="O1166" s="1485"/>
      <c r="P1166" s="1486"/>
      <c r="Q1166" s="1486"/>
      <c r="R1166" s="1487"/>
      <c r="S1166" s="1444"/>
      <c r="T1166" s="1444"/>
      <c r="U1166" s="1444"/>
      <c r="V1166" s="1488"/>
      <c r="W1166" s="1488"/>
      <c r="X1166" s="1488"/>
      <c r="Y1166" s="1488"/>
      <c r="Z1166" s="1488"/>
      <c r="AA1166" s="1488"/>
      <c r="AB1166" s="1488"/>
      <c r="AC1166" s="1488"/>
      <c r="AD1166" s="1488"/>
      <c r="AE1166" s="1488"/>
      <c r="AF1166" s="1488"/>
      <c r="AG1166" s="1488"/>
      <c r="AH1166" s="1451">
        <f t="shared" si="614"/>
        <v>0</v>
      </c>
      <c r="AI1166" s="1488"/>
      <c r="AJ1166" s="1488"/>
      <c r="AK1166" s="1488"/>
      <c r="AL1166" s="1488"/>
      <c r="AM1166" s="1488"/>
      <c r="AN1166" s="1488"/>
      <c r="AO1166" s="1488"/>
      <c r="AP1166" s="1488"/>
      <c r="AQ1166" s="1488"/>
      <c r="AR1166" s="1488"/>
      <c r="AS1166" s="1488"/>
      <c r="AT1166" s="1542"/>
      <c r="AU1166" s="1599">
        <f t="shared" si="615"/>
        <v>0</v>
      </c>
      <c r="AV1166" s="1544">
        <f t="shared" si="643"/>
        <v>0</v>
      </c>
      <c r="AW1166" s="1452">
        <f t="shared" si="616"/>
        <v>0</v>
      </c>
      <c r="AX1166" s="1452">
        <f t="shared" si="617"/>
        <v>0</v>
      </c>
      <c r="AY1166" s="1452">
        <f t="shared" si="618"/>
        <v>0</v>
      </c>
      <c r="AZ1166" s="1452">
        <f t="shared" si="619"/>
        <v>0</v>
      </c>
      <c r="BA1166" s="1452">
        <f t="shared" si="620"/>
        <v>0</v>
      </c>
      <c r="BB1166" s="1452">
        <f t="shared" si="621"/>
        <v>0</v>
      </c>
      <c r="BC1166" s="1452">
        <f t="shared" si="622"/>
        <v>0</v>
      </c>
      <c r="BD1166" s="1452">
        <f t="shared" si="623"/>
        <v>0</v>
      </c>
      <c r="BE1166" s="1452">
        <f t="shared" si="624"/>
        <v>0</v>
      </c>
      <c r="BF1166" s="1452">
        <f t="shared" si="625"/>
        <v>0</v>
      </c>
      <c r="BG1166" s="1452">
        <f t="shared" si="626"/>
        <v>0</v>
      </c>
      <c r="BH1166" s="1452">
        <f t="shared" si="627"/>
        <v>0</v>
      </c>
      <c r="BI1166" s="1452">
        <f t="shared" si="644"/>
        <v>0</v>
      </c>
      <c r="BJ1166" s="1452" t="str">
        <f t="shared" si="628"/>
        <v/>
      </c>
      <c r="BK1166" s="1452" t="str">
        <f t="shared" si="629"/>
        <v/>
      </c>
      <c r="BL1166" s="1452" t="str">
        <f t="shared" si="630"/>
        <v/>
      </c>
      <c r="BM1166" s="1452" t="str">
        <f t="shared" si="631"/>
        <v/>
      </c>
      <c r="BN1166" s="1452" t="str">
        <f t="shared" ca="1" si="632"/>
        <v/>
      </c>
      <c r="BO1166" s="1452" t="str">
        <f t="shared" si="645"/>
        <v/>
      </c>
      <c r="BP1166" s="1452" t="str">
        <f t="shared" si="633"/>
        <v/>
      </c>
      <c r="BQ1166" s="1452" t="str">
        <f t="shared" si="634"/>
        <v/>
      </c>
      <c r="BR1166" s="1452" t="str">
        <f t="shared" si="635"/>
        <v/>
      </c>
      <c r="BS1166" s="1452" t="str">
        <f t="shared" si="636"/>
        <v/>
      </c>
      <c r="BT1166" s="1452" t="str">
        <f t="shared" si="637"/>
        <v/>
      </c>
      <c r="BU1166" s="1452" t="str">
        <f t="shared" si="638"/>
        <v/>
      </c>
      <c r="BV1166" s="1452" t="str">
        <f t="shared" si="639"/>
        <v/>
      </c>
      <c r="BW1166" s="1558">
        <f t="shared" ca="1" si="646"/>
        <v>0</v>
      </c>
    </row>
    <row r="1167" spans="1:151" s="9" customFormat="1" ht="12.5">
      <c r="A1167" s="1483" t="str">
        <f t="shared" si="640"/>
        <v>Public Health Wales Trust</v>
      </c>
      <c r="B1167" s="1583"/>
      <c r="C1167" s="1583"/>
      <c r="D1167" s="1583"/>
      <c r="E1167" s="1581"/>
      <c r="F1167" s="1436"/>
      <c r="G1167" s="1547">
        <f t="shared" si="641"/>
        <v>0</v>
      </c>
      <c r="H1167" s="1484"/>
      <c r="I1167" s="1547">
        <f t="shared" si="642"/>
        <v>0</v>
      </c>
      <c r="J1167" s="1516"/>
      <c r="K1167" s="1516"/>
      <c r="L1167" s="1436"/>
      <c r="M1167" s="1439"/>
      <c r="N1167" s="1439"/>
      <c r="O1167" s="1485"/>
      <c r="P1167" s="1486"/>
      <c r="Q1167" s="1486"/>
      <c r="R1167" s="1487"/>
      <c r="S1167" s="1444"/>
      <c r="T1167" s="1444"/>
      <c r="U1167" s="1444"/>
      <c r="V1167" s="1488"/>
      <c r="W1167" s="1488"/>
      <c r="X1167" s="1488"/>
      <c r="Y1167" s="1488"/>
      <c r="Z1167" s="1488"/>
      <c r="AA1167" s="1488"/>
      <c r="AB1167" s="1488"/>
      <c r="AC1167" s="1488"/>
      <c r="AD1167" s="1488"/>
      <c r="AE1167" s="1488"/>
      <c r="AF1167" s="1488"/>
      <c r="AG1167" s="1488"/>
      <c r="AH1167" s="1451">
        <f t="shared" si="614"/>
        <v>0</v>
      </c>
      <c r="AI1167" s="1488"/>
      <c r="AJ1167" s="1488"/>
      <c r="AK1167" s="1488"/>
      <c r="AL1167" s="1488"/>
      <c r="AM1167" s="1488"/>
      <c r="AN1167" s="1488"/>
      <c r="AO1167" s="1488"/>
      <c r="AP1167" s="1488"/>
      <c r="AQ1167" s="1488"/>
      <c r="AR1167" s="1488"/>
      <c r="AS1167" s="1488"/>
      <c r="AT1167" s="1542"/>
      <c r="AU1167" s="1599">
        <f t="shared" si="615"/>
        <v>0</v>
      </c>
      <c r="AV1167" s="1544">
        <f t="shared" si="643"/>
        <v>0</v>
      </c>
      <c r="AW1167" s="1452">
        <f t="shared" si="616"/>
        <v>0</v>
      </c>
      <c r="AX1167" s="1452">
        <f t="shared" si="617"/>
        <v>0</v>
      </c>
      <c r="AY1167" s="1452">
        <f t="shared" si="618"/>
        <v>0</v>
      </c>
      <c r="AZ1167" s="1452">
        <f t="shared" si="619"/>
        <v>0</v>
      </c>
      <c r="BA1167" s="1452">
        <f t="shared" si="620"/>
        <v>0</v>
      </c>
      <c r="BB1167" s="1452">
        <f t="shared" si="621"/>
        <v>0</v>
      </c>
      <c r="BC1167" s="1452">
        <f t="shared" si="622"/>
        <v>0</v>
      </c>
      <c r="BD1167" s="1452">
        <f t="shared" si="623"/>
        <v>0</v>
      </c>
      <c r="BE1167" s="1452">
        <f t="shared" si="624"/>
        <v>0</v>
      </c>
      <c r="BF1167" s="1452">
        <f t="shared" si="625"/>
        <v>0</v>
      </c>
      <c r="BG1167" s="1452">
        <f t="shared" si="626"/>
        <v>0</v>
      </c>
      <c r="BH1167" s="1452">
        <f t="shared" si="627"/>
        <v>0</v>
      </c>
      <c r="BI1167" s="1452">
        <f t="shared" si="644"/>
        <v>0</v>
      </c>
      <c r="BJ1167" s="1452" t="str">
        <f t="shared" si="628"/>
        <v/>
      </c>
      <c r="BK1167" s="1452" t="str">
        <f t="shared" si="629"/>
        <v/>
      </c>
      <c r="BL1167" s="1452" t="str">
        <f t="shared" si="630"/>
        <v/>
      </c>
      <c r="BM1167" s="1452" t="str">
        <f t="shared" si="631"/>
        <v/>
      </c>
      <c r="BN1167" s="1452" t="str">
        <f t="shared" ca="1" si="632"/>
        <v/>
      </c>
      <c r="BO1167" s="1452" t="str">
        <f t="shared" si="645"/>
        <v/>
      </c>
      <c r="BP1167" s="1452" t="str">
        <f t="shared" si="633"/>
        <v/>
      </c>
      <c r="BQ1167" s="1452" t="str">
        <f t="shared" si="634"/>
        <v/>
      </c>
      <c r="BR1167" s="1452" t="str">
        <f t="shared" si="635"/>
        <v/>
      </c>
      <c r="BS1167" s="1452" t="str">
        <f t="shared" si="636"/>
        <v/>
      </c>
      <c r="BT1167" s="1452" t="str">
        <f t="shared" si="637"/>
        <v/>
      </c>
      <c r="BU1167" s="1452" t="str">
        <f t="shared" si="638"/>
        <v/>
      </c>
      <c r="BV1167" s="1452" t="str">
        <f t="shared" si="639"/>
        <v/>
      </c>
      <c r="BW1167" s="1558">
        <f t="shared" ca="1" si="646"/>
        <v>0</v>
      </c>
    </row>
    <row r="1168" spans="1:151" s="9" customFormat="1" ht="12.5">
      <c r="A1168" s="1483" t="str">
        <f t="shared" si="640"/>
        <v>Public Health Wales Trust</v>
      </c>
      <c r="B1168" s="1583"/>
      <c r="C1168" s="1583"/>
      <c r="D1168" s="1583"/>
      <c r="E1168" s="1581"/>
      <c r="F1168" s="1436"/>
      <c r="G1168" s="1547">
        <f t="shared" si="641"/>
        <v>0</v>
      </c>
      <c r="H1168" s="1484"/>
      <c r="I1168" s="1547">
        <f t="shared" si="642"/>
        <v>0</v>
      </c>
      <c r="J1168" s="1516"/>
      <c r="K1168" s="1516"/>
      <c r="L1168" s="1436"/>
      <c r="M1168" s="1439"/>
      <c r="N1168" s="1439"/>
      <c r="O1168" s="1485"/>
      <c r="P1168" s="1486"/>
      <c r="Q1168" s="1486"/>
      <c r="R1168" s="1487"/>
      <c r="S1168" s="1444"/>
      <c r="T1168" s="1444"/>
      <c r="U1168" s="1444"/>
      <c r="V1168" s="1488"/>
      <c r="W1168" s="1488"/>
      <c r="X1168" s="1488"/>
      <c r="Y1168" s="1488"/>
      <c r="Z1168" s="1488"/>
      <c r="AA1168" s="1488"/>
      <c r="AB1168" s="1488"/>
      <c r="AC1168" s="1488"/>
      <c r="AD1168" s="1488"/>
      <c r="AE1168" s="1488"/>
      <c r="AF1168" s="1488"/>
      <c r="AG1168" s="1488"/>
      <c r="AH1168" s="1451">
        <f t="shared" si="614"/>
        <v>0</v>
      </c>
      <c r="AI1168" s="1488"/>
      <c r="AJ1168" s="1488"/>
      <c r="AK1168" s="1488"/>
      <c r="AL1168" s="1488"/>
      <c r="AM1168" s="1488"/>
      <c r="AN1168" s="1488"/>
      <c r="AO1168" s="1488"/>
      <c r="AP1168" s="1488"/>
      <c r="AQ1168" s="1488"/>
      <c r="AR1168" s="1488"/>
      <c r="AS1168" s="1488"/>
      <c r="AT1168" s="1542"/>
      <c r="AU1168" s="1599">
        <f t="shared" si="615"/>
        <v>0</v>
      </c>
      <c r="AV1168" s="1544">
        <f t="shared" si="643"/>
        <v>0</v>
      </c>
      <c r="AW1168" s="1452">
        <f t="shared" si="616"/>
        <v>0</v>
      </c>
      <c r="AX1168" s="1452">
        <f t="shared" si="617"/>
        <v>0</v>
      </c>
      <c r="AY1168" s="1452">
        <f t="shared" si="618"/>
        <v>0</v>
      </c>
      <c r="AZ1168" s="1452">
        <f t="shared" si="619"/>
        <v>0</v>
      </c>
      <c r="BA1168" s="1452">
        <f t="shared" si="620"/>
        <v>0</v>
      </c>
      <c r="BB1168" s="1452">
        <f t="shared" si="621"/>
        <v>0</v>
      </c>
      <c r="BC1168" s="1452">
        <f t="shared" si="622"/>
        <v>0</v>
      </c>
      <c r="BD1168" s="1452">
        <f t="shared" si="623"/>
        <v>0</v>
      </c>
      <c r="BE1168" s="1452">
        <f t="shared" si="624"/>
        <v>0</v>
      </c>
      <c r="BF1168" s="1452">
        <f t="shared" si="625"/>
        <v>0</v>
      </c>
      <c r="BG1168" s="1452">
        <f t="shared" si="626"/>
        <v>0</v>
      </c>
      <c r="BH1168" s="1452">
        <f t="shared" si="627"/>
        <v>0</v>
      </c>
      <c r="BI1168" s="1452">
        <f t="shared" si="644"/>
        <v>0</v>
      </c>
      <c r="BJ1168" s="1452" t="str">
        <f t="shared" si="628"/>
        <v/>
      </c>
      <c r="BK1168" s="1452" t="str">
        <f t="shared" si="629"/>
        <v/>
      </c>
      <c r="BL1168" s="1452" t="str">
        <f t="shared" si="630"/>
        <v/>
      </c>
      <c r="BM1168" s="1452" t="str">
        <f t="shared" si="631"/>
        <v/>
      </c>
      <c r="BN1168" s="1452" t="str">
        <f t="shared" ca="1" si="632"/>
        <v/>
      </c>
      <c r="BO1168" s="1452" t="str">
        <f t="shared" si="645"/>
        <v/>
      </c>
      <c r="BP1168" s="1452" t="str">
        <f t="shared" si="633"/>
        <v/>
      </c>
      <c r="BQ1168" s="1452" t="str">
        <f t="shared" si="634"/>
        <v/>
      </c>
      <c r="BR1168" s="1452" t="str">
        <f t="shared" si="635"/>
        <v/>
      </c>
      <c r="BS1168" s="1452" t="str">
        <f t="shared" si="636"/>
        <v/>
      </c>
      <c r="BT1168" s="1452" t="str">
        <f t="shared" si="637"/>
        <v/>
      </c>
      <c r="BU1168" s="1452" t="str">
        <f t="shared" si="638"/>
        <v/>
      </c>
      <c r="BV1168" s="1452" t="str">
        <f t="shared" si="639"/>
        <v/>
      </c>
      <c r="BW1168" s="1558">
        <f t="shared" ca="1" si="646"/>
        <v>0</v>
      </c>
    </row>
    <row r="1169" spans="1:75" s="9" customFormat="1" ht="12.5">
      <c r="A1169" s="1483" t="str">
        <f t="shared" si="640"/>
        <v>Public Health Wales Trust</v>
      </c>
      <c r="B1169" s="1583"/>
      <c r="C1169" s="1583"/>
      <c r="D1169" s="1583"/>
      <c r="E1169" s="1581"/>
      <c r="F1169" s="1436"/>
      <c r="G1169" s="1547">
        <f t="shared" si="641"/>
        <v>0</v>
      </c>
      <c r="H1169" s="1484"/>
      <c r="I1169" s="1547">
        <f t="shared" si="642"/>
        <v>0</v>
      </c>
      <c r="J1169" s="1516"/>
      <c r="K1169" s="1516"/>
      <c r="L1169" s="1436"/>
      <c r="M1169" s="1439"/>
      <c r="N1169" s="1439"/>
      <c r="O1169" s="1485"/>
      <c r="P1169" s="1486"/>
      <c r="Q1169" s="1486"/>
      <c r="R1169" s="1487"/>
      <c r="S1169" s="1444"/>
      <c r="T1169" s="1444"/>
      <c r="U1169" s="1444"/>
      <c r="V1169" s="1488"/>
      <c r="W1169" s="1488"/>
      <c r="X1169" s="1488"/>
      <c r="Y1169" s="1488"/>
      <c r="Z1169" s="1488"/>
      <c r="AA1169" s="1488"/>
      <c r="AB1169" s="1488"/>
      <c r="AC1169" s="1488"/>
      <c r="AD1169" s="1488"/>
      <c r="AE1169" s="1488"/>
      <c r="AF1169" s="1488"/>
      <c r="AG1169" s="1488"/>
      <c r="AH1169" s="1451">
        <f t="shared" si="614"/>
        <v>0</v>
      </c>
      <c r="AI1169" s="1488"/>
      <c r="AJ1169" s="1488"/>
      <c r="AK1169" s="1488"/>
      <c r="AL1169" s="1488"/>
      <c r="AM1169" s="1488"/>
      <c r="AN1169" s="1488"/>
      <c r="AO1169" s="1488"/>
      <c r="AP1169" s="1488"/>
      <c r="AQ1169" s="1488"/>
      <c r="AR1169" s="1488"/>
      <c r="AS1169" s="1488"/>
      <c r="AT1169" s="1542"/>
      <c r="AU1169" s="1599">
        <f t="shared" si="615"/>
        <v>0</v>
      </c>
      <c r="AV1169" s="1544">
        <f t="shared" si="643"/>
        <v>0</v>
      </c>
      <c r="AW1169" s="1452">
        <f t="shared" si="616"/>
        <v>0</v>
      </c>
      <c r="AX1169" s="1452">
        <f t="shared" si="617"/>
        <v>0</v>
      </c>
      <c r="AY1169" s="1452">
        <f t="shared" si="618"/>
        <v>0</v>
      </c>
      <c r="AZ1169" s="1452">
        <f t="shared" si="619"/>
        <v>0</v>
      </c>
      <c r="BA1169" s="1452">
        <f t="shared" si="620"/>
        <v>0</v>
      </c>
      <c r="BB1169" s="1452">
        <f t="shared" si="621"/>
        <v>0</v>
      </c>
      <c r="BC1169" s="1452">
        <f t="shared" si="622"/>
        <v>0</v>
      </c>
      <c r="BD1169" s="1452">
        <f t="shared" si="623"/>
        <v>0</v>
      </c>
      <c r="BE1169" s="1452">
        <f t="shared" si="624"/>
        <v>0</v>
      </c>
      <c r="BF1169" s="1452">
        <f t="shared" si="625"/>
        <v>0</v>
      </c>
      <c r="BG1169" s="1452">
        <f t="shared" si="626"/>
        <v>0</v>
      </c>
      <c r="BH1169" s="1452">
        <f t="shared" si="627"/>
        <v>0</v>
      </c>
      <c r="BI1169" s="1452">
        <f t="shared" si="644"/>
        <v>0</v>
      </c>
      <c r="BJ1169" s="1452" t="str">
        <f t="shared" si="628"/>
        <v/>
      </c>
      <c r="BK1169" s="1452" t="str">
        <f t="shared" si="629"/>
        <v/>
      </c>
      <c r="BL1169" s="1452" t="str">
        <f t="shared" si="630"/>
        <v/>
      </c>
      <c r="BM1169" s="1452" t="str">
        <f t="shared" si="631"/>
        <v/>
      </c>
      <c r="BN1169" s="1452" t="str">
        <f t="shared" ca="1" si="632"/>
        <v/>
      </c>
      <c r="BO1169" s="1452" t="str">
        <f t="shared" si="645"/>
        <v/>
      </c>
      <c r="BP1169" s="1452" t="str">
        <f t="shared" si="633"/>
        <v/>
      </c>
      <c r="BQ1169" s="1452" t="str">
        <f t="shared" si="634"/>
        <v/>
      </c>
      <c r="BR1169" s="1452" t="str">
        <f t="shared" si="635"/>
        <v/>
      </c>
      <c r="BS1169" s="1452" t="str">
        <f t="shared" si="636"/>
        <v/>
      </c>
      <c r="BT1169" s="1452" t="str">
        <f t="shared" si="637"/>
        <v/>
      </c>
      <c r="BU1169" s="1452" t="str">
        <f t="shared" si="638"/>
        <v/>
      </c>
      <c r="BV1169" s="1452" t="str">
        <f t="shared" si="639"/>
        <v/>
      </c>
      <c r="BW1169" s="1558">
        <f t="shared" ca="1" si="646"/>
        <v>0</v>
      </c>
    </row>
    <row r="1170" spans="1:75" s="9" customFormat="1" ht="12.5">
      <c r="A1170" s="1483" t="str">
        <f t="shared" si="640"/>
        <v>Public Health Wales Trust</v>
      </c>
      <c r="B1170" s="1583"/>
      <c r="C1170" s="1583"/>
      <c r="D1170" s="1583"/>
      <c r="E1170" s="1581"/>
      <c r="F1170" s="1436"/>
      <c r="G1170" s="1547">
        <f t="shared" si="641"/>
        <v>0</v>
      </c>
      <c r="H1170" s="1484"/>
      <c r="I1170" s="1547">
        <f t="shared" si="642"/>
        <v>0</v>
      </c>
      <c r="J1170" s="1516"/>
      <c r="K1170" s="1516"/>
      <c r="L1170" s="1436"/>
      <c r="M1170" s="1439"/>
      <c r="N1170" s="1439"/>
      <c r="O1170" s="1485"/>
      <c r="P1170" s="1486"/>
      <c r="Q1170" s="1486"/>
      <c r="R1170" s="1487"/>
      <c r="S1170" s="1444"/>
      <c r="T1170" s="1444"/>
      <c r="U1170" s="1444"/>
      <c r="V1170" s="1488"/>
      <c r="W1170" s="1488"/>
      <c r="X1170" s="1488"/>
      <c r="Y1170" s="1488"/>
      <c r="Z1170" s="1488"/>
      <c r="AA1170" s="1488"/>
      <c r="AB1170" s="1488"/>
      <c r="AC1170" s="1488"/>
      <c r="AD1170" s="1488"/>
      <c r="AE1170" s="1488"/>
      <c r="AF1170" s="1488"/>
      <c r="AG1170" s="1488"/>
      <c r="AH1170" s="1451">
        <f t="shared" si="614"/>
        <v>0</v>
      </c>
      <c r="AI1170" s="1488"/>
      <c r="AJ1170" s="1488"/>
      <c r="AK1170" s="1488"/>
      <c r="AL1170" s="1488"/>
      <c r="AM1170" s="1488"/>
      <c r="AN1170" s="1488"/>
      <c r="AO1170" s="1488"/>
      <c r="AP1170" s="1488"/>
      <c r="AQ1170" s="1488"/>
      <c r="AR1170" s="1488"/>
      <c r="AS1170" s="1488"/>
      <c r="AT1170" s="1542"/>
      <c r="AU1170" s="1599">
        <f t="shared" si="615"/>
        <v>0</v>
      </c>
      <c r="AV1170" s="1544">
        <f t="shared" si="643"/>
        <v>0</v>
      </c>
      <c r="AW1170" s="1452">
        <f t="shared" si="616"/>
        <v>0</v>
      </c>
      <c r="AX1170" s="1452">
        <f t="shared" si="617"/>
        <v>0</v>
      </c>
      <c r="AY1170" s="1452">
        <f t="shared" si="618"/>
        <v>0</v>
      </c>
      <c r="AZ1170" s="1452">
        <f t="shared" si="619"/>
        <v>0</v>
      </c>
      <c r="BA1170" s="1452">
        <f t="shared" si="620"/>
        <v>0</v>
      </c>
      <c r="BB1170" s="1452">
        <f t="shared" si="621"/>
        <v>0</v>
      </c>
      <c r="BC1170" s="1452">
        <f t="shared" si="622"/>
        <v>0</v>
      </c>
      <c r="BD1170" s="1452">
        <f t="shared" si="623"/>
        <v>0</v>
      </c>
      <c r="BE1170" s="1452">
        <f t="shared" si="624"/>
        <v>0</v>
      </c>
      <c r="BF1170" s="1452">
        <f t="shared" si="625"/>
        <v>0</v>
      </c>
      <c r="BG1170" s="1452">
        <f t="shared" si="626"/>
        <v>0</v>
      </c>
      <c r="BH1170" s="1452">
        <f t="shared" si="627"/>
        <v>0</v>
      </c>
      <c r="BI1170" s="1452">
        <f t="shared" si="644"/>
        <v>0</v>
      </c>
      <c r="BJ1170" s="1452" t="str">
        <f t="shared" si="628"/>
        <v/>
      </c>
      <c r="BK1170" s="1452" t="str">
        <f t="shared" si="629"/>
        <v/>
      </c>
      <c r="BL1170" s="1452" t="str">
        <f t="shared" si="630"/>
        <v/>
      </c>
      <c r="BM1170" s="1452" t="str">
        <f t="shared" si="631"/>
        <v/>
      </c>
      <c r="BN1170" s="1452" t="str">
        <f t="shared" ca="1" si="632"/>
        <v/>
      </c>
      <c r="BO1170" s="1452" t="str">
        <f t="shared" si="645"/>
        <v/>
      </c>
      <c r="BP1170" s="1452" t="str">
        <f t="shared" si="633"/>
        <v/>
      </c>
      <c r="BQ1170" s="1452" t="str">
        <f t="shared" si="634"/>
        <v/>
      </c>
      <c r="BR1170" s="1452" t="str">
        <f t="shared" si="635"/>
        <v/>
      </c>
      <c r="BS1170" s="1452" t="str">
        <f t="shared" si="636"/>
        <v/>
      </c>
      <c r="BT1170" s="1452" t="str">
        <f t="shared" si="637"/>
        <v/>
      </c>
      <c r="BU1170" s="1452" t="str">
        <f t="shared" si="638"/>
        <v/>
      </c>
      <c r="BV1170" s="1452" t="str">
        <f t="shared" si="639"/>
        <v/>
      </c>
      <c r="BW1170" s="1558">
        <f t="shared" ca="1" si="646"/>
        <v>0</v>
      </c>
    </row>
    <row r="1171" spans="1:75" s="9" customFormat="1" ht="12.5">
      <c r="A1171" s="1483" t="str">
        <f t="shared" si="640"/>
        <v>Public Health Wales Trust</v>
      </c>
      <c r="B1171" s="1583"/>
      <c r="C1171" s="1583"/>
      <c r="D1171" s="1583"/>
      <c r="E1171" s="1581"/>
      <c r="F1171" s="1436"/>
      <c r="G1171" s="1547">
        <f t="shared" si="641"/>
        <v>0</v>
      </c>
      <c r="H1171" s="1484"/>
      <c r="I1171" s="1547">
        <f t="shared" si="642"/>
        <v>0</v>
      </c>
      <c r="J1171" s="1516"/>
      <c r="K1171" s="1516"/>
      <c r="L1171" s="1436"/>
      <c r="M1171" s="1439"/>
      <c r="N1171" s="1439"/>
      <c r="O1171" s="1485"/>
      <c r="P1171" s="1486"/>
      <c r="Q1171" s="1486"/>
      <c r="R1171" s="1487"/>
      <c r="S1171" s="1444"/>
      <c r="T1171" s="1444"/>
      <c r="U1171" s="1444"/>
      <c r="V1171" s="1488"/>
      <c r="W1171" s="1488"/>
      <c r="X1171" s="1488"/>
      <c r="Y1171" s="1488"/>
      <c r="Z1171" s="1488"/>
      <c r="AA1171" s="1488"/>
      <c r="AB1171" s="1488"/>
      <c r="AC1171" s="1488"/>
      <c r="AD1171" s="1488"/>
      <c r="AE1171" s="1488"/>
      <c r="AF1171" s="1488"/>
      <c r="AG1171" s="1488"/>
      <c r="AH1171" s="1451">
        <f t="shared" si="614"/>
        <v>0</v>
      </c>
      <c r="AI1171" s="1488"/>
      <c r="AJ1171" s="1488"/>
      <c r="AK1171" s="1488"/>
      <c r="AL1171" s="1488"/>
      <c r="AM1171" s="1488"/>
      <c r="AN1171" s="1488"/>
      <c r="AO1171" s="1488"/>
      <c r="AP1171" s="1488"/>
      <c r="AQ1171" s="1488"/>
      <c r="AR1171" s="1488"/>
      <c r="AS1171" s="1488"/>
      <c r="AT1171" s="1542"/>
      <c r="AU1171" s="1599">
        <f t="shared" si="615"/>
        <v>0</v>
      </c>
      <c r="AV1171" s="1544">
        <f t="shared" si="643"/>
        <v>0</v>
      </c>
      <c r="AW1171" s="1452">
        <f t="shared" si="616"/>
        <v>0</v>
      </c>
      <c r="AX1171" s="1452">
        <f t="shared" si="617"/>
        <v>0</v>
      </c>
      <c r="AY1171" s="1452">
        <f t="shared" si="618"/>
        <v>0</v>
      </c>
      <c r="AZ1171" s="1452">
        <f t="shared" si="619"/>
        <v>0</v>
      </c>
      <c r="BA1171" s="1452">
        <f t="shared" si="620"/>
        <v>0</v>
      </c>
      <c r="BB1171" s="1452">
        <f t="shared" si="621"/>
        <v>0</v>
      </c>
      <c r="BC1171" s="1452">
        <f t="shared" si="622"/>
        <v>0</v>
      </c>
      <c r="BD1171" s="1452">
        <f t="shared" si="623"/>
        <v>0</v>
      </c>
      <c r="BE1171" s="1452">
        <f t="shared" si="624"/>
        <v>0</v>
      </c>
      <c r="BF1171" s="1452">
        <f t="shared" si="625"/>
        <v>0</v>
      </c>
      <c r="BG1171" s="1452">
        <f t="shared" si="626"/>
        <v>0</v>
      </c>
      <c r="BH1171" s="1452">
        <f t="shared" si="627"/>
        <v>0</v>
      </c>
      <c r="BI1171" s="1452">
        <f t="shared" si="644"/>
        <v>0</v>
      </c>
      <c r="BJ1171" s="1452" t="str">
        <f t="shared" si="628"/>
        <v/>
      </c>
      <c r="BK1171" s="1452" t="str">
        <f t="shared" si="629"/>
        <v/>
      </c>
      <c r="BL1171" s="1452" t="str">
        <f t="shared" si="630"/>
        <v/>
      </c>
      <c r="BM1171" s="1452" t="str">
        <f t="shared" si="631"/>
        <v/>
      </c>
      <c r="BN1171" s="1452" t="str">
        <f t="shared" ca="1" si="632"/>
        <v/>
      </c>
      <c r="BO1171" s="1452" t="str">
        <f t="shared" si="645"/>
        <v/>
      </c>
      <c r="BP1171" s="1452" t="str">
        <f t="shared" si="633"/>
        <v/>
      </c>
      <c r="BQ1171" s="1452" t="str">
        <f t="shared" si="634"/>
        <v/>
      </c>
      <c r="BR1171" s="1452" t="str">
        <f t="shared" si="635"/>
        <v/>
      </c>
      <c r="BS1171" s="1452" t="str">
        <f t="shared" si="636"/>
        <v/>
      </c>
      <c r="BT1171" s="1452" t="str">
        <f t="shared" si="637"/>
        <v/>
      </c>
      <c r="BU1171" s="1452" t="str">
        <f t="shared" si="638"/>
        <v/>
      </c>
      <c r="BV1171" s="1452" t="str">
        <f t="shared" si="639"/>
        <v/>
      </c>
      <c r="BW1171" s="1558">
        <f t="shared" ca="1" si="646"/>
        <v>0</v>
      </c>
    </row>
    <row r="1172" spans="1:75" s="9" customFormat="1" ht="12.5">
      <c r="A1172" s="1483" t="str">
        <f t="shared" si="640"/>
        <v>Public Health Wales Trust</v>
      </c>
      <c r="B1172" s="1583"/>
      <c r="C1172" s="1583"/>
      <c r="D1172" s="1583"/>
      <c r="E1172" s="1581"/>
      <c r="F1172" s="1436"/>
      <c r="G1172" s="1547">
        <f t="shared" si="641"/>
        <v>0</v>
      </c>
      <c r="H1172" s="1484"/>
      <c r="I1172" s="1547">
        <f t="shared" si="642"/>
        <v>0</v>
      </c>
      <c r="J1172" s="1516"/>
      <c r="K1172" s="1516"/>
      <c r="L1172" s="1436"/>
      <c r="M1172" s="1439"/>
      <c r="N1172" s="1439"/>
      <c r="O1172" s="1485"/>
      <c r="P1172" s="1486"/>
      <c r="Q1172" s="1486"/>
      <c r="R1172" s="1487"/>
      <c r="S1172" s="1444"/>
      <c r="T1172" s="1444"/>
      <c r="U1172" s="1444"/>
      <c r="V1172" s="1488"/>
      <c r="W1172" s="1488"/>
      <c r="X1172" s="1488"/>
      <c r="Y1172" s="1488"/>
      <c r="Z1172" s="1488"/>
      <c r="AA1172" s="1488"/>
      <c r="AB1172" s="1488"/>
      <c r="AC1172" s="1488"/>
      <c r="AD1172" s="1488"/>
      <c r="AE1172" s="1488"/>
      <c r="AF1172" s="1488"/>
      <c r="AG1172" s="1488"/>
      <c r="AH1172" s="1451">
        <f t="shared" si="614"/>
        <v>0</v>
      </c>
      <c r="AI1172" s="1488"/>
      <c r="AJ1172" s="1488"/>
      <c r="AK1172" s="1488"/>
      <c r="AL1172" s="1488"/>
      <c r="AM1172" s="1488"/>
      <c r="AN1172" s="1488"/>
      <c r="AO1172" s="1488"/>
      <c r="AP1172" s="1488"/>
      <c r="AQ1172" s="1488"/>
      <c r="AR1172" s="1488"/>
      <c r="AS1172" s="1488"/>
      <c r="AT1172" s="1542"/>
      <c r="AU1172" s="1599">
        <f t="shared" si="615"/>
        <v>0</v>
      </c>
      <c r="AV1172" s="1544">
        <f t="shared" si="643"/>
        <v>0</v>
      </c>
      <c r="AW1172" s="1452">
        <f t="shared" si="616"/>
        <v>0</v>
      </c>
      <c r="AX1172" s="1452">
        <f t="shared" si="617"/>
        <v>0</v>
      </c>
      <c r="AY1172" s="1452">
        <f t="shared" si="618"/>
        <v>0</v>
      </c>
      <c r="AZ1172" s="1452">
        <f t="shared" si="619"/>
        <v>0</v>
      </c>
      <c r="BA1172" s="1452">
        <f t="shared" si="620"/>
        <v>0</v>
      </c>
      <c r="BB1172" s="1452">
        <f t="shared" si="621"/>
        <v>0</v>
      </c>
      <c r="BC1172" s="1452">
        <f t="shared" si="622"/>
        <v>0</v>
      </c>
      <c r="BD1172" s="1452">
        <f t="shared" si="623"/>
        <v>0</v>
      </c>
      <c r="BE1172" s="1452">
        <f t="shared" si="624"/>
        <v>0</v>
      </c>
      <c r="BF1172" s="1452">
        <f t="shared" si="625"/>
        <v>0</v>
      </c>
      <c r="BG1172" s="1452">
        <f t="shared" si="626"/>
        <v>0</v>
      </c>
      <c r="BH1172" s="1452">
        <f t="shared" si="627"/>
        <v>0</v>
      </c>
      <c r="BI1172" s="1452">
        <f t="shared" si="644"/>
        <v>0</v>
      </c>
      <c r="BJ1172" s="1452" t="str">
        <f t="shared" si="628"/>
        <v/>
      </c>
      <c r="BK1172" s="1452" t="str">
        <f t="shared" si="629"/>
        <v/>
      </c>
      <c r="BL1172" s="1452" t="str">
        <f t="shared" si="630"/>
        <v/>
      </c>
      <c r="BM1172" s="1452" t="str">
        <f t="shared" si="631"/>
        <v/>
      </c>
      <c r="BN1172" s="1452" t="str">
        <f t="shared" ca="1" si="632"/>
        <v/>
      </c>
      <c r="BO1172" s="1452" t="str">
        <f t="shared" si="645"/>
        <v/>
      </c>
      <c r="BP1172" s="1452" t="str">
        <f t="shared" si="633"/>
        <v/>
      </c>
      <c r="BQ1172" s="1452" t="str">
        <f t="shared" si="634"/>
        <v/>
      </c>
      <c r="BR1172" s="1452" t="str">
        <f t="shared" si="635"/>
        <v/>
      </c>
      <c r="BS1172" s="1452" t="str">
        <f t="shared" si="636"/>
        <v/>
      </c>
      <c r="BT1172" s="1452" t="str">
        <f t="shared" si="637"/>
        <v/>
      </c>
      <c r="BU1172" s="1452" t="str">
        <f t="shared" si="638"/>
        <v/>
      </c>
      <c r="BV1172" s="1452" t="str">
        <f t="shared" si="639"/>
        <v/>
      </c>
      <c r="BW1172" s="1558">
        <f t="shared" ca="1" si="646"/>
        <v>0</v>
      </c>
    </row>
    <row r="1173" spans="1:75" s="9" customFormat="1" ht="12.5">
      <c r="A1173" s="1483" t="str">
        <f t="shared" si="640"/>
        <v>Public Health Wales Trust</v>
      </c>
      <c r="B1173" s="1583"/>
      <c r="C1173" s="1583"/>
      <c r="D1173" s="1583"/>
      <c r="E1173" s="1581"/>
      <c r="F1173" s="1436"/>
      <c r="G1173" s="1547">
        <f t="shared" si="641"/>
        <v>0</v>
      </c>
      <c r="H1173" s="1484"/>
      <c r="I1173" s="1547">
        <f t="shared" si="642"/>
        <v>0</v>
      </c>
      <c r="J1173" s="1516"/>
      <c r="K1173" s="1516"/>
      <c r="L1173" s="1436"/>
      <c r="M1173" s="1439"/>
      <c r="N1173" s="1439"/>
      <c r="O1173" s="1485"/>
      <c r="P1173" s="1486"/>
      <c r="Q1173" s="1486"/>
      <c r="R1173" s="1487"/>
      <c r="S1173" s="1444"/>
      <c r="T1173" s="1444"/>
      <c r="U1173" s="1444"/>
      <c r="V1173" s="1488"/>
      <c r="W1173" s="1488"/>
      <c r="X1173" s="1488"/>
      <c r="Y1173" s="1488"/>
      <c r="Z1173" s="1488"/>
      <c r="AA1173" s="1488"/>
      <c r="AB1173" s="1488"/>
      <c r="AC1173" s="1488"/>
      <c r="AD1173" s="1488"/>
      <c r="AE1173" s="1488"/>
      <c r="AF1173" s="1488"/>
      <c r="AG1173" s="1488"/>
      <c r="AH1173" s="1451">
        <f t="shared" si="614"/>
        <v>0</v>
      </c>
      <c r="AI1173" s="1488"/>
      <c r="AJ1173" s="1488"/>
      <c r="AK1173" s="1488"/>
      <c r="AL1173" s="1488"/>
      <c r="AM1173" s="1488"/>
      <c r="AN1173" s="1488"/>
      <c r="AO1173" s="1488"/>
      <c r="AP1173" s="1488"/>
      <c r="AQ1173" s="1488"/>
      <c r="AR1173" s="1488"/>
      <c r="AS1173" s="1488"/>
      <c r="AT1173" s="1542"/>
      <c r="AU1173" s="1599">
        <f t="shared" si="615"/>
        <v>0</v>
      </c>
      <c r="AV1173" s="1544">
        <f t="shared" si="643"/>
        <v>0</v>
      </c>
      <c r="AW1173" s="1452">
        <f t="shared" si="616"/>
        <v>0</v>
      </c>
      <c r="AX1173" s="1452">
        <f t="shared" si="617"/>
        <v>0</v>
      </c>
      <c r="AY1173" s="1452">
        <f t="shared" si="618"/>
        <v>0</v>
      </c>
      <c r="AZ1173" s="1452">
        <f t="shared" si="619"/>
        <v>0</v>
      </c>
      <c r="BA1173" s="1452">
        <f t="shared" si="620"/>
        <v>0</v>
      </c>
      <c r="BB1173" s="1452">
        <f t="shared" si="621"/>
        <v>0</v>
      </c>
      <c r="BC1173" s="1452">
        <f t="shared" si="622"/>
        <v>0</v>
      </c>
      <c r="BD1173" s="1452">
        <f t="shared" si="623"/>
        <v>0</v>
      </c>
      <c r="BE1173" s="1452">
        <f t="shared" si="624"/>
        <v>0</v>
      </c>
      <c r="BF1173" s="1452">
        <f t="shared" si="625"/>
        <v>0</v>
      </c>
      <c r="BG1173" s="1452">
        <f t="shared" si="626"/>
        <v>0</v>
      </c>
      <c r="BH1173" s="1452">
        <f t="shared" si="627"/>
        <v>0</v>
      </c>
      <c r="BI1173" s="1452">
        <f t="shared" si="644"/>
        <v>0</v>
      </c>
      <c r="BJ1173" s="1452" t="str">
        <f t="shared" si="628"/>
        <v/>
      </c>
      <c r="BK1173" s="1452" t="str">
        <f t="shared" si="629"/>
        <v/>
      </c>
      <c r="BL1173" s="1452" t="str">
        <f t="shared" si="630"/>
        <v/>
      </c>
      <c r="BM1173" s="1452" t="str">
        <f t="shared" si="631"/>
        <v/>
      </c>
      <c r="BN1173" s="1452" t="str">
        <f t="shared" ca="1" si="632"/>
        <v/>
      </c>
      <c r="BO1173" s="1452" t="str">
        <f t="shared" si="645"/>
        <v/>
      </c>
      <c r="BP1173" s="1452" t="str">
        <f t="shared" si="633"/>
        <v/>
      </c>
      <c r="BQ1173" s="1452" t="str">
        <f t="shared" si="634"/>
        <v/>
      </c>
      <c r="BR1173" s="1452" t="str">
        <f t="shared" si="635"/>
        <v/>
      </c>
      <c r="BS1173" s="1452" t="str">
        <f t="shared" si="636"/>
        <v/>
      </c>
      <c r="BT1173" s="1452" t="str">
        <f t="shared" si="637"/>
        <v/>
      </c>
      <c r="BU1173" s="1452" t="str">
        <f t="shared" si="638"/>
        <v/>
      </c>
      <c r="BV1173" s="1452" t="str">
        <f t="shared" si="639"/>
        <v/>
      </c>
      <c r="BW1173" s="1558">
        <f t="shared" ca="1" si="646"/>
        <v>0</v>
      </c>
    </row>
    <row r="1174" spans="1:75" s="9" customFormat="1" ht="12.5">
      <c r="A1174" s="1483" t="str">
        <f t="shared" si="640"/>
        <v>Public Health Wales Trust</v>
      </c>
      <c r="B1174" s="1583"/>
      <c r="C1174" s="1583"/>
      <c r="D1174" s="1583"/>
      <c r="E1174" s="1581"/>
      <c r="F1174" s="1436"/>
      <c r="G1174" s="1547">
        <f t="shared" si="641"/>
        <v>0</v>
      </c>
      <c r="H1174" s="1484"/>
      <c r="I1174" s="1547">
        <f t="shared" si="642"/>
        <v>0</v>
      </c>
      <c r="J1174" s="1516"/>
      <c r="K1174" s="1516"/>
      <c r="L1174" s="1436"/>
      <c r="M1174" s="1439"/>
      <c r="N1174" s="1439"/>
      <c r="O1174" s="1485"/>
      <c r="P1174" s="1486"/>
      <c r="Q1174" s="1486"/>
      <c r="R1174" s="1487"/>
      <c r="S1174" s="1444"/>
      <c r="T1174" s="1444"/>
      <c r="U1174" s="1444"/>
      <c r="V1174" s="1488"/>
      <c r="W1174" s="1488"/>
      <c r="X1174" s="1488"/>
      <c r="Y1174" s="1488"/>
      <c r="Z1174" s="1488"/>
      <c r="AA1174" s="1488"/>
      <c r="AB1174" s="1488"/>
      <c r="AC1174" s="1488"/>
      <c r="AD1174" s="1488"/>
      <c r="AE1174" s="1488"/>
      <c r="AF1174" s="1488"/>
      <c r="AG1174" s="1488"/>
      <c r="AH1174" s="1451">
        <f t="shared" si="614"/>
        <v>0</v>
      </c>
      <c r="AI1174" s="1488"/>
      <c r="AJ1174" s="1488"/>
      <c r="AK1174" s="1488"/>
      <c r="AL1174" s="1488"/>
      <c r="AM1174" s="1488"/>
      <c r="AN1174" s="1488"/>
      <c r="AO1174" s="1488"/>
      <c r="AP1174" s="1488"/>
      <c r="AQ1174" s="1488"/>
      <c r="AR1174" s="1488"/>
      <c r="AS1174" s="1488"/>
      <c r="AT1174" s="1542"/>
      <c r="AU1174" s="1599">
        <f t="shared" si="615"/>
        <v>0</v>
      </c>
      <c r="AV1174" s="1544">
        <f t="shared" si="643"/>
        <v>0</v>
      </c>
      <c r="AW1174" s="1452">
        <f t="shared" si="616"/>
        <v>0</v>
      </c>
      <c r="AX1174" s="1452">
        <f t="shared" si="617"/>
        <v>0</v>
      </c>
      <c r="AY1174" s="1452">
        <f t="shared" si="618"/>
        <v>0</v>
      </c>
      <c r="AZ1174" s="1452">
        <f t="shared" si="619"/>
        <v>0</v>
      </c>
      <c r="BA1174" s="1452">
        <f t="shared" si="620"/>
        <v>0</v>
      </c>
      <c r="BB1174" s="1452">
        <f t="shared" si="621"/>
        <v>0</v>
      </c>
      <c r="BC1174" s="1452">
        <f t="shared" si="622"/>
        <v>0</v>
      </c>
      <c r="BD1174" s="1452">
        <f t="shared" si="623"/>
        <v>0</v>
      </c>
      <c r="BE1174" s="1452">
        <f t="shared" si="624"/>
        <v>0</v>
      </c>
      <c r="BF1174" s="1452">
        <f t="shared" si="625"/>
        <v>0</v>
      </c>
      <c r="BG1174" s="1452">
        <f t="shared" si="626"/>
        <v>0</v>
      </c>
      <c r="BH1174" s="1452">
        <f t="shared" si="627"/>
        <v>0</v>
      </c>
      <c r="BI1174" s="1452">
        <f t="shared" si="644"/>
        <v>0</v>
      </c>
      <c r="BJ1174" s="1452" t="str">
        <f t="shared" si="628"/>
        <v/>
      </c>
      <c r="BK1174" s="1452" t="str">
        <f t="shared" si="629"/>
        <v/>
      </c>
      <c r="BL1174" s="1452" t="str">
        <f t="shared" si="630"/>
        <v/>
      </c>
      <c r="BM1174" s="1452" t="str">
        <f t="shared" si="631"/>
        <v/>
      </c>
      <c r="BN1174" s="1452" t="str">
        <f t="shared" ca="1" si="632"/>
        <v/>
      </c>
      <c r="BO1174" s="1452" t="str">
        <f t="shared" si="645"/>
        <v/>
      </c>
      <c r="BP1174" s="1452" t="str">
        <f t="shared" si="633"/>
        <v/>
      </c>
      <c r="BQ1174" s="1452" t="str">
        <f t="shared" si="634"/>
        <v/>
      </c>
      <c r="BR1174" s="1452" t="str">
        <f t="shared" si="635"/>
        <v/>
      </c>
      <c r="BS1174" s="1452" t="str">
        <f t="shared" si="636"/>
        <v/>
      </c>
      <c r="BT1174" s="1452" t="str">
        <f t="shared" si="637"/>
        <v/>
      </c>
      <c r="BU1174" s="1452" t="str">
        <f t="shared" si="638"/>
        <v/>
      </c>
      <c r="BV1174" s="1452" t="str">
        <f t="shared" si="639"/>
        <v/>
      </c>
      <c r="BW1174" s="1558">
        <f t="shared" ca="1" si="646"/>
        <v>0</v>
      </c>
    </row>
    <row r="1175" spans="1:75" s="9" customFormat="1" ht="12.5">
      <c r="A1175" s="1483" t="str">
        <f t="shared" si="640"/>
        <v>Public Health Wales Trust</v>
      </c>
      <c r="B1175" s="1583"/>
      <c r="C1175" s="1583"/>
      <c r="D1175" s="1583"/>
      <c r="E1175" s="1581"/>
      <c r="F1175" s="1436"/>
      <c r="G1175" s="1547">
        <f t="shared" si="641"/>
        <v>0</v>
      </c>
      <c r="H1175" s="1484"/>
      <c r="I1175" s="1547">
        <f t="shared" si="642"/>
        <v>0</v>
      </c>
      <c r="J1175" s="1516"/>
      <c r="K1175" s="1516"/>
      <c r="L1175" s="1436"/>
      <c r="M1175" s="1439"/>
      <c r="N1175" s="1439"/>
      <c r="O1175" s="1485"/>
      <c r="P1175" s="1486"/>
      <c r="Q1175" s="1486"/>
      <c r="R1175" s="1487"/>
      <c r="S1175" s="1444"/>
      <c r="T1175" s="1444"/>
      <c r="U1175" s="1444"/>
      <c r="V1175" s="1488"/>
      <c r="W1175" s="1488"/>
      <c r="X1175" s="1488"/>
      <c r="Y1175" s="1488"/>
      <c r="Z1175" s="1488"/>
      <c r="AA1175" s="1488"/>
      <c r="AB1175" s="1488"/>
      <c r="AC1175" s="1488"/>
      <c r="AD1175" s="1488"/>
      <c r="AE1175" s="1488"/>
      <c r="AF1175" s="1488"/>
      <c r="AG1175" s="1488"/>
      <c r="AH1175" s="1451">
        <f t="shared" si="614"/>
        <v>0</v>
      </c>
      <c r="AI1175" s="1488"/>
      <c r="AJ1175" s="1488"/>
      <c r="AK1175" s="1488"/>
      <c r="AL1175" s="1488"/>
      <c r="AM1175" s="1488"/>
      <c r="AN1175" s="1488"/>
      <c r="AO1175" s="1488"/>
      <c r="AP1175" s="1488"/>
      <c r="AQ1175" s="1488"/>
      <c r="AR1175" s="1488"/>
      <c r="AS1175" s="1488"/>
      <c r="AT1175" s="1542"/>
      <c r="AU1175" s="1599">
        <f t="shared" si="615"/>
        <v>0</v>
      </c>
      <c r="AV1175" s="1544">
        <f t="shared" si="643"/>
        <v>0</v>
      </c>
      <c r="AW1175" s="1452">
        <f t="shared" si="616"/>
        <v>0</v>
      </c>
      <c r="AX1175" s="1452">
        <f t="shared" si="617"/>
        <v>0</v>
      </c>
      <c r="AY1175" s="1452">
        <f t="shared" si="618"/>
        <v>0</v>
      </c>
      <c r="AZ1175" s="1452">
        <f t="shared" si="619"/>
        <v>0</v>
      </c>
      <c r="BA1175" s="1452">
        <f t="shared" si="620"/>
        <v>0</v>
      </c>
      <c r="BB1175" s="1452">
        <f t="shared" si="621"/>
        <v>0</v>
      </c>
      <c r="BC1175" s="1452">
        <f t="shared" si="622"/>
        <v>0</v>
      </c>
      <c r="BD1175" s="1452">
        <f t="shared" si="623"/>
        <v>0</v>
      </c>
      <c r="BE1175" s="1452">
        <f t="shared" si="624"/>
        <v>0</v>
      </c>
      <c r="BF1175" s="1452">
        <f t="shared" si="625"/>
        <v>0</v>
      </c>
      <c r="BG1175" s="1452">
        <f t="shared" si="626"/>
        <v>0</v>
      </c>
      <c r="BH1175" s="1452">
        <f t="shared" si="627"/>
        <v>0</v>
      </c>
      <c r="BI1175" s="1452">
        <f t="shared" si="644"/>
        <v>0</v>
      </c>
      <c r="BJ1175" s="1452" t="str">
        <f t="shared" si="628"/>
        <v/>
      </c>
      <c r="BK1175" s="1452" t="str">
        <f t="shared" si="629"/>
        <v/>
      </c>
      <c r="BL1175" s="1452" t="str">
        <f t="shared" si="630"/>
        <v/>
      </c>
      <c r="BM1175" s="1452" t="str">
        <f t="shared" si="631"/>
        <v/>
      </c>
      <c r="BN1175" s="1452" t="str">
        <f t="shared" ca="1" si="632"/>
        <v/>
      </c>
      <c r="BO1175" s="1452" t="str">
        <f t="shared" si="645"/>
        <v/>
      </c>
      <c r="BP1175" s="1452" t="str">
        <f t="shared" si="633"/>
        <v/>
      </c>
      <c r="BQ1175" s="1452" t="str">
        <f t="shared" si="634"/>
        <v/>
      </c>
      <c r="BR1175" s="1452" t="str">
        <f t="shared" si="635"/>
        <v/>
      </c>
      <c r="BS1175" s="1452" t="str">
        <f t="shared" si="636"/>
        <v/>
      </c>
      <c r="BT1175" s="1452" t="str">
        <f t="shared" si="637"/>
        <v/>
      </c>
      <c r="BU1175" s="1452" t="str">
        <f t="shared" si="638"/>
        <v/>
      </c>
      <c r="BV1175" s="1452" t="str">
        <f t="shared" si="639"/>
        <v/>
      </c>
      <c r="BW1175" s="1558">
        <f t="shared" ca="1" si="646"/>
        <v>0</v>
      </c>
    </row>
    <row r="1176" spans="1:75" s="9" customFormat="1" ht="12.5">
      <c r="A1176" s="1483" t="str">
        <f t="shared" si="640"/>
        <v>Public Health Wales Trust</v>
      </c>
      <c r="B1176" s="1583"/>
      <c r="C1176" s="1583"/>
      <c r="D1176" s="1583"/>
      <c r="E1176" s="1581"/>
      <c r="F1176" s="1436"/>
      <c r="G1176" s="1547">
        <f t="shared" si="641"/>
        <v>0</v>
      </c>
      <c r="H1176" s="1484"/>
      <c r="I1176" s="1547">
        <f t="shared" si="642"/>
        <v>0</v>
      </c>
      <c r="J1176" s="1516"/>
      <c r="K1176" s="1516"/>
      <c r="L1176" s="1436"/>
      <c r="M1176" s="1439"/>
      <c r="N1176" s="1439"/>
      <c r="O1176" s="1485"/>
      <c r="P1176" s="1486"/>
      <c r="Q1176" s="1486"/>
      <c r="R1176" s="1487"/>
      <c r="S1176" s="1444"/>
      <c r="T1176" s="1444"/>
      <c r="U1176" s="1444"/>
      <c r="V1176" s="1488"/>
      <c r="W1176" s="1488"/>
      <c r="X1176" s="1488"/>
      <c r="Y1176" s="1488"/>
      <c r="Z1176" s="1488"/>
      <c r="AA1176" s="1488"/>
      <c r="AB1176" s="1488"/>
      <c r="AC1176" s="1488"/>
      <c r="AD1176" s="1488"/>
      <c r="AE1176" s="1488"/>
      <c r="AF1176" s="1488"/>
      <c r="AG1176" s="1488"/>
      <c r="AH1176" s="1451">
        <f t="shared" si="614"/>
        <v>0</v>
      </c>
      <c r="AI1176" s="1488"/>
      <c r="AJ1176" s="1488"/>
      <c r="AK1176" s="1488"/>
      <c r="AL1176" s="1488"/>
      <c r="AM1176" s="1488"/>
      <c r="AN1176" s="1488"/>
      <c r="AO1176" s="1488"/>
      <c r="AP1176" s="1488"/>
      <c r="AQ1176" s="1488"/>
      <c r="AR1176" s="1488"/>
      <c r="AS1176" s="1488"/>
      <c r="AT1176" s="1542"/>
      <c r="AU1176" s="1599">
        <f t="shared" si="615"/>
        <v>0</v>
      </c>
      <c r="AV1176" s="1544">
        <f t="shared" si="643"/>
        <v>0</v>
      </c>
      <c r="AW1176" s="1452">
        <f t="shared" si="616"/>
        <v>0</v>
      </c>
      <c r="AX1176" s="1452">
        <f t="shared" si="617"/>
        <v>0</v>
      </c>
      <c r="AY1176" s="1452">
        <f t="shared" si="618"/>
        <v>0</v>
      </c>
      <c r="AZ1176" s="1452">
        <f t="shared" si="619"/>
        <v>0</v>
      </c>
      <c r="BA1176" s="1452">
        <f t="shared" si="620"/>
        <v>0</v>
      </c>
      <c r="BB1176" s="1452">
        <f t="shared" si="621"/>
        <v>0</v>
      </c>
      <c r="BC1176" s="1452">
        <f t="shared" si="622"/>
        <v>0</v>
      </c>
      <c r="BD1176" s="1452">
        <f t="shared" si="623"/>
        <v>0</v>
      </c>
      <c r="BE1176" s="1452">
        <f t="shared" si="624"/>
        <v>0</v>
      </c>
      <c r="BF1176" s="1452">
        <f t="shared" si="625"/>
        <v>0</v>
      </c>
      <c r="BG1176" s="1452">
        <f t="shared" si="626"/>
        <v>0</v>
      </c>
      <c r="BH1176" s="1452">
        <f t="shared" si="627"/>
        <v>0</v>
      </c>
      <c r="BI1176" s="1452">
        <f t="shared" si="644"/>
        <v>0</v>
      </c>
      <c r="BJ1176" s="1452" t="str">
        <f t="shared" si="628"/>
        <v/>
      </c>
      <c r="BK1176" s="1452" t="str">
        <f t="shared" si="629"/>
        <v/>
      </c>
      <c r="BL1176" s="1452" t="str">
        <f t="shared" si="630"/>
        <v/>
      </c>
      <c r="BM1176" s="1452" t="str">
        <f t="shared" si="631"/>
        <v/>
      </c>
      <c r="BN1176" s="1452" t="str">
        <f t="shared" ca="1" si="632"/>
        <v/>
      </c>
      <c r="BO1176" s="1452" t="str">
        <f t="shared" si="645"/>
        <v/>
      </c>
      <c r="BP1176" s="1452" t="str">
        <f t="shared" si="633"/>
        <v/>
      </c>
      <c r="BQ1176" s="1452" t="str">
        <f t="shared" si="634"/>
        <v/>
      </c>
      <c r="BR1176" s="1452" t="str">
        <f t="shared" si="635"/>
        <v/>
      </c>
      <c r="BS1176" s="1452" t="str">
        <f t="shared" si="636"/>
        <v/>
      </c>
      <c r="BT1176" s="1452" t="str">
        <f t="shared" si="637"/>
        <v/>
      </c>
      <c r="BU1176" s="1452" t="str">
        <f t="shared" si="638"/>
        <v/>
      </c>
      <c r="BV1176" s="1452" t="str">
        <f t="shared" si="639"/>
        <v/>
      </c>
      <c r="BW1176" s="1558">
        <f t="shared" ca="1" si="646"/>
        <v>0</v>
      </c>
    </row>
    <row r="1177" spans="1:75" s="9" customFormat="1" ht="12.5">
      <c r="A1177" s="1483" t="str">
        <f t="shared" si="640"/>
        <v>Public Health Wales Trust</v>
      </c>
      <c r="B1177" s="1583"/>
      <c r="C1177" s="1583"/>
      <c r="D1177" s="1583"/>
      <c r="E1177" s="1581"/>
      <c r="F1177" s="1436"/>
      <c r="G1177" s="1547">
        <f t="shared" si="641"/>
        <v>0</v>
      </c>
      <c r="H1177" s="1484"/>
      <c r="I1177" s="1547">
        <f t="shared" si="642"/>
        <v>0</v>
      </c>
      <c r="J1177" s="1516"/>
      <c r="K1177" s="1516"/>
      <c r="L1177" s="1436"/>
      <c r="M1177" s="1439"/>
      <c r="N1177" s="1439"/>
      <c r="O1177" s="1485"/>
      <c r="P1177" s="1486"/>
      <c r="Q1177" s="1486"/>
      <c r="R1177" s="1487"/>
      <c r="S1177" s="1444"/>
      <c r="T1177" s="1444"/>
      <c r="U1177" s="1444"/>
      <c r="V1177" s="1488"/>
      <c r="W1177" s="1488"/>
      <c r="X1177" s="1488"/>
      <c r="Y1177" s="1488"/>
      <c r="Z1177" s="1488"/>
      <c r="AA1177" s="1488"/>
      <c r="AB1177" s="1488"/>
      <c r="AC1177" s="1488"/>
      <c r="AD1177" s="1488"/>
      <c r="AE1177" s="1488"/>
      <c r="AF1177" s="1488"/>
      <c r="AG1177" s="1488"/>
      <c r="AH1177" s="1451">
        <f t="shared" si="614"/>
        <v>0</v>
      </c>
      <c r="AI1177" s="1488"/>
      <c r="AJ1177" s="1488"/>
      <c r="AK1177" s="1488"/>
      <c r="AL1177" s="1488"/>
      <c r="AM1177" s="1488"/>
      <c r="AN1177" s="1488"/>
      <c r="AO1177" s="1488"/>
      <c r="AP1177" s="1488"/>
      <c r="AQ1177" s="1488"/>
      <c r="AR1177" s="1488"/>
      <c r="AS1177" s="1488"/>
      <c r="AT1177" s="1542"/>
      <c r="AU1177" s="1599">
        <f t="shared" si="615"/>
        <v>0</v>
      </c>
      <c r="AV1177" s="1544">
        <f t="shared" si="643"/>
        <v>0</v>
      </c>
      <c r="AW1177" s="1452">
        <f t="shared" si="616"/>
        <v>0</v>
      </c>
      <c r="AX1177" s="1452">
        <f t="shared" si="617"/>
        <v>0</v>
      </c>
      <c r="AY1177" s="1452">
        <f t="shared" si="618"/>
        <v>0</v>
      </c>
      <c r="AZ1177" s="1452">
        <f t="shared" si="619"/>
        <v>0</v>
      </c>
      <c r="BA1177" s="1452">
        <f t="shared" si="620"/>
        <v>0</v>
      </c>
      <c r="BB1177" s="1452">
        <f t="shared" si="621"/>
        <v>0</v>
      </c>
      <c r="BC1177" s="1452">
        <f t="shared" si="622"/>
        <v>0</v>
      </c>
      <c r="BD1177" s="1452">
        <f t="shared" si="623"/>
        <v>0</v>
      </c>
      <c r="BE1177" s="1452">
        <f t="shared" si="624"/>
        <v>0</v>
      </c>
      <c r="BF1177" s="1452">
        <f t="shared" si="625"/>
        <v>0</v>
      </c>
      <c r="BG1177" s="1452">
        <f t="shared" si="626"/>
        <v>0</v>
      </c>
      <c r="BH1177" s="1452">
        <f t="shared" si="627"/>
        <v>0</v>
      </c>
      <c r="BI1177" s="1452">
        <f t="shared" si="644"/>
        <v>0</v>
      </c>
      <c r="BJ1177" s="1452" t="str">
        <f t="shared" si="628"/>
        <v/>
      </c>
      <c r="BK1177" s="1452" t="str">
        <f t="shared" si="629"/>
        <v/>
      </c>
      <c r="BL1177" s="1452" t="str">
        <f t="shared" si="630"/>
        <v/>
      </c>
      <c r="BM1177" s="1452" t="str">
        <f t="shared" si="631"/>
        <v/>
      </c>
      <c r="BN1177" s="1452" t="str">
        <f t="shared" ca="1" si="632"/>
        <v/>
      </c>
      <c r="BO1177" s="1452" t="str">
        <f t="shared" si="645"/>
        <v/>
      </c>
      <c r="BP1177" s="1452" t="str">
        <f t="shared" si="633"/>
        <v/>
      </c>
      <c r="BQ1177" s="1452" t="str">
        <f t="shared" si="634"/>
        <v/>
      </c>
      <c r="BR1177" s="1452" t="str">
        <f t="shared" si="635"/>
        <v/>
      </c>
      <c r="BS1177" s="1452" t="str">
        <f t="shared" si="636"/>
        <v/>
      </c>
      <c r="BT1177" s="1452" t="str">
        <f t="shared" si="637"/>
        <v/>
      </c>
      <c r="BU1177" s="1452" t="str">
        <f t="shared" si="638"/>
        <v/>
      </c>
      <c r="BV1177" s="1452" t="str">
        <f t="shared" si="639"/>
        <v/>
      </c>
      <c r="BW1177" s="1558">
        <f t="shared" ca="1" si="646"/>
        <v>0</v>
      </c>
    </row>
    <row r="1178" spans="1:75" s="9" customFormat="1" ht="12.5">
      <c r="A1178" s="1483" t="str">
        <f t="shared" si="640"/>
        <v>Public Health Wales Trust</v>
      </c>
      <c r="B1178" s="1583"/>
      <c r="C1178" s="1583"/>
      <c r="D1178" s="1583"/>
      <c r="E1178" s="1581"/>
      <c r="F1178" s="1436"/>
      <c r="G1178" s="1547">
        <f t="shared" si="641"/>
        <v>0</v>
      </c>
      <c r="H1178" s="1484"/>
      <c r="I1178" s="1547">
        <f t="shared" si="642"/>
        <v>0</v>
      </c>
      <c r="J1178" s="1516"/>
      <c r="K1178" s="1516"/>
      <c r="L1178" s="1436"/>
      <c r="M1178" s="1439"/>
      <c r="N1178" s="1439"/>
      <c r="O1178" s="1485"/>
      <c r="P1178" s="1486"/>
      <c r="Q1178" s="1486"/>
      <c r="R1178" s="1487"/>
      <c r="S1178" s="1444"/>
      <c r="T1178" s="1444"/>
      <c r="U1178" s="1444"/>
      <c r="V1178" s="1488"/>
      <c r="W1178" s="1488"/>
      <c r="X1178" s="1488"/>
      <c r="Y1178" s="1488"/>
      <c r="Z1178" s="1488"/>
      <c r="AA1178" s="1488"/>
      <c r="AB1178" s="1488"/>
      <c r="AC1178" s="1488"/>
      <c r="AD1178" s="1488"/>
      <c r="AE1178" s="1488"/>
      <c r="AF1178" s="1488"/>
      <c r="AG1178" s="1488"/>
      <c r="AH1178" s="1451">
        <f t="shared" si="614"/>
        <v>0</v>
      </c>
      <c r="AI1178" s="1488"/>
      <c r="AJ1178" s="1488"/>
      <c r="AK1178" s="1488"/>
      <c r="AL1178" s="1488"/>
      <c r="AM1178" s="1488"/>
      <c r="AN1178" s="1488"/>
      <c r="AO1178" s="1488"/>
      <c r="AP1178" s="1488"/>
      <c r="AQ1178" s="1488"/>
      <c r="AR1178" s="1488"/>
      <c r="AS1178" s="1488"/>
      <c r="AT1178" s="1542"/>
      <c r="AU1178" s="1599">
        <f t="shared" si="615"/>
        <v>0</v>
      </c>
      <c r="AV1178" s="1544">
        <f t="shared" si="643"/>
        <v>0</v>
      </c>
      <c r="AW1178" s="1452">
        <f t="shared" si="616"/>
        <v>0</v>
      </c>
      <c r="AX1178" s="1452">
        <f t="shared" si="617"/>
        <v>0</v>
      </c>
      <c r="AY1178" s="1452">
        <f t="shared" si="618"/>
        <v>0</v>
      </c>
      <c r="AZ1178" s="1452">
        <f t="shared" si="619"/>
        <v>0</v>
      </c>
      <c r="BA1178" s="1452">
        <f t="shared" si="620"/>
        <v>0</v>
      </c>
      <c r="BB1178" s="1452">
        <f t="shared" si="621"/>
        <v>0</v>
      </c>
      <c r="BC1178" s="1452">
        <f t="shared" si="622"/>
        <v>0</v>
      </c>
      <c r="BD1178" s="1452">
        <f t="shared" si="623"/>
        <v>0</v>
      </c>
      <c r="BE1178" s="1452">
        <f t="shared" si="624"/>
        <v>0</v>
      </c>
      <c r="BF1178" s="1452">
        <f t="shared" si="625"/>
        <v>0</v>
      </c>
      <c r="BG1178" s="1452">
        <f t="shared" si="626"/>
        <v>0</v>
      </c>
      <c r="BH1178" s="1452">
        <f t="shared" si="627"/>
        <v>0</v>
      </c>
      <c r="BI1178" s="1452">
        <f t="shared" si="644"/>
        <v>0</v>
      </c>
      <c r="BJ1178" s="1452" t="str">
        <f t="shared" si="628"/>
        <v/>
      </c>
      <c r="BK1178" s="1452" t="str">
        <f t="shared" si="629"/>
        <v/>
      </c>
      <c r="BL1178" s="1452" t="str">
        <f t="shared" si="630"/>
        <v/>
      </c>
      <c r="BM1178" s="1452" t="str">
        <f t="shared" si="631"/>
        <v/>
      </c>
      <c r="BN1178" s="1452" t="str">
        <f t="shared" ca="1" si="632"/>
        <v/>
      </c>
      <c r="BO1178" s="1452" t="str">
        <f t="shared" si="645"/>
        <v/>
      </c>
      <c r="BP1178" s="1452" t="str">
        <f t="shared" si="633"/>
        <v/>
      </c>
      <c r="BQ1178" s="1452" t="str">
        <f t="shared" si="634"/>
        <v/>
      </c>
      <c r="BR1178" s="1452" t="str">
        <f t="shared" si="635"/>
        <v/>
      </c>
      <c r="BS1178" s="1452" t="str">
        <f t="shared" si="636"/>
        <v/>
      </c>
      <c r="BT1178" s="1452" t="str">
        <f t="shared" si="637"/>
        <v/>
      </c>
      <c r="BU1178" s="1452" t="str">
        <f t="shared" si="638"/>
        <v/>
      </c>
      <c r="BV1178" s="1452" t="str">
        <f t="shared" si="639"/>
        <v/>
      </c>
      <c r="BW1178" s="1558">
        <f t="shared" ca="1" si="646"/>
        <v>0</v>
      </c>
    </row>
    <row r="1179" spans="1:75" s="9" customFormat="1" ht="12.5">
      <c r="A1179" s="1483" t="str">
        <f t="shared" si="640"/>
        <v>Public Health Wales Trust</v>
      </c>
      <c r="B1179" s="1583"/>
      <c r="C1179" s="1583"/>
      <c r="D1179" s="1583"/>
      <c r="E1179" s="1581"/>
      <c r="F1179" s="1436"/>
      <c r="G1179" s="1547">
        <f t="shared" si="641"/>
        <v>0</v>
      </c>
      <c r="H1179" s="1484"/>
      <c r="I1179" s="1547">
        <f t="shared" si="642"/>
        <v>0</v>
      </c>
      <c r="J1179" s="1516"/>
      <c r="K1179" s="1516"/>
      <c r="L1179" s="1436"/>
      <c r="M1179" s="1439"/>
      <c r="N1179" s="1439"/>
      <c r="O1179" s="1485"/>
      <c r="P1179" s="1486"/>
      <c r="Q1179" s="1486"/>
      <c r="R1179" s="1487"/>
      <c r="S1179" s="1444"/>
      <c r="T1179" s="1444"/>
      <c r="U1179" s="1444"/>
      <c r="V1179" s="1488"/>
      <c r="W1179" s="1488"/>
      <c r="X1179" s="1488"/>
      <c r="Y1179" s="1488"/>
      <c r="Z1179" s="1488"/>
      <c r="AA1179" s="1488"/>
      <c r="AB1179" s="1488"/>
      <c r="AC1179" s="1488"/>
      <c r="AD1179" s="1488"/>
      <c r="AE1179" s="1488"/>
      <c r="AF1179" s="1488"/>
      <c r="AG1179" s="1488"/>
      <c r="AH1179" s="1451">
        <f t="shared" si="614"/>
        <v>0</v>
      </c>
      <c r="AI1179" s="1488"/>
      <c r="AJ1179" s="1488"/>
      <c r="AK1179" s="1488"/>
      <c r="AL1179" s="1488"/>
      <c r="AM1179" s="1488"/>
      <c r="AN1179" s="1488"/>
      <c r="AO1179" s="1488"/>
      <c r="AP1179" s="1488"/>
      <c r="AQ1179" s="1488"/>
      <c r="AR1179" s="1488"/>
      <c r="AS1179" s="1488"/>
      <c r="AT1179" s="1542"/>
      <c r="AU1179" s="1599">
        <f t="shared" si="615"/>
        <v>0</v>
      </c>
      <c r="AV1179" s="1544">
        <f t="shared" si="643"/>
        <v>0</v>
      </c>
      <c r="AW1179" s="1452">
        <f t="shared" si="616"/>
        <v>0</v>
      </c>
      <c r="AX1179" s="1452">
        <f t="shared" si="617"/>
        <v>0</v>
      </c>
      <c r="AY1179" s="1452">
        <f t="shared" si="618"/>
        <v>0</v>
      </c>
      <c r="AZ1179" s="1452">
        <f t="shared" si="619"/>
        <v>0</v>
      </c>
      <c r="BA1179" s="1452">
        <f t="shared" si="620"/>
        <v>0</v>
      </c>
      <c r="BB1179" s="1452">
        <f t="shared" si="621"/>
        <v>0</v>
      </c>
      <c r="BC1179" s="1452">
        <f t="shared" si="622"/>
        <v>0</v>
      </c>
      <c r="BD1179" s="1452">
        <f t="shared" si="623"/>
        <v>0</v>
      </c>
      <c r="BE1179" s="1452">
        <f t="shared" si="624"/>
        <v>0</v>
      </c>
      <c r="BF1179" s="1452">
        <f t="shared" si="625"/>
        <v>0</v>
      </c>
      <c r="BG1179" s="1452">
        <f t="shared" si="626"/>
        <v>0</v>
      </c>
      <c r="BH1179" s="1452">
        <f t="shared" si="627"/>
        <v>0</v>
      </c>
      <c r="BI1179" s="1452">
        <f t="shared" si="644"/>
        <v>0</v>
      </c>
      <c r="BJ1179" s="1452" t="str">
        <f t="shared" si="628"/>
        <v/>
      </c>
      <c r="BK1179" s="1452" t="str">
        <f t="shared" si="629"/>
        <v/>
      </c>
      <c r="BL1179" s="1452" t="str">
        <f t="shared" si="630"/>
        <v/>
      </c>
      <c r="BM1179" s="1452" t="str">
        <f t="shared" si="631"/>
        <v/>
      </c>
      <c r="BN1179" s="1452" t="str">
        <f t="shared" ca="1" si="632"/>
        <v/>
      </c>
      <c r="BO1179" s="1452" t="str">
        <f t="shared" si="645"/>
        <v/>
      </c>
      <c r="BP1179" s="1452" t="str">
        <f t="shared" si="633"/>
        <v/>
      </c>
      <c r="BQ1179" s="1452" t="str">
        <f t="shared" si="634"/>
        <v/>
      </c>
      <c r="BR1179" s="1452" t="str">
        <f t="shared" si="635"/>
        <v/>
      </c>
      <c r="BS1179" s="1452" t="str">
        <f t="shared" si="636"/>
        <v/>
      </c>
      <c r="BT1179" s="1452" t="str">
        <f t="shared" si="637"/>
        <v/>
      </c>
      <c r="BU1179" s="1452" t="str">
        <f t="shared" si="638"/>
        <v/>
      </c>
      <c r="BV1179" s="1452" t="str">
        <f t="shared" si="639"/>
        <v/>
      </c>
      <c r="BW1179" s="1558">
        <f t="shared" ca="1" si="646"/>
        <v>0</v>
      </c>
    </row>
    <row r="1180" spans="1:75" s="9" customFormat="1" ht="12.5">
      <c r="A1180" s="1483" t="str">
        <f t="shared" si="640"/>
        <v>Public Health Wales Trust</v>
      </c>
      <c r="B1180" s="1583"/>
      <c r="C1180" s="1583"/>
      <c r="D1180" s="1583"/>
      <c r="E1180" s="1581"/>
      <c r="F1180" s="1436"/>
      <c r="G1180" s="1547">
        <f t="shared" si="641"/>
        <v>0</v>
      </c>
      <c r="H1180" s="1484"/>
      <c r="I1180" s="1547">
        <f t="shared" si="642"/>
        <v>0</v>
      </c>
      <c r="J1180" s="1516"/>
      <c r="K1180" s="1516"/>
      <c r="L1180" s="1436"/>
      <c r="M1180" s="1439"/>
      <c r="N1180" s="1439"/>
      <c r="O1180" s="1485"/>
      <c r="P1180" s="1486"/>
      <c r="Q1180" s="1486"/>
      <c r="R1180" s="1487"/>
      <c r="S1180" s="1444"/>
      <c r="T1180" s="1444"/>
      <c r="U1180" s="1444"/>
      <c r="V1180" s="1488"/>
      <c r="W1180" s="1488"/>
      <c r="X1180" s="1488"/>
      <c r="Y1180" s="1488"/>
      <c r="Z1180" s="1488"/>
      <c r="AA1180" s="1488"/>
      <c r="AB1180" s="1488"/>
      <c r="AC1180" s="1488"/>
      <c r="AD1180" s="1488"/>
      <c r="AE1180" s="1488"/>
      <c r="AF1180" s="1488"/>
      <c r="AG1180" s="1488"/>
      <c r="AH1180" s="1451">
        <f t="shared" si="614"/>
        <v>0</v>
      </c>
      <c r="AI1180" s="1488"/>
      <c r="AJ1180" s="1488"/>
      <c r="AK1180" s="1488"/>
      <c r="AL1180" s="1488"/>
      <c r="AM1180" s="1488"/>
      <c r="AN1180" s="1488"/>
      <c r="AO1180" s="1488"/>
      <c r="AP1180" s="1488"/>
      <c r="AQ1180" s="1488"/>
      <c r="AR1180" s="1488"/>
      <c r="AS1180" s="1488"/>
      <c r="AT1180" s="1542"/>
      <c r="AU1180" s="1599">
        <f t="shared" si="615"/>
        <v>0</v>
      </c>
      <c r="AV1180" s="1544">
        <f t="shared" si="643"/>
        <v>0</v>
      </c>
      <c r="AW1180" s="1452">
        <f t="shared" si="616"/>
        <v>0</v>
      </c>
      <c r="AX1180" s="1452">
        <f t="shared" si="617"/>
        <v>0</v>
      </c>
      <c r="AY1180" s="1452">
        <f t="shared" si="618"/>
        <v>0</v>
      </c>
      <c r="AZ1180" s="1452">
        <f t="shared" si="619"/>
        <v>0</v>
      </c>
      <c r="BA1180" s="1452">
        <f t="shared" si="620"/>
        <v>0</v>
      </c>
      <c r="BB1180" s="1452">
        <f t="shared" si="621"/>
        <v>0</v>
      </c>
      <c r="BC1180" s="1452">
        <f t="shared" si="622"/>
        <v>0</v>
      </c>
      <c r="BD1180" s="1452">
        <f t="shared" si="623"/>
        <v>0</v>
      </c>
      <c r="BE1180" s="1452">
        <f t="shared" si="624"/>
        <v>0</v>
      </c>
      <c r="BF1180" s="1452">
        <f t="shared" si="625"/>
        <v>0</v>
      </c>
      <c r="BG1180" s="1452">
        <f t="shared" si="626"/>
        <v>0</v>
      </c>
      <c r="BH1180" s="1452">
        <f t="shared" si="627"/>
        <v>0</v>
      </c>
      <c r="BI1180" s="1452">
        <f t="shared" si="644"/>
        <v>0</v>
      </c>
      <c r="BJ1180" s="1452" t="str">
        <f t="shared" si="628"/>
        <v/>
      </c>
      <c r="BK1180" s="1452" t="str">
        <f t="shared" si="629"/>
        <v/>
      </c>
      <c r="BL1180" s="1452" t="str">
        <f t="shared" si="630"/>
        <v/>
      </c>
      <c r="BM1180" s="1452" t="str">
        <f t="shared" si="631"/>
        <v/>
      </c>
      <c r="BN1180" s="1452" t="str">
        <f t="shared" ca="1" si="632"/>
        <v/>
      </c>
      <c r="BO1180" s="1452" t="str">
        <f t="shared" si="645"/>
        <v/>
      </c>
      <c r="BP1180" s="1452" t="str">
        <f t="shared" si="633"/>
        <v/>
      </c>
      <c r="BQ1180" s="1452" t="str">
        <f t="shared" si="634"/>
        <v/>
      </c>
      <c r="BR1180" s="1452" t="str">
        <f t="shared" si="635"/>
        <v/>
      </c>
      <c r="BS1180" s="1452" t="str">
        <f t="shared" si="636"/>
        <v/>
      </c>
      <c r="BT1180" s="1452" t="str">
        <f t="shared" si="637"/>
        <v/>
      </c>
      <c r="BU1180" s="1452" t="str">
        <f t="shared" si="638"/>
        <v/>
      </c>
      <c r="BV1180" s="1452" t="str">
        <f t="shared" si="639"/>
        <v/>
      </c>
      <c r="BW1180" s="1558">
        <f t="shared" ca="1" si="646"/>
        <v>0</v>
      </c>
    </row>
    <row r="1181" spans="1:75" s="9" customFormat="1" ht="12.5">
      <c r="A1181" s="1483" t="str">
        <f t="shared" si="640"/>
        <v>Public Health Wales Trust</v>
      </c>
      <c r="B1181" s="1583"/>
      <c r="C1181" s="1583"/>
      <c r="D1181" s="1583"/>
      <c r="E1181" s="1581"/>
      <c r="F1181" s="1436"/>
      <c r="G1181" s="1547">
        <f t="shared" si="641"/>
        <v>0</v>
      </c>
      <c r="H1181" s="1484"/>
      <c r="I1181" s="1547">
        <f t="shared" si="642"/>
        <v>0</v>
      </c>
      <c r="J1181" s="1516"/>
      <c r="K1181" s="1516"/>
      <c r="L1181" s="1436"/>
      <c r="M1181" s="1439"/>
      <c r="N1181" s="1439"/>
      <c r="O1181" s="1485"/>
      <c r="P1181" s="1486"/>
      <c r="Q1181" s="1486"/>
      <c r="R1181" s="1487"/>
      <c r="S1181" s="1444"/>
      <c r="T1181" s="1444"/>
      <c r="U1181" s="1444"/>
      <c r="V1181" s="1488"/>
      <c r="W1181" s="1488"/>
      <c r="X1181" s="1488"/>
      <c r="Y1181" s="1488"/>
      <c r="Z1181" s="1488"/>
      <c r="AA1181" s="1488"/>
      <c r="AB1181" s="1488"/>
      <c r="AC1181" s="1488"/>
      <c r="AD1181" s="1488"/>
      <c r="AE1181" s="1488"/>
      <c r="AF1181" s="1488"/>
      <c r="AG1181" s="1488"/>
      <c r="AH1181" s="1451">
        <f t="shared" si="614"/>
        <v>0</v>
      </c>
      <c r="AI1181" s="1488"/>
      <c r="AJ1181" s="1488"/>
      <c r="AK1181" s="1488"/>
      <c r="AL1181" s="1488"/>
      <c r="AM1181" s="1488"/>
      <c r="AN1181" s="1488"/>
      <c r="AO1181" s="1488"/>
      <c r="AP1181" s="1488"/>
      <c r="AQ1181" s="1488"/>
      <c r="AR1181" s="1488"/>
      <c r="AS1181" s="1488"/>
      <c r="AT1181" s="1542"/>
      <c r="AU1181" s="1599">
        <f t="shared" si="615"/>
        <v>0</v>
      </c>
      <c r="AV1181" s="1544">
        <f t="shared" si="643"/>
        <v>0</v>
      </c>
      <c r="AW1181" s="1452">
        <f t="shared" si="616"/>
        <v>0</v>
      </c>
      <c r="AX1181" s="1452">
        <f t="shared" si="617"/>
        <v>0</v>
      </c>
      <c r="AY1181" s="1452">
        <f t="shared" si="618"/>
        <v>0</v>
      </c>
      <c r="AZ1181" s="1452">
        <f t="shared" si="619"/>
        <v>0</v>
      </c>
      <c r="BA1181" s="1452">
        <f t="shared" si="620"/>
        <v>0</v>
      </c>
      <c r="BB1181" s="1452">
        <f t="shared" si="621"/>
        <v>0</v>
      </c>
      <c r="BC1181" s="1452">
        <f t="shared" si="622"/>
        <v>0</v>
      </c>
      <c r="BD1181" s="1452">
        <f t="shared" si="623"/>
        <v>0</v>
      </c>
      <c r="BE1181" s="1452">
        <f t="shared" si="624"/>
        <v>0</v>
      </c>
      <c r="BF1181" s="1452">
        <f t="shared" si="625"/>
        <v>0</v>
      </c>
      <c r="BG1181" s="1452">
        <f t="shared" si="626"/>
        <v>0</v>
      </c>
      <c r="BH1181" s="1452">
        <f t="shared" si="627"/>
        <v>0</v>
      </c>
      <c r="BI1181" s="1452">
        <f t="shared" si="644"/>
        <v>0</v>
      </c>
      <c r="BJ1181" s="1452" t="str">
        <f t="shared" si="628"/>
        <v/>
      </c>
      <c r="BK1181" s="1452" t="str">
        <f t="shared" si="629"/>
        <v/>
      </c>
      <c r="BL1181" s="1452" t="str">
        <f t="shared" si="630"/>
        <v/>
      </c>
      <c r="BM1181" s="1452" t="str">
        <f t="shared" si="631"/>
        <v/>
      </c>
      <c r="BN1181" s="1452" t="str">
        <f t="shared" ca="1" si="632"/>
        <v/>
      </c>
      <c r="BO1181" s="1452" t="str">
        <f t="shared" si="645"/>
        <v/>
      </c>
      <c r="BP1181" s="1452" t="str">
        <f t="shared" si="633"/>
        <v/>
      </c>
      <c r="BQ1181" s="1452" t="str">
        <f t="shared" si="634"/>
        <v/>
      </c>
      <c r="BR1181" s="1452" t="str">
        <f t="shared" si="635"/>
        <v/>
      </c>
      <c r="BS1181" s="1452" t="str">
        <f t="shared" si="636"/>
        <v/>
      </c>
      <c r="BT1181" s="1452" t="str">
        <f t="shared" si="637"/>
        <v/>
      </c>
      <c r="BU1181" s="1452" t="str">
        <f t="shared" si="638"/>
        <v/>
      </c>
      <c r="BV1181" s="1452" t="str">
        <f t="shared" si="639"/>
        <v/>
      </c>
      <c r="BW1181" s="1558">
        <f t="shared" ca="1" si="646"/>
        <v>0</v>
      </c>
    </row>
    <row r="1182" spans="1:75" s="9" customFormat="1" ht="12.5">
      <c r="A1182" s="1483" t="str">
        <f t="shared" si="640"/>
        <v>Public Health Wales Trust</v>
      </c>
      <c r="B1182" s="1583"/>
      <c r="C1182" s="1583"/>
      <c r="D1182" s="1583"/>
      <c r="E1182" s="1581"/>
      <c r="F1182" s="1436"/>
      <c r="G1182" s="1547">
        <f t="shared" si="641"/>
        <v>0</v>
      </c>
      <c r="H1182" s="1484"/>
      <c r="I1182" s="1547">
        <f t="shared" si="642"/>
        <v>0</v>
      </c>
      <c r="J1182" s="1516"/>
      <c r="K1182" s="1516"/>
      <c r="L1182" s="1436"/>
      <c r="M1182" s="1439"/>
      <c r="N1182" s="1439"/>
      <c r="O1182" s="1485"/>
      <c r="P1182" s="1486"/>
      <c r="Q1182" s="1486"/>
      <c r="R1182" s="1487"/>
      <c r="S1182" s="1444"/>
      <c r="T1182" s="1444"/>
      <c r="U1182" s="1444"/>
      <c r="V1182" s="1488"/>
      <c r="W1182" s="1488"/>
      <c r="X1182" s="1488"/>
      <c r="Y1182" s="1488"/>
      <c r="Z1182" s="1488"/>
      <c r="AA1182" s="1488"/>
      <c r="AB1182" s="1488"/>
      <c r="AC1182" s="1488"/>
      <c r="AD1182" s="1488"/>
      <c r="AE1182" s="1488"/>
      <c r="AF1182" s="1488"/>
      <c r="AG1182" s="1488"/>
      <c r="AH1182" s="1451">
        <f t="shared" si="614"/>
        <v>0</v>
      </c>
      <c r="AI1182" s="1488"/>
      <c r="AJ1182" s="1488"/>
      <c r="AK1182" s="1488"/>
      <c r="AL1182" s="1488"/>
      <c r="AM1182" s="1488"/>
      <c r="AN1182" s="1488"/>
      <c r="AO1182" s="1488"/>
      <c r="AP1182" s="1488"/>
      <c r="AQ1182" s="1488"/>
      <c r="AR1182" s="1488"/>
      <c r="AS1182" s="1488"/>
      <c r="AT1182" s="1542"/>
      <c r="AU1182" s="1599">
        <f t="shared" si="615"/>
        <v>0</v>
      </c>
      <c r="AV1182" s="1544">
        <f t="shared" si="643"/>
        <v>0</v>
      </c>
      <c r="AW1182" s="1452">
        <f t="shared" si="616"/>
        <v>0</v>
      </c>
      <c r="AX1182" s="1452">
        <f t="shared" si="617"/>
        <v>0</v>
      </c>
      <c r="AY1182" s="1452">
        <f t="shared" si="618"/>
        <v>0</v>
      </c>
      <c r="AZ1182" s="1452">
        <f t="shared" si="619"/>
        <v>0</v>
      </c>
      <c r="BA1182" s="1452">
        <f t="shared" si="620"/>
        <v>0</v>
      </c>
      <c r="BB1182" s="1452">
        <f t="shared" si="621"/>
        <v>0</v>
      </c>
      <c r="BC1182" s="1452">
        <f t="shared" si="622"/>
        <v>0</v>
      </c>
      <c r="BD1182" s="1452">
        <f t="shared" si="623"/>
        <v>0</v>
      </c>
      <c r="BE1182" s="1452">
        <f t="shared" si="624"/>
        <v>0</v>
      </c>
      <c r="BF1182" s="1452">
        <f t="shared" si="625"/>
        <v>0</v>
      </c>
      <c r="BG1182" s="1452">
        <f t="shared" si="626"/>
        <v>0</v>
      </c>
      <c r="BH1182" s="1452">
        <f t="shared" si="627"/>
        <v>0</v>
      </c>
      <c r="BI1182" s="1452">
        <f t="shared" si="644"/>
        <v>0</v>
      </c>
      <c r="BJ1182" s="1452" t="str">
        <f t="shared" si="628"/>
        <v/>
      </c>
      <c r="BK1182" s="1452" t="str">
        <f t="shared" si="629"/>
        <v/>
      </c>
      <c r="BL1182" s="1452" t="str">
        <f t="shared" si="630"/>
        <v/>
      </c>
      <c r="BM1182" s="1452" t="str">
        <f t="shared" si="631"/>
        <v/>
      </c>
      <c r="BN1182" s="1452" t="str">
        <f t="shared" ca="1" si="632"/>
        <v/>
      </c>
      <c r="BO1182" s="1452" t="str">
        <f t="shared" si="645"/>
        <v/>
      </c>
      <c r="BP1182" s="1452" t="str">
        <f t="shared" si="633"/>
        <v/>
      </c>
      <c r="BQ1182" s="1452" t="str">
        <f t="shared" si="634"/>
        <v/>
      </c>
      <c r="BR1182" s="1452" t="str">
        <f t="shared" si="635"/>
        <v/>
      </c>
      <c r="BS1182" s="1452" t="str">
        <f t="shared" si="636"/>
        <v/>
      </c>
      <c r="BT1182" s="1452" t="str">
        <f t="shared" si="637"/>
        <v/>
      </c>
      <c r="BU1182" s="1452" t="str">
        <f t="shared" si="638"/>
        <v/>
      </c>
      <c r="BV1182" s="1452" t="str">
        <f t="shared" si="639"/>
        <v/>
      </c>
      <c r="BW1182" s="1558">
        <f t="shared" ca="1" si="646"/>
        <v>0</v>
      </c>
    </row>
    <row r="1183" spans="1:75" s="9" customFormat="1" ht="12.5">
      <c r="A1183" s="1483" t="str">
        <f t="shared" si="640"/>
        <v>Public Health Wales Trust</v>
      </c>
      <c r="B1183" s="1583"/>
      <c r="C1183" s="1583"/>
      <c r="D1183" s="1583"/>
      <c r="E1183" s="1581"/>
      <c r="F1183" s="1436"/>
      <c r="G1183" s="1547">
        <f t="shared" si="641"/>
        <v>0</v>
      </c>
      <c r="H1183" s="1484"/>
      <c r="I1183" s="1547">
        <f t="shared" si="642"/>
        <v>0</v>
      </c>
      <c r="J1183" s="1516"/>
      <c r="K1183" s="1516"/>
      <c r="L1183" s="1436"/>
      <c r="M1183" s="1439"/>
      <c r="N1183" s="1439"/>
      <c r="O1183" s="1485"/>
      <c r="P1183" s="1486"/>
      <c r="Q1183" s="1486"/>
      <c r="R1183" s="1487"/>
      <c r="S1183" s="1444"/>
      <c r="T1183" s="1444"/>
      <c r="U1183" s="1444"/>
      <c r="V1183" s="1488"/>
      <c r="W1183" s="1488"/>
      <c r="X1183" s="1488"/>
      <c r="Y1183" s="1488"/>
      <c r="Z1183" s="1488"/>
      <c r="AA1183" s="1488"/>
      <c r="AB1183" s="1488"/>
      <c r="AC1183" s="1488"/>
      <c r="AD1183" s="1488"/>
      <c r="AE1183" s="1488"/>
      <c r="AF1183" s="1488"/>
      <c r="AG1183" s="1488"/>
      <c r="AH1183" s="1451">
        <f t="shared" si="614"/>
        <v>0</v>
      </c>
      <c r="AI1183" s="1488"/>
      <c r="AJ1183" s="1488"/>
      <c r="AK1183" s="1488"/>
      <c r="AL1183" s="1488"/>
      <c r="AM1183" s="1488"/>
      <c r="AN1183" s="1488"/>
      <c r="AO1183" s="1488"/>
      <c r="AP1183" s="1488"/>
      <c r="AQ1183" s="1488"/>
      <c r="AR1183" s="1488"/>
      <c r="AS1183" s="1488"/>
      <c r="AT1183" s="1542"/>
      <c r="AU1183" s="1599">
        <f t="shared" si="615"/>
        <v>0</v>
      </c>
      <c r="AV1183" s="1544">
        <f t="shared" si="643"/>
        <v>0</v>
      </c>
      <c r="AW1183" s="1452">
        <f t="shared" si="616"/>
        <v>0</v>
      </c>
      <c r="AX1183" s="1452">
        <f t="shared" si="617"/>
        <v>0</v>
      </c>
      <c r="AY1183" s="1452">
        <f t="shared" si="618"/>
        <v>0</v>
      </c>
      <c r="AZ1183" s="1452">
        <f t="shared" si="619"/>
        <v>0</v>
      </c>
      <c r="BA1183" s="1452">
        <f t="shared" si="620"/>
        <v>0</v>
      </c>
      <c r="BB1183" s="1452">
        <f t="shared" si="621"/>
        <v>0</v>
      </c>
      <c r="BC1183" s="1452">
        <f t="shared" si="622"/>
        <v>0</v>
      </c>
      <c r="BD1183" s="1452">
        <f t="shared" si="623"/>
        <v>0</v>
      </c>
      <c r="BE1183" s="1452">
        <f t="shared" si="624"/>
        <v>0</v>
      </c>
      <c r="BF1183" s="1452">
        <f t="shared" si="625"/>
        <v>0</v>
      </c>
      <c r="BG1183" s="1452">
        <f t="shared" si="626"/>
        <v>0</v>
      </c>
      <c r="BH1183" s="1452">
        <f t="shared" si="627"/>
        <v>0</v>
      </c>
      <c r="BI1183" s="1452">
        <f t="shared" si="644"/>
        <v>0</v>
      </c>
      <c r="BJ1183" s="1452" t="str">
        <f t="shared" si="628"/>
        <v/>
      </c>
      <c r="BK1183" s="1452" t="str">
        <f t="shared" si="629"/>
        <v/>
      </c>
      <c r="BL1183" s="1452" t="str">
        <f t="shared" si="630"/>
        <v/>
      </c>
      <c r="BM1183" s="1452" t="str">
        <f t="shared" si="631"/>
        <v/>
      </c>
      <c r="BN1183" s="1452" t="str">
        <f t="shared" ca="1" si="632"/>
        <v/>
      </c>
      <c r="BO1183" s="1452" t="str">
        <f t="shared" si="645"/>
        <v/>
      </c>
      <c r="BP1183" s="1452" t="str">
        <f t="shared" si="633"/>
        <v/>
      </c>
      <c r="BQ1183" s="1452" t="str">
        <f t="shared" si="634"/>
        <v/>
      </c>
      <c r="BR1183" s="1452" t="str">
        <f t="shared" si="635"/>
        <v/>
      </c>
      <c r="BS1183" s="1452" t="str">
        <f t="shared" si="636"/>
        <v/>
      </c>
      <c r="BT1183" s="1452" t="str">
        <f t="shared" si="637"/>
        <v/>
      </c>
      <c r="BU1183" s="1452" t="str">
        <f t="shared" si="638"/>
        <v/>
      </c>
      <c r="BV1183" s="1452" t="str">
        <f t="shared" si="639"/>
        <v/>
      </c>
      <c r="BW1183" s="1558">
        <f t="shared" ca="1" si="646"/>
        <v>0</v>
      </c>
    </row>
    <row r="1184" spans="1:75" s="9" customFormat="1" ht="12.5">
      <c r="A1184" s="1483" t="str">
        <f t="shared" si="640"/>
        <v>Public Health Wales Trust</v>
      </c>
      <c r="B1184" s="1583"/>
      <c r="C1184" s="1583"/>
      <c r="D1184" s="1583"/>
      <c r="E1184" s="1581"/>
      <c r="F1184" s="1436"/>
      <c r="G1184" s="1547">
        <f t="shared" si="641"/>
        <v>0</v>
      </c>
      <c r="H1184" s="1484"/>
      <c r="I1184" s="1547">
        <f t="shared" si="642"/>
        <v>0</v>
      </c>
      <c r="J1184" s="1516"/>
      <c r="K1184" s="1516"/>
      <c r="L1184" s="1436"/>
      <c r="M1184" s="1439"/>
      <c r="N1184" s="1439"/>
      <c r="O1184" s="1485"/>
      <c r="P1184" s="1486"/>
      <c r="Q1184" s="1486"/>
      <c r="R1184" s="1487"/>
      <c r="S1184" s="1444"/>
      <c r="T1184" s="1444"/>
      <c r="U1184" s="1444"/>
      <c r="V1184" s="1488"/>
      <c r="W1184" s="1488"/>
      <c r="X1184" s="1488"/>
      <c r="Y1184" s="1488"/>
      <c r="Z1184" s="1488"/>
      <c r="AA1184" s="1488"/>
      <c r="AB1184" s="1488"/>
      <c r="AC1184" s="1488"/>
      <c r="AD1184" s="1488"/>
      <c r="AE1184" s="1488"/>
      <c r="AF1184" s="1488"/>
      <c r="AG1184" s="1488"/>
      <c r="AH1184" s="1451">
        <f t="shared" si="614"/>
        <v>0</v>
      </c>
      <c r="AI1184" s="1488"/>
      <c r="AJ1184" s="1488"/>
      <c r="AK1184" s="1488"/>
      <c r="AL1184" s="1488"/>
      <c r="AM1184" s="1488"/>
      <c r="AN1184" s="1488"/>
      <c r="AO1184" s="1488"/>
      <c r="AP1184" s="1488"/>
      <c r="AQ1184" s="1488"/>
      <c r="AR1184" s="1488"/>
      <c r="AS1184" s="1488"/>
      <c r="AT1184" s="1542"/>
      <c r="AU1184" s="1599">
        <f t="shared" si="615"/>
        <v>0</v>
      </c>
      <c r="AV1184" s="1544">
        <f t="shared" si="643"/>
        <v>0</v>
      </c>
      <c r="AW1184" s="1452">
        <f t="shared" si="616"/>
        <v>0</v>
      </c>
      <c r="AX1184" s="1452">
        <f t="shared" si="617"/>
        <v>0</v>
      </c>
      <c r="AY1184" s="1452">
        <f t="shared" si="618"/>
        <v>0</v>
      </c>
      <c r="AZ1184" s="1452">
        <f t="shared" si="619"/>
        <v>0</v>
      </c>
      <c r="BA1184" s="1452">
        <f t="shared" si="620"/>
        <v>0</v>
      </c>
      <c r="BB1184" s="1452">
        <f t="shared" si="621"/>
        <v>0</v>
      </c>
      <c r="BC1184" s="1452">
        <f t="shared" si="622"/>
        <v>0</v>
      </c>
      <c r="BD1184" s="1452">
        <f t="shared" si="623"/>
        <v>0</v>
      </c>
      <c r="BE1184" s="1452">
        <f t="shared" si="624"/>
        <v>0</v>
      </c>
      <c r="BF1184" s="1452">
        <f t="shared" si="625"/>
        <v>0</v>
      </c>
      <c r="BG1184" s="1452">
        <f t="shared" si="626"/>
        <v>0</v>
      </c>
      <c r="BH1184" s="1452">
        <f t="shared" si="627"/>
        <v>0</v>
      </c>
      <c r="BI1184" s="1452">
        <f t="shared" si="644"/>
        <v>0</v>
      </c>
      <c r="BJ1184" s="1452" t="str">
        <f t="shared" si="628"/>
        <v/>
      </c>
      <c r="BK1184" s="1452" t="str">
        <f t="shared" si="629"/>
        <v/>
      </c>
      <c r="BL1184" s="1452" t="str">
        <f t="shared" si="630"/>
        <v/>
      </c>
      <c r="BM1184" s="1452" t="str">
        <f t="shared" si="631"/>
        <v/>
      </c>
      <c r="BN1184" s="1452" t="str">
        <f t="shared" ca="1" si="632"/>
        <v/>
      </c>
      <c r="BO1184" s="1452" t="str">
        <f t="shared" si="645"/>
        <v/>
      </c>
      <c r="BP1184" s="1452" t="str">
        <f t="shared" si="633"/>
        <v/>
      </c>
      <c r="BQ1184" s="1452" t="str">
        <f t="shared" si="634"/>
        <v/>
      </c>
      <c r="BR1184" s="1452" t="str">
        <f t="shared" si="635"/>
        <v/>
      </c>
      <c r="BS1184" s="1452" t="str">
        <f t="shared" si="636"/>
        <v/>
      </c>
      <c r="BT1184" s="1452" t="str">
        <f t="shared" si="637"/>
        <v/>
      </c>
      <c r="BU1184" s="1452" t="str">
        <f t="shared" si="638"/>
        <v/>
      </c>
      <c r="BV1184" s="1452" t="str">
        <f t="shared" si="639"/>
        <v/>
      </c>
      <c r="BW1184" s="1558">
        <f t="shared" ca="1" si="646"/>
        <v>0</v>
      </c>
    </row>
    <row r="1185" spans="1:75" s="9" customFormat="1" ht="12.5">
      <c r="A1185" s="1483" t="str">
        <f t="shared" si="640"/>
        <v>Public Health Wales Trust</v>
      </c>
      <c r="B1185" s="1583"/>
      <c r="C1185" s="1583"/>
      <c r="D1185" s="1583"/>
      <c r="E1185" s="1581"/>
      <c r="F1185" s="1436"/>
      <c r="G1185" s="1547">
        <f t="shared" si="641"/>
        <v>0</v>
      </c>
      <c r="H1185" s="1484"/>
      <c r="I1185" s="1547">
        <f t="shared" si="642"/>
        <v>0</v>
      </c>
      <c r="J1185" s="1516"/>
      <c r="K1185" s="1516"/>
      <c r="L1185" s="1436"/>
      <c r="M1185" s="1439"/>
      <c r="N1185" s="1439"/>
      <c r="O1185" s="1485"/>
      <c r="P1185" s="1486"/>
      <c r="Q1185" s="1486"/>
      <c r="R1185" s="1487"/>
      <c r="S1185" s="1444"/>
      <c r="T1185" s="1444"/>
      <c r="U1185" s="1444"/>
      <c r="V1185" s="1488"/>
      <c r="W1185" s="1488"/>
      <c r="X1185" s="1488"/>
      <c r="Y1185" s="1488"/>
      <c r="Z1185" s="1488"/>
      <c r="AA1185" s="1488"/>
      <c r="AB1185" s="1488"/>
      <c r="AC1185" s="1488"/>
      <c r="AD1185" s="1488"/>
      <c r="AE1185" s="1488"/>
      <c r="AF1185" s="1488"/>
      <c r="AG1185" s="1488"/>
      <c r="AH1185" s="1451">
        <f t="shared" si="614"/>
        <v>0</v>
      </c>
      <c r="AI1185" s="1488"/>
      <c r="AJ1185" s="1488"/>
      <c r="AK1185" s="1488"/>
      <c r="AL1185" s="1488"/>
      <c r="AM1185" s="1488"/>
      <c r="AN1185" s="1488"/>
      <c r="AO1185" s="1488"/>
      <c r="AP1185" s="1488"/>
      <c r="AQ1185" s="1488"/>
      <c r="AR1185" s="1488"/>
      <c r="AS1185" s="1488"/>
      <c r="AT1185" s="1542"/>
      <c r="AU1185" s="1599">
        <f t="shared" si="615"/>
        <v>0</v>
      </c>
      <c r="AV1185" s="1544">
        <f t="shared" si="643"/>
        <v>0</v>
      </c>
      <c r="AW1185" s="1452">
        <f t="shared" si="616"/>
        <v>0</v>
      </c>
      <c r="AX1185" s="1452">
        <f t="shared" si="617"/>
        <v>0</v>
      </c>
      <c r="AY1185" s="1452">
        <f t="shared" si="618"/>
        <v>0</v>
      </c>
      <c r="AZ1185" s="1452">
        <f t="shared" si="619"/>
        <v>0</v>
      </c>
      <c r="BA1185" s="1452">
        <f t="shared" si="620"/>
        <v>0</v>
      </c>
      <c r="BB1185" s="1452">
        <f t="shared" si="621"/>
        <v>0</v>
      </c>
      <c r="BC1185" s="1452">
        <f t="shared" si="622"/>
        <v>0</v>
      </c>
      <c r="BD1185" s="1452">
        <f t="shared" si="623"/>
        <v>0</v>
      </c>
      <c r="BE1185" s="1452">
        <f t="shared" si="624"/>
        <v>0</v>
      </c>
      <c r="BF1185" s="1452">
        <f t="shared" si="625"/>
        <v>0</v>
      </c>
      <c r="BG1185" s="1452">
        <f t="shared" si="626"/>
        <v>0</v>
      </c>
      <c r="BH1185" s="1452">
        <f t="shared" si="627"/>
        <v>0</v>
      </c>
      <c r="BI1185" s="1452">
        <f t="shared" si="644"/>
        <v>0</v>
      </c>
      <c r="BJ1185" s="1452" t="str">
        <f t="shared" si="628"/>
        <v/>
      </c>
      <c r="BK1185" s="1452" t="str">
        <f t="shared" si="629"/>
        <v/>
      </c>
      <c r="BL1185" s="1452" t="str">
        <f t="shared" si="630"/>
        <v/>
      </c>
      <c r="BM1185" s="1452" t="str">
        <f t="shared" si="631"/>
        <v/>
      </c>
      <c r="BN1185" s="1452" t="str">
        <f t="shared" ca="1" si="632"/>
        <v/>
      </c>
      <c r="BO1185" s="1452" t="str">
        <f t="shared" si="645"/>
        <v/>
      </c>
      <c r="BP1185" s="1452" t="str">
        <f t="shared" si="633"/>
        <v/>
      </c>
      <c r="BQ1185" s="1452" t="str">
        <f t="shared" si="634"/>
        <v/>
      </c>
      <c r="BR1185" s="1452" t="str">
        <f t="shared" si="635"/>
        <v/>
      </c>
      <c r="BS1185" s="1452" t="str">
        <f t="shared" si="636"/>
        <v/>
      </c>
      <c r="BT1185" s="1452" t="str">
        <f t="shared" si="637"/>
        <v/>
      </c>
      <c r="BU1185" s="1452" t="str">
        <f t="shared" si="638"/>
        <v/>
      </c>
      <c r="BV1185" s="1452" t="str">
        <f t="shared" si="639"/>
        <v/>
      </c>
      <c r="BW1185" s="1558">
        <f t="shared" ca="1" si="646"/>
        <v>0</v>
      </c>
    </row>
    <row r="1186" spans="1:75" s="9" customFormat="1" ht="12.5">
      <c r="A1186" s="1483" t="str">
        <f t="shared" si="640"/>
        <v>Public Health Wales Trust</v>
      </c>
      <c r="B1186" s="1583"/>
      <c r="C1186" s="1583"/>
      <c r="D1186" s="1583"/>
      <c r="E1186" s="1581"/>
      <c r="F1186" s="1436"/>
      <c r="G1186" s="1547">
        <f t="shared" si="641"/>
        <v>0</v>
      </c>
      <c r="H1186" s="1484"/>
      <c r="I1186" s="1547">
        <f t="shared" si="642"/>
        <v>0</v>
      </c>
      <c r="J1186" s="1516"/>
      <c r="K1186" s="1516"/>
      <c r="L1186" s="1436"/>
      <c r="M1186" s="1439"/>
      <c r="N1186" s="1439"/>
      <c r="O1186" s="1485"/>
      <c r="P1186" s="1486"/>
      <c r="Q1186" s="1486"/>
      <c r="R1186" s="1487"/>
      <c r="S1186" s="1444"/>
      <c r="T1186" s="1444"/>
      <c r="U1186" s="1444"/>
      <c r="V1186" s="1488"/>
      <c r="W1186" s="1488"/>
      <c r="X1186" s="1488"/>
      <c r="Y1186" s="1488"/>
      <c r="Z1186" s="1488"/>
      <c r="AA1186" s="1488"/>
      <c r="AB1186" s="1488"/>
      <c r="AC1186" s="1488"/>
      <c r="AD1186" s="1488"/>
      <c r="AE1186" s="1488"/>
      <c r="AF1186" s="1488"/>
      <c r="AG1186" s="1488"/>
      <c r="AH1186" s="1451">
        <f t="shared" si="614"/>
        <v>0</v>
      </c>
      <c r="AI1186" s="1488"/>
      <c r="AJ1186" s="1488"/>
      <c r="AK1186" s="1488"/>
      <c r="AL1186" s="1488"/>
      <c r="AM1186" s="1488"/>
      <c r="AN1186" s="1488"/>
      <c r="AO1186" s="1488"/>
      <c r="AP1186" s="1488"/>
      <c r="AQ1186" s="1488"/>
      <c r="AR1186" s="1488"/>
      <c r="AS1186" s="1488"/>
      <c r="AT1186" s="1542"/>
      <c r="AU1186" s="1599">
        <f t="shared" si="615"/>
        <v>0</v>
      </c>
      <c r="AV1186" s="1544">
        <f t="shared" si="643"/>
        <v>0</v>
      </c>
      <c r="AW1186" s="1452">
        <f t="shared" si="616"/>
        <v>0</v>
      </c>
      <c r="AX1186" s="1452">
        <f t="shared" si="617"/>
        <v>0</v>
      </c>
      <c r="AY1186" s="1452">
        <f t="shared" si="618"/>
        <v>0</v>
      </c>
      <c r="AZ1186" s="1452">
        <f t="shared" si="619"/>
        <v>0</v>
      </c>
      <c r="BA1186" s="1452">
        <f t="shared" si="620"/>
        <v>0</v>
      </c>
      <c r="BB1186" s="1452">
        <f t="shared" si="621"/>
        <v>0</v>
      </c>
      <c r="BC1186" s="1452">
        <f t="shared" si="622"/>
        <v>0</v>
      </c>
      <c r="BD1186" s="1452">
        <f t="shared" si="623"/>
        <v>0</v>
      </c>
      <c r="BE1186" s="1452">
        <f t="shared" si="624"/>
        <v>0</v>
      </c>
      <c r="BF1186" s="1452">
        <f t="shared" si="625"/>
        <v>0</v>
      </c>
      <c r="BG1186" s="1452">
        <f t="shared" si="626"/>
        <v>0</v>
      </c>
      <c r="BH1186" s="1452">
        <f t="shared" si="627"/>
        <v>0</v>
      </c>
      <c r="BI1186" s="1452">
        <f t="shared" si="644"/>
        <v>0</v>
      </c>
      <c r="BJ1186" s="1452" t="str">
        <f t="shared" si="628"/>
        <v/>
      </c>
      <c r="BK1186" s="1452" t="str">
        <f t="shared" si="629"/>
        <v/>
      </c>
      <c r="BL1186" s="1452" t="str">
        <f t="shared" si="630"/>
        <v/>
      </c>
      <c r="BM1186" s="1452" t="str">
        <f t="shared" si="631"/>
        <v/>
      </c>
      <c r="BN1186" s="1452" t="str">
        <f t="shared" ca="1" si="632"/>
        <v/>
      </c>
      <c r="BO1186" s="1452" t="str">
        <f t="shared" si="645"/>
        <v/>
      </c>
      <c r="BP1186" s="1452" t="str">
        <f t="shared" si="633"/>
        <v/>
      </c>
      <c r="BQ1186" s="1452" t="str">
        <f t="shared" si="634"/>
        <v/>
      </c>
      <c r="BR1186" s="1452" t="str">
        <f t="shared" si="635"/>
        <v/>
      </c>
      <c r="BS1186" s="1452" t="str">
        <f t="shared" si="636"/>
        <v/>
      </c>
      <c r="BT1186" s="1452" t="str">
        <f t="shared" si="637"/>
        <v/>
      </c>
      <c r="BU1186" s="1452" t="str">
        <f t="shared" si="638"/>
        <v/>
      </c>
      <c r="BV1186" s="1452" t="str">
        <f t="shared" si="639"/>
        <v/>
      </c>
      <c r="BW1186" s="1558">
        <f t="shared" ca="1" si="646"/>
        <v>0</v>
      </c>
    </row>
    <row r="1187" spans="1:75" s="9" customFormat="1" ht="12.5">
      <c r="A1187" s="1483" t="str">
        <f t="shared" si="640"/>
        <v>Public Health Wales Trust</v>
      </c>
      <c r="B1187" s="1583"/>
      <c r="C1187" s="1583"/>
      <c r="D1187" s="1583"/>
      <c r="E1187" s="1581"/>
      <c r="F1187" s="1436"/>
      <c r="G1187" s="1547">
        <f t="shared" si="641"/>
        <v>0</v>
      </c>
      <c r="H1187" s="1484"/>
      <c r="I1187" s="1547">
        <f t="shared" si="642"/>
        <v>0</v>
      </c>
      <c r="J1187" s="1516"/>
      <c r="K1187" s="1516"/>
      <c r="L1187" s="1436"/>
      <c r="M1187" s="1439"/>
      <c r="N1187" s="1439"/>
      <c r="O1187" s="1485"/>
      <c r="P1187" s="1486"/>
      <c r="Q1187" s="1486"/>
      <c r="R1187" s="1487"/>
      <c r="S1187" s="1444"/>
      <c r="T1187" s="1444"/>
      <c r="U1187" s="1444"/>
      <c r="V1187" s="1488"/>
      <c r="W1187" s="1488"/>
      <c r="X1187" s="1488"/>
      <c r="Y1187" s="1488"/>
      <c r="Z1187" s="1488"/>
      <c r="AA1187" s="1488"/>
      <c r="AB1187" s="1488"/>
      <c r="AC1187" s="1488"/>
      <c r="AD1187" s="1488"/>
      <c r="AE1187" s="1488"/>
      <c r="AF1187" s="1488"/>
      <c r="AG1187" s="1488"/>
      <c r="AH1187" s="1451">
        <f t="shared" si="614"/>
        <v>0</v>
      </c>
      <c r="AI1187" s="1488"/>
      <c r="AJ1187" s="1488"/>
      <c r="AK1187" s="1488"/>
      <c r="AL1187" s="1488"/>
      <c r="AM1187" s="1488"/>
      <c r="AN1187" s="1488"/>
      <c r="AO1187" s="1488"/>
      <c r="AP1187" s="1488"/>
      <c r="AQ1187" s="1488"/>
      <c r="AR1187" s="1488"/>
      <c r="AS1187" s="1488"/>
      <c r="AT1187" s="1542"/>
      <c r="AU1187" s="1599">
        <f t="shared" si="615"/>
        <v>0</v>
      </c>
      <c r="AV1187" s="1544">
        <f t="shared" si="643"/>
        <v>0</v>
      </c>
      <c r="AW1187" s="1452">
        <f t="shared" si="616"/>
        <v>0</v>
      </c>
      <c r="AX1187" s="1452">
        <f t="shared" si="617"/>
        <v>0</v>
      </c>
      <c r="AY1187" s="1452">
        <f t="shared" si="618"/>
        <v>0</v>
      </c>
      <c r="AZ1187" s="1452">
        <f t="shared" si="619"/>
        <v>0</v>
      </c>
      <c r="BA1187" s="1452">
        <f t="shared" si="620"/>
        <v>0</v>
      </c>
      <c r="BB1187" s="1452">
        <f t="shared" si="621"/>
        <v>0</v>
      </c>
      <c r="BC1187" s="1452">
        <f t="shared" si="622"/>
        <v>0</v>
      </c>
      <c r="BD1187" s="1452">
        <f t="shared" si="623"/>
        <v>0</v>
      </c>
      <c r="BE1187" s="1452">
        <f t="shared" si="624"/>
        <v>0</v>
      </c>
      <c r="BF1187" s="1452">
        <f t="shared" si="625"/>
        <v>0</v>
      </c>
      <c r="BG1187" s="1452">
        <f t="shared" si="626"/>
        <v>0</v>
      </c>
      <c r="BH1187" s="1452">
        <f t="shared" si="627"/>
        <v>0</v>
      </c>
      <c r="BI1187" s="1452">
        <f t="shared" si="644"/>
        <v>0</v>
      </c>
      <c r="BJ1187" s="1452" t="str">
        <f t="shared" si="628"/>
        <v/>
      </c>
      <c r="BK1187" s="1452" t="str">
        <f t="shared" si="629"/>
        <v/>
      </c>
      <c r="BL1187" s="1452" t="str">
        <f t="shared" si="630"/>
        <v/>
      </c>
      <c r="BM1187" s="1452" t="str">
        <f t="shared" si="631"/>
        <v/>
      </c>
      <c r="BN1187" s="1452" t="str">
        <f t="shared" ca="1" si="632"/>
        <v/>
      </c>
      <c r="BO1187" s="1452" t="str">
        <f t="shared" si="645"/>
        <v/>
      </c>
      <c r="BP1187" s="1452" t="str">
        <f t="shared" si="633"/>
        <v/>
      </c>
      <c r="BQ1187" s="1452" t="str">
        <f t="shared" si="634"/>
        <v/>
      </c>
      <c r="BR1187" s="1452" t="str">
        <f t="shared" si="635"/>
        <v/>
      </c>
      <c r="BS1187" s="1452" t="str">
        <f t="shared" si="636"/>
        <v/>
      </c>
      <c r="BT1187" s="1452" t="str">
        <f t="shared" si="637"/>
        <v/>
      </c>
      <c r="BU1187" s="1452" t="str">
        <f t="shared" si="638"/>
        <v/>
      </c>
      <c r="BV1187" s="1452" t="str">
        <f t="shared" si="639"/>
        <v/>
      </c>
      <c r="BW1187" s="1558">
        <f t="shared" ca="1" si="646"/>
        <v>0</v>
      </c>
    </row>
    <row r="1188" spans="1:75" s="9" customFormat="1" ht="12.5">
      <c r="A1188" s="1483" t="str">
        <f t="shared" si="640"/>
        <v>Public Health Wales Trust</v>
      </c>
      <c r="B1188" s="1583"/>
      <c r="C1188" s="1583"/>
      <c r="D1188" s="1583"/>
      <c r="E1188" s="1581"/>
      <c r="F1188" s="1436"/>
      <c r="G1188" s="1547">
        <f t="shared" si="641"/>
        <v>0</v>
      </c>
      <c r="H1188" s="1484"/>
      <c r="I1188" s="1547">
        <f t="shared" si="642"/>
        <v>0</v>
      </c>
      <c r="J1188" s="1516"/>
      <c r="K1188" s="1516"/>
      <c r="L1188" s="1436"/>
      <c r="M1188" s="1439"/>
      <c r="N1188" s="1439"/>
      <c r="O1188" s="1485"/>
      <c r="P1188" s="1486"/>
      <c r="Q1188" s="1486"/>
      <c r="R1188" s="1487"/>
      <c r="S1188" s="1444"/>
      <c r="T1188" s="1444"/>
      <c r="U1188" s="1444"/>
      <c r="V1188" s="1488"/>
      <c r="W1188" s="1488"/>
      <c r="X1188" s="1488"/>
      <c r="Y1188" s="1488"/>
      <c r="Z1188" s="1488"/>
      <c r="AA1188" s="1488"/>
      <c r="AB1188" s="1488"/>
      <c r="AC1188" s="1488"/>
      <c r="AD1188" s="1488"/>
      <c r="AE1188" s="1488"/>
      <c r="AF1188" s="1488"/>
      <c r="AG1188" s="1488"/>
      <c r="AH1188" s="1451">
        <f t="shared" si="614"/>
        <v>0</v>
      </c>
      <c r="AI1188" s="1488"/>
      <c r="AJ1188" s="1488"/>
      <c r="AK1188" s="1488"/>
      <c r="AL1188" s="1488"/>
      <c r="AM1188" s="1488"/>
      <c r="AN1188" s="1488"/>
      <c r="AO1188" s="1488"/>
      <c r="AP1188" s="1488"/>
      <c r="AQ1188" s="1488"/>
      <c r="AR1188" s="1488"/>
      <c r="AS1188" s="1488"/>
      <c r="AT1188" s="1542"/>
      <c r="AU1188" s="1599">
        <f t="shared" si="615"/>
        <v>0</v>
      </c>
      <c r="AV1188" s="1544">
        <f t="shared" si="643"/>
        <v>0</v>
      </c>
      <c r="AW1188" s="1452">
        <f t="shared" si="616"/>
        <v>0</v>
      </c>
      <c r="AX1188" s="1452">
        <f t="shared" si="617"/>
        <v>0</v>
      </c>
      <c r="AY1188" s="1452">
        <f t="shared" si="618"/>
        <v>0</v>
      </c>
      <c r="AZ1188" s="1452">
        <f t="shared" si="619"/>
        <v>0</v>
      </c>
      <c r="BA1188" s="1452">
        <f t="shared" si="620"/>
        <v>0</v>
      </c>
      <c r="BB1188" s="1452">
        <f t="shared" si="621"/>
        <v>0</v>
      </c>
      <c r="BC1188" s="1452">
        <f t="shared" si="622"/>
        <v>0</v>
      </c>
      <c r="BD1188" s="1452">
        <f t="shared" si="623"/>
        <v>0</v>
      </c>
      <c r="BE1188" s="1452">
        <f t="shared" si="624"/>
        <v>0</v>
      </c>
      <c r="BF1188" s="1452">
        <f t="shared" si="625"/>
        <v>0</v>
      </c>
      <c r="BG1188" s="1452">
        <f t="shared" si="626"/>
        <v>0</v>
      </c>
      <c r="BH1188" s="1452">
        <f t="shared" si="627"/>
        <v>0</v>
      </c>
      <c r="BI1188" s="1452">
        <f t="shared" si="644"/>
        <v>0</v>
      </c>
      <c r="BJ1188" s="1452" t="str">
        <f t="shared" si="628"/>
        <v/>
      </c>
      <c r="BK1188" s="1452" t="str">
        <f t="shared" si="629"/>
        <v/>
      </c>
      <c r="BL1188" s="1452" t="str">
        <f t="shared" si="630"/>
        <v/>
      </c>
      <c r="BM1188" s="1452" t="str">
        <f t="shared" si="631"/>
        <v/>
      </c>
      <c r="BN1188" s="1452" t="str">
        <f t="shared" ca="1" si="632"/>
        <v/>
      </c>
      <c r="BO1188" s="1452" t="str">
        <f t="shared" si="645"/>
        <v/>
      </c>
      <c r="BP1188" s="1452" t="str">
        <f t="shared" si="633"/>
        <v/>
      </c>
      <c r="BQ1188" s="1452" t="str">
        <f t="shared" si="634"/>
        <v/>
      </c>
      <c r="BR1188" s="1452" t="str">
        <f t="shared" si="635"/>
        <v/>
      </c>
      <c r="BS1188" s="1452" t="str">
        <f t="shared" si="636"/>
        <v/>
      </c>
      <c r="BT1188" s="1452" t="str">
        <f t="shared" si="637"/>
        <v/>
      </c>
      <c r="BU1188" s="1452" t="str">
        <f t="shared" si="638"/>
        <v/>
      </c>
      <c r="BV1188" s="1452" t="str">
        <f t="shared" si="639"/>
        <v/>
      </c>
      <c r="BW1188" s="1558">
        <f t="shared" ca="1" si="646"/>
        <v>0</v>
      </c>
    </row>
    <row r="1189" spans="1:75" s="9" customFormat="1" ht="12.5">
      <c r="A1189" s="1483" t="str">
        <f t="shared" si="640"/>
        <v>Public Health Wales Trust</v>
      </c>
      <c r="B1189" s="1583"/>
      <c r="C1189" s="1583"/>
      <c r="D1189" s="1583"/>
      <c r="E1189" s="1581"/>
      <c r="F1189" s="1436"/>
      <c r="G1189" s="1547">
        <f t="shared" si="641"/>
        <v>0</v>
      </c>
      <c r="H1189" s="1484"/>
      <c r="I1189" s="1547">
        <f t="shared" si="642"/>
        <v>0</v>
      </c>
      <c r="J1189" s="1516"/>
      <c r="K1189" s="1516"/>
      <c r="L1189" s="1436"/>
      <c r="M1189" s="1439"/>
      <c r="N1189" s="1439"/>
      <c r="O1189" s="1485"/>
      <c r="P1189" s="1486"/>
      <c r="Q1189" s="1486"/>
      <c r="R1189" s="1487"/>
      <c r="S1189" s="1444"/>
      <c r="T1189" s="1444"/>
      <c r="U1189" s="1444"/>
      <c r="V1189" s="1488"/>
      <c r="W1189" s="1488"/>
      <c r="X1189" s="1488"/>
      <c r="Y1189" s="1488"/>
      <c r="Z1189" s="1488"/>
      <c r="AA1189" s="1488"/>
      <c r="AB1189" s="1488"/>
      <c r="AC1189" s="1488"/>
      <c r="AD1189" s="1488"/>
      <c r="AE1189" s="1488"/>
      <c r="AF1189" s="1488"/>
      <c r="AG1189" s="1488"/>
      <c r="AH1189" s="1451">
        <f t="shared" si="614"/>
        <v>0</v>
      </c>
      <c r="AI1189" s="1488"/>
      <c r="AJ1189" s="1488"/>
      <c r="AK1189" s="1488"/>
      <c r="AL1189" s="1488"/>
      <c r="AM1189" s="1488"/>
      <c r="AN1189" s="1488"/>
      <c r="AO1189" s="1488"/>
      <c r="AP1189" s="1488"/>
      <c r="AQ1189" s="1488"/>
      <c r="AR1189" s="1488"/>
      <c r="AS1189" s="1488"/>
      <c r="AT1189" s="1542"/>
      <c r="AU1189" s="1599">
        <f t="shared" si="615"/>
        <v>0</v>
      </c>
      <c r="AV1189" s="1544">
        <f t="shared" si="643"/>
        <v>0</v>
      </c>
      <c r="AW1189" s="1452">
        <f t="shared" si="616"/>
        <v>0</v>
      </c>
      <c r="AX1189" s="1452">
        <f t="shared" si="617"/>
        <v>0</v>
      </c>
      <c r="AY1189" s="1452">
        <f t="shared" si="618"/>
        <v>0</v>
      </c>
      <c r="AZ1189" s="1452">
        <f t="shared" si="619"/>
        <v>0</v>
      </c>
      <c r="BA1189" s="1452">
        <f t="shared" si="620"/>
        <v>0</v>
      </c>
      <c r="BB1189" s="1452">
        <f t="shared" si="621"/>
        <v>0</v>
      </c>
      <c r="BC1189" s="1452">
        <f t="shared" si="622"/>
        <v>0</v>
      </c>
      <c r="BD1189" s="1452">
        <f t="shared" si="623"/>
        <v>0</v>
      </c>
      <c r="BE1189" s="1452">
        <f t="shared" si="624"/>
        <v>0</v>
      </c>
      <c r="BF1189" s="1452">
        <f t="shared" si="625"/>
        <v>0</v>
      </c>
      <c r="BG1189" s="1452">
        <f t="shared" si="626"/>
        <v>0</v>
      </c>
      <c r="BH1189" s="1452">
        <f t="shared" si="627"/>
        <v>0</v>
      </c>
      <c r="BI1189" s="1452">
        <f t="shared" si="644"/>
        <v>0</v>
      </c>
      <c r="BJ1189" s="1452" t="str">
        <f t="shared" si="628"/>
        <v/>
      </c>
      <c r="BK1189" s="1452" t="str">
        <f t="shared" si="629"/>
        <v/>
      </c>
      <c r="BL1189" s="1452" t="str">
        <f t="shared" si="630"/>
        <v/>
      </c>
      <c r="BM1189" s="1452" t="str">
        <f t="shared" si="631"/>
        <v/>
      </c>
      <c r="BN1189" s="1452" t="str">
        <f t="shared" ca="1" si="632"/>
        <v/>
      </c>
      <c r="BO1189" s="1452" t="str">
        <f t="shared" si="645"/>
        <v/>
      </c>
      <c r="BP1189" s="1452" t="str">
        <f t="shared" si="633"/>
        <v/>
      </c>
      <c r="BQ1189" s="1452" t="str">
        <f t="shared" si="634"/>
        <v/>
      </c>
      <c r="BR1189" s="1452" t="str">
        <f t="shared" si="635"/>
        <v/>
      </c>
      <c r="BS1189" s="1452" t="str">
        <f t="shared" si="636"/>
        <v/>
      </c>
      <c r="BT1189" s="1452" t="str">
        <f t="shared" si="637"/>
        <v/>
      </c>
      <c r="BU1189" s="1452" t="str">
        <f t="shared" si="638"/>
        <v/>
      </c>
      <c r="BV1189" s="1452" t="str">
        <f t="shared" si="639"/>
        <v/>
      </c>
      <c r="BW1189" s="1558">
        <f t="shared" ca="1" si="646"/>
        <v>0</v>
      </c>
    </row>
    <row r="1190" spans="1:75" s="9" customFormat="1" ht="12.5">
      <c r="A1190" s="1483" t="str">
        <f t="shared" si="640"/>
        <v>Public Health Wales Trust</v>
      </c>
      <c r="B1190" s="1583"/>
      <c r="C1190" s="1583"/>
      <c r="D1190" s="1583"/>
      <c r="E1190" s="1581"/>
      <c r="F1190" s="1436"/>
      <c r="G1190" s="1547">
        <f t="shared" si="641"/>
        <v>0</v>
      </c>
      <c r="H1190" s="1484"/>
      <c r="I1190" s="1547">
        <f t="shared" si="642"/>
        <v>0</v>
      </c>
      <c r="J1190" s="1516"/>
      <c r="K1190" s="1516"/>
      <c r="L1190" s="1436"/>
      <c r="M1190" s="1439"/>
      <c r="N1190" s="1439"/>
      <c r="O1190" s="1485"/>
      <c r="P1190" s="1486"/>
      <c r="Q1190" s="1486"/>
      <c r="R1190" s="1487"/>
      <c r="S1190" s="1444"/>
      <c r="T1190" s="1444"/>
      <c r="U1190" s="1444"/>
      <c r="V1190" s="1488"/>
      <c r="W1190" s="1488"/>
      <c r="X1190" s="1488"/>
      <c r="Y1190" s="1488"/>
      <c r="Z1190" s="1488"/>
      <c r="AA1190" s="1488"/>
      <c r="AB1190" s="1488"/>
      <c r="AC1190" s="1488"/>
      <c r="AD1190" s="1488"/>
      <c r="AE1190" s="1488"/>
      <c r="AF1190" s="1488"/>
      <c r="AG1190" s="1488"/>
      <c r="AH1190" s="1451">
        <f t="shared" si="614"/>
        <v>0</v>
      </c>
      <c r="AI1190" s="1488"/>
      <c r="AJ1190" s="1488"/>
      <c r="AK1190" s="1488"/>
      <c r="AL1190" s="1488"/>
      <c r="AM1190" s="1488"/>
      <c r="AN1190" s="1488"/>
      <c r="AO1190" s="1488"/>
      <c r="AP1190" s="1488"/>
      <c r="AQ1190" s="1488"/>
      <c r="AR1190" s="1488"/>
      <c r="AS1190" s="1488"/>
      <c r="AT1190" s="1542"/>
      <c r="AU1190" s="1599">
        <f t="shared" si="615"/>
        <v>0</v>
      </c>
      <c r="AV1190" s="1544">
        <f t="shared" si="643"/>
        <v>0</v>
      </c>
      <c r="AW1190" s="1452">
        <f t="shared" si="616"/>
        <v>0</v>
      </c>
      <c r="AX1190" s="1452">
        <f t="shared" si="617"/>
        <v>0</v>
      </c>
      <c r="AY1190" s="1452">
        <f t="shared" si="618"/>
        <v>0</v>
      </c>
      <c r="AZ1190" s="1452">
        <f t="shared" si="619"/>
        <v>0</v>
      </c>
      <c r="BA1190" s="1452">
        <f t="shared" si="620"/>
        <v>0</v>
      </c>
      <c r="BB1190" s="1452">
        <f t="shared" si="621"/>
        <v>0</v>
      </c>
      <c r="BC1190" s="1452">
        <f t="shared" si="622"/>
        <v>0</v>
      </c>
      <c r="BD1190" s="1452">
        <f t="shared" si="623"/>
        <v>0</v>
      </c>
      <c r="BE1190" s="1452">
        <f t="shared" si="624"/>
        <v>0</v>
      </c>
      <c r="BF1190" s="1452">
        <f t="shared" si="625"/>
        <v>0</v>
      </c>
      <c r="BG1190" s="1452">
        <f t="shared" si="626"/>
        <v>0</v>
      </c>
      <c r="BH1190" s="1452">
        <f t="shared" si="627"/>
        <v>0</v>
      </c>
      <c r="BI1190" s="1452">
        <f t="shared" si="644"/>
        <v>0</v>
      </c>
      <c r="BJ1190" s="1452" t="str">
        <f t="shared" si="628"/>
        <v/>
      </c>
      <c r="BK1190" s="1452" t="str">
        <f t="shared" si="629"/>
        <v/>
      </c>
      <c r="BL1190" s="1452" t="str">
        <f t="shared" si="630"/>
        <v/>
      </c>
      <c r="BM1190" s="1452" t="str">
        <f t="shared" si="631"/>
        <v/>
      </c>
      <c r="BN1190" s="1452" t="str">
        <f t="shared" ca="1" si="632"/>
        <v/>
      </c>
      <c r="BO1190" s="1452" t="str">
        <f t="shared" si="645"/>
        <v/>
      </c>
      <c r="BP1190" s="1452" t="str">
        <f t="shared" si="633"/>
        <v/>
      </c>
      <c r="BQ1190" s="1452" t="str">
        <f t="shared" si="634"/>
        <v/>
      </c>
      <c r="BR1190" s="1452" t="str">
        <f t="shared" si="635"/>
        <v/>
      </c>
      <c r="BS1190" s="1452" t="str">
        <f t="shared" si="636"/>
        <v/>
      </c>
      <c r="BT1190" s="1452" t="str">
        <f t="shared" si="637"/>
        <v/>
      </c>
      <c r="BU1190" s="1452" t="str">
        <f t="shared" si="638"/>
        <v/>
      </c>
      <c r="BV1190" s="1452" t="str">
        <f t="shared" si="639"/>
        <v/>
      </c>
      <c r="BW1190" s="1558">
        <f t="shared" ca="1" si="646"/>
        <v>0</v>
      </c>
    </row>
    <row r="1191" spans="1:75" s="9" customFormat="1" ht="12.5">
      <c r="A1191" s="1483" t="str">
        <f t="shared" si="640"/>
        <v>Public Health Wales Trust</v>
      </c>
      <c r="B1191" s="1583"/>
      <c r="C1191" s="1583"/>
      <c r="D1191" s="1583"/>
      <c r="E1191" s="1581"/>
      <c r="F1191" s="1436"/>
      <c r="G1191" s="1547">
        <f t="shared" si="641"/>
        <v>0</v>
      </c>
      <c r="H1191" s="1484"/>
      <c r="I1191" s="1547">
        <f t="shared" si="642"/>
        <v>0</v>
      </c>
      <c r="J1191" s="1516"/>
      <c r="K1191" s="1516"/>
      <c r="L1191" s="1436"/>
      <c r="M1191" s="1439"/>
      <c r="N1191" s="1439"/>
      <c r="O1191" s="1485"/>
      <c r="P1191" s="1486"/>
      <c r="Q1191" s="1486"/>
      <c r="R1191" s="1487"/>
      <c r="S1191" s="1444"/>
      <c r="T1191" s="1444"/>
      <c r="U1191" s="1444"/>
      <c r="V1191" s="1488"/>
      <c r="W1191" s="1488"/>
      <c r="X1191" s="1488"/>
      <c r="Y1191" s="1488"/>
      <c r="Z1191" s="1488"/>
      <c r="AA1191" s="1488"/>
      <c r="AB1191" s="1488"/>
      <c r="AC1191" s="1488"/>
      <c r="AD1191" s="1488"/>
      <c r="AE1191" s="1488"/>
      <c r="AF1191" s="1488"/>
      <c r="AG1191" s="1488"/>
      <c r="AH1191" s="1451">
        <f t="shared" si="614"/>
        <v>0</v>
      </c>
      <c r="AI1191" s="1488"/>
      <c r="AJ1191" s="1488"/>
      <c r="AK1191" s="1488"/>
      <c r="AL1191" s="1488"/>
      <c r="AM1191" s="1488"/>
      <c r="AN1191" s="1488"/>
      <c r="AO1191" s="1488"/>
      <c r="AP1191" s="1488"/>
      <c r="AQ1191" s="1488"/>
      <c r="AR1191" s="1488"/>
      <c r="AS1191" s="1488"/>
      <c r="AT1191" s="1542"/>
      <c r="AU1191" s="1599">
        <f t="shared" si="615"/>
        <v>0</v>
      </c>
      <c r="AV1191" s="1544">
        <f t="shared" si="643"/>
        <v>0</v>
      </c>
      <c r="AW1191" s="1452">
        <f t="shared" si="616"/>
        <v>0</v>
      </c>
      <c r="AX1191" s="1452">
        <f t="shared" si="617"/>
        <v>0</v>
      </c>
      <c r="AY1191" s="1452">
        <f t="shared" si="618"/>
        <v>0</v>
      </c>
      <c r="AZ1191" s="1452">
        <f t="shared" si="619"/>
        <v>0</v>
      </c>
      <c r="BA1191" s="1452">
        <f t="shared" si="620"/>
        <v>0</v>
      </c>
      <c r="BB1191" s="1452">
        <f t="shared" si="621"/>
        <v>0</v>
      </c>
      <c r="BC1191" s="1452">
        <f t="shared" si="622"/>
        <v>0</v>
      </c>
      <c r="BD1191" s="1452">
        <f t="shared" si="623"/>
        <v>0</v>
      </c>
      <c r="BE1191" s="1452">
        <f t="shared" si="624"/>
        <v>0</v>
      </c>
      <c r="BF1191" s="1452">
        <f t="shared" si="625"/>
        <v>0</v>
      </c>
      <c r="BG1191" s="1452">
        <f t="shared" si="626"/>
        <v>0</v>
      </c>
      <c r="BH1191" s="1452">
        <f t="shared" si="627"/>
        <v>0</v>
      </c>
      <c r="BI1191" s="1452">
        <f t="shared" si="644"/>
        <v>0</v>
      </c>
      <c r="BJ1191" s="1452" t="str">
        <f t="shared" si="628"/>
        <v/>
      </c>
      <c r="BK1191" s="1452" t="str">
        <f t="shared" si="629"/>
        <v/>
      </c>
      <c r="BL1191" s="1452" t="str">
        <f t="shared" si="630"/>
        <v/>
      </c>
      <c r="BM1191" s="1452" t="str">
        <f t="shared" si="631"/>
        <v/>
      </c>
      <c r="BN1191" s="1452" t="str">
        <f t="shared" ca="1" si="632"/>
        <v/>
      </c>
      <c r="BO1191" s="1452" t="str">
        <f t="shared" si="645"/>
        <v/>
      </c>
      <c r="BP1191" s="1452" t="str">
        <f t="shared" si="633"/>
        <v/>
      </c>
      <c r="BQ1191" s="1452" t="str">
        <f t="shared" si="634"/>
        <v/>
      </c>
      <c r="BR1191" s="1452" t="str">
        <f t="shared" si="635"/>
        <v/>
      </c>
      <c r="BS1191" s="1452" t="str">
        <f t="shared" si="636"/>
        <v/>
      </c>
      <c r="BT1191" s="1452" t="str">
        <f t="shared" si="637"/>
        <v/>
      </c>
      <c r="BU1191" s="1452" t="str">
        <f t="shared" si="638"/>
        <v/>
      </c>
      <c r="BV1191" s="1452" t="str">
        <f t="shared" si="639"/>
        <v/>
      </c>
      <c r="BW1191" s="1558">
        <f t="shared" ca="1" si="646"/>
        <v>0</v>
      </c>
    </row>
    <row r="1192" spans="1:75" s="9" customFormat="1" ht="12.5">
      <c r="A1192" s="1483" t="str">
        <f t="shared" si="640"/>
        <v>Public Health Wales Trust</v>
      </c>
      <c r="B1192" s="1583"/>
      <c r="C1192" s="1583"/>
      <c r="D1192" s="1583"/>
      <c r="E1192" s="1581"/>
      <c r="F1192" s="1436"/>
      <c r="G1192" s="1547">
        <f t="shared" si="641"/>
        <v>0</v>
      </c>
      <c r="H1192" s="1484"/>
      <c r="I1192" s="1547">
        <f t="shared" si="642"/>
        <v>0</v>
      </c>
      <c r="J1192" s="1516"/>
      <c r="K1192" s="1516"/>
      <c r="L1192" s="1436"/>
      <c r="M1192" s="1439"/>
      <c r="N1192" s="1439"/>
      <c r="O1192" s="1485"/>
      <c r="P1192" s="1486"/>
      <c r="Q1192" s="1486"/>
      <c r="R1192" s="1487"/>
      <c r="S1192" s="1444"/>
      <c r="T1192" s="1444"/>
      <c r="U1192" s="1444"/>
      <c r="V1192" s="1488"/>
      <c r="W1192" s="1488"/>
      <c r="X1192" s="1488"/>
      <c r="Y1192" s="1488"/>
      <c r="Z1192" s="1488"/>
      <c r="AA1192" s="1488"/>
      <c r="AB1192" s="1488"/>
      <c r="AC1192" s="1488"/>
      <c r="AD1192" s="1488"/>
      <c r="AE1192" s="1488"/>
      <c r="AF1192" s="1488"/>
      <c r="AG1192" s="1488"/>
      <c r="AH1192" s="1451">
        <f t="shared" si="614"/>
        <v>0</v>
      </c>
      <c r="AI1192" s="1488"/>
      <c r="AJ1192" s="1488"/>
      <c r="AK1192" s="1488"/>
      <c r="AL1192" s="1488"/>
      <c r="AM1192" s="1488"/>
      <c r="AN1192" s="1488"/>
      <c r="AO1192" s="1488"/>
      <c r="AP1192" s="1488"/>
      <c r="AQ1192" s="1488"/>
      <c r="AR1192" s="1488"/>
      <c r="AS1192" s="1488"/>
      <c r="AT1192" s="1542"/>
      <c r="AU1192" s="1599">
        <f t="shared" si="615"/>
        <v>0</v>
      </c>
      <c r="AV1192" s="1544">
        <f t="shared" si="643"/>
        <v>0</v>
      </c>
      <c r="AW1192" s="1452">
        <f t="shared" si="616"/>
        <v>0</v>
      </c>
      <c r="AX1192" s="1452">
        <f t="shared" si="617"/>
        <v>0</v>
      </c>
      <c r="AY1192" s="1452">
        <f t="shared" si="618"/>
        <v>0</v>
      </c>
      <c r="AZ1192" s="1452">
        <f t="shared" si="619"/>
        <v>0</v>
      </c>
      <c r="BA1192" s="1452">
        <f t="shared" si="620"/>
        <v>0</v>
      </c>
      <c r="BB1192" s="1452">
        <f t="shared" si="621"/>
        <v>0</v>
      </c>
      <c r="BC1192" s="1452">
        <f t="shared" si="622"/>
        <v>0</v>
      </c>
      <c r="BD1192" s="1452">
        <f t="shared" si="623"/>
        <v>0</v>
      </c>
      <c r="BE1192" s="1452">
        <f t="shared" si="624"/>
        <v>0</v>
      </c>
      <c r="BF1192" s="1452">
        <f t="shared" si="625"/>
        <v>0</v>
      </c>
      <c r="BG1192" s="1452">
        <f t="shared" si="626"/>
        <v>0</v>
      </c>
      <c r="BH1192" s="1452">
        <f t="shared" si="627"/>
        <v>0</v>
      </c>
      <c r="BI1192" s="1452">
        <f t="shared" si="644"/>
        <v>0</v>
      </c>
      <c r="BJ1192" s="1452" t="str">
        <f t="shared" si="628"/>
        <v/>
      </c>
      <c r="BK1192" s="1452" t="str">
        <f t="shared" si="629"/>
        <v/>
      </c>
      <c r="BL1192" s="1452" t="str">
        <f t="shared" si="630"/>
        <v/>
      </c>
      <c r="BM1192" s="1452" t="str">
        <f t="shared" si="631"/>
        <v/>
      </c>
      <c r="BN1192" s="1452" t="str">
        <f t="shared" ca="1" si="632"/>
        <v/>
      </c>
      <c r="BO1192" s="1452" t="str">
        <f t="shared" si="645"/>
        <v/>
      </c>
      <c r="BP1192" s="1452" t="str">
        <f t="shared" si="633"/>
        <v/>
      </c>
      <c r="BQ1192" s="1452" t="str">
        <f t="shared" si="634"/>
        <v/>
      </c>
      <c r="BR1192" s="1452" t="str">
        <f t="shared" si="635"/>
        <v/>
      </c>
      <c r="BS1192" s="1452" t="str">
        <f t="shared" si="636"/>
        <v/>
      </c>
      <c r="BT1192" s="1452" t="str">
        <f t="shared" si="637"/>
        <v/>
      </c>
      <c r="BU1192" s="1452" t="str">
        <f t="shared" si="638"/>
        <v/>
      </c>
      <c r="BV1192" s="1452" t="str">
        <f t="shared" si="639"/>
        <v/>
      </c>
      <c r="BW1192" s="1558">
        <f t="shared" ca="1" si="646"/>
        <v>0</v>
      </c>
    </row>
    <row r="1193" spans="1:75" s="9" customFormat="1" ht="12.5">
      <c r="A1193" s="1483" t="str">
        <f t="shared" si="640"/>
        <v>Public Health Wales Trust</v>
      </c>
      <c r="B1193" s="1583"/>
      <c r="C1193" s="1583"/>
      <c r="D1193" s="1583"/>
      <c r="E1193" s="1581"/>
      <c r="F1193" s="1436"/>
      <c r="G1193" s="1547">
        <f t="shared" si="641"/>
        <v>0</v>
      </c>
      <c r="H1193" s="1484"/>
      <c r="I1193" s="1547">
        <f t="shared" si="642"/>
        <v>0</v>
      </c>
      <c r="J1193" s="1516"/>
      <c r="K1193" s="1516"/>
      <c r="L1193" s="1436"/>
      <c r="M1193" s="1439"/>
      <c r="N1193" s="1439"/>
      <c r="O1193" s="1485"/>
      <c r="P1193" s="1486"/>
      <c r="Q1193" s="1486"/>
      <c r="R1193" s="1487"/>
      <c r="S1193" s="1444"/>
      <c r="T1193" s="1444"/>
      <c r="U1193" s="1444"/>
      <c r="V1193" s="1488"/>
      <c r="W1193" s="1488"/>
      <c r="X1193" s="1488"/>
      <c r="Y1193" s="1488"/>
      <c r="Z1193" s="1488"/>
      <c r="AA1193" s="1488"/>
      <c r="AB1193" s="1488"/>
      <c r="AC1193" s="1488"/>
      <c r="AD1193" s="1488"/>
      <c r="AE1193" s="1488"/>
      <c r="AF1193" s="1488"/>
      <c r="AG1193" s="1488"/>
      <c r="AH1193" s="1451">
        <f t="shared" si="614"/>
        <v>0</v>
      </c>
      <c r="AI1193" s="1488"/>
      <c r="AJ1193" s="1488"/>
      <c r="AK1193" s="1488"/>
      <c r="AL1193" s="1488"/>
      <c r="AM1193" s="1488"/>
      <c r="AN1193" s="1488"/>
      <c r="AO1193" s="1488"/>
      <c r="AP1193" s="1488"/>
      <c r="AQ1193" s="1488"/>
      <c r="AR1193" s="1488"/>
      <c r="AS1193" s="1488"/>
      <c r="AT1193" s="1542"/>
      <c r="AU1193" s="1599">
        <f t="shared" si="615"/>
        <v>0</v>
      </c>
      <c r="AV1193" s="1544">
        <f t="shared" si="643"/>
        <v>0</v>
      </c>
      <c r="AW1193" s="1452">
        <f t="shared" si="616"/>
        <v>0</v>
      </c>
      <c r="AX1193" s="1452">
        <f t="shared" si="617"/>
        <v>0</v>
      </c>
      <c r="AY1193" s="1452">
        <f t="shared" si="618"/>
        <v>0</v>
      </c>
      <c r="AZ1193" s="1452">
        <f t="shared" si="619"/>
        <v>0</v>
      </c>
      <c r="BA1193" s="1452">
        <f t="shared" si="620"/>
        <v>0</v>
      </c>
      <c r="BB1193" s="1452">
        <f t="shared" si="621"/>
        <v>0</v>
      </c>
      <c r="BC1193" s="1452">
        <f t="shared" si="622"/>
        <v>0</v>
      </c>
      <c r="BD1193" s="1452">
        <f t="shared" si="623"/>
        <v>0</v>
      </c>
      <c r="BE1193" s="1452">
        <f t="shared" si="624"/>
        <v>0</v>
      </c>
      <c r="BF1193" s="1452">
        <f t="shared" si="625"/>
        <v>0</v>
      </c>
      <c r="BG1193" s="1452">
        <f t="shared" si="626"/>
        <v>0</v>
      </c>
      <c r="BH1193" s="1452">
        <f t="shared" si="627"/>
        <v>0</v>
      </c>
      <c r="BI1193" s="1452">
        <f t="shared" si="644"/>
        <v>0</v>
      </c>
      <c r="BJ1193" s="1452" t="str">
        <f t="shared" si="628"/>
        <v/>
      </c>
      <c r="BK1193" s="1452" t="str">
        <f t="shared" si="629"/>
        <v/>
      </c>
      <c r="BL1193" s="1452" t="str">
        <f t="shared" si="630"/>
        <v/>
      </c>
      <c r="BM1193" s="1452" t="str">
        <f t="shared" si="631"/>
        <v/>
      </c>
      <c r="BN1193" s="1452" t="str">
        <f t="shared" ca="1" si="632"/>
        <v/>
      </c>
      <c r="BO1193" s="1452" t="str">
        <f t="shared" si="645"/>
        <v/>
      </c>
      <c r="BP1193" s="1452" t="str">
        <f t="shared" si="633"/>
        <v/>
      </c>
      <c r="BQ1193" s="1452" t="str">
        <f t="shared" si="634"/>
        <v/>
      </c>
      <c r="BR1193" s="1452" t="str">
        <f t="shared" si="635"/>
        <v/>
      </c>
      <c r="BS1193" s="1452" t="str">
        <f t="shared" si="636"/>
        <v/>
      </c>
      <c r="BT1193" s="1452" t="str">
        <f t="shared" si="637"/>
        <v/>
      </c>
      <c r="BU1193" s="1452" t="str">
        <f t="shared" si="638"/>
        <v/>
      </c>
      <c r="BV1193" s="1452" t="str">
        <f t="shared" si="639"/>
        <v/>
      </c>
      <c r="BW1193" s="1558">
        <f t="shared" ca="1" si="646"/>
        <v>0</v>
      </c>
    </row>
    <row r="1194" spans="1:75" s="9" customFormat="1" ht="12.5">
      <c r="A1194" s="1483" t="str">
        <f t="shared" si="640"/>
        <v>Public Health Wales Trust</v>
      </c>
      <c r="B1194" s="1583"/>
      <c r="C1194" s="1583"/>
      <c r="D1194" s="1583"/>
      <c r="E1194" s="1581"/>
      <c r="F1194" s="1436"/>
      <c r="G1194" s="1547">
        <f t="shared" si="641"/>
        <v>0</v>
      </c>
      <c r="H1194" s="1484"/>
      <c r="I1194" s="1547">
        <f t="shared" si="642"/>
        <v>0</v>
      </c>
      <c r="J1194" s="1516"/>
      <c r="K1194" s="1516"/>
      <c r="L1194" s="1436"/>
      <c r="M1194" s="1439"/>
      <c r="N1194" s="1439"/>
      <c r="O1194" s="1485"/>
      <c r="P1194" s="1486"/>
      <c r="Q1194" s="1486"/>
      <c r="R1194" s="1487"/>
      <c r="S1194" s="1444"/>
      <c r="T1194" s="1444"/>
      <c r="U1194" s="1444"/>
      <c r="V1194" s="1488"/>
      <c r="W1194" s="1488"/>
      <c r="X1194" s="1488"/>
      <c r="Y1194" s="1488"/>
      <c r="Z1194" s="1488"/>
      <c r="AA1194" s="1488"/>
      <c r="AB1194" s="1488"/>
      <c r="AC1194" s="1488"/>
      <c r="AD1194" s="1488"/>
      <c r="AE1194" s="1488"/>
      <c r="AF1194" s="1488"/>
      <c r="AG1194" s="1488"/>
      <c r="AH1194" s="1451">
        <f t="shared" si="614"/>
        <v>0</v>
      </c>
      <c r="AI1194" s="1488"/>
      <c r="AJ1194" s="1488"/>
      <c r="AK1194" s="1488"/>
      <c r="AL1194" s="1488"/>
      <c r="AM1194" s="1488"/>
      <c r="AN1194" s="1488"/>
      <c r="AO1194" s="1488"/>
      <c r="AP1194" s="1488"/>
      <c r="AQ1194" s="1488"/>
      <c r="AR1194" s="1488"/>
      <c r="AS1194" s="1488"/>
      <c r="AT1194" s="1542"/>
      <c r="AU1194" s="1599">
        <f t="shared" si="615"/>
        <v>0</v>
      </c>
      <c r="AV1194" s="1544">
        <f t="shared" si="643"/>
        <v>0</v>
      </c>
      <c r="AW1194" s="1452">
        <f t="shared" si="616"/>
        <v>0</v>
      </c>
      <c r="AX1194" s="1452">
        <f t="shared" si="617"/>
        <v>0</v>
      </c>
      <c r="AY1194" s="1452">
        <f t="shared" si="618"/>
        <v>0</v>
      </c>
      <c r="AZ1194" s="1452">
        <f t="shared" si="619"/>
        <v>0</v>
      </c>
      <c r="BA1194" s="1452">
        <f t="shared" si="620"/>
        <v>0</v>
      </c>
      <c r="BB1194" s="1452">
        <f t="shared" si="621"/>
        <v>0</v>
      </c>
      <c r="BC1194" s="1452">
        <f t="shared" si="622"/>
        <v>0</v>
      </c>
      <c r="BD1194" s="1452">
        <f t="shared" si="623"/>
        <v>0</v>
      </c>
      <c r="BE1194" s="1452">
        <f t="shared" si="624"/>
        <v>0</v>
      </c>
      <c r="BF1194" s="1452">
        <f t="shared" si="625"/>
        <v>0</v>
      </c>
      <c r="BG1194" s="1452">
        <f t="shared" si="626"/>
        <v>0</v>
      </c>
      <c r="BH1194" s="1452">
        <f t="shared" si="627"/>
        <v>0</v>
      </c>
      <c r="BI1194" s="1452">
        <f t="shared" si="644"/>
        <v>0</v>
      </c>
      <c r="BJ1194" s="1452" t="str">
        <f t="shared" si="628"/>
        <v/>
      </c>
      <c r="BK1194" s="1452" t="str">
        <f t="shared" si="629"/>
        <v/>
      </c>
      <c r="BL1194" s="1452" t="str">
        <f t="shared" si="630"/>
        <v/>
      </c>
      <c r="BM1194" s="1452" t="str">
        <f t="shared" si="631"/>
        <v/>
      </c>
      <c r="BN1194" s="1452" t="str">
        <f t="shared" ca="1" si="632"/>
        <v/>
      </c>
      <c r="BO1194" s="1452" t="str">
        <f t="shared" si="645"/>
        <v/>
      </c>
      <c r="BP1194" s="1452" t="str">
        <f t="shared" si="633"/>
        <v/>
      </c>
      <c r="BQ1194" s="1452" t="str">
        <f t="shared" si="634"/>
        <v/>
      </c>
      <c r="BR1194" s="1452" t="str">
        <f t="shared" si="635"/>
        <v/>
      </c>
      <c r="BS1194" s="1452" t="str">
        <f t="shared" si="636"/>
        <v/>
      </c>
      <c r="BT1194" s="1452" t="str">
        <f t="shared" si="637"/>
        <v/>
      </c>
      <c r="BU1194" s="1452" t="str">
        <f t="shared" si="638"/>
        <v/>
      </c>
      <c r="BV1194" s="1452" t="str">
        <f t="shared" si="639"/>
        <v/>
      </c>
      <c r="BW1194" s="1558">
        <f t="shared" ca="1" si="646"/>
        <v>0</v>
      </c>
    </row>
    <row r="1195" spans="1:75" s="9" customFormat="1" ht="12.5">
      <c r="A1195" s="1483" t="str">
        <f t="shared" si="640"/>
        <v>Public Health Wales Trust</v>
      </c>
      <c r="B1195" s="1583"/>
      <c r="C1195" s="1583"/>
      <c r="D1195" s="1583"/>
      <c r="E1195" s="1581"/>
      <c r="F1195" s="1436"/>
      <c r="G1195" s="1547">
        <f t="shared" si="641"/>
        <v>0</v>
      </c>
      <c r="H1195" s="1484"/>
      <c r="I1195" s="1547">
        <f t="shared" si="642"/>
        <v>0</v>
      </c>
      <c r="J1195" s="1516"/>
      <c r="K1195" s="1516"/>
      <c r="L1195" s="1436"/>
      <c r="M1195" s="1439"/>
      <c r="N1195" s="1439"/>
      <c r="O1195" s="1485"/>
      <c r="P1195" s="1486"/>
      <c r="Q1195" s="1486"/>
      <c r="R1195" s="1487"/>
      <c r="S1195" s="1444"/>
      <c r="T1195" s="1444"/>
      <c r="U1195" s="1444"/>
      <c r="V1195" s="1488"/>
      <c r="W1195" s="1488"/>
      <c r="X1195" s="1488"/>
      <c r="Y1195" s="1488"/>
      <c r="Z1195" s="1488"/>
      <c r="AA1195" s="1488"/>
      <c r="AB1195" s="1488"/>
      <c r="AC1195" s="1488"/>
      <c r="AD1195" s="1488"/>
      <c r="AE1195" s="1488"/>
      <c r="AF1195" s="1488"/>
      <c r="AG1195" s="1488"/>
      <c r="AH1195" s="1451">
        <f t="shared" ref="AH1195:AH1258" si="647">SUM(V1195:AG1195)</f>
        <v>0</v>
      </c>
      <c r="AI1195" s="1488"/>
      <c r="AJ1195" s="1488"/>
      <c r="AK1195" s="1488"/>
      <c r="AL1195" s="1488"/>
      <c r="AM1195" s="1488"/>
      <c r="AN1195" s="1488"/>
      <c r="AO1195" s="1488"/>
      <c r="AP1195" s="1488"/>
      <c r="AQ1195" s="1488"/>
      <c r="AR1195" s="1488"/>
      <c r="AS1195" s="1488"/>
      <c r="AT1195" s="1542"/>
      <c r="AU1195" s="1599">
        <f t="shared" ref="AU1195:AU1258" si="648">SUMPRODUCT($AC$40:$AN$40,AI1195:AT1195)</f>
        <v>0</v>
      </c>
      <c r="AV1195" s="1544">
        <f t="shared" si="643"/>
        <v>0</v>
      </c>
      <c r="AW1195" s="1452">
        <f t="shared" ref="AW1195:AW1258" si="649">AI1195-V1195</f>
        <v>0</v>
      </c>
      <c r="AX1195" s="1452">
        <f t="shared" ref="AX1195:AX1258" si="650">AJ1195-W1195</f>
        <v>0</v>
      </c>
      <c r="AY1195" s="1452">
        <f t="shared" ref="AY1195:AY1258" si="651">AK1195-X1195</f>
        <v>0</v>
      </c>
      <c r="AZ1195" s="1452">
        <f t="shared" ref="AZ1195:AZ1258" si="652">AL1195-Y1195</f>
        <v>0</v>
      </c>
      <c r="BA1195" s="1452">
        <f t="shared" ref="BA1195:BA1258" si="653">AM1195-Z1195</f>
        <v>0</v>
      </c>
      <c r="BB1195" s="1452">
        <f t="shared" ref="BB1195:BB1258" si="654">AN1195-AA1195</f>
        <v>0</v>
      </c>
      <c r="BC1195" s="1452">
        <f t="shared" ref="BC1195:BC1258" si="655">AO1195-AB1195</f>
        <v>0</v>
      </c>
      <c r="BD1195" s="1452">
        <f t="shared" ref="BD1195:BD1258" si="656">AP1195-AC1195</f>
        <v>0</v>
      </c>
      <c r="BE1195" s="1452">
        <f t="shared" ref="BE1195:BE1258" si="657">AQ1195-AD1195</f>
        <v>0</v>
      </c>
      <c r="BF1195" s="1452">
        <f t="shared" ref="BF1195:BF1258" si="658">AR1195-AE1195</f>
        <v>0</v>
      </c>
      <c r="BG1195" s="1452">
        <f t="shared" ref="BG1195:BG1258" si="659">AS1195-AF1195</f>
        <v>0</v>
      </c>
      <c r="BH1195" s="1452">
        <f t="shared" ref="BH1195:BH1258" si="660">AT1195-AG1195</f>
        <v>0</v>
      </c>
      <c r="BI1195" s="1452">
        <f t="shared" si="644"/>
        <v>0</v>
      </c>
      <c r="BJ1195" s="1452" t="str">
        <f t="shared" ref="BJ1195:BJ1258" si="661">IF(OR(G1195&gt;0,I1195&gt;0),IF(AND(B1195&lt;&gt;"",C1195&lt;&gt;"",D1195&lt;&gt;"",E1195&lt;&gt;"",F1195&lt;&gt;"",L1195&lt;&gt;"",M1195&lt;&gt;"",N1195&lt;&gt;"",O1195&lt;&gt;"",P1195&lt;&gt;"",Q1195&lt;&gt;"",R1195&lt;&gt;""),"","ERROR"),"")</f>
        <v/>
      </c>
      <c r="BK1195" s="1452" t="str">
        <f t="shared" ref="BK1195:BK1258" si="662">IF(COUNTIF($D$43:$D$1496,D1195)&gt;1,"ERROR","")</f>
        <v/>
      </c>
      <c r="BL1195" s="1452" t="str">
        <f t="shared" ref="BL1195:BL1258" si="663">IF(AND(OR(R1195=$CQ$1,R1195=$CQ$3),S1195=""),"ERROR","")</f>
        <v/>
      </c>
      <c r="BM1195" s="1452" t="str">
        <f t="shared" ref="BM1195:BM1258" si="664">IF(AND(OR(R1195=$CQ$2),S1195&lt;&gt;""),"ERROR","")</f>
        <v/>
      </c>
      <c r="BN1195" s="1452" t="str">
        <f t="shared" ref="BN1195:BN1258" ca="1" si="665">IF(AND(O1195=$CA$2,N1195&lt;TODAY()),"ERROR","")</f>
        <v/>
      </c>
      <c r="BO1195" s="1452" t="str">
        <f t="shared" si="645"/>
        <v/>
      </c>
      <c r="BP1195" s="1452" t="str">
        <f t="shared" ref="BP1195:BP1258" si="666">IF(AND(F1195=$BZ$1,G1195&gt;H1195),"ERROR","")</f>
        <v/>
      </c>
      <c r="BQ1195" s="1452" t="str">
        <f t="shared" ref="BQ1195:BQ1258" si="667">IF(AND(F1195=$BZ$1,I1195&gt;J1195),"ERROR","")</f>
        <v/>
      </c>
      <c r="BR1195" s="1452" t="str">
        <f t="shared" ref="BR1195:BR1258" si="668">IF(AND(F1195=$BZ$2,SUM(H1195,J1195)&gt;0),"ERROR","")</f>
        <v/>
      </c>
      <c r="BS1195" s="1452" t="str">
        <f t="shared" ref="BS1195:BS1258" si="669">IF(AND(I1195=0,J1195&gt;0),"ERROR","")</f>
        <v/>
      </c>
      <c r="BT1195" s="1452" t="str">
        <f t="shared" ref="BT1195:BT1258" si="670">IF(AND(O1195=$CA$1,K1195&lt;&gt;0),"ERROR","")</f>
        <v/>
      </c>
      <c r="BU1195" s="1452" t="str">
        <f t="shared" ref="BU1195:BU1258" si="671">IF(AND(O1195=$CA$2,I1195-AU1195-K1195&lt;0),"ERROR","")</f>
        <v/>
      </c>
      <c r="BV1195" s="1452" t="str">
        <f t="shared" ref="BV1195:BV1258" si="672">IF(S1195="","",VLOOKUP(S1195,$CS$1:$CT$14,2,0))</f>
        <v/>
      </c>
      <c r="BW1195" s="1558">
        <f t="shared" ca="1" si="646"/>
        <v>0</v>
      </c>
    </row>
    <row r="1196" spans="1:75" s="9" customFormat="1" ht="12.5">
      <c r="A1196" s="1483" t="str">
        <f t="shared" ref="A1196:A1259" si="673">$A$1</f>
        <v>Public Health Wales Trust</v>
      </c>
      <c r="B1196" s="1583"/>
      <c r="C1196" s="1583"/>
      <c r="D1196" s="1583"/>
      <c r="E1196" s="1581"/>
      <c r="F1196" s="1436"/>
      <c r="G1196" s="1547">
        <f t="shared" ref="G1196:G1259" si="674">AH1196</f>
        <v>0</v>
      </c>
      <c r="H1196" s="1484"/>
      <c r="I1196" s="1547">
        <f t="shared" ref="I1196:I1259" si="675">AV1196</f>
        <v>0</v>
      </c>
      <c r="J1196" s="1516"/>
      <c r="K1196" s="1516"/>
      <c r="L1196" s="1436"/>
      <c r="M1196" s="1439"/>
      <c r="N1196" s="1439"/>
      <c r="O1196" s="1485"/>
      <c r="P1196" s="1486"/>
      <c r="Q1196" s="1486"/>
      <c r="R1196" s="1487"/>
      <c r="S1196" s="1444"/>
      <c r="T1196" s="1444"/>
      <c r="U1196" s="1444"/>
      <c r="V1196" s="1488"/>
      <c r="W1196" s="1488"/>
      <c r="X1196" s="1488"/>
      <c r="Y1196" s="1488"/>
      <c r="Z1196" s="1488"/>
      <c r="AA1196" s="1488"/>
      <c r="AB1196" s="1488"/>
      <c r="AC1196" s="1488"/>
      <c r="AD1196" s="1488"/>
      <c r="AE1196" s="1488"/>
      <c r="AF1196" s="1488"/>
      <c r="AG1196" s="1488"/>
      <c r="AH1196" s="1451">
        <f t="shared" si="647"/>
        <v>0</v>
      </c>
      <c r="AI1196" s="1488"/>
      <c r="AJ1196" s="1488"/>
      <c r="AK1196" s="1488"/>
      <c r="AL1196" s="1488"/>
      <c r="AM1196" s="1488"/>
      <c r="AN1196" s="1488"/>
      <c r="AO1196" s="1488"/>
      <c r="AP1196" s="1488"/>
      <c r="AQ1196" s="1488"/>
      <c r="AR1196" s="1488"/>
      <c r="AS1196" s="1488"/>
      <c r="AT1196" s="1542"/>
      <c r="AU1196" s="1599">
        <f t="shared" si="648"/>
        <v>0</v>
      </c>
      <c r="AV1196" s="1544">
        <f t="shared" ref="AV1196:AV1259" si="676">SUM(AI1196:AT1196)</f>
        <v>0</v>
      </c>
      <c r="AW1196" s="1452">
        <f t="shared" si="649"/>
        <v>0</v>
      </c>
      <c r="AX1196" s="1452">
        <f t="shared" si="650"/>
        <v>0</v>
      </c>
      <c r="AY1196" s="1452">
        <f t="shared" si="651"/>
        <v>0</v>
      </c>
      <c r="AZ1196" s="1452">
        <f t="shared" si="652"/>
        <v>0</v>
      </c>
      <c r="BA1196" s="1452">
        <f t="shared" si="653"/>
        <v>0</v>
      </c>
      <c r="BB1196" s="1452">
        <f t="shared" si="654"/>
        <v>0</v>
      </c>
      <c r="BC1196" s="1452">
        <f t="shared" si="655"/>
        <v>0</v>
      </c>
      <c r="BD1196" s="1452">
        <f t="shared" si="656"/>
        <v>0</v>
      </c>
      <c r="BE1196" s="1452">
        <f t="shared" si="657"/>
        <v>0</v>
      </c>
      <c r="BF1196" s="1452">
        <f t="shared" si="658"/>
        <v>0</v>
      </c>
      <c r="BG1196" s="1452">
        <f t="shared" si="659"/>
        <v>0</v>
      </c>
      <c r="BH1196" s="1452">
        <f t="shared" si="660"/>
        <v>0</v>
      </c>
      <c r="BI1196" s="1452">
        <f t="shared" ref="BI1196:BI1259" si="677">SUM(AW1196:BH1196)</f>
        <v>0</v>
      </c>
      <c r="BJ1196" s="1452" t="str">
        <f t="shared" si="661"/>
        <v/>
      </c>
      <c r="BK1196" s="1452" t="str">
        <f t="shared" si="662"/>
        <v/>
      </c>
      <c r="BL1196" s="1452" t="str">
        <f t="shared" si="663"/>
        <v/>
      </c>
      <c r="BM1196" s="1452" t="str">
        <f t="shared" si="664"/>
        <v/>
      </c>
      <c r="BN1196" s="1452" t="str">
        <f t="shared" ca="1" si="665"/>
        <v/>
      </c>
      <c r="BO1196" s="1452" t="str">
        <f t="shared" ref="BO1196:BO1259" si="678">IF(AND(AV1196&gt;0,AH1196=0),"ERROR","")</f>
        <v/>
      </c>
      <c r="BP1196" s="1452" t="str">
        <f t="shared" si="666"/>
        <v/>
      </c>
      <c r="BQ1196" s="1452" t="str">
        <f t="shared" si="667"/>
        <v/>
      </c>
      <c r="BR1196" s="1452" t="str">
        <f t="shared" si="668"/>
        <v/>
      </c>
      <c r="BS1196" s="1452" t="str">
        <f t="shared" si="669"/>
        <v/>
      </c>
      <c r="BT1196" s="1452" t="str">
        <f t="shared" si="670"/>
        <v/>
      </c>
      <c r="BU1196" s="1452" t="str">
        <f t="shared" si="671"/>
        <v/>
      </c>
      <c r="BV1196" s="1452" t="str">
        <f t="shared" si="672"/>
        <v/>
      </c>
      <c r="BW1196" s="1558">
        <f t="shared" ref="BW1196:BW1259" ca="1" si="679">COUNTIF(BJ1196:BU1196,"ERROR")</f>
        <v>0</v>
      </c>
    </row>
    <row r="1197" spans="1:75" s="9" customFormat="1" ht="12.5">
      <c r="A1197" s="1483" t="str">
        <f t="shared" si="673"/>
        <v>Public Health Wales Trust</v>
      </c>
      <c r="B1197" s="1583"/>
      <c r="C1197" s="1583"/>
      <c r="D1197" s="1583"/>
      <c r="E1197" s="1581"/>
      <c r="F1197" s="1436"/>
      <c r="G1197" s="1547">
        <f t="shared" si="674"/>
        <v>0</v>
      </c>
      <c r="H1197" s="1484"/>
      <c r="I1197" s="1547">
        <f t="shared" si="675"/>
        <v>0</v>
      </c>
      <c r="J1197" s="1516"/>
      <c r="K1197" s="1516"/>
      <c r="L1197" s="1436"/>
      <c r="M1197" s="1439"/>
      <c r="N1197" s="1439"/>
      <c r="O1197" s="1485"/>
      <c r="P1197" s="1486"/>
      <c r="Q1197" s="1486"/>
      <c r="R1197" s="1487"/>
      <c r="S1197" s="1444"/>
      <c r="T1197" s="1444"/>
      <c r="U1197" s="1444"/>
      <c r="V1197" s="1488"/>
      <c r="W1197" s="1488"/>
      <c r="X1197" s="1488"/>
      <c r="Y1197" s="1488"/>
      <c r="Z1197" s="1488"/>
      <c r="AA1197" s="1488"/>
      <c r="AB1197" s="1488"/>
      <c r="AC1197" s="1488"/>
      <c r="AD1197" s="1488"/>
      <c r="AE1197" s="1488"/>
      <c r="AF1197" s="1488"/>
      <c r="AG1197" s="1488"/>
      <c r="AH1197" s="1451">
        <f t="shared" si="647"/>
        <v>0</v>
      </c>
      <c r="AI1197" s="1488"/>
      <c r="AJ1197" s="1488"/>
      <c r="AK1197" s="1488"/>
      <c r="AL1197" s="1488"/>
      <c r="AM1197" s="1488"/>
      <c r="AN1197" s="1488"/>
      <c r="AO1197" s="1488"/>
      <c r="AP1197" s="1488"/>
      <c r="AQ1197" s="1488"/>
      <c r="AR1197" s="1488"/>
      <c r="AS1197" s="1488"/>
      <c r="AT1197" s="1542"/>
      <c r="AU1197" s="1599">
        <f t="shared" si="648"/>
        <v>0</v>
      </c>
      <c r="AV1197" s="1544">
        <f t="shared" si="676"/>
        <v>0</v>
      </c>
      <c r="AW1197" s="1452">
        <f t="shared" si="649"/>
        <v>0</v>
      </c>
      <c r="AX1197" s="1452">
        <f t="shared" si="650"/>
        <v>0</v>
      </c>
      <c r="AY1197" s="1452">
        <f t="shared" si="651"/>
        <v>0</v>
      </c>
      <c r="AZ1197" s="1452">
        <f t="shared" si="652"/>
        <v>0</v>
      </c>
      <c r="BA1197" s="1452">
        <f t="shared" si="653"/>
        <v>0</v>
      </c>
      <c r="BB1197" s="1452">
        <f t="shared" si="654"/>
        <v>0</v>
      </c>
      <c r="BC1197" s="1452">
        <f t="shared" si="655"/>
        <v>0</v>
      </c>
      <c r="BD1197" s="1452">
        <f t="shared" si="656"/>
        <v>0</v>
      </c>
      <c r="BE1197" s="1452">
        <f t="shared" si="657"/>
        <v>0</v>
      </c>
      <c r="BF1197" s="1452">
        <f t="shared" si="658"/>
        <v>0</v>
      </c>
      <c r="BG1197" s="1452">
        <f t="shared" si="659"/>
        <v>0</v>
      </c>
      <c r="BH1197" s="1452">
        <f t="shared" si="660"/>
        <v>0</v>
      </c>
      <c r="BI1197" s="1452">
        <f t="shared" si="677"/>
        <v>0</v>
      </c>
      <c r="BJ1197" s="1452" t="str">
        <f t="shared" si="661"/>
        <v/>
      </c>
      <c r="BK1197" s="1452" t="str">
        <f t="shared" si="662"/>
        <v/>
      </c>
      <c r="BL1197" s="1452" t="str">
        <f t="shared" si="663"/>
        <v/>
      </c>
      <c r="BM1197" s="1452" t="str">
        <f t="shared" si="664"/>
        <v/>
      </c>
      <c r="BN1197" s="1452" t="str">
        <f t="shared" ca="1" si="665"/>
        <v/>
      </c>
      <c r="BO1197" s="1452" t="str">
        <f t="shared" si="678"/>
        <v/>
      </c>
      <c r="BP1197" s="1452" t="str">
        <f t="shared" si="666"/>
        <v/>
      </c>
      <c r="BQ1197" s="1452" t="str">
        <f t="shared" si="667"/>
        <v/>
      </c>
      <c r="BR1197" s="1452" t="str">
        <f t="shared" si="668"/>
        <v/>
      </c>
      <c r="BS1197" s="1452" t="str">
        <f t="shared" si="669"/>
        <v/>
      </c>
      <c r="BT1197" s="1452" t="str">
        <f t="shared" si="670"/>
        <v/>
      </c>
      <c r="BU1197" s="1452" t="str">
        <f t="shared" si="671"/>
        <v/>
      </c>
      <c r="BV1197" s="1452" t="str">
        <f t="shared" si="672"/>
        <v/>
      </c>
      <c r="BW1197" s="1558">
        <f t="shared" ca="1" si="679"/>
        <v>0</v>
      </c>
    </row>
    <row r="1198" spans="1:75" s="9" customFormat="1" ht="12.5">
      <c r="A1198" s="1483" t="str">
        <f t="shared" si="673"/>
        <v>Public Health Wales Trust</v>
      </c>
      <c r="B1198" s="1583"/>
      <c r="C1198" s="1583"/>
      <c r="D1198" s="1583"/>
      <c r="E1198" s="1581"/>
      <c r="F1198" s="1436"/>
      <c r="G1198" s="1547">
        <f t="shared" si="674"/>
        <v>0</v>
      </c>
      <c r="H1198" s="1484"/>
      <c r="I1198" s="1547">
        <f t="shared" si="675"/>
        <v>0</v>
      </c>
      <c r="J1198" s="1516"/>
      <c r="K1198" s="1516"/>
      <c r="L1198" s="1436"/>
      <c r="M1198" s="1439"/>
      <c r="N1198" s="1439"/>
      <c r="O1198" s="1485"/>
      <c r="P1198" s="1486"/>
      <c r="Q1198" s="1486"/>
      <c r="R1198" s="1487"/>
      <c r="S1198" s="1444"/>
      <c r="T1198" s="1444"/>
      <c r="U1198" s="1444"/>
      <c r="V1198" s="1488"/>
      <c r="W1198" s="1488"/>
      <c r="X1198" s="1488"/>
      <c r="Y1198" s="1488"/>
      <c r="Z1198" s="1488"/>
      <c r="AA1198" s="1488"/>
      <c r="AB1198" s="1488"/>
      <c r="AC1198" s="1488"/>
      <c r="AD1198" s="1488"/>
      <c r="AE1198" s="1488"/>
      <c r="AF1198" s="1488"/>
      <c r="AG1198" s="1488"/>
      <c r="AH1198" s="1451">
        <f t="shared" si="647"/>
        <v>0</v>
      </c>
      <c r="AI1198" s="1488"/>
      <c r="AJ1198" s="1488"/>
      <c r="AK1198" s="1488"/>
      <c r="AL1198" s="1488"/>
      <c r="AM1198" s="1488"/>
      <c r="AN1198" s="1488"/>
      <c r="AO1198" s="1488"/>
      <c r="AP1198" s="1488"/>
      <c r="AQ1198" s="1488"/>
      <c r="AR1198" s="1488"/>
      <c r="AS1198" s="1488"/>
      <c r="AT1198" s="1542"/>
      <c r="AU1198" s="1599">
        <f t="shared" si="648"/>
        <v>0</v>
      </c>
      <c r="AV1198" s="1544">
        <f t="shared" si="676"/>
        <v>0</v>
      </c>
      <c r="AW1198" s="1452">
        <f t="shared" si="649"/>
        <v>0</v>
      </c>
      <c r="AX1198" s="1452">
        <f t="shared" si="650"/>
        <v>0</v>
      </c>
      <c r="AY1198" s="1452">
        <f t="shared" si="651"/>
        <v>0</v>
      </c>
      <c r="AZ1198" s="1452">
        <f t="shared" si="652"/>
        <v>0</v>
      </c>
      <c r="BA1198" s="1452">
        <f t="shared" si="653"/>
        <v>0</v>
      </c>
      <c r="BB1198" s="1452">
        <f t="shared" si="654"/>
        <v>0</v>
      </c>
      <c r="BC1198" s="1452">
        <f t="shared" si="655"/>
        <v>0</v>
      </c>
      <c r="BD1198" s="1452">
        <f t="shared" si="656"/>
        <v>0</v>
      </c>
      <c r="BE1198" s="1452">
        <f t="shared" si="657"/>
        <v>0</v>
      </c>
      <c r="BF1198" s="1452">
        <f t="shared" si="658"/>
        <v>0</v>
      </c>
      <c r="BG1198" s="1452">
        <f t="shared" si="659"/>
        <v>0</v>
      </c>
      <c r="BH1198" s="1452">
        <f t="shared" si="660"/>
        <v>0</v>
      </c>
      <c r="BI1198" s="1452">
        <f t="shared" si="677"/>
        <v>0</v>
      </c>
      <c r="BJ1198" s="1452" t="str">
        <f t="shared" si="661"/>
        <v/>
      </c>
      <c r="BK1198" s="1452" t="str">
        <f t="shared" si="662"/>
        <v/>
      </c>
      <c r="BL1198" s="1452" t="str">
        <f t="shared" si="663"/>
        <v/>
      </c>
      <c r="BM1198" s="1452" t="str">
        <f t="shared" si="664"/>
        <v/>
      </c>
      <c r="BN1198" s="1452" t="str">
        <f t="shared" ca="1" si="665"/>
        <v/>
      </c>
      <c r="BO1198" s="1452" t="str">
        <f t="shared" si="678"/>
        <v/>
      </c>
      <c r="BP1198" s="1452" t="str">
        <f t="shared" si="666"/>
        <v/>
      </c>
      <c r="BQ1198" s="1452" t="str">
        <f t="shared" si="667"/>
        <v/>
      </c>
      <c r="BR1198" s="1452" t="str">
        <f t="shared" si="668"/>
        <v/>
      </c>
      <c r="BS1198" s="1452" t="str">
        <f t="shared" si="669"/>
        <v/>
      </c>
      <c r="BT1198" s="1452" t="str">
        <f t="shared" si="670"/>
        <v/>
      </c>
      <c r="BU1198" s="1452" t="str">
        <f t="shared" si="671"/>
        <v/>
      </c>
      <c r="BV1198" s="1452" t="str">
        <f t="shared" si="672"/>
        <v/>
      </c>
      <c r="BW1198" s="1558">
        <f t="shared" ca="1" si="679"/>
        <v>0</v>
      </c>
    </row>
    <row r="1199" spans="1:75" s="9" customFormat="1" ht="12.5">
      <c r="A1199" s="1483" t="str">
        <f t="shared" si="673"/>
        <v>Public Health Wales Trust</v>
      </c>
      <c r="B1199" s="1583"/>
      <c r="C1199" s="1583"/>
      <c r="D1199" s="1583"/>
      <c r="E1199" s="1581"/>
      <c r="F1199" s="1436"/>
      <c r="G1199" s="1547">
        <f t="shared" si="674"/>
        <v>0</v>
      </c>
      <c r="H1199" s="1484"/>
      <c r="I1199" s="1547">
        <f t="shared" si="675"/>
        <v>0</v>
      </c>
      <c r="J1199" s="1516"/>
      <c r="K1199" s="1516"/>
      <c r="L1199" s="1436"/>
      <c r="M1199" s="1439"/>
      <c r="N1199" s="1439"/>
      <c r="O1199" s="1485"/>
      <c r="P1199" s="1486"/>
      <c r="Q1199" s="1486"/>
      <c r="R1199" s="1487"/>
      <c r="S1199" s="1444"/>
      <c r="T1199" s="1444"/>
      <c r="U1199" s="1444"/>
      <c r="V1199" s="1488"/>
      <c r="W1199" s="1488"/>
      <c r="X1199" s="1488"/>
      <c r="Y1199" s="1488"/>
      <c r="Z1199" s="1488"/>
      <c r="AA1199" s="1488"/>
      <c r="AB1199" s="1488"/>
      <c r="AC1199" s="1488"/>
      <c r="AD1199" s="1488"/>
      <c r="AE1199" s="1488"/>
      <c r="AF1199" s="1488"/>
      <c r="AG1199" s="1488"/>
      <c r="AH1199" s="1451">
        <f t="shared" si="647"/>
        <v>0</v>
      </c>
      <c r="AI1199" s="1488"/>
      <c r="AJ1199" s="1488"/>
      <c r="AK1199" s="1488"/>
      <c r="AL1199" s="1488"/>
      <c r="AM1199" s="1488"/>
      <c r="AN1199" s="1488"/>
      <c r="AO1199" s="1488"/>
      <c r="AP1199" s="1488"/>
      <c r="AQ1199" s="1488"/>
      <c r="AR1199" s="1488"/>
      <c r="AS1199" s="1488"/>
      <c r="AT1199" s="1542"/>
      <c r="AU1199" s="1599">
        <f t="shared" si="648"/>
        <v>0</v>
      </c>
      <c r="AV1199" s="1544">
        <f t="shared" si="676"/>
        <v>0</v>
      </c>
      <c r="AW1199" s="1452">
        <f t="shared" si="649"/>
        <v>0</v>
      </c>
      <c r="AX1199" s="1452">
        <f t="shared" si="650"/>
        <v>0</v>
      </c>
      <c r="AY1199" s="1452">
        <f t="shared" si="651"/>
        <v>0</v>
      </c>
      <c r="AZ1199" s="1452">
        <f t="shared" si="652"/>
        <v>0</v>
      </c>
      <c r="BA1199" s="1452">
        <f t="shared" si="653"/>
        <v>0</v>
      </c>
      <c r="BB1199" s="1452">
        <f t="shared" si="654"/>
        <v>0</v>
      </c>
      <c r="BC1199" s="1452">
        <f t="shared" si="655"/>
        <v>0</v>
      </c>
      <c r="BD1199" s="1452">
        <f t="shared" si="656"/>
        <v>0</v>
      </c>
      <c r="BE1199" s="1452">
        <f t="shared" si="657"/>
        <v>0</v>
      </c>
      <c r="BF1199" s="1452">
        <f t="shared" si="658"/>
        <v>0</v>
      </c>
      <c r="BG1199" s="1452">
        <f t="shared" si="659"/>
        <v>0</v>
      </c>
      <c r="BH1199" s="1452">
        <f t="shared" si="660"/>
        <v>0</v>
      </c>
      <c r="BI1199" s="1452">
        <f t="shared" si="677"/>
        <v>0</v>
      </c>
      <c r="BJ1199" s="1452" t="str">
        <f t="shared" si="661"/>
        <v/>
      </c>
      <c r="BK1199" s="1452" t="str">
        <f t="shared" si="662"/>
        <v/>
      </c>
      <c r="BL1199" s="1452" t="str">
        <f t="shared" si="663"/>
        <v/>
      </c>
      <c r="BM1199" s="1452" t="str">
        <f t="shared" si="664"/>
        <v/>
      </c>
      <c r="BN1199" s="1452" t="str">
        <f t="shared" ca="1" si="665"/>
        <v/>
      </c>
      <c r="BO1199" s="1452" t="str">
        <f t="shared" si="678"/>
        <v/>
      </c>
      <c r="BP1199" s="1452" t="str">
        <f t="shared" si="666"/>
        <v/>
      </c>
      <c r="BQ1199" s="1452" t="str">
        <f t="shared" si="667"/>
        <v/>
      </c>
      <c r="BR1199" s="1452" t="str">
        <f t="shared" si="668"/>
        <v/>
      </c>
      <c r="BS1199" s="1452" t="str">
        <f t="shared" si="669"/>
        <v/>
      </c>
      <c r="BT1199" s="1452" t="str">
        <f t="shared" si="670"/>
        <v/>
      </c>
      <c r="BU1199" s="1452" t="str">
        <f t="shared" si="671"/>
        <v/>
      </c>
      <c r="BV1199" s="1452" t="str">
        <f t="shared" si="672"/>
        <v/>
      </c>
      <c r="BW1199" s="1558">
        <f t="shared" ca="1" si="679"/>
        <v>0</v>
      </c>
    </row>
    <row r="1200" spans="1:75" s="9" customFormat="1" ht="12.5">
      <c r="A1200" s="1483" t="str">
        <f t="shared" si="673"/>
        <v>Public Health Wales Trust</v>
      </c>
      <c r="B1200" s="1583"/>
      <c r="C1200" s="1583"/>
      <c r="D1200" s="1583"/>
      <c r="E1200" s="1581"/>
      <c r="F1200" s="1436"/>
      <c r="G1200" s="1547">
        <f t="shared" si="674"/>
        <v>0</v>
      </c>
      <c r="H1200" s="1484"/>
      <c r="I1200" s="1547">
        <f t="shared" si="675"/>
        <v>0</v>
      </c>
      <c r="J1200" s="1516"/>
      <c r="K1200" s="1516"/>
      <c r="L1200" s="1436"/>
      <c r="M1200" s="1439"/>
      <c r="N1200" s="1439"/>
      <c r="O1200" s="1485"/>
      <c r="P1200" s="1486"/>
      <c r="Q1200" s="1486"/>
      <c r="R1200" s="1487"/>
      <c r="S1200" s="1444"/>
      <c r="T1200" s="1444"/>
      <c r="U1200" s="1444"/>
      <c r="V1200" s="1488"/>
      <c r="W1200" s="1488"/>
      <c r="X1200" s="1488"/>
      <c r="Y1200" s="1488"/>
      <c r="Z1200" s="1488"/>
      <c r="AA1200" s="1488"/>
      <c r="AB1200" s="1488"/>
      <c r="AC1200" s="1488"/>
      <c r="AD1200" s="1488"/>
      <c r="AE1200" s="1488"/>
      <c r="AF1200" s="1488"/>
      <c r="AG1200" s="1488"/>
      <c r="AH1200" s="1451">
        <f t="shared" si="647"/>
        <v>0</v>
      </c>
      <c r="AI1200" s="1488"/>
      <c r="AJ1200" s="1488"/>
      <c r="AK1200" s="1488"/>
      <c r="AL1200" s="1488"/>
      <c r="AM1200" s="1488"/>
      <c r="AN1200" s="1488"/>
      <c r="AO1200" s="1488"/>
      <c r="AP1200" s="1488"/>
      <c r="AQ1200" s="1488"/>
      <c r="AR1200" s="1488"/>
      <c r="AS1200" s="1488"/>
      <c r="AT1200" s="1542"/>
      <c r="AU1200" s="1599">
        <f t="shared" si="648"/>
        <v>0</v>
      </c>
      <c r="AV1200" s="1544">
        <f t="shared" si="676"/>
        <v>0</v>
      </c>
      <c r="AW1200" s="1452">
        <f t="shared" si="649"/>
        <v>0</v>
      </c>
      <c r="AX1200" s="1452">
        <f t="shared" si="650"/>
        <v>0</v>
      </c>
      <c r="AY1200" s="1452">
        <f t="shared" si="651"/>
        <v>0</v>
      </c>
      <c r="AZ1200" s="1452">
        <f t="shared" si="652"/>
        <v>0</v>
      </c>
      <c r="BA1200" s="1452">
        <f t="shared" si="653"/>
        <v>0</v>
      </c>
      <c r="BB1200" s="1452">
        <f t="shared" si="654"/>
        <v>0</v>
      </c>
      <c r="BC1200" s="1452">
        <f t="shared" si="655"/>
        <v>0</v>
      </c>
      <c r="BD1200" s="1452">
        <f t="shared" si="656"/>
        <v>0</v>
      </c>
      <c r="BE1200" s="1452">
        <f t="shared" si="657"/>
        <v>0</v>
      </c>
      <c r="BF1200" s="1452">
        <f t="shared" si="658"/>
        <v>0</v>
      </c>
      <c r="BG1200" s="1452">
        <f t="shared" si="659"/>
        <v>0</v>
      </c>
      <c r="BH1200" s="1452">
        <f t="shared" si="660"/>
        <v>0</v>
      </c>
      <c r="BI1200" s="1452">
        <f t="shared" si="677"/>
        <v>0</v>
      </c>
      <c r="BJ1200" s="1452" t="str">
        <f t="shared" si="661"/>
        <v/>
      </c>
      <c r="BK1200" s="1452" t="str">
        <f t="shared" si="662"/>
        <v/>
      </c>
      <c r="BL1200" s="1452" t="str">
        <f t="shared" si="663"/>
        <v/>
      </c>
      <c r="BM1200" s="1452" t="str">
        <f t="shared" si="664"/>
        <v/>
      </c>
      <c r="BN1200" s="1452" t="str">
        <f t="shared" ca="1" si="665"/>
        <v/>
      </c>
      <c r="BO1200" s="1452" t="str">
        <f t="shared" si="678"/>
        <v/>
      </c>
      <c r="BP1200" s="1452" t="str">
        <f t="shared" si="666"/>
        <v/>
      </c>
      <c r="BQ1200" s="1452" t="str">
        <f t="shared" si="667"/>
        <v/>
      </c>
      <c r="BR1200" s="1452" t="str">
        <f t="shared" si="668"/>
        <v/>
      </c>
      <c r="BS1200" s="1452" t="str">
        <f t="shared" si="669"/>
        <v/>
      </c>
      <c r="BT1200" s="1452" t="str">
        <f t="shared" si="670"/>
        <v/>
      </c>
      <c r="BU1200" s="1452" t="str">
        <f t="shared" si="671"/>
        <v/>
      </c>
      <c r="BV1200" s="1452" t="str">
        <f t="shared" si="672"/>
        <v/>
      </c>
      <c r="BW1200" s="1558">
        <f t="shared" ca="1" si="679"/>
        <v>0</v>
      </c>
    </row>
    <row r="1201" spans="1:75" s="9" customFormat="1" ht="12.5">
      <c r="A1201" s="1483" t="str">
        <f t="shared" si="673"/>
        <v>Public Health Wales Trust</v>
      </c>
      <c r="B1201" s="1583"/>
      <c r="C1201" s="1583"/>
      <c r="D1201" s="1583"/>
      <c r="E1201" s="1581"/>
      <c r="F1201" s="1436"/>
      <c r="G1201" s="1547">
        <f t="shared" si="674"/>
        <v>0</v>
      </c>
      <c r="H1201" s="1484"/>
      <c r="I1201" s="1547">
        <f t="shared" si="675"/>
        <v>0</v>
      </c>
      <c r="J1201" s="1516"/>
      <c r="K1201" s="1516"/>
      <c r="L1201" s="1436"/>
      <c r="M1201" s="1439"/>
      <c r="N1201" s="1439"/>
      <c r="O1201" s="1485"/>
      <c r="P1201" s="1486"/>
      <c r="Q1201" s="1486"/>
      <c r="R1201" s="1487"/>
      <c r="S1201" s="1444"/>
      <c r="T1201" s="1444"/>
      <c r="U1201" s="1444"/>
      <c r="V1201" s="1488"/>
      <c r="W1201" s="1488"/>
      <c r="X1201" s="1488"/>
      <c r="Y1201" s="1488"/>
      <c r="Z1201" s="1488"/>
      <c r="AA1201" s="1488"/>
      <c r="AB1201" s="1488"/>
      <c r="AC1201" s="1488"/>
      <c r="AD1201" s="1488"/>
      <c r="AE1201" s="1488"/>
      <c r="AF1201" s="1488"/>
      <c r="AG1201" s="1488"/>
      <c r="AH1201" s="1451">
        <f t="shared" si="647"/>
        <v>0</v>
      </c>
      <c r="AI1201" s="1488"/>
      <c r="AJ1201" s="1488"/>
      <c r="AK1201" s="1488"/>
      <c r="AL1201" s="1488"/>
      <c r="AM1201" s="1488"/>
      <c r="AN1201" s="1488"/>
      <c r="AO1201" s="1488"/>
      <c r="AP1201" s="1488"/>
      <c r="AQ1201" s="1488"/>
      <c r="AR1201" s="1488"/>
      <c r="AS1201" s="1488"/>
      <c r="AT1201" s="1542"/>
      <c r="AU1201" s="1599">
        <f t="shared" si="648"/>
        <v>0</v>
      </c>
      <c r="AV1201" s="1544">
        <f t="shared" si="676"/>
        <v>0</v>
      </c>
      <c r="AW1201" s="1452">
        <f t="shared" si="649"/>
        <v>0</v>
      </c>
      <c r="AX1201" s="1452">
        <f t="shared" si="650"/>
        <v>0</v>
      </c>
      <c r="AY1201" s="1452">
        <f t="shared" si="651"/>
        <v>0</v>
      </c>
      <c r="AZ1201" s="1452">
        <f t="shared" si="652"/>
        <v>0</v>
      </c>
      <c r="BA1201" s="1452">
        <f t="shared" si="653"/>
        <v>0</v>
      </c>
      <c r="BB1201" s="1452">
        <f t="shared" si="654"/>
        <v>0</v>
      </c>
      <c r="BC1201" s="1452">
        <f t="shared" si="655"/>
        <v>0</v>
      </c>
      <c r="BD1201" s="1452">
        <f t="shared" si="656"/>
        <v>0</v>
      </c>
      <c r="BE1201" s="1452">
        <f t="shared" si="657"/>
        <v>0</v>
      </c>
      <c r="BF1201" s="1452">
        <f t="shared" si="658"/>
        <v>0</v>
      </c>
      <c r="BG1201" s="1452">
        <f t="shared" si="659"/>
        <v>0</v>
      </c>
      <c r="BH1201" s="1452">
        <f t="shared" si="660"/>
        <v>0</v>
      </c>
      <c r="BI1201" s="1452">
        <f t="shared" si="677"/>
        <v>0</v>
      </c>
      <c r="BJ1201" s="1452" t="str">
        <f t="shared" si="661"/>
        <v/>
      </c>
      <c r="BK1201" s="1452" t="str">
        <f t="shared" si="662"/>
        <v/>
      </c>
      <c r="BL1201" s="1452" t="str">
        <f t="shared" si="663"/>
        <v/>
      </c>
      <c r="BM1201" s="1452" t="str">
        <f t="shared" si="664"/>
        <v/>
      </c>
      <c r="BN1201" s="1452" t="str">
        <f t="shared" ca="1" si="665"/>
        <v/>
      </c>
      <c r="BO1201" s="1452" t="str">
        <f t="shared" si="678"/>
        <v/>
      </c>
      <c r="BP1201" s="1452" t="str">
        <f t="shared" si="666"/>
        <v/>
      </c>
      <c r="BQ1201" s="1452" t="str">
        <f t="shared" si="667"/>
        <v/>
      </c>
      <c r="BR1201" s="1452" t="str">
        <f t="shared" si="668"/>
        <v/>
      </c>
      <c r="BS1201" s="1452" t="str">
        <f t="shared" si="669"/>
        <v/>
      </c>
      <c r="BT1201" s="1452" t="str">
        <f t="shared" si="670"/>
        <v/>
      </c>
      <c r="BU1201" s="1452" t="str">
        <f t="shared" si="671"/>
        <v/>
      </c>
      <c r="BV1201" s="1452" t="str">
        <f t="shared" si="672"/>
        <v/>
      </c>
      <c r="BW1201" s="1558">
        <f t="shared" ca="1" si="679"/>
        <v>0</v>
      </c>
    </row>
    <row r="1202" spans="1:75" s="9" customFormat="1" ht="12.5">
      <c r="A1202" s="1483" t="str">
        <f t="shared" si="673"/>
        <v>Public Health Wales Trust</v>
      </c>
      <c r="B1202" s="1583"/>
      <c r="C1202" s="1583"/>
      <c r="D1202" s="1583"/>
      <c r="E1202" s="1581"/>
      <c r="F1202" s="1436"/>
      <c r="G1202" s="1547">
        <f t="shared" si="674"/>
        <v>0</v>
      </c>
      <c r="H1202" s="1484"/>
      <c r="I1202" s="1547">
        <f t="shared" si="675"/>
        <v>0</v>
      </c>
      <c r="J1202" s="1516"/>
      <c r="K1202" s="1516"/>
      <c r="L1202" s="1436"/>
      <c r="M1202" s="1439"/>
      <c r="N1202" s="1439"/>
      <c r="O1202" s="1485"/>
      <c r="P1202" s="1486"/>
      <c r="Q1202" s="1486"/>
      <c r="R1202" s="1487"/>
      <c r="S1202" s="1444"/>
      <c r="T1202" s="1444"/>
      <c r="U1202" s="1444"/>
      <c r="V1202" s="1488"/>
      <c r="W1202" s="1488"/>
      <c r="X1202" s="1488"/>
      <c r="Y1202" s="1488"/>
      <c r="Z1202" s="1488"/>
      <c r="AA1202" s="1488"/>
      <c r="AB1202" s="1488"/>
      <c r="AC1202" s="1488"/>
      <c r="AD1202" s="1488"/>
      <c r="AE1202" s="1488"/>
      <c r="AF1202" s="1488"/>
      <c r="AG1202" s="1488"/>
      <c r="AH1202" s="1451">
        <f t="shared" si="647"/>
        <v>0</v>
      </c>
      <c r="AI1202" s="1488"/>
      <c r="AJ1202" s="1488"/>
      <c r="AK1202" s="1488"/>
      <c r="AL1202" s="1488"/>
      <c r="AM1202" s="1488"/>
      <c r="AN1202" s="1488"/>
      <c r="AO1202" s="1488"/>
      <c r="AP1202" s="1488"/>
      <c r="AQ1202" s="1488"/>
      <c r="AR1202" s="1488"/>
      <c r="AS1202" s="1488"/>
      <c r="AT1202" s="1542"/>
      <c r="AU1202" s="1599">
        <f t="shared" si="648"/>
        <v>0</v>
      </c>
      <c r="AV1202" s="1544">
        <f t="shared" si="676"/>
        <v>0</v>
      </c>
      <c r="AW1202" s="1452">
        <f t="shared" si="649"/>
        <v>0</v>
      </c>
      <c r="AX1202" s="1452">
        <f t="shared" si="650"/>
        <v>0</v>
      </c>
      <c r="AY1202" s="1452">
        <f t="shared" si="651"/>
        <v>0</v>
      </c>
      <c r="AZ1202" s="1452">
        <f t="shared" si="652"/>
        <v>0</v>
      </c>
      <c r="BA1202" s="1452">
        <f t="shared" si="653"/>
        <v>0</v>
      </c>
      <c r="BB1202" s="1452">
        <f t="shared" si="654"/>
        <v>0</v>
      </c>
      <c r="BC1202" s="1452">
        <f t="shared" si="655"/>
        <v>0</v>
      </c>
      <c r="BD1202" s="1452">
        <f t="shared" si="656"/>
        <v>0</v>
      </c>
      <c r="BE1202" s="1452">
        <f t="shared" si="657"/>
        <v>0</v>
      </c>
      <c r="BF1202" s="1452">
        <f t="shared" si="658"/>
        <v>0</v>
      </c>
      <c r="BG1202" s="1452">
        <f t="shared" si="659"/>
        <v>0</v>
      </c>
      <c r="BH1202" s="1452">
        <f t="shared" si="660"/>
        <v>0</v>
      </c>
      <c r="BI1202" s="1452">
        <f t="shared" si="677"/>
        <v>0</v>
      </c>
      <c r="BJ1202" s="1452" t="str">
        <f t="shared" si="661"/>
        <v/>
      </c>
      <c r="BK1202" s="1452" t="str">
        <f t="shared" si="662"/>
        <v/>
      </c>
      <c r="BL1202" s="1452" t="str">
        <f t="shared" si="663"/>
        <v/>
      </c>
      <c r="BM1202" s="1452" t="str">
        <f t="shared" si="664"/>
        <v/>
      </c>
      <c r="BN1202" s="1452" t="str">
        <f t="shared" ca="1" si="665"/>
        <v/>
      </c>
      <c r="BO1202" s="1452" t="str">
        <f t="shared" si="678"/>
        <v/>
      </c>
      <c r="BP1202" s="1452" t="str">
        <f t="shared" si="666"/>
        <v/>
      </c>
      <c r="BQ1202" s="1452" t="str">
        <f t="shared" si="667"/>
        <v/>
      </c>
      <c r="BR1202" s="1452" t="str">
        <f t="shared" si="668"/>
        <v/>
      </c>
      <c r="BS1202" s="1452" t="str">
        <f t="shared" si="669"/>
        <v/>
      </c>
      <c r="BT1202" s="1452" t="str">
        <f t="shared" si="670"/>
        <v/>
      </c>
      <c r="BU1202" s="1452" t="str">
        <f t="shared" si="671"/>
        <v/>
      </c>
      <c r="BV1202" s="1452" t="str">
        <f t="shared" si="672"/>
        <v/>
      </c>
      <c r="BW1202" s="1558">
        <f t="shared" ca="1" si="679"/>
        <v>0</v>
      </c>
    </row>
    <row r="1203" spans="1:75" s="9" customFormat="1" ht="12.5">
      <c r="A1203" s="1483" t="str">
        <f t="shared" si="673"/>
        <v>Public Health Wales Trust</v>
      </c>
      <c r="B1203" s="1583"/>
      <c r="C1203" s="1583"/>
      <c r="D1203" s="1583"/>
      <c r="E1203" s="1581"/>
      <c r="F1203" s="1436"/>
      <c r="G1203" s="1547">
        <f t="shared" si="674"/>
        <v>0</v>
      </c>
      <c r="H1203" s="1484"/>
      <c r="I1203" s="1547">
        <f t="shared" si="675"/>
        <v>0</v>
      </c>
      <c r="J1203" s="1516"/>
      <c r="K1203" s="1516"/>
      <c r="L1203" s="1436"/>
      <c r="M1203" s="1439"/>
      <c r="N1203" s="1439"/>
      <c r="O1203" s="1485"/>
      <c r="P1203" s="1486"/>
      <c r="Q1203" s="1486"/>
      <c r="R1203" s="1487"/>
      <c r="S1203" s="1444"/>
      <c r="T1203" s="1444"/>
      <c r="U1203" s="1444"/>
      <c r="V1203" s="1488"/>
      <c r="W1203" s="1488"/>
      <c r="X1203" s="1488"/>
      <c r="Y1203" s="1488"/>
      <c r="Z1203" s="1488"/>
      <c r="AA1203" s="1488"/>
      <c r="AB1203" s="1488"/>
      <c r="AC1203" s="1488"/>
      <c r="AD1203" s="1488"/>
      <c r="AE1203" s="1488"/>
      <c r="AF1203" s="1488"/>
      <c r="AG1203" s="1488"/>
      <c r="AH1203" s="1451">
        <f t="shared" si="647"/>
        <v>0</v>
      </c>
      <c r="AI1203" s="1488"/>
      <c r="AJ1203" s="1488"/>
      <c r="AK1203" s="1488"/>
      <c r="AL1203" s="1488"/>
      <c r="AM1203" s="1488"/>
      <c r="AN1203" s="1488"/>
      <c r="AO1203" s="1488"/>
      <c r="AP1203" s="1488"/>
      <c r="AQ1203" s="1488"/>
      <c r="AR1203" s="1488"/>
      <c r="AS1203" s="1488"/>
      <c r="AT1203" s="1542"/>
      <c r="AU1203" s="1599">
        <f t="shared" si="648"/>
        <v>0</v>
      </c>
      <c r="AV1203" s="1544">
        <f t="shared" si="676"/>
        <v>0</v>
      </c>
      <c r="AW1203" s="1452">
        <f t="shared" si="649"/>
        <v>0</v>
      </c>
      <c r="AX1203" s="1452">
        <f t="shared" si="650"/>
        <v>0</v>
      </c>
      <c r="AY1203" s="1452">
        <f t="shared" si="651"/>
        <v>0</v>
      </c>
      <c r="AZ1203" s="1452">
        <f t="shared" si="652"/>
        <v>0</v>
      </c>
      <c r="BA1203" s="1452">
        <f t="shared" si="653"/>
        <v>0</v>
      </c>
      <c r="BB1203" s="1452">
        <f t="shared" si="654"/>
        <v>0</v>
      </c>
      <c r="BC1203" s="1452">
        <f t="shared" si="655"/>
        <v>0</v>
      </c>
      <c r="BD1203" s="1452">
        <f t="shared" si="656"/>
        <v>0</v>
      </c>
      <c r="BE1203" s="1452">
        <f t="shared" si="657"/>
        <v>0</v>
      </c>
      <c r="BF1203" s="1452">
        <f t="shared" si="658"/>
        <v>0</v>
      </c>
      <c r="BG1203" s="1452">
        <f t="shared" si="659"/>
        <v>0</v>
      </c>
      <c r="BH1203" s="1452">
        <f t="shared" si="660"/>
        <v>0</v>
      </c>
      <c r="BI1203" s="1452">
        <f t="shared" si="677"/>
        <v>0</v>
      </c>
      <c r="BJ1203" s="1452" t="str">
        <f t="shared" si="661"/>
        <v/>
      </c>
      <c r="BK1203" s="1452" t="str">
        <f t="shared" si="662"/>
        <v/>
      </c>
      <c r="BL1203" s="1452" t="str">
        <f t="shared" si="663"/>
        <v/>
      </c>
      <c r="BM1203" s="1452" t="str">
        <f t="shared" si="664"/>
        <v/>
      </c>
      <c r="BN1203" s="1452" t="str">
        <f t="shared" ca="1" si="665"/>
        <v/>
      </c>
      <c r="BO1203" s="1452" t="str">
        <f t="shared" si="678"/>
        <v/>
      </c>
      <c r="BP1203" s="1452" t="str">
        <f t="shared" si="666"/>
        <v/>
      </c>
      <c r="BQ1203" s="1452" t="str">
        <f t="shared" si="667"/>
        <v/>
      </c>
      <c r="BR1203" s="1452" t="str">
        <f t="shared" si="668"/>
        <v/>
      </c>
      <c r="BS1203" s="1452" t="str">
        <f t="shared" si="669"/>
        <v/>
      </c>
      <c r="BT1203" s="1452" t="str">
        <f t="shared" si="670"/>
        <v/>
      </c>
      <c r="BU1203" s="1452" t="str">
        <f t="shared" si="671"/>
        <v/>
      </c>
      <c r="BV1203" s="1452" t="str">
        <f t="shared" si="672"/>
        <v/>
      </c>
      <c r="BW1203" s="1558">
        <f t="shared" ca="1" si="679"/>
        <v>0</v>
      </c>
    </row>
    <row r="1204" spans="1:75" s="9" customFormat="1" ht="12.5">
      <c r="A1204" s="1483" t="str">
        <f t="shared" si="673"/>
        <v>Public Health Wales Trust</v>
      </c>
      <c r="B1204" s="1583"/>
      <c r="C1204" s="1583"/>
      <c r="D1204" s="1583"/>
      <c r="E1204" s="1581"/>
      <c r="F1204" s="1436"/>
      <c r="G1204" s="1547">
        <f t="shared" si="674"/>
        <v>0</v>
      </c>
      <c r="H1204" s="1484"/>
      <c r="I1204" s="1547">
        <f t="shared" si="675"/>
        <v>0</v>
      </c>
      <c r="J1204" s="1516"/>
      <c r="K1204" s="1516"/>
      <c r="L1204" s="1436"/>
      <c r="M1204" s="1439"/>
      <c r="N1204" s="1439"/>
      <c r="O1204" s="1485"/>
      <c r="P1204" s="1486"/>
      <c r="Q1204" s="1486"/>
      <c r="R1204" s="1487"/>
      <c r="S1204" s="1444"/>
      <c r="T1204" s="1444"/>
      <c r="U1204" s="1444"/>
      <c r="V1204" s="1488"/>
      <c r="W1204" s="1488"/>
      <c r="X1204" s="1488"/>
      <c r="Y1204" s="1488"/>
      <c r="Z1204" s="1488"/>
      <c r="AA1204" s="1488"/>
      <c r="AB1204" s="1488"/>
      <c r="AC1204" s="1488"/>
      <c r="AD1204" s="1488"/>
      <c r="AE1204" s="1488"/>
      <c r="AF1204" s="1488"/>
      <c r="AG1204" s="1488"/>
      <c r="AH1204" s="1451">
        <f t="shared" si="647"/>
        <v>0</v>
      </c>
      <c r="AI1204" s="1488"/>
      <c r="AJ1204" s="1488"/>
      <c r="AK1204" s="1488"/>
      <c r="AL1204" s="1488"/>
      <c r="AM1204" s="1488"/>
      <c r="AN1204" s="1488"/>
      <c r="AO1204" s="1488"/>
      <c r="AP1204" s="1488"/>
      <c r="AQ1204" s="1488"/>
      <c r="AR1204" s="1488"/>
      <c r="AS1204" s="1488"/>
      <c r="AT1204" s="1542"/>
      <c r="AU1204" s="1599">
        <f t="shared" si="648"/>
        <v>0</v>
      </c>
      <c r="AV1204" s="1544">
        <f t="shared" si="676"/>
        <v>0</v>
      </c>
      <c r="AW1204" s="1452">
        <f t="shared" si="649"/>
        <v>0</v>
      </c>
      <c r="AX1204" s="1452">
        <f t="shared" si="650"/>
        <v>0</v>
      </c>
      <c r="AY1204" s="1452">
        <f t="shared" si="651"/>
        <v>0</v>
      </c>
      <c r="AZ1204" s="1452">
        <f t="shared" si="652"/>
        <v>0</v>
      </c>
      <c r="BA1204" s="1452">
        <f t="shared" si="653"/>
        <v>0</v>
      </c>
      <c r="BB1204" s="1452">
        <f t="shared" si="654"/>
        <v>0</v>
      </c>
      <c r="BC1204" s="1452">
        <f t="shared" si="655"/>
        <v>0</v>
      </c>
      <c r="BD1204" s="1452">
        <f t="shared" si="656"/>
        <v>0</v>
      </c>
      <c r="BE1204" s="1452">
        <f t="shared" si="657"/>
        <v>0</v>
      </c>
      <c r="BF1204" s="1452">
        <f t="shared" si="658"/>
        <v>0</v>
      </c>
      <c r="BG1204" s="1452">
        <f t="shared" si="659"/>
        <v>0</v>
      </c>
      <c r="BH1204" s="1452">
        <f t="shared" si="660"/>
        <v>0</v>
      </c>
      <c r="BI1204" s="1452">
        <f t="shared" si="677"/>
        <v>0</v>
      </c>
      <c r="BJ1204" s="1452" t="str">
        <f t="shared" si="661"/>
        <v/>
      </c>
      <c r="BK1204" s="1452" t="str">
        <f t="shared" si="662"/>
        <v/>
      </c>
      <c r="BL1204" s="1452" t="str">
        <f t="shared" si="663"/>
        <v/>
      </c>
      <c r="BM1204" s="1452" t="str">
        <f t="shared" si="664"/>
        <v/>
      </c>
      <c r="BN1204" s="1452" t="str">
        <f t="shared" ca="1" si="665"/>
        <v/>
      </c>
      <c r="BO1204" s="1452" t="str">
        <f t="shared" si="678"/>
        <v/>
      </c>
      <c r="BP1204" s="1452" t="str">
        <f t="shared" si="666"/>
        <v/>
      </c>
      <c r="BQ1204" s="1452" t="str">
        <f t="shared" si="667"/>
        <v/>
      </c>
      <c r="BR1204" s="1452" t="str">
        <f t="shared" si="668"/>
        <v/>
      </c>
      <c r="BS1204" s="1452" t="str">
        <f t="shared" si="669"/>
        <v/>
      </c>
      <c r="BT1204" s="1452" t="str">
        <f t="shared" si="670"/>
        <v/>
      </c>
      <c r="BU1204" s="1452" t="str">
        <f t="shared" si="671"/>
        <v/>
      </c>
      <c r="BV1204" s="1452" t="str">
        <f t="shared" si="672"/>
        <v/>
      </c>
      <c r="BW1204" s="1558">
        <f t="shared" ca="1" si="679"/>
        <v>0</v>
      </c>
    </row>
    <row r="1205" spans="1:75" s="9" customFormat="1" ht="12.5">
      <c r="A1205" s="1483" t="str">
        <f t="shared" si="673"/>
        <v>Public Health Wales Trust</v>
      </c>
      <c r="B1205" s="1583"/>
      <c r="C1205" s="1583"/>
      <c r="D1205" s="1583"/>
      <c r="E1205" s="1581"/>
      <c r="F1205" s="1436"/>
      <c r="G1205" s="1547">
        <f t="shared" si="674"/>
        <v>0</v>
      </c>
      <c r="H1205" s="1484"/>
      <c r="I1205" s="1547">
        <f t="shared" si="675"/>
        <v>0</v>
      </c>
      <c r="J1205" s="1516"/>
      <c r="K1205" s="1516"/>
      <c r="L1205" s="1436"/>
      <c r="M1205" s="1439"/>
      <c r="N1205" s="1439"/>
      <c r="O1205" s="1485"/>
      <c r="P1205" s="1486"/>
      <c r="Q1205" s="1486"/>
      <c r="R1205" s="1487"/>
      <c r="S1205" s="1444"/>
      <c r="T1205" s="1444"/>
      <c r="U1205" s="1444"/>
      <c r="V1205" s="1488"/>
      <c r="W1205" s="1488"/>
      <c r="X1205" s="1488"/>
      <c r="Y1205" s="1488"/>
      <c r="Z1205" s="1488"/>
      <c r="AA1205" s="1488"/>
      <c r="AB1205" s="1488"/>
      <c r="AC1205" s="1488"/>
      <c r="AD1205" s="1488"/>
      <c r="AE1205" s="1488"/>
      <c r="AF1205" s="1488"/>
      <c r="AG1205" s="1488"/>
      <c r="AH1205" s="1451">
        <f t="shared" si="647"/>
        <v>0</v>
      </c>
      <c r="AI1205" s="1488"/>
      <c r="AJ1205" s="1488"/>
      <c r="AK1205" s="1488"/>
      <c r="AL1205" s="1488"/>
      <c r="AM1205" s="1488"/>
      <c r="AN1205" s="1488"/>
      <c r="AO1205" s="1488"/>
      <c r="AP1205" s="1488"/>
      <c r="AQ1205" s="1488"/>
      <c r="AR1205" s="1488"/>
      <c r="AS1205" s="1488"/>
      <c r="AT1205" s="1542"/>
      <c r="AU1205" s="1599">
        <f t="shared" si="648"/>
        <v>0</v>
      </c>
      <c r="AV1205" s="1544">
        <f t="shared" si="676"/>
        <v>0</v>
      </c>
      <c r="AW1205" s="1452">
        <f t="shared" si="649"/>
        <v>0</v>
      </c>
      <c r="AX1205" s="1452">
        <f t="shared" si="650"/>
        <v>0</v>
      </c>
      <c r="AY1205" s="1452">
        <f t="shared" si="651"/>
        <v>0</v>
      </c>
      <c r="AZ1205" s="1452">
        <f t="shared" si="652"/>
        <v>0</v>
      </c>
      <c r="BA1205" s="1452">
        <f t="shared" si="653"/>
        <v>0</v>
      </c>
      <c r="BB1205" s="1452">
        <f t="shared" si="654"/>
        <v>0</v>
      </c>
      <c r="BC1205" s="1452">
        <f t="shared" si="655"/>
        <v>0</v>
      </c>
      <c r="BD1205" s="1452">
        <f t="shared" si="656"/>
        <v>0</v>
      </c>
      <c r="BE1205" s="1452">
        <f t="shared" si="657"/>
        <v>0</v>
      </c>
      <c r="BF1205" s="1452">
        <f t="shared" si="658"/>
        <v>0</v>
      </c>
      <c r="BG1205" s="1452">
        <f t="shared" si="659"/>
        <v>0</v>
      </c>
      <c r="BH1205" s="1452">
        <f t="shared" si="660"/>
        <v>0</v>
      </c>
      <c r="BI1205" s="1452">
        <f t="shared" si="677"/>
        <v>0</v>
      </c>
      <c r="BJ1205" s="1452" t="str">
        <f t="shared" si="661"/>
        <v/>
      </c>
      <c r="BK1205" s="1452" t="str">
        <f t="shared" si="662"/>
        <v/>
      </c>
      <c r="BL1205" s="1452" t="str">
        <f t="shared" si="663"/>
        <v/>
      </c>
      <c r="BM1205" s="1452" t="str">
        <f t="shared" si="664"/>
        <v/>
      </c>
      <c r="BN1205" s="1452" t="str">
        <f t="shared" ca="1" si="665"/>
        <v/>
      </c>
      <c r="BO1205" s="1452" t="str">
        <f t="shared" si="678"/>
        <v/>
      </c>
      <c r="BP1205" s="1452" t="str">
        <f t="shared" si="666"/>
        <v/>
      </c>
      <c r="BQ1205" s="1452" t="str">
        <f t="shared" si="667"/>
        <v/>
      </c>
      <c r="BR1205" s="1452" t="str">
        <f t="shared" si="668"/>
        <v/>
      </c>
      <c r="BS1205" s="1452" t="str">
        <f t="shared" si="669"/>
        <v/>
      </c>
      <c r="BT1205" s="1452" t="str">
        <f t="shared" si="670"/>
        <v/>
      </c>
      <c r="BU1205" s="1452" t="str">
        <f t="shared" si="671"/>
        <v/>
      </c>
      <c r="BV1205" s="1452" t="str">
        <f t="shared" si="672"/>
        <v/>
      </c>
      <c r="BW1205" s="1558">
        <f t="shared" ca="1" si="679"/>
        <v>0</v>
      </c>
    </row>
    <row r="1206" spans="1:75" s="9" customFormat="1" ht="12.5">
      <c r="A1206" s="1483" t="str">
        <f t="shared" si="673"/>
        <v>Public Health Wales Trust</v>
      </c>
      <c r="B1206" s="1583"/>
      <c r="C1206" s="1583"/>
      <c r="D1206" s="1583"/>
      <c r="E1206" s="1581"/>
      <c r="F1206" s="1436"/>
      <c r="G1206" s="1547">
        <f t="shared" si="674"/>
        <v>0</v>
      </c>
      <c r="H1206" s="1484"/>
      <c r="I1206" s="1547">
        <f t="shared" si="675"/>
        <v>0</v>
      </c>
      <c r="J1206" s="1516"/>
      <c r="K1206" s="1516"/>
      <c r="L1206" s="1436"/>
      <c r="M1206" s="1439"/>
      <c r="N1206" s="1439"/>
      <c r="O1206" s="1485"/>
      <c r="P1206" s="1486"/>
      <c r="Q1206" s="1486"/>
      <c r="R1206" s="1487"/>
      <c r="S1206" s="1444"/>
      <c r="T1206" s="1444"/>
      <c r="U1206" s="1444"/>
      <c r="V1206" s="1488"/>
      <c r="W1206" s="1488"/>
      <c r="X1206" s="1488"/>
      <c r="Y1206" s="1488"/>
      <c r="Z1206" s="1488"/>
      <c r="AA1206" s="1488"/>
      <c r="AB1206" s="1488"/>
      <c r="AC1206" s="1488"/>
      <c r="AD1206" s="1488"/>
      <c r="AE1206" s="1488"/>
      <c r="AF1206" s="1488"/>
      <c r="AG1206" s="1488"/>
      <c r="AH1206" s="1451">
        <f t="shared" si="647"/>
        <v>0</v>
      </c>
      <c r="AI1206" s="1488"/>
      <c r="AJ1206" s="1488"/>
      <c r="AK1206" s="1488"/>
      <c r="AL1206" s="1488"/>
      <c r="AM1206" s="1488"/>
      <c r="AN1206" s="1488"/>
      <c r="AO1206" s="1488"/>
      <c r="AP1206" s="1488"/>
      <c r="AQ1206" s="1488"/>
      <c r="AR1206" s="1488"/>
      <c r="AS1206" s="1488"/>
      <c r="AT1206" s="1542"/>
      <c r="AU1206" s="1599">
        <f t="shared" si="648"/>
        <v>0</v>
      </c>
      <c r="AV1206" s="1544">
        <f t="shared" si="676"/>
        <v>0</v>
      </c>
      <c r="AW1206" s="1452">
        <f t="shared" si="649"/>
        <v>0</v>
      </c>
      <c r="AX1206" s="1452">
        <f t="shared" si="650"/>
        <v>0</v>
      </c>
      <c r="AY1206" s="1452">
        <f t="shared" si="651"/>
        <v>0</v>
      </c>
      <c r="AZ1206" s="1452">
        <f t="shared" si="652"/>
        <v>0</v>
      </c>
      <c r="BA1206" s="1452">
        <f t="shared" si="653"/>
        <v>0</v>
      </c>
      <c r="BB1206" s="1452">
        <f t="shared" si="654"/>
        <v>0</v>
      </c>
      <c r="BC1206" s="1452">
        <f t="shared" si="655"/>
        <v>0</v>
      </c>
      <c r="BD1206" s="1452">
        <f t="shared" si="656"/>
        <v>0</v>
      </c>
      <c r="BE1206" s="1452">
        <f t="shared" si="657"/>
        <v>0</v>
      </c>
      <c r="BF1206" s="1452">
        <f t="shared" si="658"/>
        <v>0</v>
      </c>
      <c r="BG1206" s="1452">
        <f t="shared" si="659"/>
        <v>0</v>
      </c>
      <c r="BH1206" s="1452">
        <f t="shared" si="660"/>
        <v>0</v>
      </c>
      <c r="BI1206" s="1452">
        <f t="shared" si="677"/>
        <v>0</v>
      </c>
      <c r="BJ1206" s="1452" t="str">
        <f t="shared" si="661"/>
        <v/>
      </c>
      <c r="BK1206" s="1452" t="str">
        <f t="shared" si="662"/>
        <v/>
      </c>
      <c r="BL1206" s="1452" t="str">
        <f t="shared" si="663"/>
        <v/>
      </c>
      <c r="BM1206" s="1452" t="str">
        <f t="shared" si="664"/>
        <v/>
      </c>
      <c r="BN1206" s="1452" t="str">
        <f t="shared" ca="1" si="665"/>
        <v/>
      </c>
      <c r="BO1206" s="1452" t="str">
        <f t="shared" si="678"/>
        <v/>
      </c>
      <c r="BP1206" s="1452" t="str">
        <f t="shared" si="666"/>
        <v/>
      </c>
      <c r="BQ1206" s="1452" t="str">
        <f t="shared" si="667"/>
        <v/>
      </c>
      <c r="BR1206" s="1452" t="str">
        <f t="shared" si="668"/>
        <v/>
      </c>
      <c r="BS1206" s="1452" t="str">
        <f t="shared" si="669"/>
        <v/>
      </c>
      <c r="BT1206" s="1452" t="str">
        <f t="shared" si="670"/>
        <v/>
      </c>
      <c r="BU1206" s="1452" t="str">
        <f t="shared" si="671"/>
        <v/>
      </c>
      <c r="BV1206" s="1452" t="str">
        <f t="shared" si="672"/>
        <v/>
      </c>
      <c r="BW1206" s="1558">
        <f t="shared" ca="1" si="679"/>
        <v>0</v>
      </c>
    </row>
    <row r="1207" spans="1:75" s="9" customFormat="1" ht="12.5">
      <c r="A1207" s="1483" t="str">
        <f t="shared" si="673"/>
        <v>Public Health Wales Trust</v>
      </c>
      <c r="B1207" s="1583"/>
      <c r="C1207" s="1583"/>
      <c r="D1207" s="1583"/>
      <c r="E1207" s="1581"/>
      <c r="F1207" s="1436"/>
      <c r="G1207" s="1547">
        <f t="shared" si="674"/>
        <v>0</v>
      </c>
      <c r="H1207" s="1484"/>
      <c r="I1207" s="1547">
        <f t="shared" si="675"/>
        <v>0</v>
      </c>
      <c r="J1207" s="1516"/>
      <c r="K1207" s="1516"/>
      <c r="L1207" s="1436"/>
      <c r="M1207" s="1439"/>
      <c r="N1207" s="1439"/>
      <c r="O1207" s="1485"/>
      <c r="P1207" s="1486"/>
      <c r="Q1207" s="1486"/>
      <c r="R1207" s="1487"/>
      <c r="S1207" s="1444"/>
      <c r="T1207" s="1444"/>
      <c r="U1207" s="1444"/>
      <c r="V1207" s="1488"/>
      <c r="W1207" s="1488"/>
      <c r="X1207" s="1488"/>
      <c r="Y1207" s="1488"/>
      <c r="Z1207" s="1488"/>
      <c r="AA1207" s="1488"/>
      <c r="AB1207" s="1488"/>
      <c r="AC1207" s="1488"/>
      <c r="AD1207" s="1488"/>
      <c r="AE1207" s="1488"/>
      <c r="AF1207" s="1488"/>
      <c r="AG1207" s="1488"/>
      <c r="AH1207" s="1451">
        <f t="shared" si="647"/>
        <v>0</v>
      </c>
      <c r="AI1207" s="1488"/>
      <c r="AJ1207" s="1488"/>
      <c r="AK1207" s="1488"/>
      <c r="AL1207" s="1488"/>
      <c r="AM1207" s="1488"/>
      <c r="AN1207" s="1488"/>
      <c r="AO1207" s="1488"/>
      <c r="AP1207" s="1488"/>
      <c r="AQ1207" s="1488"/>
      <c r="AR1207" s="1488"/>
      <c r="AS1207" s="1488"/>
      <c r="AT1207" s="1542"/>
      <c r="AU1207" s="1599">
        <f t="shared" si="648"/>
        <v>0</v>
      </c>
      <c r="AV1207" s="1544">
        <f t="shared" si="676"/>
        <v>0</v>
      </c>
      <c r="AW1207" s="1452">
        <f t="shared" si="649"/>
        <v>0</v>
      </c>
      <c r="AX1207" s="1452">
        <f t="shared" si="650"/>
        <v>0</v>
      </c>
      <c r="AY1207" s="1452">
        <f t="shared" si="651"/>
        <v>0</v>
      </c>
      <c r="AZ1207" s="1452">
        <f t="shared" si="652"/>
        <v>0</v>
      </c>
      <c r="BA1207" s="1452">
        <f t="shared" si="653"/>
        <v>0</v>
      </c>
      <c r="BB1207" s="1452">
        <f t="shared" si="654"/>
        <v>0</v>
      </c>
      <c r="BC1207" s="1452">
        <f t="shared" si="655"/>
        <v>0</v>
      </c>
      <c r="BD1207" s="1452">
        <f t="shared" si="656"/>
        <v>0</v>
      </c>
      <c r="BE1207" s="1452">
        <f t="shared" si="657"/>
        <v>0</v>
      </c>
      <c r="BF1207" s="1452">
        <f t="shared" si="658"/>
        <v>0</v>
      </c>
      <c r="BG1207" s="1452">
        <f t="shared" si="659"/>
        <v>0</v>
      </c>
      <c r="BH1207" s="1452">
        <f t="shared" si="660"/>
        <v>0</v>
      </c>
      <c r="BI1207" s="1452">
        <f t="shared" si="677"/>
        <v>0</v>
      </c>
      <c r="BJ1207" s="1452" t="str">
        <f t="shared" si="661"/>
        <v/>
      </c>
      <c r="BK1207" s="1452" t="str">
        <f t="shared" si="662"/>
        <v/>
      </c>
      <c r="BL1207" s="1452" t="str">
        <f t="shared" si="663"/>
        <v/>
      </c>
      <c r="BM1207" s="1452" t="str">
        <f t="shared" si="664"/>
        <v/>
      </c>
      <c r="BN1207" s="1452" t="str">
        <f t="shared" ca="1" si="665"/>
        <v/>
      </c>
      <c r="BO1207" s="1452" t="str">
        <f t="shared" si="678"/>
        <v/>
      </c>
      <c r="BP1207" s="1452" t="str">
        <f t="shared" si="666"/>
        <v/>
      </c>
      <c r="BQ1207" s="1452" t="str">
        <f t="shared" si="667"/>
        <v/>
      </c>
      <c r="BR1207" s="1452" t="str">
        <f t="shared" si="668"/>
        <v/>
      </c>
      <c r="BS1207" s="1452" t="str">
        <f t="shared" si="669"/>
        <v/>
      </c>
      <c r="BT1207" s="1452" t="str">
        <f t="shared" si="670"/>
        <v/>
      </c>
      <c r="BU1207" s="1452" t="str">
        <f t="shared" si="671"/>
        <v/>
      </c>
      <c r="BV1207" s="1452" t="str">
        <f t="shared" si="672"/>
        <v/>
      </c>
      <c r="BW1207" s="1558">
        <f t="shared" ca="1" si="679"/>
        <v>0</v>
      </c>
    </row>
    <row r="1208" spans="1:75" s="9" customFormat="1" ht="12.5">
      <c r="A1208" s="1483" t="str">
        <f t="shared" si="673"/>
        <v>Public Health Wales Trust</v>
      </c>
      <c r="B1208" s="1583"/>
      <c r="C1208" s="1583"/>
      <c r="D1208" s="1583"/>
      <c r="E1208" s="1581"/>
      <c r="F1208" s="1436"/>
      <c r="G1208" s="1547">
        <f t="shared" si="674"/>
        <v>0</v>
      </c>
      <c r="H1208" s="1484"/>
      <c r="I1208" s="1547">
        <f t="shared" si="675"/>
        <v>0</v>
      </c>
      <c r="J1208" s="1516"/>
      <c r="K1208" s="1516"/>
      <c r="L1208" s="1436"/>
      <c r="M1208" s="1439"/>
      <c r="N1208" s="1439"/>
      <c r="O1208" s="1485"/>
      <c r="P1208" s="1486"/>
      <c r="Q1208" s="1486"/>
      <c r="R1208" s="1487"/>
      <c r="S1208" s="1444"/>
      <c r="T1208" s="1444"/>
      <c r="U1208" s="1444"/>
      <c r="V1208" s="1488"/>
      <c r="W1208" s="1488"/>
      <c r="X1208" s="1488"/>
      <c r="Y1208" s="1488"/>
      <c r="Z1208" s="1488"/>
      <c r="AA1208" s="1488"/>
      <c r="AB1208" s="1488"/>
      <c r="AC1208" s="1488"/>
      <c r="AD1208" s="1488"/>
      <c r="AE1208" s="1488"/>
      <c r="AF1208" s="1488"/>
      <c r="AG1208" s="1488"/>
      <c r="AH1208" s="1451">
        <f t="shared" si="647"/>
        <v>0</v>
      </c>
      <c r="AI1208" s="1488"/>
      <c r="AJ1208" s="1488"/>
      <c r="AK1208" s="1488"/>
      <c r="AL1208" s="1488"/>
      <c r="AM1208" s="1488"/>
      <c r="AN1208" s="1488"/>
      <c r="AO1208" s="1488"/>
      <c r="AP1208" s="1488"/>
      <c r="AQ1208" s="1488"/>
      <c r="AR1208" s="1488"/>
      <c r="AS1208" s="1488"/>
      <c r="AT1208" s="1542"/>
      <c r="AU1208" s="1599">
        <f t="shared" si="648"/>
        <v>0</v>
      </c>
      <c r="AV1208" s="1544">
        <f t="shared" si="676"/>
        <v>0</v>
      </c>
      <c r="AW1208" s="1452">
        <f t="shared" si="649"/>
        <v>0</v>
      </c>
      <c r="AX1208" s="1452">
        <f t="shared" si="650"/>
        <v>0</v>
      </c>
      <c r="AY1208" s="1452">
        <f t="shared" si="651"/>
        <v>0</v>
      </c>
      <c r="AZ1208" s="1452">
        <f t="shared" si="652"/>
        <v>0</v>
      </c>
      <c r="BA1208" s="1452">
        <f t="shared" si="653"/>
        <v>0</v>
      </c>
      <c r="BB1208" s="1452">
        <f t="shared" si="654"/>
        <v>0</v>
      </c>
      <c r="BC1208" s="1452">
        <f t="shared" si="655"/>
        <v>0</v>
      </c>
      <c r="BD1208" s="1452">
        <f t="shared" si="656"/>
        <v>0</v>
      </c>
      <c r="BE1208" s="1452">
        <f t="shared" si="657"/>
        <v>0</v>
      </c>
      <c r="BF1208" s="1452">
        <f t="shared" si="658"/>
        <v>0</v>
      </c>
      <c r="BG1208" s="1452">
        <f t="shared" si="659"/>
        <v>0</v>
      </c>
      <c r="BH1208" s="1452">
        <f t="shared" si="660"/>
        <v>0</v>
      </c>
      <c r="BI1208" s="1452">
        <f t="shared" si="677"/>
        <v>0</v>
      </c>
      <c r="BJ1208" s="1452" t="str">
        <f t="shared" si="661"/>
        <v/>
      </c>
      <c r="BK1208" s="1452" t="str">
        <f t="shared" si="662"/>
        <v/>
      </c>
      <c r="BL1208" s="1452" t="str">
        <f t="shared" si="663"/>
        <v/>
      </c>
      <c r="BM1208" s="1452" t="str">
        <f t="shared" si="664"/>
        <v/>
      </c>
      <c r="BN1208" s="1452" t="str">
        <f t="shared" ca="1" si="665"/>
        <v/>
      </c>
      <c r="BO1208" s="1452" t="str">
        <f t="shared" si="678"/>
        <v/>
      </c>
      <c r="BP1208" s="1452" t="str">
        <f t="shared" si="666"/>
        <v/>
      </c>
      <c r="BQ1208" s="1452" t="str">
        <f t="shared" si="667"/>
        <v/>
      </c>
      <c r="BR1208" s="1452" t="str">
        <f t="shared" si="668"/>
        <v/>
      </c>
      <c r="BS1208" s="1452" t="str">
        <f t="shared" si="669"/>
        <v/>
      </c>
      <c r="BT1208" s="1452" t="str">
        <f t="shared" si="670"/>
        <v/>
      </c>
      <c r="BU1208" s="1452" t="str">
        <f t="shared" si="671"/>
        <v/>
      </c>
      <c r="BV1208" s="1452" t="str">
        <f t="shared" si="672"/>
        <v/>
      </c>
      <c r="BW1208" s="1558">
        <f t="shared" ca="1" si="679"/>
        <v>0</v>
      </c>
    </row>
    <row r="1209" spans="1:75" s="9" customFormat="1" ht="12.5">
      <c r="A1209" s="1483" t="str">
        <f t="shared" si="673"/>
        <v>Public Health Wales Trust</v>
      </c>
      <c r="B1209" s="1583"/>
      <c r="C1209" s="1583"/>
      <c r="D1209" s="1583"/>
      <c r="E1209" s="1581"/>
      <c r="F1209" s="1436"/>
      <c r="G1209" s="1547">
        <f t="shared" si="674"/>
        <v>0</v>
      </c>
      <c r="H1209" s="1484"/>
      <c r="I1209" s="1547">
        <f t="shared" si="675"/>
        <v>0</v>
      </c>
      <c r="J1209" s="1516"/>
      <c r="K1209" s="1516"/>
      <c r="L1209" s="1436"/>
      <c r="M1209" s="1439"/>
      <c r="N1209" s="1439"/>
      <c r="O1209" s="1485"/>
      <c r="P1209" s="1486"/>
      <c r="Q1209" s="1486"/>
      <c r="R1209" s="1487"/>
      <c r="S1209" s="1444"/>
      <c r="T1209" s="1444"/>
      <c r="U1209" s="1444"/>
      <c r="V1209" s="1488"/>
      <c r="W1209" s="1488"/>
      <c r="X1209" s="1488"/>
      <c r="Y1209" s="1488"/>
      <c r="Z1209" s="1488"/>
      <c r="AA1209" s="1488"/>
      <c r="AB1209" s="1488"/>
      <c r="AC1209" s="1488"/>
      <c r="AD1209" s="1488"/>
      <c r="AE1209" s="1488"/>
      <c r="AF1209" s="1488"/>
      <c r="AG1209" s="1488"/>
      <c r="AH1209" s="1451">
        <f t="shared" si="647"/>
        <v>0</v>
      </c>
      <c r="AI1209" s="1488"/>
      <c r="AJ1209" s="1488"/>
      <c r="AK1209" s="1488"/>
      <c r="AL1209" s="1488"/>
      <c r="AM1209" s="1488"/>
      <c r="AN1209" s="1488"/>
      <c r="AO1209" s="1488"/>
      <c r="AP1209" s="1488"/>
      <c r="AQ1209" s="1488"/>
      <c r="AR1209" s="1488"/>
      <c r="AS1209" s="1488"/>
      <c r="AT1209" s="1542"/>
      <c r="AU1209" s="1599">
        <f t="shared" si="648"/>
        <v>0</v>
      </c>
      <c r="AV1209" s="1544">
        <f t="shared" si="676"/>
        <v>0</v>
      </c>
      <c r="AW1209" s="1452">
        <f t="shared" si="649"/>
        <v>0</v>
      </c>
      <c r="AX1209" s="1452">
        <f t="shared" si="650"/>
        <v>0</v>
      </c>
      <c r="AY1209" s="1452">
        <f t="shared" si="651"/>
        <v>0</v>
      </c>
      <c r="AZ1209" s="1452">
        <f t="shared" si="652"/>
        <v>0</v>
      </c>
      <c r="BA1209" s="1452">
        <f t="shared" si="653"/>
        <v>0</v>
      </c>
      <c r="BB1209" s="1452">
        <f t="shared" si="654"/>
        <v>0</v>
      </c>
      <c r="BC1209" s="1452">
        <f t="shared" si="655"/>
        <v>0</v>
      </c>
      <c r="BD1209" s="1452">
        <f t="shared" si="656"/>
        <v>0</v>
      </c>
      <c r="BE1209" s="1452">
        <f t="shared" si="657"/>
        <v>0</v>
      </c>
      <c r="BF1209" s="1452">
        <f t="shared" si="658"/>
        <v>0</v>
      </c>
      <c r="BG1209" s="1452">
        <f t="shared" si="659"/>
        <v>0</v>
      </c>
      <c r="BH1209" s="1452">
        <f t="shared" si="660"/>
        <v>0</v>
      </c>
      <c r="BI1209" s="1452">
        <f t="shared" si="677"/>
        <v>0</v>
      </c>
      <c r="BJ1209" s="1452" t="str">
        <f t="shared" si="661"/>
        <v/>
      </c>
      <c r="BK1209" s="1452" t="str">
        <f t="shared" si="662"/>
        <v/>
      </c>
      <c r="BL1209" s="1452" t="str">
        <f t="shared" si="663"/>
        <v/>
      </c>
      <c r="BM1209" s="1452" t="str">
        <f t="shared" si="664"/>
        <v/>
      </c>
      <c r="BN1209" s="1452" t="str">
        <f t="shared" ca="1" si="665"/>
        <v/>
      </c>
      <c r="BO1209" s="1452" t="str">
        <f t="shared" si="678"/>
        <v/>
      </c>
      <c r="BP1209" s="1452" t="str">
        <f t="shared" si="666"/>
        <v/>
      </c>
      <c r="BQ1209" s="1452" t="str">
        <f t="shared" si="667"/>
        <v/>
      </c>
      <c r="BR1209" s="1452" t="str">
        <f t="shared" si="668"/>
        <v/>
      </c>
      <c r="BS1209" s="1452" t="str">
        <f t="shared" si="669"/>
        <v/>
      </c>
      <c r="BT1209" s="1452" t="str">
        <f t="shared" si="670"/>
        <v/>
      </c>
      <c r="BU1209" s="1452" t="str">
        <f t="shared" si="671"/>
        <v/>
      </c>
      <c r="BV1209" s="1452" t="str">
        <f t="shared" si="672"/>
        <v/>
      </c>
      <c r="BW1209" s="1558">
        <f t="shared" ca="1" si="679"/>
        <v>0</v>
      </c>
    </row>
    <row r="1210" spans="1:75" s="9" customFormat="1" ht="12.5">
      <c r="A1210" s="1483" t="str">
        <f t="shared" si="673"/>
        <v>Public Health Wales Trust</v>
      </c>
      <c r="B1210" s="1583"/>
      <c r="C1210" s="1583"/>
      <c r="D1210" s="1583"/>
      <c r="E1210" s="1581"/>
      <c r="F1210" s="1436"/>
      <c r="G1210" s="1547">
        <f t="shared" si="674"/>
        <v>0</v>
      </c>
      <c r="H1210" s="1484"/>
      <c r="I1210" s="1547">
        <f t="shared" si="675"/>
        <v>0</v>
      </c>
      <c r="J1210" s="1516"/>
      <c r="K1210" s="1516"/>
      <c r="L1210" s="1436"/>
      <c r="M1210" s="1439"/>
      <c r="N1210" s="1439"/>
      <c r="O1210" s="1485"/>
      <c r="P1210" s="1486"/>
      <c r="Q1210" s="1486"/>
      <c r="R1210" s="1487"/>
      <c r="S1210" s="1444"/>
      <c r="T1210" s="1444"/>
      <c r="U1210" s="1444"/>
      <c r="V1210" s="1488"/>
      <c r="W1210" s="1488"/>
      <c r="X1210" s="1488"/>
      <c r="Y1210" s="1488"/>
      <c r="Z1210" s="1488"/>
      <c r="AA1210" s="1488"/>
      <c r="AB1210" s="1488"/>
      <c r="AC1210" s="1488"/>
      <c r="AD1210" s="1488"/>
      <c r="AE1210" s="1488"/>
      <c r="AF1210" s="1488"/>
      <c r="AG1210" s="1488"/>
      <c r="AH1210" s="1451">
        <f t="shared" si="647"/>
        <v>0</v>
      </c>
      <c r="AI1210" s="1488"/>
      <c r="AJ1210" s="1488"/>
      <c r="AK1210" s="1488"/>
      <c r="AL1210" s="1488"/>
      <c r="AM1210" s="1488"/>
      <c r="AN1210" s="1488"/>
      <c r="AO1210" s="1488"/>
      <c r="AP1210" s="1488"/>
      <c r="AQ1210" s="1488"/>
      <c r="AR1210" s="1488"/>
      <c r="AS1210" s="1488"/>
      <c r="AT1210" s="1542"/>
      <c r="AU1210" s="1599">
        <f t="shared" si="648"/>
        <v>0</v>
      </c>
      <c r="AV1210" s="1544">
        <f t="shared" si="676"/>
        <v>0</v>
      </c>
      <c r="AW1210" s="1452">
        <f t="shared" si="649"/>
        <v>0</v>
      </c>
      <c r="AX1210" s="1452">
        <f t="shared" si="650"/>
        <v>0</v>
      </c>
      <c r="AY1210" s="1452">
        <f t="shared" si="651"/>
        <v>0</v>
      </c>
      <c r="AZ1210" s="1452">
        <f t="shared" si="652"/>
        <v>0</v>
      </c>
      <c r="BA1210" s="1452">
        <f t="shared" si="653"/>
        <v>0</v>
      </c>
      <c r="BB1210" s="1452">
        <f t="shared" si="654"/>
        <v>0</v>
      </c>
      <c r="BC1210" s="1452">
        <f t="shared" si="655"/>
        <v>0</v>
      </c>
      <c r="BD1210" s="1452">
        <f t="shared" si="656"/>
        <v>0</v>
      </c>
      <c r="BE1210" s="1452">
        <f t="shared" si="657"/>
        <v>0</v>
      </c>
      <c r="BF1210" s="1452">
        <f t="shared" si="658"/>
        <v>0</v>
      </c>
      <c r="BG1210" s="1452">
        <f t="shared" si="659"/>
        <v>0</v>
      </c>
      <c r="BH1210" s="1452">
        <f t="shared" si="660"/>
        <v>0</v>
      </c>
      <c r="BI1210" s="1452">
        <f t="shared" si="677"/>
        <v>0</v>
      </c>
      <c r="BJ1210" s="1452" t="str">
        <f t="shared" si="661"/>
        <v/>
      </c>
      <c r="BK1210" s="1452" t="str">
        <f t="shared" si="662"/>
        <v/>
      </c>
      <c r="BL1210" s="1452" t="str">
        <f t="shared" si="663"/>
        <v/>
      </c>
      <c r="BM1210" s="1452" t="str">
        <f t="shared" si="664"/>
        <v/>
      </c>
      <c r="BN1210" s="1452" t="str">
        <f t="shared" ca="1" si="665"/>
        <v/>
      </c>
      <c r="BO1210" s="1452" t="str">
        <f t="shared" si="678"/>
        <v/>
      </c>
      <c r="BP1210" s="1452" t="str">
        <f t="shared" si="666"/>
        <v/>
      </c>
      <c r="BQ1210" s="1452" t="str">
        <f t="shared" si="667"/>
        <v/>
      </c>
      <c r="BR1210" s="1452" t="str">
        <f t="shared" si="668"/>
        <v/>
      </c>
      <c r="BS1210" s="1452" t="str">
        <f t="shared" si="669"/>
        <v/>
      </c>
      <c r="BT1210" s="1452" t="str">
        <f t="shared" si="670"/>
        <v/>
      </c>
      <c r="BU1210" s="1452" t="str">
        <f t="shared" si="671"/>
        <v/>
      </c>
      <c r="BV1210" s="1452" t="str">
        <f t="shared" si="672"/>
        <v/>
      </c>
      <c r="BW1210" s="1558">
        <f t="shared" ca="1" si="679"/>
        <v>0</v>
      </c>
    </row>
    <row r="1211" spans="1:75" s="9" customFormat="1" ht="12.5">
      <c r="A1211" s="1483" t="str">
        <f t="shared" si="673"/>
        <v>Public Health Wales Trust</v>
      </c>
      <c r="B1211" s="1583"/>
      <c r="C1211" s="1583"/>
      <c r="D1211" s="1583"/>
      <c r="E1211" s="1581"/>
      <c r="F1211" s="1436"/>
      <c r="G1211" s="1547">
        <f t="shared" si="674"/>
        <v>0</v>
      </c>
      <c r="H1211" s="1484"/>
      <c r="I1211" s="1547">
        <f t="shared" si="675"/>
        <v>0</v>
      </c>
      <c r="J1211" s="1516"/>
      <c r="K1211" s="1516"/>
      <c r="L1211" s="1436"/>
      <c r="M1211" s="1439"/>
      <c r="N1211" s="1439"/>
      <c r="O1211" s="1485"/>
      <c r="P1211" s="1486"/>
      <c r="Q1211" s="1486"/>
      <c r="R1211" s="1487"/>
      <c r="S1211" s="1444"/>
      <c r="T1211" s="1444"/>
      <c r="U1211" s="1444"/>
      <c r="V1211" s="1488"/>
      <c r="W1211" s="1488"/>
      <c r="X1211" s="1488"/>
      <c r="Y1211" s="1488"/>
      <c r="Z1211" s="1488"/>
      <c r="AA1211" s="1488"/>
      <c r="AB1211" s="1488"/>
      <c r="AC1211" s="1488"/>
      <c r="AD1211" s="1488"/>
      <c r="AE1211" s="1488"/>
      <c r="AF1211" s="1488"/>
      <c r="AG1211" s="1488"/>
      <c r="AH1211" s="1451">
        <f t="shared" si="647"/>
        <v>0</v>
      </c>
      <c r="AI1211" s="1488"/>
      <c r="AJ1211" s="1488"/>
      <c r="AK1211" s="1488"/>
      <c r="AL1211" s="1488"/>
      <c r="AM1211" s="1488"/>
      <c r="AN1211" s="1488"/>
      <c r="AO1211" s="1488"/>
      <c r="AP1211" s="1488"/>
      <c r="AQ1211" s="1488"/>
      <c r="AR1211" s="1488"/>
      <c r="AS1211" s="1488"/>
      <c r="AT1211" s="1542"/>
      <c r="AU1211" s="1599">
        <f t="shared" si="648"/>
        <v>0</v>
      </c>
      <c r="AV1211" s="1544">
        <f t="shared" si="676"/>
        <v>0</v>
      </c>
      <c r="AW1211" s="1452">
        <f t="shared" si="649"/>
        <v>0</v>
      </c>
      <c r="AX1211" s="1452">
        <f t="shared" si="650"/>
        <v>0</v>
      </c>
      <c r="AY1211" s="1452">
        <f t="shared" si="651"/>
        <v>0</v>
      </c>
      <c r="AZ1211" s="1452">
        <f t="shared" si="652"/>
        <v>0</v>
      </c>
      <c r="BA1211" s="1452">
        <f t="shared" si="653"/>
        <v>0</v>
      </c>
      <c r="BB1211" s="1452">
        <f t="shared" si="654"/>
        <v>0</v>
      </c>
      <c r="BC1211" s="1452">
        <f t="shared" si="655"/>
        <v>0</v>
      </c>
      <c r="BD1211" s="1452">
        <f t="shared" si="656"/>
        <v>0</v>
      </c>
      <c r="BE1211" s="1452">
        <f t="shared" si="657"/>
        <v>0</v>
      </c>
      <c r="BF1211" s="1452">
        <f t="shared" si="658"/>
        <v>0</v>
      </c>
      <c r="BG1211" s="1452">
        <f t="shared" si="659"/>
        <v>0</v>
      </c>
      <c r="BH1211" s="1452">
        <f t="shared" si="660"/>
        <v>0</v>
      </c>
      <c r="BI1211" s="1452">
        <f t="shared" si="677"/>
        <v>0</v>
      </c>
      <c r="BJ1211" s="1452" t="str">
        <f t="shared" si="661"/>
        <v/>
      </c>
      <c r="BK1211" s="1452" t="str">
        <f t="shared" si="662"/>
        <v/>
      </c>
      <c r="BL1211" s="1452" t="str">
        <f t="shared" si="663"/>
        <v/>
      </c>
      <c r="BM1211" s="1452" t="str">
        <f t="shared" si="664"/>
        <v/>
      </c>
      <c r="BN1211" s="1452" t="str">
        <f t="shared" ca="1" si="665"/>
        <v/>
      </c>
      <c r="BO1211" s="1452" t="str">
        <f t="shared" si="678"/>
        <v/>
      </c>
      <c r="BP1211" s="1452" t="str">
        <f t="shared" si="666"/>
        <v/>
      </c>
      <c r="BQ1211" s="1452" t="str">
        <f t="shared" si="667"/>
        <v/>
      </c>
      <c r="BR1211" s="1452" t="str">
        <f t="shared" si="668"/>
        <v/>
      </c>
      <c r="BS1211" s="1452" t="str">
        <f t="shared" si="669"/>
        <v/>
      </c>
      <c r="BT1211" s="1452" t="str">
        <f t="shared" si="670"/>
        <v/>
      </c>
      <c r="BU1211" s="1452" t="str">
        <f t="shared" si="671"/>
        <v/>
      </c>
      <c r="BV1211" s="1452" t="str">
        <f t="shared" si="672"/>
        <v/>
      </c>
      <c r="BW1211" s="1558">
        <f t="shared" ca="1" si="679"/>
        <v>0</v>
      </c>
    </row>
    <row r="1212" spans="1:75" s="9" customFormat="1" ht="12.5">
      <c r="A1212" s="1483" t="str">
        <f t="shared" si="673"/>
        <v>Public Health Wales Trust</v>
      </c>
      <c r="B1212" s="1583"/>
      <c r="C1212" s="1583"/>
      <c r="D1212" s="1583"/>
      <c r="E1212" s="1581"/>
      <c r="F1212" s="1436"/>
      <c r="G1212" s="1547">
        <f t="shared" si="674"/>
        <v>0</v>
      </c>
      <c r="H1212" s="1484"/>
      <c r="I1212" s="1547">
        <f t="shared" si="675"/>
        <v>0</v>
      </c>
      <c r="J1212" s="1516"/>
      <c r="K1212" s="1516"/>
      <c r="L1212" s="1436"/>
      <c r="M1212" s="1439"/>
      <c r="N1212" s="1439"/>
      <c r="O1212" s="1485"/>
      <c r="P1212" s="1486"/>
      <c r="Q1212" s="1486"/>
      <c r="R1212" s="1487"/>
      <c r="S1212" s="1444"/>
      <c r="T1212" s="1444"/>
      <c r="U1212" s="1444"/>
      <c r="V1212" s="1488"/>
      <c r="W1212" s="1488"/>
      <c r="X1212" s="1488"/>
      <c r="Y1212" s="1488"/>
      <c r="Z1212" s="1488"/>
      <c r="AA1212" s="1488"/>
      <c r="AB1212" s="1488"/>
      <c r="AC1212" s="1488"/>
      <c r="AD1212" s="1488"/>
      <c r="AE1212" s="1488"/>
      <c r="AF1212" s="1488"/>
      <c r="AG1212" s="1488"/>
      <c r="AH1212" s="1451">
        <f t="shared" si="647"/>
        <v>0</v>
      </c>
      <c r="AI1212" s="1488"/>
      <c r="AJ1212" s="1488"/>
      <c r="AK1212" s="1488"/>
      <c r="AL1212" s="1488"/>
      <c r="AM1212" s="1488"/>
      <c r="AN1212" s="1488"/>
      <c r="AO1212" s="1488"/>
      <c r="AP1212" s="1488"/>
      <c r="AQ1212" s="1488"/>
      <c r="AR1212" s="1488"/>
      <c r="AS1212" s="1488"/>
      <c r="AT1212" s="1542"/>
      <c r="AU1212" s="1599">
        <f t="shared" si="648"/>
        <v>0</v>
      </c>
      <c r="AV1212" s="1544">
        <f t="shared" si="676"/>
        <v>0</v>
      </c>
      <c r="AW1212" s="1452">
        <f t="shared" si="649"/>
        <v>0</v>
      </c>
      <c r="AX1212" s="1452">
        <f t="shared" si="650"/>
        <v>0</v>
      </c>
      <c r="AY1212" s="1452">
        <f t="shared" si="651"/>
        <v>0</v>
      </c>
      <c r="AZ1212" s="1452">
        <f t="shared" si="652"/>
        <v>0</v>
      </c>
      <c r="BA1212" s="1452">
        <f t="shared" si="653"/>
        <v>0</v>
      </c>
      <c r="BB1212" s="1452">
        <f t="shared" si="654"/>
        <v>0</v>
      </c>
      <c r="BC1212" s="1452">
        <f t="shared" si="655"/>
        <v>0</v>
      </c>
      <c r="BD1212" s="1452">
        <f t="shared" si="656"/>
        <v>0</v>
      </c>
      <c r="BE1212" s="1452">
        <f t="shared" si="657"/>
        <v>0</v>
      </c>
      <c r="BF1212" s="1452">
        <f t="shared" si="658"/>
        <v>0</v>
      </c>
      <c r="BG1212" s="1452">
        <f t="shared" si="659"/>
        <v>0</v>
      </c>
      <c r="BH1212" s="1452">
        <f t="shared" si="660"/>
        <v>0</v>
      </c>
      <c r="BI1212" s="1452">
        <f t="shared" si="677"/>
        <v>0</v>
      </c>
      <c r="BJ1212" s="1452" t="str">
        <f t="shared" si="661"/>
        <v/>
      </c>
      <c r="BK1212" s="1452" t="str">
        <f t="shared" si="662"/>
        <v/>
      </c>
      <c r="BL1212" s="1452" t="str">
        <f t="shared" si="663"/>
        <v/>
      </c>
      <c r="BM1212" s="1452" t="str">
        <f t="shared" si="664"/>
        <v/>
      </c>
      <c r="BN1212" s="1452" t="str">
        <f t="shared" ca="1" si="665"/>
        <v/>
      </c>
      <c r="BO1212" s="1452" t="str">
        <f t="shared" si="678"/>
        <v/>
      </c>
      <c r="BP1212" s="1452" t="str">
        <f t="shared" si="666"/>
        <v/>
      </c>
      <c r="BQ1212" s="1452" t="str">
        <f t="shared" si="667"/>
        <v/>
      </c>
      <c r="BR1212" s="1452" t="str">
        <f t="shared" si="668"/>
        <v/>
      </c>
      <c r="BS1212" s="1452" t="str">
        <f t="shared" si="669"/>
        <v/>
      </c>
      <c r="BT1212" s="1452" t="str">
        <f t="shared" si="670"/>
        <v/>
      </c>
      <c r="BU1212" s="1452" t="str">
        <f t="shared" si="671"/>
        <v/>
      </c>
      <c r="BV1212" s="1452" t="str">
        <f t="shared" si="672"/>
        <v/>
      </c>
      <c r="BW1212" s="1558">
        <f t="shared" ca="1" si="679"/>
        <v>0</v>
      </c>
    </row>
    <row r="1213" spans="1:75" s="9" customFormat="1" ht="12.5">
      <c r="A1213" s="1483" t="str">
        <f t="shared" si="673"/>
        <v>Public Health Wales Trust</v>
      </c>
      <c r="B1213" s="1583"/>
      <c r="C1213" s="1583"/>
      <c r="D1213" s="1583"/>
      <c r="E1213" s="1581"/>
      <c r="F1213" s="1436"/>
      <c r="G1213" s="1547">
        <f t="shared" si="674"/>
        <v>0</v>
      </c>
      <c r="H1213" s="1484"/>
      <c r="I1213" s="1547">
        <f t="shared" si="675"/>
        <v>0</v>
      </c>
      <c r="J1213" s="1516"/>
      <c r="K1213" s="1516"/>
      <c r="L1213" s="1436"/>
      <c r="M1213" s="1439"/>
      <c r="N1213" s="1439"/>
      <c r="O1213" s="1485"/>
      <c r="P1213" s="1486"/>
      <c r="Q1213" s="1486"/>
      <c r="R1213" s="1487"/>
      <c r="S1213" s="1444"/>
      <c r="T1213" s="1444"/>
      <c r="U1213" s="1444"/>
      <c r="V1213" s="1488"/>
      <c r="W1213" s="1488"/>
      <c r="X1213" s="1488"/>
      <c r="Y1213" s="1488"/>
      <c r="Z1213" s="1488"/>
      <c r="AA1213" s="1488"/>
      <c r="AB1213" s="1488"/>
      <c r="AC1213" s="1488"/>
      <c r="AD1213" s="1488"/>
      <c r="AE1213" s="1488"/>
      <c r="AF1213" s="1488"/>
      <c r="AG1213" s="1488"/>
      <c r="AH1213" s="1451">
        <f t="shared" si="647"/>
        <v>0</v>
      </c>
      <c r="AI1213" s="1488"/>
      <c r="AJ1213" s="1488"/>
      <c r="AK1213" s="1488"/>
      <c r="AL1213" s="1488"/>
      <c r="AM1213" s="1488"/>
      <c r="AN1213" s="1488"/>
      <c r="AO1213" s="1488"/>
      <c r="AP1213" s="1488"/>
      <c r="AQ1213" s="1488"/>
      <c r="AR1213" s="1488"/>
      <c r="AS1213" s="1488"/>
      <c r="AT1213" s="1542"/>
      <c r="AU1213" s="1599">
        <f t="shared" si="648"/>
        <v>0</v>
      </c>
      <c r="AV1213" s="1544">
        <f t="shared" si="676"/>
        <v>0</v>
      </c>
      <c r="AW1213" s="1452">
        <f t="shared" si="649"/>
        <v>0</v>
      </c>
      <c r="AX1213" s="1452">
        <f t="shared" si="650"/>
        <v>0</v>
      </c>
      <c r="AY1213" s="1452">
        <f t="shared" si="651"/>
        <v>0</v>
      </c>
      <c r="AZ1213" s="1452">
        <f t="shared" si="652"/>
        <v>0</v>
      </c>
      <c r="BA1213" s="1452">
        <f t="shared" si="653"/>
        <v>0</v>
      </c>
      <c r="BB1213" s="1452">
        <f t="shared" si="654"/>
        <v>0</v>
      </c>
      <c r="BC1213" s="1452">
        <f t="shared" si="655"/>
        <v>0</v>
      </c>
      <c r="BD1213" s="1452">
        <f t="shared" si="656"/>
        <v>0</v>
      </c>
      <c r="BE1213" s="1452">
        <f t="shared" si="657"/>
        <v>0</v>
      </c>
      <c r="BF1213" s="1452">
        <f t="shared" si="658"/>
        <v>0</v>
      </c>
      <c r="BG1213" s="1452">
        <f t="shared" si="659"/>
        <v>0</v>
      </c>
      <c r="BH1213" s="1452">
        <f t="shared" si="660"/>
        <v>0</v>
      </c>
      <c r="BI1213" s="1452">
        <f t="shared" si="677"/>
        <v>0</v>
      </c>
      <c r="BJ1213" s="1452" t="str">
        <f t="shared" si="661"/>
        <v/>
      </c>
      <c r="BK1213" s="1452" t="str">
        <f t="shared" si="662"/>
        <v/>
      </c>
      <c r="BL1213" s="1452" t="str">
        <f t="shared" si="663"/>
        <v/>
      </c>
      <c r="BM1213" s="1452" t="str">
        <f t="shared" si="664"/>
        <v/>
      </c>
      <c r="BN1213" s="1452" t="str">
        <f t="shared" ca="1" si="665"/>
        <v/>
      </c>
      <c r="BO1213" s="1452" t="str">
        <f t="shared" si="678"/>
        <v/>
      </c>
      <c r="BP1213" s="1452" t="str">
        <f t="shared" si="666"/>
        <v/>
      </c>
      <c r="BQ1213" s="1452" t="str">
        <f t="shared" si="667"/>
        <v/>
      </c>
      <c r="BR1213" s="1452" t="str">
        <f t="shared" si="668"/>
        <v/>
      </c>
      <c r="BS1213" s="1452" t="str">
        <f t="shared" si="669"/>
        <v/>
      </c>
      <c r="BT1213" s="1452" t="str">
        <f t="shared" si="670"/>
        <v/>
      </c>
      <c r="BU1213" s="1452" t="str">
        <f t="shared" si="671"/>
        <v/>
      </c>
      <c r="BV1213" s="1452" t="str">
        <f t="shared" si="672"/>
        <v/>
      </c>
      <c r="BW1213" s="1558">
        <f t="shared" ca="1" si="679"/>
        <v>0</v>
      </c>
    </row>
    <row r="1214" spans="1:75" s="9" customFormat="1" ht="12.5">
      <c r="A1214" s="1483" t="str">
        <f t="shared" si="673"/>
        <v>Public Health Wales Trust</v>
      </c>
      <c r="B1214" s="1583"/>
      <c r="C1214" s="1583"/>
      <c r="D1214" s="1583"/>
      <c r="E1214" s="1581"/>
      <c r="F1214" s="1436"/>
      <c r="G1214" s="1547">
        <f t="shared" si="674"/>
        <v>0</v>
      </c>
      <c r="H1214" s="1484"/>
      <c r="I1214" s="1547">
        <f t="shared" si="675"/>
        <v>0</v>
      </c>
      <c r="J1214" s="1516"/>
      <c r="K1214" s="1516"/>
      <c r="L1214" s="1436"/>
      <c r="M1214" s="1439"/>
      <c r="N1214" s="1439"/>
      <c r="O1214" s="1485"/>
      <c r="P1214" s="1486"/>
      <c r="Q1214" s="1486"/>
      <c r="R1214" s="1487"/>
      <c r="S1214" s="1444"/>
      <c r="T1214" s="1444"/>
      <c r="U1214" s="1444"/>
      <c r="V1214" s="1488"/>
      <c r="W1214" s="1488"/>
      <c r="X1214" s="1488"/>
      <c r="Y1214" s="1488"/>
      <c r="Z1214" s="1488"/>
      <c r="AA1214" s="1488"/>
      <c r="AB1214" s="1488"/>
      <c r="AC1214" s="1488"/>
      <c r="AD1214" s="1488"/>
      <c r="AE1214" s="1488"/>
      <c r="AF1214" s="1488"/>
      <c r="AG1214" s="1488"/>
      <c r="AH1214" s="1451">
        <f t="shared" si="647"/>
        <v>0</v>
      </c>
      <c r="AI1214" s="1488"/>
      <c r="AJ1214" s="1488"/>
      <c r="AK1214" s="1488"/>
      <c r="AL1214" s="1488"/>
      <c r="AM1214" s="1488"/>
      <c r="AN1214" s="1488"/>
      <c r="AO1214" s="1488"/>
      <c r="AP1214" s="1488"/>
      <c r="AQ1214" s="1488"/>
      <c r="AR1214" s="1488"/>
      <c r="AS1214" s="1488"/>
      <c r="AT1214" s="1542"/>
      <c r="AU1214" s="1599">
        <f t="shared" si="648"/>
        <v>0</v>
      </c>
      <c r="AV1214" s="1544">
        <f t="shared" si="676"/>
        <v>0</v>
      </c>
      <c r="AW1214" s="1452">
        <f t="shared" si="649"/>
        <v>0</v>
      </c>
      <c r="AX1214" s="1452">
        <f t="shared" si="650"/>
        <v>0</v>
      </c>
      <c r="AY1214" s="1452">
        <f t="shared" si="651"/>
        <v>0</v>
      </c>
      <c r="AZ1214" s="1452">
        <f t="shared" si="652"/>
        <v>0</v>
      </c>
      <c r="BA1214" s="1452">
        <f t="shared" si="653"/>
        <v>0</v>
      </c>
      <c r="BB1214" s="1452">
        <f t="shared" si="654"/>
        <v>0</v>
      </c>
      <c r="BC1214" s="1452">
        <f t="shared" si="655"/>
        <v>0</v>
      </c>
      <c r="BD1214" s="1452">
        <f t="shared" si="656"/>
        <v>0</v>
      </c>
      <c r="BE1214" s="1452">
        <f t="shared" si="657"/>
        <v>0</v>
      </c>
      <c r="BF1214" s="1452">
        <f t="shared" si="658"/>
        <v>0</v>
      </c>
      <c r="BG1214" s="1452">
        <f t="shared" si="659"/>
        <v>0</v>
      </c>
      <c r="BH1214" s="1452">
        <f t="shared" si="660"/>
        <v>0</v>
      </c>
      <c r="BI1214" s="1452">
        <f t="shared" si="677"/>
        <v>0</v>
      </c>
      <c r="BJ1214" s="1452" t="str">
        <f t="shared" si="661"/>
        <v/>
      </c>
      <c r="BK1214" s="1452" t="str">
        <f t="shared" si="662"/>
        <v/>
      </c>
      <c r="BL1214" s="1452" t="str">
        <f t="shared" si="663"/>
        <v/>
      </c>
      <c r="BM1214" s="1452" t="str">
        <f t="shared" si="664"/>
        <v/>
      </c>
      <c r="BN1214" s="1452" t="str">
        <f t="shared" ca="1" si="665"/>
        <v/>
      </c>
      <c r="BO1214" s="1452" t="str">
        <f t="shared" si="678"/>
        <v/>
      </c>
      <c r="BP1214" s="1452" t="str">
        <f t="shared" si="666"/>
        <v/>
      </c>
      <c r="BQ1214" s="1452" t="str">
        <f t="shared" si="667"/>
        <v/>
      </c>
      <c r="BR1214" s="1452" t="str">
        <f t="shared" si="668"/>
        <v/>
      </c>
      <c r="BS1214" s="1452" t="str">
        <f t="shared" si="669"/>
        <v/>
      </c>
      <c r="BT1214" s="1452" t="str">
        <f t="shared" si="670"/>
        <v/>
      </c>
      <c r="BU1214" s="1452" t="str">
        <f t="shared" si="671"/>
        <v/>
      </c>
      <c r="BV1214" s="1452" t="str">
        <f t="shared" si="672"/>
        <v/>
      </c>
      <c r="BW1214" s="1558">
        <f t="shared" ca="1" si="679"/>
        <v>0</v>
      </c>
    </row>
    <row r="1215" spans="1:75" s="9" customFormat="1" ht="12.5">
      <c r="A1215" s="1483" t="str">
        <f t="shared" si="673"/>
        <v>Public Health Wales Trust</v>
      </c>
      <c r="B1215" s="1583"/>
      <c r="C1215" s="1583"/>
      <c r="D1215" s="1583"/>
      <c r="E1215" s="1581"/>
      <c r="F1215" s="1436"/>
      <c r="G1215" s="1547">
        <f t="shared" si="674"/>
        <v>0</v>
      </c>
      <c r="H1215" s="1484"/>
      <c r="I1215" s="1547">
        <f t="shared" si="675"/>
        <v>0</v>
      </c>
      <c r="J1215" s="1516"/>
      <c r="K1215" s="1516"/>
      <c r="L1215" s="1436"/>
      <c r="M1215" s="1439"/>
      <c r="N1215" s="1439"/>
      <c r="O1215" s="1485"/>
      <c r="P1215" s="1486"/>
      <c r="Q1215" s="1486"/>
      <c r="R1215" s="1487"/>
      <c r="S1215" s="1444"/>
      <c r="T1215" s="1444"/>
      <c r="U1215" s="1444"/>
      <c r="V1215" s="1488"/>
      <c r="W1215" s="1488"/>
      <c r="X1215" s="1488"/>
      <c r="Y1215" s="1488"/>
      <c r="Z1215" s="1488"/>
      <c r="AA1215" s="1488"/>
      <c r="AB1215" s="1488"/>
      <c r="AC1215" s="1488"/>
      <c r="AD1215" s="1488"/>
      <c r="AE1215" s="1488"/>
      <c r="AF1215" s="1488"/>
      <c r="AG1215" s="1488"/>
      <c r="AH1215" s="1451">
        <f t="shared" si="647"/>
        <v>0</v>
      </c>
      <c r="AI1215" s="1488"/>
      <c r="AJ1215" s="1488"/>
      <c r="AK1215" s="1488"/>
      <c r="AL1215" s="1488"/>
      <c r="AM1215" s="1488"/>
      <c r="AN1215" s="1488"/>
      <c r="AO1215" s="1488"/>
      <c r="AP1215" s="1488"/>
      <c r="AQ1215" s="1488"/>
      <c r="AR1215" s="1488"/>
      <c r="AS1215" s="1488"/>
      <c r="AT1215" s="1542"/>
      <c r="AU1215" s="1599">
        <f t="shared" si="648"/>
        <v>0</v>
      </c>
      <c r="AV1215" s="1544">
        <f t="shared" si="676"/>
        <v>0</v>
      </c>
      <c r="AW1215" s="1452">
        <f t="shared" si="649"/>
        <v>0</v>
      </c>
      <c r="AX1215" s="1452">
        <f t="shared" si="650"/>
        <v>0</v>
      </c>
      <c r="AY1215" s="1452">
        <f t="shared" si="651"/>
        <v>0</v>
      </c>
      <c r="AZ1215" s="1452">
        <f t="shared" si="652"/>
        <v>0</v>
      </c>
      <c r="BA1215" s="1452">
        <f t="shared" si="653"/>
        <v>0</v>
      </c>
      <c r="BB1215" s="1452">
        <f t="shared" si="654"/>
        <v>0</v>
      </c>
      <c r="BC1215" s="1452">
        <f t="shared" si="655"/>
        <v>0</v>
      </c>
      <c r="BD1215" s="1452">
        <f t="shared" si="656"/>
        <v>0</v>
      </c>
      <c r="BE1215" s="1452">
        <f t="shared" si="657"/>
        <v>0</v>
      </c>
      <c r="BF1215" s="1452">
        <f t="shared" si="658"/>
        <v>0</v>
      </c>
      <c r="BG1215" s="1452">
        <f t="shared" si="659"/>
        <v>0</v>
      </c>
      <c r="BH1215" s="1452">
        <f t="shared" si="660"/>
        <v>0</v>
      </c>
      <c r="BI1215" s="1452">
        <f t="shared" si="677"/>
        <v>0</v>
      </c>
      <c r="BJ1215" s="1452" t="str">
        <f t="shared" si="661"/>
        <v/>
      </c>
      <c r="BK1215" s="1452" t="str">
        <f t="shared" si="662"/>
        <v/>
      </c>
      <c r="BL1215" s="1452" t="str">
        <f t="shared" si="663"/>
        <v/>
      </c>
      <c r="BM1215" s="1452" t="str">
        <f t="shared" si="664"/>
        <v/>
      </c>
      <c r="BN1215" s="1452" t="str">
        <f t="shared" ca="1" si="665"/>
        <v/>
      </c>
      <c r="BO1215" s="1452" t="str">
        <f t="shared" si="678"/>
        <v/>
      </c>
      <c r="BP1215" s="1452" t="str">
        <f t="shared" si="666"/>
        <v/>
      </c>
      <c r="BQ1215" s="1452" t="str">
        <f t="shared" si="667"/>
        <v/>
      </c>
      <c r="BR1215" s="1452" t="str">
        <f t="shared" si="668"/>
        <v/>
      </c>
      <c r="BS1215" s="1452" t="str">
        <f t="shared" si="669"/>
        <v/>
      </c>
      <c r="BT1215" s="1452" t="str">
        <f t="shared" si="670"/>
        <v/>
      </c>
      <c r="BU1215" s="1452" t="str">
        <f t="shared" si="671"/>
        <v/>
      </c>
      <c r="BV1215" s="1452" t="str">
        <f t="shared" si="672"/>
        <v/>
      </c>
      <c r="BW1215" s="1558">
        <f t="shared" ca="1" si="679"/>
        <v>0</v>
      </c>
    </row>
    <row r="1216" spans="1:75" s="9" customFormat="1" ht="12.5">
      <c r="A1216" s="1483" t="str">
        <f t="shared" si="673"/>
        <v>Public Health Wales Trust</v>
      </c>
      <c r="B1216" s="1583"/>
      <c r="C1216" s="1583"/>
      <c r="D1216" s="1583"/>
      <c r="E1216" s="1581"/>
      <c r="F1216" s="1436"/>
      <c r="G1216" s="1547">
        <f t="shared" si="674"/>
        <v>0</v>
      </c>
      <c r="H1216" s="1484"/>
      <c r="I1216" s="1547">
        <f t="shared" si="675"/>
        <v>0</v>
      </c>
      <c r="J1216" s="1516"/>
      <c r="K1216" s="1516"/>
      <c r="L1216" s="1436"/>
      <c r="M1216" s="1439"/>
      <c r="N1216" s="1439"/>
      <c r="O1216" s="1485"/>
      <c r="P1216" s="1486"/>
      <c r="Q1216" s="1486"/>
      <c r="R1216" s="1487"/>
      <c r="S1216" s="1444"/>
      <c r="T1216" s="1444"/>
      <c r="U1216" s="1444"/>
      <c r="V1216" s="1488"/>
      <c r="W1216" s="1488"/>
      <c r="X1216" s="1488"/>
      <c r="Y1216" s="1488"/>
      <c r="Z1216" s="1488"/>
      <c r="AA1216" s="1488"/>
      <c r="AB1216" s="1488"/>
      <c r="AC1216" s="1488"/>
      <c r="AD1216" s="1488"/>
      <c r="AE1216" s="1488"/>
      <c r="AF1216" s="1488"/>
      <c r="AG1216" s="1488"/>
      <c r="AH1216" s="1451">
        <f t="shared" si="647"/>
        <v>0</v>
      </c>
      <c r="AI1216" s="1488"/>
      <c r="AJ1216" s="1488"/>
      <c r="AK1216" s="1488"/>
      <c r="AL1216" s="1488"/>
      <c r="AM1216" s="1488"/>
      <c r="AN1216" s="1488"/>
      <c r="AO1216" s="1488"/>
      <c r="AP1216" s="1488"/>
      <c r="AQ1216" s="1488"/>
      <c r="AR1216" s="1488"/>
      <c r="AS1216" s="1488"/>
      <c r="AT1216" s="1542"/>
      <c r="AU1216" s="1599">
        <f t="shared" si="648"/>
        <v>0</v>
      </c>
      <c r="AV1216" s="1544">
        <f t="shared" si="676"/>
        <v>0</v>
      </c>
      <c r="AW1216" s="1452">
        <f t="shared" si="649"/>
        <v>0</v>
      </c>
      <c r="AX1216" s="1452">
        <f t="shared" si="650"/>
        <v>0</v>
      </c>
      <c r="AY1216" s="1452">
        <f t="shared" si="651"/>
        <v>0</v>
      </c>
      <c r="AZ1216" s="1452">
        <f t="shared" si="652"/>
        <v>0</v>
      </c>
      <c r="BA1216" s="1452">
        <f t="shared" si="653"/>
        <v>0</v>
      </c>
      <c r="BB1216" s="1452">
        <f t="shared" si="654"/>
        <v>0</v>
      </c>
      <c r="BC1216" s="1452">
        <f t="shared" si="655"/>
        <v>0</v>
      </c>
      <c r="BD1216" s="1452">
        <f t="shared" si="656"/>
        <v>0</v>
      </c>
      <c r="BE1216" s="1452">
        <f t="shared" si="657"/>
        <v>0</v>
      </c>
      <c r="BF1216" s="1452">
        <f t="shared" si="658"/>
        <v>0</v>
      </c>
      <c r="BG1216" s="1452">
        <f t="shared" si="659"/>
        <v>0</v>
      </c>
      <c r="BH1216" s="1452">
        <f t="shared" si="660"/>
        <v>0</v>
      </c>
      <c r="BI1216" s="1452">
        <f t="shared" si="677"/>
        <v>0</v>
      </c>
      <c r="BJ1216" s="1452" t="str">
        <f t="shared" si="661"/>
        <v/>
      </c>
      <c r="BK1216" s="1452" t="str">
        <f t="shared" si="662"/>
        <v/>
      </c>
      <c r="BL1216" s="1452" t="str">
        <f t="shared" si="663"/>
        <v/>
      </c>
      <c r="BM1216" s="1452" t="str">
        <f t="shared" si="664"/>
        <v/>
      </c>
      <c r="BN1216" s="1452" t="str">
        <f t="shared" ca="1" si="665"/>
        <v/>
      </c>
      <c r="BO1216" s="1452" t="str">
        <f t="shared" si="678"/>
        <v/>
      </c>
      <c r="BP1216" s="1452" t="str">
        <f t="shared" si="666"/>
        <v/>
      </c>
      <c r="BQ1216" s="1452" t="str">
        <f t="shared" si="667"/>
        <v/>
      </c>
      <c r="BR1216" s="1452" t="str">
        <f t="shared" si="668"/>
        <v/>
      </c>
      <c r="BS1216" s="1452" t="str">
        <f t="shared" si="669"/>
        <v/>
      </c>
      <c r="BT1216" s="1452" t="str">
        <f t="shared" si="670"/>
        <v/>
      </c>
      <c r="BU1216" s="1452" t="str">
        <f t="shared" si="671"/>
        <v/>
      </c>
      <c r="BV1216" s="1452" t="str">
        <f t="shared" si="672"/>
        <v/>
      </c>
      <c r="BW1216" s="1558">
        <f t="shared" ca="1" si="679"/>
        <v>0</v>
      </c>
    </row>
    <row r="1217" spans="1:75" s="9" customFormat="1" ht="12.5">
      <c r="A1217" s="1483" t="str">
        <f t="shared" si="673"/>
        <v>Public Health Wales Trust</v>
      </c>
      <c r="B1217" s="1583"/>
      <c r="C1217" s="1583"/>
      <c r="D1217" s="1583"/>
      <c r="E1217" s="1581"/>
      <c r="F1217" s="1436"/>
      <c r="G1217" s="1547">
        <f t="shared" si="674"/>
        <v>0</v>
      </c>
      <c r="H1217" s="1484"/>
      <c r="I1217" s="1547">
        <f t="shared" si="675"/>
        <v>0</v>
      </c>
      <c r="J1217" s="1516"/>
      <c r="K1217" s="1516"/>
      <c r="L1217" s="1436"/>
      <c r="M1217" s="1439"/>
      <c r="N1217" s="1439"/>
      <c r="O1217" s="1485"/>
      <c r="P1217" s="1486"/>
      <c r="Q1217" s="1486"/>
      <c r="R1217" s="1487"/>
      <c r="S1217" s="1444"/>
      <c r="T1217" s="1444"/>
      <c r="U1217" s="1444"/>
      <c r="V1217" s="1488"/>
      <c r="W1217" s="1488"/>
      <c r="X1217" s="1488"/>
      <c r="Y1217" s="1488"/>
      <c r="Z1217" s="1488"/>
      <c r="AA1217" s="1488"/>
      <c r="AB1217" s="1488"/>
      <c r="AC1217" s="1488"/>
      <c r="AD1217" s="1488"/>
      <c r="AE1217" s="1488"/>
      <c r="AF1217" s="1488"/>
      <c r="AG1217" s="1488"/>
      <c r="AH1217" s="1451">
        <f t="shared" si="647"/>
        <v>0</v>
      </c>
      <c r="AI1217" s="1488"/>
      <c r="AJ1217" s="1488"/>
      <c r="AK1217" s="1488"/>
      <c r="AL1217" s="1488"/>
      <c r="AM1217" s="1488"/>
      <c r="AN1217" s="1488"/>
      <c r="AO1217" s="1488"/>
      <c r="AP1217" s="1488"/>
      <c r="AQ1217" s="1488"/>
      <c r="AR1217" s="1488"/>
      <c r="AS1217" s="1488"/>
      <c r="AT1217" s="1542"/>
      <c r="AU1217" s="1599">
        <f t="shared" si="648"/>
        <v>0</v>
      </c>
      <c r="AV1217" s="1544">
        <f t="shared" si="676"/>
        <v>0</v>
      </c>
      <c r="AW1217" s="1452">
        <f t="shared" si="649"/>
        <v>0</v>
      </c>
      <c r="AX1217" s="1452">
        <f t="shared" si="650"/>
        <v>0</v>
      </c>
      <c r="AY1217" s="1452">
        <f t="shared" si="651"/>
        <v>0</v>
      </c>
      <c r="AZ1217" s="1452">
        <f t="shared" si="652"/>
        <v>0</v>
      </c>
      <c r="BA1217" s="1452">
        <f t="shared" si="653"/>
        <v>0</v>
      </c>
      <c r="BB1217" s="1452">
        <f t="shared" si="654"/>
        <v>0</v>
      </c>
      <c r="BC1217" s="1452">
        <f t="shared" si="655"/>
        <v>0</v>
      </c>
      <c r="BD1217" s="1452">
        <f t="shared" si="656"/>
        <v>0</v>
      </c>
      <c r="BE1217" s="1452">
        <f t="shared" si="657"/>
        <v>0</v>
      </c>
      <c r="BF1217" s="1452">
        <f t="shared" si="658"/>
        <v>0</v>
      </c>
      <c r="BG1217" s="1452">
        <f t="shared" si="659"/>
        <v>0</v>
      </c>
      <c r="BH1217" s="1452">
        <f t="shared" si="660"/>
        <v>0</v>
      </c>
      <c r="BI1217" s="1452">
        <f t="shared" si="677"/>
        <v>0</v>
      </c>
      <c r="BJ1217" s="1452" t="str">
        <f t="shared" si="661"/>
        <v/>
      </c>
      <c r="BK1217" s="1452" t="str">
        <f t="shared" si="662"/>
        <v/>
      </c>
      <c r="BL1217" s="1452" t="str">
        <f t="shared" si="663"/>
        <v/>
      </c>
      <c r="BM1217" s="1452" t="str">
        <f t="shared" si="664"/>
        <v/>
      </c>
      <c r="BN1217" s="1452" t="str">
        <f t="shared" ca="1" si="665"/>
        <v/>
      </c>
      <c r="BO1217" s="1452" t="str">
        <f t="shared" si="678"/>
        <v/>
      </c>
      <c r="BP1217" s="1452" t="str">
        <f t="shared" si="666"/>
        <v/>
      </c>
      <c r="BQ1217" s="1452" t="str">
        <f t="shared" si="667"/>
        <v/>
      </c>
      <c r="BR1217" s="1452" t="str">
        <f t="shared" si="668"/>
        <v/>
      </c>
      <c r="BS1217" s="1452" t="str">
        <f t="shared" si="669"/>
        <v/>
      </c>
      <c r="BT1217" s="1452" t="str">
        <f t="shared" si="670"/>
        <v/>
      </c>
      <c r="BU1217" s="1452" t="str">
        <f t="shared" si="671"/>
        <v/>
      </c>
      <c r="BV1217" s="1452" t="str">
        <f t="shared" si="672"/>
        <v/>
      </c>
      <c r="BW1217" s="1558">
        <f t="shared" ca="1" si="679"/>
        <v>0</v>
      </c>
    </row>
    <row r="1218" spans="1:75" s="9" customFormat="1" ht="12.5">
      <c r="A1218" s="1483" t="str">
        <f t="shared" si="673"/>
        <v>Public Health Wales Trust</v>
      </c>
      <c r="B1218" s="1583"/>
      <c r="C1218" s="1583"/>
      <c r="D1218" s="1583"/>
      <c r="E1218" s="1581"/>
      <c r="F1218" s="1436"/>
      <c r="G1218" s="1547">
        <f t="shared" si="674"/>
        <v>0</v>
      </c>
      <c r="H1218" s="1484"/>
      <c r="I1218" s="1547">
        <f t="shared" si="675"/>
        <v>0</v>
      </c>
      <c r="J1218" s="1516"/>
      <c r="K1218" s="1516"/>
      <c r="L1218" s="1436"/>
      <c r="M1218" s="1439"/>
      <c r="N1218" s="1439"/>
      <c r="O1218" s="1485"/>
      <c r="P1218" s="1486"/>
      <c r="Q1218" s="1486"/>
      <c r="R1218" s="1487"/>
      <c r="S1218" s="1444"/>
      <c r="T1218" s="1444"/>
      <c r="U1218" s="1444"/>
      <c r="V1218" s="1488"/>
      <c r="W1218" s="1488"/>
      <c r="X1218" s="1488"/>
      <c r="Y1218" s="1488"/>
      <c r="Z1218" s="1488"/>
      <c r="AA1218" s="1488"/>
      <c r="AB1218" s="1488"/>
      <c r="AC1218" s="1488"/>
      <c r="AD1218" s="1488"/>
      <c r="AE1218" s="1488"/>
      <c r="AF1218" s="1488"/>
      <c r="AG1218" s="1488"/>
      <c r="AH1218" s="1451">
        <f t="shared" si="647"/>
        <v>0</v>
      </c>
      <c r="AI1218" s="1488"/>
      <c r="AJ1218" s="1488"/>
      <c r="AK1218" s="1488"/>
      <c r="AL1218" s="1488"/>
      <c r="AM1218" s="1488"/>
      <c r="AN1218" s="1488"/>
      <c r="AO1218" s="1488"/>
      <c r="AP1218" s="1488"/>
      <c r="AQ1218" s="1488"/>
      <c r="AR1218" s="1488"/>
      <c r="AS1218" s="1488"/>
      <c r="AT1218" s="1542"/>
      <c r="AU1218" s="1599">
        <f t="shared" si="648"/>
        <v>0</v>
      </c>
      <c r="AV1218" s="1544">
        <f t="shared" si="676"/>
        <v>0</v>
      </c>
      <c r="AW1218" s="1452">
        <f t="shared" si="649"/>
        <v>0</v>
      </c>
      <c r="AX1218" s="1452">
        <f t="shared" si="650"/>
        <v>0</v>
      </c>
      <c r="AY1218" s="1452">
        <f t="shared" si="651"/>
        <v>0</v>
      </c>
      <c r="AZ1218" s="1452">
        <f t="shared" si="652"/>
        <v>0</v>
      </c>
      <c r="BA1218" s="1452">
        <f t="shared" si="653"/>
        <v>0</v>
      </c>
      <c r="BB1218" s="1452">
        <f t="shared" si="654"/>
        <v>0</v>
      </c>
      <c r="BC1218" s="1452">
        <f t="shared" si="655"/>
        <v>0</v>
      </c>
      <c r="BD1218" s="1452">
        <f t="shared" si="656"/>
        <v>0</v>
      </c>
      <c r="BE1218" s="1452">
        <f t="shared" si="657"/>
        <v>0</v>
      </c>
      <c r="BF1218" s="1452">
        <f t="shared" si="658"/>
        <v>0</v>
      </c>
      <c r="BG1218" s="1452">
        <f t="shared" si="659"/>
        <v>0</v>
      </c>
      <c r="BH1218" s="1452">
        <f t="shared" si="660"/>
        <v>0</v>
      </c>
      <c r="BI1218" s="1452">
        <f t="shared" si="677"/>
        <v>0</v>
      </c>
      <c r="BJ1218" s="1452" t="str">
        <f t="shared" si="661"/>
        <v/>
      </c>
      <c r="BK1218" s="1452" t="str">
        <f t="shared" si="662"/>
        <v/>
      </c>
      <c r="BL1218" s="1452" t="str">
        <f t="shared" si="663"/>
        <v/>
      </c>
      <c r="BM1218" s="1452" t="str">
        <f t="shared" si="664"/>
        <v/>
      </c>
      <c r="BN1218" s="1452" t="str">
        <f t="shared" ca="1" si="665"/>
        <v/>
      </c>
      <c r="BO1218" s="1452" t="str">
        <f t="shared" si="678"/>
        <v/>
      </c>
      <c r="BP1218" s="1452" t="str">
        <f t="shared" si="666"/>
        <v/>
      </c>
      <c r="BQ1218" s="1452" t="str">
        <f t="shared" si="667"/>
        <v/>
      </c>
      <c r="BR1218" s="1452" t="str">
        <f t="shared" si="668"/>
        <v/>
      </c>
      <c r="BS1218" s="1452" t="str">
        <f t="shared" si="669"/>
        <v/>
      </c>
      <c r="BT1218" s="1452" t="str">
        <f t="shared" si="670"/>
        <v/>
      </c>
      <c r="BU1218" s="1452" t="str">
        <f t="shared" si="671"/>
        <v/>
      </c>
      <c r="BV1218" s="1452" t="str">
        <f t="shared" si="672"/>
        <v/>
      </c>
      <c r="BW1218" s="1558">
        <f t="shared" ca="1" si="679"/>
        <v>0</v>
      </c>
    </row>
    <row r="1219" spans="1:75" s="9" customFormat="1" ht="12.5">
      <c r="A1219" s="1483" t="str">
        <f t="shared" si="673"/>
        <v>Public Health Wales Trust</v>
      </c>
      <c r="B1219" s="1583"/>
      <c r="C1219" s="1583"/>
      <c r="D1219" s="1583"/>
      <c r="E1219" s="1581"/>
      <c r="F1219" s="1436"/>
      <c r="G1219" s="1547">
        <f t="shared" si="674"/>
        <v>0</v>
      </c>
      <c r="H1219" s="1484"/>
      <c r="I1219" s="1547">
        <f t="shared" si="675"/>
        <v>0</v>
      </c>
      <c r="J1219" s="1516"/>
      <c r="K1219" s="1516"/>
      <c r="L1219" s="1436"/>
      <c r="M1219" s="1439"/>
      <c r="N1219" s="1439"/>
      <c r="O1219" s="1485"/>
      <c r="P1219" s="1486"/>
      <c r="Q1219" s="1486"/>
      <c r="R1219" s="1487"/>
      <c r="S1219" s="1444"/>
      <c r="T1219" s="1444"/>
      <c r="U1219" s="1444"/>
      <c r="V1219" s="1488"/>
      <c r="W1219" s="1488"/>
      <c r="X1219" s="1488"/>
      <c r="Y1219" s="1488"/>
      <c r="Z1219" s="1488"/>
      <c r="AA1219" s="1488"/>
      <c r="AB1219" s="1488"/>
      <c r="AC1219" s="1488"/>
      <c r="AD1219" s="1488"/>
      <c r="AE1219" s="1488"/>
      <c r="AF1219" s="1488"/>
      <c r="AG1219" s="1488"/>
      <c r="AH1219" s="1451">
        <f t="shared" si="647"/>
        <v>0</v>
      </c>
      <c r="AI1219" s="1488"/>
      <c r="AJ1219" s="1488"/>
      <c r="AK1219" s="1488"/>
      <c r="AL1219" s="1488"/>
      <c r="AM1219" s="1488"/>
      <c r="AN1219" s="1488"/>
      <c r="AO1219" s="1488"/>
      <c r="AP1219" s="1488"/>
      <c r="AQ1219" s="1488"/>
      <c r="AR1219" s="1488"/>
      <c r="AS1219" s="1488"/>
      <c r="AT1219" s="1542"/>
      <c r="AU1219" s="1599">
        <f t="shared" si="648"/>
        <v>0</v>
      </c>
      <c r="AV1219" s="1544">
        <f t="shared" si="676"/>
        <v>0</v>
      </c>
      <c r="AW1219" s="1452">
        <f t="shared" si="649"/>
        <v>0</v>
      </c>
      <c r="AX1219" s="1452">
        <f t="shared" si="650"/>
        <v>0</v>
      </c>
      <c r="AY1219" s="1452">
        <f t="shared" si="651"/>
        <v>0</v>
      </c>
      <c r="AZ1219" s="1452">
        <f t="shared" si="652"/>
        <v>0</v>
      </c>
      <c r="BA1219" s="1452">
        <f t="shared" si="653"/>
        <v>0</v>
      </c>
      <c r="BB1219" s="1452">
        <f t="shared" si="654"/>
        <v>0</v>
      </c>
      <c r="BC1219" s="1452">
        <f t="shared" si="655"/>
        <v>0</v>
      </c>
      <c r="BD1219" s="1452">
        <f t="shared" si="656"/>
        <v>0</v>
      </c>
      <c r="BE1219" s="1452">
        <f t="shared" si="657"/>
        <v>0</v>
      </c>
      <c r="BF1219" s="1452">
        <f t="shared" si="658"/>
        <v>0</v>
      </c>
      <c r="BG1219" s="1452">
        <f t="shared" si="659"/>
        <v>0</v>
      </c>
      <c r="BH1219" s="1452">
        <f t="shared" si="660"/>
        <v>0</v>
      </c>
      <c r="BI1219" s="1452">
        <f t="shared" si="677"/>
        <v>0</v>
      </c>
      <c r="BJ1219" s="1452" t="str">
        <f t="shared" si="661"/>
        <v/>
      </c>
      <c r="BK1219" s="1452" t="str">
        <f t="shared" si="662"/>
        <v/>
      </c>
      <c r="BL1219" s="1452" t="str">
        <f t="shared" si="663"/>
        <v/>
      </c>
      <c r="BM1219" s="1452" t="str">
        <f t="shared" si="664"/>
        <v/>
      </c>
      <c r="BN1219" s="1452" t="str">
        <f t="shared" ca="1" si="665"/>
        <v/>
      </c>
      <c r="BO1219" s="1452" t="str">
        <f t="shared" si="678"/>
        <v/>
      </c>
      <c r="BP1219" s="1452" t="str">
        <f t="shared" si="666"/>
        <v/>
      </c>
      <c r="BQ1219" s="1452" t="str">
        <f t="shared" si="667"/>
        <v/>
      </c>
      <c r="BR1219" s="1452" t="str">
        <f t="shared" si="668"/>
        <v/>
      </c>
      <c r="BS1219" s="1452" t="str">
        <f t="shared" si="669"/>
        <v/>
      </c>
      <c r="BT1219" s="1452" t="str">
        <f t="shared" si="670"/>
        <v/>
      </c>
      <c r="BU1219" s="1452" t="str">
        <f t="shared" si="671"/>
        <v/>
      </c>
      <c r="BV1219" s="1452" t="str">
        <f t="shared" si="672"/>
        <v/>
      </c>
      <c r="BW1219" s="1558">
        <f t="shared" ca="1" si="679"/>
        <v>0</v>
      </c>
    </row>
    <row r="1220" spans="1:75" s="9" customFormat="1" ht="12.5">
      <c r="A1220" s="1483" t="str">
        <f t="shared" si="673"/>
        <v>Public Health Wales Trust</v>
      </c>
      <c r="B1220" s="1583"/>
      <c r="C1220" s="1583"/>
      <c r="D1220" s="1583"/>
      <c r="E1220" s="1581"/>
      <c r="F1220" s="1436"/>
      <c r="G1220" s="1547">
        <f t="shared" si="674"/>
        <v>0</v>
      </c>
      <c r="H1220" s="1484"/>
      <c r="I1220" s="1547">
        <f t="shared" si="675"/>
        <v>0</v>
      </c>
      <c r="J1220" s="1516"/>
      <c r="K1220" s="1516"/>
      <c r="L1220" s="1436"/>
      <c r="M1220" s="1439"/>
      <c r="N1220" s="1439"/>
      <c r="O1220" s="1485"/>
      <c r="P1220" s="1486"/>
      <c r="Q1220" s="1486"/>
      <c r="R1220" s="1487"/>
      <c r="S1220" s="1444"/>
      <c r="T1220" s="1444"/>
      <c r="U1220" s="1444"/>
      <c r="V1220" s="1488"/>
      <c r="W1220" s="1488"/>
      <c r="X1220" s="1488"/>
      <c r="Y1220" s="1488"/>
      <c r="Z1220" s="1488"/>
      <c r="AA1220" s="1488"/>
      <c r="AB1220" s="1488"/>
      <c r="AC1220" s="1488"/>
      <c r="AD1220" s="1488"/>
      <c r="AE1220" s="1488"/>
      <c r="AF1220" s="1488"/>
      <c r="AG1220" s="1488"/>
      <c r="AH1220" s="1451">
        <f t="shared" si="647"/>
        <v>0</v>
      </c>
      <c r="AI1220" s="1488"/>
      <c r="AJ1220" s="1488"/>
      <c r="AK1220" s="1488"/>
      <c r="AL1220" s="1488"/>
      <c r="AM1220" s="1488"/>
      <c r="AN1220" s="1488"/>
      <c r="AO1220" s="1488"/>
      <c r="AP1220" s="1488"/>
      <c r="AQ1220" s="1488"/>
      <c r="AR1220" s="1488"/>
      <c r="AS1220" s="1488"/>
      <c r="AT1220" s="1542"/>
      <c r="AU1220" s="1599">
        <f t="shared" si="648"/>
        <v>0</v>
      </c>
      <c r="AV1220" s="1544">
        <f t="shared" si="676"/>
        <v>0</v>
      </c>
      <c r="AW1220" s="1452">
        <f t="shared" si="649"/>
        <v>0</v>
      </c>
      <c r="AX1220" s="1452">
        <f t="shared" si="650"/>
        <v>0</v>
      </c>
      <c r="AY1220" s="1452">
        <f t="shared" si="651"/>
        <v>0</v>
      </c>
      <c r="AZ1220" s="1452">
        <f t="shared" si="652"/>
        <v>0</v>
      </c>
      <c r="BA1220" s="1452">
        <f t="shared" si="653"/>
        <v>0</v>
      </c>
      <c r="BB1220" s="1452">
        <f t="shared" si="654"/>
        <v>0</v>
      </c>
      <c r="BC1220" s="1452">
        <f t="shared" si="655"/>
        <v>0</v>
      </c>
      <c r="BD1220" s="1452">
        <f t="shared" si="656"/>
        <v>0</v>
      </c>
      <c r="BE1220" s="1452">
        <f t="shared" si="657"/>
        <v>0</v>
      </c>
      <c r="BF1220" s="1452">
        <f t="shared" si="658"/>
        <v>0</v>
      </c>
      <c r="BG1220" s="1452">
        <f t="shared" si="659"/>
        <v>0</v>
      </c>
      <c r="BH1220" s="1452">
        <f t="shared" si="660"/>
        <v>0</v>
      </c>
      <c r="BI1220" s="1452">
        <f t="shared" si="677"/>
        <v>0</v>
      </c>
      <c r="BJ1220" s="1452" t="str">
        <f t="shared" si="661"/>
        <v/>
      </c>
      <c r="BK1220" s="1452" t="str">
        <f t="shared" si="662"/>
        <v/>
      </c>
      <c r="BL1220" s="1452" t="str">
        <f t="shared" si="663"/>
        <v/>
      </c>
      <c r="BM1220" s="1452" t="str">
        <f t="shared" si="664"/>
        <v/>
      </c>
      <c r="BN1220" s="1452" t="str">
        <f t="shared" ca="1" si="665"/>
        <v/>
      </c>
      <c r="BO1220" s="1452" t="str">
        <f t="shared" si="678"/>
        <v/>
      </c>
      <c r="BP1220" s="1452" t="str">
        <f t="shared" si="666"/>
        <v/>
      </c>
      <c r="BQ1220" s="1452" t="str">
        <f t="shared" si="667"/>
        <v/>
      </c>
      <c r="BR1220" s="1452" t="str">
        <f t="shared" si="668"/>
        <v/>
      </c>
      <c r="BS1220" s="1452" t="str">
        <f t="shared" si="669"/>
        <v/>
      </c>
      <c r="BT1220" s="1452" t="str">
        <f t="shared" si="670"/>
        <v/>
      </c>
      <c r="BU1220" s="1452" t="str">
        <f t="shared" si="671"/>
        <v/>
      </c>
      <c r="BV1220" s="1452" t="str">
        <f t="shared" si="672"/>
        <v/>
      </c>
      <c r="BW1220" s="1558">
        <f t="shared" ca="1" si="679"/>
        <v>0</v>
      </c>
    </row>
    <row r="1221" spans="1:75" s="9" customFormat="1" ht="12.5">
      <c r="A1221" s="1483" t="str">
        <f t="shared" si="673"/>
        <v>Public Health Wales Trust</v>
      </c>
      <c r="B1221" s="1583"/>
      <c r="C1221" s="1583"/>
      <c r="D1221" s="1583"/>
      <c r="E1221" s="1581"/>
      <c r="F1221" s="1436"/>
      <c r="G1221" s="1547">
        <f t="shared" si="674"/>
        <v>0</v>
      </c>
      <c r="H1221" s="1484"/>
      <c r="I1221" s="1547">
        <f t="shared" si="675"/>
        <v>0</v>
      </c>
      <c r="J1221" s="1516"/>
      <c r="K1221" s="1516"/>
      <c r="L1221" s="1436"/>
      <c r="M1221" s="1439"/>
      <c r="N1221" s="1439"/>
      <c r="O1221" s="1485"/>
      <c r="P1221" s="1486"/>
      <c r="Q1221" s="1486"/>
      <c r="R1221" s="1487"/>
      <c r="S1221" s="1444"/>
      <c r="T1221" s="1444"/>
      <c r="U1221" s="1444"/>
      <c r="V1221" s="1488"/>
      <c r="W1221" s="1488"/>
      <c r="X1221" s="1488"/>
      <c r="Y1221" s="1488"/>
      <c r="Z1221" s="1488"/>
      <c r="AA1221" s="1488"/>
      <c r="AB1221" s="1488"/>
      <c r="AC1221" s="1488"/>
      <c r="AD1221" s="1488"/>
      <c r="AE1221" s="1488"/>
      <c r="AF1221" s="1488"/>
      <c r="AG1221" s="1488"/>
      <c r="AH1221" s="1451">
        <f t="shared" si="647"/>
        <v>0</v>
      </c>
      <c r="AI1221" s="1488"/>
      <c r="AJ1221" s="1488"/>
      <c r="AK1221" s="1488"/>
      <c r="AL1221" s="1488"/>
      <c r="AM1221" s="1488"/>
      <c r="AN1221" s="1488"/>
      <c r="AO1221" s="1488"/>
      <c r="AP1221" s="1488"/>
      <c r="AQ1221" s="1488"/>
      <c r="AR1221" s="1488"/>
      <c r="AS1221" s="1488"/>
      <c r="AT1221" s="1542"/>
      <c r="AU1221" s="1599">
        <f t="shared" si="648"/>
        <v>0</v>
      </c>
      <c r="AV1221" s="1544">
        <f t="shared" si="676"/>
        <v>0</v>
      </c>
      <c r="AW1221" s="1452">
        <f t="shared" si="649"/>
        <v>0</v>
      </c>
      <c r="AX1221" s="1452">
        <f t="shared" si="650"/>
        <v>0</v>
      </c>
      <c r="AY1221" s="1452">
        <f t="shared" si="651"/>
        <v>0</v>
      </c>
      <c r="AZ1221" s="1452">
        <f t="shared" si="652"/>
        <v>0</v>
      </c>
      <c r="BA1221" s="1452">
        <f t="shared" si="653"/>
        <v>0</v>
      </c>
      <c r="BB1221" s="1452">
        <f t="shared" si="654"/>
        <v>0</v>
      </c>
      <c r="BC1221" s="1452">
        <f t="shared" si="655"/>
        <v>0</v>
      </c>
      <c r="BD1221" s="1452">
        <f t="shared" si="656"/>
        <v>0</v>
      </c>
      <c r="BE1221" s="1452">
        <f t="shared" si="657"/>
        <v>0</v>
      </c>
      <c r="BF1221" s="1452">
        <f t="shared" si="658"/>
        <v>0</v>
      </c>
      <c r="BG1221" s="1452">
        <f t="shared" si="659"/>
        <v>0</v>
      </c>
      <c r="BH1221" s="1452">
        <f t="shared" si="660"/>
        <v>0</v>
      </c>
      <c r="BI1221" s="1452">
        <f t="shared" si="677"/>
        <v>0</v>
      </c>
      <c r="BJ1221" s="1452" t="str">
        <f t="shared" si="661"/>
        <v/>
      </c>
      <c r="BK1221" s="1452" t="str">
        <f t="shared" si="662"/>
        <v/>
      </c>
      <c r="BL1221" s="1452" t="str">
        <f t="shared" si="663"/>
        <v/>
      </c>
      <c r="BM1221" s="1452" t="str">
        <f t="shared" si="664"/>
        <v/>
      </c>
      <c r="BN1221" s="1452" t="str">
        <f t="shared" ca="1" si="665"/>
        <v/>
      </c>
      <c r="BO1221" s="1452" t="str">
        <f t="shared" si="678"/>
        <v/>
      </c>
      <c r="BP1221" s="1452" t="str">
        <f t="shared" si="666"/>
        <v/>
      </c>
      <c r="BQ1221" s="1452" t="str">
        <f t="shared" si="667"/>
        <v/>
      </c>
      <c r="BR1221" s="1452" t="str">
        <f t="shared" si="668"/>
        <v/>
      </c>
      <c r="BS1221" s="1452" t="str">
        <f t="shared" si="669"/>
        <v/>
      </c>
      <c r="BT1221" s="1452" t="str">
        <f t="shared" si="670"/>
        <v/>
      </c>
      <c r="BU1221" s="1452" t="str">
        <f t="shared" si="671"/>
        <v/>
      </c>
      <c r="BV1221" s="1452" t="str">
        <f t="shared" si="672"/>
        <v/>
      </c>
      <c r="BW1221" s="1558">
        <f t="shared" ca="1" si="679"/>
        <v>0</v>
      </c>
    </row>
    <row r="1222" spans="1:75" s="9" customFormat="1" ht="12.5">
      <c r="A1222" s="1483" t="str">
        <f t="shared" si="673"/>
        <v>Public Health Wales Trust</v>
      </c>
      <c r="B1222" s="1583"/>
      <c r="C1222" s="1583"/>
      <c r="D1222" s="1583"/>
      <c r="E1222" s="1581"/>
      <c r="F1222" s="1436"/>
      <c r="G1222" s="1547">
        <f t="shared" si="674"/>
        <v>0</v>
      </c>
      <c r="H1222" s="1484"/>
      <c r="I1222" s="1547">
        <f t="shared" si="675"/>
        <v>0</v>
      </c>
      <c r="J1222" s="1516"/>
      <c r="K1222" s="1516"/>
      <c r="L1222" s="1436"/>
      <c r="M1222" s="1439"/>
      <c r="N1222" s="1439"/>
      <c r="O1222" s="1485"/>
      <c r="P1222" s="1486"/>
      <c r="Q1222" s="1486"/>
      <c r="R1222" s="1487"/>
      <c r="S1222" s="1444"/>
      <c r="T1222" s="1444"/>
      <c r="U1222" s="1444"/>
      <c r="V1222" s="1488"/>
      <c r="W1222" s="1488"/>
      <c r="X1222" s="1488"/>
      <c r="Y1222" s="1488"/>
      <c r="Z1222" s="1488"/>
      <c r="AA1222" s="1488"/>
      <c r="AB1222" s="1488"/>
      <c r="AC1222" s="1488"/>
      <c r="AD1222" s="1488"/>
      <c r="AE1222" s="1488"/>
      <c r="AF1222" s="1488"/>
      <c r="AG1222" s="1488"/>
      <c r="AH1222" s="1451">
        <f t="shared" si="647"/>
        <v>0</v>
      </c>
      <c r="AI1222" s="1488"/>
      <c r="AJ1222" s="1488"/>
      <c r="AK1222" s="1488"/>
      <c r="AL1222" s="1488"/>
      <c r="AM1222" s="1488"/>
      <c r="AN1222" s="1488"/>
      <c r="AO1222" s="1488"/>
      <c r="AP1222" s="1488"/>
      <c r="AQ1222" s="1488"/>
      <c r="AR1222" s="1488"/>
      <c r="AS1222" s="1488"/>
      <c r="AT1222" s="1542"/>
      <c r="AU1222" s="1599">
        <f t="shared" si="648"/>
        <v>0</v>
      </c>
      <c r="AV1222" s="1544">
        <f t="shared" si="676"/>
        <v>0</v>
      </c>
      <c r="AW1222" s="1452">
        <f t="shared" si="649"/>
        <v>0</v>
      </c>
      <c r="AX1222" s="1452">
        <f t="shared" si="650"/>
        <v>0</v>
      </c>
      <c r="AY1222" s="1452">
        <f t="shared" si="651"/>
        <v>0</v>
      </c>
      <c r="AZ1222" s="1452">
        <f t="shared" si="652"/>
        <v>0</v>
      </c>
      <c r="BA1222" s="1452">
        <f t="shared" si="653"/>
        <v>0</v>
      </c>
      <c r="BB1222" s="1452">
        <f t="shared" si="654"/>
        <v>0</v>
      </c>
      <c r="BC1222" s="1452">
        <f t="shared" si="655"/>
        <v>0</v>
      </c>
      <c r="BD1222" s="1452">
        <f t="shared" si="656"/>
        <v>0</v>
      </c>
      <c r="BE1222" s="1452">
        <f t="shared" si="657"/>
        <v>0</v>
      </c>
      <c r="BF1222" s="1452">
        <f t="shared" si="658"/>
        <v>0</v>
      </c>
      <c r="BG1222" s="1452">
        <f t="shared" si="659"/>
        <v>0</v>
      </c>
      <c r="BH1222" s="1452">
        <f t="shared" si="660"/>
        <v>0</v>
      </c>
      <c r="BI1222" s="1452">
        <f t="shared" si="677"/>
        <v>0</v>
      </c>
      <c r="BJ1222" s="1452" t="str">
        <f t="shared" si="661"/>
        <v/>
      </c>
      <c r="BK1222" s="1452" t="str">
        <f t="shared" si="662"/>
        <v/>
      </c>
      <c r="BL1222" s="1452" t="str">
        <f t="shared" si="663"/>
        <v/>
      </c>
      <c r="BM1222" s="1452" t="str">
        <f t="shared" si="664"/>
        <v/>
      </c>
      <c r="BN1222" s="1452" t="str">
        <f t="shared" ca="1" si="665"/>
        <v/>
      </c>
      <c r="BO1222" s="1452" t="str">
        <f t="shared" si="678"/>
        <v/>
      </c>
      <c r="BP1222" s="1452" t="str">
        <f t="shared" si="666"/>
        <v/>
      </c>
      <c r="BQ1222" s="1452" t="str">
        <f t="shared" si="667"/>
        <v/>
      </c>
      <c r="BR1222" s="1452" t="str">
        <f t="shared" si="668"/>
        <v/>
      </c>
      <c r="BS1222" s="1452" t="str">
        <f t="shared" si="669"/>
        <v/>
      </c>
      <c r="BT1222" s="1452" t="str">
        <f t="shared" si="670"/>
        <v/>
      </c>
      <c r="BU1222" s="1452" t="str">
        <f t="shared" si="671"/>
        <v/>
      </c>
      <c r="BV1222" s="1452" t="str">
        <f t="shared" si="672"/>
        <v/>
      </c>
      <c r="BW1222" s="1558">
        <f t="shared" ca="1" si="679"/>
        <v>0</v>
      </c>
    </row>
    <row r="1223" spans="1:75" s="9" customFormat="1" ht="12.5">
      <c r="A1223" s="1483" t="str">
        <f t="shared" si="673"/>
        <v>Public Health Wales Trust</v>
      </c>
      <c r="B1223" s="1583"/>
      <c r="C1223" s="1583"/>
      <c r="D1223" s="1583"/>
      <c r="E1223" s="1581"/>
      <c r="F1223" s="1436"/>
      <c r="G1223" s="1547">
        <f t="shared" si="674"/>
        <v>0</v>
      </c>
      <c r="H1223" s="1484"/>
      <c r="I1223" s="1547">
        <f t="shared" si="675"/>
        <v>0</v>
      </c>
      <c r="J1223" s="1516"/>
      <c r="K1223" s="1516"/>
      <c r="L1223" s="1436"/>
      <c r="M1223" s="1439"/>
      <c r="N1223" s="1439"/>
      <c r="O1223" s="1485"/>
      <c r="P1223" s="1486"/>
      <c r="Q1223" s="1486"/>
      <c r="R1223" s="1487"/>
      <c r="S1223" s="1444"/>
      <c r="T1223" s="1444"/>
      <c r="U1223" s="1444"/>
      <c r="V1223" s="1488"/>
      <c r="W1223" s="1488"/>
      <c r="X1223" s="1488"/>
      <c r="Y1223" s="1488"/>
      <c r="Z1223" s="1488"/>
      <c r="AA1223" s="1488"/>
      <c r="AB1223" s="1488"/>
      <c r="AC1223" s="1488"/>
      <c r="AD1223" s="1488"/>
      <c r="AE1223" s="1488"/>
      <c r="AF1223" s="1488"/>
      <c r="AG1223" s="1488"/>
      <c r="AH1223" s="1451">
        <f t="shared" si="647"/>
        <v>0</v>
      </c>
      <c r="AI1223" s="1488"/>
      <c r="AJ1223" s="1488"/>
      <c r="AK1223" s="1488"/>
      <c r="AL1223" s="1488"/>
      <c r="AM1223" s="1488"/>
      <c r="AN1223" s="1488"/>
      <c r="AO1223" s="1488"/>
      <c r="AP1223" s="1488"/>
      <c r="AQ1223" s="1488"/>
      <c r="AR1223" s="1488"/>
      <c r="AS1223" s="1488"/>
      <c r="AT1223" s="1542"/>
      <c r="AU1223" s="1599">
        <f t="shared" si="648"/>
        <v>0</v>
      </c>
      <c r="AV1223" s="1544">
        <f t="shared" si="676"/>
        <v>0</v>
      </c>
      <c r="AW1223" s="1452">
        <f t="shared" si="649"/>
        <v>0</v>
      </c>
      <c r="AX1223" s="1452">
        <f t="shared" si="650"/>
        <v>0</v>
      </c>
      <c r="AY1223" s="1452">
        <f t="shared" si="651"/>
        <v>0</v>
      </c>
      <c r="AZ1223" s="1452">
        <f t="shared" si="652"/>
        <v>0</v>
      </c>
      <c r="BA1223" s="1452">
        <f t="shared" si="653"/>
        <v>0</v>
      </c>
      <c r="BB1223" s="1452">
        <f t="shared" si="654"/>
        <v>0</v>
      </c>
      <c r="BC1223" s="1452">
        <f t="shared" si="655"/>
        <v>0</v>
      </c>
      <c r="BD1223" s="1452">
        <f t="shared" si="656"/>
        <v>0</v>
      </c>
      <c r="BE1223" s="1452">
        <f t="shared" si="657"/>
        <v>0</v>
      </c>
      <c r="BF1223" s="1452">
        <f t="shared" si="658"/>
        <v>0</v>
      </c>
      <c r="BG1223" s="1452">
        <f t="shared" si="659"/>
        <v>0</v>
      </c>
      <c r="BH1223" s="1452">
        <f t="shared" si="660"/>
        <v>0</v>
      </c>
      <c r="BI1223" s="1452">
        <f t="shared" si="677"/>
        <v>0</v>
      </c>
      <c r="BJ1223" s="1452" t="str">
        <f t="shared" si="661"/>
        <v/>
      </c>
      <c r="BK1223" s="1452" t="str">
        <f t="shared" si="662"/>
        <v/>
      </c>
      <c r="BL1223" s="1452" t="str">
        <f t="shared" si="663"/>
        <v/>
      </c>
      <c r="BM1223" s="1452" t="str">
        <f t="shared" si="664"/>
        <v/>
      </c>
      <c r="BN1223" s="1452" t="str">
        <f t="shared" ca="1" si="665"/>
        <v/>
      </c>
      <c r="BO1223" s="1452" t="str">
        <f t="shared" si="678"/>
        <v/>
      </c>
      <c r="BP1223" s="1452" t="str">
        <f t="shared" si="666"/>
        <v/>
      </c>
      <c r="BQ1223" s="1452" t="str">
        <f t="shared" si="667"/>
        <v/>
      </c>
      <c r="BR1223" s="1452" t="str">
        <f t="shared" si="668"/>
        <v/>
      </c>
      <c r="BS1223" s="1452" t="str">
        <f t="shared" si="669"/>
        <v/>
      </c>
      <c r="BT1223" s="1452" t="str">
        <f t="shared" si="670"/>
        <v/>
      </c>
      <c r="BU1223" s="1452" t="str">
        <f t="shared" si="671"/>
        <v/>
      </c>
      <c r="BV1223" s="1452" t="str">
        <f t="shared" si="672"/>
        <v/>
      </c>
      <c r="BW1223" s="1558">
        <f t="shared" ca="1" si="679"/>
        <v>0</v>
      </c>
    </row>
    <row r="1224" spans="1:75" s="9" customFormat="1" ht="12.5">
      <c r="A1224" s="1483" t="str">
        <f t="shared" si="673"/>
        <v>Public Health Wales Trust</v>
      </c>
      <c r="B1224" s="1583"/>
      <c r="C1224" s="1583"/>
      <c r="D1224" s="1583"/>
      <c r="E1224" s="1581"/>
      <c r="F1224" s="1436"/>
      <c r="G1224" s="1547">
        <f t="shared" si="674"/>
        <v>0</v>
      </c>
      <c r="H1224" s="1484"/>
      <c r="I1224" s="1547">
        <f t="shared" si="675"/>
        <v>0</v>
      </c>
      <c r="J1224" s="1516"/>
      <c r="K1224" s="1516"/>
      <c r="L1224" s="1436"/>
      <c r="M1224" s="1439"/>
      <c r="N1224" s="1439"/>
      <c r="O1224" s="1485"/>
      <c r="P1224" s="1486"/>
      <c r="Q1224" s="1486"/>
      <c r="R1224" s="1487"/>
      <c r="S1224" s="1444"/>
      <c r="T1224" s="1444"/>
      <c r="U1224" s="1444"/>
      <c r="V1224" s="1488"/>
      <c r="W1224" s="1488"/>
      <c r="X1224" s="1488"/>
      <c r="Y1224" s="1488"/>
      <c r="Z1224" s="1488"/>
      <c r="AA1224" s="1488"/>
      <c r="AB1224" s="1488"/>
      <c r="AC1224" s="1488"/>
      <c r="AD1224" s="1488"/>
      <c r="AE1224" s="1488"/>
      <c r="AF1224" s="1488"/>
      <c r="AG1224" s="1488"/>
      <c r="AH1224" s="1451">
        <f t="shared" si="647"/>
        <v>0</v>
      </c>
      <c r="AI1224" s="1488"/>
      <c r="AJ1224" s="1488"/>
      <c r="AK1224" s="1488"/>
      <c r="AL1224" s="1488"/>
      <c r="AM1224" s="1488"/>
      <c r="AN1224" s="1488"/>
      <c r="AO1224" s="1488"/>
      <c r="AP1224" s="1488"/>
      <c r="AQ1224" s="1488"/>
      <c r="AR1224" s="1488"/>
      <c r="AS1224" s="1488"/>
      <c r="AT1224" s="1542"/>
      <c r="AU1224" s="1599">
        <f t="shared" si="648"/>
        <v>0</v>
      </c>
      <c r="AV1224" s="1544">
        <f t="shared" si="676"/>
        <v>0</v>
      </c>
      <c r="AW1224" s="1452">
        <f t="shared" si="649"/>
        <v>0</v>
      </c>
      <c r="AX1224" s="1452">
        <f t="shared" si="650"/>
        <v>0</v>
      </c>
      <c r="AY1224" s="1452">
        <f t="shared" si="651"/>
        <v>0</v>
      </c>
      <c r="AZ1224" s="1452">
        <f t="shared" si="652"/>
        <v>0</v>
      </c>
      <c r="BA1224" s="1452">
        <f t="shared" si="653"/>
        <v>0</v>
      </c>
      <c r="BB1224" s="1452">
        <f t="shared" si="654"/>
        <v>0</v>
      </c>
      <c r="BC1224" s="1452">
        <f t="shared" si="655"/>
        <v>0</v>
      </c>
      <c r="BD1224" s="1452">
        <f t="shared" si="656"/>
        <v>0</v>
      </c>
      <c r="BE1224" s="1452">
        <f t="shared" si="657"/>
        <v>0</v>
      </c>
      <c r="BF1224" s="1452">
        <f t="shared" si="658"/>
        <v>0</v>
      </c>
      <c r="BG1224" s="1452">
        <f t="shared" si="659"/>
        <v>0</v>
      </c>
      <c r="BH1224" s="1452">
        <f t="shared" si="660"/>
        <v>0</v>
      </c>
      <c r="BI1224" s="1452">
        <f t="shared" si="677"/>
        <v>0</v>
      </c>
      <c r="BJ1224" s="1452" t="str">
        <f t="shared" si="661"/>
        <v/>
      </c>
      <c r="BK1224" s="1452" t="str">
        <f t="shared" si="662"/>
        <v/>
      </c>
      <c r="BL1224" s="1452" t="str">
        <f t="shared" si="663"/>
        <v/>
      </c>
      <c r="BM1224" s="1452" t="str">
        <f t="shared" si="664"/>
        <v/>
      </c>
      <c r="BN1224" s="1452" t="str">
        <f t="shared" ca="1" si="665"/>
        <v/>
      </c>
      <c r="BO1224" s="1452" t="str">
        <f t="shared" si="678"/>
        <v/>
      </c>
      <c r="BP1224" s="1452" t="str">
        <f t="shared" si="666"/>
        <v/>
      </c>
      <c r="BQ1224" s="1452" t="str">
        <f t="shared" si="667"/>
        <v/>
      </c>
      <c r="BR1224" s="1452" t="str">
        <f t="shared" si="668"/>
        <v/>
      </c>
      <c r="BS1224" s="1452" t="str">
        <f t="shared" si="669"/>
        <v/>
      </c>
      <c r="BT1224" s="1452" t="str">
        <f t="shared" si="670"/>
        <v/>
      </c>
      <c r="BU1224" s="1452" t="str">
        <f t="shared" si="671"/>
        <v/>
      </c>
      <c r="BV1224" s="1452" t="str">
        <f t="shared" si="672"/>
        <v/>
      </c>
      <c r="BW1224" s="1558">
        <f t="shared" ca="1" si="679"/>
        <v>0</v>
      </c>
    </row>
    <row r="1225" spans="1:75" s="9" customFormat="1" ht="12.5">
      <c r="A1225" s="1483" t="str">
        <f t="shared" si="673"/>
        <v>Public Health Wales Trust</v>
      </c>
      <c r="B1225" s="1583"/>
      <c r="C1225" s="1583"/>
      <c r="D1225" s="1583"/>
      <c r="E1225" s="1581"/>
      <c r="F1225" s="1436"/>
      <c r="G1225" s="1547">
        <f t="shared" si="674"/>
        <v>0</v>
      </c>
      <c r="H1225" s="1484"/>
      <c r="I1225" s="1547">
        <f t="shared" si="675"/>
        <v>0</v>
      </c>
      <c r="J1225" s="1516"/>
      <c r="K1225" s="1516"/>
      <c r="L1225" s="1436"/>
      <c r="M1225" s="1439"/>
      <c r="N1225" s="1439"/>
      <c r="O1225" s="1485"/>
      <c r="P1225" s="1486"/>
      <c r="Q1225" s="1486"/>
      <c r="R1225" s="1487"/>
      <c r="S1225" s="1444"/>
      <c r="T1225" s="1444"/>
      <c r="U1225" s="1444"/>
      <c r="V1225" s="1488"/>
      <c r="W1225" s="1488"/>
      <c r="X1225" s="1488"/>
      <c r="Y1225" s="1488"/>
      <c r="Z1225" s="1488"/>
      <c r="AA1225" s="1488"/>
      <c r="AB1225" s="1488"/>
      <c r="AC1225" s="1488"/>
      <c r="AD1225" s="1488"/>
      <c r="AE1225" s="1488"/>
      <c r="AF1225" s="1488"/>
      <c r="AG1225" s="1488"/>
      <c r="AH1225" s="1451">
        <f t="shared" si="647"/>
        <v>0</v>
      </c>
      <c r="AI1225" s="1488"/>
      <c r="AJ1225" s="1488"/>
      <c r="AK1225" s="1488"/>
      <c r="AL1225" s="1488"/>
      <c r="AM1225" s="1488"/>
      <c r="AN1225" s="1488"/>
      <c r="AO1225" s="1488"/>
      <c r="AP1225" s="1488"/>
      <c r="AQ1225" s="1488"/>
      <c r="AR1225" s="1488"/>
      <c r="AS1225" s="1488"/>
      <c r="AT1225" s="1542"/>
      <c r="AU1225" s="1599">
        <f t="shared" si="648"/>
        <v>0</v>
      </c>
      <c r="AV1225" s="1544">
        <f t="shared" si="676"/>
        <v>0</v>
      </c>
      <c r="AW1225" s="1452">
        <f t="shared" si="649"/>
        <v>0</v>
      </c>
      <c r="AX1225" s="1452">
        <f t="shared" si="650"/>
        <v>0</v>
      </c>
      <c r="AY1225" s="1452">
        <f t="shared" si="651"/>
        <v>0</v>
      </c>
      <c r="AZ1225" s="1452">
        <f t="shared" si="652"/>
        <v>0</v>
      </c>
      <c r="BA1225" s="1452">
        <f t="shared" si="653"/>
        <v>0</v>
      </c>
      <c r="BB1225" s="1452">
        <f t="shared" si="654"/>
        <v>0</v>
      </c>
      <c r="BC1225" s="1452">
        <f t="shared" si="655"/>
        <v>0</v>
      </c>
      <c r="BD1225" s="1452">
        <f t="shared" si="656"/>
        <v>0</v>
      </c>
      <c r="BE1225" s="1452">
        <f t="shared" si="657"/>
        <v>0</v>
      </c>
      <c r="BF1225" s="1452">
        <f t="shared" si="658"/>
        <v>0</v>
      </c>
      <c r="BG1225" s="1452">
        <f t="shared" si="659"/>
        <v>0</v>
      </c>
      <c r="BH1225" s="1452">
        <f t="shared" si="660"/>
        <v>0</v>
      </c>
      <c r="BI1225" s="1452">
        <f t="shared" si="677"/>
        <v>0</v>
      </c>
      <c r="BJ1225" s="1452" t="str">
        <f t="shared" si="661"/>
        <v/>
      </c>
      <c r="BK1225" s="1452" t="str">
        <f t="shared" si="662"/>
        <v/>
      </c>
      <c r="BL1225" s="1452" t="str">
        <f t="shared" si="663"/>
        <v/>
      </c>
      <c r="BM1225" s="1452" t="str">
        <f t="shared" si="664"/>
        <v/>
      </c>
      <c r="BN1225" s="1452" t="str">
        <f t="shared" ca="1" si="665"/>
        <v/>
      </c>
      <c r="BO1225" s="1452" t="str">
        <f t="shared" si="678"/>
        <v/>
      </c>
      <c r="BP1225" s="1452" t="str">
        <f t="shared" si="666"/>
        <v/>
      </c>
      <c r="BQ1225" s="1452" t="str">
        <f t="shared" si="667"/>
        <v/>
      </c>
      <c r="BR1225" s="1452" t="str">
        <f t="shared" si="668"/>
        <v/>
      </c>
      <c r="BS1225" s="1452" t="str">
        <f t="shared" si="669"/>
        <v/>
      </c>
      <c r="BT1225" s="1452" t="str">
        <f t="shared" si="670"/>
        <v/>
      </c>
      <c r="BU1225" s="1452" t="str">
        <f t="shared" si="671"/>
        <v/>
      </c>
      <c r="BV1225" s="1452" t="str">
        <f t="shared" si="672"/>
        <v/>
      </c>
      <c r="BW1225" s="1558">
        <f t="shared" ca="1" si="679"/>
        <v>0</v>
      </c>
    </row>
    <row r="1226" spans="1:75" s="9" customFormat="1" ht="12.5">
      <c r="A1226" s="1483" t="str">
        <f t="shared" si="673"/>
        <v>Public Health Wales Trust</v>
      </c>
      <c r="B1226" s="1583"/>
      <c r="C1226" s="1583"/>
      <c r="D1226" s="1583"/>
      <c r="E1226" s="1581"/>
      <c r="F1226" s="1436"/>
      <c r="G1226" s="1547">
        <f t="shared" si="674"/>
        <v>0</v>
      </c>
      <c r="H1226" s="1484"/>
      <c r="I1226" s="1547">
        <f t="shared" si="675"/>
        <v>0</v>
      </c>
      <c r="J1226" s="1516"/>
      <c r="K1226" s="1516"/>
      <c r="L1226" s="1436"/>
      <c r="M1226" s="1439"/>
      <c r="N1226" s="1439"/>
      <c r="O1226" s="1485"/>
      <c r="P1226" s="1486"/>
      <c r="Q1226" s="1486"/>
      <c r="R1226" s="1487"/>
      <c r="S1226" s="1444"/>
      <c r="T1226" s="1444"/>
      <c r="U1226" s="1444"/>
      <c r="V1226" s="1488"/>
      <c r="W1226" s="1488"/>
      <c r="X1226" s="1488"/>
      <c r="Y1226" s="1488"/>
      <c r="Z1226" s="1488"/>
      <c r="AA1226" s="1488"/>
      <c r="AB1226" s="1488"/>
      <c r="AC1226" s="1488"/>
      <c r="AD1226" s="1488"/>
      <c r="AE1226" s="1488"/>
      <c r="AF1226" s="1488"/>
      <c r="AG1226" s="1488"/>
      <c r="AH1226" s="1451">
        <f t="shared" si="647"/>
        <v>0</v>
      </c>
      <c r="AI1226" s="1488"/>
      <c r="AJ1226" s="1488"/>
      <c r="AK1226" s="1488"/>
      <c r="AL1226" s="1488"/>
      <c r="AM1226" s="1488"/>
      <c r="AN1226" s="1488"/>
      <c r="AO1226" s="1488"/>
      <c r="AP1226" s="1488"/>
      <c r="AQ1226" s="1488"/>
      <c r="AR1226" s="1488"/>
      <c r="AS1226" s="1488"/>
      <c r="AT1226" s="1542"/>
      <c r="AU1226" s="1599">
        <f t="shared" si="648"/>
        <v>0</v>
      </c>
      <c r="AV1226" s="1544">
        <f t="shared" si="676"/>
        <v>0</v>
      </c>
      <c r="AW1226" s="1452">
        <f t="shared" si="649"/>
        <v>0</v>
      </c>
      <c r="AX1226" s="1452">
        <f t="shared" si="650"/>
        <v>0</v>
      </c>
      <c r="AY1226" s="1452">
        <f t="shared" si="651"/>
        <v>0</v>
      </c>
      <c r="AZ1226" s="1452">
        <f t="shared" si="652"/>
        <v>0</v>
      </c>
      <c r="BA1226" s="1452">
        <f t="shared" si="653"/>
        <v>0</v>
      </c>
      <c r="BB1226" s="1452">
        <f t="shared" si="654"/>
        <v>0</v>
      </c>
      <c r="BC1226" s="1452">
        <f t="shared" si="655"/>
        <v>0</v>
      </c>
      <c r="BD1226" s="1452">
        <f t="shared" si="656"/>
        <v>0</v>
      </c>
      <c r="BE1226" s="1452">
        <f t="shared" si="657"/>
        <v>0</v>
      </c>
      <c r="BF1226" s="1452">
        <f t="shared" si="658"/>
        <v>0</v>
      </c>
      <c r="BG1226" s="1452">
        <f t="shared" si="659"/>
        <v>0</v>
      </c>
      <c r="BH1226" s="1452">
        <f t="shared" si="660"/>
        <v>0</v>
      </c>
      <c r="BI1226" s="1452">
        <f t="shared" si="677"/>
        <v>0</v>
      </c>
      <c r="BJ1226" s="1452" t="str">
        <f t="shared" si="661"/>
        <v/>
      </c>
      <c r="BK1226" s="1452" t="str">
        <f t="shared" si="662"/>
        <v/>
      </c>
      <c r="BL1226" s="1452" t="str">
        <f t="shared" si="663"/>
        <v/>
      </c>
      <c r="BM1226" s="1452" t="str">
        <f t="shared" si="664"/>
        <v/>
      </c>
      <c r="BN1226" s="1452" t="str">
        <f t="shared" ca="1" si="665"/>
        <v/>
      </c>
      <c r="BO1226" s="1452" t="str">
        <f t="shared" si="678"/>
        <v/>
      </c>
      <c r="BP1226" s="1452" t="str">
        <f t="shared" si="666"/>
        <v/>
      </c>
      <c r="BQ1226" s="1452" t="str">
        <f t="shared" si="667"/>
        <v/>
      </c>
      <c r="BR1226" s="1452" t="str">
        <f t="shared" si="668"/>
        <v/>
      </c>
      <c r="BS1226" s="1452" t="str">
        <f t="shared" si="669"/>
        <v/>
      </c>
      <c r="BT1226" s="1452" t="str">
        <f t="shared" si="670"/>
        <v/>
      </c>
      <c r="BU1226" s="1452" t="str">
        <f t="shared" si="671"/>
        <v/>
      </c>
      <c r="BV1226" s="1452" t="str">
        <f t="shared" si="672"/>
        <v/>
      </c>
      <c r="BW1226" s="1558">
        <f t="shared" ca="1" si="679"/>
        <v>0</v>
      </c>
    </row>
    <row r="1227" spans="1:75" s="9" customFormat="1" ht="12.5">
      <c r="A1227" s="1483" t="str">
        <f t="shared" si="673"/>
        <v>Public Health Wales Trust</v>
      </c>
      <c r="B1227" s="1583"/>
      <c r="C1227" s="1583"/>
      <c r="D1227" s="1583"/>
      <c r="E1227" s="1581"/>
      <c r="F1227" s="1436"/>
      <c r="G1227" s="1547">
        <f t="shared" si="674"/>
        <v>0</v>
      </c>
      <c r="H1227" s="1484"/>
      <c r="I1227" s="1547">
        <f t="shared" si="675"/>
        <v>0</v>
      </c>
      <c r="J1227" s="1516"/>
      <c r="K1227" s="1516"/>
      <c r="L1227" s="1436"/>
      <c r="M1227" s="1439"/>
      <c r="N1227" s="1439"/>
      <c r="O1227" s="1485"/>
      <c r="P1227" s="1486"/>
      <c r="Q1227" s="1486"/>
      <c r="R1227" s="1487"/>
      <c r="S1227" s="1444"/>
      <c r="T1227" s="1444"/>
      <c r="U1227" s="1444"/>
      <c r="V1227" s="1488"/>
      <c r="W1227" s="1488"/>
      <c r="X1227" s="1488"/>
      <c r="Y1227" s="1488"/>
      <c r="Z1227" s="1488"/>
      <c r="AA1227" s="1488"/>
      <c r="AB1227" s="1488"/>
      <c r="AC1227" s="1488"/>
      <c r="AD1227" s="1488"/>
      <c r="AE1227" s="1488"/>
      <c r="AF1227" s="1488"/>
      <c r="AG1227" s="1488"/>
      <c r="AH1227" s="1451">
        <f t="shared" si="647"/>
        <v>0</v>
      </c>
      <c r="AI1227" s="1488"/>
      <c r="AJ1227" s="1488"/>
      <c r="AK1227" s="1488"/>
      <c r="AL1227" s="1488"/>
      <c r="AM1227" s="1488"/>
      <c r="AN1227" s="1488"/>
      <c r="AO1227" s="1488"/>
      <c r="AP1227" s="1488"/>
      <c r="AQ1227" s="1488"/>
      <c r="AR1227" s="1488"/>
      <c r="AS1227" s="1488"/>
      <c r="AT1227" s="1542"/>
      <c r="AU1227" s="1599">
        <f t="shared" si="648"/>
        <v>0</v>
      </c>
      <c r="AV1227" s="1544">
        <f t="shared" si="676"/>
        <v>0</v>
      </c>
      <c r="AW1227" s="1452">
        <f t="shared" si="649"/>
        <v>0</v>
      </c>
      <c r="AX1227" s="1452">
        <f t="shared" si="650"/>
        <v>0</v>
      </c>
      <c r="AY1227" s="1452">
        <f t="shared" si="651"/>
        <v>0</v>
      </c>
      <c r="AZ1227" s="1452">
        <f t="shared" si="652"/>
        <v>0</v>
      </c>
      <c r="BA1227" s="1452">
        <f t="shared" si="653"/>
        <v>0</v>
      </c>
      <c r="BB1227" s="1452">
        <f t="shared" si="654"/>
        <v>0</v>
      </c>
      <c r="BC1227" s="1452">
        <f t="shared" si="655"/>
        <v>0</v>
      </c>
      <c r="BD1227" s="1452">
        <f t="shared" si="656"/>
        <v>0</v>
      </c>
      <c r="BE1227" s="1452">
        <f t="shared" si="657"/>
        <v>0</v>
      </c>
      <c r="BF1227" s="1452">
        <f t="shared" si="658"/>
        <v>0</v>
      </c>
      <c r="BG1227" s="1452">
        <f t="shared" si="659"/>
        <v>0</v>
      </c>
      <c r="BH1227" s="1452">
        <f t="shared" si="660"/>
        <v>0</v>
      </c>
      <c r="BI1227" s="1452">
        <f t="shared" si="677"/>
        <v>0</v>
      </c>
      <c r="BJ1227" s="1452" t="str">
        <f t="shared" si="661"/>
        <v/>
      </c>
      <c r="BK1227" s="1452" t="str">
        <f t="shared" si="662"/>
        <v/>
      </c>
      <c r="BL1227" s="1452" t="str">
        <f t="shared" si="663"/>
        <v/>
      </c>
      <c r="BM1227" s="1452" t="str">
        <f t="shared" si="664"/>
        <v/>
      </c>
      <c r="BN1227" s="1452" t="str">
        <f t="shared" ca="1" si="665"/>
        <v/>
      </c>
      <c r="BO1227" s="1452" t="str">
        <f t="shared" si="678"/>
        <v/>
      </c>
      <c r="BP1227" s="1452" t="str">
        <f t="shared" si="666"/>
        <v/>
      </c>
      <c r="BQ1227" s="1452" t="str">
        <f t="shared" si="667"/>
        <v/>
      </c>
      <c r="BR1227" s="1452" t="str">
        <f t="shared" si="668"/>
        <v/>
      </c>
      <c r="BS1227" s="1452" t="str">
        <f t="shared" si="669"/>
        <v/>
      </c>
      <c r="BT1227" s="1452" t="str">
        <f t="shared" si="670"/>
        <v/>
      </c>
      <c r="BU1227" s="1452" t="str">
        <f t="shared" si="671"/>
        <v/>
      </c>
      <c r="BV1227" s="1452" t="str">
        <f t="shared" si="672"/>
        <v/>
      </c>
      <c r="BW1227" s="1558">
        <f t="shared" ca="1" si="679"/>
        <v>0</v>
      </c>
    </row>
    <row r="1228" spans="1:75" s="9" customFormat="1" ht="12.5">
      <c r="A1228" s="1483" t="str">
        <f t="shared" si="673"/>
        <v>Public Health Wales Trust</v>
      </c>
      <c r="B1228" s="1583"/>
      <c r="C1228" s="1583"/>
      <c r="D1228" s="1583"/>
      <c r="E1228" s="1581"/>
      <c r="F1228" s="1436"/>
      <c r="G1228" s="1547">
        <f t="shared" si="674"/>
        <v>0</v>
      </c>
      <c r="H1228" s="1484"/>
      <c r="I1228" s="1547">
        <f t="shared" si="675"/>
        <v>0</v>
      </c>
      <c r="J1228" s="1516"/>
      <c r="K1228" s="1516"/>
      <c r="L1228" s="1436"/>
      <c r="M1228" s="1439"/>
      <c r="N1228" s="1439"/>
      <c r="O1228" s="1485"/>
      <c r="P1228" s="1486"/>
      <c r="Q1228" s="1486"/>
      <c r="R1228" s="1487"/>
      <c r="S1228" s="1444"/>
      <c r="T1228" s="1444"/>
      <c r="U1228" s="1444"/>
      <c r="V1228" s="1488"/>
      <c r="W1228" s="1488"/>
      <c r="X1228" s="1488"/>
      <c r="Y1228" s="1488"/>
      <c r="Z1228" s="1488"/>
      <c r="AA1228" s="1488"/>
      <c r="AB1228" s="1488"/>
      <c r="AC1228" s="1488"/>
      <c r="AD1228" s="1488"/>
      <c r="AE1228" s="1488"/>
      <c r="AF1228" s="1488"/>
      <c r="AG1228" s="1488"/>
      <c r="AH1228" s="1451">
        <f t="shared" si="647"/>
        <v>0</v>
      </c>
      <c r="AI1228" s="1488"/>
      <c r="AJ1228" s="1488"/>
      <c r="AK1228" s="1488"/>
      <c r="AL1228" s="1488"/>
      <c r="AM1228" s="1488"/>
      <c r="AN1228" s="1488"/>
      <c r="AO1228" s="1488"/>
      <c r="AP1228" s="1488"/>
      <c r="AQ1228" s="1488"/>
      <c r="AR1228" s="1488"/>
      <c r="AS1228" s="1488"/>
      <c r="AT1228" s="1542"/>
      <c r="AU1228" s="1599">
        <f t="shared" si="648"/>
        <v>0</v>
      </c>
      <c r="AV1228" s="1544">
        <f t="shared" si="676"/>
        <v>0</v>
      </c>
      <c r="AW1228" s="1452">
        <f t="shared" si="649"/>
        <v>0</v>
      </c>
      <c r="AX1228" s="1452">
        <f t="shared" si="650"/>
        <v>0</v>
      </c>
      <c r="AY1228" s="1452">
        <f t="shared" si="651"/>
        <v>0</v>
      </c>
      <c r="AZ1228" s="1452">
        <f t="shared" si="652"/>
        <v>0</v>
      </c>
      <c r="BA1228" s="1452">
        <f t="shared" si="653"/>
        <v>0</v>
      </c>
      <c r="BB1228" s="1452">
        <f t="shared" si="654"/>
        <v>0</v>
      </c>
      <c r="BC1228" s="1452">
        <f t="shared" si="655"/>
        <v>0</v>
      </c>
      <c r="BD1228" s="1452">
        <f t="shared" si="656"/>
        <v>0</v>
      </c>
      <c r="BE1228" s="1452">
        <f t="shared" si="657"/>
        <v>0</v>
      </c>
      <c r="BF1228" s="1452">
        <f t="shared" si="658"/>
        <v>0</v>
      </c>
      <c r="BG1228" s="1452">
        <f t="shared" si="659"/>
        <v>0</v>
      </c>
      <c r="BH1228" s="1452">
        <f t="shared" si="660"/>
        <v>0</v>
      </c>
      <c r="BI1228" s="1452">
        <f t="shared" si="677"/>
        <v>0</v>
      </c>
      <c r="BJ1228" s="1452" t="str">
        <f t="shared" si="661"/>
        <v/>
      </c>
      <c r="BK1228" s="1452" t="str">
        <f t="shared" si="662"/>
        <v/>
      </c>
      <c r="BL1228" s="1452" t="str">
        <f t="shared" si="663"/>
        <v/>
      </c>
      <c r="BM1228" s="1452" t="str">
        <f t="shared" si="664"/>
        <v/>
      </c>
      <c r="BN1228" s="1452" t="str">
        <f t="shared" ca="1" si="665"/>
        <v/>
      </c>
      <c r="BO1228" s="1452" t="str">
        <f t="shared" si="678"/>
        <v/>
      </c>
      <c r="BP1228" s="1452" t="str">
        <f t="shared" si="666"/>
        <v/>
      </c>
      <c r="BQ1228" s="1452" t="str">
        <f t="shared" si="667"/>
        <v/>
      </c>
      <c r="BR1228" s="1452" t="str">
        <f t="shared" si="668"/>
        <v/>
      </c>
      <c r="BS1228" s="1452" t="str">
        <f t="shared" si="669"/>
        <v/>
      </c>
      <c r="BT1228" s="1452" t="str">
        <f t="shared" si="670"/>
        <v/>
      </c>
      <c r="BU1228" s="1452" t="str">
        <f t="shared" si="671"/>
        <v/>
      </c>
      <c r="BV1228" s="1452" t="str">
        <f t="shared" si="672"/>
        <v/>
      </c>
      <c r="BW1228" s="1558">
        <f t="shared" ca="1" si="679"/>
        <v>0</v>
      </c>
    </row>
    <row r="1229" spans="1:75" s="9" customFormat="1" ht="12.5">
      <c r="A1229" s="1483" t="str">
        <f t="shared" si="673"/>
        <v>Public Health Wales Trust</v>
      </c>
      <c r="B1229" s="1583"/>
      <c r="C1229" s="1583"/>
      <c r="D1229" s="1583"/>
      <c r="E1229" s="1581"/>
      <c r="F1229" s="1436"/>
      <c r="G1229" s="1547">
        <f t="shared" si="674"/>
        <v>0</v>
      </c>
      <c r="H1229" s="1484"/>
      <c r="I1229" s="1547">
        <f t="shared" si="675"/>
        <v>0</v>
      </c>
      <c r="J1229" s="1516"/>
      <c r="K1229" s="1516"/>
      <c r="L1229" s="1436"/>
      <c r="M1229" s="1439"/>
      <c r="N1229" s="1439"/>
      <c r="O1229" s="1485"/>
      <c r="P1229" s="1486"/>
      <c r="Q1229" s="1486"/>
      <c r="R1229" s="1487"/>
      <c r="S1229" s="1444"/>
      <c r="T1229" s="1444"/>
      <c r="U1229" s="1444"/>
      <c r="V1229" s="1488"/>
      <c r="W1229" s="1488"/>
      <c r="X1229" s="1488"/>
      <c r="Y1229" s="1488"/>
      <c r="Z1229" s="1488"/>
      <c r="AA1229" s="1488"/>
      <c r="AB1229" s="1488"/>
      <c r="AC1229" s="1488"/>
      <c r="AD1229" s="1488"/>
      <c r="AE1229" s="1488"/>
      <c r="AF1229" s="1488"/>
      <c r="AG1229" s="1488"/>
      <c r="AH1229" s="1451">
        <f t="shared" si="647"/>
        <v>0</v>
      </c>
      <c r="AI1229" s="1488"/>
      <c r="AJ1229" s="1488"/>
      <c r="AK1229" s="1488"/>
      <c r="AL1229" s="1488"/>
      <c r="AM1229" s="1488"/>
      <c r="AN1229" s="1488"/>
      <c r="AO1229" s="1488"/>
      <c r="AP1229" s="1488"/>
      <c r="AQ1229" s="1488"/>
      <c r="AR1229" s="1488"/>
      <c r="AS1229" s="1488"/>
      <c r="AT1229" s="1542"/>
      <c r="AU1229" s="1599">
        <f t="shared" si="648"/>
        <v>0</v>
      </c>
      <c r="AV1229" s="1544">
        <f t="shared" si="676"/>
        <v>0</v>
      </c>
      <c r="AW1229" s="1452">
        <f t="shared" si="649"/>
        <v>0</v>
      </c>
      <c r="AX1229" s="1452">
        <f t="shared" si="650"/>
        <v>0</v>
      </c>
      <c r="AY1229" s="1452">
        <f t="shared" si="651"/>
        <v>0</v>
      </c>
      <c r="AZ1229" s="1452">
        <f t="shared" si="652"/>
        <v>0</v>
      </c>
      <c r="BA1229" s="1452">
        <f t="shared" si="653"/>
        <v>0</v>
      </c>
      <c r="BB1229" s="1452">
        <f t="shared" si="654"/>
        <v>0</v>
      </c>
      <c r="BC1229" s="1452">
        <f t="shared" si="655"/>
        <v>0</v>
      </c>
      <c r="BD1229" s="1452">
        <f t="shared" si="656"/>
        <v>0</v>
      </c>
      <c r="BE1229" s="1452">
        <f t="shared" si="657"/>
        <v>0</v>
      </c>
      <c r="BF1229" s="1452">
        <f t="shared" si="658"/>
        <v>0</v>
      </c>
      <c r="BG1229" s="1452">
        <f t="shared" si="659"/>
        <v>0</v>
      </c>
      <c r="BH1229" s="1452">
        <f t="shared" si="660"/>
        <v>0</v>
      </c>
      <c r="BI1229" s="1452">
        <f t="shared" si="677"/>
        <v>0</v>
      </c>
      <c r="BJ1229" s="1452" t="str">
        <f t="shared" si="661"/>
        <v/>
      </c>
      <c r="BK1229" s="1452" t="str">
        <f t="shared" si="662"/>
        <v/>
      </c>
      <c r="BL1229" s="1452" t="str">
        <f t="shared" si="663"/>
        <v/>
      </c>
      <c r="BM1229" s="1452" t="str">
        <f t="shared" si="664"/>
        <v/>
      </c>
      <c r="BN1229" s="1452" t="str">
        <f t="shared" ca="1" si="665"/>
        <v/>
      </c>
      <c r="BO1229" s="1452" t="str">
        <f t="shared" si="678"/>
        <v/>
      </c>
      <c r="BP1229" s="1452" t="str">
        <f t="shared" si="666"/>
        <v/>
      </c>
      <c r="BQ1229" s="1452" t="str">
        <f t="shared" si="667"/>
        <v/>
      </c>
      <c r="BR1229" s="1452" t="str">
        <f t="shared" si="668"/>
        <v/>
      </c>
      <c r="BS1229" s="1452" t="str">
        <f t="shared" si="669"/>
        <v/>
      </c>
      <c r="BT1229" s="1452" t="str">
        <f t="shared" si="670"/>
        <v/>
      </c>
      <c r="BU1229" s="1452" t="str">
        <f t="shared" si="671"/>
        <v/>
      </c>
      <c r="BV1229" s="1452" t="str">
        <f t="shared" si="672"/>
        <v/>
      </c>
      <c r="BW1229" s="1558">
        <f t="shared" ca="1" si="679"/>
        <v>0</v>
      </c>
    </row>
    <row r="1230" spans="1:75" s="9" customFormat="1" ht="12.5">
      <c r="A1230" s="1483" t="str">
        <f t="shared" si="673"/>
        <v>Public Health Wales Trust</v>
      </c>
      <c r="B1230" s="1583"/>
      <c r="C1230" s="1583"/>
      <c r="D1230" s="1583"/>
      <c r="E1230" s="1581"/>
      <c r="F1230" s="1436"/>
      <c r="G1230" s="1547">
        <f t="shared" si="674"/>
        <v>0</v>
      </c>
      <c r="H1230" s="1484"/>
      <c r="I1230" s="1547">
        <f t="shared" si="675"/>
        <v>0</v>
      </c>
      <c r="J1230" s="1516"/>
      <c r="K1230" s="1516"/>
      <c r="L1230" s="1436"/>
      <c r="M1230" s="1439"/>
      <c r="N1230" s="1439"/>
      <c r="O1230" s="1485"/>
      <c r="P1230" s="1486"/>
      <c r="Q1230" s="1486"/>
      <c r="R1230" s="1487"/>
      <c r="S1230" s="1444"/>
      <c r="T1230" s="1444"/>
      <c r="U1230" s="1444"/>
      <c r="V1230" s="1488"/>
      <c r="W1230" s="1488"/>
      <c r="X1230" s="1488"/>
      <c r="Y1230" s="1488"/>
      <c r="Z1230" s="1488"/>
      <c r="AA1230" s="1488"/>
      <c r="AB1230" s="1488"/>
      <c r="AC1230" s="1488"/>
      <c r="AD1230" s="1488"/>
      <c r="AE1230" s="1488"/>
      <c r="AF1230" s="1488"/>
      <c r="AG1230" s="1488"/>
      <c r="AH1230" s="1451">
        <f t="shared" si="647"/>
        <v>0</v>
      </c>
      <c r="AI1230" s="1488"/>
      <c r="AJ1230" s="1488"/>
      <c r="AK1230" s="1488"/>
      <c r="AL1230" s="1488"/>
      <c r="AM1230" s="1488"/>
      <c r="AN1230" s="1488"/>
      <c r="AO1230" s="1488"/>
      <c r="AP1230" s="1488"/>
      <c r="AQ1230" s="1488"/>
      <c r="AR1230" s="1488"/>
      <c r="AS1230" s="1488"/>
      <c r="AT1230" s="1542"/>
      <c r="AU1230" s="1599">
        <f t="shared" si="648"/>
        <v>0</v>
      </c>
      <c r="AV1230" s="1544">
        <f t="shared" si="676"/>
        <v>0</v>
      </c>
      <c r="AW1230" s="1452">
        <f t="shared" si="649"/>
        <v>0</v>
      </c>
      <c r="AX1230" s="1452">
        <f t="shared" si="650"/>
        <v>0</v>
      </c>
      <c r="AY1230" s="1452">
        <f t="shared" si="651"/>
        <v>0</v>
      </c>
      <c r="AZ1230" s="1452">
        <f t="shared" si="652"/>
        <v>0</v>
      </c>
      <c r="BA1230" s="1452">
        <f t="shared" si="653"/>
        <v>0</v>
      </c>
      <c r="BB1230" s="1452">
        <f t="shared" si="654"/>
        <v>0</v>
      </c>
      <c r="BC1230" s="1452">
        <f t="shared" si="655"/>
        <v>0</v>
      </c>
      <c r="BD1230" s="1452">
        <f t="shared" si="656"/>
        <v>0</v>
      </c>
      <c r="BE1230" s="1452">
        <f t="shared" si="657"/>
        <v>0</v>
      </c>
      <c r="BF1230" s="1452">
        <f t="shared" si="658"/>
        <v>0</v>
      </c>
      <c r="BG1230" s="1452">
        <f t="shared" si="659"/>
        <v>0</v>
      </c>
      <c r="BH1230" s="1452">
        <f t="shared" si="660"/>
        <v>0</v>
      </c>
      <c r="BI1230" s="1452">
        <f t="shared" si="677"/>
        <v>0</v>
      </c>
      <c r="BJ1230" s="1452" t="str">
        <f t="shared" si="661"/>
        <v/>
      </c>
      <c r="BK1230" s="1452" t="str">
        <f t="shared" si="662"/>
        <v/>
      </c>
      <c r="BL1230" s="1452" t="str">
        <f t="shared" si="663"/>
        <v/>
      </c>
      <c r="BM1230" s="1452" t="str">
        <f t="shared" si="664"/>
        <v/>
      </c>
      <c r="BN1230" s="1452" t="str">
        <f t="shared" ca="1" si="665"/>
        <v/>
      </c>
      <c r="BO1230" s="1452" t="str">
        <f t="shared" si="678"/>
        <v/>
      </c>
      <c r="BP1230" s="1452" t="str">
        <f t="shared" si="666"/>
        <v/>
      </c>
      <c r="BQ1230" s="1452" t="str">
        <f t="shared" si="667"/>
        <v/>
      </c>
      <c r="BR1230" s="1452" t="str">
        <f t="shared" si="668"/>
        <v/>
      </c>
      <c r="BS1230" s="1452" t="str">
        <f t="shared" si="669"/>
        <v/>
      </c>
      <c r="BT1230" s="1452" t="str">
        <f t="shared" si="670"/>
        <v/>
      </c>
      <c r="BU1230" s="1452" t="str">
        <f t="shared" si="671"/>
        <v/>
      </c>
      <c r="BV1230" s="1452" t="str">
        <f t="shared" si="672"/>
        <v/>
      </c>
      <c r="BW1230" s="1558">
        <f t="shared" ca="1" si="679"/>
        <v>0</v>
      </c>
    </row>
    <row r="1231" spans="1:75" s="9" customFormat="1" ht="12.5">
      <c r="A1231" s="1483" t="str">
        <f t="shared" si="673"/>
        <v>Public Health Wales Trust</v>
      </c>
      <c r="B1231" s="1583"/>
      <c r="C1231" s="1583"/>
      <c r="D1231" s="1583"/>
      <c r="E1231" s="1581"/>
      <c r="F1231" s="1436"/>
      <c r="G1231" s="1547">
        <f t="shared" si="674"/>
        <v>0</v>
      </c>
      <c r="H1231" s="1484"/>
      <c r="I1231" s="1547">
        <f t="shared" si="675"/>
        <v>0</v>
      </c>
      <c r="J1231" s="1516"/>
      <c r="K1231" s="1516"/>
      <c r="L1231" s="1436"/>
      <c r="M1231" s="1439"/>
      <c r="N1231" s="1439"/>
      <c r="O1231" s="1485"/>
      <c r="P1231" s="1486"/>
      <c r="Q1231" s="1486"/>
      <c r="R1231" s="1487"/>
      <c r="S1231" s="1444"/>
      <c r="T1231" s="1444"/>
      <c r="U1231" s="1444"/>
      <c r="V1231" s="1488"/>
      <c r="W1231" s="1488"/>
      <c r="X1231" s="1488"/>
      <c r="Y1231" s="1488"/>
      <c r="Z1231" s="1488"/>
      <c r="AA1231" s="1488"/>
      <c r="AB1231" s="1488"/>
      <c r="AC1231" s="1488"/>
      <c r="AD1231" s="1488"/>
      <c r="AE1231" s="1488"/>
      <c r="AF1231" s="1488"/>
      <c r="AG1231" s="1488"/>
      <c r="AH1231" s="1451">
        <f t="shared" si="647"/>
        <v>0</v>
      </c>
      <c r="AI1231" s="1488"/>
      <c r="AJ1231" s="1488"/>
      <c r="AK1231" s="1488"/>
      <c r="AL1231" s="1488"/>
      <c r="AM1231" s="1488"/>
      <c r="AN1231" s="1488"/>
      <c r="AO1231" s="1488"/>
      <c r="AP1231" s="1488"/>
      <c r="AQ1231" s="1488"/>
      <c r="AR1231" s="1488"/>
      <c r="AS1231" s="1488"/>
      <c r="AT1231" s="1542"/>
      <c r="AU1231" s="1599">
        <f t="shared" si="648"/>
        <v>0</v>
      </c>
      <c r="AV1231" s="1544">
        <f t="shared" si="676"/>
        <v>0</v>
      </c>
      <c r="AW1231" s="1452">
        <f t="shared" si="649"/>
        <v>0</v>
      </c>
      <c r="AX1231" s="1452">
        <f t="shared" si="650"/>
        <v>0</v>
      </c>
      <c r="AY1231" s="1452">
        <f t="shared" si="651"/>
        <v>0</v>
      </c>
      <c r="AZ1231" s="1452">
        <f t="shared" si="652"/>
        <v>0</v>
      </c>
      <c r="BA1231" s="1452">
        <f t="shared" si="653"/>
        <v>0</v>
      </c>
      <c r="BB1231" s="1452">
        <f t="shared" si="654"/>
        <v>0</v>
      </c>
      <c r="BC1231" s="1452">
        <f t="shared" si="655"/>
        <v>0</v>
      </c>
      <c r="BD1231" s="1452">
        <f t="shared" si="656"/>
        <v>0</v>
      </c>
      <c r="BE1231" s="1452">
        <f t="shared" si="657"/>
        <v>0</v>
      </c>
      <c r="BF1231" s="1452">
        <f t="shared" si="658"/>
        <v>0</v>
      </c>
      <c r="BG1231" s="1452">
        <f t="shared" si="659"/>
        <v>0</v>
      </c>
      <c r="BH1231" s="1452">
        <f t="shared" si="660"/>
        <v>0</v>
      </c>
      <c r="BI1231" s="1452">
        <f t="shared" si="677"/>
        <v>0</v>
      </c>
      <c r="BJ1231" s="1452" t="str">
        <f t="shared" si="661"/>
        <v/>
      </c>
      <c r="BK1231" s="1452" t="str">
        <f t="shared" si="662"/>
        <v/>
      </c>
      <c r="BL1231" s="1452" t="str">
        <f t="shared" si="663"/>
        <v/>
      </c>
      <c r="BM1231" s="1452" t="str">
        <f t="shared" si="664"/>
        <v/>
      </c>
      <c r="BN1231" s="1452" t="str">
        <f t="shared" ca="1" si="665"/>
        <v/>
      </c>
      <c r="BO1231" s="1452" t="str">
        <f t="shared" si="678"/>
        <v/>
      </c>
      <c r="BP1231" s="1452" t="str">
        <f t="shared" si="666"/>
        <v/>
      </c>
      <c r="BQ1231" s="1452" t="str">
        <f t="shared" si="667"/>
        <v/>
      </c>
      <c r="BR1231" s="1452" t="str">
        <f t="shared" si="668"/>
        <v/>
      </c>
      <c r="BS1231" s="1452" t="str">
        <f t="shared" si="669"/>
        <v/>
      </c>
      <c r="BT1231" s="1452" t="str">
        <f t="shared" si="670"/>
        <v/>
      </c>
      <c r="BU1231" s="1452" t="str">
        <f t="shared" si="671"/>
        <v/>
      </c>
      <c r="BV1231" s="1452" t="str">
        <f t="shared" si="672"/>
        <v/>
      </c>
      <c r="BW1231" s="1558">
        <f t="shared" ca="1" si="679"/>
        <v>0</v>
      </c>
    </row>
    <row r="1232" spans="1:75" s="9" customFormat="1" ht="12.5">
      <c r="A1232" s="1483" t="str">
        <f t="shared" si="673"/>
        <v>Public Health Wales Trust</v>
      </c>
      <c r="B1232" s="1583"/>
      <c r="C1232" s="1583"/>
      <c r="D1232" s="1583"/>
      <c r="E1232" s="1581"/>
      <c r="F1232" s="1436"/>
      <c r="G1232" s="1547">
        <f t="shared" si="674"/>
        <v>0</v>
      </c>
      <c r="H1232" s="1484"/>
      <c r="I1232" s="1547">
        <f t="shared" si="675"/>
        <v>0</v>
      </c>
      <c r="J1232" s="1516"/>
      <c r="K1232" s="1516"/>
      <c r="L1232" s="1436"/>
      <c r="M1232" s="1439"/>
      <c r="N1232" s="1439"/>
      <c r="O1232" s="1485"/>
      <c r="P1232" s="1486"/>
      <c r="Q1232" s="1486"/>
      <c r="R1232" s="1487"/>
      <c r="S1232" s="1444"/>
      <c r="T1232" s="1444"/>
      <c r="U1232" s="1444"/>
      <c r="V1232" s="1488"/>
      <c r="W1232" s="1488"/>
      <c r="X1232" s="1488"/>
      <c r="Y1232" s="1488"/>
      <c r="Z1232" s="1488"/>
      <c r="AA1232" s="1488"/>
      <c r="AB1232" s="1488"/>
      <c r="AC1232" s="1488"/>
      <c r="AD1232" s="1488"/>
      <c r="AE1232" s="1488"/>
      <c r="AF1232" s="1488"/>
      <c r="AG1232" s="1488"/>
      <c r="AH1232" s="1451">
        <f t="shared" si="647"/>
        <v>0</v>
      </c>
      <c r="AI1232" s="1488"/>
      <c r="AJ1232" s="1488"/>
      <c r="AK1232" s="1488"/>
      <c r="AL1232" s="1488"/>
      <c r="AM1232" s="1488"/>
      <c r="AN1232" s="1488"/>
      <c r="AO1232" s="1488"/>
      <c r="AP1232" s="1488"/>
      <c r="AQ1232" s="1488"/>
      <c r="AR1232" s="1488"/>
      <c r="AS1232" s="1488"/>
      <c r="AT1232" s="1542"/>
      <c r="AU1232" s="1599">
        <f t="shared" si="648"/>
        <v>0</v>
      </c>
      <c r="AV1232" s="1544">
        <f t="shared" si="676"/>
        <v>0</v>
      </c>
      <c r="AW1232" s="1452">
        <f t="shared" si="649"/>
        <v>0</v>
      </c>
      <c r="AX1232" s="1452">
        <f t="shared" si="650"/>
        <v>0</v>
      </c>
      <c r="AY1232" s="1452">
        <f t="shared" si="651"/>
        <v>0</v>
      </c>
      <c r="AZ1232" s="1452">
        <f t="shared" si="652"/>
        <v>0</v>
      </c>
      <c r="BA1232" s="1452">
        <f t="shared" si="653"/>
        <v>0</v>
      </c>
      <c r="BB1232" s="1452">
        <f t="shared" si="654"/>
        <v>0</v>
      </c>
      <c r="BC1232" s="1452">
        <f t="shared" si="655"/>
        <v>0</v>
      </c>
      <c r="BD1232" s="1452">
        <f t="shared" si="656"/>
        <v>0</v>
      </c>
      <c r="BE1232" s="1452">
        <f t="shared" si="657"/>
        <v>0</v>
      </c>
      <c r="BF1232" s="1452">
        <f t="shared" si="658"/>
        <v>0</v>
      </c>
      <c r="BG1232" s="1452">
        <f t="shared" si="659"/>
        <v>0</v>
      </c>
      <c r="BH1232" s="1452">
        <f t="shared" si="660"/>
        <v>0</v>
      </c>
      <c r="BI1232" s="1452">
        <f t="shared" si="677"/>
        <v>0</v>
      </c>
      <c r="BJ1232" s="1452" t="str">
        <f t="shared" si="661"/>
        <v/>
      </c>
      <c r="BK1232" s="1452" t="str">
        <f t="shared" si="662"/>
        <v/>
      </c>
      <c r="BL1232" s="1452" t="str">
        <f t="shared" si="663"/>
        <v/>
      </c>
      <c r="BM1232" s="1452" t="str">
        <f t="shared" si="664"/>
        <v/>
      </c>
      <c r="BN1232" s="1452" t="str">
        <f t="shared" ca="1" si="665"/>
        <v/>
      </c>
      <c r="BO1232" s="1452" t="str">
        <f t="shared" si="678"/>
        <v/>
      </c>
      <c r="BP1232" s="1452" t="str">
        <f t="shared" si="666"/>
        <v/>
      </c>
      <c r="BQ1232" s="1452" t="str">
        <f t="shared" si="667"/>
        <v/>
      </c>
      <c r="BR1232" s="1452" t="str">
        <f t="shared" si="668"/>
        <v/>
      </c>
      <c r="BS1232" s="1452" t="str">
        <f t="shared" si="669"/>
        <v/>
      </c>
      <c r="BT1232" s="1452" t="str">
        <f t="shared" si="670"/>
        <v/>
      </c>
      <c r="BU1232" s="1452" t="str">
        <f t="shared" si="671"/>
        <v/>
      </c>
      <c r="BV1232" s="1452" t="str">
        <f t="shared" si="672"/>
        <v/>
      </c>
      <c r="BW1232" s="1558">
        <f t="shared" ca="1" si="679"/>
        <v>0</v>
      </c>
    </row>
    <row r="1233" spans="1:75" s="9" customFormat="1" ht="12.5">
      <c r="A1233" s="1483" t="str">
        <f t="shared" si="673"/>
        <v>Public Health Wales Trust</v>
      </c>
      <c r="B1233" s="1583"/>
      <c r="C1233" s="1583"/>
      <c r="D1233" s="1583"/>
      <c r="E1233" s="1581"/>
      <c r="F1233" s="1436"/>
      <c r="G1233" s="1547">
        <f t="shared" si="674"/>
        <v>0</v>
      </c>
      <c r="H1233" s="1484"/>
      <c r="I1233" s="1547">
        <f t="shared" si="675"/>
        <v>0</v>
      </c>
      <c r="J1233" s="1516"/>
      <c r="K1233" s="1516"/>
      <c r="L1233" s="1436"/>
      <c r="M1233" s="1439"/>
      <c r="N1233" s="1439"/>
      <c r="O1233" s="1485"/>
      <c r="P1233" s="1486"/>
      <c r="Q1233" s="1486"/>
      <c r="R1233" s="1487"/>
      <c r="S1233" s="1444"/>
      <c r="T1233" s="1444"/>
      <c r="U1233" s="1444"/>
      <c r="V1233" s="1488"/>
      <c r="W1233" s="1488"/>
      <c r="X1233" s="1488"/>
      <c r="Y1233" s="1488"/>
      <c r="Z1233" s="1488"/>
      <c r="AA1233" s="1488"/>
      <c r="AB1233" s="1488"/>
      <c r="AC1233" s="1488"/>
      <c r="AD1233" s="1488"/>
      <c r="AE1233" s="1488"/>
      <c r="AF1233" s="1488"/>
      <c r="AG1233" s="1488"/>
      <c r="AH1233" s="1451">
        <f t="shared" si="647"/>
        <v>0</v>
      </c>
      <c r="AI1233" s="1488"/>
      <c r="AJ1233" s="1488"/>
      <c r="AK1233" s="1488"/>
      <c r="AL1233" s="1488"/>
      <c r="AM1233" s="1488"/>
      <c r="AN1233" s="1488"/>
      <c r="AO1233" s="1488"/>
      <c r="AP1233" s="1488"/>
      <c r="AQ1233" s="1488"/>
      <c r="AR1233" s="1488"/>
      <c r="AS1233" s="1488"/>
      <c r="AT1233" s="1542"/>
      <c r="AU1233" s="1599">
        <f t="shared" si="648"/>
        <v>0</v>
      </c>
      <c r="AV1233" s="1544">
        <f t="shared" si="676"/>
        <v>0</v>
      </c>
      <c r="AW1233" s="1452">
        <f t="shared" si="649"/>
        <v>0</v>
      </c>
      <c r="AX1233" s="1452">
        <f t="shared" si="650"/>
        <v>0</v>
      </c>
      <c r="AY1233" s="1452">
        <f t="shared" si="651"/>
        <v>0</v>
      </c>
      <c r="AZ1233" s="1452">
        <f t="shared" si="652"/>
        <v>0</v>
      </c>
      <c r="BA1233" s="1452">
        <f t="shared" si="653"/>
        <v>0</v>
      </c>
      <c r="BB1233" s="1452">
        <f t="shared" si="654"/>
        <v>0</v>
      </c>
      <c r="BC1233" s="1452">
        <f t="shared" si="655"/>
        <v>0</v>
      </c>
      <c r="BD1233" s="1452">
        <f t="shared" si="656"/>
        <v>0</v>
      </c>
      <c r="BE1233" s="1452">
        <f t="shared" si="657"/>
        <v>0</v>
      </c>
      <c r="BF1233" s="1452">
        <f t="shared" si="658"/>
        <v>0</v>
      </c>
      <c r="BG1233" s="1452">
        <f t="shared" si="659"/>
        <v>0</v>
      </c>
      <c r="BH1233" s="1452">
        <f t="shared" si="660"/>
        <v>0</v>
      </c>
      <c r="BI1233" s="1452">
        <f t="shared" si="677"/>
        <v>0</v>
      </c>
      <c r="BJ1233" s="1452" t="str">
        <f t="shared" si="661"/>
        <v/>
      </c>
      <c r="BK1233" s="1452" t="str">
        <f t="shared" si="662"/>
        <v/>
      </c>
      <c r="BL1233" s="1452" t="str">
        <f t="shared" si="663"/>
        <v/>
      </c>
      <c r="BM1233" s="1452" t="str">
        <f t="shared" si="664"/>
        <v/>
      </c>
      <c r="BN1233" s="1452" t="str">
        <f t="shared" ca="1" si="665"/>
        <v/>
      </c>
      <c r="BO1233" s="1452" t="str">
        <f t="shared" si="678"/>
        <v/>
      </c>
      <c r="BP1233" s="1452" t="str">
        <f t="shared" si="666"/>
        <v/>
      </c>
      <c r="BQ1233" s="1452" t="str">
        <f t="shared" si="667"/>
        <v/>
      </c>
      <c r="BR1233" s="1452" t="str">
        <f t="shared" si="668"/>
        <v/>
      </c>
      <c r="BS1233" s="1452" t="str">
        <f t="shared" si="669"/>
        <v/>
      </c>
      <c r="BT1233" s="1452" t="str">
        <f t="shared" si="670"/>
        <v/>
      </c>
      <c r="BU1233" s="1452" t="str">
        <f t="shared" si="671"/>
        <v/>
      </c>
      <c r="BV1233" s="1452" t="str">
        <f t="shared" si="672"/>
        <v/>
      </c>
      <c r="BW1233" s="1558">
        <f t="shared" ca="1" si="679"/>
        <v>0</v>
      </c>
    </row>
    <row r="1234" spans="1:75" s="9" customFormat="1" ht="12.5">
      <c r="A1234" s="1483" t="str">
        <f t="shared" si="673"/>
        <v>Public Health Wales Trust</v>
      </c>
      <c r="B1234" s="1583"/>
      <c r="C1234" s="1583"/>
      <c r="D1234" s="1583"/>
      <c r="E1234" s="1581"/>
      <c r="F1234" s="1436"/>
      <c r="G1234" s="1547">
        <f t="shared" si="674"/>
        <v>0</v>
      </c>
      <c r="H1234" s="1484"/>
      <c r="I1234" s="1547">
        <f t="shared" si="675"/>
        <v>0</v>
      </c>
      <c r="J1234" s="1516"/>
      <c r="K1234" s="1516"/>
      <c r="L1234" s="1436"/>
      <c r="M1234" s="1439"/>
      <c r="N1234" s="1439"/>
      <c r="O1234" s="1485"/>
      <c r="P1234" s="1486"/>
      <c r="Q1234" s="1486"/>
      <c r="R1234" s="1487"/>
      <c r="S1234" s="1444"/>
      <c r="T1234" s="1444"/>
      <c r="U1234" s="1444"/>
      <c r="V1234" s="1488"/>
      <c r="W1234" s="1488"/>
      <c r="X1234" s="1488"/>
      <c r="Y1234" s="1488"/>
      <c r="Z1234" s="1488"/>
      <c r="AA1234" s="1488"/>
      <c r="AB1234" s="1488"/>
      <c r="AC1234" s="1488"/>
      <c r="AD1234" s="1488"/>
      <c r="AE1234" s="1488"/>
      <c r="AF1234" s="1488"/>
      <c r="AG1234" s="1488"/>
      <c r="AH1234" s="1451">
        <f t="shared" si="647"/>
        <v>0</v>
      </c>
      <c r="AI1234" s="1488"/>
      <c r="AJ1234" s="1488"/>
      <c r="AK1234" s="1488"/>
      <c r="AL1234" s="1488"/>
      <c r="AM1234" s="1488"/>
      <c r="AN1234" s="1488"/>
      <c r="AO1234" s="1488"/>
      <c r="AP1234" s="1488"/>
      <c r="AQ1234" s="1488"/>
      <c r="AR1234" s="1488"/>
      <c r="AS1234" s="1488"/>
      <c r="AT1234" s="1542"/>
      <c r="AU1234" s="1599">
        <f t="shared" si="648"/>
        <v>0</v>
      </c>
      <c r="AV1234" s="1544">
        <f t="shared" si="676"/>
        <v>0</v>
      </c>
      <c r="AW1234" s="1452">
        <f t="shared" si="649"/>
        <v>0</v>
      </c>
      <c r="AX1234" s="1452">
        <f t="shared" si="650"/>
        <v>0</v>
      </c>
      <c r="AY1234" s="1452">
        <f t="shared" si="651"/>
        <v>0</v>
      </c>
      <c r="AZ1234" s="1452">
        <f t="shared" si="652"/>
        <v>0</v>
      </c>
      <c r="BA1234" s="1452">
        <f t="shared" si="653"/>
        <v>0</v>
      </c>
      <c r="BB1234" s="1452">
        <f t="shared" si="654"/>
        <v>0</v>
      </c>
      <c r="BC1234" s="1452">
        <f t="shared" si="655"/>
        <v>0</v>
      </c>
      <c r="BD1234" s="1452">
        <f t="shared" si="656"/>
        <v>0</v>
      </c>
      <c r="BE1234" s="1452">
        <f t="shared" si="657"/>
        <v>0</v>
      </c>
      <c r="BF1234" s="1452">
        <f t="shared" si="658"/>
        <v>0</v>
      </c>
      <c r="BG1234" s="1452">
        <f t="shared" si="659"/>
        <v>0</v>
      </c>
      <c r="BH1234" s="1452">
        <f t="shared" si="660"/>
        <v>0</v>
      </c>
      <c r="BI1234" s="1452">
        <f t="shared" si="677"/>
        <v>0</v>
      </c>
      <c r="BJ1234" s="1452" t="str">
        <f t="shared" si="661"/>
        <v/>
      </c>
      <c r="BK1234" s="1452" t="str">
        <f t="shared" si="662"/>
        <v/>
      </c>
      <c r="BL1234" s="1452" t="str">
        <f t="shared" si="663"/>
        <v/>
      </c>
      <c r="BM1234" s="1452" t="str">
        <f t="shared" si="664"/>
        <v/>
      </c>
      <c r="BN1234" s="1452" t="str">
        <f t="shared" ca="1" si="665"/>
        <v/>
      </c>
      <c r="BO1234" s="1452" t="str">
        <f t="shared" si="678"/>
        <v/>
      </c>
      <c r="BP1234" s="1452" t="str">
        <f t="shared" si="666"/>
        <v/>
      </c>
      <c r="BQ1234" s="1452" t="str">
        <f t="shared" si="667"/>
        <v/>
      </c>
      <c r="BR1234" s="1452" t="str">
        <f t="shared" si="668"/>
        <v/>
      </c>
      <c r="BS1234" s="1452" t="str">
        <f t="shared" si="669"/>
        <v/>
      </c>
      <c r="BT1234" s="1452" t="str">
        <f t="shared" si="670"/>
        <v/>
      </c>
      <c r="BU1234" s="1452" t="str">
        <f t="shared" si="671"/>
        <v/>
      </c>
      <c r="BV1234" s="1452" t="str">
        <f t="shared" si="672"/>
        <v/>
      </c>
      <c r="BW1234" s="1558">
        <f t="shared" ca="1" si="679"/>
        <v>0</v>
      </c>
    </row>
    <row r="1235" spans="1:75" s="9" customFormat="1" ht="12.5">
      <c r="A1235" s="1483" t="str">
        <f t="shared" si="673"/>
        <v>Public Health Wales Trust</v>
      </c>
      <c r="B1235" s="1583"/>
      <c r="C1235" s="1583"/>
      <c r="D1235" s="1583"/>
      <c r="E1235" s="1581"/>
      <c r="F1235" s="1436"/>
      <c r="G1235" s="1547">
        <f t="shared" si="674"/>
        <v>0</v>
      </c>
      <c r="H1235" s="1484"/>
      <c r="I1235" s="1547">
        <f t="shared" si="675"/>
        <v>0</v>
      </c>
      <c r="J1235" s="1516"/>
      <c r="K1235" s="1516"/>
      <c r="L1235" s="1436"/>
      <c r="M1235" s="1439"/>
      <c r="N1235" s="1439"/>
      <c r="O1235" s="1485"/>
      <c r="P1235" s="1486"/>
      <c r="Q1235" s="1486"/>
      <c r="R1235" s="1487"/>
      <c r="S1235" s="1444"/>
      <c r="T1235" s="1444"/>
      <c r="U1235" s="1444"/>
      <c r="V1235" s="1488"/>
      <c r="W1235" s="1488"/>
      <c r="X1235" s="1488"/>
      <c r="Y1235" s="1488"/>
      <c r="Z1235" s="1488"/>
      <c r="AA1235" s="1488"/>
      <c r="AB1235" s="1488"/>
      <c r="AC1235" s="1488"/>
      <c r="AD1235" s="1488"/>
      <c r="AE1235" s="1488"/>
      <c r="AF1235" s="1488"/>
      <c r="AG1235" s="1488"/>
      <c r="AH1235" s="1451">
        <f t="shared" si="647"/>
        <v>0</v>
      </c>
      <c r="AI1235" s="1488"/>
      <c r="AJ1235" s="1488"/>
      <c r="AK1235" s="1488"/>
      <c r="AL1235" s="1488"/>
      <c r="AM1235" s="1488"/>
      <c r="AN1235" s="1488"/>
      <c r="AO1235" s="1488"/>
      <c r="AP1235" s="1488"/>
      <c r="AQ1235" s="1488"/>
      <c r="AR1235" s="1488"/>
      <c r="AS1235" s="1488"/>
      <c r="AT1235" s="1542"/>
      <c r="AU1235" s="1599">
        <f t="shared" si="648"/>
        <v>0</v>
      </c>
      <c r="AV1235" s="1544">
        <f t="shared" si="676"/>
        <v>0</v>
      </c>
      <c r="AW1235" s="1452">
        <f t="shared" si="649"/>
        <v>0</v>
      </c>
      <c r="AX1235" s="1452">
        <f t="shared" si="650"/>
        <v>0</v>
      </c>
      <c r="AY1235" s="1452">
        <f t="shared" si="651"/>
        <v>0</v>
      </c>
      <c r="AZ1235" s="1452">
        <f t="shared" si="652"/>
        <v>0</v>
      </c>
      <c r="BA1235" s="1452">
        <f t="shared" si="653"/>
        <v>0</v>
      </c>
      <c r="BB1235" s="1452">
        <f t="shared" si="654"/>
        <v>0</v>
      </c>
      <c r="BC1235" s="1452">
        <f t="shared" si="655"/>
        <v>0</v>
      </c>
      <c r="BD1235" s="1452">
        <f t="shared" si="656"/>
        <v>0</v>
      </c>
      <c r="BE1235" s="1452">
        <f t="shared" si="657"/>
        <v>0</v>
      </c>
      <c r="BF1235" s="1452">
        <f t="shared" si="658"/>
        <v>0</v>
      </c>
      <c r="BG1235" s="1452">
        <f t="shared" si="659"/>
        <v>0</v>
      </c>
      <c r="BH1235" s="1452">
        <f t="shared" si="660"/>
        <v>0</v>
      </c>
      <c r="BI1235" s="1452">
        <f t="shared" si="677"/>
        <v>0</v>
      </c>
      <c r="BJ1235" s="1452" t="str">
        <f t="shared" si="661"/>
        <v/>
      </c>
      <c r="BK1235" s="1452" t="str">
        <f t="shared" si="662"/>
        <v/>
      </c>
      <c r="BL1235" s="1452" t="str">
        <f t="shared" si="663"/>
        <v/>
      </c>
      <c r="BM1235" s="1452" t="str">
        <f t="shared" si="664"/>
        <v/>
      </c>
      <c r="BN1235" s="1452" t="str">
        <f t="shared" ca="1" si="665"/>
        <v/>
      </c>
      <c r="BO1235" s="1452" t="str">
        <f t="shared" si="678"/>
        <v/>
      </c>
      <c r="BP1235" s="1452" t="str">
        <f t="shared" si="666"/>
        <v/>
      </c>
      <c r="BQ1235" s="1452" t="str">
        <f t="shared" si="667"/>
        <v/>
      </c>
      <c r="BR1235" s="1452" t="str">
        <f t="shared" si="668"/>
        <v/>
      </c>
      <c r="BS1235" s="1452" t="str">
        <f t="shared" si="669"/>
        <v/>
      </c>
      <c r="BT1235" s="1452" t="str">
        <f t="shared" si="670"/>
        <v/>
      </c>
      <c r="BU1235" s="1452" t="str">
        <f t="shared" si="671"/>
        <v/>
      </c>
      <c r="BV1235" s="1452" t="str">
        <f t="shared" si="672"/>
        <v/>
      </c>
      <c r="BW1235" s="1558">
        <f t="shared" ca="1" si="679"/>
        <v>0</v>
      </c>
    </row>
    <row r="1236" spans="1:75" s="9" customFormat="1" ht="12.5">
      <c r="A1236" s="1483" t="str">
        <f t="shared" si="673"/>
        <v>Public Health Wales Trust</v>
      </c>
      <c r="B1236" s="1583"/>
      <c r="C1236" s="1583"/>
      <c r="D1236" s="1583"/>
      <c r="E1236" s="1581"/>
      <c r="F1236" s="1436"/>
      <c r="G1236" s="1547">
        <f t="shared" si="674"/>
        <v>0</v>
      </c>
      <c r="H1236" s="1484"/>
      <c r="I1236" s="1547">
        <f t="shared" si="675"/>
        <v>0</v>
      </c>
      <c r="J1236" s="1516"/>
      <c r="K1236" s="1516"/>
      <c r="L1236" s="1436"/>
      <c r="M1236" s="1439"/>
      <c r="N1236" s="1439"/>
      <c r="O1236" s="1485"/>
      <c r="P1236" s="1486"/>
      <c r="Q1236" s="1486"/>
      <c r="R1236" s="1487"/>
      <c r="S1236" s="1444"/>
      <c r="T1236" s="1444"/>
      <c r="U1236" s="1444"/>
      <c r="V1236" s="1488"/>
      <c r="W1236" s="1488"/>
      <c r="X1236" s="1488"/>
      <c r="Y1236" s="1488"/>
      <c r="Z1236" s="1488"/>
      <c r="AA1236" s="1488"/>
      <c r="AB1236" s="1488"/>
      <c r="AC1236" s="1488"/>
      <c r="AD1236" s="1488"/>
      <c r="AE1236" s="1488"/>
      <c r="AF1236" s="1488"/>
      <c r="AG1236" s="1488"/>
      <c r="AH1236" s="1451">
        <f t="shared" si="647"/>
        <v>0</v>
      </c>
      <c r="AI1236" s="1488"/>
      <c r="AJ1236" s="1488"/>
      <c r="AK1236" s="1488"/>
      <c r="AL1236" s="1488"/>
      <c r="AM1236" s="1488"/>
      <c r="AN1236" s="1488"/>
      <c r="AO1236" s="1488"/>
      <c r="AP1236" s="1488"/>
      <c r="AQ1236" s="1488"/>
      <c r="AR1236" s="1488"/>
      <c r="AS1236" s="1488"/>
      <c r="AT1236" s="1542"/>
      <c r="AU1236" s="1599">
        <f t="shared" si="648"/>
        <v>0</v>
      </c>
      <c r="AV1236" s="1544">
        <f t="shared" si="676"/>
        <v>0</v>
      </c>
      <c r="AW1236" s="1452">
        <f t="shared" si="649"/>
        <v>0</v>
      </c>
      <c r="AX1236" s="1452">
        <f t="shared" si="650"/>
        <v>0</v>
      </c>
      <c r="AY1236" s="1452">
        <f t="shared" si="651"/>
        <v>0</v>
      </c>
      <c r="AZ1236" s="1452">
        <f t="shared" si="652"/>
        <v>0</v>
      </c>
      <c r="BA1236" s="1452">
        <f t="shared" si="653"/>
        <v>0</v>
      </c>
      <c r="BB1236" s="1452">
        <f t="shared" si="654"/>
        <v>0</v>
      </c>
      <c r="BC1236" s="1452">
        <f t="shared" si="655"/>
        <v>0</v>
      </c>
      <c r="BD1236" s="1452">
        <f t="shared" si="656"/>
        <v>0</v>
      </c>
      <c r="BE1236" s="1452">
        <f t="shared" si="657"/>
        <v>0</v>
      </c>
      <c r="BF1236" s="1452">
        <f t="shared" si="658"/>
        <v>0</v>
      </c>
      <c r="BG1236" s="1452">
        <f t="shared" si="659"/>
        <v>0</v>
      </c>
      <c r="BH1236" s="1452">
        <f t="shared" si="660"/>
        <v>0</v>
      </c>
      <c r="BI1236" s="1452">
        <f t="shared" si="677"/>
        <v>0</v>
      </c>
      <c r="BJ1236" s="1452" t="str">
        <f t="shared" si="661"/>
        <v/>
      </c>
      <c r="BK1236" s="1452" t="str">
        <f t="shared" si="662"/>
        <v/>
      </c>
      <c r="BL1236" s="1452" t="str">
        <f t="shared" si="663"/>
        <v/>
      </c>
      <c r="BM1236" s="1452" t="str">
        <f t="shared" si="664"/>
        <v/>
      </c>
      <c r="BN1236" s="1452" t="str">
        <f t="shared" ca="1" si="665"/>
        <v/>
      </c>
      <c r="BO1236" s="1452" t="str">
        <f t="shared" si="678"/>
        <v/>
      </c>
      <c r="BP1236" s="1452" t="str">
        <f t="shared" si="666"/>
        <v/>
      </c>
      <c r="BQ1236" s="1452" t="str">
        <f t="shared" si="667"/>
        <v/>
      </c>
      <c r="BR1236" s="1452" t="str">
        <f t="shared" si="668"/>
        <v/>
      </c>
      <c r="BS1236" s="1452" t="str">
        <f t="shared" si="669"/>
        <v/>
      </c>
      <c r="BT1236" s="1452" t="str">
        <f t="shared" si="670"/>
        <v/>
      </c>
      <c r="BU1236" s="1452" t="str">
        <f t="shared" si="671"/>
        <v/>
      </c>
      <c r="BV1236" s="1452" t="str">
        <f t="shared" si="672"/>
        <v/>
      </c>
      <c r="BW1236" s="1558">
        <f t="shared" ca="1" si="679"/>
        <v>0</v>
      </c>
    </row>
    <row r="1237" spans="1:75" s="9" customFormat="1" ht="12.5">
      <c r="A1237" s="1483" t="str">
        <f t="shared" si="673"/>
        <v>Public Health Wales Trust</v>
      </c>
      <c r="B1237" s="1583"/>
      <c r="C1237" s="1583"/>
      <c r="D1237" s="1583"/>
      <c r="E1237" s="1581"/>
      <c r="F1237" s="1436"/>
      <c r="G1237" s="1547">
        <f t="shared" si="674"/>
        <v>0</v>
      </c>
      <c r="H1237" s="1484"/>
      <c r="I1237" s="1547">
        <f t="shared" si="675"/>
        <v>0</v>
      </c>
      <c r="J1237" s="1516"/>
      <c r="K1237" s="1516"/>
      <c r="L1237" s="1436"/>
      <c r="M1237" s="1439"/>
      <c r="N1237" s="1439"/>
      <c r="O1237" s="1485"/>
      <c r="P1237" s="1486"/>
      <c r="Q1237" s="1486"/>
      <c r="R1237" s="1487"/>
      <c r="S1237" s="1444"/>
      <c r="T1237" s="1444"/>
      <c r="U1237" s="1444"/>
      <c r="V1237" s="1488"/>
      <c r="W1237" s="1488"/>
      <c r="X1237" s="1488"/>
      <c r="Y1237" s="1488"/>
      <c r="Z1237" s="1488"/>
      <c r="AA1237" s="1488"/>
      <c r="AB1237" s="1488"/>
      <c r="AC1237" s="1488"/>
      <c r="AD1237" s="1488"/>
      <c r="AE1237" s="1488"/>
      <c r="AF1237" s="1488"/>
      <c r="AG1237" s="1488"/>
      <c r="AH1237" s="1451">
        <f t="shared" si="647"/>
        <v>0</v>
      </c>
      <c r="AI1237" s="1488"/>
      <c r="AJ1237" s="1488"/>
      <c r="AK1237" s="1488"/>
      <c r="AL1237" s="1488"/>
      <c r="AM1237" s="1488"/>
      <c r="AN1237" s="1488"/>
      <c r="AO1237" s="1488"/>
      <c r="AP1237" s="1488"/>
      <c r="AQ1237" s="1488"/>
      <c r="AR1237" s="1488"/>
      <c r="AS1237" s="1488"/>
      <c r="AT1237" s="1542"/>
      <c r="AU1237" s="1599">
        <f t="shared" si="648"/>
        <v>0</v>
      </c>
      <c r="AV1237" s="1544">
        <f t="shared" si="676"/>
        <v>0</v>
      </c>
      <c r="AW1237" s="1452">
        <f t="shared" si="649"/>
        <v>0</v>
      </c>
      <c r="AX1237" s="1452">
        <f t="shared" si="650"/>
        <v>0</v>
      </c>
      <c r="AY1237" s="1452">
        <f t="shared" si="651"/>
        <v>0</v>
      </c>
      <c r="AZ1237" s="1452">
        <f t="shared" si="652"/>
        <v>0</v>
      </c>
      <c r="BA1237" s="1452">
        <f t="shared" si="653"/>
        <v>0</v>
      </c>
      <c r="BB1237" s="1452">
        <f t="shared" si="654"/>
        <v>0</v>
      </c>
      <c r="BC1237" s="1452">
        <f t="shared" si="655"/>
        <v>0</v>
      </c>
      <c r="BD1237" s="1452">
        <f t="shared" si="656"/>
        <v>0</v>
      </c>
      <c r="BE1237" s="1452">
        <f t="shared" si="657"/>
        <v>0</v>
      </c>
      <c r="BF1237" s="1452">
        <f t="shared" si="658"/>
        <v>0</v>
      </c>
      <c r="BG1237" s="1452">
        <f t="shared" si="659"/>
        <v>0</v>
      </c>
      <c r="BH1237" s="1452">
        <f t="shared" si="660"/>
        <v>0</v>
      </c>
      <c r="BI1237" s="1452">
        <f t="shared" si="677"/>
        <v>0</v>
      </c>
      <c r="BJ1237" s="1452" t="str">
        <f t="shared" si="661"/>
        <v/>
      </c>
      <c r="BK1237" s="1452" t="str">
        <f t="shared" si="662"/>
        <v/>
      </c>
      <c r="BL1237" s="1452" t="str">
        <f t="shared" si="663"/>
        <v/>
      </c>
      <c r="BM1237" s="1452" t="str">
        <f t="shared" si="664"/>
        <v/>
      </c>
      <c r="BN1237" s="1452" t="str">
        <f t="shared" ca="1" si="665"/>
        <v/>
      </c>
      <c r="BO1237" s="1452" t="str">
        <f t="shared" si="678"/>
        <v/>
      </c>
      <c r="BP1237" s="1452" t="str">
        <f t="shared" si="666"/>
        <v/>
      </c>
      <c r="BQ1237" s="1452" t="str">
        <f t="shared" si="667"/>
        <v/>
      </c>
      <c r="BR1237" s="1452" t="str">
        <f t="shared" si="668"/>
        <v/>
      </c>
      <c r="BS1237" s="1452" t="str">
        <f t="shared" si="669"/>
        <v/>
      </c>
      <c r="BT1237" s="1452" t="str">
        <f t="shared" si="670"/>
        <v/>
      </c>
      <c r="BU1237" s="1452" t="str">
        <f t="shared" si="671"/>
        <v/>
      </c>
      <c r="BV1237" s="1452" t="str">
        <f t="shared" si="672"/>
        <v/>
      </c>
      <c r="BW1237" s="1558">
        <f t="shared" ca="1" si="679"/>
        <v>0</v>
      </c>
    </row>
    <row r="1238" spans="1:75" s="9" customFormat="1" ht="12.5">
      <c r="A1238" s="1483" t="str">
        <f t="shared" si="673"/>
        <v>Public Health Wales Trust</v>
      </c>
      <c r="B1238" s="1583"/>
      <c r="C1238" s="1583"/>
      <c r="D1238" s="1583"/>
      <c r="E1238" s="1581"/>
      <c r="F1238" s="1436"/>
      <c r="G1238" s="1547">
        <f t="shared" si="674"/>
        <v>0</v>
      </c>
      <c r="H1238" s="1484"/>
      <c r="I1238" s="1547">
        <f t="shared" si="675"/>
        <v>0</v>
      </c>
      <c r="J1238" s="1516"/>
      <c r="K1238" s="1516"/>
      <c r="L1238" s="1436"/>
      <c r="M1238" s="1439"/>
      <c r="N1238" s="1439"/>
      <c r="O1238" s="1485"/>
      <c r="P1238" s="1486"/>
      <c r="Q1238" s="1486"/>
      <c r="R1238" s="1487"/>
      <c r="S1238" s="1444"/>
      <c r="T1238" s="1444"/>
      <c r="U1238" s="1444"/>
      <c r="V1238" s="1488"/>
      <c r="W1238" s="1488"/>
      <c r="X1238" s="1488"/>
      <c r="Y1238" s="1488"/>
      <c r="Z1238" s="1488"/>
      <c r="AA1238" s="1488"/>
      <c r="AB1238" s="1488"/>
      <c r="AC1238" s="1488"/>
      <c r="AD1238" s="1488"/>
      <c r="AE1238" s="1488"/>
      <c r="AF1238" s="1488"/>
      <c r="AG1238" s="1488"/>
      <c r="AH1238" s="1451">
        <f t="shared" si="647"/>
        <v>0</v>
      </c>
      <c r="AI1238" s="1488"/>
      <c r="AJ1238" s="1488"/>
      <c r="AK1238" s="1488"/>
      <c r="AL1238" s="1488"/>
      <c r="AM1238" s="1488"/>
      <c r="AN1238" s="1488"/>
      <c r="AO1238" s="1488"/>
      <c r="AP1238" s="1488"/>
      <c r="AQ1238" s="1488"/>
      <c r="AR1238" s="1488"/>
      <c r="AS1238" s="1488"/>
      <c r="AT1238" s="1542"/>
      <c r="AU1238" s="1599">
        <f t="shared" si="648"/>
        <v>0</v>
      </c>
      <c r="AV1238" s="1544">
        <f t="shared" si="676"/>
        <v>0</v>
      </c>
      <c r="AW1238" s="1452">
        <f t="shared" si="649"/>
        <v>0</v>
      </c>
      <c r="AX1238" s="1452">
        <f t="shared" si="650"/>
        <v>0</v>
      </c>
      <c r="AY1238" s="1452">
        <f t="shared" si="651"/>
        <v>0</v>
      </c>
      <c r="AZ1238" s="1452">
        <f t="shared" si="652"/>
        <v>0</v>
      </c>
      <c r="BA1238" s="1452">
        <f t="shared" si="653"/>
        <v>0</v>
      </c>
      <c r="BB1238" s="1452">
        <f t="shared" si="654"/>
        <v>0</v>
      </c>
      <c r="BC1238" s="1452">
        <f t="shared" si="655"/>
        <v>0</v>
      </c>
      <c r="BD1238" s="1452">
        <f t="shared" si="656"/>
        <v>0</v>
      </c>
      <c r="BE1238" s="1452">
        <f t="shared" si="657"/>
        <v>0</v>
      </c>
      <c r="BF1238" s="1452">
        <f t="shared" si="658"/>
        <v>0</v>
      </c>
      <c r="BG1238" s="1452">
        <f t="shared" si="659"/>
        <v>0</v>
      </c>
      <c r="BH1238" s="1452">
        <f t="shared" si="660"/>
        <v>0</v>
      </c>
      <c r="BI1238" s="1452">
        <f t="shared" si="677"/>
        <v>0</v>
      </c>
      <c r="BJ1238" s="1452" t="str">
        <f t="shared" si="661"/>
        <v/>
      </c>
      <c r="BK1238" s="1452" t="str">
        <f t="shared" si="662"/>
        <v/>
      </c>
      <c r="BL1238" s="1452" t="str">
        <f t="shared" si="663"/>
        <v/>
      </c>
      <c r="BM1238" s="1452" t="str">
        <f t="shared" si="664"/>
        <v/>
      </c>
      <c r="BN1238" s="1452" t="str">
        <f t="shared" ca="1" si="665"/>
        <v/>
      </c>
      <c r="BO1238" s="1452" t="str">
        <f t="shared" si="678"/>
        <v/>
      </c>
      <c r="BP1238" s="1452" t="str">
        <f t="shared" si="666"/>
        <v/>
      </c>
      <c r="BQ1238" s="1452" t="str">
        <f t="shared" si="667"/>
        <v/>
      </c>
      <c r="BR1238" s="1452" t="str">
        <f t="shared" si="668"/>
        <v/>
      </c>
      <c r="BS1238" s="1452" t="str">
        <f t="shared" si="669"/>
        <v/>
      </c>
      <c r="BT1238" s="1452" t="str">
        <f t="shared" si="670"/>
        <v/>
      </c>
      <c r="BU1238" s="1452" t="str">
        <f t="shared" si="671"/>
        <v/>
      </c>
      <c r="BV1238" s="1452" t="str">
        <f t="shared" si="672"/>
        <v/>
      </c>
      <c r="BW1238" s="1558">
        <f t="shared" ca="1" si="679"/>
        <v>0</v>
      </c>
    </row>
    <row r="1239" spans="1:75" s="9" customFormat="1" ht="12.5">
      <c r="A1239" s="1483" t="str">
        <f t="shared" si="673"/>
        <v>Public Health Wales Trust</v>
      </c>
      <c r="B1239" s="1583"/>
      <c r="C1239" s="1583"/>
      <c r="D1239" s="1583"/>
      <c r="E1239" s="1581"/>
      <c r="F1239" s="1436"/>
      <c r="G1239" s="1547">
        <f t="shared" si="674"/>
        <v>0</v>
      </c>
      <c r="H1239" s="1484"/>
      <c r="I1239" s="1547">
        <f t="shared" si="675"/>
        <v>0</v>
      </c>
      <c r="J1239" s="1516"/>
      <c r="K1239" s="1516"/>
      <c r="L1239" s="1436"/>
      <c r="M1239" s="1439"/>
      <c r="N1239" s="1439"/>
      <c r="O1239" s="1485"/>
      <c r="P1239" s="1486"/>
      <c r="Q1239" s="1486"/>
      <c r="R1239" s="1487"/>
      <c r="S1239" s="1444"/>
      <c r="T1239" s="1444"/>
      <c r="U1239" s="1444"/>
      <c r="V1239" s="1488"/>
      <c r="W1239" s="1488"/>
      <c r="X1239" s="1488"/>
      <c r="Y1239" s="1488"/>
      <c r="Z1239" s="1488"/>
      <c r="AA1239" s="1488"/>
      <c r="AB1239" s="1488"/>
      <c r="AC1239" s="1488"/>
      <c r="AD1239" s="1488"/>
      <c r="AE1239" s="1488"/>
      <c r="AF1239" s="1488"/>
      <c r="AG1239" s="1488"/>
      <c r="AH1239" s="1451">
        <f t="shared" si="647"/>
        <v>0</v>
      </c>
      <c r="AI1239" s="1488"/>
      <c r="AJ1239" s="1488"/>
      <c r="AK1239" s="1488"/>
      <c r="AL1239" s="1488"/>
      <c r="AM1239" s="1488"/>
      <c r="AN1239" s="1488"/>
      <c r="AO1239" s="1488"/>
      <c r="AP1239" s="1488"/>
      <c r="AQ1239" s="1488"/>
      <c r="AR1239" s="1488"/>
      <c r="AS1239" s="1488"/>
      <c r="AT1239" s="1542"/>
      <c r="AU1239" s="1599">
        <f t="shared" si="648"/>
        <v>0</v>
      </c>
      <c r="AV1239" s="1544">
        <f t="shared" si="676"/>
        <v>0</v>
      </c>
      <c r="AW1239" s="1452">
        <f t="shared" si="649"/>
        <v>0</v>
      </c>
      <c r="AX1239" s="1452">
        <f t="shared" si="650"/>
        <v>0</v>
      </c>
      <c r="AY1239" s="1452">
        <f t="shared" si="651"/>
        <v>0</v>
      </c>
      <c r="AZ1239" s="1452">
        <f t="shared" si="652"/>
        <v>0</v>
      </c>
      <c r="BA1239" s="1452">
        <f t="shared" si="653"/>
        <v>0</v>
      </c>
      <c r="BB1239" s="1452">
        <f t="shared" si="654"/>
        <v>0</v>
      </c>
      <c r="BC1239" s="1452">
        <f t="shared" si="655"/>
        <v>0</v>
      </c>
      <c r="BD1239" s="1452">
        <f t="shared" si="656"/>
        <v>0</v>
      </c>
      <c r="BE1239" s="1452">
        <f t="shared" si="657"/>
        <v>0</v>
      </c>
      <c r="BF1239" s="1452">
        <f t="shared" si="658"/>
        <v>0</v>
      </c>
      <c r="BG1239" s="1452">
        <f t="shared" si="659"/>
        <v>0</v>
      </c>
      <c r="BH1239" s="1452">
        <f t="shared" si="660"/>
        <v>0</v>
      </c>
      <c r="BI1239" s="1452">
        <f t="shared" si="677"/>
        <v>0</v>
      </c>
      <c r="BJ1239" s="1452" t="str">
        <f t="shared" si="661"/>
        <v/>
      </c>
      <c r="BK1239" s="1452" t="str">
        <f t="shared" si="662"/>
        <v/>
      </c>
      <c r="BL1239" s="1452" t="str">
        <f t="shared" si="663"/>
        <v/>
      </c>
      <c r="BM1239" s="1452" t="str">
        <f t="shared" si="664"/>
        <v/>
      </c>
      <c r="BN1239" s="1452" t="str">
        <f t="shared" ca="1" si="665"/>
        <v/>
      </c>
      <c r="BO1239" s="1452" t="str">
        <f t="shared" si="678"/>
        <v/>
      </c>
      <c r="BP1239" s="1452" t="str">
        <f t="shared" si="666"/>
        <v/>
      </c>
      <c r="BQ1239" s="1452" t="str">
        <f t="shared" si="667"/>
        <v/>
      </c>
      <c r="BR1239" s="1452" t="str">
        <f t="shared" si="668"/>
        <v/>
      </c>
      <c r="BS1239" s="1452" t="str">
        <f t="shared" si="669"/>
        <v/>
      </c>
      <c r="BT1239" s="1452" t="str">
        <f t="shared" si="670"/>
        <v/>
      </c>
      <c r="BU1239" s="1452" t="str">
        <f t="shared" si="671"/>
        <v/>
      </c>
      <c r="BV1239" s="1452" t="str">
        <f t="shared" si="672"/>
        <v/>
      </c>
      <c r="BW1239" s="1558">
        <f t="shared" ca="1" si="679"/>
        <v>0</v>
      </c>
    </row>
    <row r="1240" spans="1:75" s="9" customFormat="1" ht="12.5">
      <c r="A1240" s="1483" t="str">
        <f t="shared" si="673"/>
        <v>Public Health Wales Trust</v>
      </c>
      <c r="B1240" s="1583"/>
      <c r="C1240" s="1583"/>
      <c r="D1240" s="1583"/>
      <c r="E1240" s="1581"/>
      <c r="F1240" s="1436"/>
      <c r="G1240" s="1547">
        <f t="shared" si="674"/>
        <v>0</v>
      </c>
      <c r="H1240" s="1484"/>
      <c r="I1240" s="1547">
        <f t="shared" si="675"/>
        <v>0</v>
      </c>
      <c r="J1240" s="1516"/>
      <c r="K1240" s="1516"/>
      <c r="L1240" s="1436"/>
      <c r="M1240" s="1439"/>
      <c r="N1240" s="1439"/>
      <c r="O1240" s="1485"/>
      <c r="P1240" s="1486"/>
      <c r="Q1240" s="1486"/>
      <c r="R1240" s="1487"/>
      <c r="S1240" s="1444"/>
      <c r="T1240" s="1444"/>
      <c r="U1240" s="1444"/>
      <c r="V1240" s="1488"/>
      <c r="W1240" s="1488"/>
      <c r="X1240" s="1488"/>
      <c r="Y1240" s="1488"/>
      <c r="Z1240" s="1488"/>
      <c r="AA1240" s="1488"/>
      <c r="AB1240" s="1488"/>
      <c r="AC1240" s="1488"/>
      <c r="AD1240" s="1488"/>
      <c r="AE1240" s="1488"/>
      <c r="AF1240" s="1488"/>
      <c r="AG1240" s="1488"/>
      <c r="AH1240" s="1451">
        <f t="shared" si="647"/>
        <v>0</v>
      </c>
      <c r="AI1240" s="1488"/>
      <c r="AJ1240" s="1488"/>
      <c r="AK1240" s="1488"/>
      <c r="AL1240" s="1488"/>
      <c r="AM1240" s="1488"/>
      <c r="AN1240" s="1488"/>
      <c r="AO1240" s="1488"/>
      <c r="AP1240" s="1488"/>
      <c r="AQ1240" s="1488"/>
      <c r="AR1240" s="1488"/>
      <c r="AS1240" s="1488"/>
      <c r="AT1240" s="1542"/>
      <c r="AU1240" s="1599">
        <f t="shared" si="648"/>
        <v>0</v>
      </c>
      <c r="AV1240" s="1544">
        <f t="shared" si="676"/>
        <v>0</v>
      </c>
      <c r="AW1240" s="1452">
        <f t="shared" si="649"/>
        <v>0</v>
      </c>
      <c r="AX1240" s="1452">
        <f t="shared" si="650"/>
        <v>0</v>
      </c>
      <c r="AY1240" s="1452">
        <f t="shared" si="651"/>
        <v>0</v>
      </c>
      <c r="AZ1240" s="1452">
        <f t="shared" si="652"/>
        <v>0</v>
      </c>
      <c r="BA1240" s="1452">
        <f t="shared" si="653"/>
        <v>0</v>
      </c>
      <c r="BB1240" s="1452">
        <f t="shared" si="654"/>
        <v>0</v>
      </c>
      <c r="BC1240" s="1452">
        <f t="shared" si="655"/>
        <v>0</v>
      </c>
      <c r="BD1240" s="1452">
        <f t="shared" si="656"/>
        <v>0</v>
      </c>
      <c r="BE1240" s="1452">
        <f t="shared" si="657"/>
        <v>0</v>
      </c>
      <c r="BF1240" s="1452">
        <f t="shared" si="658"/>
        <v>0</v>
      </c>
      <c r="BG1240" s="1452">
        <f t="shared" si="659"/>
        <v>0</v>
      </c>
      <c r="BH1240" s="1452">
        <f t="shared" si="660"/>
        <v>0</v>
      </c>
      <c r="BI1240" s="1452">
        <f t="shared" si="677"/>
        <v>0</v>
      </c>
      <c r="BJ1240" s="1452" t="str">
        <f t="shared" si="661"/>
        <v/>
      </c>
      <c r="BK1240" s="1452" t="str">
        <f t="shared" si="662"/>
        <v/>
      </c>
      <c r="BL1240" s="1452" t="str">
        <f t="shared" si="663"/>
        <v/>
      </c>
      <c r="BM1240" s="1452" t="str">
        <f t="shared" si="664"/>
        <v/>
      </c>
      <c r="BN1240" s="1452" t="str">
        <f t="shared" ca="1" si="665"/>
        <v/>
      </c>
      <c r="BO1240" s="1452" t="str">
        <f t="shared" si="678"/>
        <v/>
      </c>
      <c r="BP1240" s="1452" t="str">
        <f t="shared" si="666"/>
        <v/>
      </c>
      <c r="BQ1240" s="1452" t="str">
        <f t="shared" si="667"/>
        <v/>
      </c>
      <c r="BR1240" s="1452" t="str">
        <f t="shared" si="668"/>
        <v/>
      </c>
      <c r="BS1240" s="1452" t="str">
        <f t="shared" si="669"/>
        <v/>
      </c>
      <c r="BT1240" s="1452" t="str">
        <f t="shared" si="670"/>
        <v/>
      </c>
      <c r="BU1240" s="1452" t="str">
        <f t="shared" si="671"/>
        <v/>
      </c>
      <c r="BV1240" s="1452" t="str">
        <f t="shared" si="672"/>
        <v/>
      </c>
      <c r="BW1240" s="1558">
        <f t="shared" ca="1" si="679"/>
        <v>0</v>
      </c>
    </row>
    <row r="1241" spans="1:75" s="9" customFormat="1" ht="12.5">
      <c r="A1241" s="1483" t="str">
        <f t="shared" si="673"/>
        <v>Public Health Wales Trust</v>
      </c>
      <c r="B1241" s="1583"/>
      <c r="C1241" s="1583"/>
      <c r="D1241" s="1583"/>
      <c r="E1241" s="1581"/>
      <c r="F1241" s="1436"/>
      <c r="G1241" s="1547">
        <f t="shared" si="674"/>
        <v>0</v>
      </c>
      <c r="H1241" s="1484"/>
      <c r="I1241" s="1547">
        <f t="shared" si="675"/>
        <v>0</v>
      </c>
      <c r="J1241" s="1516"/>
      <c r="K1241" s="1516"/>
      <c r="L1241" s="1436"/>
      <c r="M1241" s="1439"/>
      <c r="N1241" s="1439"/>
      <c r="O1241" s="1485"/>
      <c r="P1241" s="1486"/>
      <c r="Q1241" s="1486"/>
      <c r="R1241" s="1487"/>
      <c r="S1241" s="1444"/>
      <c r="T1241" s="1444"/>
      <c r="U1241" s="1444"/>
      <c r="V1241" s="1488"/>
      <c r="W1241" s="1488"/>
      <c r="X1241" s="1488"/>
      <c r="Y1241" s="1488"/>
      <c r="Z1241" s="1488"/>
      <c r="AA1241" s="1488"/>
      <c r="AB1241" s="1488"/>
      <c r="AC1241" s="1488"/>
      <c r="AD1241" s="1488"/>
      <c r="AE1241" s="1488"/>
      <c r="AF1241" s="1488"/>
      <c r="AG1241" s="1488"/>
      <c r="AH1241" s="1451">
        <f t="shared" si="647"/>
        <v>0</v>
      </c>
      <c r="AI1241" s="1488"/>
      <c r="AJ1241" s="1488"/>
      <c r="AK1241" s="1488"/>
      <c r="AL1241" s="1488"/>
      <c r="AM1241" s="1488"/>
      <c r="AN1241" s="1488"/>
      <c r="AO1241" s="1488"/>
      <c r="AP1241" s="1488"/>
      <c r="AQ1241" s="1488"/>
      <c r="AR1241" s="1488"/>
      <c r="AS1241" s="1488"/>
      <c r="AT1241" s="1542"/>
      <c r="AU1241" s="1599">
        <f t="shared" si="648"/>
        <v>0</v>
      </c>
      <c r="AV1241" s="1544">
        <f t="shared" si="676"/>
        <v>0</v>
      </c>
      <c r="AW1241" s="1452">
        <f t="shared" si="649"/>
        <v>0</v>
      </c>
      <c r="AX1241" s="1452">
        <f t="shared" si="650"/>
        <v>0</v>
      </c>
      <c r="AY1241" s="1452">
        <f t="shared" si="651"/>
        <v>0</v>
      </c>
      <c r="AZ1241" s="1452">
        <f t="shared" si="652"/>
        <v>0</v>
      </c>
      <c r="BA1241" s="1452">
        <f t="shared" si="653"/>
        <v>0</v>
      </c>
      <c r="BB1241" s="1452">
        <f t="shared" si="654"/>
        <v>0</v>
      </c>
      <c r="BC1241" s="1452">
        <f t="shared" si="655"/>
        <v>0</v>
      </c>
      <c r="BD1241" s="1452">
        <f t="shared" si="656"/>
        <v>0</v>
      </c>
      <c r="BE1241" s="1452">
        <f t="shared" si="657"/>
        <v>0</v>
      </c>
      <c r="BF1241" s="1452">
        <f t="shared" si="658"/>
        <v>0</v>
      </c>
      <c r="BG1241" s="1452">
        <f t="shared" si="659"/>
        <v>0</v>
      </c>
      <c r="BH1241" s="1452">
        <f t="shared" si="660"/>
        <v>0</v>
      </c>
      <c r="BI1241" s="1452">
        <f t="shared" si="677"/>
        <v>0</v>
      </c>
      <c r="BJ1241" s="1452" t="str">
        <f t="shared" si="661"/>
        <v/>
      </c>
      <c r="BK1241" s="1452" t="str">
        <f t="shared" si="662"/>
        <v/>
      </c>
      <c r="BL1241" s="1452" t="str">
        <f t="shared" si="663"/>
        <v/>
      </c>
      <c r="BM1241" s="1452" t="str">
        <f t="shared" si="664"/>
        <v/>
      </c>
      <c r="BN1241" s="1452" t="str">
        <f t="shared" ca="1" si="665"/>
        <v/>
      </c>
      <c r="BO1241" s="1452" t="str">
        <f t="shared" si="678"/>
        <v/>
      </c>
      <c r="BP1241" s="1452" t="str">
        <f t="shared" si="666"/>
        <v/>
      </c>
      <c r="BQ1241" s="1452" t="str">
        <f t="shared" si="667"/>
        <v/>
      </c>
      <c r="BR1241" s="1452" t="str">
        <f t="shared" si="668"/>
        <v/>
      </c>
      <c r="BS1241" s="1452" t="str">
        <f t="shared" si="669"/>
        <v/>
      </c>
      <c r="BT1241" s="1452" t="str">
        <f t="shared" si="670"/>
        <v/>
      </c>
      <c r="BU1241" s="1452" t="str">
        <f t="shared" si="671"/>
        <v/>
      </c>
      <c r="BV1241" s="1452" t="str">
        <f t="shared" si="672"/>
        <v/>
      </c>
      <c r="BW1241" s="1558">
        <f t="shared" ca="1" si="679"/>
        <v>0</v>
      </c>
    </row>
    <row r="1242" spans="1:75" s="9" customFormat="1" ht="12.5">
      <c r="A1242" s="1483" t="str">
        <f t="shared" si="673"/>
        <v>Public Health Wales Trust</v>
      </c>
      <c r="B1242" s="1583"/>
      <c r="C1242" s="1583"/>
      <c r="D1242" s="1583"/>
      <c r="E1242" s="1581"/>
      <c r="F1242" s="1436"/>
      <c r="G1242" s="1547">
        <f t="shared" si="674"/>
        <v>0</v>
      </c>
      <c r="H1242" s="1484"/>
      <c r="I1242" s="1547">
        <f t="shared" si="675"/>
        <v>0</v>
      </c>
      <c r="J1242" s="1516"/>
      <c r="K1242" s="1516"/>
      <c r="L1242" s="1436"/>
      <c r="M1242" s="1439"/>
      <c r="N1242" s="1439"/>
      <c r="O1242" s="1485"/>
      <c r="P1242" s="1486"/>
      <c r="Q1242" s="1486"/>
      <c r="R1242" s="1487"/>
      <c r="S1242" s="1444"/>
      <c r="T1242" s="1444"/>
      <c r="U1242" s="1444"/>
      <c r="V1242" s="1488"/>
      <c r="W1242" s="1488"/>
      <c r="X1242" s="1488"/>
      <c r="Y1242" s="1488"/>
      <c r="Z1242" s="1488"/>
      <c r="AA1242" s="1488"/>
      <c r="AB1242" s="1488"/>
      <c r="AC1242" s="1488"/>
      <c r="AD1242" s="1488"/>
      <c r="AE1242" s="1488"/>
      <c r="AF1242" s="1488"/>
      <c r="AG1242" s="1488"/>
      <c r="AH1242" s="1451">
        <f t="shared" si="647"/>
        <v>0</v>
      </c>
      <c r="AI1242" s="1488"/>
      <c r="AJ1242" s="1488"/>
      <c r="AK1242" s="1488"/>
      <c r="AL1242" s="1488"/>
      <c r="AM1242" s="1488"/>
      <c r="AN1242" s="1488"/>
      <c r="AO1242" s="1488"/>
      <c r="AP1242" s="1488"/>
      <c r="AQ1242" s="1488"/>
      <c r="AR1242" s="1488"/>
      <c r="AS1242" s="1488"/>
      <c r="AT1242" s="1542"/>
      <c r="AU1242" s="1599">
        <f t="shared" si="648"/>
        <v>0</v>
      </c>
      <c r="AV1242" s="1544">
        <f t="shared" si="676"/>
        <v>0</v>
      </c>
      <c r="AW1242" s="1452">
        <f t="shared" si="649"/>
        <v>0</v>
      </c>
      <c r="AX1242" s="1452">
        <f t="shared" si="650"/>
        <v>0</v>
      </c>
      <c r="AY1242" s="1452">
        <f t="shared" si="651"/>
        <v>0</v>
      </c>
      <c r="AZ1242" s="1452">
        <f t="shared" si="652"/>
        <v>0</v>
      </c>
      <c r="BA1242" s="1452">
        <f t="shared" si="653"/>
        <v>0</v>
      </c>
      <c r="BB1242" s="1452">
        <f t="shared" si="654"/>
        <v>0</v>
      </c>
      <c r="BC1242" s="1452">
        <f t="shared" si="655"/>
        <v>0</v>
      </c>
      <c r="BD1242" s="1452">
        <f t="shared" si="656"/>
        <v>0</v>
      </c>
      <c r="BE1242" s="1452">
        <f t="shared" si="657"/>
        <v>0</v>
      </c>
      <c r="BF1242" s="1452">
        <f t="shared" si="658"/>
        <v>0</v>
      </c>
      <c r="BG1242" s="1452">
        <f t="shared" si="659"/>
        <v>0</v>
      </c>
      <c r="BH1242" s="1452">
        <f t="shared" si="660"/>
        <v>0</v>
      </c>
      <c r="BI1242" s="1452">
        <f t="shared" si="677"/>
        <v>0</v>
      </c>
      <c r="BJ1242" s="1452" t="str">
        <f t="shared" si="661"/>
        <v/>
      </c>
      <c r="BK1242" s="1452" t="str">
        <f t="shared" si="662"/>
        <v/>
      </c>
      <c r="BL1242" s="1452" t="str">
        <f t="shared" si="663"/>
        <v/>
      </c>
      <c r="BM1242" s="1452" t="str">
        <f t="shared" si="664"/>
        <v/>
      </c>
      <c r="BN1242" s="1452" t="str">
        <f t="shared" ca="1" si="665"/>
        <v/>
      </c>
      <c r="BO1242" s="1452" t="str">
        <f t="shared" si="678"/>
        <v/>
      </c>
      <c r="BP1242" s="1452" t="str">
        <f t="shared" si="666"/>
        <v/>
      </c>
      <c r="BQ1242" s="1452" t="str">
        <f t="shared" si="667"/>
        <v/>
      </c>
      <c r="BR1242" s="1452" t="str">
        <f t="shared" si="668"/>
        <v/>
      </c>
      <c r="BS1242" s="1452" t="str">
        <f t="shared" si="669"/>
        <v/>
      </c>
      <c r="BT1242" s="1452" t="str">
        <f t="shared" si="670"/>
        <v/>
      </c>
      <c r="BU1242" s="1452" t="str">
        <f t="shared" si="671"/>
        <v/>
      </c>
      <c r="BV1242" s="1452" t="str">
        <f t="shared" si="672"/>
        <v/>
      </c>
      <c r="BW1242" s="1558">
        <f t="shared" ca="1" si="679"/>
        <v>0</v>
      </c>
    </row>
    <row r="1243" spans="1:75" s="9" customFormat="1" ht="12.5">
      <c r="A1243" s="1483" t="str">
        <f t="shared" si="673"/>
        <v>Public Health Wales Trust</v>
      </c>
      <c r="B1243" s="1583"/>
      <c r="C1243" s="1583"/>
      <c r="D1243" s="1583"/>
      <c r="E1243" s="1581"/>
      <c r="F1243" s="1436"/>
      <c r="G1243" s="1547">
        <f t="shared" si="674"/>
        <v>0</v>
      </c>
      <c r="H1243" s="1484"/>
      <c r="I1243" s="1547">
        <f t="shared" si="675"/>
        <v>0</v>
      </c>
      <c r="J1243" s="1516"/>
      <c r="K1243" s="1516"/>
      <c r="L1243" s="1436"/>
      <c r="M1243" s="1439"/>
      <c r="N1243" s="1439"/>
      <c r="O1243" s="1485"/>
      <c r="P1243" s="1486"/>
      <c r="Q1243" s="1486"/>
      <c r="R1243" s="1487"/>
      <c r="S1243" s="1444"/>
      <c r="T1243" s="1444"/>
      <c r="U1243" s="1444"/>
      <c r="V1243" s="1488"/>
      <c r="W1243" s="1488"/>
      <c r="X1243" s="1488"/>
      <c r="Y1243" s="1488"/>
      <c r="Z1243" s="1488"/>
      <c r="AA1243" s="1488"/>
      <c r="AB1243" s="1488"/>
      <c r="AC1243" s="1488"/>
      <c r="AD1243" s="1488"/>
      <c r="AE1243" s="1488"/>
      <c r="AF1243" s="1488"/>
      <c r="AG1243" s="1488"/>
      <c r="AH1243" s="1451">
        <f t="shared" si="647"/>
        <v>0</v>
      </c>
      <c r="AI1243" s="1488"/>
      <c r="AJ1243" s="1488"/>
      <c r="AK1243" s="1488"/>
      <c r="AL1243" s="1488"/>
      <c r="AM1243" s="1488"/>
      <c r="AN1243" s="1488"/>
      <c r="AO1243" s="1488"/>
      <c r="AP1243" s="1488"/>
      <c r="AQ1243" s="1488"/>
      <c r="AR1243" s="1488"/>
      <c r="AS1243" s="1488"/>
      <c r="AT1243" s="1542"/>
      <c r="AU1243" s="1599">
        <f t="shared" si="648"/>
        <v>0</v>
      </c>
      <c r="AV1243" s="1544">
        <f t="shared" si="676"/>
        <v>0</v>
      </c>
      <c r="AW1243" s="1452">
        <f t="shared" si="649"/>
        <v>0</v>
      </c>
      <c r="AX1243" s="1452">
        <f t="shared" si="650"/>
        <v>0</v>
      </c>
      <c r="AY1243" s="1452">
        <f t="shared" si="651"/>
        <v>0</v>
      </c>
      <c r="AZ1243" s="1452">
        <f t="shared" si="652"/>
        <v>0</v>
      </c>
      <c r="BA1243" s="1452">
        <f t="shared" si="653"/>
        <v>0</v>
      </c>
      <c r="BB1243" s="1452">
        <f t="shared" si="654"/>
        <v>0</v>
      </c>
      <c r="BC1243" s="1452">
        <f t="shared" si="655"/>
        <v>0</v>
      </c>
      <c r="BD1243" s="1452">
        <f t="shared" si="656"/>
        <v>0</v>
      </c>
      <c r="BE1243" s="1452">
        <f t="shared" si="657"/>
        <v>0</v>
      </c>
      <c r="BF1243" s="1452">
        <f t="shared" si="658"/>
        <v>0</v>
      </c>
      <c r="BG1243" s="1452">
        <f t="shared" si="659"/>
        <v>0</v>
      </c>
      <c r="BH1243" s="1452">
        <f t="shared" si="660"/>
        <v>0</v>
      </c>
      <c r="BI1243" s="1452">
        <f t="shared" si="677"/>
        <v>0</v>
      </c>
      <c r="BJ1243" s="1452" t="str">
        <f t="shared" si="661"/>
        <v/>
      </c>
      <c r="BK1243" s="1452" t="str">
        <f t="shared" si="662"/>
        <v/>
      </c>
      <c r="BL1243" s="1452" t="str">
        <f t="shared" si="663"/>
        <v/>
      </c>
      <c r="BM1243" s="1452" t="str">
        <f t="shared" si="664"/>
        <v/>
      </c>
      <c r="BN1243" s="1452" t="str">
        <f t="shared" ca="1" si="665"/>
        <v/>
      </c>
      <c r="BO1243" s="1452" t="str">
        <f t="shared" si="678"/>
        <v/>
      </c>
      <c r="BP1243" s="1452" t="str">
        <f t="shared" si="666"/>
        <v/>
      </c>
      <c r="BQ1243" s="1452" t="str">
        <f t="shared" si="667"/>
        <v/>
      </c>
      <c r="BR1243" s="1452" t="str">
        <f t="shared" si="668"/>
        <v/>
      </c>
      <c r="BS1243" s="1452" t="str">
        <f t="shared" si="669"/>
        <v/>
      </c>
      <c r="BT1243" s="1452" t="str">
        <f t="shared" si="670"/>
        <v/>
      </c>
      <c r="BU1243" s="1452" t="str">
        <f t="shared" si="671"/>
        <v/>
      </c>
      <c r="BV1243" s="1452" t="str">
        <f t="shared" si="672"/>
        <v/>
      </c>
      <c r="BW1243" s="1558">
        <f t="shared" ca="1" si="679"/>
        <v>0</v>
      </c>
    </row>
    <row r="1244" spans="1:75" s="9" customFormat="1" ht="12.5">
      <c r="A1244" s="1483" t="str">
        <f t="shared" si="673"/>
        <v>Public Health Wales Trust</v>
      </c>
      <c r="B1244" s="1583"/>
      <c r="C1244" s="1583"/>
      <c r="D1244" s="1583"/>
      <c r="E1244" s="1581"/>
      <c r="F1244" s="1436"/>
      <c r="G1244" s="1547">
        <f t="shared" si="674"/>
        <v>0</v>
      </c>
      <c r="H1244" s="1484"/>
      <c r="I1244" s="1547">
        <f t="shared" si="675"/>
        <v>0</v>
      </c>
      <c r="J1244" s="1516"/>
      <c r="K1244" s="1516"/>
      <c r="L1244" s="1436"/>
      <c r="M1244" s="1439"/>
      <c r="N1244" s="1439"/>
      <c r="O1244" s="1485"/>
      <c r="P1244" s="1486"/>
      <c r="Q1244" s="1486"/>
      <c r="R1244" s="1487"/>
      <c r="S1244" s="1444"/>
      <c r="T1244" s="1444"/>
      <c r="U1244" s="1444"/>
      <c r="V1244" s="1488"/>
      <c r="W1244" s="1488"/>
      <c r="X1244" s="1488"/>
      <c r="Y1244" s="1488"/>
      <c r="Z1244" s="1488"/>
      <c r="AA1244" s="1488"/>
      <c r="AB1244" s="1488"/>
      <c r="AC1244" s="1488"/>
      <c r="AD1244" s="1488"/>
      <c r="AE1244" s="1488"/>
      <c r="AF1244" s="1488"/>
      <c r="AG1244" s="1488"/>
      <c r="AH1244" s="1451">
        <f t="shared" si="647"/>
        <v>0</v>
      </c>
      <c r="AI1244" s="1488"/>
      <c r="AJ1244" s="1488"/>
      <c r="AK1244" s="1488"/>
      <c r="AL1244" s="1488"/>
      <c r="AM1244" s="1488"/>
      <c r="AN1244" s="1488"/>
      <c r="AO1244" s="1488"/>
      <c r="AP1244" s="1488"/>
      <c r="AQ1244" s="1488"/>
      <c r="AR1244" s="1488"/>
      <c r="AS1244" s="1488"/>
      <c r="AT1244" s="1542"/>
      <c r="AU1244" s="1599">
        <f t="shared" si="648"/>
        <v>0</v>
      </c>
      <c r="AV1244" s="1544">
        <f t="shared" si="676"/>
        <v>0</v>
      </c>
      <c r="AW1244" s="1452">
        <f t="shared" si="649"/>
        <v>0</v>
      </c>
      <c r="AX1244" s="1452">
        <f t="shared" si="650"/>
        <v>0</v>
      </c>
      <c r="AY1244" s="1452">
        <f t="shared" si="651"/>
        <v>0</v>
      </c>
      <c r="AZ1244" s="1452">
        <f t="shared" si="652"/>
        <v>0</v>
      </c>
      <c r="BA1244" s="1452">
        <f t="shared" si="653"/>
        <v>0</v>
      </c>
      <c r="BB1244" s="1452">
        <f t="shared" si="654"/>
        <v>0</v>
      </c>
      <c r="BC1244" s="1452">
        <f t="shared" si="655"/>
        <v>0</v>
      </c>
      <c r="BD1244" s="1452">
        <f t="shared" si="656"/>
        <v>0</v>
      </c>
      <c r="BE1244" s="1452">
        <f t="shared" si="657"/>
        <v>0</v>
      </c>
      <c r="BF1244" s="1452">
        <f t="shared" si="658"/>
        <v>0</v>
      </c>
      <c r="BG1244" s="1452">
        <f t="shared" si="659"/>
        <v>0</v>
      </c>
      <c r="BH1244" s="1452">
        <f t="shared" si="660"/>
        <v>0</v>
      </c>
      <c r="BI1244" s="1452">
        <f t="shared" si="677"/>
        <v>0</v>
      </c>
      <c r="BJ1244" s="1452" t="str">
        <f t="shared" si="661"/>
        <v/>
      </c>
      <c r="BK1244" s="1452" t="str">
        <f t="shared" si="662"/>
        <v/>
      </c>
      <c r="BL1244" s="1452" t="str">
        <f t="shared" si="663"/>
        <v/>
      </c>
      <c r="BM1244" s="1452" t="str">
        <f t="shared" si="664"/>
        <v/>
      </c>
      <c r="BN1244" s="1452" t="str">
        <f t="shared" ca="1" si="665"/>
        <v/>
      </c>
      <c r="BO1244" s="1452" t="str">
        <f t="shared" si="678"/>
        <v/>
      </c>
      <c r="BP1244" s="1452" t="str">
        <f t="shared" si="666"/>
        <v/>
      </c>
      <c r="BQ1244" s="1452" t="str">
        <f t="shared" si="667"/>
        <v/>
      </c>
      <c r="BR1244" s="1452" t="str">
        <f t="shared" si="668"/>
        <v/>
      </c>
      <c r="BS1244" s="1452" t="str">
        <f t="shared" si="669"/>
        <v/>
      </c>
      <c r="BT1244" s="1452" t="str">
        <f t="shared" si="670"/>
        <v/>
      </c>
      <c r="BU1244" s="1452" t="str">
        <f t="shared" si="671"/>
        <v/>
      </c>
      <c r="BV1244" s="1452" t="str">
        <f t="shared" si="672"/>
        <v/>
      </c>
      <c r="BW1244" s="1558">
        <f t="shared" ca="1" si="679"/>
        <v>0</v>
      </c>
    </row>
    <row r="1245" spans="1:75" s="9" customFormat="1" ht="12.5">
      <c r="A1245" s="1483" t="str">
        <f t="shared" si="673"/>
        <v>Public Health Wales Trust</v>
      </c>
      <c r="B1245" s="1583"/>
      <c r="C1245" s="1583"/>
      <c r="D1245" s="1583"/>
      <c r="E1245" s="1581"/>
      <c r="F1245" s="1436"/>
      <c r="G1245" s="1547">
        <f t="shared" si="674"/>
        <v>0</v>
      </c>
      <c r="H1245" s="1484"/>
      <c r="I1245" s="1547">
        <f t="shared" si="675"/>
        <v>0</v>
      </c>
      <c r="J1245" s="1516"/>
      <c r="K1245" s="1516"/>
      <c r="L1245" s="1436"/>
      <c r="M1245" s="1439"/>
      <c r="N1245" s="1439"/>
      <c r="O1245" s="1485"/>
      <c r="P1245" s="1486"/>
      <c r="Q1245" s="1486"/>
      <c r="R1245" s="1487"/>
      <c r="S1245" s="1444"/>
      <c r="T1245" s="1444"/>
      <c r="U1245" s="1444"/>
      <c r="V1245" s="1488"/>
      <c r="W1245" s="1488"/>
      <c r="X1245" s="1488"/>
      <c r="Y1245" s="1488"/>
      <c r="Z1245" s="1488"/>
      <c r="AA1245" s="1488"/>
      <c r="AB1245" s="1488"/>
      <c r="AC1245" s="1488"/>
      <c r="AD1245" s="1488"/>
      <c r="AE1245" s="1488"/>
      <c r="AF1245" s="1488"/>
      <c r="AG1245" s="1488"/>
      <c r="AH1245" s="1451">
        <f t="shared" si="647"/>
        <v>0</v>
      </c>
      <c r="AI1245" s="1488"/>
      <c r="AJ1245" s="1488"/>
      <c r="AK1245" s="1488"/>
      <c r="AL1245" s="1488"/>
      <c r="AM1245" s="1488"/>
      <c r="AN1245" s="1488"/>
      <c r="AO1245" s="1488"/>
      <c r="AP1245" s="1488"/>
      <c r="AQ1245" s="1488"/>
      <c r="AR1245" s="1488"/>
      <c r="AS1245" s="1488"/>
      <c r="AT1245" s="1542"/>
      <c r="AU1245" s="1599">
        <f t="shared" si="648"/>
        <v>0</v>
      </c>
      <c r="AV1245" s="1544">
        <f t="shared" si="676"/>
        <v>0</v>
      </c>
      <c r="AW1245" s="1452">
        <f t="shared" si="649"/>
        <v>0</v>
      </c>
      <c r="AX1245" s="1452">
        <f t="shared" si="650"/>
        <v>0</v>
      </c>
      <c r="AY1245" s="1452">
        <f t="shared" si="651"/>
        <v>0</v>
      </c>
      <c r="AZ1245" s="1452">
        <f t="shared" si="652"/>
        <v>0</v>
      </c>
      <c r="BA1245" s="1452">
        <f t="shared" si="653"/>
        <v>0</v>
      </c>
      <c r="BB1245" s="1452">
        <f t="shared" si="654"/>
        <v>0</v>
      </c>
      <c r="BC1245" s="1452">
        <f t="shared" si="655"/>
        <v>0</v>
      </c>
      <c r="BD1245" s="1452">
        <f t="shared" si="656"/>
        <v>0</v>
      </c>
      <c r="BE1245" s="1452">
        <f t="shared" si="657"/>
        <v>0</v>
      </c>
      <c r="BF1245" s="1452">
        <f t="shared" si="658"/>
        <v>0</v>
      </c>
      <c r="BG1245" s="1452">
        <f t="shared" si="659"/>
        <v>0</v>
      </c>
      <c r="BH1245" s="1452">
        <f t="shared" si="660"/>
        <v>0</v>
      </c>
      <c r="BI1245" s="1452">
        <f t="shared" si="677"/>
        <v>0</v>
      </c>
      <c r="BJ1245" s="1452" t="str">
        <f t="shared" si="661"/>
        <v/>
      </c>
      <c r="BK1245" s="1452" t="str">
        <f t="shared" si="662"/>
        <v/>
      </c>
      <c r="BL1245" s="1452" t="str">
        <f t="shared" si="663"/>
        <v/>
      </c>
      <c r="BM1245" s="1452" t="str">
        <f t="shared" si="664"/>
        <v/>
      </c>
      <c r="BN1245" s="1452" t="str">
        <f t="shared" ca="1" si="665"/>
        <v/>
      </c>
      <c r="BO1245" s="1452" t="str">
        <f t="shared" si="678"/>
        <v/>
      </c>
      <c r="BP1245" s="1452" t="str">
        <f t="shared" si="666"/>
        <v/>
      </c>
      <c r="BQ1245" s="1452" t="str">
        <f t="shared" si="667"/>
        <v/>
      </c>
      <c r="BR1245" s="1452" t="str">
        <f t="shared" si="668"/>
        <v/>
      </c>
      <c r="BS1245" s="1452" t="str">
        <f t="shared" si="669"/>
        <v/>
      </c>
      <c r="BT1245" s="1452" t="str">
        <f t="shared" si="670"/>
        <v/>
      </c>
      <c r="BU1245" s="1452" t="str">
        <f t="shared" si="671"/>
        <v/>
      </c>
      <c r="BV1245" s="1452" t="str">
        <f t="shared" si="672"/>
        <v/>
      </c>
      <c r="BW1245" s="1558">
        <f t="shared" ca="1" si="679"/>
        <v>0</v>
      </c>
    </row>
    <row r="1246" spans="1:75" s="9" customFormat="1" ht="12.5">
      <c r="A1246" s="1483" t="str">
        <f t="shared" si="673"/>
        <v>Public Health Wales Trust</v>
      </c>
      <c r="B1246" s="1583"/>
      <c r="C1246" s="1583"/>
      <c r="D1246" s="1583"/>
      <c r="E1246" s="1581"/>
      <c r="F1246" s="1436"/>
      <c r="G1246" s="1547">
        <f t="shared" si="674"/>
        <v>0</v>
      </c>
      <c r="H1246" s="1484"/>
      <c r="I1246" s="1547">
        <f t="shared" si="675"/>
        <v>0</v>
      </c>
      <c r="J1246" s="1516"/>
      <c r="K1246" s="1516"/>
      <c r="L1246" s="1436"/>
      <c r="M1246" s="1439"/>
      <c r="N1246" s="1439"/>
      <c r="O1246" s="1485"/>
      <c r="P1246" s="1486"/>
      <c r="Q1246" s="1486"/>
      <c r="R1246" s="1487"/>
      <c r="S1246" s="1444"/>
      <c r="T1246" s="1444"/>
      <c r="U1246" s="1444"/>
      <c r="V1246" s="1488"/>
      <c r="W1246" s="1488"/>
      <c r="X1246" s="1488"/>
      <c r="Y1246" s="1488"/>
      <c r="Z1246" s="1488"/>
      <c r="AA1246" s="1488"/>
      <c r="AB1246" s="1488"/>
      <c r="AC1246" s="1488"/>
      <c r="AD1246" s="1488"/>
      <c r="AE1246" s="1488"/>
      <c r="AF1246" s="1488"/>
      <c r="AG1246" s="1488"/>
      <c r="AH1246" s="1451">
        <f t="shared" si="647"/>
        <v>0</v>
      </c>
      <c r="AI1246" s="1488"/>
      <c r="AJ1246" s="1488"/>
      <c r="AK1246" s="1488"/>
      <c r="AL1246" s="1488"/>
      <c r="AM1246" s="1488"/>
      <c r="AN1246" s="1488"/>
      <c r="AO1246" s="1488"/>
      <c r="AP1246" s="1488"/>
      <c r="AQ1246" s="1488"/>
      <c r="AR1246" s="1488"/>
      <c r="AS1246" s="1488"/>
      <c r="AT1246" s="1542"/>
      <c r="AU1246" s="1599">
        <f t="shared" si="648"/>
        <v>0</v>
      </c>
      <c r="AV1246" s="1544">
        <f t="shared" si="676"/>
        <v>0</v>
      </c>
      <c r="AW1246" s="1452">
        <f t="shared" si="649"/>
        <v>0</v>
      </c>
      <c r="AX1246" s="1452">
        <f t="shared" si="650"/>
        <v>0</v>
      </c>
      <c r="AY1246" s="1452">
        <f t="shared" si="651"/>
        <v>0</v>
      </c>
      <c r="AZ1246" s="1452">
        <f t="shared" si="652"/>
        <v>0</v>
      </c>
      <c r="BA1246" s="1452">
        <f t="shared" si="653"/>
        <v>0</v>
      </c>
      <c r="BB1246" s="1452">
        <f t="shared" si="654"/>
        <v>0</v>
      </c>
      <c r="BC1246" s="1452">
        <f t="shared" si="655"/>
        <v>0</v>
      </c>
      <c r="BD1246" s="1452">
        <f t="shared" si="656"/>
        <v>0</v>
      </c>
      <c r="BE1246" s="1452">
        <f t="shared" si="657"/>
        <v>0</v>
      </c>
      <c r="BF1246" s="1452">
        <f t="shared" si="658"/>
        <v>0</v>
      </c>
      <c r="BG1246" s="1452">
        <f t="shared" si="659"/>
        <v>0</v>
      </c>
      <c r="BH1246" s="1452">
        <f t="shared" si="660"/>
        <v>0</v>
      </c>
      <c r="BI1246" s="1452">
        <f t="shared" si="677"/>
        <v>0</v>
      </c>
      <c r="BJ1246" s="1452" t="str">
        <f t="shared" si="661"/>
        <v/>
      </c>
      <c r="BK1246" s="1452" t="str">
        <f t="shared" si="662"/>
        <v/>
      </c>
      <c r="BL1246" s="1452" t="str">
        <f t="shared" si="663"/>
        <v/>
      </c>
      <c r="BM1246" s="1452" t="str">
        <f t="shared" si="664"/>
        <v/>
      </c>
      <c r="BN1246" s="1452" t="str">
        <f t="shared" ca="1" si="665"/>
        <v/>
      </c>
      <c r="BO1246" s="1452" t="str">
        <f t="shared" si="678"/>
        <v/>
      </c>
      <c r="BP1246" s="1452" t="str">
        <f t="shared" si="666"/>
        <v/>
      </c>
      <c r="BQ1246" s="1452" t="str">
        <f t="shared" si="667"/>
        <v/>
      </c>
      <c r="BR1246" s="1452" t="str">
        <f t="shared" si="668"/>
        <v/>
      </c>
      <c r="BS1246" s="1452" t="str">
        <f t="shared" si="669"/>
        <v/>
      </c>
      <c r="BT1246" s="1452" t="str">
        <f t="shared" si="670"/>
        <v/>
      </c>
      <c r="BU1246" s="1452" t="str">
        <f t="shared" si="671"/>
        <v/>
      </c>
      <c r="BV1246" s="1452" t="str">
        <f t="shared" si="672"/>
        <v/>
      </c>
      <c r="BW1246" s="1558">
        <f t="shared" ca="1" si="679"/>
        <v>0</v>
      </c>
    </row>
    <row r="1247" spans="1:75" s="9" customFormat="1" ht="12.5">
      <c r="A1247" s="1483" t="str">
        <f t="shared" si="673"/>
        <v>Public Health Wales Trust</v>
      </c>
      <c r="B1247" s="1583"/>
      <c r="C1247" s="1583"/>
      <c r="D1247" s="1583"/>
      <c r="E1247" s="1581"/>
      <c r="F1247" s="1436"/>
      <c r="G1247" s="1547">
        <f t="shared" si="674"/>
        <v>0</v>
      </c>
      <c r="H1247" s="1484"/>
      <c r="I1247" s="1547">
        <f t="shared" si="675"/>
        <v>0</v>
      </c>
      <c r="J1247" s="1516"/>
      <c r="K1247" s="1516"/>
      <c r="L1247" s="1436"/>
      <c r="M1247" s="1439"/>
      <c r="N1247" s="1439"/>
      <c r="O1247" s="1485"/>
      <c r="P1247" s="1486"/>
      <c r="Q1247" s="1486"/>
      <c r="R1247" s="1487"/>
      <c r="S1247" s="1444"/>
      <c r="T1247" s="1444"/>
      <c r="U1247" s="1444"/>
      <c r="V1247" s="1488"/>
      <c r="W1247" s="1488"/>
      <c r="X1247" s="1488"/>
      <c r="Y1247" s="1488"/>
      <c r="Z1247" s="1488"/>
      <c r="AA1247" s="1488"/>
      <c r="AB1247" s="1488"/>
      <c r="AC1247" s="1488"/>
      <c r="AD1247" s="1488"/>
      <c r="AE1247" s="1488"/>
      <c r="AF1247" s="1488"/>
      <c r="AG1247" s="1488"/>
      <c r="AH1247" s="1451">
        <f t="shared" si="647"/>
        <v>0</v>
      </c>
      <c r="AI1247" s="1488"/>
      <c r="AJ1247" s="1488"/>
      <c r="AK1247" s="1488"/>
      <c r="AL1247" s="1488"/>
      <c r="AM1247" s="1488"/>
      <c r="AN1247" s="1488"/>
      <c r="AO1247" s="1488"/>
      <c r="AP1247" s="1488"/>
      <c r="AQ1247" s="1488"/>
      <c r="AR1247" s="1488"/>
      <c r="AS1247" s="1488"/>
      <c r="AT1247" s="1542"/>
      <c r="AU1247" s="1599">
        <f t="shared" si="648"/>
        <v>0</v>
      </c>
      <c r="AV1247" s="1544">
        <f t="shared" si="676"/>
        <v>0</v>
      </c>
      <c r="AW1247" s="1452">
        <f t="shared" si="649"/>
        <v>0</v>
      </c>
      <c r="AX1247" s="1452">
        <f t="shared" si="650"/>
        <v>0</v>
      </c>
      <c r="AY1247" s="1452">
        <f t="shared" si="651"/>
        <v>0</v>
      </c>
      <c r="AZ1247" s="1452">
        <f t="shared" si="652"/>
        <v>0</v>
      </c>
      <c r="BA1247" s="1452">
        <f t="shared" si="653"/>
        <v>0</v>
      </c>
      <c r="BB1247" s="1452">
        <f t="shared" si="654"/>
        <v>0</v>
      </c>
      <c r="BC1247" s="1452">
        <f t="shared" si="655"/>
        <v>0</v>
      </c>
      <c r="BD1247" s="1452">
        <f t="shared" si="656"/>
        <v>0</v>
      </c>
      <c r="BE1247" s="1452">
        <f t="shared" si="657"/>
        <v>0</v>
      </c>
      <c r="BF1247" s="1452">
        <f t="shared" si="658"/>
        <v>0</v>
      </c>
      <c r="BG1247" s="1452">
        <f t="shared" si="659"/>
        <v>0</v>
      </c>
      <c r="BH1247" s="1452">
        <f t="shared" si="660"/>
        <v>0</v>
      </c>
      <c r="BI1247" s="1452">
        <f t="shared" si="677"/>
        <v>0</v>
      </c>
      <c r="BJ1247" s="1452" t="str">
        <f t="shared" si="661"/>
        <v/>
      </c>
      <c r="BK1247" s="1452" t="str">
        <f t="shared" si="662"/>
        <v/>
      </c>
      <c r="BL1247" s="1452" t="str">
        <f t="shared" si="663"/>
        <v/>
      </c>
      <c r="BM1247" s="1452" t="str">
        <f t="shared" si="664"/>
        <v/>
      </c>
      <c r="BN1247" s="1452" t="str">
        <f t="shared" ca="1" si="665"/>
        <v/>
      </c>
      <c r="BO1247" s="1452" t="str">
        <f t="shared" si="678"/>
        <v/>
      </c>
      <c r="BP1247" s="1452" t="str">
        <f t="shared" si="666"/>
        <v/>
      </c>
      <c r="BQ1247" s="1452" t="str">
        <f t="shared" si="667"/>
        <v/>
      </c>
      <c r="BR1247" s="1452" t="str">
        <f t="shared" si="668"/>
        <v/>
      </c>
      <c r="BS1247" s="1452" t="str">
        <f t="shared" si="669"/>
        <v/>
      </c>
      <c r="BT1247" s="1452" t="str">
        <f t="shared" si="670"/>
        <v/>
      </c>
      <c r="BU1247" s="1452" t="str">
        <f t="shared" si="671"/>
        <v/>
      </c>
      <c r="BV1247" s="1452" t="str">
        <f t="shared" si="672"/>
        <v/>
      </c>
      <c r="BW1247" s="1558">
        <f t="shared" ca="1" si="679"/>
        <v>0</v>
      </c>
    </row>
    <row r="1248" spans="1:75" s="9" customFormat="1" ht="12.5">
      <c r="A1248" s="1483" t="str">
        <f t="shared" si="673"/>
        <v>Public Health Wales Trust</v>
      </c>
      <c r="B1248" s="1583"/>
      <c r="C1248" s="1583"/>
      <c r="D1248" s="1583"/>
      <c r="E1248" s="1585"/>
      <c r="F1248" s="1436"/>
      <c r="G1248" s="1547">
        <f t="shared" si="674"/>
        <v>0</v>
      </c>
      <c r="H1248" s="1484"/>
      <c r="I1248" s="1547">
        <f t="shared" si="675"/>
        <v>0</v>
      </c>
      <c r="J1248" s="1485"/>
      <c r="K1248" s="1485"/>
      <c r="L1248" s="1436"/>
      <c r="M1248" s="1439"/>
      <c r="N1248" s="1439"/>
      <c r="O1248" s="1485"/>
      <c r="P1248" s="1486"/>
      <c r="Q1248" s="1486"/>
      <c r="R1248" s="1487"/>
      <c r="S1248" s="1444"/>
      <c r="T1248" s="1444"/>
      <c r="U1248" s="1444"/>
      <c r="V1248" s="1488"/>
      <c r="W1248" s="1488"/>
      <c r="X1248" s="1488"/>
      <c r="Y1248" s="1488"/>
      <c r="Z1248" s="1488"/>
      <c r="AA1248" s="1488"/>
      <c r="AB1248" s="1488"/>
      <c r="AC1248" s="1488"/>
      <c r="AD1248" s="1488"/>
      <c r="AE1248" s="1488"/>
      <c r="AF1248" s="1488"/>
      <c r="AG1248" s="1488"/>
      <c r="AH1248" s="1451">
        <f t="shared" si="647"/>
        <v>0</v>
      </c>
      <c r="AI1248" s="1488"/>
      <c r="AJ1248" s="1488"/>
      <c r="AK1248" s="1488"/>
      <c r="AL1248" s="1488"/>
      <c r="AM1248" s="1488"/>
      <c r="AN1248" s="1488"/>
      <c r="AO1248" s="1488"/>
      <c r="AP1248" s="1488"/>
      <c r="AQ1248" s="1488"/>
      <c r="AR1248" s="1488"/>
      <c r="AS1248" s="1488"/>
      <c r="AT1248" s="1542"/>
      <c r="AU1248" s="1599">
        <f t="shared" si="648"/>
        <v>0</v>
      </c>
      <c r="AV1248" s="1544">
        <f t="shared" si="676"/>
        <v>0</v>
      </c>
      <c r="AW1248" s="1452">
        <f t="shared" si="649"/>
        <v>0</v>
      </c>
      <c r="AX1248" s="1452">
        <f t="shared" si="650"/>
        <v>0</v>
      </c>
      <c r="AY1248" s="1452">
        <f t="shared" si="651"/>
        <v>0</v>
      </c>
      <c r="AZ1248" s="1452">
        <f t="shared" si="652"/>
        <v>0</v>
      </c>
      <c r="BA1248" s="1452">
        <f t="shared" si="653"/>
        <v>0</v>
      </c>
      <c r="BB1248" s="1452">
        <f t="shared" si="654"/>
        <v>0</v>
      </c>
      <c r="BC1248" s="1452">
        <f t="shared" si="655"/>
        <v>0</v>
      </c>
      <c r="BD1248" s="1452">
        <f t="shared" si="656"/>
        <v>0</v>
      </c>
      <c r="BE1248" s="1452">
        <f t="shared" si="657"/>
        <v>0</v>
      </c>
      <c r="BF1248" s="1452">
        <f t="shared" si="658"/>
        <v>0</v>
      </c>
      <c r="BG1248" s="1452">
        <f t="shared" si="659"/>
        <v>0</v>
      </c>
      <c r="BH1248" s="1452">
        <f t="shared" si="660"/>
        <v>0</v>
      </c>
      <c r="BI1248" s="1452">
        <f t="shared" si="677"/>
        <v>0</v>
      </c>
      <c r="BJ1248" s="1452" t="str">
        <f t="shared" si="661"/>
        <v/>
      </c>
      <c r="BK1248" s="1452" t="str">
        <f t="shared" si="662"/>
        <v/>
      </c>
      <c r="BL1248" s="1452" t="str">
        <f t="shared" si="663"/>
        <v/>
      </c>
      <c r="BM1248" s="1452" t="str">
        <f t="shared" si="664"/>
        <v/>
      </c>
      <c r="BN1248" s="1452" t="str">
        <f t="shared" ca="1" si="665"/>
        <v/>
      </c>
      <c r="BO1248" s="1452" t="str">
        <f t="shared" si="678"/>
        <v/>
      </c>
      <c r="BP1248" s="1452" t="str">
        <f t="shared" si="666"/>
        <v/>
      </c>
      <c r="BQ1248" s="1452" t="str">
        <f t="shared" si="667"/>
        <v/>
      </c>
      <c r="BR1248" s="1452" t="str">
        <f t="shared" si="668"/>
        <v/>
      </c>
      <c r="BS1248" s="1452" t="str">
        <f t="shared" si="669"/>
        <v/>
      </c>
      <c r="BT1248" s="1452" t="str">
        <f t="shared" si="670"/>
        <v/>
      </c>
      <c r="BU1248" s="1452" t="str">
        <f t="shared" si="671"/>
        <v/>
      </c>
      <c r="BV1248" s="1452" t="str">
        <f t="shared" si="672"/>
        <v/>
      </c>
      <c r="BW1248" s="1558">
        <f t="shared" ca="1" si="679"/>
        <v>0</v>
      </c>
    </row>
    <row r="1249" spans="1:75" s="9" customFormat="1" ht="12.5">
      <c r="A1249" s="1483" t="str">
        <f t="shared" si="673"/>
        <v>Public Health Wales Trust</v>
      </c>
      <c r="B1249" s="1583"/>
      <c r="C1249" s="1583"/>
      <c r="D1249" s="1583"/>
      <c r="E1249" s="1581"/>
      <c r="F1249" s="1436"/>
      <c r="G1249" s="1547">
        <f t="shared" si="674"/>
        <v>0</v>
      </c>
      <c r="H1249" s="1484"/>
      <c r="I1249" s="1547">
        <f t="shared" si="675"/>
        <v>0</v>
      </c>
      <c r="J1249" s="1485"/>
      <c r="K1249" s="1485"/>
      <c r="L1249" s="1436"/>
      <c r="M1249" s="1439"/>
      <c r="N1249" s="1439"/>
      <c r="O1249" s="1485"/>
      <c r="P1249" s="1486"/>
      <c r="Q1249" s="1486"/>
      <c r="R1249" s="1487"/>
      <c r="S1249" s="1444"/>
      <c r="T1249" s="1444"/>
      <c r="U1249" s="1444"/>
      <c r="V1249" s="1488"/>
      <c r="W1249" s="1488"/>
      <c r="X1249" s="1488"/>
      <c r="Y1249" s="1488"/>
      <c r="Z1249" s="1488"/>
      <c r="AA1249" s="1488"/>
      <c r="AB1249" s="1488"/>
      <c r="AC1249" s="1488"/>
      <c r="AD1249" s="1488"/>
      <c r="AE1249" s="1488"/>
      <c r="AF1249" s="1488"/>
      <c r="AG1249" s="1488"/>
      <c r="AH1249" s="1451">
        <f t="shared" si="647"/>
        <v>0</v>
      </c>
      <c r="AI1249" s="1488"/>
      <c r="AJ1249" s="1488"/>
      <c r="AK1249" s="1488"/>
      <c r="AL1249" s="1488"/>
      <c r="AM1249" s="1488"/>
      <c r="AN1249" s="1488"/>
      <c r="AO1249" s="1488"/>
      <c r="AP1249" s="1488"/>
      <c r="AQ1249" s="1488"/>
      <c r="AR1249" s="1488"/>
      <c r="AS1249" s="1488"/>
      <c r="AT1249" s="1542"/>
      <c r="AU1249" s="1599">
        <f t="shared" si="648"/>
        <v>0</v>
      </c>
      <c r="AV1249" s="1544">
        <f t="shared" si="676"/>
        <v>0</v>
      </c>
      <c r="AW1249" s="1452">
        <f t="shared" si="649"/>
        <v>0</v>
      </c>
      <c r="AX1249" s="1452">
        <f t="shared" si="650"/>
        <v>0</v>
      </c>
      <c r="AY1249" s="1452">
        <f t="shared" si="651"/>
        <v>0</v>
      </c>
      <c r="AZ1249" s="1452">
        <f t="shared" si="652"/>
        <v>0</v>
      </c>
      <c r="BA1249" s="1452">
        <f t="shared" si="653"/>
        <v>0</v>
      </c>
      <c r="BB1249" s="1452">
        <f t="shared" si="654"/>
        <v>0</v>
      </c>
      <c r="BC1249" s="1452">
        <f t="shared" si="655"/>
        <v>0</v>
      </c>
      <c r="BD1249" s="1452">
        <f t="shared" si="656"/>
        <v>0</v>
      </c>
      <c r="BE1249" s="1452">
        <f t="shared" si="657"/>
        <v>0</v>
      </c>
      <c r="BF1249" s="1452">
        <f t="shared" si="658"/>
        <v>0</v>
      </c>
      <c r="BG1249" s="1452">
        <f t="shared" si="659"/>
        <v>0</v>
      </c>
      <c r="BH1249" s="1452">
        <f t="shared" si="660"/>
        <v>0</v>
      </c>
      <c r="BI1249" s="1452">
        <f t="shared" si="677"/>
        <v>0</v>
      </c>
      <c r="BJ1249" s="1452" t="str">
        <f t="shared" si="661"/>
        <v/>
      </c>
      <c r="BK1249" s="1452" t="str">
        <f t="shared" si="662"/>
        <v/>
      </c>
      <c r="BL1249" s="1452" t="str">
        <f t="shared" si="663"/>
        <v/>
      </c>
      <c r="BM1249" s="1452" t="str">
        <f t="shared" si="664"/>
        <v/>
      </c>
      <c r="BN1249" s="1452" t="str">
        <f t="shared" ca="1" si="665"/>
        <v/>
      </c>
      <c r="BO1249" s="1452" t="str">
        <f t="shared" si="678"/>
        <v/>
      </c>
      <c r="BP1249" s="1452" t="str">
        <f t="shared" si="666"/>
        <v/>
      </c>
      <c r="BQ1249" s="1452" t="str">
        <f t="shared" si="667"/>
        <v/>
      </c>
      <c r="BR1249" s="1452" t="str">
        <f t="shared" si="668"/>
        <v/>
      </c>
      <c r="BS1249" s="1452" t="str">
        <f t="shared" si="669"/>
        <v/>
      </c>
      <c r="BT1249" s="1452" t="str">
        <f t="shared" si="670"/>
        <v/>
      </c>
      <c r="BU1249" s="1452" t="str">
        <f t="shared" si="671"/>
        <v/>
      </c>
      <c r="BV1249" s="1452" t="str">
        <f t="shared" si="672"/>
        <v/>
      </c>
      <c r="BW1249" s="1558">
        <f t="shared" ca="1" si="679"/>
        <v>0</v>
      </c>
    </row>
    <row r="1250" spans="1:75" s="9" customFormat="1" ht="12.5">
      <c r="A1250" s="1483" t="str">
        <f t="shared" si="673"/>
        <v>Public Health Wales Trust</v>
      </c>
      <c r="B1250" s="1583"/>
      <c r="C1250" s="1583"/>
      <c r="D1250" s="1583"/>
      <c r="E1250" s="1581"/>
      <c r="F1250" s="1436"/>
      <c r="G1250" s="1547">
        <f t="shared" si="674"/>
        <v>0</v>
      </c>
      <c r="H1250" s="1484"/>
      <c r="I1250" s="1547">
        <f t="shared" si="675"/>
        <v>0</v>
      </c>
      <c r="J1250" s="1485"/>
      <c r="K1250" s="1485"/>
      <c r="L1250" s="1436"/>
      <c r="M1250" s="1439"/>
      <c r="N1250" s="1439"/>
      <c r="O1250" s="1485"/>
      <c r="P1250" s="1486"/>
      <c r="Q1250" s="1486"/>
      <c r="R1250" s="1487"/>
      <c r="S1250" s="1444"/>
      <c r="T1250" s="1444"/>
      <c r="U1250" s="1444"/>
      <c r="V1250" s="1488"/>
      <c r="W1250" s="1488"/>
      <c r="X1250" s="1488"/>
      <c r="Y1250" s="1488"/>
      <c r="Z1250" s="1488"/>
      <c r="AA1250" s="1488"/>
      <c r="AB1250" s="1488"/>
      <c r="AC1250" s="1488"/>
      <c r="AD1250" s="1488"/>
      <c r="AE1250" s="1488"/>
      <c r="AF1250" s="1488"/>
      <c r="AG1250" s="1488"/>
      <c r="AH1250" s="1451">
        <f t="shared" si="647"/>
        <v>0</v>
      </c>
      <c r="AI1250" s="1488"/>
      <c r="AJ1250" s="1488"/>
      <c r="AK1250" s="1488"/>
      <c r="AL1250" s="1488"/>
      <c r="AM1250" s="1488"/>
      <c r="AN1250" s="1488"/>
      <c r="AO1250" s="1488"/>
      <c r="AP1250" s="1488"/>
      <c r="AQ1250" s="1488"/>
      <c r="AR1250" s="1488"/>
      <c r="AS1250" s="1488"/>
      <c r="AT1250" s="1542"/>
      <c r="AU1250" s="1599">
        <f t="shared" si="648"/>
        <v>0</v>
      </c>
      <c r="AV1250" s="1544">
        <f t="shared" si="676"/>
        <v>0</v>
      </c>
      <c r="AW1250" s="1452">
        <f t="shared" si="649"/>
        <v>0</v>
      </c>
      <c r="AX1250" s="1452">
        <f t="shared" si="650"/>
        <v>0</v>
      </c>
      <c r="AY1250" s="1452">
        <f t="shared" si="651"/>
        <v>0</v>
      </c>
      <c r="AZ1250" s="1452">
        <f t="shared" si="652"/>
        <v>0</v>
      </c>
      <c r="BA1250" s="1452">
        <f t="shared" si="653"/>
        <v>0</v>
      </c>
      <c r="BB1250" s="1452">
        <f t="shared" si="654"/>
        <v>0</v>
      </c>
      <c r="BC1250" s="1452">
        <f t="shared" si="655"/>
        <v>0</v>
      </c>
      <c r="BD1250" s="1452">
        <f t="shared" si="656"/>
        <v>0</v>
      </c>
      <c r="BE1250" s="1452">
        <f t="shared" si="657"/>
        <v>0</v>
      </c>
      <c r="BF1250" s="1452">
        <f t="shared" si="658"/>
        <v>0</v>
      </c>
      <c r="BG1250" s="1452">
        <f t="shared" si="659"/>
        <v>0</v>
      </c>
      <c r="BH1250" s="1452">
        <f t="shared" si="660"/>
        <v>0</v>
      </c>
      <c r="BI1250" s="1452">
        <f t="shared" si="677"/>
        <v>0</v>
      </c>
      <c r="BJ1250" s="1452" t="str">
        <f t="shared" si="661"/>
        <v/>
      </c>
      <c r="BK1250" s="1452" t="str">
        <f t="shared" si="662"/>
        <v/>
      </c>
      <c r="BL1250" s="1452" t="str">
        <f t="shared" si="663"/>
        <v/>
      </c>
      <c r="BM1250" s="1452" t="str">
        <f t="shared" si="664"/>
        <v/>
      </c>
      <c r="BN1250" s="1452" t="str">
        <f t="shared" ca="1" si="665"/>
        <v/>
      </c>
      <c r="BO1250" s="1452" t="str">
        <f t="shared" si="678"/>
        <v/>
      </c>
      <c r="BP1250" s="1452" t="str">
        <f t="shared" si="666"/>
        <v/>
      </c>
      <c r="BQ1250" s="1452" t="str">
        <f t="shared" si="667"/>
        <v/>
      </c>
      <c r="BR1250" s="1452" t="str">
        <f t="shared" si="668"/>
        <v/>
      </c>
      <c r="BS1250" s="1452" t="str">
        <f t="shared" si="669"/>
        <v/>
      </c>
      <c r="BT1250" s="1452" t="str">
        <f t="shared" si="670"/>
        <v/>
      </c>
      <c r="BU1250" s="1452" t="str">
        <f t="shared" si="671"/>
        <v/>
      </c>
      <c r="BV1250" s="1452" t="str">
        <f t="shared" si="672"/>
        <v/>
      </c>
      <c r="BW1250" s="1558">
        <f t="shared" ca="1" si="679"/>
        <v>0</v>
      </c>
    </row>
    <row r="1251" spans="1:75" s="9" customFormat="1" ht="12.5">
      <c r="A1251" s="1483" t="str">
        <f t="shared" si="673"/>
        <v>Public Health Wales Trust</v>
      </c>
      <c r="B1251" s="1583"/>
      <c r="C1251" s="1583"/>
      <c r="D1251" s="1583"/>
      <c r="E1251" s="1581"/>
      <c r="F1251" s="1436"/>
      <c r="G1251" s="1547">
        <f t="shared" si="674"/>
        <v>0</v>
      </c>
      <c r="H1251" s="1484"/>
      <c r="I1251" s="1547">
        <f t="shared" si="675"/>
        <v>0</v>
      </c>
      <c r="J1251" s="1485"/>
      <c r="K1251" s="1485"/>
      <c r="L1251" s="1436"/>
      <c r="M1251" s="1439"/>
      <c r="N1251" s="1439"/>
      <c r="O1251" s="1485"/>
      <c r="P1251" s="1486"/>
      <c r="Q1251" s="1486"/>
      <c r="R1251" s="1487"/>
      <c r="S1251" s="1444"/>
      <c r="T1251" s="1444"/>
      <c r="U1251" s="1444"/>
      <c r="V1251" s="1488"/>
      <c r="W1251" s="1488"/>
      <c r="X1251" s="1488"/>
      <c r="Y1251" s="1488"/>
      <c r="Z1251" s="1488"/>
      <c r="AA1251" s="1488"/>
      <c r="AB1251" s="1488"/>
      <c r="AC1251" s="1488"/>
      <c r="AD1251" s="1488"/>
      <c r="AE1251" s="1488"/>
      <c r="AF1251" s="1488"/>
      <c r="AG1251" s="1488"/>
      <c r="AH1251" s="1451">
        <f t="shared" si="647"/>
        <v>0</v>
      </c>
      <c r="AI1251" s="1488"/>
      <c r="AJ1251" s="1488"/>
      <c r="AK1251" s="1488"/>
      <c r="AL1251" s="1488"/>
      <c r="AM1251" s="1488"/>
      <c r="AN1251" s="1488"/>
      <c r="AO1251" s="1488"/>
      <c r="AP1251" s="1488"/>
      <c r="AQ1251" s="1488"/>
      <c r="AR1251" s="1488"/>
      <c r="AS1251" s="1488"/>
      <c r="AT1251" s="1542"/>
      <c r="AU1251" s="1599">
        <f t="shared" si="648"/>
        <v>0</v>
      </c>
      <c r="AV1251" s="1544">
        <f t="shared" si="676"/>
        <v>0</v>
      </c>
      <c r="AW1251" s="1452">
        <f t="shared" si="649"/>
        <v>0</v>
      </c>
      <c r="AX1251" s="1452">
        <f t="shared" si="650"/>
        <v>0</v>
      </c>
      <c r="AY1251" s="1452">
        <f t="shared" si="651"/>
        <v>0</v>
      </c>
      <c r="AZ1251" s="1452">
        <f t="shared" si="652"/>
        <v>0</v>
      </c>
      <c r="BA1251" s="1452">
        <f t="shared" si="653"/>
        <v>0</v>
      </c>
      <c r="BB1251" s="1452">
        <f t="shared" si="654"/>
        <v>0</v>
      </c>
      <c r="BC1251" s="1452">
        <f t="shared" si="655"/>
        <v>0</v>
      </c>
      <c r="BD1251" s="1452">
        <f t="shared" si="656"/>
        <v>0</v>
      </c>
      <c r="BE1251" s="1452">
        <f t="shared" si="657"/>
        <v>0</v>
      </c>
      <c r="BF1251" s="1452">
        <f t="shared" si="658"/>
        <v>0</v>
      </c>
      <c r="BG1251" s="1452">
        <f t="shared" si="659"/>
        <v>0</v>
      </c>
      <c r="BH1251" s="1452">
        <f t="shared" si="660"/>
        <v>0</v>
      </c>
      <c r="BI1251" s="1452">
        <f t="shared" si="677"/>
        <v>0</v>
      </c>
      <c r="BJ1251" s="1452" t="str">
        <f t="shared" si="661"/>
        <v/>
      </c>
      <c r="BK1251" s="1452" t="str">
        <f t="shared" si="662"/>
        <v/>
      </c>
      <c r="BL1251" s="1452" t="str">
        <f t="shared" si="663"/>
        <v/>
      </c>
      <c r="BM1251" s="1452" t="str">
        <f t="shared" si="664"/>
        <v/>
      </c>
      <c r="BN1251" s="1452" t="str">
        <f t="shared" ca="1" si="665"/>
        <v/>
      </c>
      <c r="BO1251" s="1452" t="str">
        <f t="shared" si="678"/>
        <v/>
      </c>
      <c r="BP1251" s="1452" t="str">
        <f t="shared" si="666"/>
        <v/>
      </c>
      <c r="BQ1251" s="1452" t="str">
        <f t="shared" si="667"/>
        <v/>
      </c>
      <c r="BR1251" s="1452" t="str">
        <f t="shared" si="668"/>
        <v/>
      </c>
      <c r="BS1251" s="1452" t="str">
        <f t="shared" si="669"/>
        <v/>
      </c>
      <c r="BT1251" s="1452" t="str">
        <f t="shared" si="670"/>
        <v/>
      </c>
      <c r="BU1251" s="1452" t="str">
        <f t="shared" si="671"/>
        <v/>
      </c>
      <c r="BV1251" s="1452" t="str">
        <f t="shared" si="672"/>
        <v/>
      </c>
      <c r="BW1251" s="1558">
        <f t="shared" ca="1" si="679"/>
        <v>0</v>
      </c>
    </row>
    <row r="1252" spans="1:75" s="9" customFormat="1" ht="12.5">
      <c r="A1252" s="1483" t="str">
        <f t="shared" si="673"/>
        <v>Public Health Wales Trust</v>
      </c>
      <c r="B1252" s="1583"/>
      <c r="C1252" s="1583"/>
      <c r="D1252" s="1583"/>
      <c r="E1252" s="1585"/>
      <c r="F1252" s="1436"/>
      <c r="G1252" s="1547">
        <f t="shared" si="674"/>
        <v>0</v>
      </c>
      <c r="H1252" s="1484"/>
      <c r="I1252" s="1547">
        <f t="shared" si="675"/>
        <v>0</v>
      </c>
      <c r="J1252" s="1485"/>
      <c r="K1252" s="1485"/>
      <c r="L1252" s="1436"/>
      <c r="M1252" s="1439"/>
      <c r="N1252" s="1439"/>
      <c r="O1252" s="1485"/>
      <c r="P1252" s="1486"/>
      <c r="Q1252" s="1486"/>
      <c r="R1252" s="1487"/>
      <c r="S1252" s="1444"/>
      <c r="T1252" s="1444"/>
      <c r="U1252" s="1444"/>
      <c r="V1252" s="1488"/>
      <c r="W1252" s="1488"/>
      <c r="X1252" s="1488"/>
      <c r="Y1252" s="1488"/>
      <c r="Z1252" s="1488"/>
      <c r="AA1252" s="1488"/>
      <c r="AB1252" s="1488"/>
      <c r="AC1252" s="1488"/>
      <c r="AD1252" s="1488"/>
      <c r="AE1252" s="1488"/>
      <c r="AF1252" s="1488"/>
      <c r="AG1252" s="1488"/>
      <c r="AH1252" s="1451">
        <f t="shared" si="647"/>
        <v>0</v>
      </c>
      <c r="AI1252" s="1488"/>
      <c r="AJ1252" s="1488"/>
      <c r="AK1252" s="1488"/>
      <c r="AL1252" s="1488"/>
      <c r="AM1252" s="1488"/>
      <c r="AN1252" s="1488"/>
      <c r="AO1252" s="1488"/>
      <c r="AP1252" s="1488"/>
      <c r="AQ1252" s="1488"/>
      <c r="AR1252" s="1488"/>
      <c r="AS1252" s="1488"/>
      <c r="AT1252" s="1542"/>
      <c r="AU1252" s="1599">
        <f t="shared" si="648"/>
        <v>0</v>
      </c>
      <c r="AV1252" s="1544">
        <f t="shared" si="676"/>
        <v>0</v>
      </c>
      <c r="AW1252" s="1452">
        <f t="shared" si="649"/>
        <v>0</v>
      </c>
      <c r="AX1252" s="1452">
        <f t="shared" si="650"/>
        <v>0</v>
      </c>
      <c r="AY1252" s="1452">
        <f t="shared" si="651"/>
        <v>0</v>
      </c>
      <c r="AZ1252" s="1452">
        <f t="shared" si="652"/>
        <v>0</v>
      </c>
      <c r="BA1252" s="1452">
        <f t="shared" si="653"/>
        <v>0</v>
      </c>
      <c r="BB1252" s="1452">
        <f t="shared" si="654"/>
        <v>0</v>
      </c>
      <c r="BC1252" s="1452">
        <f t="shared" si="655"/>
        <v>0</v>
      </c>
      <c r="BD1252" s="1452">
        <f t="shared" si="656"/>
        <v>0</v>
      </c>
      <c r="BE1252" s="1452">
        <f t="shared" si="657"/>
        <v>0</v>
      </c>
      <c r="BF1252" s="1452">
        <f t="shared" si="658"/>
        <v>0</v>
      </c>
      <c r="BG1252" s="1452">
        <f t="shared" si="659"/>
        <v>0</v>
      </c>
      <c r="BH1252" s="1452">
        <f t="shared" si="660"/>
        <v>0</v>
      </c>
      <c r="BI1252" s="1452">
        <f t="shared" si="677"/>
        <v>0</v>
      </c>
      <c r="BJ1252" s="1452" t="str">
        <f t="shared" si="661"/>
        <v/>
      </c>
      <c r="BK1252" s="1452" t="str">
        <f t="shared" si="662"/>
        <v/>
      </c>
      <c r="BL1252" s="1452" t="str">
        <f t="shared" si="663"/>
        <v/>
      </c>
      <c r="BM1252" s="1452" t="str">
        <f t="shared" si="664"/>
        <v/>
      </c>
      <c r="BN1252" s="1452" t="str">
        <f t="shared" ca="1" si="665"/>
        <v/>
      </c>
      <c r="BO1252" s="1452" t="str">
        <f t="shared" si="678"/>
        <v/>
      </c>
      <c r="BP1252" s="1452" t="str">
        <f t="shared" si="666"/>
        <v/>
      </c>
      <c r="BQ1252" s="1452" t="str">
        <f t="shared" si="667"/>
        <v/>
      </c>
      <c r="BR1252" s="1452" t="str">
        <f t="shared" si="668"/>
        <v/>
      </c>
      <c r="BS1252" s="1452" t="str">
        <f t="shared" si="669"/>
        <v/>
      </c>
      <c r="BT1252" s="1452" t="str">
        <f t="shared" si="670"/>
        <v/>
      </c>
      <c r="BU1252" s="1452" t="str">
        <f t="shared" si="671"/>
        <v/>
      </c>
      <c r="BV1252" s="1452" t="str">
        <f t="shared" si="672"/>
        <v/>
      </c>
      <c r="BW1252" s="1558">
        <f t="shared" ca="1" si="679"/>
        <v>0</v>
      </c>
    </row>
    <row r="1253" spans="1:75" s="9" customFormat="1" ht="12.5">
      <c r="A1253" s="1483" t="str">
        <f t="shared" si="673"/>
        <v>Public Health Wales Trust</v>
      </c>
      <c r="B1253" s="1583"/>
      <c r="C1253" s="1583"/>
      <c r="D1253" s="1583"/>
      <c r="E1253" s="1581"/>
      <c r="F1253" s="1436"/>
      <c r="G1253" s="1547">
        <f t="shared" si="674"/>
        <v>0</v>
      </c>
      <c r="H1253" s="1484"/>
      <c r="I1253" s="1547">
        <f t="shared" si="675"/>
        <v>0</v>
      </c>
      <c r="J1253" s="1485"/>
      <c r="K1253" s="1485"/>
      <c r="L1253" s="1436"/>
      <c r="M1253" s="1439"/>
      <c r="N1253" s="1439"/>
      <c r="O1253" s="1485"/>
      <c r="P1253" s="1486"/>
      <c r="Q1253" s="1486"/>
      <c r="R1253" s="1487"/>
      <c r="S1253" s="1444"/>
      <c r="T1253" s="1444"/>
      <c r="U1253" s="1444"/>
      <c r="V1253" s="1488"/>
      <c r="W1253" s="1488"/>
      <c r="X1253" s="1488"/>
      <c r="Y1253" s="1488"/>
      <c r="Z1253" s="1488"/>
      <c r="AA1253" s="1488"/>
      <c r="AB1253" s="1488"/>
      <c r="AC1253" s="1488"/>
      <c r="AD1253" s="1488"/>
      <c r="AE1253" s="1488"/>
      <c r="AF1253" s="1488"/>
      <c r="AG1253" s="1488"/>
      <c r="AH1253" s="1451">
        <f t="shared" si="647"/>
        <v>0</v>
      </c>
      <c r="AI1253" s="1488"/>
      <c r="AJ1253" s="1488"/>
      <c r="AK1253" s="1488"/>
      <c r="AL1253" s="1488"/>
      <c r="AM1253" s="1488"/>
      <c r="AN1253" s="1488"/>
      <c r="AO1253" s="1488"/>
      <c r="AP1253" s="1488"/>
      <c r="AQ1253" s="1488"/>
      <c r="AR1253" s="1488"/>
      <c r="AS1253" s="1488"/>
      <c r="AT1253" s="1542"/>
      <c r="AU1253" s="1599">
        <f t="shared" si="648"/>
        <v>0</v>
      </c>
      <c r="AV1253" s="1544">
        <f t="shared" si="676"/>
        <v>0</v>
      </c>
      <c r="AW1253" s="1452">
        <f t="shared" si="649"/>
        <v>0</v>
      </c>
      <c r="AX1253" s="1452">
        <f t="shared" si="650"/>
        <v>0</v>
      </c>
      <c r="AY1253" s="1452">
        <f t="shared" si="651"/>
        <v>0</v>
      </c>
      <c r="AZ1253" s="1452">
        <f t="shared" si="652"/>
        <v>0</v>
      </c>
      <c r="BA1253" s="1452">
        <f t="shared" si="653"/>
        <v>0</v>
      </c>
      <c r="BB1253" s="1452">
        <f t="shared" si="654"/>
        <v>0</v>
      </c>
      <c r="BC1253" s="1452">
        <f t="shared" si="655"/>
        <v>0</v>
      </c>
      <c r="BD1253" s="1452">
        <f t="shared" si="656"/>
        <v>0</v>
      </c>
      <c r="BE1253" s="1452">
        <f t="shared" si="657"/>
        <v>0</v>
      </c>
      <c r="BF1253" s="1452">
        <f t="shared" si="658"/>
        <v>0</v>
      </c>
      <c r="BG1253" s="1452">
        <f t="shared" si="659"/>
        <v>0</v>
      </c>
      <c r="BH1253" s="1452">
        <f t="shared" si="660"/>
        <v>0</v>
      </c>
      <c r="BI1253" s="1452">
        <f t="shared" si="677"/>
        <v>0</v>
      </c>
      <c r="BJ1253" s="1452" t="str">
        <f t="shared" si="661"/>
        <v/>
      </c>
      <c r="BK1253" s="1452" t="str">
        <f t="shared" si="662"/>
        <v/>
      </c>
      <c r="BL1253" s="1452" t="str">
        <f t="shared" si="663"/>
        <v/>
      </c>
      <c r="BM1253" s="1452" t="str">
        <f t="shared" si="664"/>
        <v/>
      </c>
      <c r="BN1253" s="1452" t="str">
        <f t="shared" ca="1" si="665"/>
        <v/>
      </c>
      <c r="BO1253" s="1452" t="str">
        <f t="shared" si="678"/>
        <v/>
      </c>
      <c r="BP1253" s="1452" t="str">
        <f t="shared" si="666"/>
        <v/>
      </c>
      <c r="BQ1253" s="1452" t="str">
        <f t="shared" si="667"/>
        <v/>
      </c>
      <c r="BR1253" s="1452" t="str">
        <f t="shared" si="668"/>
        <v/>
      </c>
      <c r="BS1253" s="1452" t="str">
        <f t="shared" si="669"/>
        <v/>
      </c>
      <c r="BT1253" s="1452" t="str">
        <f t="shared" si="670"/>
        <v/>
      </c>
      <c r="BU1253" s="1452" t="str">
        <f t="shared" si="671"/>
        <v/>
      </c>
      <c r="BV1253" s="1452" t="str">
        <f t="shared" si="672"/>
        <v/>
      </c>
      <c r="BW1253" s="1558">
        <f t="shared" ca="1" si="679"/>
        <v>0</v>
      </c>
    </row>
    <row r="1254" spans="1:75" s="9" customFormat="1" ht="12.5">
      <c r="A1254" s="1483" t="str">
        <f t="shared" si="673"/>
        <v>Public Health Wales Trust</v>
      </c>
      <c r="B1254" s="1583"/>
      <c r="C1254" s="1583"/>
      <c r="D1254" s="1583"/>
      <c r="E1254" s="1585"/>
      <c r="F1254" s="1436"/>
      <c r="G1254" s="1547">
        <f t="shared" si="674"/>
        <v>0</v>
      </c>
      <c r="H1254" s="1484"/>
      <c r="I1254" s="1547">
        <f t="shared" si="675"/>
        <v>0</v>
      </c>
      <c r="J1254" s="1485"/>
      <c r="K1254" s="1485"/>
      <c r="L1254" s="1436"/>
      <c r="M1254" s="1439"/>
      <c r="N1254" s="1439"/>
      <c r="O1254" s="1485"/>
      <c r="P1254" s="1486"/>
      <c r="Q1254" s="1486"/>
      <c r="R1254" s="1487"/>
      <c r="S1254" s="1444"/>
      <c r="T1254" s="1444"/>
      <c r="U1254" s="1444"/>
      <c r="V1254" s="1488"/>
      <c r="W1254" s="1488"/>
      <c r="X1254" s="1488"/>
      <c r="Y1254" s="1488"/>
      <c r="Z1254" s="1488"/>
      <c r="AA1254" s="1488"/>
      <c r="AB1254" s="1488"/>
      <c r="AC1254" s="1488"/>
      <c r="AD1254" s="1488"/>
      <c r="AE1254" s="1488"/>
      <c r="AF1254" s="1488"/>
      <c r="AG1254" s="1488"/>
      <c r="AH1254" s="1451">
        <f t="shared" si="647"/>
        <v>0</v>
      </c>
      <c r="AI1254" s="1488"/>
      <c r="AJ1254" s="1488"/>
      <c r="AK1254" s="1488"/>
      <c r="AL1254" s="1488"/>
      <c r="AM1254" s="1488"/>
      <c r="AN1254" s="1488"/>
      <c r="AO1254" s="1488"/>
      <c r="AP1254" s="1488"/>
      <c r="AQ1254" s="1488"/>
      <c r="AR1254" s="1488"/>
      <c r="AS1254" s="1488"/>
      <c r="AT1254" s="1542"/>
      <c r="AU1254" s="1599">
        <f t="shared" si="648"/>
        <v>0</v>
      </c>
      <c r="AV1254" s="1544">
        <f t="shared" si="676"/>
        <v>0</v>
      </c>
      <c r="AW1254" s="1452">
        <f t="shared" si="649"/>
        <v>0</v>
      </c>
      <c r="AX1254" s="1452">
        <f t="shared" si="650"/>
        <v>0</v>
      </c>
      <c r="AY1254" s="1452">
        <f t="shared" si="651"/>
        <v>0</v>
      </c>
      <c r="AZ1254" s="1452">
        <f t="shared" si="652"/>
        <v>0</v>
      </c>
      <c r="BA1254" s="1452">
        <f t="shared" si="653"/>
        <v>0</v>
      </c>
      <c r="BB1254" s="1452">
        <f t="shared" si="654"/>
        <v>0</v>
      </c>
      <c r="BC1254" s="1452">
        <f t="shared" si="655"/>
        <v>0</v>
      </c>
      <c r="BD1254" s="1452">
        <f t="shared" si="656"/>
        <v>0</v>
      </c>
      <c r="BE1254" s="1452">
        <f t="shared" si="657"/>
        <v>0</v>
      </c>
      <c r="BF1254" s="1452">
        <f t="shared" si="658"/>
        <v>0</v>
      </c>
      <c r="BG1254" s="1452">
        <f t="shared" si="659"/>
        <v>0</v>
      </c>
      <c r="BH1254" s="1452">
        <f t="shared" si="660"/>
        <v>0</v>
      </c>
      <c r="BI1254" s="1452">
        <f t="shared" si="677"/>
        <v>0</v>
      </c>
      <c r="BJ1254" s="1452" t="str">
        <f t="shared" si="661"/>
        <v/>
      </c>
      <c r="BK1254" s="1452" t="str">
        <f t="shared" si="662"/>
        <v/>
      </c>
      <c r="BL1254" s="1452" t="str">
        <f t="shared" si="663"/>
        <v/>
      </c>
      <c r="BM1254" s="1452" t="str">
        <f t="shared" si="664"/>
        <v/>
      </c>
      <c r="BN1254" s="1452" t="str">
        <f t="shared" ca="1" si="665"/>
        <v/>
      </c>
      <c r="BO1254" s="1452" t="str">
        <f t="shared" si="678"/>
        <v/>
      </c>
      <c r="BP1254" s="1452" t="str">
        <f t="shared" si="666"/>
        <v/>
      </c>
      <c r="BQ1254" s="1452" t="str">
        <f t="shared" si="667"/>
        <v/>
      </c>
      <c r="BR1254" s="1452" t="str">
        <f t="shared" si="668"/>
        <v/>
      </c>
      <c r="BS1254" s="1452" t="str">
        <f t="shared" si="669"/>
        <v/>
      </c>
      <c r="BT1254" s="1452" t="str">
        <f t="shared" si="670"/>
        <v/>
      </c>
      <c r="BU1254" s="1452" t="str">
        <f t="shared" si="671"/>
        <v/>
      </c>
      <c r="BV1254" s="1452" t="str">
        <f t="shared" si="672"/>
        <v/>
      </c>
      <c r="BW1254" s="1558">
        <f t="shared" ca="1" si="679"/>
        <v>0</v>
      </c>
    </row>
    <row r="1255" spans="1:75" s="9" customFormat="1" ht="12.5">
      <c r="A1255" s="1483" t="str">
        <f t="shared" si="673"/>
        <v>Public Health Wales Trust</v>
      </c>
      <c r="B1255" s="1583"/>
      <c r="C1255" s="1583"/>
      <c r="D1255" s="1583"/>
      <c r="E1255" s="1581"/>
      <c r="F1255" s="1436"/>
      <c r="G1255" s="1547">
        <f t="shared" si="674"/>
        <v>0</v>
      </c>
      <c r="H1255" s="1484"/>
      <c r="I1255" s="1547">
        <f t="shared" si="675"/>
        <v>0</v>
      </c>
      <c r="J1255" s="1485"/>
      <c r="K1255" s="1485"/>
      <c r="L1255" s="1436"/>
      <c r="M1255" s="1439"/>
      <c r="N1255" s="1439"/>
      <c r="O1255" s="1485"/>
      <c r="P1255" s="1486"/>
      <c r="Q1255" s="1486"/>
      <c r="R1255" s="1487"/>
      <c r="S1255" s="1444"/>
      <c r="T1255" s="1444"/>
      <c r="U1255" s="1444"/>
      <c r="V1255" s="1488"/>
      <c r="W1255" s="1488"/>
      <c r="X1255" s="1488"/>
      <c r="Y1255" s="1488"/>
      <c r="Z1255" s="1488"/>
      <c r="AA1255" s="1488"/>
      <c r="AB1255" s="1488"/>
      <c r="AC1255" s="1488"/>
      <c r="AD1255" s="1488"/>
      <c r="AE1255" s="1488"/>
      <c r="AF1255" s="1488"/>
      <c r="AG1255" s="1488"/>
      <c r="AH1255" s="1451">
        <f t="shared" si="647"/>
        <v>0</v>
      </c>
      <c r="AI1255" s="1488"/>
      <c r="AJ1255" s="1488"/>
      <c r="AK1255" s="1488"/>
      <c r="AL1255" s="1488"/>
      <c r="AM1255" s="1488"/>
      <c r="AN1255" s="1488"/>
      <c r="AO1255" s="1488"/>
      <c r="AP1255" s="1488"/>
      <c r="AQ1255" s="1488"/>
      <c r="AR1255" s="1488"/>
      <c r="AS1255" s="1488"/>
      <c r="AT1255" s="1542"/>
      <c r="AU1255" s="1599">
        <f t="shared" si="648"/>
        <v>0</v>
      </c>
      <c r="AV1255" s="1544">
        <f t="shared" si="676"/>
        <v>0</v>
      </c>
      <c r="AW1255" s="1452">
        <f t="shared" si="649"/>
        <v>0</v>
      </c>
      <c r="AX1255" s="1452">
        <f t="shared" si="650"/>
        <v>0</v>
      </c>
      <c r="AY1255" s="1452">
        <f t="shared" si="651"/>
        <v>0</v>
      </c>
      <c r="AZ1255" s="1452">
        <f t="shared" si="652"/>
        <v>0</v>
      </c>
      <c r="BA1255" s="1452">
        <f t="shared" si="653"/>
        <v>0</v>
      </c>
      <c r="BB1255" s="1452">
        <f t="shared" si="654"/>
        <v>0</v>
      </c>
      <c r="BC1255" s="1452">
        <f t="shared" si="655"/>
        <v>0</v>
      </c>
      <c r="BD1255" s="1452">
        <f t="shared" si="656"/>
        <v>0</v>
      </c>
      <c r="BE1255" s="1452">
        <f t="shared" si="657"/>
        <v>0</v>
      </c>
      <c r="BF1255" s="1452">
        <f t="shared" si="658"/>
        <v>0</v>
      </c>
      <c r="BG1255" s="1452">
        <f t="shared" si="659"/>
        <v>0</v>
      </c>
      <c r="BH1255" s="1452">
        <f t="shared" si="660"/>
        <v>0</v>
      </c>
      <c r="BI1255" s="1452">
        <f t="shared" si="677"/>
        <v>0</v>
      </c>
      <c r="BJ1255" s="1452" t="str">
        <f t="shared" si="661"/>
        <v/>
      </c>
      <c r="BK1255" s="1452" t="str">
        <f t="shared" si="662"/>
        <v/>
      </c>
      <c r="BL1255" s="1452" t="str">
        <f t="shared" si="663"/>
        <v/>
      </c>
      <c r="BM1255" s="1452" t="str">
        <f t="shared" si="664"/>
        <v/>
      </c>
      <c r="BN1255" s="1452" t="str">
        <f t="shared" ca="1" si="665"/>
        <v/>
      </c>
      <c r="BO1255" s="1452" t="str">
        <f t="shared" si="678"/>
        <v/>
      </c>
      <c r="BP1255" s="1452" t="str">
        <f t="shared" si="666"/>
        <v/>
      </c>
      <c r="BQ1255" s="1452" t="str">
        <f t="shared" si="667"/>
        <v/>
      </c>
      <c r="BR1255" s="1452" t="str">
        <f t="shared" si="668"/>
        <v/>
      </c>
      <c r="BS1255" s="1452" t="str">
        <f t="shared" si="669"/>
        <v/>
      </c>
      <c r="BT1255" s="1452" t="str">
        <f t="shared" si="670"/>
        <v/>
      </c>
      <c r="BU1255" s="1452" t="str">
        <f t="shared" si="671"/>
        <v/>
      </c>
      <c r="BV1255" s="1452" t="str">
        <f t="shared" si="672"/>
        <v/>
      </c>
      <c r="BW1255" s="1558">
        <f t="shared" ca="1" si="679"/>
        <v>0</v>
      </c>
    </row>
    <row r="1256" spans="1:75" s="9" customFormat="1" ht="12.5">
      <c r="A1256" s="1483" t="str">
        <f t="shared" si="673"/>
        <v>Public Health Wales Trust</v>
      </c>
      <c r="B1256" s="1583"/>
      <c r="C1256" s="1583"/>
      <c r="D1256" s="1583"/>
      <c r="E1256" s="1581"/>
      <c r="F1256" s="1436"/>
      <c r="G1256" s="1547">
        <f t="shared" si="674"/>
        <v>0</v>
      </c>
      <c r="H1256" s="1484"/>
      <c r="I1256" s="1547">
        <f t="shared" si="675"/>
        <v>0</v>
      </c>
      <c r="J1256" s="1485"/>
      <c r="K1256" s="1485"/>
      <c r="L1256" s="1436"/>
      <c r="M1256" s="1439"/>
      <c r="N1256" s="1439"/>
      <c r="O1256" s="1485"/>
      <c r="P1256" s="1486"/>
      <c r="Q1256" s="1486"/>
      <c r="R1256" s="1487"/>
      <c r="S1256" s="1444"/>
      <c r="T1256" s="1444"/>
      <c r="U1256" s="1444"/>
      <c r="V1256" s="1488"/>
      <c r="W1256" s="1488"/>
      <c r="X1256" s="1488"/>
      <c r="Y1256" s="1488"/>
      <c r="Z1256" s="1488"/>
      <c r="AA1256" s="1488"/>
      <c r="AB1256" s="1488"/>
      <c r="AC1256" s="1488"/>
      <c r="AD1256" s="1488"/>
      <c r="AE1256" s="1488"/>
      <c r="AF1256" s="1488"/>
      <c r="AG1256" s="1488"/>
      <c r="AH1256" s="1451">
        <f t="shared" si="647"/>
        <v>0</v>
      </c>
      <c r="AI1256" s="1488"/>
      <c r="AJ1256" s="1488"/>
      <c r="AK1256" s="1488"/>
      <c r="AL1256" s="1488"/>
      <c r="AM1256" s="1488"/>
      <c r="AN1256" s="1488"/>
      <c r="AO1256" s="1488"/>
      <c r="AP1256" s="1488"/>
      <c r="AQ1256" s="1488"/>
      <c r="AR1256" s="1488"/>
      <c r="AS1256" s="1488"/>
      <c r="AT1256" s="1542"/>
      <c r="AU1256" s="1599">
        <f t="shared" si="648"/>
        <v>0</v>
      </c>
      <c r="AV1256" s="1544">
        <f t="shared" si="676"/>
        <v>0</v>
      </c>
      <c r="AW1256" s="1452">
        <f t="shared" si="649"/>
        <v>0</v>
      </c>
      <c r="AX1256" s="1452">
        <f t="shared" si="650"/>
        <v>0</v>
      </c>
      <c r="AY1256" s="1452">
        <f t="shared" si="651"/>
        <v>0</v>
      </c>
      <c r="AZ1256" s="1452">
        <f t="shared" si="652"/>
        <v>0</v>
      </c>
      <c r="BA1256" s="1452">
        <f t="shared" si="653"/>
        <v>0</v>
      </c>
      <c r="BB1256" s="1452">
        <f t="shared" si="654"/>
        <v>0</v>
      </c>
      <c r="BC1256" s="1452">
        <f t="shared" si="655"/>
        <v>0</v>
      </c>
      <c r="BD1256" s="1452">
        <f t="shared" si="656"/>
        <v>0</v>
      </c>
      <c r="BE1256" s="1452">
        <f t="shared" si="657"/>
        <v>0</v>
      </c>
      <c r="BF1256" s="1452">
        <f t="shared" si="658"/>
        <v>0</v>
      </c>
      <c r="BG1256" s="1452">
        <f t="shared" si="659"/>
        <v>0</v>
      </c>
      <c r="BH1256" s="1452">
        <f t="shared" si="660"/>
        <v>0</v>
      </c>
      <c r="BI1256" s="1452">
        <f t="shared" si="677"/>
        <v>0</v>
      </c>
      <c r="BJ1256" s="1452" t="str">
        <f t="shared" si="661"/>
        <v/>
      </c>
      <c r="BK1256" s="1452" t="str">
        <f t="shared" si="662"/>
        <v/>
      </c>
      <c r="BL1256" s="1452" t="str">
        <f t="shared" si="663"/>
        <v/>
      </c>
      <c r="BM1256" s="1452" t="str">
        <f t="shared" si="664"/>
        <v/>
      </c>
      <c r="BN1256" s="1452" t="str">
        <f t="shared" ca="1" si="665"/>
        <v/>
      </c>
      <c r="BO1256" s="1452" t="str">
        <f t="shared" si="678"/>
        <v/>
      </c>
      <c r="BP1256" s="1452" t="str">
        <f t="shared" si="666"/>
        <v/>
      </c>
      <c r="BQ1256" s="1452" t="str">
        <f t="shared" si="667"/>
        <v/>
      </c>
      <c r="BR1256" s="1452" t="str">
        <f t="shared" si="668"/>
        <v/>
      </c>
      <c r="BS1256" s="1452" t="str">
        <f t="shared" si="669"/>
        <v/>
      </c>
      <c r="BT1256" s="1452" t="str">
        <f t="shared" si="670"/>
        <v/>
      </c>
      <c r="BU1256" s="1452" t="str">
        <f t="shared" si="671"/>
        <v/>
      </c>
      <c r="BV1256" s="1452" t="str">
        <f t="shared" si="672"/>
        <v/>
      </c>
      <c r="BW1256" s="1558">
        <f t="shared" ca="1" si="679"/>
        <v>0</v>
      </c>
    </row>
    <row r="1257" spans="1:75" s="9" customFormat="1" ht="12.5">
      <c r="A1257" s="1483" t="str">
        <f t="shared" si="673"/>
        <v>Public Health Wales Trust</v>
      </c>
      <c r="B1257" s="1583"/>
      <c r="C1257" s="1583"/>
      <c r="D1257" s="1583"/>
      <c r="E1257" s="1581"/>
      <c r="F1257" s="1436"/>
      <c r="G1257" s="1547">
        <f t="shared" si="674"/>
        <v>0</v>
      </c>
      <c r="H1257" s="1484"/>
      <c r="I1257" s="1547">
        <f t="shared" si="675"/>
        <v>0</v>
      </c>
      <c r="J1257" s="1485"/>
      <c r="K1257" s="1485"/>
      <c r="L1257" s="1436"/>
      <c r="M1257" s="1439"/>
      <c r="N1257" s="1439"/>
      <c r="O1257" s="1485"/>
      <c r="P1257" s="1486"/>
      <c r="Q1257" s="1486"/>
      <c r="R1257" s="1487"/>
      <c r="S1257" s="1444"/>
      <c r="T1257" s="1444"/>
      <c r="U1257" s="1444"/>
      <c r="V1257" s="1488"/>
      <c r="W1257" s="1488"/>
      <c r="X1257" s="1488"/>
      <c r="Y1257" s="1488"/>
      <c r="Z1257" s="1488"/>
      <c r="AA1257" s="1488"/>
      <c r="AB1257" s="1488"/>
      <c r="AC1257" s="1488"/>
      <c r="AD1257" s="1488"/>
      <c r="AE1257" s="1488"/>
      <c r="AF1257" s="1488"/>
      <c r="AG1257" s="1488"/>
      <c r="AH1257" s="1451">
        <f t="shared" si="647"/>
        <v>0</v>
      </c>
      <c r="AI1257" s="1488"/>
      <c r="AJ1257" s="1488"/>
      <c r="AK1257" s="1488"/>
      <c r="AL1257" s="1488"/>
      <c r="AM1257" s="1488"/>
      <c r="AN1257" s="1488"/>
      <c r="AO1257" s="1488"/>
      <c r="AP1257" s="1488"/>
      <c r="AQ1257" s="1488"/>
      <c r="AR1257" s="1488"/>
      <c r="AS1257" s="1488"/>
      <c r="AT1257" s="1542"/>
      <c r="AU1257" s="1599">
        <f t="shared" si="648"/>
        <v>0</v>
      </c>
      <c r="AV1257" s="1544">
        <f t="shared" si="676"/>
        <v>0</v>
      </c>
      <c r="AW1257" s="1452">
        <f t="shared" si="649"/>
        <v>0</v>
      </c>
      <c r="AX1257" s="1452">
        <f t="shared" si="650"/>
        <v>0</v>
      </c>
      <c r="AY1257" s="1452">
        <f t="shared" si="651"/>
        <v>0</v>
      </c>
      <c r="AZ1257" s="1452">
        <f t="shared" si="652"/>
        <v>0</v>
      </c>
      <c r="BA1257" s="1452">
        <f t="shared" si="653"/>
        <v>0</v>
      </c>
      <c r="BB1257" s="1452">
        <f t="shared" si="654"/>
        <v>0</v>
      </c>
      <c r="BC1257" s="1452">
        <f t="shared" si="655"/>
        <v>0</v>
      </c>
      <c r="BD1257" s="1452">
        <f t="shared" si="656"/>
        <v>0</v>
      </c>
      <c r="BE1257" s="1452">
        <f t="shared" si="657"/>
        <v>0</v>
      </c>
      <c r="BF1257" s="1452">
        <f t="shared" si="658"/>
        <v>0</v>
      </c>
      <c r="BG1257" s="1452">
        <f t="shared" si="659"/>
        <v>0</v>
      </c>
      <c r="BH1257" s="1452">
        <f t="shared" si="660"/>
        <v>0</v>
      </c>
      <c r="BI1257" s="1452">
        <f t="shared" si="677"/>
        <v>0</v>
      </c>
      <c r="BJ1257" s="1452" t="str">
        <f t="shared" si="661"/>
        <v/>
      </c>
      <c r="BK1257" s="1452" t="str">
        <f t="shared" si="662"/>
        <v/>
      </c>
      <c r="BL1257" s="1452" t="str">
        <f t="shared" si="663"/>
        <v/>
      </c>
      <c r="BM1257" s="1452" t="str">
        <f t="shared" si="664"/>
        <v/>
      </c>
      <c r="BN1257" s="1452" t="str">
        <f t="shared" ca="1" si="665"/>
        <v/>
      </c>
      <c r="BO1257" s="1452" t="str">
        <f t="shared" si="678"/>
        <v/>
      </c>
      <c r="BP1257" s="1452" t="str">
        <f t="shared" si="666"/>
        <v/>
      </c>
      <c r="BQ1257" s="1452" t="str">
        <f t="shared" si="667"/>
        <v/>
      </c>
      <c r="BR1257" s="1452" t="str">
        <f t="shared" si="668"/>
        <v/>
      </c>
      <c r="BS1257" s="1452" t="str">
        <f t="shared" si="669"/>
        <v/>
      </c>
      <c r="BT1257" s="1452" t="str">
        <f t="shared" si="670"/>
        <v/>
      </c>
      <c r="BU1257" s="1452" t="str">
        <f t="shared" si="671"/>
        <v/>
      </c>
      <c r="BV1257" s="1452" t="str">
        <f t="shared" si="672"/>
        <v/>
      </c>
      <c r="BW1257" s="1558">
        <f t="shared" ca="1" si="679"/>
        <v>0</v>
      </c>
    </row>
    <row r="1258" spans="1:75" s="9" customFormat="1" ht="12.5">
      <c r="A1258" s="1483" t="str">
        <f t="shared" si="673"/>
        <v>Public Health Wales Trust</v>
      </c>
      <c r="B1258" s="1583"/>
      <c r="C1258" s="1583"/>
      <c r="D1258" s="1583"/>
      <c r="E1258" s="1581"/>
      <c r="F1258" s="1436"/>
      <c r="G1258" s="1547">
        <f t="shared" si="674"/>
        <v>0</v>
      </c>
      <c r="H1258" s="1484"/>
      <c r="I1258" s="1547">
        <f t="shared" si="675"/>
        <v>0</v>
      </c>
      <c r="J1258" s="1485"/>
      <c r="K1258" s="1485"/>
      <c r="L1258" s="1436"/>
      <c r="M1258" s="1439"/>
      <c r="N1258" s="1439"/>
      <c r="O1258" s="1485"/>
      <c r="P1258" s="1486"/>
      <c r="Q1258" s="1486"/>
      <c r="R1258" s="1487"/>
      <c r="S1258" s="1444"/>
      <c r="T1258" s="1444"/>
      <c r="U1258" s="1444"/>
      <c r="V1258" s="1488"/>
      <c r="W1258" s="1488"/>
      <c r="X1258" s="1488"/>
      <c r="Y1258" s="1488"/>
      <c r="Z1258" s="1488"/>
      <c r="AA1258" s="1488"/>
      <c r="AB1258" s="1488"/>
      <c r="AC1258" s="1488"/>
      <c r="AD1258" s="1488"/>
      <c r="AE1258" s="1488"/>
      <c r="AF1258" s="1488"/>
      <c r="AG1258" s="1488"/>
      <c r="AH1258" s="1451">
        <f t="shared" si="647"/>
        <v>0</v>
      </c>
      <c r="AI1258" s="1488"/>
      <c r="AJ1258" s="1488"/>
      <c r="AK1258" s="1488"/>
      <c r="AL1258" s="1488"/>
      <c r="AM1258" s="1488"/>
      <c r="AN1258" s="1488"/>
      <c r="AO1258" s="1488"/>
      <c r="AP1258" s="1488"/>
      <c r="AQ1258" s="1488"/>
      <c r="AR1258" s="1488"/>
      <c r="AS1258" s="1488"/>
      <c r="AT1258" s="1542"/>
      <c r="AU1258" s="1599">
        <f t="shared" si="648"/>
        <v>0</v>
      </c>
      <c r="AV1258" s="1544">
        <f t="shared" si="676"/>
        <v>0</v>
      </c>
      <c r="AW1258" s="1452">
        <f t="shared" si="649"/>
        <v>0</v>
      </c>
      <c r="AX1258" s="1452">
        <f t="shared" si="650"/>
        <v>0</v>
      </c>
      <c r="AY1258" s="1452">
        <f t="shared" si="651"/>
        <v>0</v>
      </c>
      <c r="AZ1258" s="1452">
        <f t="shared" si="652"/>
        <v>0</v>
      </c>
      <c r="BA1258" s="1452">
        <f t="shared" si="653"/>
        <v>0</v>
      </c>
      <c r="BB1258" s="1452">
        <f t="shared" si="654"/>
        <v>0</v>
      </c>
      <c r="BC1258" s="1452">
        <f t="shared" si="655"/>
        <v>0</v>
      </c>
      <c r="BD1258" s="1452">
        <f t="shared" si="656"/>
        <v>0</v>
      </c>
      <c r="BE1258" s="1452">
        <f t="shared" si="657"/>
        <v>0</v>
      </c>
      <c r="BF1258" s="1452">
        <f t="shared" si="658"/>
        <v>0</v>
      </c>
      <c r="BG1258" s="1452">
        <f t="shared" si="659"/>
        <v>0</v>
      </c>
      <c r="BH1258" s="1452">
        <f t="shared" si="660"/>
        <v>0</v>
      </c>
      <c r="BI1258" s="1452">
        <f t="shared" si="677"/>
        <v>0</v>
      </c>
      <c r="BJ1258" s="1452" t="str">
        <f t="shared" si="661"/>
        <v/>
      </c>
      <c r="BK1258" s="1452" t="str">
        <f t="shared" si="662"/>
        <v/>
      </c>
      <c r="BL1258" s="1452" t="str">
        <f t="shared" si="663"/>
        <v/>
      </c>
      <c r="BM1258" s="1452" t="str">
        <f t="shared" si="664"/>
        <v/>
      </c>
      <c r="BN1258" s="1452" t="str">
        <f t="shared" ca="1" si="665"/>
        <v/>
      </c>
      <c r="BO1258" s="1452" t="str">
        <f t="shared" si="678"/>
        <v/>
      </c>
      <c r="BP1258" s="1452" t="str">
        <f t="shared" si="666"/>
        <v/>
      </c>
      <c r="BQ1258" s="1452" t="str">
        <f t="shared" si="667"/>
        <v/>
      </c>
      <c r="BR1258" s="1452" t="str">
        <f t="shared" si="668"/>
        <v/>
      </c>
      <c r="BS1258" s="1452" t="str">
        <f t="shared" si="669"/>
        <v/>
      </c>
      <c r="BT1258" s="1452" t="str">
        <f t="shared" si="670"/>
        <v/>
      </c>
      <c r="BU1258" s="1452" t="str">
        <f t="shared" si="671"/>
        <v/>
      </c>
      <c r="BV1258" s="1452" t="str">
        <f t="shared" si="672"/>
        <v/>
      </c>
      <c r="BW1258" s="1558">
        <f t="shared" ca="1" si="679"/>
        <v>0</v>
      </c>
    </row>
    <row r="1259" spans="1:75" s="9" customFormat="1" ht="12.5">
      <c r="A1259" s="1483" t="str">
        <f t="shared" si="673"/>
        <v>Public Health Wales Trust</v>
      </c>
      <c r="B1259" s="1583"/>
      <c r="C1259" s="1583"/>
      <c r="D1259" s="1583"/>
      <c r="E1259" s="1581"/>
      <c r="F1259" s="1436"/>
      <c r="G1259" s="1547">
        <f t="shared" si="674"/>
        <v>0</v>
      </c>
      <c r="H1259" s="1484"/>
      <c r="I1259" s="1547">
        <f t="shared" si="675"/>
        <v>0</v>
      </c>
      <c r="J1259" s="1485"/>
      <c r="K1259" s="1485"/>
      <c r="L1259" s="1436"/>
      <c r="M1259" s="1439"/>
      <c r="N1259" s="1439"/>
      <c r="O1259" s="1485"/>
      <c r="P1259" s="1486"/>
      <c r="Q1259" s="1486"/>
      <c r="R1259" s="1487"/>
      <c r="S1259" s="1444"/>
      <c r="T1259" s="1444"/>
      <c r="U1259" s="1444"/>
      <c r="V1259" s="1488"/>
      <c r="W1259" s="1488"/>
      <c r="X1259" s="1488"/>
      <c r="Y1259" s="1488"/>
      <c r="Z1259" s="1488"/>
      <c r="AA1259" s="1488"/>
      <c r="AB1259" s="1488"/>
      <c r="AC1259" s="1488"/>
      <c r="AD1259" s="1488"/>
      <c r="AE1259" s="1488"/>
      <c r="AF1259" s="1488"/>
      <c r="AG1259" s="1488"/>
      <c r="AH1259" s="1451">
        <f t="shared" ref="AH1259:AH1322" si="680">SUM(V1259:AG1259)</f>
        <v>0</v>
      </c>
      <c r="AI1259" s="1488"/>
      <c r="AJ1259" s="1488"/>
      <c r="AK1259" s="1488"/>
      <c r="AL1259" s="1488"/>
      <c r="AM1259" s="1488"/>
      <c r="AN1259" s="1488"/>
      <c r="AO1259" s="1488"/>
      <c r="AP1259" s="1488"/>
      <c r="AQ1259" s="1488"/>
      <c r="AR1259" s="1488"/>
      <c r="AS1259" s="1488"/>
      <c r="AT1259" s="1542"/>
      <c r="AU1259" s="1599">
        <f t="shared" ref="AU1259:AU1322" si="681">SUMPRODUCT($AC$40:$AN$40,AI1259:AT1259)</f>
        <v>0</v>
      </c>
      <c r="AV1259" s="1544">
        <f t="shared" si="676"/>
        <v>0</v>
      </c>
      <c r="AW1259" s="1452">
        <f t="shared" ref="AW1259:AW1322" si="682">AI1259-V1259</f>
        <v>0</v>
      </c>
      <c r="AX1259" s="1452">
        <f t="shared" ref="AX1259:AX1322" si="683">AJ1259-W1259</f>
        <v>0</v>
      </c>
      <c r="AY1259" s="1452">
        <f t="shared" ref="AY1259:AY1322" si="684">AK1259-X1259</f>
        <v>0</v>
      </c>
      <c r="AZ1259" s="1452">
        <f t="shared" ref="AZ1259:AZ1322" si="685">AL1259-Y1259</f>
        <v>0</v>
      </c>
      <c r="BA1259" s="1452">
        <f t="shared" ref="BA1259:BA1322" si="686">AM1259-Z1259</f>
        <v>0</v>
      </c>
      <c r="BB1259" s="1452">
        <f t="shared" ref="BB1259:BB1322" si="687">AN1259-AA1259</f>
        <v>0</v>
      </c>
      <c r="BC1259" s="1452">
        <f t="shared" ref="BC1259:BC1322" si="688">AO1259-AB1259</f>
        <v>0</v>
      </c>
      <c r="BD1259" s="1452">
        <f t="shared" ref="BD1259:BD1322" si="689">AP1259-AC1259</f>
        <v>0</v>
      </c>
      <c r="BE1259" s="1452">
        <f t="shared" ref="BE1259:BE1322" si="690">AQ1259-AD1259</f>
        <v>0</v>
      </c>
      <c r="BF1259" s="1452">
        <f t="shared" ref="BF1259:BF1322" si="691">AR1259-AE1259</f>
        <v>0</v>
      </c>
      <c r="BG1259" s="1452">
        <f t="shared" ref="BG1259:BG1322" si="692">AS1259-AF1259</f>
        <v>0</v>
      </c>
      <c r="BH1259" s="1452">
        <f t="shared" ref="BH1259:BH1322" si="693">AT1259-AG1259</f>
        <v>0</v>
      </c>
      <c r="BI1259" s="1452">
        <f t="shared" si="677"/>
        <v>0</v>
      </c>
      <c r="BJ1259" s="1452" t="str">
        <f t="shared" ref="BJ1259:BJ1322" si="694">IF(OR(G1259&gt;0,I1259&gt;0),IF(AND(B1259&lt;&gt;"",C1259&lt;&gt;"",D1259&lt;&gt;"",E1259&lt;&gt;"",F1259&lt;&gt;"",L1259&lt;&gt;"",M1259&lt;&gt;"",N1259&lt;&gt;"",O1259&lt;&gt;"",P1259&lt;&gt;"",Q1259&lt;&gt;"",R1259&lt;&gt;""),"","ERROR"),"")</f>
        <v/>
      </c>
      <c r="BK1259" s="1452" t="str">
        <f t="shared" ref="BK1259:BK1322" si="695">IF(COUNTIF($D$43:$D$1496,D1259)&gt;1,"ERROR","")</f>
        <v/>
      </c>
      <c r="BL1259" s="1452" t="str">
        <f t="shared" ref="BL1259:BL1322" si="696">IF(AND(OR(R1259=$CQ$1,R1259=$CQ$3),S1259=""),"ERROR","")</f>
        <v/>
      </c>
      <c r="BM1259" s="1452" t="str">
        <f t="shared" ref="BM1259:BM1322" si="697">IF(AND(OR(R1259=$CQ$2),S1259&lt;&gt;""),"ERROR","")</f>
        <v/>
      </c>
      <c r="BN1259" s="1452" t="str">
        <f t="shared" ref="BN1259:BN1322" ca="1" si="698">IF(AND(O1259=$CA$2,N1259&lt;TODAY()),"ERROR","")</f>
        <v/>
      </c>
      <c r="BO1259" s="1452" t="str">
        <f t="shared" si="678"/>
        <v/>
      </c>
      <c r="BP1259" s="1452" t="str">
        <f t="shared" ref="BP1259:BP1322" si="699">IF(AND(F1259=$BZ$1,G1259&gt;H1259),"ERROR","")</f>
        <v/>
      </c>
      <c r="BQ1259" s="1452" t="str">
        <f t="shared" ref="BQ1259:BQ1322" si="700">IF(AND(F1259=$BZ$1,I1259&gt;J1259),"ERROR","")</f>
        <v/>
      </c>
      <c r="BR1259" s="1452" t="str">
        <f t="shared" ref="BR1259:BR1322" si="701">IF(AND(F1259=$BZ$2,SUM(H1259,J1259)&gt;0),"ERROR","")</f>
        <v/>
      </c>
      <c r="BS1259" s="1452" t="str">
        <f t="shared" ref="BS1259:BS1322" si="702">IF(AND(I1259=0,J1259&gt;0),"ERROR","")</f>
        <v/>
      </c>
      <c r="BT1259" s="1452" t="str">
        <f t="shared" ref="BT1259:BT1322" si="703">IF(AND(O1259=$CA$1,K1259&lt;&gt;0),"ERROR","")</f>
        <v/>
      </c>
      <c r="BU1259" s="1452" t="str">
        <f t="shared" ref="BU1259:BU1322" si="704">IF(AND(O1259=$CA$2,I1259-AU1259-K1259&lt;0),"ERROR","")</f>
        <v/>
      </c>
      <c r="BV1259" s="1452" t="str">
        <f t="shared" ref="BV1259:BV1322" si="705">IF(S1259="","",VLOOKUP(S1259,$CS$1:$CT$14,2,0))</f>
        <v/>
      </c>
      <c r="BW1259" s="1558">
        <f t="shared" ca="1" si="679"/>
        <v>0</v>
      </c>
    </row>
    <row r="1260" spans="1:75" s="9" customFormat="1" ht="12.5">
      <c r="A1260" s="1483" t="str">
        <f t="shared" ref="A1260:A1323" si="706">$A$1</f>
        <v>Public Health Wales Trust</v>
      </c>
      <c r="B1260" s="1583"/>
      <c r="C1260" s="1583"/>
      <c r="D1260" s="1583"/>
      <c r="E1260" s="1581"/>
      <c r="F1260" s="1436"/>
      <c r="G1260" s="1547">
        <f t="shared" ref="G1260:G1323" si="707">AH1260</f>
        <v>0</v>
      </c>
      <c r="H1260" s="1484"/>
      <c r="I1260" s="1547">
        <f t="shared" ref="I1260:I1323" si="708">AV1260</f>
        <v>0</v>
      </c>
      <c r="J1260" s="1485"/>
      <c r="K1260" s="1485"/>
      <c r="L1260" s="1436"/>
      <c r="M1260" s="1439"/>
      <c r="N1260" s="1439"/>
      <c r="O1260" s="1485"/>
      <c r="P1260" s="1486"/>
      <c r="Q1260" s="1486"/>
      <c r="R1260" s="1487"/>
      <c r="S1260" s="1444"/>
      <c r="T1260" s="1444"/>
      <c r="U1260" s="1444"/>
      <c r="V1260" s="1488"/>
      <c r="W1260" s="1488"/>
      <c r="X1260" s="1488"/>
      <c r="Y1260" s="1488"/>
      <c r="Z1260" s="1488"/>
      <c r="AA1260" s="1488"/>
      <c r="AB1260" s="1488"/>
      <c r="AC1260" s="1488"/>
      <c r="AD1260" s="1488"/>
      <c r="AE1260" s="1488"/>
      <c r="AF1260" s="1488"/>
      <c r="AG1260" s="1488"/>
      <c r="AH1260" s="1451">
        <f t="shared" si="680"/>
        <v>0</v>
      </c>
      <c r="AI1260" s="1488"/>
      <c r="AJ1260" s="1488"/>
      <c r="AK1260" s="1488"/>
      <c r="AL1260" s="1488"/>
      <c r="AM1260" s="1488"/>
      <c r="AN1260" s="1488"/>
      <c r="AO1260" s="1488"/>
      <c r="AP1260" s="1488"/>
      <c r="AQ1260" s="1488"/>
      <c r="AR1260" s="1488"/>
      <c r="AS1260" s="1488"/>
      <c r="AT1260" s="1542"/>
      <c r="AU1260" s="1599">
        <f t="shared" si="681"/>
        <v>0</v>
      </c>
      <c r="AV1260" s="1544">
        <f t="shared" ref="AV1260:AV1323" si="709">SUM(AI1260:AT1260)</f>
        <v>0</v>
      </c>
      <c r="AW1260" s="1452">
        <f t="shared" si="682"/>
        <v>0</v>
      </c>
      <c r="AX1260" s="1452">
        <f t="shared" si="683"/>
        <v>0</v>
      </c>
      <c r="AY1260" s="1452">
        <f t="shared" si="684"/>
        <v>0</v>
      </c>
      <c r="AZ1260" s="1452">
        <f t="shared" si="685"/>
        <v>0</v>
      </c>
      <c r="BA1260" s="1452">
        <f t="shared" si="686"/>
        <v>0</v>
      </c>
      <c r="BB1260" s="1452">
        <f t="shared" si="687"/>
        <v>0</v>
      </c>
      <c r="BC1260" s="1452">
        <f t="shared" si="688"/>
        <v>0</v>
      </c>
      <c r="BD1260" s="1452">
        <f t="shared" si="689"/>
        <v>0</v>
      </c>
      <c r="BE1260" s="1452">
        <f t="shared" si="690"/>
        <v>0</v>
      </c>
      <c r="BF1260" s="1452">
        <f t="shared" si="691"/>
        <v>0</v>
      </c>
      <c r="BG1260" s="1452">
        <f t="shared" si="692"/>
        <v>0</v>
      </c>
      <c r="BH1260" s="1452">
        <f t="shared" si="693"/>
        <v>0</v>
      </c>
      <c r="BI1260" s="1452">
        <f t="shared" ref="BI1260:BI1323" si="710">SUM(AW1260:BH1260)</f>
        <v>0</v>
      </c>
      <c r="BJ1260" s="1452" t="str">
        <f t="shared" si="694"/>
        <v/>
      </c>
      <c r="BK1260" s="1452" t="str">
        <f t="shared" si="695"/>
        <v/>
      </c>
      <c r="BL1260" s="1452" t="str">
        <f t="shared" si="696"/>
        <v/>
      </c>
      <c r="BM1260" s="1452" t="str">
        <f t="shared" si="697"/>
        <v/>
      </c>
      <c r="BN1260" s="1452" t="str">
        <f t="shared" ca="1" si="698"/>
        <v/>
      </c>
      <c r="BO1260" s="1452" t="str">
        <f t="shared" ref="BO1260:BO1323" si="711">IF(AND(AV1260&gt;0,AH1260=0),"ERROR","")</f>
        <v/>
      </c>
      <c r="BP1260" s="1452" t="str">
        <f t="shared" si="699"/>
        <v/>
      </c>
      <c r="BQ1260" s="1452" t="str">
        <f t="shared" si="700"/>
        <v/>
      </c>
      <c r="BR1260" s="1452" t="str">
        <f t="shared" si="701"/>
        <v/>
      </c>
      <c r="BS1260" s="1452" t="str">
        <f t="shared" si="702"/>
        <v/>
      </c>
      <c r="BT1260" s="1452" t="str">
        <f t="shared" si="703"/>
        <v/>
      </c>
      <c r="BU1260" s="1452" t="str">
        <f t="shared" si="704"/>
        <v/>
      </c>
      <c r="BV1260" s="1452" t="str">
        <f t="shared" si="705"/>
        <v/>
      </c>
      <c r="BW1260" s="1558">
        <f t="shared" ref="BW1260:BW1323" ca="1" si="712">COUNTIF(BJ1260:BU1260,"ERROR")</f>
        <v>0</v>
      </c>
    </row>
    <row r="1261" spans="1:75" s="9" customFormat="1" ht="12.5">
      <c r="A1261" s="1483" t="str">
        <f t="shared" si="706"/>
        <v>Public Health Wales Trust</v>
      </c>
      <c r="B1261" s="1583"/>
      <c r="C1261" s="1583"/>
      <c r="D1261" s="1583"/>
      <c r="E1261" s="1581"/>
      <c r="F1261" s="1436"/>
      <c r="G1261" s="1547">
        <f t="shared" si="707"/>
        <v>0</v>
      </c>
      <c r="H1261" s="1484"/>
      <c r="I1261" s="1547">
        <f t="shared" si="708"/>
        <v>0</v>
      </c>
      <c r="J1261" s="1485"/>
      <c r="K1261" s="1485"/>
      <c r="L1261" s="1436"/>
      <c r="M1261" s="1439"/>
      <c r="N1261" s="1439"/>
      <c r="O1261" s="1485"/>
      <c r="P1261" s="1486"/>
      <c r="Q1261" s="1486"/>
      <c r="R1261" s="1487"/>
      <c r="S1261" s="1444"/>
      <c r="T1261" s="1444"/>
      <c r="U1261" s="1444"/>
      <c r="V1261" s="1488"/>
      <c r="W1261" s="1488"/>
      <c r="X1261" s="1488"/>
      <c r="Y1261" s="1488"/>
      <c r="Z1261" s="1488"/>
      <c r="AA1261" s="1488"/>
      <c r="AB1261" s="1488"/>
      <c r="AC1261" s="1488"/>
      <c r="AD1261" s="1488"/>
      <c r="AE1261" s="1488"/>
      <c r="AF1261" s="1488"/>
      <c r="AG1261" s="1488"/>
      <c r="AH1261" s="1451">
        <f t="shared" si="680"/>
        <v>0</v>
      </c>
      <c r="AI1261" s="1488"/>
      <c r="AJ1261" s="1488"/>
      <c r="AK1261" s="1488"/>
      <c r="AL1261" s="1488"/>
      <c r="AM1261" s="1488"/>
      <c r="AN1261" s="1488"/>
      <c r="AO1261" s="1488"/>
      <c r="AP1261" s="1488"/>
      <c r="AQ1261" s="1488"/>
      <c r="AR1261" s="1488"/>
      <c r="AS1261" s="1488"/>
      <c r="AT1261" s="1542"/>
      <c r="AU1261" s="1599">
        <f t="shared" si="681"/>
        <v>0</v>
      </c>
      <c r="AV1261" s="1544">
        <f t="shared" si="709"/>
        <v>0</v>
      </c>
      <c r="AW1261" s="1452">
        <f t="shared" si="682"/>
        <v>0</v>
      </c>
      <c r="AX1261" s="1452">
        <f t="shared" si="683"/>
        <v>0</v>
      </c>
      <c r="AY1261" s="1452">
        <f t="shared" si="684"/>
        <v>0</v>
      </c>
      <c r="AZ1261" s="1452">
        <f t="shared" si="685"/>
        <v>0</v>
      </c>
      <c r="BA1261" s="1452">
        <f t="shared" si="686"/>
        <v>0</v>
      </c>
      <c r="BB1261" s="1452">
        <f t="shared" si="687"/>
        <v>0</v>
      </c>
      <c r="BC1261" s="1452">
        <f t="shared" si="688"/>
        <v>0</v>
      </c>
      <c r="BD1261" s="1452">
        <f t="shared" si="689"/>
        <v>0</v>
      </c>
      <c r="BE1261" s="1452">
        <f t="shared" si="690"/>
        <v>0</v>
      </c>
      <c r="BF1261" s="1452">
        <f t="shared" si="691"/>
        <v>0</v>
      </c>
      <c r="BG1261" s="1452">
        <f t="shared" si="692"/>
        <v>0</v>
      </c>
      <c r="BH1261" s="1452">
        <f t="shared" si="693"/>
        <v>0</v>
      </c>
      <c r="BI1261" s="1452">
        <f t="shared" si="710"/>
        <v>0</v>
      </c>
      <c r="BJ1261" s="1452" t="str">
        <f t="shared" si="694"/>
        <v/>
      </c>
      <c r="BK1261" s="1452" t="str">
        <f t="shared" si="695"/>
        <v/>
      </c>
      <c r="BL1261" s="1452" t="str">
        <f t="shared" si="696"/>
        <v/>
      </c>
      <c r="BM1261" s="1452" t="str">
        <f t="shared" si="697"/>
        <v/>
      </c>
      <c r="BN1261" s="1452" t="str">
        <f t="shared" ca="1" si="698"/>
        <v/>
      </c>
      <c r="BO1261" s="1452" t="str">
        <f t="shared" si="711"/>
        <v/>
      </c>
      <c r="BP1261" s="1452" t="str">
        <f t="shared" si="699"/>
        <v/>
      </c>
      <c r="BQ1261" s="1452" t="str">
        <f t="shared" si="700"/>
        <v/>
      </c>
      <c r="BR1261" s="1452" t="str">
        <f t="shared" si="701"/>
        <v/>
      </c>
      <c r="BS1261" s="1452" t="str">
        <f t="shared" si="702"/>
        <v/>
      </c>
      <c r="BT1261" s="1452" t="str">
        <f t="shared" si="703"/>
        <v/>
      </c>
      <c r="BU1261" s="1452" t="str">
        <f t="shared" si="704"/>
        <v/>
      </c>
      <c r="BV1261" s="1452" t="str">
        <f t="shared" si="705"/>
        <v/>
      </c>
      <c r="BW1261" s="1558">
        <f t="shared" ca="1" si="712"/>
        <v>0</v>
      </c>
    </row>
    <row r="1262" spans="1:75" s="9" customFormat="1" ht="12.5">
      <c r="A1262" s="1483" t="str">
        <f t="shared" si="706"/>
        <v>Public Health Wales Trust</v>
      </c>
      <c r="B1262" s="1583"/>
      <c r="C1262" s="1583"/>
      <c r="D1262" s="1583"/>
      <c r="E1262" s="1585"/>
      <c r="F1262" s="1436"/>
      <c r="G1262" s="1547">
        <f t="shared" si="707"/>
        <v>0</v>
      </c>
      <c r="H1262" s="1484"/>
      <c r="I1262" s="1547">
        <f t="shared" si="708"/>
        <v>0</v>
      </c>
      <c r="J1262" s="1485"/>
      <c r="K1262" s="1485"/>
      <c r="L1262" s="1436"/>
      <c r="M1262" s="1439"/>
      <c r="N1262" s="1439"/>
      <c r="O1262" s="1485"/>
      <c r="P1262" s="1486"/>
      <c r="Q1262" s="1486"/>
      <c r="R1262" s="1487"/>
      <c r="S1262" s="1444"/>
      <c r="T1262" s="1444"/>
      <c r="U1262" s="1444"/>
      <c r="V1262" s="1488"/>
      <c r="W1262" s="1488"/>
      <c r="X1262" s="1488"/>
      <c r="Y1262" s="1488"/>
      <c r="Z1262" s="1488"/>
      <c r="AA1262" s="1488"/>
      <c r="AB1262" s="1488"/>
      <c r="AC1262" s="1488"/>
      <c r="AD1262" s="1488"/>
      <c r="AE1262" s="1488"/>
      <c r="AF1262" s="1488"/>
      <c r="AG1262" s="1488"/>
      <c r="AH1262" s="1451">
        <f t="shared" si="680"/>
        <v>0</v>
      </c>
      <c r="AI1262" s="1488"/>
      <c r="AJ1262" s="1488"/>
      <c r="AK1262" s="1488"/>
      <c r="AL1262" s="1488"/>
      <c r="AM1262" s="1488"/>
      <c r="AN1262" s="1488"/>
      <c r="AO1262" s="1488"/>
      <c r="AP1262" s="1488"/>
      <c r="AQ1262" s="1488"/>
      <c r="AR1262" s="1488"/>
      <c r="AS1262" s="1488"/>
      <c r="AT1262" s="1542"/>
      <c r="AU1262" s="1599">
        <f t="shared" si="681"/>
        <v>0</v>
      </c>
      <c r="AV1262" s="1544">
        <f t="shared" si="709"/>
        <v>0</v>
      </c>
      <c r="AW1262" s="1452">
        <f t="shared" si="682"/>
        <v>0</v>
      </c>
      <c r="AX1262" s="1452">
        <f t="shared" si="683"/>
        <v>0</v>
      </c>
      <c r="AY1262" s="1452">
        <f t="shared" si="684"/>
        <v>0</v>
      </c>
      <c r="AZ1262" s="1452">
        <f t="shared" si="685"/>
        <v>0</v>
      </c>
      <c r="BA1262" s="1452">
        <f t="shared" si="686"/>
        <v>0</v>
      </c>
      <c r="BB1262" s="1452">
        <f t="shared" si="687"/>
        <v>0</v>
      </c>
      <c r="BC1262" s="1452">
        <f t="shared" si="688"/>
        <v>0</v>
      </c>
      <c r="BD1262" s="1452">
        <f t="shared" si="689"/>
        <v>0</v>
      </c>
      <c r="BE1262" s="1452">
        <f t="shared" si="690"/>
        <v>0</v>
      </c>
      <c r="BF1262" s="1452">
        <f t="shared" si="691"/>
        <v>0</v>
      </c>
      <c r="BG1262" s="1452">
        <f t="shared" si="692"/>
        <v>0</v>
      </c>
      <c r="BH1262" s="1452">
        <f t="shared" si="693"/>
        <v>0</v>
      </c>
      <c r="BI1262" s="1452">
        <f t="shared" si="710"/>
        <v>0</v>
      </c>
      <c r="BJ1262" s="1452" t="str">
        <f t="shared" si="694"/>
        <v/>
      </c>
      <c r="BK1262" s="1452" t="str">
        <f t="shared" si="695"/>
        <v/>
      </c>
      <c r="BL1262" s="1452" t="str">
        <f t="shared" si="696"/>
        <v/>
      </c>
      <c r="BM1262" s="1452" t="str">
        <f t="shared" si="697"/>
        <v/>
      </c>
      <c r="BN1262" s="1452" t="str">
        <f t="shared" ca="1" si="698"/>
        <v/>
      </c>
      <c r="BO1262" s="1452" t="str">
        <f t="shared" si="711"/>
        <v/>
      </c>
      <c r="BP1262" s="1452" t="str">
        <f t="shared" si="699"/>
        <v/>
      </c>
      <c r="BQ1262" s="1452" t="str">
        <f t="shared" si="700"/>
        <v/>
      </c>
      <c r="BR1262" s="1452" t="str">
        <f t="shared" si="701"/>
        <v/>
      </c>
      <c r="BS1262" s="1452" t="str">
        <f t="shared" si="702"/>
        <v/>
      </c>
      <c r="BT1262" s="1452" t="str">
        <f t="shared" si="703"/>
        <v/>
      </c>
      <c r="BU1262" s="1452" t="str">
        <f t="shared" si="704"/>
        <v/>
      </c>
      <c r="BV1262" s="1452" t="str">
        <f t="shared" si="705"/>
        <v/>
      </c>
      <c r="BW1262" s="1558">
        <f t="shared" ca="1" si="712"/>
        <v>0</v>
      </c>
    </row>
    <row r="1263" spans="1:75" s="9" customFormat="1" ht="12.5">
      <c r="A1263" s="1483" t="str">
        <f t="shared" si="706"/>
        <v>Public Health Wales Trust</v>
      </c>
      <c r="B1263" s="1583"/>
      <c r="C1263" s="1583"/>
      <c r="D1263" s="1583"/>
      <c r="E1263" s="1581"/>
      <c r="F1263" s="1436"/>
      <c r="G1263" s="1547">
        <f t="shared" si="707"/>
        <v>0</v>
      </c>
      <c r="H1263" s="1484"/>
      <c r="I1263" s="1547">
        <f t="shared" si="708"/>
        <v>0</v>
      </c>
      <c r="J1263" s="1485"/>
      <c r="K1263" s="1485"/>
      <c r="L1263" s="1436"/>
      <c r="M1263" s="1439"/>
      <c r="N1263" s="1439"/>
      <c r="O1263" s="1485"/>
      <c r="P1263" s="1486"/>
      <c r="Q1263" s="1486"/>
      <c r="R1263" s="1487"/>
      <c r="S1263" s="1444"/>
      <c r="T1263" s="1444"/>
      <c r="U1263" s="1444"/>
      <c r="V1263" s="1488"/>
      <c r="W1263" s="1488"/>
      <c r="X1263" s="1488"/>
      <c r="Y1263" s="1488"/>
      <c r="Z1263" s="1488"/>
      <c r="AA1263" s="1488"/>
      <c r="AB1263" s="1488"/>
      <c r="AC1263" s="1488"/>
      <c r="AD1263" s="1488"/>
      <c r="AE1263" s="1488"/>
      <c r="AF1263" s="1488"/>
      <c r="AG1263" s="1488"/>
      <c r="AH1263" s="1451">
        <f t="shared" si="680"/>
        <v>0</v>
      </c>
      <c r="AI1263" s="1488"/>
      <c r="AJ1263" s="1488"/>
      <c r="AK1263" s="1488"/>
      <c r="AL1263" s="1488"/>
      <c r="AM1263" s="1488"/>
      <c r="AN1263" s="1488"/>
      <c r="AO1263" s="1488"/>
      <c r="AP1263" s="1488"/>
      <c r="AQ1263" s="1488"/>
      <c r="AR1263" s="1488"/>
      <c r="AS1263" s="1488"/>
      <c r="AT1263" s="1542"/>
      <c r="AU1263" s="1599">
        <f t="shared" si="681"/>
        <v>0</v>
      </c>
      <c r="AV1263" s="1544">
        <f t="shared" si="709"/>
        <v>0</v>
      </c>
      <c r="AW1263" s="1452">
        <f t="shared" si="682"/>
        <v>0</v>
      </c>
      <c r="AX1263" s="1452">
        <f t="shared" si="683"/>
        <v>0</v>
      </c>
      <c r="AY1263" s="1452">
        <f t="shared" si="684"/>
        <v>0</v>
      </c>
      <c r="AZ1263" s="1452">
        <f t="shared" si="685"/>
        <v>0</v>
      </c>
      <c r="BA1263" s="1452">
        <f t="shared" si="686"/>
        <v>0</v>
      </c>
      <c r="BB1263" s="1452">
        <f t="shared" si="687"/>
        <v>0</v>
      </c>
      <c r="BC1263" s="1452">
        <f t="shared" si="688"/>
        <v>0</v>
      </c>
      <c r="BD1263" s="1452">
        <f t="shared" si="689"/>
        <v>0</v>
      </c>
      <c r="BE1263" s="1452">
        <f t="shared" si="690"/>
        <v>0</v>
      </c>
      <c r="BF1263" s="1452">
        <f t="shared" si="691"/>
        <v>0</v>
      </c>
      <c r="BG1263" s="1452">
        <f t="shared" si="692"/>
        <v>0</v>
      </c>
      <c r="BH1263" s="1452">
        <f t="shared" si="693"/>
        <v>0</v>
      </c>
      <c r="BI1263" s="1452">
        <f t="shared" si="710"/>
        <v>0</v>
      </c>
      <c r="BJ1263" s="1452" t="str">
        <f t="shared" si="694"/>
        <v/>
      </c>
      <c r="BK1263" s="1452" t="str">
        <f t="shared" si="695"/>
        <v/>
      </c>
      <c r="BL1263" s="1452" t="str">
        <f t="shared" si="696"/>
        <v/>
      </c>
      <c r="BM1263" s="1452" t="str">
        <f t="shared" si="697"/>
        <v/>
      </c>
      <c r="BN1263" s="1452" t="str">
        <f t="shared" ca="1" si="698"/>
        <v/>
      </c>
      <c r="BO1263" s="1452" t="str">
        <f t="shared" si="711"/>
        <v/>
      </c>
      <c r="BP1263" s="1452" t="str">
        <f t="shared" si="699"/>
        <v/>
      </c>
      <c r="BQ1263" s="1452" t="str">
        <f t="shared" si="700"/>
        <v/>
      </c>
      <c r="BR1263" s="1452" t="str">
        <f t="shared" si="701"/>
        <v/>
      </c>
      <c r="BS1263" s="1452" t="str">
        <f t="shared" si="702"/>
        <v/>
      </c>
      <c r="BT1263" s="1452" t="str">
        <f t="shared" si="703"/>
        <v/>
      </c>
      <c r="BU1263" s="1452" t="str">
        <f t="shared" si="704"/>
        <v/>
      </c>
      <c r="BV1263" s="1452" t="str">
        <f t="shared" si="705"/>
        <v/>
      </c>
      <c r="BW1263" s="1558">
        <f t="shared" ca="1" si="712"/>
        <v>0</v>
      </c>
    </row>
    <row r="1264" spans="1:75" s="9" customFormat="1" ht="12.5">
      <c r="A1264" s="1483" t="str">
        <f t="shared" si="706"/>
        <v>Public Health Wales Trust</v>
      </c>
      <c r="B1264" s="1583"/>
      <c r="C1264" s="1583"/>
      <c r="D1264" s="1583"/>
      <c r="E1264" s="1581"/>
      <c r="F1264" s="1436"/>
      <c r="G1264" s="1547">
        <f t="shared" si="707"/>
        <v>0</v>
      </c>
      <c r="H1264" s="1484"/>
      <c r="I1264" s="1547">
        <f t="shared" si="708"/>
        <v>0</v>
      </c>
      <c r="J1264" s="1485"/>
      <c r="K1264" s="1485"/>
      <c r="L1264" s="1436"/>
      <c r="M1264" s="1439"/>
      <c r="N1264" s="1439"/>
      <c r="O1264" s="1485"/>
      <c r="P1264" s="1486"/>
      <c r="Q1264" s="1486"/>
      <c r="R1264" s="1487"/>
      <c r="S1264" s="1444"/>
      <c r="T1264" s="1444"/>
      <c r="U1264" s="1444"/>
      <c r="V1264" s="1488"/>
      <c r="W1264" s="1488"/>
      <c r="X1264" s="1488"/>
      <c r="Y1264" s="1488"/>
      <c r="Z1264" s="1488"/>
      <c r="AA1264" s="1488"/>
      <c r="AB1264" s="1488"/>
      <c r="AC1264" s="1488"/>
      <c r="AD1264" s="1488"/>
      <c r="AE1264" s="1488"/>
      <c r="AF1264" s="1488"/>
      <c r="AG1264" s="1488"/>
      <c r="AH1264" s="1451">
        <f t="shared" si="680"/>
        <v>0</v>
      </c>
      <c r="AI1264" s="1488"/>
      <c r="AJ1264" s="1488"/>
      <c r="AK1264" s="1488"/>
      <c r="AL1264" s="1488"/>
      <c r="AM1264" s="1488"/>
      <c r="AN1264" s="1488"/>
      <c r="AO1264" s="1488"/>
      <c r="AP1264" s="1488"/>
      <c r="AQ1264" s="1488"/>
      <c r="AR1264" s="1488"/>
      <c r="AS1264" s="1488"/>
      <c r="AT1264" s="1542"/>
      <c r="AU1264" s="1599">
        <f t="shared" si="681"/>
        <v>0</v>
      </c>
      <c r="AV1264" s="1544">
        <f t="shared" si="709"/>
        <v>0</v>
      </c>
      <c r="AW1264" s="1452">
        <f t="shared" si="682"/>
        <v>0</v>
      </c>
      <c r="AX1264" s="1452">
        <f t="shared" si="683"/>
        <v>0</v>
      </c>
      <c r="AY1264" s="1452">
        <f t="shared" si="684"/>
        <v>0</v>
      </c>
      <c r="AZ1264" s="1452">
        <f t="shared" si="685"/>
        <v>0</v>
      </c>
      <c r="BA1264" s="1452">
        <f t="shared" si="686"/>
        <v>0</v>
      </c>
      <c r="BB1264" s="1452">
        <f t="shared" si="687"/>
        <v>0</v>
      </c>
      <c r="BC1264" s="1452">
        <f t="shared" si="688"/>
        <v>0</v>
      </c>
      <c r="BD1264" s="1452">
        <f t="shared" si="689"/>
        <v>0</v>
      </c>
      <c r="BE1264" s="1452">
        <f t="shared" si="690"/>
        <v>0</v>
      </c>
      <c r="BF1264" s="1452">
        <f t="shared" si="691"/>
        <v>0</v>
      </c>
      <c r="BG1264" s="1452">
        <f t="shared" si="692"/>
        <v>0</v>
      </c>
      <c r="BH1264" s="1452">
        <f t="shared" si="693"/>
        <v>0</v>
      </c>
      <c r="BI1264" s="1452">
        <f t="shared" si="710"/>
        <v>0</v>
      </c>
      <c r="BJ1264" s="1452" t="str">
        <f t="shared" si="694"/>
        <v/>
      </c>
      <c r="BK1264" s="1452" t="str">
        <f t="shared" si="695"/>
        <v/>
      </c>
      <c r="BL1264" s="1452" t="str">
        <f t="shared" si="696"/>
        <v/>
      </c>
      <c r="BM1264" s="1452" t="str">
        <f t="shared" si="697"/>
        <v/>
      </c>
      <c r="BN1264" s="1452" t="str">
        <f t="shared" ca="1" si="698"/>
        <v/>
      </c>
      <c r="BO1264" s="1452" t="str">
        <f t="shared" si="711"/>
        <v/>
      </c>
      <c r="BP1264" s="1452" t="str">
        <f t="shared" si="699"/>
        <v/>
      </c>
      <c r="BQ1264" s="1452" t="str">
        <f t="shared" si="700"/>
        <v/>
      </c>
      <c r="BR1264" s="1452" t="str">
        <f t="shared" si="701"/>
        <v/>
      </c>
      <c r="BS1264" s="1452" t="str">
        <f t="shared" si="702"/>
        <v/>
      </c>
      <c r="BT1264" s="1452" t="str">
        <f t="shared" si="703"/>
        <v/>
      </c>
      <c r="BU1264" s="1452" t="str">
        <f t="shared" si="704"/>
        <v/>
      </c>
      <c r="BV1264" s="1452" t="str">
        <f t="shared" si="705"/>
        <v/>
      </c>
      <c r="BW1264" s="1558">
        <f t="shared" ca="1" si="712"/>
        <v>0</v>
      </c>
    </row>
    <row r="1265" spans="1:75" s="9" customFormat="1" ht="12.5">
      <c r="A1265" s="1483" t="str">
        <f t="shared" si="706"/>
        <v>Public Health Wales Trust</v>
      </c>
      <c r="B1265" s="1583"/>
      <c r="C1265" s="1583"/>
      <c r="D1265" s="1583"/>
      <c r="E1265" s="1581"/>
      <c r="F1265" s="1436"/>
      <c r="G1265" s="1547">
        <f t="shared" si="707"/>
        <v>0</v>
      </c>
      <c r="H1265" s="1484"/>
      <c r="I1265" s="1547">
        <f t="shared" si="708"/>
        <v>0</v>
      </c>
      <c r="J1265" s="1485"/>
      <c r="K1265" s="1485"/>
      <c r="L1265" s="1436"/>
      <c r="M1265" s="1439"/>
      <c r="N1265" s="1439"/>
      <c r="O1265" s="1485"/>
      <c r="P1265" s="1486"/>
      <c r="Q1265" s="1486"/>
      <c r="R1265" s="1487"/>
      <c r="S1265" s="1444"/>
      <c r="T1265" s="1444"/>
      <c r="U1265" s="1444"/>
      <c r="V1265" s="1488"/>
      <c r="W1265" s="1488"/>
      <c r="X1265" s="1488"/>
      <c r="Y1265" s="1488"/>
      <c r="Z1265" s="1488"/>
      <c r="AA1265" s="1488"/>
      <c r="AB1265" s="1488"/>
      <c r="AC1265" s="1488"/>
      <c r="AD1265" s="1488"/>
      <c r="AE1265" s="1488"/>
      <c r="AF1265" s="1488"/>
      <c r="AG1265" s="1488"/>
      <c r="AH1265" s="1451">
        <f t="shared" si="680"/>
        <v>0</v>
      </c>
      <c r="AI1265" s="1488"/>
      <c r="AJ1265" s="1488"/>
      <c r="AK1265" s="1488"/>
      <c r="AL1265" s="1488"/>
      <c r="AM1265" s="1488"/>
      <c r="AN1265" s="1488"/>
      <c r="AO1265" s="1488"/>
      <c r="AP1265" s="1488"/>
      <c r="AQ1265" s="1488"/>
      <c r="AR1265" s="1488"/>
      <c r="AS1265" s="1488"/>
      <c r="AT1265" s="1542"/>
      <c r="AU1265" s="1599">
        <f t="shared" si="681"/>
        <v>0</v>
      </c>
      <c r="AV1265" s="1544">
        <f t="shared" si="709"/>
        <v>0</v>
      </c>
      <c r="AW1265" s="1452">
        <f t="shared" si="682"/>
        <v>0</v>
      </c>
      <c r="AX1265" s="1452">
        <f t="shared" si="683"/>
        <v>0</v>
      </c>
      <c r="AY1265" s="1452">
        <f t="shared" si="684"/>
        <v>0</v>
      </c>
      <c r="AZ1265" s="1452">
        <f t="shared" si="685"/>
        <v>0</v>
      </c>
      <c r="BA1265" s="1452">
        <f t="shared" si="686"/>
        <v>0</v>
      </c>
      <c r="BB1265" s="1452">
        <f t="shared" si="687"/>
        <v>0</v>
      </c>
      <c r="BC1265" s="1452">
        <f t="shared" si="688"/>
        <v>0</v>
      </c>
      <c r="BD1265" s="1452">
        <f t="shared" si="689"/>
        <v>0</v>
      </c>
      <c r="BE1265" s="1452">
        <f t="shared" si="690"/>
        <v>0</v>
      </c>
      <c r="BF1265" s="1452">
        <f t="shared" si="691"/>
        <v>0</v>
      </c>
      <c r="BG1265" s="1452">
        <f t="shared" si="692"/>
        <v>0</v>
      </c>
      <c r="BH1265" s="1452">
        <f t="shared" si="693"/>
        <v>0</v>
      </c>
      <c r="BI1265" s="1452">
        <f t="shared" si="710"/>
        <v>0</v>
      </c>
      <c r="BJ1265" s="1452" t="str">
        <f t="shared" si="694"/>
        <v/>
      </c>
      <c r="BK1265" s="1452" t="str">
        <f t="shared" si="695"/>
        <v/>
      </c>
      <c r="BL1265" s="1452" t="str">
        <f t="shared" si="696"/>
        <v/>
      </c>
      <c r="BM1265" s="1452" t="str">
        <f t="shared" si="697"/>
        <v/>
      </c>
      <c r="BN1265" s="1452" t="str">
        <f t="shared" ca="1" si="698"/>
        <v/>
      </c>
      <c r="BO1265" s="1452" t="str">
        <f t="shared" si="711"/>
        <v/>
      </c>
      <c r="BP1265" s="1452" t="str">
        <f t="shared" si="699"/>
        <v/>
      </c>
      <c r="BQ1265" s="1452" t="str">
        <f t="shared" si="700"/>
        <v/>
      </c>
      <c r="BR1265" s="1452" t="str">
        <f t="shared" si="701"/>
        <v/>
      </c>
      <c r="BS1265" s="1452" t="str">
        <f t="shared" si="702"/>
        <v/>
      </c>
      <c r="BT1265" s="1452" t="str">
        <f t="shared" si="703"/>
        <v/>
      </c>
      <c r="BU1265" s="1452" t="str">
        <f t="shared" si="704"/>
        <v/>
      </c>
      <c r="BV1265" s="1452" t="str">
        <f t="shared" si="705"/>
        <v/>
      </c>
      <c r="BW1265" s="1558">
        <f t="shared" ca="1" si="712"/>
        <v>0</v>
      </c>
    </row>
    <row r="1266" spans="1:75" s="9" customFormat="1" ht="12.5">
      <c r="A1266" s="1483" t="str">
        <f t="shared" si="706"/>
        <v>Public Health Wales Trust</v>
      </c>
      <c r="B1266" s="1583"/>
      <c r="C1266" s="1583"/>
      <c r="D1266" s="1583"/>
      <c r="E1266" s="1581"/>
      <c r="F1266" s="1436"/>
      <c r="G1266" s="1547">
        <f t="shared" si="707"/>
        <v>0</v>
      </c>
      <c r="H1266" s="1484"/>
      <c r="I1266" s="1547">
        <f t="shared" si="708"/>
        <v>0</v>
      </c>
      <c r="J1266" s="1485"/>
      <c r="K1266" s="1485"/>
      <c r="L1266" s="1436"/>
      <c r="M1266" s="1439"/>
      <c r="N1266" s="1439"/>
      <c r="O1266" s="1485"/>
      <c r="P1266" s="1486"/>
      <c r="Q1266" s="1486"/>
      <c r="R1266" s="1487"/>
      <c r="S1266" s="1444"/>
      <c r="T1266" s="1444"/>
      <c r="U1266" s="1444"/>
      <c r="V1266" s="1488"/>
      <c r="W1266" s="1488"/>
      <c r="X1266" s="1488"/>
      <c r="Y1266" s="1488"/>
      <c r="Z1266" s="1488"/>
      <c r="AA1266" s="1488"/>
      <c r="AB1266" s="1488"/>
      <c r="AC1266" s="1488"/>
      <c r="AD1266" s="1488"/>
      <c r="AE1266" s="1488"/>
      <c r="AF1266" s="1488"/>
      <c r="AG1266" s="1488"/>
      <c r="AH1266" s="1451">
        <f t="shared" si="680"/>
        <v>0</v>
      </c>
      <c r="AI1266" s="1488"/>
      <c r="AJ1266" s="1488"/>
      <c r="AK1266" s="1488"/>
      <c r="AL1266" s="1488"/>
      <c r="AM1266" s="1488"/>
      <c r="AN1266" s="1488"/>
      <c r="AO1266" s="1488"/>
      <c r="AP1266" s="1488"/>
      <c r="AQ1266" s="1488"/>
      <c r="AR1266" s="1488"/>
      <c r="AS1266" s="1488"/>
      <c r="AT1266" s="1542"/>
      <c r="AU1266" s="1599">
        <f t="shared" si="681"/>
        <v>0</v>
      </c>
      <c r="AV1266" s="1544">
        <f t="shared" si="709"/>
        <v>0</v>
      </c>
      <c r="AW1266" s="1452">
        <f t="shared" si="682"/>
        <v>0</v>
      </c>
      <c r="AX1266" s="1452">
        <f t="shared" si="683"/>
        <v>0</v>
      </c>
      <c r="AY1266" s="1452">
        <f t="shared" si="684"/>
        <v>0</v>
      </c>
      <c r="AZ1266" s="1452">
        <f t="shared" si="685"/>
        <v>0</v>
      </c>
      <c r="BA1266" s="1452">
        <f t="shared" si="686"/>
        <v>0</v>
      </c>
      <c r="BB1266" s="1452">
        <f t="shared" si="687"/>
        <v>0</v>
      </c>
      <c r="BC1266" s="1452">
        <f t="shared" si="688"/>
        <v>0</v>
      </c>
      <c r="BD1266" s="1452">
        <f t="shared" si="689"/>
        <v>0</v>
      </c>
      <c r="BE1266" s="1452">
        <f t="shared" si="690"/>
        <v>0</v>
      </c>
      <c r="BF1266" s="1452">
        <f t="shared" si="691"/>
        <v>0</v>
      </c>
      <c r="BG1266" s="1452">
        <f t="shared" si="692"/>
        <v>0</v>
      </c>
      <c r="BH1266" s="1452">
        <f t="shared" si="693"/>
        <v>0</v>
      </c>
      <c r="BI1266" s="1452">
        <f t="shared" si="710"/>
        <v>0</v>
      </c>
      <c r="BJ1266" s="1452" t="str">
        <f t="shared" si="694"/>
        <v/>
      </c>
      <c r="BK1266" s="1452" t="str">
        <f t="shared" si="695"/>
        <v/>
      </c>
      <c r="BL1266" s="1452" t="str">
        <f t="shared" si="696"/>
        <v/>
      </c>
      <c r="BM1266" s="1452" t="str">
        <f t="shared" si="697"/>
        <v/>
      </c>
      <c r="BN1266" s="1452" t="str">
        <f t="shared" ca="1" si="698"/>
        <v/>
      </c>
      <c r="BO1266" s="1452" t="str">
        <f t="shared" si="711"/>
        <v/>
      </c>
      <c r="BP1266" s="1452" t="str">
        <f t="shared" si="699"/>
        <v/>
      </c>
      <c r="BQ1266" s="1452" t="str">
        <f t="shared" si="700"/>
        <v/>
      </c>
      <c r="BR1266" s="1452" t="str">
        <f t="shared" si="701"/>
        <v/>
      </c>
      <c r="BS1266" s="1452" t="str">
        <f t="shared" si="702"/>
        <v/>
      </c>
      <c r="BT1266" s="1452" t="str">
        <f t="shared" si="703"/>
        <v/>
      </c>
      <c r="BU1266" s="1452" t="str">
        <f t="shared" si="704"/>
        <v/>
      </c>
      <c r="BV1266" s="1452" t="str">
        <f t="shared" si="705"/>
        <v/>
      </c>
      <c r="BW1266" s="1558">
        <f t="shared" ca="1" si="712"/>
        <v>0</v>
      </c>
    </row>
    <row r="1267" spans="1:75" s="9" customFormat="1" ht="12.5">
      <c r="A1267" s="1483" t="str">
        <f t="shared" si="706"/>
        <v>Public Health Wales Trust</v>
      </c>
      <c r="B1267" s="1583"/>
      <c r="C1267" s="1583"/>
      <c r="D1267" s="1583"/>
      <c r="E1267" s="1585"/>
      <c r="F1267" s="1436"/>
      <c r="G1267" s="1547">
        <f t="shared" si="707"/>
        <v>0</v>
      </c>
      <c r="H1267" s="1484"/>
      <c r="I1267" s="1547">
        <f t="shared" si="708"/>
        <v>0</v>
      </c>
      <c r="J1267" s="1485"/>
      <c r="K1267" s="1485"/>
      <c r="L1267" s="1436"/>
      <c r="M1267" s="1439"/>
      <c r="N1267" s="1439"/>
      <c r="O1267" s="1485"/>
      <c r="P1267" s="1486"/>
      <c r="Q1267" s="1486"/>
      <c r="R1267" s="1487"/>
      <c r="S1267" s="1444"/>
      <c r="T1267" s="1444"/>
      <c r="U1267" s="1444"/>
      <c r="V1267" s="1488"/>
      <c r="W1267" s="1488"/>
      <c r="X1267" s="1488"/>
      <c r="Y1267" s="1488"/>
      <c r="Z1267" s="1488"/>
      <c r="AA1267" s="1488"/>
      <c r="AB1267" s="1488"/>
      <c r="AC1267" s="1488"/>
      <c r="AD1267" s="1488"/>
      <c r="AE1267" s="1488"/>
      <c r="AF1267" s="1488"/>
      <c r="AG1267" s="1488"/>
      <c r="AH1267" s="1451">
        <f t="shared" si="680"/>
        <v>0</v>
      </c>
      <c r="AI1267" s="1488"/>
      <c r="AJ1267" s="1488"/>
      <c r="AK1267" s="1488"/>
      <c r="AL1267" s="1488"/>
      <c r="AM1267" s="1488"/>
      <c r="AN1267" s="1488"/>
      <c r="AO1267" s="1488"/>
      <c r="AP1267" s="1488"/>
      <c r="AQ1267" s="1488"/>
      <c r="AR1267" s="1488"/>
      <c r="AS1267" s="1488"/>
      <c r="AT1267" s="1542"/>
      <c r="AU1267" s="1599">
        <f t="shared" si="681"/>
        <v>0</v>
      </c>
      <c r="AV1267" s="1544">
        <f t="shared" si="709"/>
        <v>0</v>
      </c>
      <c r="AW1267" s="1452">
        <f t="shared" si="682"/>
        <v>0</v>
      </c>
      <c r="AX1267" s="1452">
        <f t="shared" si="683"/>
        <v>0</v>
      </c>
      <c r="AY1267" s="1452">
        <f t="shared" si="684"/>
        <v>0</v>
      </c>
      <c r="AZ1267" s="1452">
        <f t="shared" si="685"/>
        <v>0</v>
      </c>
      <c r="BA1267" s="1452">
        <f t="shared" si="686"/>
        <v>0</v>
      </c>
      <c r="BB1267" s="1452">
        <f t="shared" si="687"/>
        <v>0</v>
      </c>
      <c r="BC1267" s="1452">
        <f t="shared" si="688"/>
        <v>0</v>
      </c>
      <c r="BD1267" s="1452">
        <f t="shared" si="689"/>
        <v>0</v>
      </c>
      <c r="BE1267" s="1452">
        <f t="shared" si="690"/>
        <v>0</v>
      </c>
      <c r="BF1267" s="1452">
        <f t="shared" si="691"/>
        <v>0</v>
      </c>
      <c r="BG1267" s="1452">
        <f t="shared" si="692"/>
        <v>0</v>
      </c>
      <c r="BH1267" s="1452">
        <f t="shared" si="693"/>
        <v>0</v>
      </c>
      <c r="BI1267" s="1452">
        <f t="shared" si="710"/>
        <v>0</v>
      </c>
      <c r="BJ1267" s="1452" t="str">
        <f t="shared" si="694"/>
        <v/>
      </c>
      <c r="BK1267" s="1452" t="str">
        <f t="shared" si="695"/>
        <v/>
      </c>
      <c r="BL1267" s="1452" t="str">
        <f t="shared" si="696"/>
        <v/>
      </c>
      <c r="BM1267" s="1452" t="str">
        <f t="shared" si="697"/>
        <v/>
      </c>
      <c r="BN1267" s="1452" t="str">
        <f t="shared" ca="1" si="698"/>
        <v/>
      </c>
      <c r="BO1267" s="1452" t="str">
        <f t="shared" si="711"/>
        <v/>
      </c>
      <c r="BP1267" s="1452" t="str">
        <f t="shared" si="699"/>
        <v/>
      </c>
      <c r="BQ1267" s="1452" t="str">
        <f t="shared" si="700"/>
        <v/>
      </c>
      <c r="BR1267" s="1452" t="str">
        <f t="shared" si="701"/>
        <v/>
      </c>
      <c r="BS1267" s="1452" t="str">
        <f t="shared" si="702"/>
        <v/>
      </c>
      <c r="BT1267" s="1452" t="str">
        <f t="shared" si="703"/>
        <v/>
      </c>
      <c r="BU1267" s="1452" t="str">
        <f t="shared" si="704"/>
        <v/>
      </c>
      <c r="BV1267" s="1452" t="str">
        <f t="shared" si="705"/>
        <v/>
      </c>
      <c r="BW1267" s="1558">
        <f t="shared" ca="1" si="712"/>
        <v>0</v>
      </c>
    </row>
    <row r="1268" spans="1:75" s="9" customFormat="1" ht="12.5">
      <c r="A1268" s="1483" t="str">
        <f t="shared" si="706"/>
        <v>Public Health Wales Trust</v>
      </c>
      <c r="B1268" s="1583"/>
      <c r="C1268" s="1583"/>
      <c r="D1268" s="1583"/>
      <c r="E1268" s="1581"/>
      <c r="F1268" s="1436"/>
      <c r="G1268" s="1547">
        <f t="shared" si="707"/>
        <v>0</v>
      </c>
      <c r="H1268" s="1484"/>
      <c r="I1268" s="1547">
        <f t="shared" si="708"/>
        <v>0</v>
      </c>
      <c r="J1268" s="1485"/>
      <c r="K1268" s="1485"/>
      <c r="L1268" s="1436"/>
      <c r="M1268" s="1439"/>
      <c r="N1268" s="1439"/>
      <c r="O1268" s="1485"/>
      <c r="P1268" s="1486"/>
      <c r="Q1268" s="1486"/>
      <c r="R1268" s="1487"/>
      <c r="S1268" s="1444"/>
      <c r="T1268" s="1444"/>
      <c r="U1268" s="1444"/>
      <c r="V1268" s="1488"/>
      <c r="W1268" s="1488"/>
      <c r="X1268" s="1488"/>
      <c r="Y1268" s="1488"/>
      <c r="Z1268" s="1488"/>
      <c r="AA1268" s="1488"/>
      <c r="AB1268" s="1488"/>
      <c r="AC1268" s="1488"/>
      <c r="AD1268" s="1488"/>
      <c r="AE1268" s="1488"/>
      <c r="AF1268" s="1488"/>
      <c r="AG1268" s="1488"/>
      <c r="AH1268" s="1451">
        <f t="shared" si="680"/>
        <v>0</v>
      </c>
      <c r="AI1268" s="1488"/>
      <c r="AJ1268" s="1488"/>
      <c r="AK1268" s="1488"/>
      <c r="AL1268" s="1488"/>
      <c r="AM1268" s="1488"/>
      <c r="AN1268" s="1488"/>
      <c r="AO1268" s="1488"/>
      <c r="AP1268" s="1488"/>
      <c r="AQ1268" s="1488"/>
      <c r="AR1268" s="1488"/>
      <c r="AS1268" s="1488"/>
      <c r="AT1268" s="1542"/>
      <c r="AU1268" s="1599">
        <f t="shared" si="681"/>
        <v>0</v>
      </c>
      <c r="AV1268" s="1544">
        <f t="shared" si="709"/>
        <v>0</v>
      </c>
      <c r="AW1268" s="1452">
        <f t="shared" si="682"/>
        <v>0</v>
      </c>
      <c r="AX1268" s="1452">
        <f t="shared" si="683"/>
        <v>0</v>
      </c>
      <c r="AY1268" s="1452">
        <f t="shared" si="684"/>
        <v>0</v>
      </c>
      <c r="AZ1268" s="1452">
        <f t="shared" si="685"/>
        <v>0</v>
      </c>
      <c r="BA1268" s="1452">
        <f t="shared" si="686"/>
        <v>0</v>
      </c>
      <c r="BB1268" s="1452">
        <f t="shared" si="687"/>
        <v>0</v>
      </c>
      <c r="BC1268" s="1452">
        <f t="shared" si="688"/>
        <v>0</v>
      </c>
      <c r="BD1268" s="1452">
        <f t="shared" si="689"/>
        <v>0</v>
      </c>
      <c r="BE1268" s="1452">
        <f t="shared" si="690"/>
        <v>0</v>
      </c>
      <c r="BF1268" s="1452">
        <f t="shared" si="691"/>
        <v>0</v>
      </c>
      <c r="BG1268" s="1452">
        <f t="shared" si="692"/>
        <v>0</v>
      </c>
      <c r="BH1268" s="1452">
        <f t="shared" si="693"/>
        <v>0</v>
      </c>
      <c r="BI1268" s="1452">
        <f t="shared" si="710"/>
        <v>0</v>
      </c>
      <c r="BJ1268" s="1452" t="str">
        <f t="shared" si="694"/>
        <v/>
      </c>
      <c r="BK1268" s="1452" t="str">
        <f t="shared" si="695"/>
        <v/>
      </c>
      <c r="BL1268" s="1452" t="str">
        <f t="shared" si="696"/>
        <v/>
      </c>
      <c r="BM1268" s="1452" t="str">
        <f t="shared" si="697"/>
        <v/>
      </c>
      <c r="BN1268" s="1452" t="str">
        <f t="shared" ca="1" si="698"/>
        <v/>
      </c>
      <c r="BO1268" s="1452" t="str">
        <f t="shared" si="711"/>
        <v/>
      </c>
      <c r="BP1268" s="1452" t="str">
        <f t="shared" si="699"/>
        <v/>
      </c>
      <c r="BQ1268" s="1452" t="str">
        <f t="shared" si="700"/>
        <v/>
      </c>
      <c r="BR1268" s="1452" t="str">
        <f t="shared" si="701"/>
        <v/>
      </c>
      <c r="BS1268" s="1452" t="str">
        <f t="shared" si="702"/>
        <v/>
      </c>
      <c r="BT1268" s="1452" t="str">
        <f t="shared" si="703"/>
        <v/>
      </c>
      <c r="BU1268" s="1452" t="str">
        <f t="shared" si="704"/>
        <v/>
      </c>
      <c r="BV1268" s="1452" t="str">
        <f t="shared" si="705"/>
        <v/>
      </c>
      <c r="BW1268" s="1558">
        <f t="shared" ca="1" si="712"/>
        <v>0</v>
      </c>
    </row>
    <row r="1269" spans="1:75" s="9" customFormat="1" ht="12.5">
      <c r="A1269" s="1483" t="str">
        <f t="shared" si="706"/>
        <v>Public Health Wales Trust</v>
      </c>
      <c r="B1269" s="1583"/>
      <c r="C1269" s="1583"/>
      <c r="D1269" s="1583"/>
      <c r="E1269" s="1581"/>
      <c r="F1269" s="1436"/>
      <c r="G1269" s="1547">
        <f t="shared" si="707"/>
        <v>0</v>
      </c>
      <c r="H1269" s="1484"/>
      <c r="I1269" s="1547">
        <f t="shared" si="708"/>
        <v>0</v>
      </c>
      <c r="J1269" s="1485"/>
      <c r="K1269" s="1485"/>
      <c r="L1269" s="1436"/>
      <c r="M1269" s="1439"/>
      <c r="N1269" s="1439"/>
      <c r="O1269" s="1485"/>
      <c r="P1269" s="1486"/>
      <c r="Q1269" s="1486"/>
      <c r="R1269" s="1487"/>
      <c r="S1269" s="1444"/>
      <c r="T1269" s="1444"/>
      <c r="U1269" s="1444"/>
      <c r="V1269" s="1488"/>
      <c r="W1269" s="1488"/>
      <c r="X1269" s="1488"/>
      <c r="Y1269" s="1488"/>
      <c r="Z1269" s="1488"/>
      <c r="AA1269" s="1488"/>
      <c r="AB1269" s="1488"/>
      <c r="AC1269" s="1488"/>
      <c r="AD1269" s="1488"/>
      <c r="AE1269" s="1488"/>
      <c r="AF1269" s="1488"/>
      <c r="AG1269" s="1488"/>
      <c r="AH1269" s="1451">
        <f t="shared" si="680"/>
        <v>0</v>
      </c>
      <c r="AI1269" s="1488"/>
      <c r="AJ1269" s="1488"/>
      <c r="AK1269" s="1488"/>
      <c r="AL1269" s="1488"/>
      <c r="AM1269" s="1488"/>
      <c r="AN1269" s="1488"/>
      <c r="AO1269" s="1488"/>
      <c r="AP1269" s="1488"/>
      <c r="AQ1269" s="1488"/>
      <c r="AR1269" s="1488"/>
      <c r="AS1269" s="1488"/>
      <c r="AT1269" s="1542"/>
      <c r="AU1269" s="1599">
        <f t="shared" si="681"/>
        <v>0</v>
      </c>
      <c r="AV1269" s="1544">
        <f t="shared" si="709"/>
        <v>0</v>
      </c>
      <c r="AW1269" s="1452">
        <f t="shared" si="682"/>
        <v>0</v>
      </c>
      <c r="AX1269" s="1452">
        <f t="shared" si="683"/>
        <v>0</v>
      </c>
      <c r="AY1269" s="1452">
        <f t="shared" si="684"/>
        <v>0</v>
      </c>
      <c r="AZ1269" s="1452">
        <f t="shared" si="685"/>
        <v>0</v>
      </c>
      <c r="BA1269" s="1452">
        <f t="shared" si="686"/>
        <v>0</v>
      </c>
      <c r="BB1269" s="1452">
        <f t="shared" si="687"/>
        <v>0</v>
      </c>
      <c r="BC1269" s="1452">
        <f t="shared" si="688"/>
        <v>0</v>
      </c>
      <c r="BD1269" s="1452">
        <f t="shared" si="689"/>
        <v>0</v>
      </c>
      <c r="BE1269" s="1452">
        <f t="shared" si="690"/>
        <v>0</v>
      </c>
      <c r="BF1269" s="1452">
        <f t="shared" si="691"/>
        <v>0</v>
      </c>
      <c r="BG1269" s="1452">
        <f t="shared" si="692"/>
        <v>0</v>
      </c>
      <c r="BH1269" s="1452">
        <f t="shared" si="693"/>
        <v>0</v>
      </c>
      <c r="BI1269" s="1452">
        <f t="shared" si="710"/>
        <v>0</v>
      </c>
      <c r="BJ1269" s="1452" t="str">
        <f t="shared" si="694"/>
        <v/>
      </c>
      <c r="BK1269" s="1452" t="str">
        <f t="shared" si="695"/>
        <v/>
      </c>
      <c r="BL1269" s="1452" t="str">
        <f t="shared" si="696"/>
        <v/>
      </c>
      <c r="BM1269" s="1452" t="str">
        <f t="shared" si="697"/>
        <v/>
      </c>
      <c r="BN1269" s="1452" t="str">
        <f t="shared" ca="1" si="698"/>
        <v/>
      </c>
      <c r="BO1269" s="1452" t="str">
        <f t="shared" si="711"/>
        <v/>
      </c>
      <c r="BP1269" s="1452" t="str">
        <f t="shared" si="699"/>
        <v/>
      </c>
      <c r="BQ1269" s="1452" t="str">
        <f t="shared" si="700"/>
        <v/>
      </c>
      <c r="BR1269" s="1452" t="str">
        <f t="shared" si="701"/>
        <v/>
      </c>
      <c r="BS1269" s="1452" t="str">
        <f t="shared" si="702"/>
        <v/>
      </c>
      <c r="BT1269" s="1452" t="str">
        <f t="shared" si="703"/>
        <v/>
      </c>
      <c r="BU1269" s="1452" t="str">
        <f t="shared" si="704"/>
        <v/>
      </c>
      <c r="BV1269" s="1452" t="str">
        <f t="shared" si="705"/>
        <v/>
      </c>
      <c r="BW1269" s="1558">
        <f t="shared" ca="1" si="712"/>
        <v>0</v>
      </c>
    </row>
    <row r="1270" spans="1:75" s="9" customFormat="1" ht="12.5">
      <c r="A1270" s="1483" t="str">
        <f t="shared" si="706"/>
        <v>Public Health Wales Trust</v>
      </c>
      <c r="B1270" s="1583"/>
      <c r="C1270" s="1583"/>
      <c r="D1270" s="1583"/>
      <c r="E1270" s="1585"/>
      <c r="F1270" s="1436"/>
      <c r="G1270" s="1547">
        <f t="shared" si="707"/>
        <v>0</v>
      </c>
      <c r="H1270" s="1484"/>
      <c r="I1270" s="1547">
        <f t="shared" si="708"/>
        <v>0</v>
      </c>
      <c r="J1270" s="1485"/>
      <c r="K1270" s="1485"/>
      <c r="L1270" s="1436"/>
      <c r="M1270" s="1439"/>
      <c r="N1270" s="1439"/>
      <c r="O1270" s="1485"/>
      <c r="P1270" s="1486"/>
      <c r="Q1270" s="1486"/>
      <c r="R1270" s="1487"/>
      <c r="S1270" s="1444"/>
      <c r="T1270" s="1444"/>
      <c r="U1270" s="1444"/>
      <c r="V1270" s="1488"/>
      <c r="W1270" s="1488"/>
      <c r="X1270" s="1488"/>
      <c r="Y1270" s="1488"/>
      <c r="Z1270" s="1488"/>
      <c r="AA1270" s="1488"/>
      <c r="AB1270" s="1488"/>
      <c r="AC1270" s="1488"/>
      <c r="AD1270" s="1488"/>
      <c r="AE1270" s="1488"/>
      <c r="AF1270" s="1488"/>
      <c r="AG1270" s="1488"/>
      <c r="AH1270" s="1451">
        <f t="shared" si="680"/>
        <v>0</v>
      </c>
      <c r="AI1270" s="1488"/>
      <c r="AJ1270" s="1488"/>
      <c r="AK1270" s="1488"/>
      <c r="AL1270" s="1488"/>
      <c r="AM1270" s="1488"/>
      <c r="AN1270" s="1488"/>
      <c r="AO1270" s="1488"/>
      <c r="AP1270" s="1488"/>
      <c r="AQ1270" s="1488"/>
      <c r="AR1270" s="1488"/>
      <c r="AS1270" s="1488"/>
      <c r="AT1270" s="1542"/>
      <c r="AU1270" s="1599">
        <f t="shared" si="681"/>
        <v>0</v>
      </c>
      <c r="AV1270" s="1544">
        <f t="shared" si="709"/>
        <v>0</v>
      </c>
      <c r="AW1270" s="1452">
        <f t="shared" si="682"/>
        <v>0</v>
      </c>
      <c r="AX1270" s="1452">
        <f t="shared" si="683"/>
        <v>0</v>
      </c>
      <c r="AY1270" s="1452">
        <f t="shared" si="684"/>
        <v>0</v>
      </c>
      <c r="AZ1270" s="1452">
        <f t="shared" si="685"/>
        <v>0</v>
      </c>
      <c r="BA1270" s="1452">
        <f t="shared" si="686"/>
        <v>0</v>
      </c>
      <c r="BB1270" s="1452">
        <f t="shared" si="687"/>
        <v>0</v>
      </c>
      <c r="BC1270" s="1452">
        <f t="shared" si="688"/>
        <v>0</v>
      </c>
      <c r="BD1270" s="1452">
        <f t="shared" si="689"/>
        <v>0</v>
      </c>
      <c r="BE1270" s="1452">
        <f t="shared" si="690"/>
        <v>0</v>
      </c>
      <c r="BF1270" s="1452">
        <f t="shared" si="691"/>
        <v>0</v>
      </c>
      <c r="BG1270" s="1452">
        <f t="shared" si="692"/>
        <v>0</v>
      </c>
      <c r="BH1270" s="1452">
        <f t="shared" si="693"/>
        <v>0</v>
      </c>
      <c r="BI1270" s="1452">
        <f t="shared" si="710"/>
        <v>0</v>
      </c>
      <c r="BJ1270" s="1452" t="str">
        <f t="shared" si="694"/>
        <v/>
      </c>
      <c r="BK1270" s="1452" t="str">
        <f t="shared" si="695"/>
        <v/>
      </c>
      <c r="BL1270" s="1452" t="str">
        <f t="shared" si="696"/>
        <v/>
      </c>
      <c r="BM1270" s="1452" t="str">
        <f t="shared" si="697"/>
        <v/>
      </c>
      <c r="BN1270" s="1452" t="str">
        <f t="shared" ca="1" si="698"/>
        <v/>
      </c>
      <c r="BO1270" s="1452" t="str">
        <f t="shared" si="711"/>
        <v/>
      </c>
      <c r="BP1270" s="1452" t="str">
        <f t="shared" si="699"/>
        <v/>
      </c>
      <c r="BQ1270" s="1452" t="str">
        <f t="shared" si="700"/>
        <v/>
      </c>
      <c r="BR1270" s="1452" t="str">
        <f t="shared" si="701"/>
        <v/>
      </c>
      <c r="BS1270" s="1452" t="str">
        <f t="shared" si="702"/>
        <v/>
      </c>
      <c r="BT1270" s="1452" t="str">
        <f t="shared" si="703"/>
        <v/>
      </c>
      <c r="BU1270" s="1452" t="str">
        <f t="shared" si="704"/>
        <v/>
      </c>
      <c r="BV1270" s="1452" t="str">
        <f t="shared" si="705"/>
        <v/>
      </c>
      <c r="BW1270" s="1558">
        <f t="shared" ca="1" si="712"/>
        <v>0</v>
      </c>
    </row>
    <row r="1271" spans="1:75" s="9" customFormat="1" ht="12.5">
      <c r="A1271" s="1483" t="str">
        <f t="shared" si="706"/>
        <v>Public Health Wales Trust</v>
      </c>
      <c r="B1271" s="1583"/>
      <c r="C1271" s="1583"/>
      <c r="D1271" s="1583"/>
      <c r="E1271" s="1581"/>
      <c r="F1271" s="1436"/>
      <c r="G1271" s="1547">
        <f t="shared" si="707"/>
        <v>0</v>
      </c>
      <c r="H1271" s="1484"/>
      <c r="I1271" s="1547">
        <f t="shared" si="708"/>
        <v>0</v>
      </c>
      <c r="J1271" s="1485"/>
      <c r="K1271" s="1485"/>
      <c r="L1271" s="1436"/>
      <c r="M1271" s="1439"/>
      <c r="N1271" s="1439"/>
      <c r="O1271" s="1485"/>
      <c r="P1271" s="1486"/>
      <c r="Q1271" s="1486"/>
      <c r="R1271" s="1487"/>
      <c r="S1271" s="1444"/>
      <c r="T1271" s="1444"/>
      <c r="U1271" s="1444"/>
      <c r="V1271" s="1488"/>
      <c r="W1271" s="1488"/>
      <c r="X1271" s="1488"/>
      <c r="Y1271" s="1488"/>
      <c r="Z1271" s="1488"/>
      <c r="AA1271" s="1488"/>
      <c r="AB1271" s="1488"/>
      <c r="AC1271" s="1488"/>
      <c r="AD1271" s="1488"/>
      <c r="AE1271" s="1488"/>
      <c r="AF1271" s="1488"/>
      <c r="AG1271" s="1488"/>
      <c r="AH1271" s="1451">
        <f t="shared" si="680"/>
        <v>0</v>
      </c>
      <c r="AI1271" s="1488"/>
      <c r="AJ1271" s="1488"/>
      <c r="AK1271" s="1488"/>
      <c r="AL1271" s="1488"/>
      <c r="AM1271" s="1488"/>
      <c r="AN1271" s="1488"/>
      <c r="AO1271" s="1488"/>
      <c r="AP1271" s="1488"/>
      <c r="AQ1271" s="1488"/>
      <c r="AR1271" s="1488"/>
      <c r="AS1271" s="1488"/>
      <c r="AT1271" s="1542"/>
      <c r="AU1271" s="1599">
        <f t="shared" si="681"/>
        <v>0</v>
      </c>
      <c r="AV1271" s="1544">
        <f t="shared" si="709"/>
        <v>0</v>
      </c>
      <c r="AW1271" s="1452">
        <f t="shared" si="682"/>
        <v>0</v>
      </c>
      <c r="AX1271" s="1452">
        <f t="shared" si="683"/>
        <v>0</v>
      </c>
      <c r="AY1271" s="1452">
        <f t="shared" si="684"/>
        <v>0</v>
      </c>
      <c r="AZ1271" s="1452">
        <f t="shared" si="685"/>
        <v>0</v>
      </c>
      <c r="BA1271" s="1452">
        <f t="shared" si="686"/>
        <v>0</v>
      </c>
      <c r="BB1271" s="1452">
        <f t="shared" si="687"/>
        <v>0</v>
      </c>
      <c r="BC1271" s="1452">
        <f t="shared" si="688"/>
        <v>0</v>
      </c>
      <c r="BD1271" s="1452">
        <f t="shared" si="689"/>
        <v>0</v>
      </c>
      <c r="BE1271" s="1452">
        <f t="shared" si="690"/>
        <v>0</v>
      </c>
      <c r="BF1271" s="1452">
        <f t="shared" si="691"/>
        <v>0</v>
      </c>
      <c r="BG1271" s="1452">
        <f t="shared" si="692"/>
        <v>0</v>
      </c>
      <c r="BH1271" s="1452">
        <f t="shared" si="693"/>
        <v>0</v>
      </c>
      <c r="BI1271" s="1452">
        <f t="shared" si="710"/>
        <v>0</v>
      </c>
      <c r="BJ1271" s="1452" t="str">
        <f t="shared" si="694"/>
        <v/>
      </c>
      <c r="BK1271" s="1452" t="str">
        <f t="shared" si="695"/>
        <v/>
      </c>
      <c r="BL1271" s="1452" t="str">
        <f t="shared" si="696"/>
        <v/>
      </c>
      <c r="BM1271" s="1452" t="str">
        <f t="shared" si="697"/>
        <v/>
      </c>
      <c r="BN1271" s="1452" t="str">
        <f t="shared" ca="1" si="698"/>
        <v/>
      </c>
      <c r="BO1271" s="1452" t="str">
        <f t="shared" si="711"/>
        <v/>
      </c>
      <c r="BP1271" s="1452" t="str">
        <f t="shared" si="699"/>
        <v/>
      </c>
      <c r="BQ1271" s="1452" t="str">
        <f t="shared" si="700"/>
        <v/>
      </c>
      <c r="BR1271" s="1452" t="str">
        <f t="shared" si="701"/>
        <v/>
      </c>
      <c r="BS1271" s="1452" t="str">
        <f t="shared" si="702"/>
        <v/>
      </c>
      <c r="BT1271" s="1452" t="str">
        <f t="shared" si="703"/>
        <v/>
      </c>
      <c r="BU1271" s="1452" t="str">
        <f t="shared" si="704"/>
        <v/>
      </c>
      <c r="BV1271" s="1452" t="str">
        <f t="shared" si="705"/>
        <v/>
      </c>
      <c r="BW1271" s="1558">
        <f t="shared" ca="1" si="712"/>
        <v>0</v>
      </c>
    </row>
    <row r="1272" spans="1:75" s="9" customFormat="1" ht="12.5">
      <c r="A1272" s="1483" t="str">
        <f t="shared" si="706"/>
        <v>Public Health Wales Trust</v>
      </c>
      <c r="B1272" s="1583"/>
      <c r="C1272" s="1583"/>
      <c r="D1272" s="1583"/>
      <c r="E1272" s="1581"/>
      <c r="F1272" s="1436"/>
      <c r="G1272" s="1547">
        <f t="shared" si="707"/>
        <v>0</v>
      </c>
      <c r="H1272" s="1484"/>
      <c r="I1272" s="1547">
        <f t="shared" si="708"/>
        <v>0</v>
      </c>
      <c r="J1272" s="1485"/>
      <c r="K1272" s="1485"/>
      <c r="L1272" s="1436"/>
      <c r="M1272" s="1439"/>
      <c r="N1272" s="1439"/>
      <c r="O1272" s="1485"/>
      <c r="P1272" s="1486"/>
      <c r="Q1272" s="1486"/>
      <c r="R1272" s="1487"/>
      <c r="S1272" s="1444"/>
      <c r="T1272" s="1444"/>
      <c r="U1272" s="1444"/>
      <c r="V1272" s="1488"/>
      <c r="W1272" s="1488"/>
      <c r="X1272" s="1488"/>
      <c r="Y1272" s="1488"/>
      <c r="Z1272" s="1488"/>
      <c r="AA1272" s="1488"/>
      <c r="AB1272" s="1488"/>
      <c r="AC1272" s="1488"/>
      <c r="AD1272" s="1488"/>
      <c r="AE1272" s="1488"/>
      <c r="AF1272" s="1488"/>
      <c r="AG1272" s="1488"/>
      <c r="AH1272" s="1451">
        <f t="shared" si="680"/>
        <v>0</v>
      </c>
      <c r="AI1272" s="1488"/>
      <c r="AJ1272" s="1488"/>
      <c r="AK1272" s="1488"/>
      <c r="AL1272" s="1488"/>
      <c r="AM1272" s="1488"/>
      <c r="AN1272" s="1488"/>
      <c r="AO1272" s="1488"/>
      <c r="AP1272" s="1488"/>
      <c r="AQ1272" s="1488"/>
      <c r="AR1272" s="1488"/>
      <c r="AS1272" s="1488"/>
      <c r="AT1272" s="1542"/>
      <c r="AU1272" s="1599">
        <f t="shared" si="681"/>
        <v>0</v>
      </c>
      <c r="AV1272" s="1544">
        <f t="shared" si="709"/>
        <v>0</v>
      </c>
      <c r="AW1272" s="1452">
        <f t="shared" si="682"/>
        <v>0</v>
      </c>
      <c r="AX1272" s="1452">
        <f t="shared" si="683"/>
        <v>0</v>
      </c>
      <c r="AY1272" s="1452">
        <f t="shared" si="684"/>
        <v>0</v>
      </c>
      <c r="AZ1272" s="1452">
        <f t="shared" si="685"/>
        <v>0</v>
      </c>
      <c r="BA1272" s="1452">
        <f t="shared" si="686"/>
        <v>0</v>
      </c>
      <c r="BB1272" s="1452">
        <f t="shared" si="687"/>
        <v>0</v>
      </c>
      <c r="BC1272" s="1452">
        <f t="shared" si="688"/>
        <v>0</v>
      </c>
      <c r="BD1272" s="1452">
        <f t="shared" si="689"/>
        <v>0</v>
      </c>
      <c r="BE1272" s="1452">
        <f t="shared" si="690"/>
        <v>0</v>
      </c>
      <c r="BF1272" s="1452">
        <f t="shared" si="691"/>
        <v>0</v>
      </c>
      <c r="BG1272" s="1452">
        <f t="shared" si="692"/>
        <v>0</v>
      </c>
      <c r="BH1272" s="1452">
        <f t="shared" si="693"/>
        <v>0</v>
      </c>
      <c r="BI1272" s="1452">
        <f t="shared" si="710"/>
        <v>0</v>
      </c>
      <c r="BJ1272" s="1452" t="str">
        <f t="shared" si="694"/>
        <v/>
      </c>
      <c r="BK1272" s="1452" t="str">
        <f t="shared" si="695"/>
        <v/>
      </c>
      <c r="BL1272" s="1452" t="str">
        <f t="shared" si="696"/>
        <v/>
      </c>
      <c r="BM1272" s="1452" t="str">
        <f t="shared" si="697"/>
        <v/>
      </c>
      <c r="BN1272" s="1452" t="str">
        <f t="shared" ca="1" si="698"/>
        <v/>
      </c>
      <c r="BO1272" s="1452" t="str">
        <f t="shared" si="711"/>
        <v/>
      </c>
      <c r="BP1272" s="1452" t="str">
        <f t="shared" si="699"/>
        <v/>
      </c>
      <c r="BQ1272" s="1452" t="str">
        <f t="shared" si="700"/>
        <v/>
      </c>
      <c r="BR1272" s="1452" t="str">
        <f t="shared" si="701"/>
        <v/>
      </c>
      <c r="BS1272" s="1452" t="str">
        <f t="shared" si="702"/>
        <v/>
      </c>
      <c r="BT1272" s="1452" t="str">
        <f t="shared" si="703"/>
        <v/>
      </c>
      <c r="BU1272" s="1452" t="str">
        <f t="shared" si="704"/>
        <v/>
      </c>
      <c r="BV1272" s="1452" t="str">
        <f t="shared" si="705"/>
        <v/>
      </c>
      <c r="BW1272" s="1558">
        <f t="shared" ca="1" si="712"/>
        <v>0</v>
      </c>
    </row>
    <row r="1273" spans="1:75" s="9" customFormat="1" ht="12.5">
      <c r="A1273" s="1483" t="str">
        <f t="shared" si="706"/>
        <v>Public Health Wales Trust</v>
      </c>
      <c r="B1273" s="1583"/>
      <c r="C1273" s="1583"/>
      <c r="D1273" s="1583"/>
      <c r="E1273" s="1581"/>
      <c r="F1273" s="1436"/>
      <c r="G1273" s="1547">
        <f t="shared" si="707"/>
        <v>0</v>
      </c>
      <c r="H1273" s="1484"/>
      <c r="I1273" s="1547">
        <f t="shared" si="708"/>
        <v>0</v>
      </c>
      <c r="J1273" s="1485"/>
      <c r="K1273" s="1485"/>
      <c r="L1273" s="1436"/>
      <c r="M1273" s="1439"/>
      <c r="N1273" s="1439"/>
      <c r="O1273" s="1485"/>
      <c r="P1273" s="1486"/>
      <c r="Q1273" s="1486"/>
      <c r="R1273" s="1487"/>
      <c r="S1273" s="1444"/>
      <c r="T1273" s="1444"/>
      <c r="U1273" s="1444"/>
      <c r="V1273" s="1488"/>
      <c r="W1273" s="1488"/>
      <c r="X1273" s="1488"/>
      <c r="Y1273" s="1488"/>
      <c r="Z1273" s="1488"/>
      <c r="AA1273" s="1488"/>
      <c r="AB1273" s="1488"/>
      <c r="AC1273" s="1488"/>
      <c r="AD1273" s="1488"/>
      <c r="AE1273" s="1488"/>
      <c r="AF1273" s="1488"/>
      <c r="AG1273" s="1488"/>
      <c r="AH1273" s="1451">
        <f t="shared" si="680"/>
        <v>0</v>
      </c>
      <c r="AI1273" s="1488"/>
      <c r="AJ1273" s="1488"/>
      <c r="AK1273" s="1488"/>
      <c r="AL1273" s="1488"/>
      <c r="AM1273" s="1488"/>
      <c r="AN1273" s="1488"/>
      <c r="AO1273" s="1488"/>
      <c r="AP1273" s="1488"/>
      <c r="AQ1273" s="1488"/>
      <c r="AR1273" s="1488"/>
      <c r="AS1273" s="1488"/>
      <c r="AT1273" s="1542"/>
      <c r="AU1273" s="1599">
        <f t="shared" si="681"/>
        <v>0</v>
      </c>
      <c r="AV1273" s="1544">
        <f t="shared" si="709"/>
        <v>0</v>
      </c>
      <c r="AW1273" s="1452">
        <f t="shared" si="682"/>
        <v>0</v>
      </c>
      <c r="AX1273" s="1452">
        <f t="shared" si="683"/>
        <v>0</v>
      </c>
      <c r="AY1273" s="1452">
        <f t="shared" si="684"/>
        <v>0</v>
      </c>
      <c r="AZ1273" s="1452">
        <f t="shared" si="685"/>
        <v>0</v>
      </c>
      <c r="BA1273" s="1452">
        <f t="shared" si="686"/>
        <v>0</v>
      </c>
      <c r="BB1273" s="1452">
        <f t="shared" si="687"/>
        <v>0</v>
      </c>
      <c r="BC1273" s="1452">
        <f t="shared" si="688"/>
        <v>0</v>
      </c>
      <c r="BD1273" s="1452">
        <f t="shared" si="689"/>
        <v>0</v>
      </c>
      <c r="BE1273" s="1452">
        <f t="shared" si="690"/>
        <v>0</v>
      </c>
      <c r="BF1273" s="1452">
        <f t="shared" si="691"/>
        <v>0</v>
      </c>
      <c r="BG1273" s="1452">
        <f t="shared" si="692"/>
        <v>0</v>
      </c>
      <c r="BH1273" s="1452">
        <f t="shared" si="693"/>
        <v>0</v>
      </c>
      <c r="BI1273" s="1452">
        <f t="shared" si="710"/>
        <v>0</v>
      </c>
      <c r="BJ1273" s="1452" t="str">
        <f t="shared" si="694"/>
        <v/>
      </c>
      <c r="BK1273" s="1452" t="str">
        <f t="shared" si="695"/>
        <v/>
      </c>
      <c r="BL1273" s="1452" t="str">
        <f t="shared" si="696"/>
        <v/>
      </c>
      <c r="BM1273" s="1452" t="str">
        <f t="shared" si="697"/>
        <v/>
      </c>
      <c r="BN1273" s="1452" t="str">
        <f t="shared" ca="1" si="698"/>
        <v/>
      </c>
      <c r="BO1273" s="1452" t="str">
        <f t="shared" si="711"/>
        <v/>
      </c>
      <c r="BP1273" s="1452" t="str">
        <f t="shared" si="699"/>
        <v/>
      </c>
      <c r="BQ1273" s="1452" t="str">
        <f t="shared" si="700"/>
        <v/>
      </c>
      <c r="BR1273" s="1452" t="str">
        <f t="shared" si="701"/>
        <v/>
      </c>
      <c r="BS1273" s="1452" t="str">
        <f t="shared" si="702"/>
        <v/>
      </c>
      <c r="BT1273" s="1452" t="str">
        <f t="shared" si="703"/>
        <v/>
      </c>
      <c r="BU1273" s="1452" t="str">
        <f t="shared" si="704"/>
        <v/>
      </c>
      <c r="BV1273" s="1452" t="str">
        <f t="shared" si="705"/>
        <v/>
      </c>
      <c r="BW1273" s="1558">
        <f t="shared" ca="1" si="712"/>
        <v>0</v>
      </c>
    </row>
    <row r="1274" spans="1:75" s="9" customFormat="1" ht="12.5">
      <c r="A1274" s="1483" t="str">
        <f t="shared" si="706"/>
        <v>Public Health Wales Trust</v>
      </c>
      <c r="B1274" s="1583"/>
      <c r="C1274" s="1583"/>
      <c r="D1274" s="1583"/>
      <c r="E1274" s="1581"/>
      <c r="F1274" s="1436"/>
      <c r="G1274" s="1547">
        <f t="shared" si="707"/>
        <v>0</v>
      </c>
      <c r="H1274" s="1484"/>
      <c r="I1274" s="1547">
        <f t="shared" si="708"/>
        <v>0</v>
      </c>
      <c r="J1274" s="1485"/>
      <c r="K1274" s="1485"/>
      <c r="L1274" s="1436"/>
      <c r="M1274" s="1439"/>
      <c r="N1274" s="1439"/>
      <c r="O1274" s="1485"/>
      <c r="P1274" s="1486"/>
      <c r="Q1274" s="1486"/>
      <c r="R1274" s="1487"/>
      <c r="S1274" s="1444"/>
      <c r="T1274" s="1444"/>
      <c r="U1274" s="1444"/>
      <c r="V1274" s="1488"/>
      <c r="W1274" s="1488"/>
      <c r="X1274" s="1488"/>
      <c r="Y1274" s="1488"/>
      <c r="Z1274" s="1488"/>
      <c r="AA1274" s="1488"/>
      <c r="AB1274" s="1488"/>
      <c r="AC1274" s="1488"/>
      <c r="AD1274" s="1488"/>
      <c r="AE1274" s="1488"/>
      <c r="AF1274" s="1488"/>
      <c r="AG1274" s="1488"/>
      <c r="AH1274" s="1451">
        <f t="shared" si="680"/>
        <v>0</v>
      </c>
      <c r="AI1274" s="1488"/>
      <c r="AJ1274" s="1488"/>
      <c r="AK1274" s="1488"/>
      <c r="AL1274" s="1488"/>
      <c r="AM1274" s="1488"/>
      <c r="AN1274" s="1488"/>
      <c r="AO1274" s="1488"/>
      <c r="AP1274" s="1488"/>
      <c r="AQ1274" s="1488"/>
      <c r="AR1274" s="1488"/>
      <c r="AS1274" s="1488"/>
      <c r="AT1274" s="1542"/>
      <c r="AU1274" s="1599">
        <f t="shared" si="681"/>
        <v>0</v>
      </c>
      <c r="AV1274" s="1544">
        <f t="shared" si="709"/>
        <v>0</v>
      </c>
      <c r="AW1274" s="1452">
        <f t="shared" si="682"/>
        <v>0</v>
      </c>
      <c r="AX1274" s="1452">
        <f t="shared" si="683"/>
        <v>0</v>
      </c>
      <c r="AY1274" s="1452">
        <f t="shared" si="684"/>
        <v>0</v>
      </c>
      <c r="AZ1274" s="1452">
        <f t="shared" si="685"/>
        <v>0</v>
      </c>
      <c r="BA1274" s="1452">
        <f t="shared" si="686"/>
        <v>0</v>
      </c>
      <c r="BB1274" s="1452">
        <f t="shared" si="687"/>
        <v>0</v>
      </c>
      <c r="BC1274" s="1452">
        <f t="shared" si="688"/>
        <v>0</v>
      </c>
      <c r="BD1274" s="1452">
        <f t="shared" si="689"/>
        <v>0</v>
      </c>
      <c r="BE1274" s="1452">
        <f t="shared" si="690"/>
        <v>0</v>
      </c>
      <c r="BF1274" s="1452">
        <f t="shared" si="691"/>
        <v>0</v>
      </c>
      <c r="BG1274" s="1452">
        <f t="shared" si="692"/>
        <v>0</v>
      </c>
      <c r="BH1274" s="1452">
        <f t="shared" si="693"/>
        <v>0</v>
      </c>
      <c r="BI1274" s="1452">
        <f t="shared" si="710"/>
        <v>0</v>
      </c>
      <c r="BJ1274" s="1452" t="str">
        <f t="shared" si="694"/>
        <v/>
      </c>
      <c r="BK1274" s="1452" t="str">
        <f t="shared" si="695"/>
        <v/>
      </c>
      <c r="BL1274" s="1452" t="str">
        <f t="shared" si="696"/>
        <v/>
      </c>
      <c r="BM1274" s="1452" t="str">
        <f t="shared" si="697"/>
        <v/>
      </c>
      <c r="BN1274" s="1452" t="str">
        <f t="shared" ca="1" si="698"/>
        <v/>
      </c>
      <c r="BO1274" s="1452" t="str">
        <f t="shared" si="711"/>
        <v/>
      </c>
      <c r="BP1274" s="1452" t="str">
        <f t="shared" si="699"/>
        <v/>
      </c>
      <c r="BQ1274" s="1452" t="str">
        <f t="shared" si="700"/>
        <v/>
      </c>
      <c r="BR1274" s="1452" t="str">
        <f t="shared" si="701"/>
        <v/>
      </c>
      <c r="BS1274" s="1452" t="str">
        <f t="shared" si="702"/>
        <v/>
      </c>
      <c r="BT1274" s="1452" t="str">
        <f t="shared" si="703"/>
        <v/>
      </c>
      <c r="BU1274" s="1452" t="str">
        <f t="shared" si="704"/>
        <v/>
      </c>
      <c r="BV1274" s="1452" t="str">
        <f t="shared" si="705"/>
        <v/>
      </c>
      <c r="BW1274" s="1558">
        <f t="shared" ca="1" si="712"/>
        <v>0</v>
      </c>
    </row>
    <row r="1275" spans="1:75" s="9" customFormat="1" ht="12.5">
      <c r="A1275" s="1483" t="str">
        <f t="shared" si="706"/>
        <v>Public Health Wales Trust</v>
      </c>
      <c r="B1275" s="1583"/>
      <c r="C1275" s="1583"/>
      <c r="D1275" s="1583"/>
      <c r="E1275" s="1581"/>
      <c r="F1275" s="1436"/>
      <c r="G1275" s="1547">
        <f t="shared" si="707"/>
        <v>0</v>
      </c>
      <c r="H1275" s="1484"/>
      <c r="I1275" s="1547">
        <f t="shared" si="708"/>
        <v>0</v>
      </c>
      <c r="J1275" s="1485"/>
      <c r="K1275" s="1485"/>
      <c r="L1275" s="1436"/>
      <c r="M1275" s="1439"/>
      <c r="N1275" s="1439"/>
      <c r="O1275" s="1485"/>
      <c r="P1275" s="1486"/>
      <c r="Q1275" s="1486"/>
      <c r="R1275" s="1487"/>
      <c r="S1275" s="1444"/>
      <c r="T1275" s="1444"/>
      <c r="U1275" s="1444"/>
      <c r="V1275" s="1488"/>
      <c r="W1275" s="1488"/>
      <c r="X1275" s="1488"/>
      <c r="Y1275" s="1488"/>
      <c r="Z1275" s="1488"/>
      <c r="AA1275" s="1488"/>
      <c r="AB1275" s="1488"/>
      <c r="AC1275" s="1488"/>
      <c r="AD1275" s="1488"/>
      <c r="AE1275" s="1488"/>
      <c r="AF1275" s="1488"/>
      <c r="AG1275" s="1488"/>
      <c r="AH1275" s="1451">
        <f t="shared" si="680"/>
        <v>0</v>
      </c>
      <c r="AI1275" s="1488"/>
      <c r="AJ1275" s="1488"/>
      <c r="AK1275" s="1488"/>
      <c r="AL1275" s="1488"/>
      <c r="AM1275" s="1488"/>
      <c r="AN1275" s="1488"/>
      <c r="AO1275" s="1488"/>
      <c r="AP1275" s="1488"/>
      <c r="AQ1275" s="1488"/>
      <c r="AR1275" s="1488"/>
      <c r="AS1275" s="1488"/>
      <c r="AT1275" s="1542"/>
      <c r="AU1275" s="1599">
        <f t="shared" si="681"/>
        <v>0</v>
      </c>
      <c r="AV1275" s="1544">
        <f t="shared" si="709"/>
        <v>0</v>
      </c>
      <c r="AW1275" s="1452">
        <f t="shared" si="682"/>
        <v>0</v>
      </c>
      <c r="AX1275" s="1452">
        <f t="shared" si="683"/>
        <v>0</v>
      </c>
      <c r="AY1275" s="1452">
        <f t="shared" si="684"/>
        <v>0</v>
      </c>
      <c r="AZ1275" s="1452">
        <f t="shared" si="685"/>
        <v>0</v>
      </c>
      <c r="BA1275" s="1452">
        <f t="shared" si="686"/>
        <v>0</v>
      </c>
      <c r="BB1275" s="1452">
        <f t="shared" si="687"/>
        <v>0</v>
      </c>
      <c r="BC1275" s="1452">
        <f t="shared" si="688"/>
        <v>0</v>
      </c>
      <c r="BD1275" s="1452">
        <f t="shared" si="689"/>
        <v>0</v>
      </c>
      <c r="BE1275" s="1452">
        <f t="shared" si="690"/>
        <v>0</v>
      </c>
      <c r="BF1275" s="1452">
        <f t="shared" si="691"/>
        <v>0</v>
      </c>
      <c r="BG1275" s="1452">
        <f t="shared" si="692"/>
        <v>0</v>
      </c>
      <c r="BH1275" s="1452">
        <f t="shared" si="693"/>
        <v>0</v>
      </c>
      <c r="BI1275" s="1452">
        <f t="shared" si="710"/>
        <v>0</v>
      </c>
      <c r="BJ1275" s="1452" t="str">
        <f t="shared" si="694"/>
        <v/>
      </c>
      <c r="BK1275" s="1452" t="str">
        <f t="shared" si="695"/>
        <v/>
      </c>
      <c r="BL1275" s="1452" t="str">
        <f t="shared" si="696"/>
        <v/>
      </c>
      <c r="BM1275" s="1452" t="str">
        <f t="shared" si="697"/>
        <v/>
      </c>
      <c r="BN1275" s="1452" t="str">
        <f t="shared" ca="1" si="698"/>
        <v/>
      </c>
      <c r="BO1275" s="1452" t="str">
        <f t="shared" si="711"/>
        <v/>
      </c>
      <c r="BP1275" s="1452" t="str">
        <f t="shared" si="699"/>
        <v/>
      </c>
      <c r="BQ1275" s="1452" t="str">
        <f t="shared" si="700"/>
        <v/>
      </c>
      <c r="BR1275" s="1452" t="str">
        <f t="shared" si="701"/>
        <v/>
      </c>
      <c r="BS1275" s="1452" t="str">
        <f t="shared" si="702"/>
        <v/>
      </c>
      <c r="BT1275" s="1452" t="str">
        <f t="shared" si="703"/>
        <v/>
      </c>
      <c r="BU1275" s="1452" t="str">
        <f t="shared" si="704"/>
        <v/>
      </c>
      <c r="BV1275" s="1452" t="str">
        <f t="shared" si="705"/>
        <v/>
      </c>
      <c r="BW1275" s="1558">
        <f t="shared" ca="1" si="712"/>
        <v>0</v>
      </c>
    </row>
    <row r="1276" spans="1:75" s="9" customFormat="1" ht="12.5">
      <c r="A1276" s="1483" t="str">
        <f t="shared" si="706"/>
        <v>Public Health Wales Trust</v>
      </c>
      <c r="B1276" s="1583"/>
      <c r="C1276" s="1583"/>
      <c r="D1276" s="1583"/>
      <c r="E1276" s="1581"/>
      <c r="F1276" s="1436"/>
      <c r="G1276" s="1547">
        <f t="shared" si="707"/>
        <v>0</v>
      </c>
      <c r="H1276" s="1484"/>
      <c r="I1276" s="1547">
        <f t="shared" si="708"/>
        <v>0</v>
      </c>
      <c r="J1276" s="1485"/>
      <c r="K1276" s="1485"/>
      <c r="L1276" s="1436"/>
      <c r="M1276" s="1439"/>
      <c r="N1276" s="1439"/>
      <c r="O1276" s="1485"/>
      <c r="P1276" s="1486"/>
      <c r="Q1276" s="1486"/>
      <c r="R1276" s="1487"/>
      <c r="S1276" s="1444"/>
      <c r="T1276" s="1444"/>
      <c r="U1276" s="1444"/>
      <c r="V1276" s="1488"/>
      <c r="W1276" s="1488"/>
      <c r="X1276" s="1488"/>
      <c r="Y1276" s="1488"/>
      <c r="Z1276" s="1488"/>
      <c r="AA1276" s="1488"/>
      <c r="AB1276" s="1488"/>
      <c r="AC1276" s="1488"/>
      <c r="AD1276" s="1488"/>
      <c r="AE1276" s="1488"/>
      <c r="AF1276" s="1488"/>
      <c r="AG1276" s="1488"/>
      <c r="AH1276" s="1451">
        <f t="shared" si="680"/>
        <v>0</v>
      </c>
      <c r="AI1276" s="1488"/>
      <c r="AJ1276" s="1488"/>
      <c r="AK1276" s="1488"/>
      <c r="AL1276" s="1488"/>
      <c r="AM1276" s="1488"/>
      <c r="AN1276" s="1488"/>
      <c r="AO1276" s="1488"/>
      <c r="AP1276" s="1488"/>
      <c r="AQ1276" s="1488"/>
      <c r="AR1276" s="1488"/>
      <c r="AS1276" s="1488"/>
      <c r="AT1276" s="1542"/>
      <c r="AU1276" s="1599">
        <f t="shared" si="681"/>
        <v>0</v>
      </c>
      <c r="AV1276" s="1544">
        <f t="shared" si="709"/>
        <v>0</v>
      </c>
      <c r="AW1276" s="1452">
        <f t="shared" si="682"/>
        <v>0</v>
      </c>
      <c r="AX1276" s="1452">
        <f t="shared" si="683"/>
        <v>0</v>
      </c>
      <c r="AY1276" s="1452">
        <f t="shared" si="684"/>
        <v>0</v>
      </c>
      <c r="AZ1276" s="1452">
        <f t="shared" si="685"/>
        <v>0</v>
      </c>
      <c r="BA1276" s="1452">
        <f t="shared" si="686"/>
        <v>0</v>
      </c>
      <c r="BB1276" s="1452">
        <f t="shared" si="687"/>
        <v>0</v>
      </c>
      <c r="BC1276" s="1452">
        <f t="shared" si="688"/>
        <v>0</v>
      </c>
      <c r="BD1276" s="1452">
        <f t="shared" si="689"/>
        <v>0</v>
      </c>
      <c r="BE1276" s="1452">
        <f t="shared" si="690"/>
        <v>0</v>
      </c>
      <c r="BF1276" s="1452">
        <f t="shared" si="691"/>
        <v>0</v>
      </c>
      <c r="BG1276" s="1452">
        <f t="shared" si="692"/>
        <v>0</v>
      </c>
      <c r="BH1276" s="1452">
        <f t="shared" si="693"/>
        <v>0</v>
      </c>
      <c r="BI1276" s="1452">
        <f t="shared" si="710"/>
        <v>0</v>
      </c>
      <c r="BJ1276" s="1452" t="str">
        <f t="shared" si="694"/>
        <v/>
      </c>
      <c r="BK1276" s="1452" t="str">
        <f t="shared" si="695"/>
        <v/>
      </c>
      <c r="BL1276" s="1452" t="str">
        <f t="shared" si="696"/>
        <v/>
      </c>
      <c r="BM1276" s="1452" t="str">
        <f t="shared" si="697"/>
        <v/>
      </c>
      <c r="BN1276" s="1452" t="str">
        <f t="shared" ca="1" si="698"/>
        <v/>
      </c>
      <c r="BO1276" s="1452" t="str">
        <f t="shared" si="711"/>
        <v/>
      </c>
      <c r="BP1276" s="1452" t="str">
        <f t="shared" si="699"/>
        <v/>
      </c>
      <c r="BQ1276" s="1452" t="str">
        <f t="shared" si="700"/>
        <v/>
      </c>
      <c r="BR1276" s="1452" t="str">
        <f t="shared" si="701"/>
        <v/>
      </c>
      <c r="BS1276" s="1452" t="str">
        <f t="shared" si="702"/>
        <v/>
      </c>
      <c r="BT1276" s="1452" t="str">
        <f t="shared" si="703"/>
        <v/>
      </c>
      <c r="BU1276" s="1452" t="str">
        <f t="shared" si="704"/>
        <v/>
      </c>
      <c r="BV1276" s="1452" t="str">
        <f t="shared" si="705"/>
        <v/>
      </c>
      <c r="BW1276" s="1558">
        <f t="shared" ca="1" si="712"/>
        <v>0</v>
      </c>
    </row>
    <row r="1277" spans="1:75" s="9" customFormat="1" ht="12.5">
      <c r="A1277" s="1483" t="str">
        <f t="shared" si="706"/>
        <v>Public Health Wales Trust</v>
      </c>
      <c r="B1277" s="1583"/>
      <c r="C1277" s="1583"/>
      <c r="D1277" s="1583"/>
      <c r="E1277" s="1581"/>
      <c r="F1277" s="1436"/>
      <c r="G1277" s="1547">
        <f t="shared" si="707"/>
        <v>0</v>
      </c>
      <c r="H1277" s="1484"/>
      <c r="I1277" s="1547">
        <f t="shared" si="708"/>
        <v>0</v>
      </c>
      <c r="J1277" s="1485"/>
      <c r="K1277" s="1485"/>
      <c r="L1277" s="1436"/>
      <c r="M1277" s="1439"/>
      <c r="N1277" s="1439"/>
      <c r="O1277" s="1485"/>
      <c r="P1277" s="1486"/>
      <c r="Q1277" s="1486"/>
      <c r="R1277" s="1487"/>
      <c r="S1277" s="1444"/>
      <c r="T1277" s="1444"/>
      <c r="U1277" s="1444"/>
      <c r="V1277" s="1488"/>
      <c r="W1277" s="1488"/>
      <c r="X1277" s="1488"/>
      <c r="Y1277" s="1488"/>
      <c r="Z1277" s="1488"/>
      <c r="AA1277" s="1488"/>
      <c r="AB1277" s="1488"/>
      <c r="AC1277" s="1488"/>
      <c r="AD1277" s="1488"/>
      <c r="AE1277" s="1488"/>
      <c r="AF1277" s="1488"/>
      <c r="AG1277" s="1488"/>
      <c r="AH1277" s="1451">
        <f t="shared" si="680"/>
        <v>0</v>
      </c>
      <c r="AI1277" s="1488"/>
      <c r="AJ1277" s="1488"/>
      <c r="AK1277" s="1488"/>
      <c r="AL1277" s="1488"/>
      <c r="AM1277" s="1488"/>
      <c r="AN1277" s="1488"/>
      <c r="AO1277" s="1488"/>
      <c r="AP1277" s="1488"/>
      <c r="AQ1277" s="1488"/>
      <c r="AR1277" s="1488"/>
      <c r="AS1277" s="1488"/>
      <c r="AT1277" s="1542"/>
      <c r="AU1277" s="1599">
        <f t="shared" si="681"/>
        <v>0</v>
      </c>
      <c r="AV1277" s="1544">
        <f t="shared" si="709"/>
        <v>0</v>
      </c>
      <c r="AW1277" s="1452">
        <f t="shared" si="682"/>
        <v>0</v>
      </c>
      <c r="AX1277" s="1452">
        <f t="shared" si="683"/>
        <v>0</v>
      </c>
      <c r="AY1277" s="1452">
        <f t="shared" si="684"/>
        <v>0</v>
      </c>
      <c r="AZ1277" s="1452">
        <f t="shared" si="685"/>
        <v>0</v>
      </c>
      <c r="BA1277" s="1452">
        <f t="shared" si="686"/>
        <v>0</v>
      </c>
      <c r="BB1277" s="1452">
        <f t="shared" si="687"/>
        <v>0</v>
      </c>
      <c r="BC1277" s="1452">
        <f t="shared" si="688"/>
        <v>0</v>
      </c>
      <c r="BD1277" s="1452">
        <f t="shared" si="689"/>
        <v>0</v>
      </c>
      <c r="BE1277" s="1452">
        <f t="shared" si="690"/>
        <v>0</v>
      </c>
      <c r="BF1277" s="1452">
        <f t="shared" si="691"/>
        <v>0</v>
      </c>
      <c r="BG1277" s="1452">
        <f t="shared" si="692"/>
        <v>0</v>
      </c>
      <c r="BH1277" s="1452">
        <f t="shared" si="693"/>
        <v>0</v>
      </c>
      <c r="BI1277" s="1452">
        <f t="shared" si="710"/>
        <v>0</v>
      </c>
      <c r="BJ1277" s="1452" t="str">
        <f t="shared" si="694"/>
        <v/>
      </c>
      <c r="BK1277" s="1452" t="str">
        <f t="shared" si="695"/>
        <v/>
      </c>
      <c r="BL1277" s="1452" t="str">
        <f t="shared" si="696"/>
        <v/>
      </c>
      <c r="BM1277" s="1452" t="str">
        <f t="shared" si="697"/>
        <v/>
      </c>
      <c r="BN1277" s="1452" t="str">
        <f t="shared" ca="1" si="698"/>
        <v/>
      </c>
      <c r="BO1277" s="1452" t="str">
        <f t="shared" si="711"/>
        <v/>
      </c>
      <c r="BP1277" s="1452" t="str">
        <f t="shared" si="699"/>
        <v/>
      </c>
      <c r="BQ1277" s="1452" t="str">
        <f t="shared" si="700"/>
        <v/>
      </c>
      <c r="BR1277" s="1452" t="str">
        <f t="shared" si="701"/>
        <v/>
      </c>
      <c r="BS1277" s="1452" t="str">
        <f t="shared" si="702"/>
        <v/>
      </c>
      <c r="BT1277" s="1452" t="str">
        <f t="shared" si="703"/>
        <v/>
      </c>
      <c r="BU1277" s="1452" t="str">
        <f t="shared" si="704"/>
        <v/>
      </c>
      <c r="BV1277" s="1452" t="str">
        <f t="shared" si="705"/>
        <v/>
      </c>
      <c r="BW1277" s="1558">
        <f t="shared" ca="1" si="712"/>
        <v>0</v>
      </c>
    </row>
    <row r="1278" spans="1:75" s="9" customFormat="1" ht="12.5">
      <c r="A1278" s="1483" t="str">
        <f t="shared" si="706"/>
        <v>Public Health Wales Trust</v>
      </c>
      <c r="B1278" s="1583"/>
      <c r="C1278" s="1583"/>
      <c r="D1278" s="1583"/>
      <c r="E1278" s="1581"/>
      <c r="F1278" s="1436"/>
      <c r="G1278" s="1547">
        <f t="shared" si="707"/>
        <v>0</v>
      </c>
      <c r="H1278" s="1484"/>
      <c r="I1278" s="1547">
        <f t="shared" si="708"/>
        <v>0</v>
      </c>
      <c r="J1278" s="1485"/>
      <c r="K1278" s="1485"/>
      <c r="L1278" s="1436"/>
      <c r="M1278" s="1439"/>
      <c r="N1278" s="1439"/>
      <c r="O1278" s="1485"/>
      <c r="P1278" s="1486"/>
      <c r="Q1278" s="1486"/>
      <c r="R1278" s="1487"/>
      <c r="S1278" s="1444"/>
      <c r="T1278" s="1444"/>
      <c r="U1278" s="1444"/>
      <c r="V1278" s="1488"/>
      <c r="W1278" s="1488"/>
      <c r="X1278" s="1488"/>
      <c r="Y1278" s="1488"/>
      <c r="Z1278" s="1488"/>
      <c r="AA1278" s="1488"/>
      <c r="AB1278" s="1488"/>
      <c r="AC1278" s="1488"/>
      <c r="AD1278" s="1488"/>
      <c r="AE1278" s="1488"/>
      <c r="AF1278" s="1488"/>
      <c r="AG1278" s="1488"/>
      <c r="AH1278" s="1451">
        <f t="shared" si="680"/>
        <v>0</v>
      </c>
      <c r="AI1278" s="1488"/>
      <c r="AJ1278" s="1488"/>
      <c r="AK1278" s="1488"/>
      <c r="AL1278" s="1488"/>
      <c r="AM1278" s="1488"/>
      <c r="AN1278" s="1488"/>
      <c r="AO1278" s="1488"/>
      <c r="AP1278" s="1488"/>
      <c r="AQ1278" s="1488"/>
      <c r="AR1278" s="1488"/>
      <c r="AS1278" s="1488"/>
      <c r="AT1278" s="1542"/>
      <c r="AU1278" s="1599">
        <f t="shared" si="681"/>
        <v>0</v>
      </c>
      <c r="AV1278" s="1544">
        <f t="shared" si="709"/>
        <v>0</v>
      </c>
      <c r="AW1278" s="1452">
        <f t="shared" si="682"/>
        <v>0</v>
      </c>
      <c r="AX1278" s="1452">
        <f t="shared" si="683"/>
        <v>0</v>
      </c>
      <c r="AY1278" s="1452">
        <f t="shared" si="684"/>
        <v>0</v>
      </c>
      <c r="AZ1278" s="1452">
        <f t="shared" si="685"/>
        <v>0</v>
      </c>
      <c r="BA1278" s="1452">
        <f t="shared" si="686"/>
        <v>0</v>
      </c>
      <c r="BB1278" s="1452">
        <f t="shared" si="687"/>
        <v>0</v>
      </c>
      <c r="BC1278" s="1452">
        <f t="shared" si="688"/>
        <v>0</v>
      </c>
      <c r="BD1278" s="1452">
        <f t="shared" si="689"/>
        <v>0</v>
      </c>
      <c r="BE1278" s="1452">
        <f t="shared" si="690"/>
        <v>0</v>
      </c>
      <c r="BF1278" s="1452">
        <f t="shared" si="691"/>
        <v>0</v>
      </c>
      <c r="BG1278" s="1452">
        <f t="shared" si="692"/>
        <v>0</v>
      </c>
      <c r="BH1278" s="1452">
        <f t="shared" si="693"/>
        <v>0</v>
      </c>
      <c r="BI1278" s="1452">
        <f t="shared" si="710"/>
        <v>0</v>
      </c>
      <c r="BJ1278" s="1452" t="str">
        <f t="shared" si="694"/>
        <v/>
      </c>
      <c r="BK1278" s="1452" t="str">
        <f t="shared" si="695"/>
        <v/>
      </c>
      <c r="BL1278" s="1452" t="str">
        <f t="shared" si="696"/>
        <v/>
      </c>
      <c r="BM1278" s="1452" t="str">
        <f t="shared" si="697"/>
        <v/>
      </c>
      <c r="BN1278" s="1452" t="str">
        <f t="shared" ca="1" si="698"/>
        <v/>
      </c>
      <c r="BO1278" s="1452" t="str">
        <f t="shared" si="711"/>
        <v/>
      </c>
      <c r="BP1278" s="1452" t="str">
        <f t="shared" si="699"/>
        <v/>
      </c>
      <c r="BQ1278" s="1452" t="str">
        <f t="shared" si="700"/>
        <v/>
      </c>
      <c r="BR1278" s="1452" t="str">
        <f t="shared" si="701"/>
        <v/>
      </c>
      <c r="BS1278" s="1452" t="str">
        <f t="shared" si="702"/>
        <v/>
      </c>
      <c r="BT1278" s="1452" t="str">
        <f t="shared" si="703"/>
        <v/>
      </c>
      <c r="BU1278" s="1452" t="str">
        <f t="shared" si="704"/>
        <v/>
      </c>
      <c r="BV1278" s="1452" t="str">
        <f t="shared" si="705"/>
        <v/>
      </c>
      <c r="BW1278" s="1558">
        <f t="shared" ca="1" si="712"/>
        <v>0</v>
      </c>
    </row>
    <row r="1279" spans="1:75" s="9" customFormat="1" ht="12.5">
      <c r="A1279" s="1483" t="str">
        <f t="shared" si="706"/>
        <v>Public Health Wales Trust</v>
      </c>
      <c r="B1279" s="1583"/>
      <c r="C1279" s="1583"/>
      <c r="D1279" s="1583"/>
      <c r="E1279" s="1581"/>
      <c r="F1279" s="1436"/>
      <c r="G1279" s="1547">
        <f t="shared" si="707"/>
        <v>0</v>
      </c>
      <c r="H1279" s="1484"/>
      <c r="I1279" s="1547">
        <f t="shared" si="708"/>
        <v>0</v>
      </c>
      <c r="J1279" s="1485"/>
      <c r="K1279" s="1485"/>
      <c r="L1279" s="1436"/>
      <c r="M1279" s="1439"/>
      <c r="N1279" s="1439"/>
      <c r="O1279" s="1485"/>
      <c r="P1279" s="1486"/>
      <c r="Q1279" s="1486"/>
      <c r="R1279" s="1487"/>
      <c r="S1279" s="1444"/>
      <c r="T1279" s="1444"/>
      <c r="U1279" s="1444"/>
      <c r="V1279" s="1488"/>
      <c r="W1279" s="1488"/>
      <c r="X1279" s="1488"/>
      <c r="Y1279" s="1488"/>
      <c r="Z1279" s="1488"/>
      <c r="AA1279" s="1488"/>
      <c r="AB1279" s="1488"/>
      <c r="AC1279" s="1488"/>
      <c r="AD1279" s="1488"/>
      <c r="AE1279" s="1488"/>
      <c r="AF1279" s="1488"/>
      <c r="AG1279" s="1488"/>
      <c r="AH1279" s="1451">
        <f t="shared" si="680"/>
        <v>0</v>
      </c>
      <c r="AI1279" s="1488"/>
      <c r="AJ1279" s="1488"/>
      <c r="AK1279" s="1488"/>
      <c r="AL1279" s="1488"/>
      <c r="AM1279" s="1488"/>
      <c r="AN1279" s="1488"/>
      <c r="AO1279" s="1488"/>
      <c r="AP1279" s="1488"/>
      <c r="AQ1279" s="1488"/>
      <c r="AR1279" s="1488"/>
      <c r="AS1279" s="1488"/>
      <c r="AT1279" s="1542"/>
      <c r="AU1279" s="1599">
        <f t="shared" si="681"/>
        <v>0</v>
      </c>
      <c r="AV1279" s="1544">
        <f t="shared" si="709"/>
        <v>0</v>
      </c>
      <c r="AW1279" s="1452">
        <f t="shared" si="682"/>
        <v>0</v>
      </c>
      <c r="AX1279" s="1452">
        <f t="shared" si="683"/>
        <v>0</v>
      </c>
      <c r="AY1279" s="1452">
        <f t="shared" si="684"/>
        <v>0</v>
      </c>
      <c r="AZ1279" s="1452">
        <f t="shared" si="685"/>
        <v>0</v>
      </c>
      <c r="BA1279" s="1452">
        <f t="shared" si="686"/>
        <v>0</v>
      </c>
      <c r="BB1279" s="1452">
        <f t="shared" si="687"/>
        <v>0</v>
      </c>
      <c r="BC1279" s="1452">
        <f t="shared" si="688"/>
        <v>0</v>
      </c>
      <c r="BD1279" s="1452">
        <f t="shared" si="689"/>
        <v>0</v>
      </c>
      <c r="BE1279" s="1452">
        <f t="shared" si="690"/>
        <v>0</v>
      </c>
      <c r="BF1279" s="1452">
        <f t="shared" si="691"/>
        <v>0</v>
      </c>
      <c r="BG1279" s="1452">
        <f t="shared" si="692"/>
        <v>0</v>
      </c>
      <c r="BH1279" s="1452">
        <f t="shared" si="693"/>
        <v>0</v>
      </c>
      <c r="BI1279" s="1452">
        <f t="shared" si="710"/>
        <v>0</v>
      </c>
      <c r="BJ1279" s="1452" t="str">
        <f t="shared" si="694"/>
        <v/>
      </c>
      <c r="BK1279" s="1452" t="str">
        <f t="shared" si="695"/>
        <v/>
      </c>
      <c r="BL1279" s="1452" t="str">
        <f t="shared" si="696"/>
        <v/>
      </c>
      <c r="BM1279" s="1452" t="str">
        <f t="shared" si="697"/>
        <v/>
      </c>
      <c r="BN1279" s="1452" t="str">
        <f t="shared" ca="1" si="698"/>
        <v/>
      </c>
      <c r="BO1279" s="1452" t="str">
        <f t="shared" si="711"/>
        <v/>
      </c>
      <c r="BP1279" s="1452" t="str">
        <f t="shared" si="699"/>
        <v/>
      </c>
      <c r="BQ1279" s="1452" t="str">
        <f t="shared" si="700"/>
        <v/>
      </c>
      <c r="BR1279" s="1452" t="str">
        <f t="shared" si="701"/>
        <v/>
      </c>
      <c r="BS1279" s="1452" t="str">
        <f t="shared" si="702"/>
        <v/>
      </c>
      <c r="BT1279" s="1452" t="str">
        <f t="shared" si="703"/>
        <v/>
      </c>
      <c r="BU1279" s="1452" t="str">
        <f t="shared" si="704"/>
        <v/>
      </c>
      <c r="BV1279" s="1452" t="str">
        <f t="shared" si="705"/>
        <v/>
      </c>
      <c r="BW1279" s="1558">
        <f t="shared" ca="1" si="712"/>
        <v>0</v>
      </c>
    </row>
    <row r="1280" spans="1:75" s="9" customFormat="1" ht="12.5">
      <c r="A1280" s="1483" t="str">
        <f t="shared" si="706"/>
        <v>Public Health Wales Trust</v>
      </c>
      <c r="B1280" s="1583"/>
      <c r="C1280" s="1583"/>
      <c r="D1280" s="1583"/>
      <c r="E1280" s="1581"/>
      <c r="F1280" s="1436"/>
      <c r="G1280" s="1547">
        <f t="shared" si="707"/>
        <v>0</v>
      </c>
      <c r="H1280" s="1484"/>
      <c r="I1280" s="1547">
        <f t="shared" si="708"/>
        <v>0</v>
      </c>
      <c r="J1280" s="1485"/>
      <c r="K1280" s="1485"/>
      <c r="L1280" s="1436"/>
      <c r="M1280" s="1439"/>
      <c r="N1280" s="1439"/>
      <c r="O1280" s="1485"/>
      <c r="P1280" s="1486"/>
      <c r="Q1280" s="1486"/>
      <c r="R1280" s="1487"/>
      <c r="S1280" s="1444"/>
      <c r="T1280" s="1444"/>
      <c r="U1280" s="1444"/>
      <c r="V1280" s="1488"/>
      <c r="W1280" s="1488"/>
      <c r="X1280" s="1488"/>
      <c r="Y1280" s="1488"/>
      <c r="Z1280" s="1488"/>
      <c r="AA1280" s="1488"/>
      <c r="AB1280" s="1488"/>
      <c r="AC1280" s="1488"/>
      <c r="AD1280" s="1488"/>
      <c r="AE1280" s="1488"/>
      <c r="AF1280" s="1488"/>
      <c r="AG1280" s="1488"/>
      <c r="AH1280" s="1451">
        <f t="shared" si="680"/>
        <v>0</v>
      </c>
      <c r="AI1280" s="1488"/>
      <c r="AJ1280" s="1488"/>
      <c r="AK1280" s="1488"/>
      <c r="AL1280" s="1488"/>
      <c r="AM1280" s="1488"/>
      <c r="AN1280" s="1488"/>
      <c r="AO1280" s="1488"/>
      <c r="AP1280" s="1488"/>
      <c r="AQ1280" s="1488"/>
      <c r="AR1280" s="1488"/>
      <c r="AS1280" s="1488"/>
      <c r="AT1280" s="1542"/>
      <c r="AU1280" s="1599">
        <f t="shared" si="681"/>
        <v>0</v>
      </c>
      <c r="AV1280" s="1544">
        <f t="shared" si="709"/>
        <v>0</v>
      </c>
      <c r="AW1280" s="1452">
        <f t="shared" si="682"/>
        <v>0</v>
      </c>
      <c r="AX1280" s="1452">
        <f t="shared" si="683"/>
        <v>0</v>
      </c>
      <c r="AY1280" s="1452">
        <f t="shared" si="684"/>
        <v>0</v>
      </c>
      <c r="AZ1280" s="1452">
        <f t="shared" si="685"/>
        <v>0</v>
      </c>
      <c r="BA1280" s="1452">
        <f t="shared" si="686"/>
        <v>0</v>
      </c>
      <c r="BB1280" s="1452">
        <f t="shared" si="687"/>
        <v>0</v>
      </c>
      <c r="BC1280" s="1452">
        <f t="shared" si="688"/>
        <v>0</v>
      </c>
      <c r="BD1280" s="1452">
        <f t="shared" si="689"/>
        <v>0</v>
      </c>
      <c r="BE1280" s="1452">
        <f t="shared" si="690"/>
        <v>0</v>
      </c>
      <c r="BF1280" s="1452">
        <f t="shared" si="691"/>
        <v>0</v>
      </c>
      <c r="BG1280" s="1452">
        <f t="shared" si="692"/>
        <v>0</v>
      </c>
      <c r="BH1280" s="1452">
        <f t="shared" si="693"/>
        <v>0</v>
      </c>
      <c r="BI1280" s="1452">
        <f t="shared" si="710"/>
        <v>0</v>
      </c>
      <c r="BJ1280" s="1452" t="str">
        <f t="shared" si="694"/>
        <v/>
      </c>
      <c r="BK1280" s="1452" t="str">
        <f t="shared" si="695"/>
        <v/>
      </c>
      <c r="BL1280" s="1452" t="str">
        <f t="shared" si="696"/>
        <v/>
      </c>
      <c r="BM1280" s="1452" t="str">
        <f t="shared" si="697"/>
        <v/>
      </c>
      <c r="BN1280" s="1452" t="str">
        <f t="shared" ca="1" si="698"/>
        <v/>
      </c>
      <c r="BO1280" s="1452" t="str">
        <f t="shared" si="711"/>
        <v/>
      </c>
      <c r="BP1280" s="1452" t="str">
        <f t="shared" si="699"/>
        <v/>
      </c>
      <c r="BQ1280" s="1452" t="str">
        <f t="shared" si="700"/>
        <v/>
      </c>
      <c r="BR1280" s="1452" t="str">
        <f t="shared" si="701"/>
        <v/>
      </c>
      <c r="BS1280" s="1452" t="str">
        <f t="shared" si="702"/>
        <v/>
      </c>
      <c r="BT1280" s="1452" t="str">
        <f t="shared" si="703"/>
        <v/>
      </c>
      <c r="BU1280" s="1452" t="str">
        <f t="shared" si="704"/>
        <v/>
      </c>
      <c r="BV1280" s="1452" t="str">
        <f t="shared" si="705"/>
        <v/>
      </c>
      <c r="BW1280" s="1558">
        <f t="shared" ca="1" si="712"/>
        <v>0</v>
      </c>
    </row>
    <row r="1281" spans="1:75" s="9" customFormat="1" ht="12.5">
      <c r="A1281" s="1483" t="str">
        <f t="shared" si="706"/>
        <v>Public Health Wales Trust</v>
      </c>
      <c r="B1281" s="1583"/>
      <c r="C1281" s="1583"/>
      <c r="D1281" s="1583"/>
      <c r="E1281" s="1581"/>
      <c r="F1281" s="1436"/>
      <c r="G1281" s="1547">
        <f t="shared" si="707"/>
        <v>0</v>
      </c>
      <c r="H1281" s="1484"/>
      <c r="I1281" s="1547">
        <f t="shared" si="708"/>
        <v>0</v>
      </c>
      <c r="J1281" s="1485"/>
      <c r="K1281" s="1485"/>
      <c r="L1281" s="1436"/>
      <c r="M1281" s="1439"/>
      <c r="N1281" s="1439"/>
      <c r="O1281" s="1485"/>
      <c r="P1281" s="1486"/>
      <c r="Q1281" s="1486"/>
      <c r="R1281" s="1487"/>
      <c r="S1281" s="1444"/>
      <c r="T1281" s="1444"/>
      <c r="U1281" s="1444"/>
      <c r="V1281" s="1488"/>
      <c r="W1281" s="1488"/>
      <c r="X1281" s="1488"/>
      <c r="Y1281" s="1488"/>
      <c r="Z1281" s="1488"/>
      <c r="AA1281" s="1488"/>
      <c r="AB1281" s="1488"/>
      <c r="AC1281" s="1488"/>
      <c r="AD1281" s="1488"/>
      <c r="AE1281" s="1488"/>
      <c r="AF1281" s="1488"/>
      <c r="AG1281" s="1488"/>
      <c r="AH1281" s="1451">
        <f t="shared" si="680"/>
        <v>0</v>
      </c>
      <c r="AI1281" s="1488"/>
      <c r="AJ1281" s="1488"/>
      <c r="AK1281" s="1488"/>
      <c r="AL1281" s="1488"/>
      <c r="AM1281" s="1488"/>
      <c r="AN1281" s="1488"/>
      <c r="AO1281" s="1488"/>
      <c r="AP1281" s="1488"/>
      <c r="AQ1281" s="1488"/>
      <c r="AR1281" s="1488"/>
      <c r="AS1281" s="1488"/>
      <c r="AT1281" s="1542"/>
      <c r="AU1281" s="1599">
        <f t="shared" si="681"/>
        <v>0</v>
      </c>
      <c r="AV1281" s="1544">
        <f t="shared" si="709"/>
        <v>0</v>
      </c>
      <c r="AW1281" s="1452">
        <f t="shared" si="682"/>
        <v>0</v>
      </c>
      <c r="AX1281" s="1452">
        <f t="shared" si="683"/>
        <v>0</v>
      </c>
      <c r="AY1281" s="1452">
        <f t="shared" si="684"/>
        <v>0</v>
      </c>
      <c r="AZ1281" s="1452">
        <f t="shared" si="685"/>
        <v>0</v>
      </c>
      <c r="BA1281" s="1452">
        <f t="shared" si="686"/>
        <v>0</v>
      </c>
      <c r="BB1281" s="1452">
        <f t="shared" si="687"/>
        <v>0</v>
      </c>
      <c r="BC1281" s="1452">
        <f t="shared" si="688"/>
        <v>0</v>
      </c>
      <c r="BD1281" s="1452">
        <f t="shared" si="689"/>
        <v>0</v>
      </c>
      <c r="BE1281" s="1452">
        <f t="shared" si="690"/>
        <v>0</v>
      </c>
      <c r="BF1281" s="1452">
        <f t="shared" si="691"/>
        <v>0</v>
      </c>
      <c r="BG1281" s="1452">
        <f t="shared" si="692"/>
        <v>0</v>
      </c>
      <c r="BH1281" s="1452">
        <f t="shared" si="693"/>
        <v>0</v>
      </c>
      <c r="BI1281" s="1452">
        <f t="shared" si="710"/>
        <v>0</v>
      </c>
      <c r="BJ1281" s="1452" t="str">
        <f t="shared" si="694"/>
        <v/>
      </c>
      <c r="BK1281" s="1452" t="str">
        <f t="shared" si="695"/>
        <v/>
      </c>
      <c r="BL1281" s="1452" t="str">
        <f t="shared" si="696"/>
        <v/>
      </c>
      <c r="BM1281" s="1452" t="str">
        <f t="shared" si="697"/>
        <v/>
      </c>
      <c r="BN1281" s="1452" t="str">
        <f t="shared" ca="1" si="698"/>
        <v/>
      </c>
      <c r="BO1281" s="1452" t="str">
        <f t="shared" si="711"/>
        <v/>
      </c>
      <c r="BP1281" s="1452" t="str">
        <f t="shared" si="699"/>
        <v/>
      </c>
      <c r="BQ1281" s="1452" t="str">
        <f t="shared" si="700"/>
        <v/>
      </c>
      <c r="BR1281" s="1452" t="str">
        <f t="shared" si="701"/>
        <v/>
      </c>
      <c r="BS1281" s="1452" t="str">
        <f t="shared" si="702"/>
        <v/>
      </c>
      <c r="BT1281" s="1452" t="str">
        <f t="shared" si="703"/>
        <v/>
      </c>
      <c r="BU1281" s="1452" t="str">
        <f t="shared" si="704"/>
        <v/>
      </c>
      <c r="BV1281" s="1452" t="str">
        <f t="shared" si="705"/>
        <v/>
      </c>
      <c r="BW1281" s="1558">
        <f t="shared" ca="1" si="712"/>
        <v>0</v>
      </c>
    </row>
    <row r="1282" spans="1:75" s="9" customFormat="1" ht="12.5">
      <c r="A1282" s="1483" t="str">
        <f t="shared" si="706"/>
        <v>Public Health Wales Trust</v>
      </c>
      <c r="B1282" s="1583"/>
      <c r="C1282" s="1583"/>
      <c r="D1282" s="1583"/>
      <c r="E1282" s="1581"/>
      <c r="F1282" s="1436"/>
      <c r="G1282" s="1547">
        <f t="shared" si="707"/>
        <v>0</v>
      </c>
      <c r="H1282" s="1484"/>
      <c r="I1282" s="1547">
        <f t="shared" si="708"/>
        <v>0</v>
      </c>
      <c r="J1282" s="1485"/>
      <c r="K1282" s="1485"/>
      <c r="L1282" s="1436"/>
      <c r="M1282" s="1439"/>
      <c r="N1282" s="1439"/>
      <c r="O1282" s="1485"/>
      <c r="P1282" s="1486"/>
      <c r="Q1282" s="1486"/>
      <c r="R1282" s="1487"/>
      <c r="S1282" s="1444"/>
      <c r="T1282" s="1444"/>
      <c r="U1282" s="1444"/>
      <c r="V1282" s="1488"/>
      <c r="W1282" s="1488"/>
      <c r="X1282" s="1488"/>
      <c r="Y1282" s="1488"/>
      <c r="Z1282" s="1488"/>
      <c r="AA1282" s="1488"/>
      <c r="AB1282" s="1488"/>
      <c r="AC1282" s="1488"/>
      <c r="AD1282" s="1488"/>
      <c r="AE1282" s="1488"/>
      <c r="AF1282" s="1488"/>
      <c r="AG1282" s="1488"/>
      <c r="AH1282" s="1451">
        <f t="shared" si="680"/>
        <v>0</v>
      </c>
      <c r="AI1282" s="1488"/>
      <c r="AJ1282" s="1488"/>
      <c r="AK1282" s="1488"/>
      <c r="AL1282" s="1488"/>
      <c r="AM1282" s="1488"/>
      <c r="AN1282" s="1488"/>
      <c r="AO1282" s="1488"/>
      <c r="AP1282" s="1488"/>
      <c r="AQ1282" s="1488"/>
      <c r="AR1282" s="1488"/>
      <c r="AS1282" s="1488"/>
      <c r="AT1282" s="1542"/>
      <c r="AU1282" s="1599">
        <f t="shared" si="681"/>
        <v>0</v>
      </c>
      <c r="AV1282" s="1544">
        <f t="shared" si="709"/>
        <v>0</v>
      </c>
      <c r="AW1282" s="1452">
        <f t="shared" si="682"/>
        <v>0</v>
      </c>
      <c r="AX1282" s="1452">
        <f t="shared" si="683"/>
        <v>0</v>
      </c>
      <c r="AY1282" s="1452">
        <f t="shared" si="684"/>
        <v>0</v>
      </c>
      <c r="AZ1282" s="1452">
        <f t="shared" si="685"/>
        <v>0</v>
      </c>
      <c r="BA1282" s="1452">
        <f t="shared" si="686"/>
        <v>0</v>
      </c>
      <c r="BB1282" s="1452">
        <f t="shared" si="687"/>
        <v>0</v>
      </c>
      <c r="BC1282" s="1452">
        <f t="shared" si="688"/>
        <v>0</v>
      </c>
      <c r="BD1282" s="1452">
        <f t="shared" si="689"/>
        <v>0</v>
      </c>
      <c r="BE1282" s="1452">
        <f t="shared" si="690"/>
        <v>0</v>
      </c>
      <c r="BF1282" s="1452">
        <f t="shared" si="691"/>
        <v>0</v>
      </c>
      <c r="BG1282" s="1452">
        <f t="shared" si="692"/>
        <v>0</v>
      </c>
      <c r="BH1282" s="1452">
        <f t="shared" si="693"/>
        <v>0</v>
      </c>
      <c r="BI1282" s="1452">
        <f t="shared" si="710"/>
        <v>0</v>
      </c>
      <c r="BJ1282" s="1452" t="str">
        <f t="shared" si="694"/>
        <v/>
      </c>
      <c r="BK1282" s="1452" t="str">
        <f t="shared" si="695"/>
        <v/>
      </c>
      <c r="BL1282" s="1452" t="str">
        <f t="shared" si="696"/>
        <v/>
      </c>
      <c r="BM1282" s="1452" t="str">
        <f t="shared" si="697"/>
        <v/>
      </c>
      <c r="BN1282" s="1452" t="str">
        <f t="shared" ca="1" si="698"/>
        <v/>
      </c>
      <c r="BO1282" s="1452" t="str">
        <f t="shared" si="711"/>
        <v/>
      </c>
      <c r="BP1282" s="1452" t="str">
        <f t="shared" si="699"/>
        <v/>
      </c>
      <c r="BQ1282" s="1452" t="str">
        <f t="shared" si="700"/>
        <v/>
      </c>
      <c r="BR1282" s="1452" t="str">
        <f t="shared" si="701"/>
        <v/>
      </c>
      <c r="BS1282" s="1452" t="str">
        <f t="shared" si="702"/>
        <v/>
      </c>
      <c r="BT1282" s="1452" t="str">
        <f t="shared" si="703"/>
        <v/>
      </c>
      <c r="BU1282" s="1452" t="str">
        <f t="shared" si="704"/>
        <v/>
      </c>
      <c r="BV1282" s="1452" t="str">
        <f t="shared" si="705"/>
        <v/>
      </c>
      <c r="BW1282" s="1558">
        <f t="shared" ca="1" si="712"/>
        <v>0</v>
      </c>
    </row>
    <row r="1283" spans="1:75" s="9" customFormat="1" ht="12.5">
      <c r="A1283" s="1483" t="str">
        <f t="shared" si="706"/>
        <v>Public Health Wales Trust</v>
      </c>
      <c r="B1283" s="1583"/>
      <c r="C1283" s="1583"/>
      <c r="D1283" s="1583"/>
      <c r="E1283" s="1581"/>
      <c r="F1283" s="1436"/>
      <c r="G1283" s="1547">
        <f t="shared" si="707"/>
        <v>0</v>
      </c>
      <c r="H1283" s="1484"/>
      <c r="I1283" s="1547">
        <f t="shared" si="708"/>
        <v>0</v>
      </c>
      <c r="J1283" s="1485"/>
      <c r="K1283" s="1485"/>
      <c r="L1283" s="1436"/>
      <c r="M1283" s="1439"/>
      <c r="N1283" s="1439"/>
      <c r="O1283" s="1485"/>
      <c r="P1283" s="1486"/>
      <c r="Q1283" s="1486"/>
      <c r="R1283" s="1487"/>
      <c r="S1283" s="1444"/>
      <c r="T1283" s="1444"/>
      <c r="U1283" s="1444"/>
      <c r="V1283" s="1488"/>
      <c r="W1283" s="1488"/>
      <c r="X1283" s="1488"/>
      <c r="Y1283" s="1488"/>
      <c r="Z1283" s="1488"/>
      <c r="AA1283" s="1488"/>
      <c r="AB1283" s="1488"/>
      <c r="AC1283" s="1488"/>
      <c r="AD1283" s="1488"/>
      <c r="AE1283" s="1488"/>
      <c r="AF1283" s="1488"/>
      <c r="AG1283" s="1488"/>
      <c r="AH1283" s="1451">
        <f t="shared" si="680"/>
        <v>0</v>
      </c>
      <c r="AI1283" s="1488"/>
      <c r="AJ1283" s="1488"/>
      <c r="AK1283" s="1488"/>
      <c r="AL1283" s="1488"/>
      <c r="AM1283" s="1488"/>
      <c r="AN1283" s="1488"/>
      <c r="AO1283" s="1488"/>
      <c r="AP1283" s="1488"/>
      <c r="AQ1283" s="1488"/>
      <c r="AR1283" s="1488"/>
      <c r="AS1283" s="1488"/>
      <c r="AT1283" s="1542"/>
      <c r="AU1283" s="1599">
        <f t="shared" si="681"/>
        <v>0</v>
      </c>
      <c r="AV1283" s="1544">
        <f t="shared" si="709"/>
        <v>0</v>
      </c>
      <c r="AW1283" s="1452">
        <f t="shared" si="682"/>
        <v>0</v>
      </c>
      <c r="AX1283" s="1452">
        <f t="shared" si="683"/>
        <v>0</v>
      </c>
      <c r="AY1283" s="1452">
        <f t="shared" si="684"/>
        <v>0</v>
      </c>
      <c r="AZ1283" s="1452">
        <f t="shared" si="685"/>
        <v>0</v>
      </c>
      <c r="BA1283" s="1452">
        <f t="shared" si="686"/>
        <v>0</v>
      </c>
      <c r="BB1283" s="1452">
        <f t="shared" si="687"/>
        <v>0</v>
      </c>
      <c r="BC1283" s="1452">
        <f t="shared" si="688"/>
        <v>0</v>
      </c>
      <c r="BD1283" s="1452">
        <f t="shared" si="689"/>
        <v>0</v>
      </c>
      <c r="BE1283" s="1452">
        <f t="shared" si="690"/>
        <v>0</v>
      </c>
      <c r="BF1283" s="1452">
        <f t="shared" si="691"/>
        <v>0</v>
      </c>
      <c r="BG1283" s="1452">
        <f t="shared" si="692"/>
        <v>0</v>
      </c>
      <c r="BH1283" s="1452">
        <f t="shared" si="693"/>
        <v>0</v>
      </c>
      <c r="BI1283" s="1452">
        <f t="shared" si="710"/>
        <v>0</v>
      </c>
      <c r="BJ1283" s="1452" t="str">
        <f t="shared" si="694"/>
        <v/>
      </c>
      <c r="BK1283" s="1452" t="str">
        <f t="shared" si="695"/>
        <v/>
      </c>
      <c r="BL1283" s="1452" t="str">
        <f t="shared" si="696"/>
        <v/>
      </c>
      <c r="BM1283" s="1452" t="str">
        <f t="shared" si="697"/>
        <v/>
      </c>
      <c r="BN1283" s="1452" t="str">
        <f t="shared" ca="1" si="698"/>
        <v/>
      </c>
      <c r="BO1283" s="1452" t="str">
        <f t="shared" si="711"/>
        <v/>
      </c>
      <c r="BP1283" s="1452" t="str">
        <f t="shared" si="699"/>
        <v/>
      </c>
      <c r="BQ1283" s="1452" t="str">
        <f t="shared" si="700"/>
        <v/>
      </c>
      <c r="BR1283" s="1452" t="str">
        <f t="shared" si="701"/>
        <v/>
      </c>
      <c r="BS1283" s="1452" t="str">
        <f t="shared" si="702"/>
        <v/>
      </c>
      <c r="BT1283" s="1452" t="str">
        <f t="shared" si="703"/>
        <v/>
      </c>
      <c r="BU1283" s="1452" t="str">
        <f t="shared" si="704"/>
        <v/>
      </c>
      <c r="BV1283" s="1452" t="str">
        <f t="shared" si="705"/>
        <v/>
      </c>
      <c r="BW1283" s="1558">
        <f t="shared" ca="1" si="712"/>
        <v>0</v>
      </c>
    </row>
    <row r="1284" spans="1:75" s="9" customFormat="1" ht="12.5">
      <c r="A1284" s="1483" t="str">
        <f t="shared" si="706"/>
        <v>Public Health Wales Trust</v>
      </c>
      <c r="B1284" s="1583"/>
      <c r="C1284" s="1583"/>
      <c r="D1284" s="1583"/>
      <c r="E1284" s="1581"/>
      <c r="F1284" s="1436"/>
      <c r="G1284" s="1547">
        <f t="shared" si="707"/>
        <v>0</v>
      </c>
      <c r="H1284" s="1484"/>
      <c r="I1284" s="1547">
        <f t="shared" si="708"/>
        <v>0</v>
      </c>
      <c r="J1284" s="1485"/>
      <c r="K1284" s="1485"/>
      <c r="L1284" s="1436"/>
      <c r="M1284" s="1439"/>
      <c r="N1284" s="1439"/>
      <c r="O1284" s="1485"/>
      <c r="P1284" s="1486"/>
      <c r="Q1284" s="1486"/>
      <c r="R1284" s="1487"/>
      <c r="S1284" s="1444"/>
      <c r="T1284" s="1444"/>
      <c r="U1284" s="1444"/>
      <c r="V1284" s="1488"/>
      <c r="W1284" s="1488"/>
      <c r="X1284" s="1488"/>
      <c r="Y1284" s="1488"/>
      <c r="Z1284" s="1488"/>
      <c r="AA1284" s="1488"/>
      <c r="AB1284" s="1488"/>
      <c r="AC1284" s="1488"/>
      <c r="AD1284" s="1488"/>
      <c r="AE1284" s="1488"/>
      <c r="AF1284" s="1488"/>
      <c r="AG1284" s="1488"/>
      <c r="AH1284" s="1451">
        <f t="shared" si="680"/>
        <v>0</v>
      </c>
      <c r="AI1284" s="1488"/>
      <c r="AJ1284" s="1488"/>
      <c r="AK1284" s="1488"/>
      <c r="AL1284" s="1488"/>
      <c r="AM1284" s="1488"/>
      <c r="AN1284" s="1488"/>
      <c r="AO1284" s="1488"/>
      <c r="AP1284" s="1488"/>
      <c r="AQ1284" s="1488"/>
      <c r="AR1284" s="1488"/>
      <c r="AS1284" s="1488"/>
      <c r="AT1284" s="1542"/>
      <c r="AU1284" s="1599">
        <f t="shared" si="681"/>
        <v>0</v>
      </c>
      <c r="AV1284" s="1544">
        <f t="shared" si="709"/>
        <v>0</v>
      </c>
      <c r="AW1284" s="1452">
        <f t="shared" si="682"/>
        <v>0</v>
      </c>
      <c r="AX1284" s="1452">
        <f t="shared" si="683"/>
        <v>0</v>
      </c>
      <c r="AY1284" s="1452">
        <f t="shared" si="684"/>
        <v>0</v>
      </c>
      <c r="AZ1284" s="1452">
        <f t="shared" si="685"/>
        <v>0</v>
      </c>
      <c r="BA1284" s="1452">
        <f t="shared" si="686"/>
        <v>0</v>
      </c>
      <c r="BB1284" s="1452">
        <f t="shared" si="687"/>
        <v>0</v>
      </c>
      <c r="BC1284" s="1452">
        <f t="shared" si="688"/>
        <v>0</v>
      </c>
      <c r="BD1284" s="1452">
        <f t="shared" si="689"/>
        <v>0</v>
      </c>
      <c r="BE1284" s="1452">
        <f t="shared" si="690"/>
        <v>0</v>
      </c>
      <c r="BF1284" s="1452">
        <f t="shared" si="691"/>
        <v>0</v>
      </c>
      <c r="BG1284" s="1452">
        <f t="shared" si="692"/>
        <v>0</v>
      </c>
      <c r="BH1284" s="1452">
        <f t="shared" si="693"/>
        <v>0</v>
      </c>
      <c r="BI1284" s="1452">
        <f t="shared" si="710"/>
        <v>0</v>
      </c>
      <c r="BJ1284" s="1452" t="str">
        <f t="shared" si="694"/>
        <v/>
      </c>
      <c r="BK1284" s="1452" t="str">
        <f t="shared" si="695"/>
        <v/>
      </c>
      <c r="BL1284" s="1452" t="str">
        <f t="shared" si="696"/>
        <v/>
      </c>
      <c r="BM1284" s="1452" t="str">
        <f t="shared" si="697"/>
        <v/>
      </c>
      <c r="BN1284" s="1452" t="str">
        <f t="shared" ca="1" si="698"/>
        <v/>
      </c>
      <c r="BO1284" s="1452" t="str">
        <f t="shared" si="711"/>
        <v/>
      </c>
      <c r="BP1284" s="1452" t="str">
        <f t="shared" si="699"/>
        <v/>
      </c>
      <c r="BQ1284" s="1452" t="str">
        <f t="shared" si="700"/>
        <v/>
      </c>
      <c r="BR1284" s="1452" t="str">
        <f t="shared" si="701"/>
        <v/>
      </c>
      <c r="BS1284" s="1452" t="str">
        <f t="shared" si="702"/>
        <v/>
      </c>
      <c r="BT1284" s="1452" t="str">
        <f t="shared" si="703"/>
        <v/>
      </c>
      <c r="BU1284" s="1452" t="str">
        <f t="shared" si="704"/>
        <v/>
      </c>
      <c r="BV1284" s="1452" t="str">
        <f t="shared" si="705"/>
        <v/>
      </c>
      <c r="BW1284" s="1558">
        <f t="shared" ca="1" si="712"/>
        <v>0</v>
      </c>
    </row>
    <row r="1285" spans="1:75" s="9" customFormat="1" ht="12.5">
      <c r="A1285" s="1483" t="str">
        <f t="shared" si="706"/>
        <v>Public Health Wales Trust</v>
      </c>
      <c r="B1285" s="1583"/>
      <c r="C1285" s="1583"/>
      <c r="D1285" s="1583"/>
      <c r="E1285" s="1581"/>
      <c r="F1285" s="1436"/>
      <c r="G1285" s="1547">
        <f t="shared" si="707"/>
        <v>0</v>
      </c>
      <c r="H1285" s="1484"/>
      <c r="I1285" s="1547">
        <f t="shared" si="708"/>
        <v>0</v>
      </c>
      <c r="J1285" s="1485"/>
      <c r="K1285" s="1485"/>
      <c r="L1285" s="1436"/>
      <c r="M1285" s="1439"/>
      <c r="N1285" s="1439"/>
      <c r="O1285" s="1485"/>
      <c r="P1285" s="1486"/>
      <c r="Q1285" s="1486"/>
      <c r="R1285" s="1487"/>
      <c r="S1285" s="1444"/>
      <c r="T1285" s="1444"/>
      <c r="U1285" s="1444"/>
      <c r="V1285" s="1488"/>
      <c r="W1285" s="1488"/>
      <c r="X1285" s="1488"/>
      <c r="Y1285" s="1488"/>
      <c r="Z1285" s="1488"/>
      <c r="AA1285" s="1488"/>
      <c r="AB1285" s="1488"/>
      <c r="AC1285" s="1488"/>
      <c r="AD1285" s="1488"/>
      <c r="AE1285" s="1488"/>
      <c r="AF1285" s="1488"/>
      <c r="AG1285" s="1488"/>
      <c r="AH1285" s="1451">
        <f t="shared" si="680"/>
        <v>0</v>
      </c>
      <c r="AI1285" s="1488"/>
      <c r="AJ1285" s="1488"/>
      <c r="AK1285" s="1488"/>
      <c r="AL1285" s="1488"/>
      <c r="AM1285" s="1488"/>
      <c r="AN1285" s="1488"/>
      <c r="AO1285" s="1488"/>
      <c r="AP1285" s="1488"/>
      <c r="AQ1285" s="1488"/>
      <c r="AR1285" s="1488"/>
      <c r="AS1285" s="1488"/>
      <c r="AT1285" s="1542"/>
      <c r="AU1285" s="1599">
        <f t="shared" si="681"/>
        <v>0</v>
      </c>
      <c r="AV1285" s="1544">
        <f t="shared" si="709"/>
        <v>0</v>
      </c>
      <c r="AW1285" s="1452">
        <f t="shared" si="682"/>
        <v>0</v>
      </c>
      <c r="AX1285" s="1452">
        <f t="shared" si="683"/>
        <v>0</v>
      </c>
      <c r="AY1285" s="1452">
        <f t="shared" si="684"/>
        <v>0</v>
      </c>
      <c r="AZ1285" s="1452">
        <f t="shared" si="685"/>
        <v>0</v>
      </c>
      <c r="BA1285" s="1452">
        <f t="shared" si="686"/>
        <v>0</v>
      </c>
      <c r="BB1285" s="1452">
        <f t="shared" si="687"/>
        <v>0</v>
      </c>
      <c r="BC1285" s="1452">
        <f t="shared" si="688"/>
        <v>0</v>
      </c>
      <c r="BD1285" s="1452">
        <f t="shared" si="689"/>
        <v>0</v>
      </c>
      <c r="BE1285" s="1452">
        <f t="shared" si="690"/>
        <v>0</v>
      </c>
      <c r="BF1285" s="1452">
        <f t="shared" si="691"/>
        <v>0</v>
      </c>
      <c r="BG1285" s="1452">
        <f t="shared" si="692"/>
        <v>0</v>
      </c>
      <c r="BH1285" s="1452">
        <f t="shared" si="693"/>
        <v>0</v>
      </c>
      <c r="BI1285" s="1452">
        <f t="shared" si="710"/>
        <v>0</v>
      </c>
      <c r="BJ1285" s="1452" t="str">
        <f t="shared" si="694"/>
        <v/>
      </c>
      <c r="BK1285" s="1452" t="str">
        <f t="shared" si="695"/>
        <v/>
      </c>
      <c r="BL1285" s="1452" t="str">
        <f t="shared" si="696"/>
        <v/>
      </c>
      <c r="BM1285" s="1452" t="str">
        <f t="shared" si="697"/>
        <v/>
      </c>
      <c r="BN1285" s="1452" t="str">
        <f t="shared" ca="1" si="698"/>
        <v/>
      </c>
      <c r="BO1285" s="1452" t="str">
        <f t="shared" si="711"/>
        <v/>
      </c>
      <c r="BP1285" s="1452" t="str">
        <f t="shared" si="699"/>
        <v/>
      </c>
      <c r="BQ1285" s="1452" t="str">
        <f t="shared" si="700"/>
        <v/>
      </c>
      <c r="BR1285" s="1452" t="str">
        <f t="shared" si="701"/>
        <v/>
      </c>
      <c r="BS1285" s="1452" t="str">
        <f t="shared" si="702"/>
        <v/>
      </c>
      <c r="BT1285" s="1452" t="str">
        <f t="shared" si="703"/>
        <v/>
      </c>
      <c r="BU1285" s="1452" t="str">
        <f t="shared" si="704"/>
        <v/>
      </c>
      <c r="BV1285" s="1452" t="str">
        <f t="shared" si="705"/>
        <v/>
      </c>
      <c r="BW1285" s="1558">
        <f t="shared" ca="1" si="712"/>
        <v>0</v>
      </c>
    </row>
    <row r="1286" spans="1:75" s="9" customFormat="1" ht="12.5">
      <c r="A1286" s="1483" t="str">
        <f t="shared" si="706"/>
        <v>Public Health Wales Trust</v>
      </c>
      <c r="B1286" s="1583"/>
      <c r="C1286" s="1583"/>
      <c r="D1286" s="1583"/>
      <c r="E1286" s="1581"/>
      <c r="F1286" s="1436"/>
      <c r="G1286" s="1547">
        <f t="shared" si="707"/>
        <v>0</v>
      </c>
      <c r="H1286" s="1484"/>
      <c r="I1286" s="1547">
        <f t="shared" si="708"/>
        <v>0</v>
      </c>
      <c r="J1286" s="1485"/>
      <c r="K1286" s="1485"/>
      <c r="L1286" s="1436"/>
      <c r="M1286" s="1439"/>
      <c r="N1286" s="1439"/>
      <c r="O1286" s="1485"/>
      <c r="P1286" s="1486"/>
      <c r="Q1286" s="1486"/>
      <c r="R1286" s="1487"/>
      <c r="S1286" s="1444"/>
      <c r="T1286" s="1444"/>
      <c r="U1286" s="1444"/>
      <c r="V1286" s="1488"/>
      <c r="W1286" s="1488"/>
      <c r="X1286" s="1488"/>
      <c r="Y1286" s="1488"/>
      <c r="Z1286" s="1488"/>
      <c r="AA1286" s="1488"/>
      <c r="AB1286" s="1488"/>
      <c r="AC1286" s="1488"/>
      <c r="AD1286" s="1488"/>
      <c r="AE1286" s="1488"/>
      <c r="AF1286" s="1488"/>
      <c r="AG1286" s="1488"/>
      <c r="AH1286" s="1451">
        <f t="shared" si="680"/>
        <v>0</v>
      </c>
      <c r="AI1286" s="1488"/>
      <c r="AJ1286" s="1488"/>
      <c r="AK1286" s="1488"/>
      <c r="AL1286" s="1488"/>
      <c r="AM1286" s="1488"/>
      <c r="AN1286" s="1488"/>
      <c r="AO1286" s="1488"/>
      <c r="AP1286" s="1488"/>
      <c r="AQ1286" s="1488"/>
      <c r="AR1286" s="1488"/>
      <c r="AS1286" s="1488"/>
      <c r="AT1286" s="1542"/>
      <c r="AU1286" s="1599">
        <f t="shared" si="681"/>
        <v>0</v>
      </c>
      <c r="AV1286" s="1544">
        <f t="shared" si="709"/>
        <v>0</v>
      </c>
      <c r="AW1286" s="1452">
        <f t="shared" si="682"/>
        <v>0</v>
      </c>
      <c r="AX1286" s="1452">
        <f t="shared" si="683"/>
        <v>0</v>
      </c>
      <c r="AY1286" s="1452">
        <f t="shared" si="684"/>
        <v>0</v>
      </c>
      <c r="AZ1286" s="1452">
        <f t="shared" si="685"/>
        <v>0</v>
      </c>
      <c r="BA1286" s="1452">
        <f t="shared" si="686"/>
        <v>0</v>
      </c>
      <c r="BB1286" s="1452">
        <f t="shared" si="687"/>
        <v>0</v>
      </c>
      <c r="BC1286" s="1452">
        <f t="shared" si="688"/>
        <v>0</v>
      </c>
      <c r="BD1286" s="1452">
        <f t="shared" si="689"/>
        <v>0</v>
      </c>
      <c r="BE1286" s="1452">
        <f t="shared" si="690"/>
        <v>0</v>
      </c>
      <c r="BF1286" s="1452">
        <f t="shared" si="691"/>
        <v>0</v>
      </c>
      <c r="BG1286" s="1452">
        <f t="shared" si="692"/>
        <v>0</v>
      </c>
      <c r="BH1286" s="1452">
        <f t="shared" si="693"/>
        <v>0</v>
      </c>
      <c r="BI1286" s="1452">
        <f t="shared" si="710"/>
        <v>0</v>
      </c>
      <c r="BJ1286" s="1452" t="str">
        <f t="shared" si="694"/>
        <v/>
      </c>
      <c r="BK1286" s="1452" t="str">
        <f t="shared" si="695"/>
        <v/>
      </c>
      <c r="BL1286" s="1452" t="str">
        <f t="shared" si="696"/>
        <v/>
      </c>
      <c r="BM1286" s="1452" t="str">
        <f t="shared" si="697"/>
        <v/>
      </c>
      <c r="BN1286" s="1452" t="str">
        <f t="shared" ca="1" si="698"/>
        <v/>
      </c>
      <c r="BO1286" s="1452" t="str">
        <f t="shared" si="711"/>
        <v/>
      </c>
      <c r="BP1286" s="1452" t="str">
        <f t="shared" si="699"/>
        <v/>
      </c>
      <c r="BQ1286" s="1452" t="str">
        <f t="shared" si="700"/>
        <v/>
      </c>
      <c r="BR1286" s="1452" t="str">
        <f t="shared" si="701"/>
        <v/>
      </c>
      <c r="BS1286" s="1452" t="str">
        <f t="shared" si="702"/>
        <v/>
      </c>
      <c r="BT1286" s="1452" t="str">
        <f t="shared" si="703"/>
        <v/>
      </c>
      <c r="BU1286" s="1452" t="str">
        <f t="shared" si="704"/>
        <v/>
      </c>
      <c r="BV1286" s="1452" t="str">
        <f t="shared" si="705"/>
        <v/>
      </c>
      <c r="BW1286" s="1558">
        <f t="shared" ca="1" si="712"/>
        <v>0</v>
      </c>
    </row>
    <row r="1287" spans="1:75" s="9" customFormat="1" ht="12.5">
      <c r="A1287" s="1483" t="str">
        <f t="shared" si="706"/>
        <v>Public Health Wales Trust</v>
      </c>
      <c r="B1287" s="1583"/>
      <c r="C1287" s="1583"/>
      <c r="D1287" s="1583"/>
      <c r="E1287" s="1581"/>
      <c r="F1287" s="1436"/>
      <c r="G1287" s="1547">
        <f t="shared" si="707"/>
        <v>0</v>
      </c>
      <c r="H1287" s="1484"/>
      <c r="I1287" s="1547">
        <f t="shared" si="708"/>
        <v>0</v>
      </c>
      <c r="J1287" s="1485"/>
      <c r="K1287" s="1485"/>
      <c r="L1287" s="1436"/>
      <c r="M1287" s="1439"/>
      <c r="N1287" s="1439"/>
      <c r="O1287" s="1485"/>
      <c r="P1287" s="1486"/>
      <c r="Q1287" s="1486"/>
      <c r="R1287" s="1487"/>
      <c r="S1287" s="1444"/>
      <c r="T1287" s="1444"/>
      <c r="U1287" s="1444"/>
      <c r="V1287" s="1488"/>
      <c r="W1287" s="1488"/>
      <c r="X1287" s="1488"/>
      <c r="Y1287" s="1488"/>
      <c r="Z1287" s="1488"/>
      <c r="AA1287" s="1488"/>
      <c r="AB1287" s="1488"/>
      <c r="AC1287" s="1488"/>
      <c r="AD1287" s="1488"/>
      <c r="AE1287" s="1488"/>
      <c r="AF1287" s="1488"/>
      <c r="AG1287" s="1488"/>
      <c r="AH1287" s="1451">
        <f t="shared" si="680"/>
        <v>0</v>
      </c>
      <c r="AI1287" s="1488"/>
      <c r="AJ1287" s="1488"/>
      <c r="AK1287" s="1488"/>
      <c r="AL1287" s="1488"/>
      <c r="AM1287" s="1488"/>
      <c r="AN1287" s="1488"/>
      <c r="AO1287" s="1488"/>
      <c r="AP1287" s="1488"/>
      <c r="AQ1287" s="1488"/>
      <c r="AR1287" s="1488"/>
      <c r="AS1287" s="1488"/>
      <c r="AT1287" s="1542"/>
      <c r="AU1287" s="1599">
        <f t="shared" si="681"/>
        <v>0</v>
      </c>
      <c r="AV1287" s="1544">
        <f t="shared" si="709"/>
        <v>0</v>
      </c>
      <c r="AW1287" s="1452">
        <f t="shared" si="682"/>
        <v>0</v>
      </c>
      <c r="AX1287" s="1452">
        <f t="shared" si="683"/>
        <v>0</v>
      </c>
      <c r="AY1287" s="1452">
        <f t="shared" si="684"/>
        <v>0</v>
      </c>
      <c r="AZ1287" s="1452">
        <f t="shared" si="685"/>
        <v>0</v>
      </c>
      <c r="BA1287" s="1452">
        <f t="shared" si="686"/>
        <v>0</v>
      </c>
      <c r="BB1287" s="1452">
        <f t="shared" si="687"/>
        <v>0</v>
      </c>
      <c r="BC1287" s="1452">
        <f t="shared" si="688"/>
        <v>0</v>
      </c>
      <c r="BD1287" s="1452">
        <f t="shared" si="689"/>
        <v>0</v>
      </c>
      <c r="BE1287" s="1452">
        <f t="shared" si="690"/>
        <v>0</v>
      </c>
      <c r="BF1287" s="1452">
        <f t="shared" si="691"/>
        <v>0</v>
      </c>
      <c r="BG1287" s="1452">
        <f t="shared" si="692"/>
        <v>0</v>
      </c>
      <c r="BH1287" s="1452">
        <f t="shared" si="693"/>
        <v>0</v>
      </c>
      <c r="BI1287" s="1452">
        <f t="shared" si="710"/>
        <v>0</v>
      </c>
      <c r="BJ1287" s="1452" t="str">
        <f t="shared" si="694"/>
        <v/>
      </c>
      <c r="BK1287" s="1452" t="str">
        <f t="shared" si="695"/>
        <v/>
      </c>
      <c r="BL1287" s="1452" t="str">
        <f t="shared" si="696"/>
        <v/>
      </c>
      <c r="BM1287" s="1452" t="str">
        <f t="shared" si="697"/>
        <v/>
      </c>
      <c r="BN1287" s="1452" t="str">
        <f t="shared" ca="1" si="698"/>
        <v/>
      </c>
      <c r="BO1287" s="1452" t="str">
        <f t="shared" si="711"/>
        <v/>
      </c>
      <c r="BP1287" s="1452" t="str">
        <f t="shared" si="699"/>
        <v/>
      </c>
      <c r="BQ1287" s="1452" t="str">
        <f t="shared" si="700"/>
        <v/>
      </c>
      <c r="BR1287" s="1452" t="str">
        <f t="shared" si="701"/>
        <v/>
      </c>
      <c r="BS1287" s="1452" t="str">
        <f t="shared" si="702"/>
        <v/>
      </c>
      <c r="BT1287" s="1452" t="str">
        <f t="shared" si="703"/>
        <v/>
      </c>
      <c r="BU1287" s="1452" t="str">
        <f t="shared" si="704"/>
        <v/>
      </c>
      <c r="BV1287" s="1452" t="str">
        <f t="shared" si="705"/>
        <v/>
      </c>
      <c r="BW1287" s="1558">
        <f t="shared" ca="1" si="712"/>
        <v>0</v>
      </c>
    </row>
    <row r="1288" spans="1:75" s="9" customFormat="1" ht="12.5">
      <c r="A1288" s="1483" t="str">
        <f t="shared" si="706"/>
        <v>Public Health Wales Trust</v>
      </c>
      <c r="B1288" s="1583"/>
      <c r="C1288" s="1583"/>
      <c r="D1288" s="1583"/>
      <c r="E1288" s="1581"/>
      <c r="F1288" s="1436"/>
      <c r="G1288" s="1547">
        <f t="shared" si="707"/>
        <v>0</v>
      </c>
      <c r="H1288" s="1484"/>
      <c r="I1288" s="1547">
        <f t="shared" si="708"/>
        <v>0</v>
      </c>
      <c r="J1288" s="1485"/>
      <c r="K1288" s="1485"/>
      <c r="L1288" s="1436"/>
      <c r="M1288" s="1439"/>
      <c r="N1288" s="1439"/>
      <c r="O1288" s="1485"/>
      <c r="P1288" s="1486"/>
      <c r="Q1288" s="1486"/>
      <c r="R1288" s="1487"/>
      <c r="S1288" s="1444"/>
      <c r="T1288" s="1444"/>
      <c r="U1288" s="1444"/>
      <c r="V1288" s="1488"/>
      <c r="W1288" s="1488"/>
      <c r="X1288" s="1488"/>
      <c r="Y1288" s="1488"/>
      <c r="Z1288" s="1488"/>
      <c r="AA1288" s="1488"/>
      <c r="AB1288" s="1488"/>
      <c r="AC1288" s="1488"/>
      <c r="AD1288" s="1488"/>
      <c r="AE1288" s="1488"/>
      <c r="AF1288" s="1488"/>
      <c r="AG1288" s="1488"/>
      <c r="AH1288" s="1451">
        <f t="shared" si="680"/>
        <v>0</v>
      </c>
      <c r="AI1288" s="1488"/>
      <c r="AJ1288" s="1488"/>
      <c r="AK1288" s="1488"/>
      <c r="AL1288" s="1488"/>
      <c r="AM1288" s="1488"/>
      <c r="AN1288" s="1488"/>
      <c r="AO1288" s="1488"/>
      <c r="AP1288" s="1488"/>
      <c r="AQ1288" s="1488"/>
      <c r="AR1288" s="1488"/>
      <c r="AS1288" s="1488"/>
      <c r="AT1288" s="1542"/>
      <c r="AU1288" s="1599">
        <f t="shared" si="681"/>
        <v>0</v>
      </c>
      <c r="AV1288" s="1544">
        <f t="shared" si="709"/>
        <v>0</v>
      </c>
      <c r="AW1288" s="1452">
        <f t="shared" si="682"/>
        <v>0</v>
      </c>
      <c r="AX1288" s="1452">
        <f t="shared" si="683"/>
        <v>0</v>
      </c>
      <c r="AY1288" s="1452">
        <f t="shared" si="684"/>
        <v>0</v>
      </c>
      <c r="AZ1288" s="1452">
        <f t="shared" si="685"/>
        <v>0</v>
      </c>
      <c r="BA1288" s="1452">
        <f t="shared" si="686"/>
        <v>0</v>
      </c>
      <c r="BB1288" s="1452">
        <f t="shared" si="687"/>
        <v>0</v>
      </c>
      <c r="BC1288" s="1452">
        <f t="shared" si="688"/>
        <v>0</v>
      </c>
      <c r="BD1288" s="1452">
        <f t="shared" si="689"/>
        <v>0</v>
      </c>
      <c r="BE1288" s="1452">
        <f t="shared" si="690"/>
        <v>0</v>
      </c>
      <c r="BF1288" s="1452">
        <f t="shared" si="691"/>
        <v>0</v>
      </c>
      <c r="BG1288" s="1452">
        <f t="shared" si="692"/>
        <v>0</v>
      </c>
      <c r="BH1288" s="1452">
        <f t="shared" si="693"/>
        <v>0</v>
      </c>
      <c r="BI1288" s="1452">
        <f t="shared" si="710"/>
        <v>0</v>
      </c>
      <c r="BJ1288" s="1452" t="str">
        <f t="shared" si="694"/>
        <v/>
      </c>
      <c r="BK1288" s="1452" t="str">
        <f t="shared" si="695"/>
        <v/>
      </c>
      <c r="BL1288" s="1452" t="str">
        <f t="shared" si="696"/>
        <v/>
      </c>
      <c r="BM1288" s="1452" t="str">
        <f t="shared" si="697"/>
        <v/>
      </c>
      <c r="BN1288" s="1452" t="str">
        <f t="shared" ca="1" si="698"/>
        <v/>
      </c>
      <c r="BO1288" s="1452" t="str">
        <f t="shared" si="711"/>
        <v/>
      </c>
      <c r="BP1288" s="1452" t="str">
        <f t="shared" si="699"/>
        <v/>
      </c>
      <c r="BQ1288" s="1452" t="str">
        <f t="shared" si="700"/>
        <v/>
      </c>
      <c r="BR1288" s="1452" t="str">
        <f t="shared" si="701"/>
        <v/>
      </c>
      <c r="BS1288" s="1452" t="str">
        <f t="shared" si="702"/>
        <v/>
      </c>
      <c r="BT1288" s="1452" t="str">
        <f t="shared" si="703"/>
        <v/>
      </c>
      <c r="BU1288" s="1452" t="str">
        <f t="shared" si="704"/>
        <v/>
      </c>
      <c r="BV1288" s="1452" t="str">
        <f t="shared" si="705"/>
        <v/>
      </c>
      <c r="BW1288" s="1558">
        <f t="shared" ca="1" si="712"/>
        <v>0</v>
      </c>
    </row>
    <row r="1289" spans="1:75" s="9" customFormat="1" ht="12.5">
      <c r="A1289" s="1483" t="str">
        <f t="shared" si="706"/>
        <v>Public Health Wales Trust</v>
      </c>
      <c r="B1289" s="1583"/>
      <c r="C1289" s="1583"/>
      <c r="D1289" s="1583"/>
      <c r="E1289" s="1581"/>
      <c r="F1289" s="1436"/>
      <c r="G1289" s="1547">
        <f t="shared" si="707"/>
        <v>0</v>
      </c>
      <c r="H1289" s="1484"/>
      <c r="I1289" s="1547">
        <f t="shared" si="708"/>
        <v>0</v>
      </c>
      <c r="J1289" s="1485"/>
      <c r="K1289" s="1485"/>
      <c r="L1289" s="1436"/>
      <c r="M1289" s="1439"/>
      <c r="N1289" s="1439"/>
      <c r="O1289" s="1485"/>
      <c r="P1289" s="1486"/>
      <c r="Q1289" s="1486"/>
      <c r="R1289" s="1487"/>
      <c r="S1289" s="1444"/>
      <c r="T1289" s="1444"/>
      <c r="U1289" s="1444"/>
      <c r="V1289" s="1488"/>
      <c r="W1289" s="1488"/>
      <c r="X1289" s="1488"/>
      <c r="Y1289" s="1488"/>
      <c r="Z1289" s="1488"/>
      <c r="AA1289" s="1488"/>
      <c r="AB1289" s="1488"/>
      <c r="AC1289" s="1488"/>
      <c r="AD1289" s="1488"/>
      <c r="AE1289" s="1488"/>
      <c r="AF1289" s="1488"/>
      <c r="AG1289" s="1488"/>
      <c r="AH1289" s="1451">
        <f t="shared" si="680"/>
        <v>0</v>
      </c>
      <c r="AI1289" s="1488"/>
      <c r="AJ1289" s="1488"/>
      <c r="AK1289" s="1488"/>
      <c r="AL1289" s="1488"/>
      <c r="AM1289" s="1488"/>
      <c r="AN1289" s="1488"/>
      <c r="AO1289" s="1488"/>
      <c r="AP1289" s="1488"/>
      <c r="AQ1289" s="1488"/>
      <c r="AR1289" s="1488"/>
      <c r="AS1289" s="1488"/>
      <c r="AT1289" s="1542"/>
      <c r="AU1289" s="1599">
        <f t="shared" si="681"/>
        <v>0</v>
      </c>
      <c r="AV1289" s="1544">
        <f t="shared" si="709"/>
        <v>0</v>
      </c>
      <c r="AW1289" s="1452">
        <f t="shared" si="682"/>
        <v>0</v>
      </c>
      <c r="AX1289" s="1452">
        <f t="shared" si="683"/>
        <v>0</v>
      </c>
      <c r="AY1289" s="1452">
        <f t="shared" si="684"/>
        <v>0</v>
      </c>
      <c r="AZ1289" s="1452">
        <f t="shared" si="685"/>
        <v>0</v>
      </c>
      <c r="BA1289" s="1452">
        <f t="shared" si="686"/>
        <v>0</v>
      </c>
      <c r="BB1289" s="1452">
        <f t="shared" si="687"/>
        <v>0</v>
      </c>
      <c r="BC1289" s="1452">
        <f t="shared" si="688"/>
        <v>0</v>
      </c>
      <c r="BD1289" s="1452">
        <f t="shared" si="689"/>
        <v>0</v>
      </c>
      <c r="BE1289" s="1452">
        <f t="shared" si="690"/>
        <v>0</v>
      </c>
      <c r="BF1289" s="1452">
        <f t="shared" si="691"/>
        <v>0</v>
      </c>
      <c r="BG1289" s="1452">
        <f t="shared" si="692"/>
        <v>0</v>
      </c>
      <c r="BH1289" s="1452">
        <f t="shared" si="693"/>
        <v>0</v>
      </c>
      <c r="BI1289" s="1452">
        <f t="shared" si="710"/>
        <v>0</v>
      </c>
      <c r="BJ1289" s="1452" t="str">
        <f t="shared" si="694"/>
        <v/>
      </c>
      <c r="BK1289" s="1452" t="str">
        <f t="shared" si="695"/>
        <v/>
      </c>
      <c r="BL1289" s="1452" t="str">
        <f t="shared" si="696"/>
        <v/>
      </c>
      <c r="BM1289" s="1452" t="str">
        <f t="shared" si="697"/>
        <v/>
      </c>
      <c r="BN1289" s="1452" t="str">
        <f t="shared" ca="1" si="698"/>
        <v/>
      </c>
      <c r="BO1289" s="1452" t="str">
        <f t="shared" si="711"/>
        <v/>
      </c>
      <c r="BP1289" s="1452" t="str">
        <f t="shared" si="699"/>
        <v/>
      </c>
      <c r="BQ1289" s="1452" t="str">
        <f t="shared" si="700"/>
        <v/>
      </c>
      <c r="BR1289" s="1452" t="str">
        <f t="shared" si="701"/>
        <v/>
      </c>
      <c r="BS1289" s="1452" t="str">
        <f t="shared" si="702"/>
        <v/>
      </c>
      <c r="BT1289" s="1452" t="str">
        <f t="shared" si="703"/>
        <v/>
      </c>
      <c r="BU1289" s="1452" t="str">
        <f t="shared" si="704"/>
        <v/>
      </c>
      <c r="BV1289" s="1452" t="str">
        <f t="shared" si="705"/>
        <v/>
      </c>
      <c r="BW1289" s="1558">
        <f t="shared" ca="1" si="712"/>
        <v>0</v>
      </c>
    </row>
    <row r="1290" spans="1:75" s="9" customFormat="1" ht="12.5">
      <c r="A1290" s="1483" t="str">
        <f t="shared" si="706"/>
        <v>Public Health Wales Trust</v>
      </c>
      <c r="B1290" s="1583"/>
      <c r="C1290" s="1583"/>
      <c r="D1290" s="1583"/>
      <c r="E1290" s="1581"/>
      <c r="F1290" s="1436"/>
      <c r="G1290" s="1547">
        <f t="shared" si="707"/>
        <v>0</v>
      </c>
      <c r="H1290" s="1484"/>
      <c r="I1290" s="1547">
        <f t="shared" si="708"/>
        <v>0</v>
      </c>
      <c r="J1290" s="1485"/>
      <c r="K1290" s="1485"/>
      <c r="L1290" s="1436"/>
      <c r="M1290" s="1439"/>
      <c r="N1290" s="1439"/>
      <c r="O1290" s="1485"/>
      <c r="P1290" s="1486"/>
      <c r="Q1290" s="1486"/>
      <c r="R1290" s="1487"/>
      <c r="S1290" s="1444"/>
      <c r="T1290" s="1444"/>
      <c r="U1290" s="1444"/>
      <c r="V1290" s="1488"/>
      <c r="W1290" s="1488"/>
      <c r="X1290" s="1488"/>
      <c r="Y1290" s="1488"/>
      <c r="Z1290" s="1488"/>
      <c r="AA1290" s="1488"/>
      <c r="AB1290" s="1488"/>
      <c r="AC1290" s="1488"/>
      <c r="AD1290" s="1488"/>
      <c r="AE1290" s="1488"/>
      <c r="AF1290" s="1488"/>
      <c r="AG1290" s="1488"/>
      <c r="AH1290" s="1451">
        <f t="shared" si="680"/>
        <v>0</v>
      </c>
      <c r="AI1290" s="1488"/>
      <c r="AJ1290" s="1488"/>
      <c r="AK1290" s="1488"/>
      <c r="AL1290" s="1488"/>
      <c r="AM1290" s="1488"/>
      <c r="AN1290" s="1488"/>
      <c r="AO1290" s="1488"/>
      <c r="AP1290" s="1488"/>
      <c r="AQ1290" s="1488"/>
      <c r="AR1290" s="1488"/>
      <c r="AS1290" s="1488"/>
      <c r="AT1290" s="1542"/>
      <c r="AU1290" s="1599">
        <f t="shared" si="681"/>
        <v>0</v>
      </c>
      <c r="AV1290" s="1544">
        <f t="shared" si="709"/>
        <v>0</v>
      </c>
      <c r="AW1290" s="1452">
        <f t="shared" si="682"/>
        <v>0</v>
      </c>
      <c r="AX1290" s="1452">
        <f t="shared" si="683"/>
        <v>0</v>
      </c>
      <c r="AY1290" s="1452">
        <f t="shared" si="684"/>
        <v>0</v>
      </c>
      <c r="AZ1290" s="1452">
        <f t="shared" si="685"/>
        <v>0</v>
      </c>
      <c r="BA1290" s="1452">
        <f t="shared" si="686"/>
        <v>0</v>
      </c>
      <c r="BB1290" s="1452">
        <f t="shared" si="687"/>
        <v>0</v>
      </c>
      <c r="BC1290" s="1452">
        <f t="shared" si="688"/>
        <v>0</v>
      </c>
      <c r="BD1290" s="1452">
        <f t="shared" si="689"/>
        <v>0</v>
      </c>
      <c r="BE1290" s="1452">
        <f t="shared" si="690"/>
        <v>0</v>
      </c>
      <c r="BF1290" s="1452">
        <f t="shared" si="691"/>
        <v>0</v>
      </c>
      <c r="BG1290" s="1452">
        <f t="shared" si="692"/>
        <v>0</v>
      </c>
      <c r="BH1290" s="1452">
        <f t="shared" si="693"/>
        <v>0</v>
      </c>
      <c r="BI1290" s="1452">
        <f t="shared" si="710"/>
        <v>0</v>
      </c>
      <c r="BJ1290" s="1452" t="str">
        <f t="shared" si="694"/>
        <v/>
      </c>
      <c r="BK1290" s="1452" t="str">
        <f t="shared" si="695"/>
        <v/>
      </c>
      <c r="BL1290" s="1452" t="str">
        <f t="shared" si="696"/>
        <v/>
      </c>
      <c r="BM1290" s="1452" t="str">
        <f t="shared" si="697"/>
        <v/>
      </c>
      <c r="BN1290" s="1452" t="str">
        <f t="shared" ca="1" si="698"/>
        <v/>
      </c>
      <c r="BO1290" s="1452" t="str">
        <f t="shared" si="711"/>
        <v/>
      </c>
      <c r="BP1290" s="1452" t="str">
        <f t="shared" si="699"/>
        <v/>
      </c>
      <c r="BQ1290" s="1452" t="str">
        <f t="shared" si="700"/>
        <v/>
      </c>
      <c r="BR1290" s="1452" t="str">
        <f t="shared" si="701"/>
        <v/>
      </c>
      <c r="BS1290" s="1452" t="str">
        <f t="shared" si="702"/>
        <v/>
      </c>
      <c r="BT1290" s="1452" t="str">
        <f t="shared" si="703"/>
        <v/>
      </c>
      <c r="BU1290" s="1452" t="str">
        <f t="shared" si="704"/>
        <v/>
      </c>
      <c r="BV1290" s="1452" t="str">
        <f t="shared" si="705"/>
        <v/>
      </c>
      <c r="BW1290" s="1558">
        <f t="shared" ca="1" si="712"/>
        <v>0</v>
      </c>
    </row>
    <row r="1291" spans="1:75" s="9" customFormat="1" ht="12.5">
      <c r="A1291" s="1483" t="str">
        <f t="shared" si="706"/>
        <v>Public Health Wales Trust</v>
      </c>
      <c r="B1291" s="1583"/>
      <c r="C1291" s="1583"/>
      <c r="D1291" s="1583"/>
      <c r="E1291" s="1581"/>
      <c r="F1291" s="1436"/>
      <c r="G1291" s="1547">
        <f t="shared" si="707"/>
        <v>0</v>
      </c>
      <c r="H1291" s="1484"/>
      <c r="I1291" s="1547">
        <f t="shared" si="708"/>
        <v>0</v>
      </c>
      <c r="J1291" s="1485"/>
      <c r="K1291" s="1485"/>
      <c r="L1291" s="1436"/>
      <c r="M1291" s="1439"/>
      <c r="N1291" s="1439"/>
      <c r="O1291" s="1485"/>
      <c r="P1291" s="1486"/>
      <c r="Q1291" s="1486"/>
      <c r="R1291" s="1487"/>
      <c r="S1291" s="1444"/>
      <c r="T1291" s="1444"/>
      <c r="U1291" s="1444"/>
      <c r="V1291" s="1488"/>
      <c r="W1291" s="1488"/>
      <c r="X1291" s="1488"/>
      <c r="Y1291" s="1488"/>
      <c r="Z1291" s="1488"/>
      <c r="AA1291" s="1488"/>
      <c r="AB1291" s="1488"/>
      <c r="AC1291" s="1488"/>
      <c r="AD1291" s="1488"/>
      <c r="AE1291" s="1488"/>
      <c r="AF1291" s="1488"/>
      <c r="AG1291" s="1488"/>
      <c r="AH1291" s="1451">
        <f t="shared" si="680"/>
        <v>0</v>
      </c>
      <c r="AI1291" s="1488"/>
      <c r="AJ1291" s="1488"/>
      <c r="AK1291" s="1488"/>
      <c r="AL1291" s="1488"/>
      <c r="AM1291" s="1488"/>
      <c r="AN1291" s="1488"/>
      <c r="AO1291" s="1488"/>
      <c r="AP1291" s="1488"/>
      <c r="AQ1291" s="1488"/>
      <c r="AR1291" s="1488"/>
      <c r="AS1291" s="1488"/>
      <c r="AT1291" s="1542"/>
      <c r="AU1291" s="1599">
        <f t="shared" si="681"/>
        <v>0</v>
      </c>
      <c r="AV1291" s="1544">
        <f t="shared" si="709"/>
        <v>0</v>
      </c>
      <c r="AW1291" s="1452">
        <f t="shared" si="682"/>
        <v>0</v>
      </c>
      <c r="AX1291" s="1452">
        <f t="shared" si="683"/>
        <v>0</v>
      </c>
      <c r="AY1291" s="1452">
        <f t="shared" si="684"/>
        <v>0</v>
      </c>
      <c r="AZ1291" s="1452">
        <f t="shared" si="685"/>
        <v>0</v>
      </c>
      <c r="BA1291" s="1452">
        <f t="shared" si="686"/>
        <v>0</v>
      </c>
      <c r="BB1291" s="1452">
        <f t="shared" si="687"/>
        <v>0</v>
      </c>
      <c r="BC1291" s="1452">
        <f t="shared" si="688"/>
        <v>0</v>
      </c>
      <c r="BD1291" s="1452">
        <f t="shared" si="689"/>
        <v>0</v>
      </c>
      <c r="BE1291" s="1452">
        <f t="shared" si="690"/>
        <v>0</v>
      </c>
      <c r="BF1291" s="1452">
        <f t="shared" si="691"/>
        <v>0</v>
      </c>
      <c r="BG1291" s="1452">
        <f t="shared" si="692"/>
        <v>0</v>
      </c>
      <c r="BH1291" s="1452">
        <f t="shared" si="693"/>
        <v>0</v>
      </c>
      <c r="BI1291" s="1452">
        <f t="shared" si="710"/>
        <v>0</v>
      </c>
      <c r="BJ1291" s="1452" t="str">
        <f t="shared" si="694"/>
        <v/>
      </c>
      <c r="BK1291" s="1452" t="str">
        <f t="shared" si="695"/>
        <v/>
      </c>
      <c r="BL1291" s="1452" t="str">
        <f t="shared" si="696"/>
        <v/>
      </c>
      <c r="BM1291" s="1452" t="str">
        <f t="shared" si="697"/>
        <v/>
      </c>
      <c r="BN1291" s="1452" t="str">
        <f t="shared" ca="1" si="698"/>
        <v/>
      </c>
      <c r="BO1291" s="1452" t="str">
        <f t="shared" si="711"/>
        <v/>
      </c>
      <c r="BP1291" s="1452" t="str">
        <f t="shared" si="699"/>
        <v/>
      </c>
      <c r="BQ1291" s="1452" t="str">
        <f t="shared" si="700"/>
        <v/>
      </c>
      <c r="BR1291" s="1452" t="str">
        <f t="shared" si="701"/>
        <v/>
      </c>
      <c r="BS1291" s="1452" t="str">
        <f t="shared" si="702"/>
        <v/>
      </c>
      <c r="BT1291" s="1452" t="str">
        <f t="shared" si="703"/>
        <v/>
      </c>
      <c r="BU1291" s="1452" t="str">
        <f t="shared" si="704"/>
        <v/>
      </c>
      <c r="BV1291" s="1452" t="str">
        <f t="shared" si="705"/>
        <v/>
      </c>
      <c r="BW1291" s="1558">
        <f t="shared" ca="1" si="712"/>
        <v>0</v>
      </c>
    </row>
    <row r="1292" spans="1:75" s="9" customFormat="1" ht="12.5">
      <c r="A1292" s="1483" t="str">
        <f t="shared" si="706"/>
        <v>Public Health Wales Trust</v>
      </c>
      <c r="B1292" s="1583"/>
      <c r="C1292" s="1583"/>
      <c r="D1292" s="1583"/>
      <c r="E1292" s="1581"/>
      <c r="F1292" s="1436"/>
      <c r="G1292" s="1547">
        <f t="shared" si="707"/>
        <v>0</v>
      </c>
      <c r="H1292" s="1484"/>
      <c r="I1292" s="1547">
        <f t="shared" si="708"/>
        <v>0</v>
      </c>
      <c r="J1292" s="1485"/>
      <c r="K1292" s="1485"/>
      <c r="L1292" s="1436"/>
      <c r="M1292" s="1439"/>
      <c r="N1292" s="1439"/>
      <c r="O1292" s="1485"/>
      <c r="P1292" s="1486"/>
      <c r="Q1292" s="1486"/>
      <c r="R1292" s="1487"/>
      <c r="S1292" s="1444"/>
      <c r="T1292" s="1444"/>
      <c r="U1292" s="1444"/>
      <c r="V1292" s="1488"/>
      <c r="W1292" s="1488"/>
      <c r="X1292" s="1488"/>
      <c r="Y1292" s="1488"/>
      <c r="Z1292" s="1488"/>
      <c r="AA1292" s="1488"/>
      <c r="AB1292" s="1488"/>
      <c r="AC1292" s="1488"/>
      <c r="AD1292" s="1488"/>
      <c r="AE1292" s="1488"/>
      <c r="AF1292" s="1488"/>
      <c r="AG1292" s="1488"/>
      <c r="AH1292" s="1451">
        <f t="shared" si="680"/>
        <v>0</v>
      </c>
      <c r="AI1292" s="1488"/>
      <c r="AJ1292" s="1488"/>
      <c r="AK1292" s="1488"/>
      <c r="AL1292" s="1488"/>
      <c r="AM1292" s="1488"/>
      <c r="AN1292" s="1488"/>
      <c r="AO1292" s="1488"/>
      <c r="AP1292" s="1488"/>
      <c r="AQ1292" s="1488"/>
      <c r="AR1292" s="1488"/>
      <c r="AS1292" s="1488"/>
      <c r="AT1292" s="1542"/>
      <c r="AU1292" s="1599">
        <f t="shared" si="681"/>
        <v>0</v>
      </c>
      <c r="AV1292" s="1544">
        <f t="shared" si="709"/>
        <v>0</v>
      </c>
      <c r="AW1292" s="1452">
        <f t="shared" si="682"/>
        <v>0</v>
      </c>
      <c r="AX1292" s="1452">
        <f t="shared" si="683"/>
        <v>0</v>
      </c>
      <c r="AY1292" s="1452">
        <f t="shared" si="684"/>
        <v>0</v>
      </c>
      <c r="AZ1292" s="1452">
        <f t="shared" si="685"/>
        <v>0</v>
      </c>
      <c r="BA1292" s="1452">
        <f t="shared" si="686"/>
        <v>0</v>
      </c>
      <c r="BB1292" s="1452">
        <f t="shared" si="687"/>
        <v>0</v>
      </c>
      <c r="BC1292" s="1452">
        <f t="shared" si="688"/>
        <v>0</v>
      </c>
      <c r="BD1292" s="1452">
        <f t="shared" si="689"/>
        <v>0</v>
      </c>
      <c r="BE1292" s="1452">
        <f t="shared" si="690"/>
        <v>0</v>
      </c>
      <c r="BF1292" s="1452">
        <f t="shared" si="691"/>
        <v>0</v>
      </c>
      <c r="BG1292" s="1452">
        <f t="shared" si="692"/>
        <v>0</v>
      </c>
      <c r="BH1292" s="1452">
        <f t="shared" si="693"/>
        <v>0</v>
      </c>
      <c r="BI1292" s="1452">
        <f t="shared" si="710"/>
        <v>0</v>
      </c>
      <c r="BJ1292" s="1452" t="str">
        <f t="shared" si="694"/>
        <v/>
      </c>
      <c r="BK1292" s="1452" t="str">
        <f t="shared" si="695"/>
        <v/>
      </c>
      <c r="BL1292" s="1452" t="str">
        <f t="shared" si="696"/>
        <v/>
      </c>
      <c r="BM1292" s="1452" t="str">
        <f t="shared" si="697"/>
        <v/>
      </c>
      <c r="BN1292" s="1452" t="str">
        <f t="shared" ca="1" si="698"/>
        <v/>
      </c>
      <c r="BO1292" s="1452" t="str">
        <f t="shared" si="711"/>
        <v/>
      </c>
      <c r="BP1292" s="1452" t="str">
        <f t="shared" si="699"/>
        <v/>
      </c>
      <c r="BQ1292" s="1452" t="str">
        <f t="shared" si="700"/>
        <v/>
      </c>
      <c r="BR1292" s="1452" t="str">
        <f t="shared" si="701"/>
        <v/>
      </c>
      <c r="BS1292" s="1452" t="str">
        <f t="shared" si="702"/>
        <v/>
      </c>
      <c r="BT1292" s="1452" t="str">
        <f t="shared" si="703"/>
        <v/>
      </c>
      <c r="BU1292" s="1452" t="str">
        <f t="shared" si="704"/>
        <v/>
      </c>
      <c r="BV1292" s="1452" t="str">
        <f t="shared" si="705"/>
        <v/>
      </c>
      <c r="BW1292" s="1558">
        <f t="shared" ca="1" si="712"/>
        <v>0</v>
      </c>
    </row>
    <row r="1293" spans="1:75" s="9" customFormat="1" ht="12.5">
      <c r="A1293" s="1483" t="str">
        <f t="shared" si="706"/>
        <v>Public Health Wales Trust</v>
      </c>
      <c r="B1293" s="1583"/>
      <c r="C1293" s="1583"/>
      <c r="D1293" s="1583"/>
      <c r="E1293" s="1581"/>
      <c r="F1293" s="1436"/>
      <c r="G1293" s="1547">
        <f t="shared" si="707"/>
        <v>0</v>
      </c>
      <c r="H1293" s="1484"/>
      <c r="I1293" s="1547">
        <f t="shared" si="708"/>
        <v>0</v>
      </c>
      <c r="J1293" s="1485"/>
      <c r="K1293" s="1485"/>
      <c r="L1293" s="1436"/>
      <c r="M1293" s="1439"/>
      <c r="N1293" s="1439"/>
      <c r="O1293" s="1485"/>
      <c r="P1293" s="1486"/>
      <c r="Q1293" s="1486"/>
      <c r="R1293" s="1487"/>
      <c r="S1293" s="1444"/>
      <c r="T1293" s="1444"/>
      <c r="U1293" s="1444"/>
      <c r="V1293" s="1488"/>
      <c r="W1293" s="1488"/>
      <c r="X1293" s="1488"/>
      <c r="Y1293" s="1488"/>
      <c r="Z1293" s="1488"/>
      <c r="AA1293" s="1488"/>
      <c r="AB1293" s="1488"/>
      <c r="AC1293" s="1488"/>
      <c r="AD1293" s="1488"/>
      <c r="AE1293" s="1488"/>
      <c r="AF1293" s="1488"/>
      <c r="AG1293" s="1488"/>
      <c r="AH1293" s="1451">
        <f t="shared" si="680"/>
        <v>0</v>
      </c>
      <c r="AI1293" s="1488"/>
      <c r="AJ1293" s="1488"/>
      <c r="AK1293" s="1488"/>
      <c r="AL1293" s="1488"/>
      <c r="AM1293" s="1488"/>
      <c r="AN1293" s="1488"/>
      <c r="AO1293" s="1488"/>
      <c r="AP1293" s="1488"/>
      <c r="AQ1293" s="1488"/>
      <c r="AR1293" s="1488"/>
      <c r="AS1293" s="1488"/>
      <c r="AT1293" s="1542"/>
      <c r="AU1293" s="1599">
        <f t="shared" si="681"/>
        <v>0</v>
      </c>
      <c r="AV1293" s="1544">
        <f t="shared" si="709"/>
        <v>0</v>
      </c>
      <c r="AW1293" s="1452">
        <f t="shared" si="682"/>
        <v>0</v>
      </c>
      <c r="AX1293" s="1452">
        <f t="shared" si="683"/>
        <v>0</v>
      </c>
      <c r="AY1293" s="1452">
        <f t="shared" si="684"/>
        <v>0</v>
      </c>
      <c r="AZ1293" s="1452">
        <f t="shared" si="685"/>
        <v>0</v>
      </c>
      <c r="BA1293" s="1452">
        <f t="shared" si="686"/>
        <v>0</v>
      </c>
      <c r="BB1293" s="1452">
        <f t="shared" si="687"/>
        <v>0</v>
      </c>
      <c r="BC1293" s="1452">
        <f t="shared" si="688"/>
        <v>0</v>
      </c>
      <c r="BD1293" s="1452">
        <f t="shared" si="689"/>
        <v>0</v>
      </c>
      <c r="BE1293" s="1452">
        <f t="shared" si="690"/>
        <v>0</v>
      </c>
      <c r="BF1293" s="1452">
        <f t="shared" si="691"/>
        <v>0</v>
      </c>
      <c r="BG1293" s="1452">
        <f t="shared" si="692"/>
        <v>0</v>
      </c>
      <c r="BH1293" s="1452">
        <f t="shared" si="693"/>
        <v>0</v>
      </c>
      <c r="BI1293" s="1452">
        <f t="shared" si="710"/>
        <v>0</v>
      </c>
      <c r="BJ1293" s="1452" t="str">
        <f t="shared" si="694"/>
        <v/>
      </c>
      <c r="BK1293" s="1452" t="str">
        <f t="shared" si="695"/>
        <v/>
      </c>
      <c r="BL1293" s="1452" t="str">
        <f t="shared" si="696"/>
        <v/>
      </c>
      <c r="BM1293" s="1452" t="str">
        <f t="shared" si="697"/>
        <v/>
      </c>
      <c r="BN1293" s="1452" t="str">
        <f t="shared" ca="1" si="698"/>
        <v/>
      </c>
      <c r="BO1293" s="1452" t="str">
        <f t="shared" si="711"/>
        <v/>
      </c>
      <c r="BP1293" s="1452" t="str">
        <f t="shared" si="699"/>
        <v/>
      </c>
      <c r="BQ1293" s="1452" t="str">
        <f t="shared" si="700"/>
        <v/>
      </c>
      <c r="BR1293" s="1452" t="str">
        <f t="shared" si="701"/>
        <v/>
      </c>
      <c r="BS1293" s="1452" t="str">
        <f t="shared" si="702"/>
        <v/>
      </c>
      <c r="BT1293" s="1452" t="str">
        <f t="shared" si="703"/>
        <v/>
      </c>
      <c r="BU1293" s="1452" t="str">
        <f t="shared" si="704"/>
        <v/>
      </c>
      <c r="BV1293" s="1452" t="str">
        <f t="shared" si="705"/>
        <v/>
      </c>
      <c r="BW1293" s="1558">
        <f t="shared" ca="1" si="712"/>
        <v>0</v>
      </c>
    </row>
    <row r="1294" spans="1:75" s="9" customFormat="1" ht="12.5">
      <c r="A1294" s="1483" t="str">
        <f t="shared" si="706"/>
        <v>Public Health Wales Trust</v>
      </c>
      <c r="B1294" s="1583"/>
      <c r="C1294" s="1583"/>
      <c r="D1294" s="1583"/>
      <c r="E1294" s="1581"/>
      <c r="F1294" s="1436"/>
      <c r="G1294" s="1547">
        <f t="shared" si="707"/>
        <v>0</v>
      </c>
      <c r="H1294" s="1484"/>
      <c r="I1294" s="1547">
        <f t="shared" si="708"/>
        <v>0</v>
      </c>
      <c r="J1294" s="1485"/>
      <c r="K1294" s="1485"/>
      <c r="L1294" s="1436"/>
      <c r="M1294" s="1439"/>
      <c r="N1294" s="1439"/>
      <c r="O1294" s="1485"/>
      <c r="P1294" s="1486"/>
      <c r="Q1294" s="1486"/>
      <c r="R1294" s="1487"/>
      <c r="S1294" s="1444"/>
      <c r="T1294" s="1444"/>
      <c r="U1294" s="1444"/>
      <c r="V1294" s="1488"/>
      <c r="W1294" s="1488"/>
      <c r="X1294" s="1488"/>
      <c r="Y1294" s="1488"/>
      <c r="Z1294" s="1488"/>
      <c r="AA1294" s="1488"/>
      <c r="AB1294" s="1488"/>
      <c r="AC1294" s="1488"/>
      <c r="AD1294" s="1488"/>
      <c r="AE1294" s="1488"/>
      <c r="AF1294" s="1488"/>
      <c r="AG1294" s="1488"/>
      <c r="AH1294" s="1451">
        <f t="shared" si="680"/>
        <v>0</v>
      </c>
      <c r="AI1294" s="1488"/>
      <c r="AJ1294" s="1488"/>
      <c r="AK1294" s="1488"/>
      <c r="AL1294" s="1488"/>
      <c r="AM1294" s="1488"/>
      <c r="AN1294" s="1488"/>
      <c r="AO1294" s="1488"/>
      <c r="AP1294" s="1488"/>
      <c r="AQ1294" s="1488"/>
      <c r="AR1294" s="1488"/>
      <c r="AS1294" s="1488"/>
      <c r="AT1294" s="1542"/>
      <c r="AU1294" s="1599">
        <f t="shared" si="681"/>
        <v>0</v>
      </c>
      <c r="AV1294" s="1544">
        <f t="shared" si="709"/>
        <v>0</v>
      </c>
      <c r="AW1294" s="1452">
        <f t="shared" si="682"/>
        <v>0</v>
      </c>
      <c r="AX1294" s="1452">
        <f t="shared" si="683"/>
        <v>0</v>
      </c>
      <c r="AY1294" s="1452">
        <f t="shared" si="684"/>
        <v>0</v>
      </c>
      <c r="AZ1294" s="1452">
        <f t="shared" si="685"/>
        <v>0</v>
      </c>
      <c r="BA1294" s="1452">
        <f t="shared" si="686"/>
        <v>0</v>
      </c>
      <c r="BB1294" s="1452">
        <f t="shared" si="687"/>
        <v>0</v>
      </c>
      <c r="BC1294" s="1452">
        <f t="shared" si="688"/>
        <v>0</v>
      </c>
      <c r="BD1294" s="1452">
        <f t="shared" si="689"/>
        <v>0</v>
      </c>
      <c r="BE1294" s="1452">
        <f t="shared" si="690"/>
        <v>0</v>
      </c>
      <c r="BF1294" s="1452">
        <f t="shared" si="691"/>
        <v>0</v>
      </c>
      <c r="BG1294" s="1452">
        <f t="shared" si="692"/>
        <v>0</v>
      </c>
      <c r="BH1294" s="1452">
        <f t="shared" si="693"/>
        <v>0</v>
      </c>
      <c r="BI1294" s="1452">
        <f t="shared" si="710"/>
        <v>0</v>
      </c>
      <c r="BJ1294" s="1452" t="str">
        <f t="shared" si="694"/>
        <v/>
      </c>
      <c r="BK1294" s="1452" t="str">
        <f t="shared" si="695"/>
        <v/>
      </c>
      <c r="BL1294" s="1452" t="str">
        <f t="shared" si="696"/>
        <v/>
      </c>
      <c r="BM1294" s="1452" t="str">
        <f t="shared" si="697"/>
        <v/>
      </c>
      <c r="BN1294" s="1452" t="str">
        <f t="shared" ca="1" si="698"/>
        <v/>
      </c>
      <c r="BO1294" s="1452" t="str">
        <f t="shared" si="711"/>
        <v/>
      </c>
      <c r="BP1294" s="1452" t="str">
        <f t="shared" si="699"/>
        <v/>
      </c>
      <c r="BQ1294" s="1452" t="str">
        <f t="shared" si="700"/>
        <v/>
      </c>
      <c r="BR1294" s="1452" t="str">
        <f t="shared" si="701"/>
        <v/>
      </c>
      <c r="BS1294" s="1452" t="str">
        <f t="shared" si="702"/>
        <v/>
      </c>
      <c r="BT1294" s="1452" t="str">
        <f t="shared" si="703"/>
        <v/>
      </c>
      <c r="BU1294" s="1452" t="str">
        <f t="shared" si="704"/>
        <v/>
      </c>
      <c r="BV1294" s="1452" t="str">
        <f t="shared" si="705"/>
        <v/>
      </c>
      <c r="BW1294" s="1558">
        <f t="shared" ca="1" si="712"/>
        <v>0</v>
      </c>
    </row>
    <row r="1295" spans="1:75" s="9" customFormat="1" ht="12.5">
      <c r="A1295" s="1483" t="str">
        <f t="shared" si="706"/>
        <v>Public Health Wales Trust</v>
      </c>
      <c r="B1295" s="1583"/>
      <c r="C1295" s="1583"/>
      <c r="D1295" s="1583"/>
      <c r="E1295" s="1581"/>
      <c r="F1295" s="1436"/>
      <c r="G1295" s="1547">
        <f t="shared" si="707"/>
        <v>0</v>
      </c>
      <c r="H1295" s="1484"/>
      <c r="I1295" s="1547">
        <f t="shared" si="708"/>
        <v>0</v>
      </c>
      <c r="J1295" s="1485"/>
      <c r="K1295" s="1485"/>
      <c r="L1295" s="1436"/>
      <c r="M1295" s="1439"/>
      <c r="N1295" s="1439"/>
      <c r="O1295" s="1485"/>
      <c r="P1295" s="1486"/>
      <c r="Q1295" s="1486"/>
      <c r="R1295" s="1487"/>
      <c r="S1295" s="1444"/>
      <c r="T1295" s="1444"/>
      <c r="U1295" s="1444"/>
      <c r="V1295" s="1488"/>
      <c r="W1295" s="1488"/>
      <c r="X1295" s="1488"/>
      <c r="Y1295" s="1488"/>
      <c r="Z1295" s="1488"/>
      <c r="AA1295" s="1488"/>
      <c r="AB1295" s="1488"/>
      <c r="AC1295" s="1488"/>
      <c r="AD1295" s="1488"/>
      <c r="AE1295" s="1488"/>
      <c r="AF1295" s="1488"/>
      <c r="AG1295" s="1488"/>
      <c r="AH1295" s="1451">
        <f t="shared" si="680"/>
        <v>0</v>
      </c>
      <c r="AI1295" s="1488"/>
      <c r="AJ1295" s="1488"/>
      <c r="AK1295" s="1488"/>
      <c r="AL1295" s="1488"/>
      <c r="AM1295" s="1488"/>
      <c r="AN1295" s="1488"/>
      <c r="AO1295" s="1488"/>
      <c r="AP1295" s="1488"/>
      <c r="AQ1295" s="1488"/>
      <c r="AR1295" s="1488"/>
      <c r="AS1295" s="1488"/>
      <c r="AT1295" s="1542"/>
      <c r="AU1295" s="1599">
        <f t="shared" si="681"/>
        <v>0</v>
      </c>
      <c r="AV1295" s="1544">
        <f t="shared" si="709"/>
        <v>0</v>
      </c>
      <c r="AW1295" s="1452">
        <f t="shared" si="682"/>
        <v>0</v>
      </c>
      <c r="AX1295" s="1452">
        <f t="shared" si="683"/>
        <v>0</v>
      </c>
      <c r="AY1295" s="1452">
        <f t="shared" si="684"/>
        <v>0</v>
      </c>
      <c r="AZ1295" s="1452">
        <f t="shared" si="685"/>
        <v>0</v>
      </c>
      <c r="BA1295" s="1452">
        <f t="shared" si="686"/>
        <v>0</v>
      </c>
      <c r="BB1295" s="1452">
        <f t="shared" si="687"/>
        <v>0</v>
      </c>
      <c r="BC1295" s="1452">
        <f t="shared" si="688"/>
        <v>0</v>
      </c>
      <c r="BD1295" s="1452">
        <f t="shared" si="689"/>
        <v>0</v>
      </c>
      <c r="BE1295" s="1452">
        <f t="shared" si="690"/>
        <v>0</v>
      </c>
      <c r="BF1295" s="1452">
        <f t="shared" si="691"/>
        <v>0</v>
      </c>
      <c r="BG1295" s="1452">
        <f t="shared" si="692"/>
        <v>0</v>
      </c>
      <c r="BH1295" s="1452">
        <f t="shared" si="693"/>
        <v>0</v>
      </c>
      <c r="BI1295" s="1452">
        <f t="shared" si="710"/>
        <v>0</v>
      </c>
      <c r="BJ1295" s="1452" t="str">
        <f t="shared" si="694"/>
        <v/>
      </c>
      <c r="BK1295" s="1452" t="str">
        <f t="shared" si="695"/>
        <v/>
      </c>
      <c r="BL1295" s="1452" t="str">
        <f t="shared" si="696"/>
        <v/>
      </c>
      <c r="BM1295" s="1452" t="str">
        <f t="shared" si="697"/>
        <v/>
      </c>
      <c r="BN1295" s="1452" t="str">
        <f t="shared" ca="1" si="698"/>
        <v/>
      </c>
      <c r="BO1295" s="1452" t="str">
        <f t="shared" si="711"/>
        <v/>
      </c>
      <c r="BP1295" s="1452" t="str">
        <f t="shared" si="699"/>
        <v/>
      </c>
      <c r="BQ1295" s="1452" t="str">
        <f t="shared" si="700"/>
        <v/>
      </c>
      <c r="BR1295" s="1452" t="str">
        <f t="shared" si="701"/>
        <v/>
      </c>
      <c r="BS1295" s="1452" t="str">
        <f t="shared" si="702"/>
        <v/>
      </c>
      <c r="BT1295" s="1452" t="str">
        <f t="shared" si="703"/>
        <v/>
      </c>
      <c r="BU1295" s="1452" t="str">
        <f t="shared" si="704"/>
        <v/>
      </c>
      <c r="BV1295" s="1452" t="str">
        <f t="shared" si="705"/>
        <v/>
      </c>
      <c r="BW1295" s="1558">
        <f t="shared" ca="1" si="712"/>
        <v>0</v>
      </c>
    </row>
    <row r="1296" spans="1:75" s="9" customFormat="1" ht="12.5">
      <c r="A1296" s="1483" t="str">
        <f t="shared" si="706"/>
        <v>Public Health Wales Trust</v>
      </c>
      <c r="B1296" s="1583"/>
      <c r="C1296" s="1583"/>
      <c r="D1296" s="1583"/>
      <c r="E1296" s="1581"/>
      <c r="F1296" s="1436"/>
      <c r="G1296" s="1547">
        <f t="shared" si="707"/>
        <v>0</v>
      </c>
      <c r="H1296" s="1484"/>
      <c r="I1296" s="1547">
        <f t="shared" si="708"/>
        <v>0</v>
      </c>
      <c r="J1296" s="1485"/>
      <c r="K1296" s="1485"/>
      <c r="L1296" s="1436"/>
      <c r="M1296" s="1439"/>
      <c r="N1296" s="1439"/>
      <c r="O1296" s="1485"/>
      <c r="P1296" s="1486"/>
      <c r="Q1296" s="1486"/>
      <c r="R1296" s="1487"/>
      <c r="S1296" s="1444"/>
      <c r="T1296" s="1444"/>
      <c r="U1296" s="1444"/>
      <c r="V1296" s="1488"/>
      <c r="W1296" s="1488"/>
      <c r="X1296" s="1488"/>
      <c r="Y1296" s="1488"/>
      <c r="Z1296" s="1488"/>
      <c r="AA1296" s="1488"/>
      <c r="AB1296" s="1488"/>
      <c r="AC1296" s="1488"/>
      <c r="AD1296" s="1488"/>
      <c r="AE1296" s="1488"/>
      <c r="AF1296" s="1488"/>
      <c r="AG1296" s="1488"/>
      <c r="AH1296" s="1451">
        <f t="shared" si="680"/>
        <v>0</v>
      </c>
      <c r="AI1296" s="1488"/>
      <c r="AJ1296" s="1488"/>
      <c r="AK1296" s="1488"/>
      <c r="AL1296" s="1488"/>
      <c r="AM1296" s="1488"/>
      <c r="AN1296" s="1488"/>
      <c r="AO1296" s="1488"/>
      <c r="AP1296" s="1488"/>
      <c r="AQ1296" s="1488"/>
      <c r="AR1296" s="1488"/>
      <c r="AS1296" s="1488"/>
      <c r="AT1296" s="1542"/>
      <c r="AU1296" s="1599">
        <f t="shared" si="681"/>
        <v>0</v>
      </c>
      <c r="AV1296" s="1544">
        <f t="shared" si="709"/>
        <v>0</v>
      </c>
      <c r="AW1296" s="1452">
        <f t="shared" si="682"/>
        <v>0</v>
      </c>
      <c r="AX1296" s="1452">
        <f t="shared" si="683"/>
        <v>0</v>
      </c>
      <c r="AY1296" s="1452">
        <f t="shared" si="684"/>
        <v>0</v>
      </c>
      <c r="AZ1296" s="1452">
        <f t="shared" si="685"/>
        <v>0</v>
      </c>
      <c r="BA1296" s="1452">
        <f t="shared" si="686"/>
        <v>0</v>
      </c>
      <c r="BB1296" s="1452">
        <f t="shared" si="687"/>
        <v>0</v>
      </c>
      <c r="BC1296" s="1452">
        <f t="shared" si="688"/>
        <v>0</v>
      </c>
      <c r="BD1296" s="1452">
        <f t="shared" si="689"/>
        <v>0</v>
      </c>
      <c r="BE1296" s="1452">
        <f t="shared" si="690"/>
        <v>0</v>
      </c>
      <c r="BF1296" s="1452">
        <f t="shared" si="691"/>
        <v>0</v>
      </c>
      <c r="BG1296" s="1452">
        <f t="shared" si="692"/>
        <v>0</v>
      </c>
      <c r="BH1296" s="1452">
        <f t="shared" si="693"/>
        <v>0</v>
      </c>
      <c r="BI1296" s="1452">
        <f t="shared" si="710"/>
        <v>0</v>
      </c>
      <c r="BJ1296" s="1452" t="str">
        <f t="shared" si="694"/>
        <v/>
      </c>
      <c r="BK1296" s="1452" t="str">
        <f t="shared" si="695"/>
        <v/>
      </c>
      <c r="BL1296" s="1452" t="str">
        <f t="shared" si="696"/>
        <v/>
      </c>
      <c r="BM1296" s="1452" t="str">
        <f t="shared" si="697"/>
        <v/>
      </c>
      <c r="BN1296" s="1452" t="str">
        <f t="shared" ca="1" si="698"/>
        <v/>
      </c>
      <c r="BO1296" s="1452" t="str">
        <f t="shared" si="711"/>
        <v/>
      </c>
      <c r="BP1296" s="1452" t="str">
        <f t="shared" si="699"/>
        <v/>
      </c>
      <c r="BQ1296" s="1452" t="str">
        <f t="shared" si="700"/>
        <v/>
      </c>
      <c r="BR1296" s="1452" t="str">
        <f t="shared" si="701"/>
        <v/>
      </c>
      <c r="BS1296" s="1452" t="str">
        <f t="shared" si="702"/>
        <v/>
      </c>
      <c r="BT1296" s="1452" t="str">
        <f t="shared" si="703"/>
        <v/>
      </c>
      <c r="BU1296" s="1452" t="str">
        <f t="shared" si="704"/>
        <v/>
      </c>
      <c r="BV1296" s="1452" t="str">
        <f t="shared" si="705"/>
        <v/>
      </c>
      <c r="BW1296" s="1558">
        <f t="shared" ca="1" si="712"/>
        <v>0</v>
      </c>
    </row>
    <row r="1297" spans="1:75" s="9" customFormat="1" ht="12.5">
      <c r="A1297" s="1483" t="str">
        <f t="shared" si="706"/>
        <v>Public Health Wales Trust</v>
      </c>
      <c r="B1297" s="1583"/>
      <c r="C1297" s="1583"/>
      <c r="D1297" s="1583"/>
      <c r="E1297" s="1581"/>
      <c r="F1297" s="1436"/>
      <c r="G1297" s="1547">
        <f t="shared" si="707"/>
        <v>0</v>
      </c>
      <c r="H1297" s="1484"/>
      <c r="I1297" s="1547">
        <f t="shared" si="708"/>
        <v>0</v>
      </c>
      <c r="J1297" s="1485"/>
      <c r="K1297" s="1485"/>
      <c r="L1297" s="1436"/>
      <c r="M1297" s="1439"/>
      <c r="N1297" s="1439"/>
      <c r="O1297" s="1485"/>
      <c r="P1297" s="1486"/>
      <c r="Q1297" s="1486"/>
      <c r="R1297" s="1487"/>
      <c r="S1297" s="1444"/>
      <c r="T1297" s="1444"/>
      <c r="U1297" s="1444"/>
      <c r="V1297" s="1488"/>
      <c r="W1297" s="1488"/>
      <c r="X1297" s="1488"/>
      <c r="Y1297" s="1488"/>
      <c r="Z1297" s="1488"/>
      <c r="AA1297" s="1488"/>
      <c r="AB1297" s="1488"/>
      <c r="AC1297" s="1488"/>
      <c r="AD1297" s="1488"/>
      <c r="AE1297" s="1488"/>
      <c r="AF1297" s="1488"/>
      <c r="AG1297" s="1488"/>
      <c r="AH1297" s="1451">
        <f t="shared" si="680"/>
        <v>0</v>
      </c>
      <c r="AI1297" s="1488"/>
      <c r="AJ1297" s="1488"/>
      <c r="AK1297" s="1488"/>
      <c r="AL1297" s="1488"/>
      <c r="AM1297" s="1488"/>
      <c r="AN1297" s="1488"/>
      <c r="AO1297" s="1488"/>
      <c r="AP1297" s="1488"/>
      <c r="AQ1297" s="1488"/>
      <c r="AR1297" s="1488"/>
      <c r="AS1297" s="1488"/>
      <c r="AT1297" s="1542"/>
      <c r="AU1297" s="1599">
        <f t="shared" si="681"/>
        <v>0</v>
      </c>
      <c r="AV1297" s="1544">
        <f t="shared" si="709"/>
        <v>0</v>
      </c>
      <c r="AW1297" s="1452">
        <f t="shared" si="682"/>
        <v>0</v>
      </c>
      <c r="AX1297" s="1452">
        <f t="shared" si="683"/>
        <v>0</v>
      </c>
      <c r="AY1297" s="1452">
        <f t="shared" si="684"/>
        <v>0</v>
      </c>
      <c r="AZ1297" s="1452">
        <f t="shared" si="685"/>
        <v>0</v>
      </c>
      <c r="BA1297" s="1452">
        <f t="shared" si="686"/>
        <v>0</v>
      </c>
      <c r="BB1297" s="1452">
        <f t="shared" si="687"/>
        <v>0</v>
      </c>
      <c r="BC1297" s="1452">
        <f t="shared" si="688"/>
        <v>0</v>
      </c>
      <c r="BD1297" s="1452">
        <f t="shared" si="689"/>
        <v>0</v>
      </c>
      <c r="BE1297" s="1452">
        <f t="shared" si="690"/>
        <v>0</v>
      </c>
      <c r="BF1297" s="1452">
        <f t="shared" si="691"/>
        <v>0</v>
      </c>
      <c r="BG1297" s="1452">
        <f t="shared" si="692"/>
        <v>0</v>
      </c>
      <c r="BH1297" s="1452">
        <f t="shared" si="693"/>
        <v>0</v>
      </c>
      <c r="BI1297" s="1452">
        <f t="shared" si="710"/>
        <v>0</v>
      </c>
      <c r="BJ1297" s="1452" t="str">
        <f t="shared" si="694"/>
        <v/>
      </c>
      <c r="BK1297" s="1452" t="str">
        <f t="shared" si="695"/>
        <v/>
      </c>
      <c r="BL1297" s="1452" t="str">
        <f t="shared" si="696"/>
        <v/>
      </c>
      <c r="BM1297" s="1452" t="str">
        <f t="shared" si="697"/>
        <v/>
      </c>
      <c r="BN1297" s="1452" t="str">
        <f t="shared" ca="1" si="698"/>
        <v/>
      </c>
      <c r="BO1297" s="1452" t="str">
        <f t="shared" si="711"/>
        <v/>
      </c>
      <c r="BP1297" s="1452" t="str">
        <f t="shared" si="699"/>
        <v/>
      </c>
      <c r="BQ1297" s="1452" t="str">
        <f t="shared" si="700"/>
        <v/>
      </c>
      <c r="BR1297" s="1452" t="str">
        <f t="shared" si="701"/>
        <v/>
      </c>
      <c r="BS1297" s="1452" t="str">
        <f t="shared" si="702"/>
        <v/>
      </c>
      <c r="BT1297" s="1452" t="str">
        <f t="shared" si="703"/>
        <v/>
      </c>
      <c r="BU1297" s="1452" t="str">
        <f t="shared" si="704"/>
        <v/>
      </c>
      <c r="BV1297" s="1452" t="str">
        <f t="shared" si="705"/>
        <v/>
      </c>
      <c r="BW1297" s="1558">
        <f t="shared" ca="1" si="712"/>
        <v>0</v>
      </c>
    </row>
    <row r="1298" spans="1:75" s="9" customFormat="1" ht="12.5">
      <c r="A1298" s="1483" t="str">
        <f t="shared" si="706"/>
        <v>Public Health Wales Trust</v>
      </c>
      <c r="B1298" s="1583"/>
      <c r="C1298" s="1583"/>
      <c r="D1298" s="1583"/>
      <c r="E1298" s="1581"/>
      <c r="F1298" s="1436"/>
      <c r="G1298" s="1547">
        <f t="shared" si="707"/>
        <v>0</v>
      </c>
      <c r="H1298" s="1484"/>
      <c r="I1298" s="1547">
        <f t="shared" si="708"/>
        <v>0</v>
      </c>
      <c r="J1298" s="1485"/>
      <c r="K1298" s="1485"/>
      <c r="L1298" s="1436"/>
      <c r="M1298" s="1439"/>
      <c r="N1298" s="1439"/>
      <c r="O1298" s="1485"/>
      <c r="P1298" s="1486"/>
      <c r="Q1298" s="1486"/>
      <c r="R1298" s="1487"/>
      <c r="S1298" s="1444"/>
      <c r="T1298" s="1444"/>
      <c r="U1298" s="1444"/>
      <c r="V1298" s="1488"/>
      <c r="W1298" s="1488"/>
      <c r="X1298" s="1488"/>
      <c r="Y1298" s="1488"/>
      <c r="Z1298" s="1488"/>
      <c r="AA1298" s="1488"/>
      <c r="AB1298" s="1488"/>
      <c r="AC1298" s="1488"/>
      <c r="AD1298" s="1488"/>
      <c r="AE1298" s="1488"/>
      <c r="AF1298" s="1488"/>
      <c r="AG1298" s="1488"/>
      <c r="AH1298" s="1451">
        <f t="shared" si="680"/>
        <v>0</v>
      </c>
      <c r="AI1298" s="1488"/>
      <c r="AJ1298" s="1488"/>
      <c r="AK1298" s="1488"/>
      <c r="AL1298" s="1488"/>
      <c r="AM1298" s="1488"/>
      <c r="AN1298" s="1488"/>
      <c r="AO1298" s="1488"/>
      <c r="AP1298" s="1488"/>
      <c r="AQ1298" s="1488"/>
      <c r="AR1298" s="1488"/>
      <c r="AS1298" s="1488"/>
      <c r="AT1298" s="1542"/>
      <c r="AU1298" s="1599">
        <f t="shared" si="681"/>
        <v>0</v>
      </c>
      <c r="AV1298" s="1544">
        <f t="shared" si="709"/>
        <v>0</v>
      </c>
      <c r="AW1298" s="1452">
        <f t="shared" si="682"/>
        <v>0</v>
      </c>
      <c r="AX1298" s="1452">
        <f t="shared" si="683"/>
        <v>0</v>
      </c>
      <c r="AY1298" s="1452">
        <f t="shared" si="684"/>
        <v>0</v>
      </c>
      <c r="AZ1298" s="1452">
        <f t="shared" si="685"/>
        <v>0</v>
      </c>
      <c r="BA1298" s="1452">
        <f t="shared" si="686"/>
        <v>0</v>
      </c>
      <c r="BB1298" s="1452">
        <f t="shared" si="687"/>
        <v>0</v>
      </c>
      <c r="BC1298" s="1452">
        <f t="shared" si="688"/>
        <v>0</v>
      </c>
      <c r="BD1298" s="1452">
        <f t="shared" si="689"/>
        <v>0</v>
      </c>
      <c r="BE1298" s="1452">
        <f t="shared" si="690"/>
        <v>0</v>
      </c>
      <c r="BF1298" s="1452">
        <f t="shared" si="691"/>
        <v>0</v>
      </c>
      <c r="BG1298" s="1452">
        <f t="shared" si="692"/>
        <v>0</v>
      </c>
      <c r="BH1298" s="1452">
        <f t="shared" si="693"/>
        <v>0</v>
      </c>
      <c r="BI1298" s="1452">
        <f t="shared" si="710"/>
        <v>0</v>
      </c>
      <c r="BJ1298" s="1452" t="str">
        <f t="shared" si="694"/>
        <v/>
      </c>
      <c r="BK1298" s="1452" t="str">
        <f t="shared" si="695"/>
        <v/>
      </c>
      <c r="BL1298" s="1452" t="str">
        <f t="shared" si="696"/>
        <v/>
      </c>
      <c r="BM1298" s="1452" t="str">
        <f t="shared" si="697"/>
        <v/>
      </c>
      <c r="BN1298" s="1452" t="str">
        <f t="shared" ca="1" si="698"/>
        <v/>
      </c>
      <c r="BO1298" s="1452" t="str">
        <f t="shared" si="711"/>
        <v/>
      </c>
      <c r="BP1298" s="1452" t="str">
        <f t="shared" si="699"/>
        <v/>
      </c>
      <c r="BQ1298" s="1452" t="str">
        <f t="shared" si="700"/>
        <v/>
      </c>
      <c r="BR1298" s="1452" t="str">
        <f t="shared" si="701"/>
        <v/>
      </c>
      <c r="BS1298" s="1452" t="str">
        <f t="shared" si="702"/>
        <v/>
      </c>
      <c r="BT1298" s="1452" t="str">
        <f t="shared" si="703"/>
        <v/>
      </c>
      <c r="BU1298" s="1452" t="str">
        <f t="shared" si="704"/>
        <v/>
      </c>
      <c r="BV1298" s="1452" t="str">
        <f t="shared" si="705"/>
        <v/>
      </c>
      <c r="BW1298" s="1558">
        <f t="shared" ca="1" si="712"/>
        <v>0</v>
      </c>
    </row>
    <row r="1299" spans="1:75" s="9" customFormat="1" ht="12.5">
      <c r="A1299" s="1483" t="str">
        <f t="shared" si="706"/>
        <v>Public Health Wales Trust</v>
      </c>
      <c r="B1299" s="1583"/>
      <c r="C1299" s="1583"/>
      <c r="D1299" s="1583"/>
      <c r="E1299" s="1581"/>
      <c r="F1299" s="1436"/>
      <c r="G1299" s="1547">
        <f t="shared" si="707"/>
        <v>0</v>
      </c>
      <c r="H1299" s="1484"/>
      <c r="I1299" s="1547">
        <f t="shared" si="708"/>
        <v>0</v>
      </c>
      <c r="J1299" s="1485"/>
      <c r="K1299" s="1485"/>
      <c r="L1299" s="1436"/>
      <c r="M1299" s="1439"/>
      <c r="N1299" s="1439"/>
      <c r="O1299" s="1485"/>
      <c r="P1299" s="1486"/>
      <c r="Q1299" s="1486"/>
      <c r="R1299" s="1487"/>
      <c r="S1299" s="1444"/>
      <c r="T1299" s="1444"/>
      <c r="U1299" s="1444"/>
      <c r="V1299" s="1488"/>
      <c r="W1299" s="1488"/>
      <c r="X1299" s="1488"/>
      <c r="Y1299" s="1488"/>
      <c r="Z1299" s="1488"/>
      <c r="AA1299" s="1488"/>
      <c r="AB1299" s="1488"/>
      <c r="AC1299" s="1488"/>
      <c r="AD1299" s="1488"/>
      <c r="AE1299" s="1488"/>
      <c r="AF1299" s="1488"/>
      <c r="AG1299" s="1488"/>
      <c r="AH1299" s="1451">
        <f t="shared" si="680"/>
        <v>0</v>
      </c>
      <c r="AI1299" s="1488"/>
      <c r="AJ1299" s="1488"/>
      <c r="AK1299" s="1488"/>
      <c r="AL1299" s="1488"/>
      <c r="AM1299" s="1488"/>
      <c r="AN1299" s="1488"/>
      <c r="AO1299" s="1488"/>
      <c r="AP1299" s="1488"/>
      <c r="AQ1299" s="1488"/>
      <c r="AR1299" s="1488"/>
      <c r="AS1299" s="1488"/>
      <c r="AT1299" s="1542"/>
      <c r="AU1299" s="1599">
        <f t="shared" si="681"/>
        <v>0</v>
      </c>
      <c r="AV1299" s="1544">
        <f t="shared" si="709"/>
        <v>0</v>
      </c>
      <c r="AW1299" s="1452">
        <f t="shared" si="682"/>
        <v>0</v>
      </c>
      <c r="AX1299" s="1452">
        <f t="shared" si="683"/>
        <v>0</v>
      </c>
      <c r="AY1299" s="1452">
        <f t="shared" si="684"/>
        <v>0</v>
      </c>
      <c r="AZ1299" s="1452">
        <f t="shared" si="685"/>
        <v>0</v>
      </c>
      <c r="BA1299" s="1452">
        <f t="shared" si="686"/>
        <v>0</v>
      </c>
      <c r="BB1299" s="1452">
        <f t="shared" si="687"/>
        <v>0</v>
      </c>
      <c r="BC1299" s="1452">
        <f t="shared" si="688"/>
        <v>0</v>
      </c>
      <c r="BD1299" s="1452">
        <f t="shared" si="689"/>
        <v>0</v>
      </c>
      <c r="BE1299" s="1452">
        <f t="shared" si="690"/>
        <v>0</v>
      </c>
      <c r="BF1299" s="1452">
        <f t="shared" si="691"/>
        <v>0</v>
      </c>
      <c r="BG1299" s="1452">
        <f t="shared" si="692"/>
        <v>0</v>
      </c>
      <c r="BH1299" s="1452">
        <f t="shared" si="693"/>
        <v>0</v>
      </c>
      <c r="BI1299" s="1452">
        <f t="shared" si="710"/>
        <v>0</v>
      </c>
      <c r="BJ1299" s="1452" t="str">
        <f t="shared" si="694"/>
        <v/>
      </c>
      <c r="BK1299" s="1452" t="str">
        <f t="shared" si="695"/>
        <v/>
      </c>
      <c r="BL1299" s="1452" t="str">
        <f t="shared" si="696"/>
        <v/>
      </c>
      <c r="BM1299" s="1452" t="str">
        <f t="shared" si="697"/>
        <v/>
      </c>
      <c r="BN1299" s="1452" t="str">
        <f t="shared" ca="1" si="698"/>
        <v/>
      </c>
      <c r="BO1299" s="1452" t="str">
        <f t="shared" si="711"/>
        <v/>
      </c>
      <c r="BP1299" s="1452" t="str">
        <f t="shared" si="699"/>
        <v/>
      </c>
      <c r="BQ1299" s="1452" t="str">
        <f t="shared" si="700"/>
        <v/>
      </c>
      <c r="BR1299" s="1452" t="str">
        <f t="shared" si="701"/>
        <v/>
      </c>
      <c r="BS1299" s="1452" t="str">
        <f t="shared" si="702"/>
        <v/>
      </c>
      <c r="BT1299" s="1452" t="str">
        <f t="shared" si="703"/>
        <v/>
      </c>
      <c r="BU1299" s="1452" t="str">
        <f t="shared" si="704"/>
        <v/>
      </c>
      <c r="BV1299" s="1452" t="str">
        <f t="shared" si="705"/>
        <v/>
      </c>
      <c r="BW1299" s="1558">
        <f t="shared" ca="1" si="712"/>
        <v>0</v>
      </c>
    </row>
    <row r="1300" spans="1:75" s="9" customFormat="1" ht="12.5">
      <c r="A1300" s="1483" t="str">
        <f t="shared" si="706"/>
        <v>Public Health Wales Trust</v>
      </c>
      <c r="B1300" s="1583"/>
      <c r="C1300" s="1583"/>
      <c r="D1300" s="1583"/>
      <c r="E1300" s="1581"/>
      <c r="F1300" s="1436"/>
      <c r="G1300" s="1547">
        <f t="shared" si="707"/>
        <v>0</v>
      </c>
      <c r="H1300" s="1484"/>
      <c r="I1300" s="1547">
        <f t="shared" si="708"/>
        <v>0</v>
      </c>
      <c r="J1300" s="1485"/>
      <c r="K1300" s="1485"/>
      <c r="L1300" s="1436"/>
      <c r="M1300" s="1439"/>
      <c r="N1300" s="1439"/>
      <c r="O1300" s="1485"/>
      <c r="P1300" s="1486"/>
      <c r="Q1300" s="1486"/>
      <c r="R1300" s="1487"/>
      <c r="S1300" s="1444"/>
      <c r="T1300" s="1444"/>
      <c r="U1300" s="1444"/>
      <c r="V1300" s="1488"/>
      <c r="W1300" s="1488"/>
      <c r="X1300" s="1488"/>
      <c r="Y1300" s="1488"/>
      <c r="Z1300" s="1488"/>
      <c r="AA1300" s="1488"/>
      <c r="AB1300" s="1488"/>
      <c r="AC1300" s="1488"/>
      <c r="AD1300" s="1488"/>
      <c r="AE1300" s="1488"/>
      <c r="AF1300" s="1488"/>
      <c r="AG1300" s="1488"/>
      <c r="AH1300" s="1451">
        <f t="shared" si="680"/>
        <v>0</v>
      </c>
      <c r="AI1300" s="1488"/>
      <c r="AJ1300" s="1488"/>
      <c r="AK1300" s="1488"/>
      <c r="AL1300" s="1488"/>
      <c r="AM1300" s="1488"/>
      <c r="AN1300" s="1488"/>
      <c r="AO1300" s="1488"/>
      <c r="AP1300" s="1488"/>
      <c r="AQ1300" s="1488"/>
      <c r="AR1300" s="1488"/>
      <c r="AS1300" s="1488"/>
      <c r="AT1300" s="1542"/>
      <c r="AU1300" s="1599">
        <f t="shared" si="681"/>
        <v>0</v>
      </c>
      <c r="AV1300" s="1544">
        <f t="shared" si="709"/>
        <v>0</v>
      </c>
      <c r="AW1300" s="1452">
        <f t="shared" si="682"/>
        <v>0</v>
      </c>
      <c r="AX1300" s="1452">
        <f t="shared" si="683"/>
        <v>0</v>
      </c>
      <c r="AY1300" s="1452">
        <f t="shared" si="684"/>
        <v>0</v>
      </c>
      <c r="AZ1300" s="1452">
        <f t="shared" si="685"/>
        <v>0</v>
      </c>
      <c r="BA1300" s="1452">
        <f t="shared" si="686"/>
        <v>0</v>
      </c>
      <c r="BB1300" s="1452">
        <f t="shared" si="687"/>
        <v>0</v>
      </c>
      <c r="BC1300" s="1452">
        <f t="shared" si="688"/>
        <v>0</v>
      </c>
      <c r="BD1300" s="1452">
        <f t="shared" si="689"/>
        <v>0</v>
      </c>
      <c r="BE1300" s="1452">
        <f t="shared" si="690"/>
        <v>0</v>
      </c>
      <c r="BF1300" s="1452">
        <f t="shared" si="691"/>
        <v>0</v>
      </c>
      <c r="BG1300" s="1452">
        <f t="shared" si="692"/>
        <v>0</v>
      </c>
      <c r="BH1300" s="1452">
        <f t="shared" si="693"/>
        <v>0</v>
      </c>
      <c r="BI1300" s="1452">
        <f t="shared" si="710"/>
        <v>0</v>
      </c>
      <c r="BJ1300" s="1452" t="str">
        <f t="shared" si="694"/>
        <v/>
      </c>
      <c r="BK1300" s="1452" t="str">
        <f t="shared" si="695"/>
        <v/>
      </c>
      <c r="BL1300" s="1452" t="str">
        <f t="shared" si="696"/>
        <v/>
      </c>
      <c r="BM1300" s="1452" t="str">
        <f t="shared" si="697"/>
        <v/>
      </c>
      <c r="BN1300" s="1452" t="str">
        <f t="shared" ca="1" si="698"/>
        <v/>
      </c>
      <c r="BO1300" s="1452" t="str">
        <f t="shared" si="711"/>
        <v/>
      </c>
      <c r="BP1300" s="1452" t="str">
        <f t="shared" si="699"/>
        <v/>
      </c>
      <c r="BQ1300" s="1452" t="str">
        <f t="shared" si="700"/>
        <v/>
      </c>
      <c r="BR1300" s="1452" t="str">
        <f t="shared" si="701"/>
        <v/>
      </c>
      <c r="BS1300" s="1452" t="str">
        <f t="shared" si="702"/>
        <v/>
      </c>
      <c r="BT1300" s="1452" t="str">
        <f t="shared" si="703"/>
        <v/>
      </c>
      <c r="BU1300" s="1452" t="str">
        <f t="shared" si="704"/>
        <v/>
      </c>
      <c r="BV1300" s="1452" t="str">
        <f t="shared" si="705"/>
        <v/>
      </c>
      <c r="BW1300" s="1558">
        <f t="shared" ca="1" si="712"/>
        <v>0</v>
      </c>
    </row>
    <row r="1301" spans="1:75" s="9" customFormat="1" ht="12.5">
      <c r="A1301" s="1483" t="str">
        <f t="shared" si="706"/>
        <v>Public Health Wales Trust</v>
      </c>
      <c r="B1301" s="1583"/>
      <c r="C1301" s="1583"/>
      <c r="D1301" s="1583"/>
      <c r="E1301" s="1581"/>
      <c r="F1301" s="1436"/>
      <c r="G1301" s="1547">
        <f t="shared" si="707"/>
        <v>0</v>
      </c>
      <c r="H1301" s="1484"/>
      <c r="I1301" s="1547">
        <f t="shared" si="708"/>
        <v>0</v>
      </c>
      <c r="J1301" s="1485"/>
      <c r="K1301" s="1485"/>
      <c r="L1301" s="1436"/>
      <c r="M1301" s="1439"/>
      <c r="N1301" s="1439"/>
      <c r="O1301" s="1485"/>
      <c r="P1301" s="1486"/>
      <c r="Q1301" s="1486"/>
      <c r="R1301" s="1487"/>
      <c r="S1301" s="1444"/>
      <c r="T1301" s="1444"/>
      <c r="U1301" s="1444"/>
      <c r="V1301" s="1488"/>
      <c r="W1301" s="1488"/>
      <c r="X1301" s="1488"/>
      <c r="Y1301" s="1488"/>
      <c r="Z1301" s="1488"/>
      <c r="AA1301" s="1488"/>
      <c r="AB1301" s="1488"/>
      <c r="AC1301" s="1488"/>
      <c r="AD1301" s="1488"/>
      <c r="AE1301" s="1488"/>
      <c r="AF1301" s="1488"/>
      <c r="AG1301" s="1488"/>
      <c r="AH1301" s="1451">
        <f t="shared" si="680"/>
        <v>0</v>
      </c>
      <c r="AI1301" s="1488"/>
      <c r="AJ1301" s="1488"/>
      <c r="AK1301" s="1488"/>
      <c r="AL1301" s="1488"/>
      <c r="AM1301" s="1488"/>
      <c r="AN1301" s="1488"/>
      <c r="AO1301" s="1488"/>
      <c r="AP1301" s="1488"/>
      <c r="AQ1301" s="1488"/>
      <c r="AR1301" s="1488"/>
      <c r="AS1301" s="1488"/>
      <c r="AT1301" s="1542"/>
      <c r="AU1301" s="1599">
        <f t="shared" si="681"/>
        <v>0</v>
      </c>
      <c r="AV1301" s="1544">
        <f t="shared" si="709"/>
        <v>0</v>
      </c>
      <c r="AW1301" s="1452">
        <f t="shared" si="682"/>
        <v>0</v>
      </c>
      <c r="AX1301" s="1452">
        <f t="shared" si="683"/>
        <v>0</v>
      </c>
      <c r="AY1301" s="1452">
        <f t="shared" si="684"/>
        <v>0</v>
      </c>
      <c r="AZ1301" s="1452">
        <f t="shared" si="685"/>
        <v>0</v>
      </c>
      <c r="BA1301" s="1452">
        <f t="shared" si="686"/>
        <v>0</v>
      </c>
      <c r="BB1301" s="1452">
        <f t="shared" si="687"/>
        <v>0</v>
      </c>
      <c r="BC1301" s="1452">
        <f t="shared" si="688"/>
        <v>0</v>
      </c>
      <c r="BD1301" s="1452">
        <f t="shared" si="689"/>
        <v>0</v>
      </c>
      <c r="BE1301" s="1452">
        <f t="shared" si="690"/>
        <v>0</v>
      </c>
      <c r="BF1301" s="1452">
        <f t="shared" si="691"/>
        <v>0</v>
      </c>
      <c r="BG1301" s="1452">
        <f t="shared" si="692"/>
        <v>0</v>
      </c>
      <c r="BH1301" s="1452">
        <f t="shared" si="693"/>
        <v>0</v>
      </c>
      <c r="BI1301" s="1452">
        <f t="shared" si="710"/>
        <v>0</v>
      </c>
      <c r="BJ1301" s="1452" t="str">
        <f t="shared" si="694"/>
        <v/>
      </c>
      <c r="BK1301" s="1452" t="str">
        <f t="shared" si="695"/>
        <v/>
      </c>
      <c r="BL1301" s="1452" t="str">
        <f t="shared" si="696"/>
        <v/>
      </c>
      <c r="BM1301" s="1452" t="str">
        <f t="shared" si="697"/>
        <v/>
      </c>
      <c r="BN1301" s="1452" t="str">
        <f t="shared" ca="1" si="698"/>
        <v/>
      </c>
      <c r="BO1301" s="1452" t="str">
        <f t="shared" si="711"/>
        <v/>
      </c>
      <c r="BP1301" s="1452" t="str">
        <f t="shared" si="699"/>
        <v/>
      </c>
      <c r="BQ1301" s="1452" t="str">
        <f t="shared" si="700"/>
        <v/>
      </c>
      <c r="BR1301" s="1452" t="str">
        <f t="shared" si="701"/>
        <v/>
      </c>
      <c r="BS1301" s="1452" t="str">
        <f t="shared" si="702"/>
        <v/>
      </c>
      <c r="BT1301" s="1452" t="str">
        <f t="shared" si="703"/>
        <v/>
      </c>
      <c r="BU1301" s="1452" t="str">
        <f t="shared" si="704"/>
        <v/>
      </c>
      <c r="BV1301" s="1452" t="str">
        <f t="shared" si="705"/>
        <v/>
      </c>
      <c r="BW1301" s="1558">
        <f t="shared" ca="1" si="712"/>
        <v>0</v>
      </c>
    </row>
    <row r="1302" spans="1:75" s="9" customFormat="1" ht="12.5">
      <c r="A1302" s="1483" t="str">
        <f t="shared" si="706"/>
        <v>Public Health Wales Trust</v>
      </c>
      <c r="B1302" s="1583"/>
      <c r="C1302" s="1583"/>
      <c r="D1302" s="1583"/>
      <c r="E1302" s="1581"/>
      <c r="F1302" s="1436"/>
      <c r="G1302" s="1547">
        <f t="shared" si="707"/>
        <v>0</v>
      </c>
      <c r="H1302" s="1484"/>
      <c r="I1302" s="1547">
        <f t="shared" si="708"/>
        <v>0</v>
      </c>
      <c r="J1302" s="1485"/>
      <c r="K1302" s="1485"/>
      <c r="L1302" s="1436"/>
      <c r="M1302" s="1439"/>
      <c r="N1302" s="1439"/>
      <c r="O1302" s="1485"/>
      <c r="P1302" s="1486"/>
      <c r="Q1302" s="1486"/>
      <c r="R1302" s="1487"/>
      <c r="S1302" s="1444"/>
      <c r="T1302" s="1444"/>
      <c r="U1302" s="1444"/>
      <c r="V1302" s="1488"/>
      <c r="W1302" s="1488"/>
      <c r="X1302" s="1488"/>
      <c r="Y1302" s="1488"/>
      <c r="Z1302" s="1488"/>
      <c r="AA1302" s="1488"/>
      <c r="AB1302" s="1488"/>
      <c r="AC1302" s="1488"/>
      <c r="AD1302" s="1488"/>
      <c r="AE1302" s="1488"/>
      <c r="AF1302" s="1488"/>
      <c r="AG1302" s="1488"/>
      <c r="AH1302" s="1451">
        <f t="shared" si="680"/>
        <v>0</v>
      </c>
      <c r="AI1302" s="1488"/>
      <c r="AJ1302" s="1488"/>
      <c r="AK1302" s="1488"/>
      <c r="AL1302" s="1488"/>
      <c r="AM1302" s="1488"/>
      <c r="AN1302" s="1488"/>
      <c r="AO1302" s="1488"/>
      <c r="AP1302" s="1488"/>
      <c r="AQ1302" s="1488"/>
      <c r="AR1302" s="1488"/>
      <c r="AS1302" s="1488"/>
      <c r="AT1302" s="1542"/>
      <c r="AU1302" s="1599">
        <f t="shared" si="681"/>
        <v>0</v>
      </c>
      <c r="AV1302" s="1544">
        <f t="shared" si="709"/>
        <v>0</v>
      </c>
      <c r="AW1302" s="1452">
        <f t="shared" si="682"/>
        <v>0</v>
      </c>
      <c r="AX1302" s="1452">
        <f t="shared" si="683"/>
        <v>0</v>
      </c>
      <c r="AY1302" s="1452">
        <f t="shared" si="684"/>
        <v>0</v>
      </c>
      <c r="AZ1302" s="1452">
        <f t="shared" si="685"/>
        <v>0</v>
      </c>
      <c r="BA1302" s="1452">
        <f t="shared" si="686"/>
        <v>0</v>
      </c>
      <c r="BB1302" s="1452">
        <f t="shared" si="687"/>
        <v>0</v>
      </c>
      <c r="BC1302" s="1452">
        <f t="shared" si="688"/>
        <v>0</v>
      </c>
      <c r="BD1302" s="1452">
        <f t="shared" si="689"/>
        <v>0</v>
      </c>
      <c r="BE1302" s="1452">
        <f t="shared" si="690"/>
        <v>0</v>
      </c>
      <c r="BF1302" s="1452">
        <f t="shared" si="691"/>
        <v>0</v>
      </c>
      <c r="BG1302" s="1452">
        <f t="shared" si="692"/>
        <v>0</v>
      </c>
      <c r="BH1302" s="1452">
        <f t="shared" si="693"/>
        <v>0</v>
      </c>
      <c r="BI1302" s="1452">
        <f t="shared" si="710"/>
        <v>0</v>
      </c>
      <c r="BJ1302" s="1452" t="str">
        <f t="shared" si="694"/>
        <v/>
      </c>
      <c r="BK1302" s="1452" t="str">
        <f t="shared" si="695"/>
        <v/>
      </c>
      <c r="BL1302" s="1452" t="str">
        <f t="shared" si="696"/>
        <v/>
      </c>
      <c r="BM1302" s="1452" t="str">
        <f t="shared" si="697"/>
        <v/>
      </c>
      <c r="BN1302" s="1452" t="str">
        <f t="shared" ca="1" si="698"/>
        <v/>
      </c>
      <c r="BO1302" s="1452" t="str">
        <f t="shared" si="711"/>
        <v/>
      </c>
      <c r="BP1302" s="1452" t="str">
        <f t="shared" si="699"/>
        <v/>
      </c>
      <c r="BQ1302" s="1452" t="str">
        <f t="shared" si="700"/>
        <v/>
      </c>
      <c r="BR1302" s="1452" t="str">
        <f t="shared" si="701"/>
        <v/>
      </c>
      <c r="BS1302" s="1452" t="str">
        <f t="shared" si="702"/>
        <v/>
      </c>
      <c r="BT1302" s="1452" t="str">
        <f t="shared" si="703"/>
        <v/>
      </c>
      <c r="BU1302" s="1452" t="str">
        <f t="shared" si="704"/>
        <v/>
      </c>
      <c r="BV1302" s="1452" t="str">
        <f t="shared" si="705"/>
        <v/>
      </c>
      <c r="BW1302" s="1558">
        <f t="shared" ca="1" si="712"/>
        <v>0</v>
      </c>
    </row>
    <row r="1303" spans="1:75" s="9" customFormat="1" ht="12.5">
      <c r="A1303" s="1483" t="str">
        <f t="shared" si="706"/>
        <v>Public Health Wales Trust</v>
      </c>
      <c r="B1303" s="1583"/>
      <c r="C1303" s="1583"/>
      <c r="D1303" s="1583"/>
      <c r="E1303" s="1581"/>
      <c r="F1303" s="1436"/>
      <c r="G1303" s="1547">
        <f t="shared" si="707"/>
        <v>0</v>
      </c>
      <c r="H1303" s="1484"/>
      <c r="I1303" s="1547">
        <f t="shared" si="708"/>
        <v>0</v>
      </c>
      <c r="J1303" s="1485"/>
      <c r="K1303" s="1485"/>
      <c r="L1303" s="1436"/>
      <c r="M1303" s="1439"/>
      <c r="N1303" s="1439"/>
      <c r="O1303" s="1485"/>
      <c r="P1303" s="1486"/>
      <c r="Q1303" s="1486"/>
      <c r="R1303" s="1487"/>
      <c r="S1303" s="1444"/>
      <c r="T1303" s="1444"/>
      <c r="U1303" s="1444"/>
      <c r="V1303" s="1488"/>
      <c r="W1303" s="1488"/>
      <c r="X1303" s="1488"/>
      <c r="Y1303" s="1488"/>
      <c r="Z1303" s="1488"/>
      <c r="AA1303" s="1488"/>
      <c r="AB1303" s="1488"/>
      <c r="AC1303" s="1488"/>
      <c r="AD1303" s="1488"/>
      <c r="AE1303" s="1488"/>
      <c r="AF1303" s="1488"/>
      <c r="AG1303" s="1488"/>
      <c r="AH1303" s="1451">
        <f t="shared" si="680"/>
        <v>0</v>
      </c>
      <c r="AI1303" s="1488"/>
      <c r="AJ1303" s="1488"/>
      <c r="AK1303" s="1488"/>
      <c r="AL1303" s="1488"/>
      <c r="AM1303" s="1488"/>
      <c r="AN1303" s="1488"/>
      <c r="AO1303" s="1488"/>
      <c r="AP1303" s="1488"/>
      <c r="AQ1303" s="1488"/>
      <c r="AR1303" s="1488"/>
      <c r="AS1303" s="1488"/>
      <c r="AT1303" s="1542"/>
      <c r="AU1303" s="1599">
        <f t="shared" si="681"/>
        <v>0</v>
      </c>
      <c r="AV1303" s="1544">
        <f t="shared" si="709"/>
        <v>0</v>
      </c>
      <c r="AW1303" s="1452">
        <f t="shared" si="682"/>
        <v>0</v>
      </c>
      <c r="AX1303" s="1452">
        <f t="shared" si="683"/>
        <v>0</v>
      </c>
      <c r="AY1303" s="1452">
        <f t="shared" si="684"/>
        <v>0</v>
      </c>
      <c r="AZ1303" s="1452">
        <f t="shared" si="685"/>
        <v>0</v>
      </c>
      <c r="BA1303" s="1452">
        <f t="shared" si="686"/>
        <v>0</v>
      </c>
      <c r="BB1303" s="1452">
        <f t="shared" si="687"/>
        <v>0</v>
      </c>
      <c r="BC1303" s="1452">
        <f t="shared" si="688"/>
        <v>0</v>
      </c>
      <c r="BD1303" s="1452">
        <f t="shared" si="689"/>
        <v>0</v>
      </c>
      <c r="BE1303" s="1452">
        <f t="shared" si="690"/>
        <v>0</v>
      </c>
      <c r="BF1303" s="1452">
        <f t="shared" si="691"/>
        <v>0</v>
      </c>
      <c r="BG1303" s="1452">
        <f t="shared" si="692"/>
        <v>0</v>
      </c>
      <c r="BH1303" s="1452">
        <f t="shared" si="693"/>
        <v>0</v>
      </c>
      <c r="BI1303" s="1452">
        <f t="shared" si="710"/>
        <v>0</v>
      </c>
      <c r="BJ1303" s="1452" t="str">
        <f t="shared" si="694"/>
        <v/>
      </c>
      <c r="BK1303" s="1452" t="str">
        <f t="shared" si="695"/>
        <v/>
      </c>
      <c r="BL1303" s="1452" t="str">
        <f t="shared" si="696"/>
        <v/>
      </c>
      <c r="BM1303" s="1452" t="str">
        <f t="shared" si="697"/>
        <v/>
      </c>
      <c r="BN1303" s="1452" t="str">
        <f t="shared" ca="1" si="698"/>
        <v/>
      </c>
      <c r="BO1303" s="1452" t="str">
        <f t="shared" si="711"/>
        <v/>
      </c>
      <c r="BP1303" s="1452" t="str">
        <f t="shared" si="699"/>
        <v/>
      </c>
      <c r="BQ1303" s="1452" t="str">
        <f t="shared" si="700"/>
        <v/>
      </c>
      <c r="BR1303" s="1452" t="str">
        <f t="shared" si="701"/>
        <v/>
      </c>
      <c r="BS1303" s="1452" t="str">
        <f t="shared" si="702"/>
        <v/>
      </c>
      <c r="BT1303" s="1452" t="str">
        <f t="shared" si="703"/>
        <v/>
      </c>
      <c r="BU1303" s="1452" t="str">
        <f t="shared" si="704"/>
        <v/>
      </c>
      <c r="BV1303" s="1452" t="str">
        <f t="shared" si="705"/>
        <v/>
      </c>
      <c r="BW1303" s="1558">
        <f t="shared" ca="1" si="712"/>
        <v>0</v>
      </c>
    </row>
    <row r="1304" spans="1:75" s="9" customFormat="1" ht="12.5">
      <c r="A1304" s="1483" t="str">
        <f t="shared" si="706"/>
        <v>Public Health Wales Trust</v>
      </c>
      <c r="B1304" s="1583"/>
      <c r="C1304" s="1583"/>
      <c r="D1304" s="1583"/>
      <c r="E1304" s="1581"/>
      <c r="F1304" s="1436"/>
      <c r="G1304" s="1547">
        <f t="shared" si="707"/>
        <v>0</v>
      </c>
      <c r="H1304" s="1484"/>
      <c r="I1304" s="1547">
        <f t="shared" si="708"/>
        <v>0</v>
      </c>
      <c r="J1304" s="1485"/>
      <c r="K1304" s="1485"/>
      <c r="L1304" s="1436"/>
      <c r="M1304" s="1439"/>
      <c r="N1304" s="1439"/>
      <c r="O1304" s="1485"/>
      <c r="P1304" s="1486"/>
      <c r="Q1304" s="1486"/>
      <c r="R1304" s="1487"/>
      <c r="S1304" s="1444"/>
      <c r="T1304" s="1444"/>
      <c r="U1304" s="1444"/>
      <c r="V1304" s="1488"/>
      <c r="W1304" s="1488"/>
      <c r="X1304" s="1488"/>
      <c r="Y1304" s="1488"/>
      <c r="Z1304" s="1488"/>
      <c r="AA1304" s="1488"/>
      <c r="AB1304" s="1488"/>
      <c r="AC1304" s="1488"/>
      <c r="AD1304" s="1488"/>
      <c r="AE1304" s="1488"/>
      <c r="AF1304" s="1488"/>
      <c r="AG1304" s="1488"/>
      <c r="AH1304" s="1451">
        <f t="shared" si="680"/>
        <v>0</v>
      </c>
      <c r="AI1304" s="1488"/>
      <c r="AJ1304" s="1488"/>
      <c r="AK1304" s="1488"/>
      <c r="AL1304" s="1488"/>
      <c r="AM1304" s="1488"/>
      <c r="AN1304" s="1488"/>
      <c r="AO1304" s="1488"/>
      <c r="AP1304" s="1488"/>
      <c r="AQ1304" s="1488"/>
      <c r="AR1304" s="1488"/>
      <c r="AS1304" s="1488"/>
      <c r="AT1304" s="1542"/>
      <c r="AU1304" s="1599">
        <f t="shared" si="681"/>
        <v>0</v>
      </c>
      <c r="AV1304" s="1544">
        <f t="shared" si="709"/>
        <v>0</v>
      </c>
      <c r="AW1304" s="1452">
        <f t="shared" si="682"/>
        <v>0</v>
      </c>
      <c r="AX1304" s="1452">
        <f t="shared" si="683"/>
        <v>0</v>
      </c>
      <c r="AY1304" s="1452">
        <f t="shared" si="684"/>
        <v>0</v>
      </c>
      <c r="AZ1304" s="1452">
        <f t="shared" si="685"/>
        <v>0</v>
      </c>
      <c r="BA1304" s="1452">
        <f t="shared" si="686"/>
        <v>0</v>
      </c>
      <c r="BB1304" s="1452">
        <f t="shared" si="687"/>
        <v>0</v>
      </c>
      <c r="BC1304" s="1452">
        <f t="shared" si="688"/>
        <v>0</v>
      </c>
      <c r="BD1304" s="1452">
        <f t="shared" si="689"/>
        <v>0</v>
      </c>
      <c r="BE1304" s="1452">
        <f t="shared" si="690"/>
        <v>0</v>
      </c>
      <c r="BF1304" s="1452">
        <f t="shared" si="691"/>
        <v>0</v>
      </c>
      <c r="BG1304" s="1452">
        <f t="shared" si="692"/>
        <v>0</v>
      </c>
      <c r="BH1304" s="1452">
        <f t="shared" si="693"/>
        <v>0</v>
      </c>
      <c r="BI1304" s="1452">
        <f t="shared" si="710"/>
        <v>0</v>
      </c>
      <c r="BJ1304" s="1452" t="str">
        <f t="shared" si="694"/>
        <v/>
      </c>
      <c r="BK1304" s="1452" t="str">
        <f t="shared" si="695"/>
        <v/>
      </c>
      <c r="BL1304" s="1452" t="str">
        <f t="shared" si="696"/>
        <v/>
      </c>
      <c r="BM1304" s="1452" t="str">
        <f t="shared" si="697"/>
        <v/>
      </c>
      <c r="BN1304" s="1452" t="str">
        <f t="shared" ca="1" si="698"/>
        <v/>
      </c>
      <c r="BO1304" s="1452" t="str">
        <f t="shared" si="711"/>
        <v/>
      </c>
      <c r="BP1304" s="1452" t="str">
        <f t="shared" si="699"/>
        <v/>
      </c>
      <c r="BQ1304" s="1452" t="str">
        <f t="shared" si="700"/>
        <v/>
      </c>
      <c r="BR1304" s="1452" t="str">
        <f t="shared" si="701"/>
        <v/>
      </c>
      <c r="BS1304" s="1452" t="str">
        <f t="shared" si="702"/>
        <v/>
      </c>
      <c r="BT1304" s="1452" t="str">
        <f t="shared" si="703"/>
        <v/>
      </c>
      <c r="BU1304" s="1452" t="str">
        <f t="shared" si="704"/>
        <v/>
      </c>
      <c r="BV1304" s="1452" t="str">
        <f t="shared" si="705"/>
        <v/>
      </c>
      <c r="BW1304" s="1558">
        <f t="shared" ca="1" si="712"/>
        <v>0</v>
      </c>
    </row>
    <row r="1305" spans="1:75" s="9" customFormat="1" ht="12.5">
      <c r="A1305" s="1483" t="str">
        <f t="shared" si="706"/>
        <v>Public Health Wales Trust</v>
      </c>
      <c r="B1305" s="1583"/>
      <c r="C1305" s="1583"/>
      <c r="D1305" s="1583"/>
      <c r="E1305" s="1581"/>
      <c r="F1305" s="1436"/>
      <c r="G1305" s="1547">
        <f t="shared" si="707"/>
        <v>0</v>
      </c>
      <c r="H1305" s="1484"/>
      <c r="I1305" s="1547">
        <f t="shared" si="708"/>
        <v>0</v>
      </c>
      <c r="J1305" s="1485"/>
      <c r="K1305" s="1485"/>
      <c r="L1305" s="1436"/>
      <c r="M1305" s="1439"/>
      <c r="N1305" s="1439"/>
      <c r="O1305" s="1485"/>
      <c r="P1305" s="1486"/>
      <c r="Q1305" s="1486"/>
      <c r="R1305" s="1487"/>
      <c r="S1305" s="1444"/>
      <c r="T1305" s="1444"/>
      <c r="U1305" s="1444"/>
      <c r="V1305" s="1488"/>
      <c r="W1305" s="1488"/>
      <c r="X1305" s="1488"/>
      <c r="Y1305" s="1488"/>
      <c r="Z1305" s="1488"/>
      <c r="AA1305" s="1488"/>
      <c r="AB1305" s="1488"/>
      <c r="AC1305" s="1488"/>
      <c r="AD1305" s="1488"/>
      <c r="AE1305" s="1488"/>
      <c r="AF1305" s="1488"/>
      <c r="AG1305" s="1488"/>
      <c r="AH1305" s="1451">
        <f t="shared" si="680"/>
        <v>0</v>
      </c>
      <c r="AI1305" s="1488"/>
      <c r="AJ1305" s="1488"/>
      <c r="AK1305" s="1488"/>
      <c r="AL1305" s="1488"/>
      <c r="AM1305" s="1488"/>
      <c r="AN1305" s="1488"/>
      <c r="AO1305" s="1488"/>
      <c r="AP1305" s="1488"/>
      <c r="AQ1305" s="1488"/>
      <c r="AR1305" s="1488"/>
      <c r="AS1305" s="1488"/>
      <c r="AT1305" s="1542"/>
      <c r="AU1305" s="1599">
        <f t="shared" si="681"/>
        <v>0</v>
      </c>
      <c r="AV1305" s="1544">
        <f t="shared" si="709"/>
        <v>0</v>
      </c>
      <c r="AW1305" s="1452">
        <f t="shared" si="682"/>
        <v>0</v>
      </c>
      <c r="AX1305" s="1452">
        <f t="shared" si="683"/>
        <v>0</v>
      </c>
      <c r="AY1305" s="1452">
        <f t="shared" si="684"/>
        <v>0</v>
      </c>
      <c r="AZ1305" s="1452">
        <f t="shared" si="685"/>
        <v>0</v>
      </c>
      <c r="BA1305" s="1452">
        <f t="shared" si="686"/>
        <v>0</v>
      </c>
      <c r="BB1305" s="1452">
        <f t="shared" si="687"/>
        <v>0</v>
      </c>
      <c r="BC1305" s="1452">
        <f t="shared" si="688"/>
        <v>0</v>
      </c>
      <c r="BD1305" s="1452">
        <f t="shared" si="689"/>
        <v>0</v>
      </c>
      <c r="BE1305" s="1452">
        <f t="shared" si="690"/>
        <v>0</v>
      </c>
      <c r="BF1305" s="1452">
        <f t="shared" si="691"/>
        <v>0</v>
      </c>
      <c r="BG1305" s="1452">
        <f t="shared" si="692"/>
        <v>0</v>
      </c>
      <c r="BH1305" s="1452">
        <f t="shared" si="693"/>
        <v>0</v>
      </c>
      <c r="BI1305" s="1452">
        <f t="shared" si="710"/>
        <v>0</v>
      </c>
      <c r="BJ1305" s="1452" t="str">
        <f t="shared" si="694"/>
        <v/>
      </c>
      <c r="BK1305" s="1452" t="str">
        <f t="shared" si="695"/>
        <v/>
      </c>
      <c r="BL1305" s="1452" t="str">
        <f t="shared" si="696"/>
        <v/>
      </c>
      <c r="BM1305" s="1452" t="str">
        <f t="shared" si="697"/>
        <v/>
      </c>
      <c r="BN1305" s="1452" t="str">
        <f t="shared" ca="1" si="698"/>
        <v/>
      </c>
      <c r="BO1305" s="1452" t="str">
        <f t="shared" si="711"/>
        <v/>
      </c>
      <c r="BP1305" s="1452" t="str">
        <f t="shared" si="699"/>
        <v/>
      </c>
      <c r="BQ1305" s="1452" t="str">
        <f t="shared" si="700"/>
        <v/>
      </c>
      <c r="BR1305" s="1452" t="str">
        <f t="shared" si="701"/>
        <v/>
      </c>
      <c r="BS1305" s="1452" t="str">
        <f t="shared" si="702"/>
        <v/>
      </c>
      <c r="BT1305" s="1452" t="str">
        <f t="shared" si="703"/>
        <v/>
      </c>
      <c r="BU1305" s="1452" t="str">
        <f t="shared" si="704"/>
        <v/>
      </c>
      <c r="BV1305" s="1452" t="str">
        <f t="shared" si="705"/>
        <v/>
      </c>
      <c r="BW1305" s="1558">
        <f t="shared" ca="1" si="712"/>
        <v>0</v>
      </c>
    </row>
    <row r="1306" spans="1:75" s="9" customFormat="1" ht="12.5">
      <c r="A1306" s="1483" t="str">
        <f t="shared" si="706"/>
        <v>Public Health Wales Trust</v>
      </c>
      <c r="B1306" s="1583"/>
      <c r="C1306" s="1583"/>
      <c r="D1306" s="1583"/>
      <c r="E1306" s="1581"/>
      <c r="F1306" s="1436"/>
      <c r="G1306" s="1547">
        <f t="shared" si="707"/>
        <v>0</v>
      </c>
      <c r="H1306" s="1484"/>
      <c r="I1306" s="1547">
        <f t="shared" si="708"/>
        <v>0</v>
      </c>
      <c r="J1306" s="1485"/>
      <c r="K1306" s="1485"/>
      <c r="L1306" s="1436"/>
      <c r="M1306" s="1439"/>
      <c r="N1306" s="1439"/>
      <c r="O1306" s="1485"/>
      <c r="P1306" s="1486"/>
      <c r="Q1306" s="1486"/>
      <c r="R1306" s="1487"/>
      <c r="S1306" s="1444"/>
      <c r="T1306" s="1444"/>
      <c r="U1306" s="1444"/>
      <c r="V1306" s="1488"/>
      <c r="W1306" s="1488"/>
      <c r="X1306" s="1488"/>
      <c r="Y1306" s="1488"/>
      <c r="Z1306" s="1488"/>
      <c r="AA1306" s="1488"/>
      <c r="AB1306" s="1488"/>
      <c r="AC1306" s="1488"/>
      <c r="AD1306" s="1488"/>
      <c r="AE1306" s="1488"/>
      <c r="AF1306" s="1488"/>
      <c r="AG1306" s="1488"/>
      <c r="AH1306" s="1451">
        <f t="shared" si="680"/>
        <v>0</v>
      </c>
      <c r="AI1306" s="1488"/>
      <c r="AJ1306" s="1488"/>
      <c r="AK1306" s="1488"/>
      <c r="AL1306" s="1488"/>
      <c r="AM1306" s="1488"/>
      <c r="AN1306" s="1488"/>
      <c r="AO1306" s="1488"/>
      <c r="AP1306" s="1488"/>
      <c r="AQ1306" s="1488"/>
      <c r="AR1306" s="1488"/>
      <c r="AS1306" s="1488"/>
      <c r="AT1306" s="1542"/>
      <c r="AU1306" s="1599">
        <f t="shared" si="681"/>
        <v>0</v>
      </c>
      <c r="AV1306" s="1544">
        <f t="shared" si="709"/>
        <v>0</v>
      </c>
      <c r="AW1306" s="1452">
        <f t="shared" si="682"/>
        <v>0</v>
      </c>
      <c r="AX1306" s="1452">
        <f t="shared" si="683"/>
        <v>0</v>
      </c>
      <c r="AY1306" s="1452">
        <f t="shared" si="684"/>
        <v>0</v>
      </c>
      <c r="AZ1306" s="1452">
        <f t="shared" si="685"/>
        <v>0</v>
      </c>
      <c r="BA1306" s="1452">
        <f t="shared" si="686"/>
        <v>0</v>
      </c>
      <c r="BB1306" s="1452">
        <f t="shared" si="687"/>
        <v>0</v>
      </c>
      <c r="BC1306" s="1452">
        <f t="shared" si="688"/>
        <v>0</v>
      </c>
      <c r="BD1306" s="1452">
        <f t="shared" si="689"/>
        <v>0</v>
      </c>
      <c r="BE1306" s="1452">
        <f t="shared" si="690"/>
        <v>0</v>
      </c>
      <c r="BF1306" s="1452">
        <f t="shared" si="691"/>
        <v>0</v>
      </c>
      <c r="BG1306" s="1452">
        <f t="shared" si="692"/>
        <v>0</v>
      </c>
      <c r="BH1306" s="1452">
        <f t="shared" si="693"/>
        <v>0</v>
      </c>
      <c r="BI1306" s="1452">
        <f t="shared" si="710"/>
        <v>0</v>
      </c>
      <c r="BJ1306" s="1452" t="str">
        <f t="shared" si="694"/>
        <v/>
      </c>
      <c r="BK1306" s="1452" t="str">
        <f t="shared" si="695"/>
        <v/>
      </c>
      <c r="BL1306" s="1452" t="str">
        <f t="shared" si="696"/>
        <v/>
      </c>
      <c r="BM1306" s="1452" t="str">
        <f t="shared" si="697"/>
        <v/>
      </c>
      <c r="BN1306" s="1452" t="str">
        <f t="shared" ca="1" si="698"/>
        <v/>
      </c>
      <c r="BO1306" s="1452" t="str">
        <f t="shared" si="711"/>
        <v/>
      </c>
      <c r="BP1306" s="1452" t="str">
        <f t="shared" si="699"/>
        <v/>
      </c>
      <c r="BQ1306" s="1452" t="str">
        <f t="shared" si="700"/>
        <v/>
      </c>
      <c r="BR1306" s="1452" t="str">
        <f t="shared" si="701"/>
        <v/>
      </c>
      <c r="BS1306" s="1452" t="str">
        <f t="shared" si="702"/>
        <v/>
      </c>
      <c r="BT1306" s="1452" t="str">
        <f t="shared" si="703"/>
        <v/>
      </c>
      <c r="BU1306" s="1452" t="str">
        <f t="shared" si="704"/>
        <v/>
      </c>
      <c r="BV1306" s="1452" t="str">
        <f t="shared" si="705"/>
        <v/>
      </c>
      <c r="BW1306" s="1558">
        <f t="shared" ca="1" si="712"/>
        <v>0</v>
      </c>
    </row>
    <row r="1307" spans="1:75" s="9" customFormat="1" ht="12.5">
      <c r="A1307" s="1483" t="str">
        <f t="shared" si="706"/>
        <v>Public Health Wales Trust</v>
      </c>
      <c r="B1307" s="1583"/>
      <c r="C1307" s="1583"/>
      <c r="D1307" s="1583"/>
      <c r="E1307" s="1581"/>
      <c r="F1307" s="1436"/>
      <c r="G1307" s="1547">
        <f t="shared" si="707"/>
        <v>0</v>
      </c>
      <c r="H1307" s="1484"/>
      <c r="I1307" s="1547">
        <f t="shared" si="708"/>
        <v>0</v>
      </c>
      <c r="J1307" s="1485"/>
      <c r="K1307" s="1485"/>
      <c r="L1307" s="1436"/>
      <c r="M1307" s="1439"/>
      <c r="N1307" s="1439"/>
      <c r="O1307" s="1485"/>
      <c r="P1307" s="1486"/>
      <c r="Q1307" s="1486"/>
      <c r="R1307" s="1487"/>
      <c r="S1307" s="1444"/>
      <c r="T1307" s="1444"/>
      <c r="U1307" s="1444"/>
      <c r="V1307" s="1488"/>
      <c r="W1307" s="1488"/>
      <c r="X1307" s="1488"/>
      <c r="Y1307" s="1488"/>
      <c r="Z1307" s="1488"/>
      <c r="AA1307" s="1488"/>
      <c r="AB1307" s="1488"/>
      <c r="AC1307" s="1488"/>
      <c r="AD1307" s="1488"/>
      <c r="AE1307" s="1488"/>
      <c r="AF1307" s="1488"/>
      <c r="AG1307" s="1488"/>
      <c r="AH1307" s="1451">
        <f t="shared" si="680"/>
        <v>0</v>
      </c>
      <c r="AI1307" s="1488"/>
      <c r="AJ1307" s="1488"/>
      <c r="AK1307" s="1488"/>
      <c r="AL1307" s="1488"/>
      <c r="AM1307" s="1488"/>
      <c r="AN1307" s="1488"/>
      <c r="AO1307" s="1488"/>
      <c r="AP1307" s="1488"/>
      <c r="AQ1307" s="1488"/>
      <c r="AR1307" s="1488"/>
      <c r="AS1307" s="1488"/>
      <c r="AT1307" s="1542"/>
      <c r="AU1307" s="1599">
        <f t="shared" si="681"/>
        <v>0</v>
      </c>
      <c r="AV1307" s="1544">
        <f t="shared" si="709"/>
        <v>0</v>
      </c>
      <c r="AW1307" s="1452">
        <f t="shared" si="682"/>
        <v>0</v>
      </c>
      <c r="AX1307" s="1452">
        <f t="shared" si="683"/>
        <v>0</v>
      </c>
      <c r="AY1307" s="1452">
        <f t="shared" si="684"/>
        <v>0</v>
      </c>
      <c r="AZ1307" s="1452">
        <f t="shared" si="685"/>
        <v>0</v>
      </c>
      <c r="BA1307" s="1452">
        <f t="shared" si="686"/>
        <v>0</v>
      </c>
      <c r="BB1307" s="1452">
        <f t="shared" si="687"/>
        <v>0</v>
      </c>
      <c r="BC1307" s="1452">
        <f t="shared" si="688"/>
        <v>0</v>
      </c>
      <c r="BD1307" s="1452">
        <f t="shared" si="689"/>
        <v>0</v>
      </c>
      <c r="BE1307" s="1452">
        <f t="shared" si="690"/>
        <v>0</v>
      </c>
      <c r="BF1307" s="1452">
        <f t="shared" si="691"/>
        <v>0</v>
      </c>
      <c r="BG1307" s="1452">
        <f t="shared" si="692"/>
        <v>0</v>
      </c>
      <c r="BH1307" s="1452">
        <f t="shared" si="693"/>
        <v>0</v>
      </c>
      <c r="BI1307" s="1452">
        <f t="shared" si="710"/>
        <v>0</v>
      </c>
      <c r="BJ1307" s="1452" t="str">
        <f t="shared" si="694"/>
        <v/>
      </c>
      <c r="BK1307" s="1452" t="str">
        <f t="shared" si="695"/>
        <v/>
      </c>
      <c r="BL1307" s="1452" t="str">
        <f t="shared" si="696"/>
        <v/>
      </c>
      <c r="BM1307" s="1452" t="str">
        <f t="shared" si="697"/>
        <v/>
      </c>
      <c r="BN1307" s="1452" t="str">
        <f t="shared" ca="1" si="698"/>
        <v/>
      </c>
      <c r="BO1307" s="1452" t="str">
        <f t="shared" si="711"/>
        <v/>
      </c>
      <c r="BP1307" s="1452" t="str">
        <f t="shared" si="699"/>
        <v/>
      </c>
      <c r="BQ1307" s="1452" t="str">
        <f t="shared" si="700"/>
        <v/>
      </c>
      <c r="BR1307" s="1452" t="str">
        <f t="shared" si="701"/>
        <v/>
      </c>
      <c r="BS1307" s="1452" t="str">
        <f t="shared" si="702"/>
        <v/>
      </c>
      <c r="BT1307" s="1452" t="str">
        <f t="shared" si="703"/>
        <v/>
      </c>
      <c r="BU1307" s="1452" t="str">
        <f t="shared" si="704"/>
        <v/>
      </c>
      <c r="BV1307" s="1452" t="str">
        <f t="shared" si="705"/>
        <v/>
      </c>
      <c r="BW1307" s="1558">
        <f t="shared" ca="1" si="712"/>
        <v>0</v>
      </c>
    </row>
    <row r="1308" spans="1:75" s="9" customFormat="1" ht="12.5">
      <c r="A1308" s="1483" t="str">
        <f t="shared" si="706"/>
        <v>Public Health Wales Trust</v>
      </c>
      <c r="B1308" s="1583"/>
      <c r="C1308" s="1583"/>
      <c r="D1308" s="1583"/>
      <c r="E1308" s="1581"/>
      <c r="F1308" s="1436"/>
      <c r="G1308" s="1547">
        <f t="shared" si="707"/>
        <v>0</v>
      </c>
      <c r="H1308" s="1484"/>
      <c r="I1308" s="1547">
        <f t="shared" si="708"/>
        <v>0</v>
      </c>
      <c r="J1308" s="1485"/>
      <c r="K1308" s="1485"/>
      <c r="L1308" s="1436"/>
      <c r="M1308" s="1439"/>
      <c r="N1308" s="1439"/>
      <c r="O1308" s="1485"/>
      <c r="P1308" s="1486"/>
      <c r="Q1308" s="1486"/>
      <c r="R1308" s="1487"/>
      <c r="S1308" s="1444"/>
      <c r="T1308" s="1444"/>
      <c r="U1308" s="1444"/>
      <c r="V1308" s="1488"/>
      <c r="W1308" s="1488"/>
      <c r="X1308" s="1488"/>
      <c r="Y1308" s="1488"/>
      <c r="Z1308" s="1488"/>
      <c r="AA1308" s="1488"/>
      <c r="AB1308" s="1488"/>
      <c r="AC1308" s="1488"/>
      <c r="AD1308" s="1488"/>
      <c r="AE1308" s="1488"/>
      <c r="AF1308" s="1488"/>
      <c r="AG1308" s="1488"/>
      <c r="AH1308" s="1451">
        <f t="shared" si="680"/>
        <v>0</v>
      </c>
      <c r="AI1308" s="1488"/>
      <c r="AJ1308" s="1488"/>
      <c r="AK1308" s="1488"/>
      <c r="AL1308" s="1488"/>
      <c r="AM1308" s="1488"/>
      <c r="AN1308" s="1488"/>
      <c r="AO1308" s="1488"/>
      <c r="AP1308" s="1488"/>
      <c r="AQ1308" s="1488"/>
      <c r="AR1308" s="1488"/>
      <c r="AS1308" s="1488"/>
      <c r="AT1308" s="1542"/>
      <c r="AU1308" s="1599">
        <f t="shared" si="681"/>
        <v>0</v>
      </c>
      <c r="AV1308" s="1544">
        <f t="shared" si="709"/>
        <v>0</v>
      </c>
      <c r="AW1308" s="1452">
        <f t="shared" si="682"/>
        <v>0</v>
      </c>
      <c r="AX1308" s="1452">
        <f t="shared" si="683"/>
        <v>0</v>
      </c>
      <c r="AY1308" s="1452">
        <f t="shared" si="684"/>
        <v>0</v>
      </c>
      <c r="AZ1308" s="1452">
        <f t="shared" si="685"/>
        <v>0</v>
      </c>
      <c r="BA1308" s="1452">
        <f t="shared" si="686"/>
        <v>0</v>
      </c>
      <c r="BB1308" s="1452">
        <f t="shared" si="687"/>
        <v>0</v>
      </c>
      <c r="BC1308" s="1452">
        <f t="shared" si="688"/>
        <v>0</v>
      </c>
      <c r="BD1308" s="1452">
        <f t="shared" si="689"/>
        <v>0</v>
      </c>
      <c r="BE1308" s="1452">
        <f t="shared" si="690"/>
        <v>0</v>
      </c>
      <c r="BF1308" s="1452">
        <f t="shared" si="691"/>
        <v>0</v>
      </c>
      <c r="BG1308" s="1452">
        <f t="shared" si="692"/>
        <v>0</v>
      </c>
      <c r="BH1308" s="1452">
        <f t="shared" si="693"/>
        <v>0</v>
      </c>
      <c r="BI1308" s="1452">
        <f t="shared" si="710"/>
        <v>0</v>
      </c>
      <c r="BJ1308" s="1452" t="str">
        <f t="shared" si="694"/>
        <v/>
      </c>
      <c r="BK1308" s="1452" t="str">
        <f t="shared" si="695"/>
        <v/>
      </c>
      <c r="BL1308" s="1452" t="str">
        <f t="shared" si="696"/>
        <v/>
      </c>
      <c r="BM1308" s="1452" t="str">
        <f t="shared" si="697"/>
        <v/>
      </c>
      <c r="BN1308" s="1452" t="str">
        <f t="shared" ca="1" si="698"/>
        <v/>
      </c>
      <c r="BO1308" s="1452" t="str">
        <f t="shared" si="711"/>
        <v/>
      </c>
      <c r="BP1308" s="1452" t="str">
        <f t="shared" si="699"/>
        <v/>
      </c>
      <c r="BQ1308" s="1452" t="str">
        <f t="shared" si="700"/>
        <v/>
      </c>
      <c r="BR1308" s="1452" t="str">
        <f t="shared" si="701"/>
        <v/>
      </c>
      <c r="BS1308" s="1452" t="str">
        <f t="shared" si="702"/>
        <v/>
      </c>
      <c r="BT1308" s="1452" t="str">
        <f t="shared" si="703"/>
        <v/>
      </c>
      <c r="BU1308" s="1452" t="str">
        <f t="shared" si="704"/>
        <v/>
      </c>
      <c r="BV1308" s="1452" t="str">
        <f t="shared" si="705"/>
        <v/>
      </c>
      <c r="BW1308" s="1558">
        <f t="shared" ca="1" si="712"/>
        <v>0</v>
      </c>
    </row>
    <row r="1309" spans="1:75" s="9" customFormat="1" ht="12.5">
      <c r="A1309" s="1483" t="str">
        <f t="shared" si="706"/>
        <v>Public Health Wales Trust</v>
      </c>
      <c r="B1309" s="1583"/>
      <c r="C1309" s="1583"/>
      <c r="D1309" s="1583"/>
      <c r="E1309" s="1581"/>
      <c r="F1309" s="1436"/>
      <c r="G1309" s="1547">
        <f t="shared" si="707"/>
        <v>0</v>
      </c>
      <c r="H1309" s="1484"/>
      <c r="I1309" s="1547">
        <f t="shared" si="708"/>
        <v>0</v>
      </c>
      <c r="J1309" s="1485"/>
      <c r="K1309" s="1485"/>
      <c r="L1309" s="1436"/>
      <c r="M1309" s="1439"/>
      <c r="N1309" s="1439"/>
      <c r="O1309" s="1485"/>
      <c r="P1309" s="1486"/>
      <c r="Q1309" s="1486"/>
      <c r="R1309" s="1487"/>
      <c r="S1309" s="1444"/>
      <c r="T1309" s="1444"/>
      <c r="U1309" s="1444"/>
      <c r="V1309" s="1488"/>
      <c r="W1309" s="1488"/>
      <c r="X1309" s="1488"/>
      <c r="Y1309" s="1488"/>
      <c r="Z1309" s="1488"/>
      <c r="AA1309" s="1488"/>
      <c r="AB1309" s="1488"/>
      <c r="AC1309" s="1488"/>
      <c r="AD1309" s="1488"/>
      <c r="AE1309" s="1488"/>
      <c r="AF1309" s="1488"/>
      <c r="AG1309" s="1488"/>
      <c r="AH1309" s="1451">
        <f t="shared" si="680"/>
        <v>0</v>
      </c>
      <c r="AI1309" s="1488"/>
      <c r="AJ1309" s="1488"/>
      <c r="AK1309" s="1488"/>
      <c r="AL1309" s="1488"/>
      <c r="AM1309" s="1488"/>
      <c r="AN1309" s="1488"/>
      <c r="AO1309" s="1488"/>
      <c r="AP1309" s="1488"/>
      <c r="AQ1309" s="1488"/>
      <c r="AR1309" s="1488"/>
      <c r="AS1309" s="1488"/>
      <c r="AT1309" s="1542"/>
      <c r="AU1309" s="1599">
        <f t="shared" si="681"/>
        <v>0</v>
      </c>
      <c r="AV1309" s="1544">
        <f t="shared" si="709"/>
        <v>0</v>
      </c>
      <c r="AW1309" s="1452">
        <f t="shared" si="682"/>
        <v>0</v>
      </c>
      <c r="AX1309" s="1452">
        <f t="shared" si="683"/>
        <v>0</v>
      </c>
      <c r="AY1309" s="1452">
        <f t="shared" si="684"/>
        <v>0</v>
      </c>
      <c r="AZ1309" s="1452">
        <f t="shared" si="685"/>
        <v>0</v>
      </c>
      <c r="BA1309" s="1452">
        <f t="shared" si="686"/>
        <v>0</v>
      </c>
      <c r="BB1309" s="1452">
        <f t="shared" si="687"/>
        <v>0</v>
      </c>
      <c r="BC1309" s="1452">
        <f t="shared" si="688"/>
        <v>0</v>
      </c>
      <c r="BD1309" s="1452">
        <f t="shared" si="689"/>
        <v>0</v>
      </c>
      <c r="BE1309" s="1452">
        <f t="shared" si="690"/>
        <v>0</v>
      </c>
      <c r="BF1309" s="1452">
        <f t="shared" si="691"/>
        <v>0</v>
      </c>
      <c r="BG1309" s="1452">
        <f t="shared" si="692"/>
        <v>0</v>
      </c>
      <c r="BH1309" s="1452">
        <f t="shared" si="693"/>
        <v>0</v>
      </c>
      <c r="BI1309" s="1452">
        <f t="shared" si="710"/>
        <v>0</v>
      </c>
      <c r="BJ1309" s="1452" t="str">
        <f t="shared" si="694"/>
        <v/>
      </c>
      <c r="BK1309" s="1452" t="str">
        <f t="shared" si="695"/>
        <v/>
      </c>
      <c r="BL1309" s="1452" t="str">
        <f t="shared" si="696"/>
        <v/>
      </c>
      <c r="BM1309" s="1452" t="str">
        <f t="shared" si="697"/>
        <v/>
      </c>
      <c r="BN1309" s="1452" t="str">
        <f t="shared" ca="1" si="698"/>
        <v/>
      </c>
      <c r="BO1309" s="1452" t="str">
        <f t="shared" si="711"/>
        <v/>
      </c>
      <c r="BP1309" s="1452" t="str">
        <f t="shared" si="699"/>
        <v/>
      </c>
      <c r="BQ1309" s="1452" t="str">
        <f t="shared" si="700"/>
        <v/>
      </c>
      <c r="BR1309" s="1452" t="str">
        <f t="shared" si="701"/>
        <v/>
      </c>
      <c r="BS1309" s="1452" t="str">
        <f t="shared" si="702"/>
        <v/>
      </c>
      <c r="BT1309" s="1452" t="str">
        <f t="shared" si="703"/>
        <v/>
      </c>
      <c r="BU1309" s="1452" t="str">
        <f t="shared" si="704"/>
        <v/>
      </c>
      <c r="BV1309" s="1452" t="str">
        <f t="shared" si="705"/>
        <v/>
      </c>
      <c r="BW1309" s="1558">
        <f t="shared" ca="1" si="712"/>
        <v>0</v>
      </c>
    </row>
    <row r="1310" spans="1:75" s="9" customFormat="1" ht="12.5">
      <c r="A1310" s="1483" t="str">
        <f t="shared" si="706"/>
        <v>Public Health Wales Trust</v>
      </c>
      <c r="B1310" s="1583"/>
      <c r="C1310" s="1583"/>
      <c r="D1310" s="1583"/>
      <c r="E1310" s="1581"/>
      <c r="F1310" s="1436"/>
      <c r="G1310" s="1547">
        <f t="shared" si="707"/>
        <v>0</v>
      </c>
      <c r="H1310" s="1484"/>
      <c r="I1310" s="1547">
        <f t="shared" si="708"/>
        <v>0</v>
      </c>
      <c r="J1310" s="1485"/>
      <c r="K1310" s="1485"/>
      <c r="L1310" s="1436"/>
      <c r="M1310" s="1439"/>
      <c r="N1310" s="1439"/>
      <c r="O1310" s="1485"/>
      <c r="P1310" s="1486"/>
      <c r="Q1310" s="1486"/>
      <c r="R1310" s="1487"/>
      <c r="S1310" s="1444"/>
      <c r="T1310" s="1444"/>
      <c r="U1310" s="1444"/>
      <c r="V1310" s="1488"/>
      <c r="W1310" s="1488"/>
      <c r="X1310" s="1488"/>
      <c r="Y1310" s="1488"/>
      <c r="Z1310" s="1488"/>
      <c r="AA1310" s="1488"/>
      <c r="AB1310" s="1488"/>
      <c r="AC1310" s="1488"/>
      <c r="AD1310" s="1488"/>
      <c r="AE1310" s="1488"/>
      <c r="AF1310" s="1488"/>
      <c r="AG1310" s="1488"/>
      <c r="AH1310" s="1451">
        <f t="shared" si="680"/>
        <v>0</v>
      </c>
      <c r="AI1310" s="1488"/>
      <c r="AJ1310" s="1488"/>
      <c r="AK1310" s="1488"/>
      <c r="AL1310" s="1488"/>
      <c r="AM1310" s="1488"/>
      <c r="AN1310" s="1488"/>
      <c r="AO1310" s="1488"/>
      <c r="AP1310" s="1488"/>
      <c r="AQ1310" s="1488"/>
      <c r="AR1310" s="1488"/>
      <c r="AS1310" s="1488"/>
      <c r="AT1310" s="1542"/>
      <c r="AU1310" s="1599">
        <f t="shared" si="681"/>
        <v>0</v>
      </c>
      <c r="AV1310" s="1544">
        <f t="shared" si="709"/>
        <v>0</v>
      </c>
      <c r="AW1310" s="1452">
        <f t="shared" si="682"/>
        <v>0</v>
      </c>
      <c r="AX1310" s="1452">
        <f t="shared" si="683"/>
        <v>0</v>
      </c>
      <c r="AY1310" s="1452">
        <f t="shared" si="684"/>
        <v>0</v>
      </c>
      <c r="AZ1310" s="1452">
        <f t="shared" si="685"/>
        <v>0</v>
      </c>
      <c r="BA1310" s="1452">
        <f t="shared" si="686"/>
        <v>0</v>
      </c>
      <c r="BB1310" s="1452">
        <f t="shared" si="687"/>
        <v>0</v>
      </c>
      <c r="BC1310" s="1452">
        <f t="shared" si="688"/>
        <v>0</v>
      </c>
      <c r="BD1310" s="1452">
        <f t="shared" si="689"/>
        <v>0</v>
      </c>
      <c r="BE1310" s="1452">
        <f t="shared" si="690"/>
        <v>0</v>
      </c>
      <c r="BF1310" s="1452">
        <f t="shared" si="691"/>
        <v>0</v>
      </c>
      <c r="BG1310" s="1452">
        <f t="shared" si="692"/>
        <v>0</v>
      </c>
      <c r="BH1310" s="1452">
        <f t="shared" si="693"/>
        <v>0</v>
      </c>
      <c r="BI1310" s="1452">
        <f t="shared" si="710"/>
        <v>0</v>
      </c>
      <c r="BJ1310" s="1452" t="str">
        <f t="shared" si="694"/>
        <v/>
      </c>
      <c r="BK1310" s="1452" t="str">
        <f t="shared" si="695"/>
        <v/>
      </c>
      <c r="BL1310" s="1452" t="str">
        <f t="shared" si="696"/>
        <v/>
      </c>
      <c r="BM1310" s="1452" t="str">
        <f t="shared" si="697"/>
        <v/>
      </c>
      <c r="BN1310" s="1452" t="str">
        <f t="shared" ca="1" si="698"/>
        <v/>
      </c>
      <c r="BO1310" s="1452" t="str">
        <f t="shared" si="711"/>
        <v/>
      </c>
      <c r="BP1310" s="1452" t="str">
        <f t="shared" si="699"/>
        <v/>
      </c>
      <c r="BQ1310" s="1452" t="str">
        <f t="shared" si="700"/>
        <v/>
      </c>
      <c r="BR1310" s="1452" t="str">
        <f t="shared" si="701"/>
        <v/>
      </c>
      <c r="BS1310" s="1452" t="str">
        <f t="shared" si="702"/>
        <v/>
      </c>
      <c r="BT1310" s="1452" t="str">
        <f t="shared" si="703"/>
        <v/>
      </c>
      <c r="BU1310" s="1452" t="str">
        <f t="shared" si="704"/>
        <v/>
      </c>
      <c r="BV1310" s="1452" t="str">
        <f t="shared" si="705"/>
        <v/>
      </c>
      <c r="BW1310" s="1558">
        <f t="shared" ca="1" si="712"/>
        <v>0</v>
      </c>
    </row>
    <row r="1311" spans="1:75" s="9" customFormat="1" ht="12.5">
      <c r="A1311" s="1483" t="str">
        <f t="shared" si="706"/>
        <v>Public Health Wales Trust</v>
      </c>
      <c r="B1311" s="1583"/>
      <c r="C1311" s="1583"/>
      <c r="D1311" s="1583"/>
      <c r="E1311" s="1581"/>
      <c r="F1311" s="1436"/>
      <c r="G1311" s="1547">
        <f t="shared" si="707"/>
        <v>0</v>
      </c>
      <c r="H1311" s="1484"/>
      <c r="I1311" s="1547">
        <f t="shared" si="708"/>
        <v>0</v>
      </c>
      <c r="J1311" s="1485"/>
      <c r="K1311" s="1485"/>
      <c r="L1311" s="1436"/>
      <c r="M1311" s="1439"/>
      <c r="N1311" s="1439"/>
      <c r="O1311" s="1485"/>
      <c r="P1311" s="1486"/>
      <c r="Q1311" s="1486"/>
      <c r="R1311" s="1487"/>
      <c r="S1311" s="1444"/>
      <c r="T1311" s="1444"/>
      <c r="U1311" s="1444"/>
      <c r="V1311" s="1488"/>
      <c r="W1311" s="1488"/>
      <c r="X1311" s="1488"/>
      <c r="Y1311" s="1488"/>
      <c r="Z1311" s="1488"/>
      <c r="AA1311" s="1488"/>
      <c r="AB1311" s="1488"/>
      <c r="AC1311" s="1488"/>
      <c r="AD1311" s="1488"/>
      <c r="AE1311" s="1488"/>
      <c r="AF1311" s="1488"/>
      <c r="AG1311" s="1488"/>
      <c r="AH1311" s="1451">
        <f t="shared" si="680"/>
        <v>0</v>
      </c>
      <c r="AI1311" s="1488"/>
      <c r="AJ1311" s="1488"/>
      <c r="AK1311" s="1488"/>
      <c r="AL1311" s="1488"/>
      <c r="AM1311" s="1488"/>
      <c r="AN1311" s="1488"/>
      <c r="AO1311" s="1488"/>
      <c r="AP1311" s="1488"/>
      <c r="AQ1311" s="1488"/>
      <c r="AR1311" s="1488"/>
      <c r="AS1311" s="1488"/>
      <c r="AT1311" s="1542"/>
      <c r="AU1311" s="1599">
        <f t="shared" si="681"/>
        <v>0</v>
      </c>
      <c r="AV1311" s="1544">
        <f t="shared" si="709"/>
        <v>0</v>
      </c>
      <c r="AW1311" s="1452">
        <f t="shared" si="682"/>
        <v>0</v>
      </c>
      <c r="AX1311" s="1452">
        <f t="shared" si="683"/>
        <v>0</v>
      </c>
      <c r="AY1311" s="1452">
        <f t="shared" si="684"/>
        <v>0</v>
      </c>
      <c r="AZ1311" s="1452">
        <f t="shared" si="685"/>
        <v>0</v>
      </c>
      <c r="BA1311" s="1452">
        <f t="shared" si="686"/>
        <v>0</v>
      </c>
      <c r="BB1311" s="1452">
        <f t="shared" si="687"/>
        <v>0</v>
      </c>
      <c r="BC1311" s="1452">
        <f t="shared" si="688"/>
        <v>0</v>
      </c>
      <c r="BD1311" s="1452">
        <f t="shared" si="689"/>
        <v>0</v>
      </c>
      <c r="BE1311" s="1452">
        <f t="shared" si="690"/>
        <v>0</v>
      </c>
      <c r="BF1311" s="1452">
        <f t="shared" si="691"/>
        <v>0</v>
      </c>
      <c r="BG1311" s="1452">
        <f t="shared" si="692"/>
        <v>0</v>
      </c>
      <c r="BH1311" s="1452">
        <f t="shared" si="693"/>
        <v>0</v>
      </c>
      <c r="BI1311" s="1452">
        <f t="shared" si="710"/>
        <v>0</v>
      </c>
      <c r="BJ1311" s="1452" t="str">
        <f t="shared" si="694"/>
        <v/>
      </c>
      <c r="BK1311" s="1452" t="str">
        <f t="shared" si="695"/>
        <v/>
      </c>
      <c r="BL1311" s="1452" t="str">
        <f t="shared" si="696"/>
        <v/>
      </c>
      <c r="BM1311" s="1452" t="str">
        <f t="shared" si="697"/>
        <v/>
      </c>
      <c r="BN1311" s="1452" t="str">
        <f t="shared" ca="1" si="698"/>
        <v/>
      </c>
      <c r="BO1311" s="1452" t="str">
        <f t="shared" si="711"/>
        <v/>
      </c>
      <c r="BP1311" s="1452" t="str">
        <f t="shared" si="699"/>
        <v/>
      </c>
      <c r="BQ1311" s="1452" t="str">
        <f t="shared" si="700"/>
        <v/>
      </c>
      <c r="BR1311" s="1452" t="str">
        <f t="shared" si="701"/>
        <v/>
      </c>
      <c r="BS1311" s="1452" t="str">
        <f t="shared" si="702"/>
        <v/>
      </c>
      <c r="BT1311" s="1452" t="str">
        <f t="shared" si="703"/>
        <v/>
      </c>
      <c r="BU1311" s="1452" t="str">
        <f t="shared" si="704"/>
        <v/>
      </c>
      <c r="BV1311" s="1452" t="str">
        <f t="shared" si="705"/>
        <v/>
      </c>
      <c r="BW1311" s="1558">
        <f t="shared" ca="1" si="712"/>
        <v>0</v>
      </c>
    </row>
    <row r="1312" spans="1:75" s="9" customFormat="1" ht="12.5">
      <c r="A1312" s="1483" t="str">
        <f t="shared" si="706"/>
        <v>Public Health Wales Trust</v>
      </c>
      <c r="B1312" s="1583"/>
      <c r="C1312" s="1583"/>
      <c r="D1312" s="1583"/>
      <c r="E1312" s="1581"/>
      <c r="F1312" s="1436"/>
      <c r="G1312" s="1547">
        <f t="shared" si="707"/>
        <v>0</v>
      </c>
      <c r="H1312" s="1484"/>
      <c r="I1312" s="1547">
        <f t="shared" si="708"/>
        <v>0</v>
      </c>
      <c r="J1312" s="1485"/>
      <c r="K1312" s="1485"/>
      <c r="L1312" s="1436"/>
      <c r="M1312" s="1439"/>
      <c r="N1312" s="1439"/>
      <c r="O1312" s="1485"/>
      <c r="P1312" s="1486"/>
      <c r="Q1312" s="1486"/>
      <c r="R1312" s="1487"/>
      <c r="S1312" s="1444"/>
      <c r="T1312" s="1444"/>
      <c r="U1312" s="1444"/>
      <c r="V1312" s="1488"/>
      <c r="W1312" s="1488"/>
      <c r="X1312" s="1488"/>
      <c r="Y1312" s="1488"/>
      <c r="Z1312" s="1488"/>
      <c r="AA1312" s="1488"/>
      <c r="AB1312" s="1488"/>
      <c r="AC1312" s="1488"/>
      <c r="AD1312" s="1488"/>
      <c r="AE1312" s="1488"/>
      <c r="AF1312" s="1488"/>
      <c r="AG1312" s="1488"/>
      <c r="AH1312" s="1451">
        <f t="shared" si="680"/>
        <v>0</v>
      </c>
      <c r="AI1312" s="1488"/>
      <c r="AJ1312" s="1488"/>
      <c r="AK1312" s="1488"/>
      <c r="AL1312" s="1488"/>
      <c r="AM1312" s="1488"/>
      <c r="AN1312" s="1488"/>
      <c r="AO1312" s="1488"/>
      <c r="AP1312" s="1488"/>
      <c r="AQ1312" s="1488"/>
      <c r="AR1312" s="1488"/>
      <c r="AS1312" s="1488"/>
      <c r="AT1312" s="1542"/>
      <c r="AU1312" s="1599">
        <f t="shared" si="681"/>
        <v>0</v>
      </c>
      <c r="AV1312" s="1544">
        <f t="shared" si="709"/>
        <v>0</v>
      </c>
      <c r="AW1312" s="1452">
        <f t="shared" si="682"/>
        <v>0</v>
      </c>
      <c r="AX1312" s="1452">
        <f t="shared" si="683"/>
        <v>0</v>
      </c>
      <c r="AY1312" s="1452">
        <f t="shared" si="684"/>
        <v>0</v>
      </c>
      <c r="AZ1312" s="1452">
        <f t="shared" si="685"/>
        <v>0</v>
      </c>
      <c r="BA1312" s="1452">
        <f t="shared" si="686"/>
        <v>0</v>
      </c>
      <c r="BB1312" s="1452">
        <f t="shared" si="687"/>
        <v>0</v>
      </c>
      <c r="BC1312" s="1452">
        <f t="shared" si="688"/>
        <v>0</v>
      </c>
      <c r="BD1312" s="1452">
        <f t="shared" si="689"/>
        <v>0</v>
      </c>
      <c r="BE1312" s="1452">
        <f t="shared" si="690"/>
        <v>0</v>
      </c>
      <c r="BF1312" s="1452">
        <f t="shared" si="691"/>
        <v>0</v>
      </c>
      <c r="BG1312" s="1452">
        <f t="shared" si="692"/>
        <v>0</v>
      </c>
      <c r="BH1312" s="1452">
        <f t="shared" si="693"/>
        <v>0</v>
      </c>
      <c r="BI1312" s="1452">
        <f t="shared" si="710"/>
        <v>0</v>
      </c>
      <c r="BJ1312" s="1452" t="str">
        <f t="shared" si="694"/>
        <v/>
      </c>
      <c r="BK1312" s="1452" t="str">
        <f t="shared" si="695"/>
        <v/>
      </c>
      <c r="BL1312" s="1452" t="str">
        <f t="shared" si="696"/>
        <v/>
      </c>
      <c r="BM1312" s="1452" t="str">
        <f t="shared" si="697"/>
        <v/>
      </c>
      <c r="BN1312" s="1452" t="str">
        <f t="shared" ca="1" si="698"/>
        <v/>
      </c>
      <c r="BO1312" s="1452" t="str">
        <f t="shared" si="711"/>
        <v/>
      </c>
      <c r="BP1312" s="1452" t="str">
        <f t="shared" si="699"/>
        <v/>
      </c>
      <c r="BQ1312" s="1452" t="str">
        <f t="shared" si="700"/>
        <v/>
      </c>
      <c r="BR1312" s="1452" t="str">
        <f t="shared" si="701"/>
        <v/>
      </c>
      <c r="BS1312" s="1452" t="str">
        <f t="shared" si="702"/>
        <v/>
      </c>
      <c r="BT1312" s="1452" t="str">
        <f t="shared" si="703"/>
        <v/>
      </c>
      <c r="BU1312" s="1452" t="str">
        <f t="shared" si="704"/>
        <v/>
      </c>
      <c r="BV1312" s="1452" t="str">
        <f t="shared" si="705"/>
        <v/>
      </c>
      <c r="BW1312" s="1558">
        <f t="shared" ca="1" si="712"/>
        <v>0</v>
      </c>
    </row>
    <row r="1313" spans="1:75" s="9" customFormat="1" ht="12.5">
      <c r="A1313" s="1483" t="str">
        <f t="shared" si="706"/>
        <v>Public Health Wales Trust</v>
      </c>
      <c r="B1313" s="1583"/>
      <c r="C1313" s="1583"/>
      <c r="D1313" s="1583"/>
      <c r="E1313" s="1581"/>
      <c r="F1313" s="1436"/>
      <c r="G1313" s="1547">
        <f t="shared" si="707"/>
        <v>0</v>
      </c>
      <c r="H1313" s="1484"/>
      <c r="I1313" s="1547">
        <f t="shared" si="708"/>
        <v>0</v>
      </c>
      <c r="J1313" s="1485"/>
      <c r="K1313" s="1485"/>
      <c r="L1313" s="1436"/>
      <c r="M1313" s="1439"/>
      <c r="N1313" s="1439"/>
      <c r="O1313" s="1485"/>
      <c r="P1313" s="1486"/>
      <c r="Q1313" s="1486"/>
      <c r="R1313" s="1487"/>
      <c r="S1313" s="1444"/>
      <c r="T1313" s="1444"/>
      <c r="U1313" s="1444"/>
      <c r="V1313" s="1488"/>
      <c r="W1313" s="1488"/>
      <c r="X1313" s="1488"/>
      <c r="Y1313" s="1488"/>
      <c r="Z1313" s="1488"/>
      <c r="AA1313" s="1488"/>
      <c r="AB1313" s="1488"/>
      <c r="AC1313" s="1488"/>
      <c r="AD1313" s="1488"/>
      <c r="AE1313" s="1488"/>
      <c r="AF1313" s="1488"/>
      <c r="AG1313" s="1488"/>
      <c r="AH1313" s="1451">
        <f t="shared" si="680"/>
        <v>0</v>
      </c>
      <c r="AI1313" s="1488"/>
      <c r="AJ1313" s="1488"/>
      <c r="AK1313" s="1488"/>
      <c r="AL1313" s="1488"/>
      <c r="AM1313" s="1488"/>
      <c r="AN1313" s="1488"/>
      <c r="AO1313" s="1488"/>
      <c r="AP1313" s="1488"/>
      <c r="AQ1313" s="1488"/>
      <c r="AR1313" s="1488"/>
      <c r="AS1313" s="1488"/>
      <c r="AT1313" s="1542"/>
      <c r="AU1313" s="1599">
        <f t="shared" si="681"/>
        <v>0</v>
      </c>
      <c r="AV1313" s="1544">
        <f t="shared" si="709"/>
        <v>0</v>
      </c>
      <c r="AW1313" s="1452">
        <f t="shared" si="682"/>
        <v>0</v>
      </c>
      <c r="AX1313" s="1452">
        <f t="shared" si="683"/>
        <v>0</v>
      </c>
      <c r="AY1313" s="1452">
        <f t="shared" si="684"/>
        <v>0</v>
      </c>
      <c r="AZ1313" s="1452">
        <f t="shared" si="685"/>
        <v>0</v>
      </c>
      <c r="BA1313" s="1452">
        <f t="shared" si="686"/>
        <v>0</v>
      </c>
      <c r="BB1313" s="1452">
        <f t="shared" si="687"/>
        <v>0</v>
      </c>
      <c r="BC1313" s="1452">
        <f t="shared" si="688"/>
        <v>0</v>
      </c>
      <c r="BD1313" s="1452">
        <f t="shared" si="689"/>
        <v>0</v>
      </c>
      <c r="BE1313" s="1452">
        <f t="shared" si="690"/>
        <v>0</v>
      </c>
      <c r="BF1313" s="1452">
        <f t="shared" si="691"/>
        <v>0</v>
      </c>
      <c r="BG1313" s="1452">
        <f t="shared" si="692"/>
        <v>0</v>
      </c>
      <c r="BH1313" s="1452">
        <f t="shared" si="693"/>
        <v>0</v>
      </c>
      <c r="BI1313" s="1452">
        <f t="shared" si="710"/>
        <v>0</v>
      </c>
      <c r="BJ1313" s="1452" t="str">
        <f t="shared" si="694"/>
        <v/>
      </c>
      <c r="BK1313" s="1452" t="str">
        <f t="shared" si="695"/>
        <v/>
      </c>
      <c r="BL1313" s="1452" t="str">
        <f t="shared" si="696"/>
        <v/>
      </c>
      <c r="BM1313" s="1452" t="str">
        <f t="shared" si="697"/>
        <v/>
      </c>
      <c r="BN1313" s="1452" t="str">
        <f t="shared" ca="1" si="698"/>
        <v/>
      </c>
      <c r="BO1313" s="1452" t="str">
        <f t="shared" si="711"/>
        <v/>
      </c>
      <c r="BP1313" s="1452" t="str">
        <f t="shared" si="699"/>
        <v/>
      </c>
      <c r="BQ1313" s="1452" t="str">
        <f t="shared" si="700"/>
        <v/>
      </c>
      <c r="BR1313" s="1452" t="str">
        <f t="shared" si="701"/>
        <v/>
      </c>
      <c r="BS1313" s="1452" t="str">
        <f t="shared" si="702"/>
        <v/>
      </c>
      <c r="BT1313" s="1452" t="str">
        <f t="shared" si="703"/>
        <v/>
      </c>
      <c r="BU1313" s="1452" t="str">
        <f t="shared" si="704"/>
        <v/>
      </c>
      <c r="BV1313" s="1452" t="str">
        <f t="shared" si="705"/>
        <v/>
      </c>
      <c r="BW1313" s="1558">
        <f t="shared" ca="1" si="712"/>
        <v>0</v>
      </c>
    </row>
    <row r="1314" spans="1:75" s="9" customFormat="1" ht="12.5">
      <c r="A1314" s="1483" t="str">
        <f t="shared" si="706"/>
        <v>Public Health Wales Trust</v>
      </c>
      <c r="B1314" s="1583"/>
      <c r="C1314" s="1583"/>
      <c r="D1314" s="1583"/>
      <c r="E1314" s="1581"/>
      <c r="F1314" s="1436"/>
      <c r="G1314" s="1547">
        <f t="shared" si="707"/>
        <v>0</v>
      </c>
      <c r="H1314" s="1484"/>
      <c r="I1314" s="1547">
        <f t="shared" si="708"/>
        <v>0</v>
      </c>
      <c r="J1314" s="1485"/>
      <c r="K1314" s="1485"/>
      <c r="L1314" s="1436"/>
      <c r="M1314" s="1439"/>
      <c r="N1314" s="1439"/>
      <c r="O1314" s="1485"/>
      <c r="P1314" s="1486"/>
      <c r="Q1314" s="1486"/>
      <c r="R1314" s="1487"/>
      <c r="S1314" s="1444"/>
      <c r="T1314" s="1444"/>
      <c r="U1314" s="1444"/>
      <c r="V1314" s="1488"/>
      <c r="W1314" s="1488"/>
      <c r="X1314" s="1488"/>
      <c r="Y1314" s="1488"/>
      <c r="Z1314" s="1488"/>
      <c r="AA1314" s="1488"/>
      <c r="AB1314" s="1488"/>
      <c r="AC1314" s="1488"/>
      <c r="AD1314" s="1488"/>
      <c r="AE1314" s="1488"/>
      <c r="AF1314" s="1488"/>
      <c r="AG1314" s="1488"/>
      <c r="AH1314" s="1451">
        <f t="shared" si="680"/>
        <v>0</v>
      </c>
      <c r="AI1314" s="1488"/>
      <c r="AJ1314" s="1488"/>
      <c r="AK1314" s="1488"/>
      <c r="AL1314" s="1488"/>
      <c r="AM1314" s="1488"/>
      <c r="AN1314" s="1488"/>
      <c r="AO1314" s="1488"/>
      <c r="AP1314" s="1488"/>
      <c r="AQ1314" s="1488"/>
      <c r="AR1314" s="1488"/>
      <c r="AS1314" s="1488"/>
      <c r="AT1314" s="1542"/>
      <c r="AU1314" s="1599">
        <f t="shared" si="681"/>
        <v>0</v>
      </c>
      <c r="AV1314" s="1544">
        <f t="shared" si="709"/>
        <v>0</v>
      </c>
      <c r="AW1314" s="1452">
        <f t="shared" si="682"/>
        <v>0</v>
      </c>
      <c r="AX1314" s="1452">
        <f t="shared" si="683"/>
        <v>0</v>
      </c>
      <c r="AY1314" s="1452">
        <f t="shared" si="684"/>
        <v>0</v>
      </c>
      <c r="AZ1314" s="1452">
        <f t="shared" si="685"/>
        <v>0</v>
      </c>
      <c r="BA1314" s="1452">
        <f t="shared" si="686"/>
        <v>0</v>
      </c>
      <c r="BB1314" s="1452">
        <f t="shared" si="687"/>
        <v>0</v>
      </c>
      <c r="BC1314" s="1452">
        <f t="shared" si="688"/>
        <v>0</v>
      </c>
      <c r="BD1314" s="1452">
        <f t="shared" si="689"/>
        <v>0</v>
      </c>
      <c r="BE1314" s="1452">
        <f t="shared" si="690"/>
        <v>0</v>
      </c>
      <c r="BF1314" s="1452">
        <f t="shared" si="691"/>
        <v>0</v>
      </c>
      <c r="BG1314" s="1452">
        <f t="shared" si="692"/>
        <v>0</v>
      </c>
      <c r="BH1314" s="1452">
        <f t="shared" si="693"/>
        <v>0</v>
      </c>
      <c r="BI1314" s="1452">
        <f t="shared" si="710"/>
        <v>0</v>
      </c>
      <c r="BJ1314" s="1452" t="str">
        <f t="shared" si="694"/>
        <v/>
      </c>
      <c r="BK1314" s="1452" t="str">
        <f t="shared" si="695"/>
        <v/>
      </c>
      <c r="BL1314" s="1452" t="str">
        <f t="shared" si="696"/>
        <v/>
      </c>
      <c r="BM1314" s="1452" t="str">
        <f t="shared" si="697"/>
        <v/>
      </c>
      <c r="BN1314" s="1452" t="str">
        <f t="shared" ca="1" si="698"/>
        <v/>
      </c>
      <c r="BO1314" s="1452" t="str">
        <f t="shared" si="711"/>
        <v/>
      </c>
      <c r="BP1314" s="1452" t="str">
        <f t="shared" si="699"/>
        <v/>
      </c>
      <c r="BQ1314" s="1452" t="str">
        <f t="shared" si="700"/>
        <v/>
      </c>
      <c r="BR1314" s="1452" t="str">
        <f t="shared" si="701"/>
        <v/>
      </c>
      <c r="BS1314" s="1452" t="str">
        <f t="shared" si="702"/>
        <v/>
      </c>
      <c r="BT1314" s="1452" t="str">
        <f t="shared" si="703"/>
        <v/>
      </c>
      <c r="BU1314" s="1452" t="str">
        <f t="shared" si="704"/>
        <v/>
      </c>
      <c r="BV1314" s="1452" t="str">
        <f t="shared" si="705"/>
        <v/>
      </c>
      <c r="BW1314" s="1558">
        <f t="shared" ca="1" si="712"/>
        <v>0</v>
      </c>
    </row>
    <row r="1315" spans="1:75" s="9" customFormat="1" ht="12.5">
      <c r="A1315" s="1483" t="str">
        <f t="shared" si="706"/>
        <v>Public Health Wales Trust</v>
      </c>
      <c r="B1315" s="1583"/>
      <c r="C1315" s="1583"/>
      <c r="D1315" s="1583"/>
      <c r="E1315" s="1581"/>
      <c r="F1315" s="1436"/>
      <c r="G1315" s="1547">
        <f t="shared" si="707"/>
        <v>0</v>
      </c>
      <c r="H1315" s="1484"/>
      <c r="I1315" s="1547">
        <f t="shared" si="708"/>
        <v>0</v>
      </c>
      <c r="J1315" s="1485"/>
      <c r="K1315" s="1485"/>
      <c r="L1315" s="1436"/>
      <c r="M1315" s="1439"/>
      <c r="N1315" s="1439"/>
      <c r="O1315" s="1485"/>
      <c r="P1315" s="1486"/>
      <c r="Q1315" s="1486"/>
      <c r="R1315" s="1487"/>
      <c r="S1315" s="1444"/>
      <c r="T1315" s="1444"/>
      <c r="U1315" s="1444"/>
      <c r="V1315" s="1488"/>
      <c r="W1315" s="1488"/>
      <c r="X1315" s="1488"/>
      <c r="Y1315" s="1488"/>
      <c r="Z1315" s="1488"/>
      <c r="AA1315" s="1488"/>
      <c r="AB1315" s="1488"/>
      <c r="AC1315" s="1488"/>
      <c r="AD1315" s="1488"/>
      <c r="AE1315" s="1488"/>
      <c r="AF1315" s="1488"/>
      <c r="AG1315" s="1488"/>
      <c r="AH1315" s="1451">
        <f t="shared" si="680"/>
        <v>0</v>
      </c>
      <c r="AI1315" s="1488"/>
      <c r="AJ1315" s="1488"/>
      <c r="AK1315" s="1488"/>
      <c r="AL1315" s="1488"/>
      <c r="AM1315" s="1488"/>
      <c r="AN1315" s="1488"/>
      <c r="AO1315" s="1488"/>
      <c r="AP1315" s="1488"/>
      <c r="AQ1315" s="1488"/>
      <c r="AR1315" s="1488"/>
      <c r="AS1315" s="1488"/>
      <c r="AT1315" s="1542"/>
      <c r="AU1315" s="1599">
        <f t="shared" si="681"/>
        <v>0</v>
      </c>
      <c r="AV1315" s="1544">
        <f t="shared" si="709"/>
        <v>0</v>
      </c>
      <c r="AW1315" s="1452">
        <f t="shared" si="682"/>
        <v>0</v>
      </c>
      <c r="AX1315" s="1452">
        <f t="shared" si="683"/>
        <v>0</v>
      </c>
      <c r="AY1315" s="1452">
        <f t="shared" si="684"/>
        <v>0</v>
      </c>
      <c r="AZ1315" s="1452">
        <f t="shared" si="685"/>
        <v>0</v>
      </c>
      <c r="BA1315" s="1452">
        <f t="shared" si="686"/>
        <v>0</v>
      </c>
      <c r="BB1315" s="1452">
        <f t="shared" si="687"/>
        <v>0</v>
      </c>
      <c r="BC1315" s="1452">
        <f t="shared" si="688"/>
        <v>0</v>
      </c>
      <c r="BD1315" s="1452">
        <f t="shared" si="689"/>
        <v>0</v>
      </c>
      <c r="BE1315" s="1452">
        <f t="shared" si="690"/>
        <v>0</v>
      </c>
      <c r="BF1315" s="1452">
        <f t="shared" si="691"/>
        <v>0</v>
      </c>
      <c r="BG1315" s="1452">
        <f t="shared" si="692"/>
        <v>0</v>
      </c>
      <c r="BH1315" s="1452">
        <f t="shared" si="693"/>
        <v>0</v>
      </c>
      <c r="BI1315" s="1452">
        <f t="shared" si="710"/>
        <v>0</v>
      </c>
      <c r="BJ1315" s="1452" t="str">
        <f t="shared" si="694"/>
        <v/>
      </c>
      <c r="BK1315" s="1452" t="str">
        <f t="shared" si="695"/>
        <v/>
      </c>
      <c r="BL1315" s="1452" t="str">
        <f t="shared" si="696"/>
        <v/>
      </c>
      <c r="BM1315" s="1452" t="str">
        <f t="shared" si="697"/>
        <v/>
      </c>
      <c r="BN1315" s="1452" t="str">
        <f t="shared" ca="1" si="698"/>
        <v/>
      </c>
      <c r="BO1315" s="1452" t="str">
        <f t="shared" si="711"/>
        <v/>
      </c>
      <c r="BP1315" s="1452" t="str">
        <f t="shared" si="699"/>
        <v/>
      </c>
      <c r="BQ1315" s="1452" t="str">
        <f t="shared" si="700"/>
        <v/>
      </c>
      <c r="BR1315" s="1452" t="str">
        <f t="shared" si="701"/>
        <v/>
      </c>
      <c r="BS1315" s="1452" t="str">
        <f t="shared" si="702"/>
        <v/>
      </c>
      <c r="BT1315" s="1452" t="str">
        <f t="shared" si="703"/>
        <v/>
      </c>
      <c r="BU1315" s="1452" t="str">
        <f t="shared" si="704"/>
        <v/>
      </c>
      <c r="BV1315" s="1452" t="str">
        <f t="shared" si="705"/>
        <v/>
      </c>
      <c r="BW1315" s="1558">
        <f t="shared" ca="1" si="712"/>
        <v>0</v>
      </c>
    </row>
    <row r="1316" spans="1:75" s="9" customFormat="1" ht="12.5">
      <c r="A1316" s="1483" t="str">
        <f t="shared" si="706"/>
        <v>Public Health Wales Trust</v>
      </c>
      <c r="B1316" s="1583"/>
      <c r="C1316" s="1583"/>
      <c r="D1316" s="1583"/>
      <c r="E1316" s="1581"/>
      <c r="F1316" s="1436"/>
      <c r="G1316" s="1547">
        <f t="shared" si="707"/>
        <v>0</v>
      </c>
      <c r="H1316" s="1484"/>
      <c r="I1316" s="1547">
        <f t="shared" si="708"/>
        <v>0</v>
      </c>
      <c r="J1316" s="1485"/>
      <c r="K1316" s="1485"/>
      <c r="L1316" s="1436"/>
      <c r="M1316" s="1439"/>
      <c r="N1316" s="1439"/>
      <c r="O1316" s="1485"/>
      <c r="P1316" s="1486"/>
      <c r="Q1316" s="1486"/>
      <c r="R1316" s="1487"/>
      <c r="S1316" s="1444"/>
      <c r="T1316" s="1444"/>
      <c r="U1316" s="1444"/>
      <c r="V1316" s="1488"/>
      <c r="W1316" s="1488"/>
      <c r="X1316" s="1488"/>
      <c r="Y1316" s="1488"/>
      <c r="Z1316" s="1488"/>
      <c r="AA1316" s="1488"/>
      <c r="AB1316" s="1488"/>
      <c r="AC1316" s="1488"/>
      <c r="AD1316" s="1488"/>
      <c r="AE1316" s="1488"/>
      <c r="AF1316" s="1488"/>
      <c r="AG1316" s="1488"/>
      <c r="AH1316" s="1451">
        <f t="shared" si="680"/>
        <v>0</v>
      </c>
      <c r="AI1316" s="1488"/>
      <c r="AJ1316" s="1488"/>
      <c r="AK1316" s="1488"/>
      <c r="AL1316" s="1488"/>
      <c r="AM1316" s="1488"/>
      <c r="AN1316" s="1488"/>
      <c r="AO1316" s="1488"/>
      <c r="AP1316" s="1488"/>
      <c r="AQ1316" s="1488"/>
      <c r="AR1316" s="1488"/>
      <c r="AS1316" s="1488"/>
      <c r="AT1316" s="1542"/>
      <c r="AU1316" s="1599">
        <f t="shared" si="681"/>
        <v>0</v>
      </c>
      <c r="AV1316" s="1544">
        <f t="shared" si="709"/>
        <v>0</v>
      </c>
      <c r="AW1316" s="1452">
        <f t="shared" si="682"/>
        <v>0</v>
      </c>
      <c r="AX1316" s="1452">
        <f t="shared" si="683"/>
        <v>0</v>
      </c>
      <c r="AY1316" s="1452">
        <f t="shared" si="684"/>
        <v>0</v>
      </c>
      <c r="AZ1316" s="1452">
        <f t="shared" si="685"/>
        <v>0</v>
      </c>
      <c r="BA1316" s="1452">
        <f t="shared" si="686"/>
        <v>0</v>
      </c>
      <c r="BB1316" s="1452">
        <f t="shared" si="687"/>
        <v>0</v>
      </c>
      <c r="BC1316" s="1452">
        <f t="shared" si="688"/>
        <v>0</v>
      </c>
      <c r="BD1316" s="1452">
        <f t="shared" si="689"/>
        <v>0</v>
      </c>
      <c r="BE1316" s="1452">
        <f t="shared" si="690"/>
        <v>0</v>
      </c>
      <c r="BF1316" s="1452">
        <f t="shared" si="691"/>
        <v>0</v>
      </c>
      <c r="BG1316" s="1452">
        <f t="shared" si="692"/>
        <v>0</v>
      </c>
      <c r="BH1316" s="1452">
        <f t="shared" si="693"/>
        <v>0</v>
      </c>
      <c r="BI1316" s="1452">
        <f t="shared" si="710"/>
        <v>0</v>
      </c>
      <c r="BJ1316" s="1452" t="str">
        <f t="shared" si="694"/>
        <v/>
      </c>
      <c r="BK1316" s="1452" t="str">
        <f t="shared" si="695"/>
        <v/>
      </c>
      <c r="BL1316" s="1452" t="str">
        <f t="shared" si="696"/>
        <v/>
      </c>
      <c r="BM1316" s="1452" t="str">
        <f t="shared" si="697"/>
        <v/>
      </c>
      <c r="BN1316" s="1452" t="str">
        <f t="shared" ca="1" si="698"/>
        <v/>
      </c>
      <c r="BO1316" s="1452" t="str">
        <f t="shared" si="711"/>
        <v/>
      </c>
      <c r="BP1316" s="1452" t="str">
        <f t="shared" si="699"/>
        <v/>
      </c>
      <c r="BQ1316" s="1452" t="str">
        <f t="shared" si="700"/>
        <v/>
      </c>
      <c r="BR1316" s="1452" t="str">
        <f t="shared" si="701"/>
        <v/>
      </c>
      <c r="BS1316" s="1452" t="str">
        <f t="shared" si="702"/>
        <v/>
      </c>
      <c r="BT1316" s="1452" t="str">
        <f t="shared" si="703"/>
        <v/>
      </c>
      <c r="BU1316" s="1452" t="str">
        <f t="shared" si="704"/>
        <v/>
      </c>
      <c r="BV1316" s="1452" t="str">
        <f t="shared" si="705"/>
        <v/>
      </c>
      <c r="BW1316" s="1558">
        <f t="shared" ca="1" si="712"/>
        <v>0</v>
      </c>
    </row>
    <row r="1317" spans="1:75" s="9" customFormat="1" ht="12.5">
      <c r="A1317" s="1483" t="str">
        <f t="shared" si="706"/>
        <v>Public Health Wales Trust</v>
      </c>
      <c r="B1317" s="1583"/>
      <c r="C1317" s="1583"/>
      <c r="D1317" s="1583"/>
      <c r="E1317" s="1581"/>
      <c r="F1317" s="1436"/>
      <c r="G1317" s="1547">
        <f t="shared" si="707"/>
        <v>0</v>
      </c>
      <c r="H1317" s="1484"/>
      <c r="I1317" s="1547">
        <f t="shared" si="708"/>
        <v>0</v>
      </c>
      <c r="J1317" s="1485"/>
      <c r="K1317" s="1485"/>
      <c r="L1317" s="1436"/>
      <c r="M1317" s="1439"/>
      <c r="N1317" s="1439"/>
      <c r="O1317" s="1485"/>
      <c r="P1317" s="1486"/>
      <c r="Q1317" s="1486"/>
      <c r="R1317" s="1487"/>
      <c r="S1317" s="1444"/>
      <c r="T1317" s="1444"/>
      <c r="U1317" s="1444"/>
      <c r="V1317" s="1488"/>
      <c r="W1317" s="1488"/>
      <c r="X1317" s="1488"/>
      <c r="Y1317" s="1488"/>
      <c r="Z1317" s="1488"/>
      <c r="AA1317" s="1488"/>
      <c r="AB1317" s="1488"/>
      <c r="AC1317" s="1488"/>
      <c r="AD1317" s="1488"/>
      <c r="AE1317" s="1488"/>
      <c r="AF1317" s="1488"/>
      <c r="AG1317" s="1488"/>
      <c r="AH1317" s="1451">
        <f t="shared" si="680"/>
        <v>0</v>
      </c>
      <c r="AI1317" s="1488"/>
      <c r="AJ1317" s="1488"/>
      <c r="AK1317" s="1488"/>
      <c r="AL1317" s="1488"/>
      <c r="AM1317" s="1488"/>
      <c r="AN1317" s="1488"/>
      <c r="AO1317" s="1488"/>
      <c r="AP1317" s="1488"/>
      <c r="AQ1317" s="1488"/>
      <c r="AR1317" s="1488"/>
      <c r="AS1317" s="1488"/>
      <c r="AT1317" s="1542"/>
      <c r="AU1317" s="1599">
        <f t="shared" si="681"/>
        <v>0</v>
      </c>
      <c r="AV1317" s="1544">
        <f t="shared" si="709"/>
        <v>0</v>
      </c>
      <c r="AW1317" s="1452">
        <f t="shared" si="682"/>
        <v>0</v>
      </c>
      <c r="AX1317" s="1452">
        <f t="shared" si="683"/>
        <v>0</v>
      </c>
      <c r="AY1317" s="1452">
        <f t="shared" si="684"/>
        <v>0</v>
      </c>
      <c r="AZ1317" s="1452">
        <f t="shared" si="685"/>
        <v>0</v>
      </c>
      <c r="BA1317" s="1452">
        <f t="shared" si="686"/>
        <v>0</v>
      </c>
      <c r="BB1317" s="1452">
        <f t="shared" si="687"/>
        <v>0</v>
      </c>
      <c r="BC1317" s="1452">
        <f t="shared" si="688"/>
        <v>0</v>
      </c>
      <c r="BD1317" s="1452">
        <f t="shared" si="689"/>
        <v>0</v>
      </c>
      <c r="BE1317" s="1452">
        <f t="shared" si="690"/>
        <v>0</v>
      </c>
      <c r="BF1317" s="1452">
        <f t="shared" si="691"/>
        <v>0</v>
      </c>
      <c r="BG1317" s="1452">
        <f t="shared" si="692"/>
        <v>0</v>
      </c>
      <c r="BH1317" s="1452">
        <f t="shared" si="693"/>
        <v>0</v>
      </c>
      <c r="BI1317" s="1452">
        <f t="shared" si="710"/>
        <v>0</v>
      </c>
      <c r="BJ1317" s="1452" t="str">
        <f t="shared" si="694"/>
        <v/>
      </c>
      <c r="BK1317" s="1452" t="str">
        <f t="shared" si="695"/>
        <v/>
      </c>
      <c r="BL1317" s="1452" t="str">
        <f t="shared" si="696"/>
        <v/>
      </c>
      <c r="BM1317" s="1452" t="str">
        <f t="shared" si="697"/>
        <v/>
      </c>
      <c r="BN1317" s="1452" t="str">
        <f t="shared" ca="1" si="698"/>
        <v/>
      </c>
      <c r="BO1317" s="1452" t="str">
        <f t="shared" si="711"/>
        <v/>
      </c>
      <c r="BP1317" s="1452" t="str">
        <f t="shared" si="699"/>
        <v/>
      </c>
      <c r="BQ1317" s="1452" t="str">
        <f t="shared" si="700"/>
        <v/>
      </c>
      <c r="BR1317" s="1452" t="str">
        <f t="shared" si="701"/>
        <v/>
      </c>
      <c r="BS1317" s="1452" t="str">
        <f t="shared" si="702"/>
        <v/>
      </c>
      <c r="BT1317" s="1452" t="str">
        <f t="shared" si="703"/>
        <v/>
      </c>
      <c r="BU1317" s="1452" t="str">
        <f t="shared" si="704"/>
        <v/>
      </c>
      <c r="BV1317" s="1452" t="str">
        <f t="shared" si="705"/>
        <v/>
      </c>
      <c r="BW1317" s="1558">
        <f t="shared" ca="1" si="712"/>
        <v>0</v>
      </c>
    </row>
    <row r="1318" spans="1:75" s="9" customFormat="1" ht="12.5">
      <c r="A1318" s="1483" t="str">
        <f t="shared" si="706"/>
        <v>Public Health Wales Trust</v>
      </c>
      <c r="B1318" s="1583"/>
      <c r="C1318" s="1583"/>
      <c r="D1318" s="1583"/>
      <c r="E1318" s="1581"/>
      <c r="F1318" s="1436"/>
      <c r="G1318" s="1547">
        <f t="shared" si="707"/>
        <v>0</v>
      </c>
      <c r="H1318" s="1484"/>
      <c r="I1318" s="1547">
        <f t="shared" si="708"/>
        <v>0</v>
      </c>
      <c r="J1318" s="1485"/>
      <c r="K1318" s="1485"/>
      <c r="L1318" s="1436"/>
      <c r="M1318" s="1439"/>
      <c r="N1318" s="1439"/>
      <c r="O1318" s="1485"/>
      <c r="P1318" s="1486"/>
      <c r="Q1318" s="1486"/>
      <c r="R1318" s="1487"/>
      <c r="S1318" s="1444"/>
      <c r="T1318" s="1444"/>
      <c r="U1318" s="1444"/>
      <c r="V1318" s="1488"/>
      <c r="W1318" s="1488"/>
      <c r="X1318" s="1488"/>
      <c r="Y1318" s="1488"/>
      <c r="Z1318" s="1488"/>
      <c r="AA1318" s="1488"/>
      <c r="AB1318" s="1488"/>
      <c r="AC1318" s="1488"/>
      <c r="AD1318" s="1488"/>
      <c r="AE1318" s="1488"/>
      <c r="AF1318" s="1488"/>
      <c r="AG1318" s="1488"/>
      <c r="AH1318" s="1451">
        <f t="shared" si="680"/>
        <v>0</v>
      </c>
      <c r="AI1318" s="1488"/>
      <c r="AJ1318" s="1488"/>
      <c r="AK1318" s="1488"/>
      <c r="AL1318" s="1488"/>
      <c r="AM1318" s="1488"/>
      <c r="AN1318" s="1488"/>
      <c r="AO1318" s="1488"/>
      <c r="AP1318" s="1488"/>
      <c r="AQ1318" s="1488"/>
      <c r="AR1318" s="1488"/>
      <c r="AS1318" s="1488"/>
      <c r="AT1318" s="1542"/>
      <c r="AU1318" s="1599">
        <f t="shared" si="681"/>
        <v>0</v>
      </c>
      <c r="AV1318" s="1544">
        <f t="shared" si="709"/>
        <v>0</v>
      </c>
      <c r="AW1318" s="1452">
        <f t="shared" si="682"/>
        <v>0</v>
      </c>
      <c r="AX1318" s="1452">
        <f t="shared" si="683"/>
        <v>0</v>
      </c>
      <c r="AY1318" s="1452">
        <f t="shared" si="684"/>
        <v>0</v>
      </c>
      <c r="AZ1318" s="1452">
        <f t="shared" si="685"/>
        <v>0</v>
      </c>
      <c r="BA1318" s="1452">
        <f t="shared" si="686"/>
        <v>0</v>
      </c>
      <c r="BB1318" s="1452">
        <f t="shared" si="687"/>
        <v>0</v>
      </c>
      <c r="BC1318" s="1452">
        <f t="shared" si="688"/>
        <v>0</v>
      </c>
      <c r="BD1318" s="1452">
        <f t="shared" si="689"/>
        <v>0</v>
      </c>
      <c r="BE1318" s="1452">
        <f t="shared" si="690"/>
        <v>0</v>
      </c>
      <c r="BF1318" s="1452">
        <f t="shared" si="691"/>
        <v>0</v>
      </c>
      <c r="BG1318" s="1452">
        <f t="shared" si="692"/>
        <v>0</v>
      </c>
      <c r="BH1318" s="1452">
        <f t="shared" si="693"/>
        <v>0</v>
      </c>
      <c r="BI1318" s="1452">
        <f t="shared" si="710"/>
        <v>0</v>
      </c>
      <c r="BJ1318" s="1452" t="str">
        <f t="shared" si="694"/>
        <v/>
      </c>
      <c r="BK1318" s="1452" t="str">
        <f t="shared" si="695"/>
        <v/>
      </c>
      <c r="BL1318" s="1452" t="str">
        <f t="shared" si="696"/>
        <v/>
      </c>
      <c r="BM1318" s="1452" t="str">
        <f t="shared" si="697"/>
        <v/>
      </c>
      <c r="BN1318" s="1452" t="str">
        <f t="shared" ca="1" si="698"/>
        <v/>
      </c>
      <c r="BO1318" s="1452" t="str">
        <f t="shared" si="711"/>
        <v/>
      </c>
      <c r="BP1318" s="1452" t="str">
        <f t="shared" si="699"/>
        <v/>
      </c>
      <c r="BQ1318" s="1452" t="str">
        <f t="shared" si="700"/>
        <v/>
      </c>
      <c r="BR1318" s="1452" t="str">
        <f t="shared" si="701"/>
        <v/>
      </c>
      <c r="BS1318" s="1452" t="str">
        <f t="shared" si="702"/>
        <v/>
      </c>
      <c r="BT1318" s="1452" t="str">
        <f t="shared" si="703"/>
        <v/>
      </c>
      <c r="BU1318" s="1452" t="str">
        <f t="shared" si="704"/>
        <v/>
      </c>
      <c r="BV1318" s="1452" t="str">
        <f t="shared" si="705"/>
        <v/>
      </c>
      <c r="BW1318" s="1558">
        <f t="shared" ca="1" si="712"/>
        <v>0</v>
      </c>
    </row>
    <row r="1319" spans="1:75" s="9" customFormat="1" ht="12.5">
      <c r="A1319" s="1483" t="str">
        <f t="shared" si="706"/>
        <v>Public Health Wales Trust</v>
      </c>
      <c r="B1319" s="1583"/>
      <c r="C1319" s="1583"/>
      <c r="D1319" s="1583"/>
      <c r="E1319" s="1581"/>
      <c r="F1319" s="1436"/>
      <c r="G1319" s="1547">
        <f t="shared" si="707"/>
        <v>0</v>
      </c>
      <c r="H1319" s="1484"/>
      <c r="I1319" s="1547">
        <f t="shared" si="708"/>
        <v>0</v>
      </c>
      <c r="J1319" s="1485"/>
      <c r="K1319" s="1485"/>
      <c r="L1319" s="1436"/>
      <c r="M1319" s="1439"/>
      <c r="N1319" s="1439"/>
      <c r="O1319" s="1485"/>
      <c r="P1319" s="1486"/>
      <c r="Q1319" s="1486"/>
      <c r="R1319" s="1487"/>
      <c r="S1319" s="1444"/>
      <c r="T1319" s="1444"/>
      <c r="U1319" s="1444"/>
      <c r="V1319" s="1488"/>
      <c r="W1319" s="1488"/>
      <c r="X1319" s="1488"/>
      <c r="Y1319" s="1488"/>
      <c r="Z1319" s="1488"/>
      <c r="AA1319" s="1488"/>
      <c r="AB1319" s="1488"/>
      <c r="AC1319" s="1488"/>
      <c r="AD1319" s="1488"/>
      <c r="AE1319" s="1488"/>
      <c r="AF1319" s="1488"/>
      <c r="AG1319" s="1488"/>
      <c r="AH1319" s="1451">
        <f t="shared" si="680"/>
        <v>0</v>
      </c>
      <c r="AI1319" s="1488"/>
      <c r="AJ1319" s="1488"/>
      <c r="AK1319" s="1488"/>
      <c r="AL1319" s="1488"/>
      <c r="AM1319" s="1488"/>
      <c r="AN1319" s="1488"/>
      <c r="AO1319" s="1488"/>
      <c r="AP1319" s="1488"/>
      <c r="AQ1319" s="1488"/>
      <c r="AR1319" s="1488"/>
      <c r="AS1319" s="1488"/>
      <c r="AT1319" s="1542"/>
      <c r="AU1319" s="1599">
        <f t="shared" si="681"/>
        <v>0</v>
      </c>
      <c r="AV1319" s="1544">
        <f t="shared" si="709"/>
        <v>0</v>
      </c>
      <c r="AW1319" s="1452">
        <f t="shared" si="682"/>
        <v>0</v>
      </c>
      <c r="AX1319" s="1452">
        <f t="shared" si="683"/>
        <v>0</v>
      </c>
      <c r="AY1319" s="1452">
        <f t="shared" si="684"/>
        <v>0</v>
      </c>
      <c r="AZ1319" s="1452">
        <f t="shared" si="685"/>
        <v>0</v>
      </c>
      <c r="BA1319" s="1452">
        <f t="shared" si="686"/>
        <v>0</v>
      </c>
      <c r="BB1319" s="1452">
        <f t="shared" si="687"/>
        <v>0</v>
      </c>
      <c r="BC1319" s="1452">
        <f t="shared" si="688"/>
        <v>0</v>
      </c>
      <c r="BD1319" s="1452">
        <f t="shared" si="689"/>
        <v>0</v>
      </c>
      <c r="BE1319" s="1452">
        <f t="shared" si="690"/>
        <v>0</v>
      </c>
      <c r="BF1319" s="1452">
        <f t="shared" si="691"/>
        <v>0</v>
      </c>
      <c r="BG1319" s="1452">
        <f t="shared" si="692"/>
        <v>0</v>
      </c>
      <c r="BH1319" s="1452">
        <f t="shared" si="693"/>
        <v>0</v>
      </c>
      <c r="BI1319" s="1452">
        <f t="shared" si="710"/>
        <v>0</v>
      </c>
      <c r="BJ1319" s="1452" t="str">
        <f t="shared" si="694"/>
        <v/>
      </c>
      <c r="BK1319" s="1452" t="str">
        <f t="shared" si="695"/>
        <v/>
      </c>
      <c r="BL1319" s="1452" t="str">
        <f t="shared" si="696"/>
        <v/>
      </c>
      <c r="BM1319" s="1452" t="str">
        <f t="shared" si="697"/>
        <v/>
      </c>
      <c r="BN1319" s="1452" t="str">
        <f t="shared" ca="1" si="698"/>
        <v/>
      </c>
      <c r="BO1319" s="1452" t="str">
        <f t="shared" si="711"/>
        <v/>
      </c>
      <c r="BP1319" s="1452" t="str">
        <f t="shared" si="699"/>
        <v/>
      </c>
      <c r="BQ1319" s="1452" t="str">
        <f t="shared" si="700"/>
        <v/>
      </c>
      <c r="BR1319" s="1452" t="str">
        <f t="shared" si="701"/>
        <v/>
      </c>
      <c r="BS1319" s="1452" t="str">
        <f t="shared" si="702"/>
        <v/>
      </c>
      <c r="BT1319" s="1452" t="str">
        <f t="shared" si="703"/>
        <v/>
      </c>
      <c r="BU1319" s="1452" t="str">
        <f t="shared" si="704"/>
        <v/>
      </c>
      <c r="BV1319" s="1452" t="str">
        <f t="shared" si="705"/>
        <v/>
      </c>
      <c r="BW1319" s="1558">
        <f t="shared" ca="1" si="712"/>
        <v>0</v>
      </c>
    </row>
    <row r="1320" spans="1:75" s="9" customFormat="1" ht="12.5">
      <c r="A1320" s="1483" t="str">
        <f t="shared" si="706"/>
        <v>Public Health Wales Trust</v>
      </c>
      <c r="B1320" s="1583"/>
      <c r="C1320" s="1583"/>
      <c r="D1320" s="1583"/>
      <c r="E1320" s="1581"/>
      <c r="F1320" s="1436"/>
      <c r="G1320" s="1547">
        <f t="shared" si="707"/>
        <v>0</v>
      </c>
      <c r="H1320" s="1484"/>
      <c r="I1320" s="1547">
        <f t="shared" si="708"/>
        <v>0</v>
      </c>
      <c r="J1320" s="1485"/>
      <c r="K1320" s="1485"/>
      <c r="L1320" s="1436"/>
      <c r="M1320" s="1439"/>
      <c r="N1320" s="1439"/>
      <c r="O1320" s="1485"/>
      <c r="P1320" s="1486"/>
      <c r="Q1320" s="1486"/>
      <c r="R1320" s="1487"/>
      <c r="S1320" s="1444"/>
      <c r="T1320" s="1444"/>
      <c r="U1320" s="1444"/>
      <c r="V1320" s="1488"/>
      <c r="W1320" s="1488"/>
      <c r="X1320" s="1488"/>
      <c r="Y1320" s="1488"/>
      <c r="Z1320" s="1488"/>
      <c r="AA1320" s="1488"/>
      <c r="AB1320" s="1488"/>
      <c r="AC1320" s="1488"/>
      <c r="AD1320" s="1488"/>
      <c r="AE1320" s="1488"/>
      <c r="AF1320" s="1488"/>
      <c r="AG1320" s="1488"/>
      <c r="AH1320" s="1451">
        <f t="shared" si="680"/>
        <v>0</v>
      </c>
      <c r="AI1320" s="1488"/>
      <c r="AJ1320" s="1488"/>
      <c r="AK1320" s="1488"/>
      <c r="AL1320" s="1488"/>
      <c r="AM1320" s="1488"/>
      <c r="AN1320" s="1488"/>
      <c r="AO1320" s="1488"/>
      <c r="AP1320" s="1488"/>
      <c r="AQ1320" s="1488"/>
      <c r="AR1320" s="1488"/>
      <c r="AS1320" s="1488"/>
      <c r="AT1320" s="1542"/>
      <c r="AU1320" s="1599">
        <f t="shared" si="681"/>
        <v>0</v>
      </c>
      <c r="AV1320" s="1544">
        <f t="shared" si="709"/>
        <v>0</v>
      </c>
      <c r="AW1320" s="1452">
        <f t="shared" si="682"/>
        <v>0</v>
      </c>
      <c r="AX1320" s="1452">
        <f t="shared" si="683"/>
        <v>0</v>
      </c>
      <c r="AY1320" s="1452">
        <f t="shared" si="684"/>
        <v>0</v>
      </c>
      <c r="AZ1320" s="1452">
        <f t="shared" si="685"/>
        <v>0</v>
      </c>
      <c r="BA1320" s="1452">
        <f t="shared" si="686"/>
        <v>0</v>
      </c>
      <c r="BB1320" s="1452">
        <f t="shared" si="687"/>
        <v>0</v>
      </c>
      <c r="BC1320" s="1452">
        <f t="shared" si="688"/>
        <v>0</v>
      </c>
      <c r="BD1320" s="1452">
        <f t="shared" si="689"/>
        <v>0</v>
      </c>
      <c r="BE1320" s="1452">
        <f t="shared" si="690"/>
        <v>0</v>
      </c>
      <c r="BF1320" s="1452">
        <f t="shared" si="691"/>
        <v>0</v>
      </c>
      <c r="BG1320" s="1452">
        <f t="shared" si="692"/>
        <v>0</v>
      </c>
      <c r="BH1320" s="1452">
        <f t="shared" si="693"/>
        <v>0</v>
      </c>
      <c r="BI1320" s="1452">
        <f t="shared" si="710"/>
        <v>0</v>
      </c>
      <c r="BJ1320" s="1452" t="str">
        <f t="shared" si="694"/>
        <v/>
      </c>
      <c r="BK1320" s="1452" t="str">
        <f t="shared" si="695"/>
        <v/>
      </c>
      <c r="BL1320" s="1452" t="str">
        <f t="shared" si="696"/>
        <v/>
      </c>
      <c r="BM1320" s="1452" t="str">
        <f t="shared" si="697"/>
        <v/>
      </c>
      <c r="BN1320" s="1452" t="str">
        <f t="shared" ca="1" si="698"/>
        <v/>
      </c>
      <c r="BO1320" s="1452" t="str">
        <f t="shared" si="711"/>
        <v/>
      </c>
      <c r="BP1320" s="1452" t="str">
        <f t="shared" si="699"/>
        <v/>
      </c>
      <c r="BQ1320" s="1452" t="str">
        <f t="shared" si="700"/>
        <v/>
      </c>
      <c r="BR1320" s="1452" t="str">
        <f t="shared" si="701"/>
        <v/>
      </c>
      <c r="BS1320" s="1452" t="str">
        <f t="shared" si="702"/>
        <v/>
      </c>
      <c r="BT1320" s="1452" t="str">
        <f t="shared" si="703"/>
        <v/>
      </c>
      <c r="BU1320" s="1452" t="str">
        <f t="shared" si="704"/>
        <v/>
      </c>
      <c r="BV1320" s="1452" t="str">
        <f t="shared" si="705"/>
        <v/>
      </c>
      <c r="BW1320" s="1558">
        <f t="shared" ca="1" si="712"/>
        <v>0</v>
      </c>
    </row>
    <row r="1321" spans="1:75" s="9" customFormat="1" ht="12.5">
      <c r="A1321" s="1483" t="str">
        <f t="shared" si="706"/>
        <v>Public Health Wales Trust</v>
      </c>
      <c r="B1321" s="1583"/>
      <c r="C1321" s="1583"/>
      <c r="D1321" s="1583"/>
      <c r="E1321" s="1581"/>
      <c r="F1321" s="1436"/>
      <c r="G1321" s="1547">
        <f t="shared" si="707"/>
        <v>0</v>
      </c>
      <c r="H1321" s="1484"/>
      <c r="I1321" s="1547">
        <f t="shared" si="708"/>
        <v>0</v>
      </c>
      <c r="J1321" s="1485"/>
      <c r="K1321" s="1485"/>
      <c r="L1321" s="1436"/>
      <c r="M1321" s="1439"/>
      <c r="N1321" s="1439"/>
      <c r="O1321" s="1485"/>
      <c r="P1321" s="1486"/>
      <c r="Q1321" s="1486"/>
      <c r="R1321" s="1487"/>
      <c r="S1321" s="1444"/>
      <c r="T1321" s="1444"/>
      <c r="U1321" s="1444"/>
      <c r="V1321" s="1488"/>
      <c r="W1321" s="1488"/>
      <c r="X1321" s="1488"/>
      <c r="Y1321" s="1488"/>
      <c r="Z1321" s="1488"/>
      <c r="AA1321" s="1488"/>
      <c r="AB1321" s="1488"/>
      <c r="AC1321" s="1488"/>
      <c r="AD1321" s="1488"/>
      <c r="AE1321" s="1488"/>
      <c r="AF1321" s="1488"/>
      <c r="AG1321" s="1488"/>
      <c r="AH1321" s="1451">
        <f t="shared" si="680"/>
        <v>0</v>
      </c>
      <c r="AI1321" s="1488"/>
      <c r="AJ1321" s="1488"/>
      <c r="AK1321" s="1488"/>
      <c r="AL1321" s="1488"/>
      <c r="AM1321" s="1488"/>
      <c r="AN1321" s="1488"/>
      <c r="AO1321" s="1488"/>
      <c r="AP1321" s="1488"/>
      <c r="AQ1321" s="1488"/>
      <c r="AR1321" s="1488"/>
      <c r="AS1321" s="1488"/>
      <c r="AT1321" s="1542"/>
      <c r="AU1321" s="1599">
        <f t="shared" si="681"/>
        <v>0</v>
      </c>
      <c r="AV1321" s="1544">
        <f t="shared" si="709"/>
        <v>0</v>
      </c>
      <c r="AW1321" s="1452">
        <f t="shared" si="682"/>
        <v>0</v>
      </c>
      <c r="AX1321" s="1452">
        <f t="shared" si="683"/>
        <v>0</v>
      </c>
      <c r="AY1321" s="1452">
        <f t="shared" si="684"/>
        <v>0</v>
      </c>
      <c r="AZ1321" s="1452">
        <f t="shared" si="685"/>
        <v>0</v>
      </c>
      <c r="BA1321" s="1452">
        <f t="shared" si="686"/>
        <v>0</v>
      </c>
      <c r="BB1321" s="1452">
        <f t="shared" si="687"/>
        <v>0</v>
      </c>
      <c r="BC1321" s="1452">
        <f t="shared" si="688"/>
        <v>0</v>
      </c>
      <c r="BD1321" s="1452">
        <f t="shared" si="689"/>
        <v>0</v>
      </c>
      <c r="BE1321" s="1452">
        <f t="shared" si="690"/>
        <v>0</v>
      </c>
      <c r="BF1321" s="1452">
        <f t="shared" si="691"/>
        <v>0</v>
      </c>
      <c r="BG1321" s="1452">
        <f t="shared" si="692"/>
        <v>0</v>
      </c>
      <c r="BH1321" s="1452">
        <f t="shared" si="693"/>
        <v>0</v>
      </c>
      <c r="BI1321" s="1452">
        <f t="shared" si="710"/>
        <v>0</v>
      </c>
      <c r="BJ1321" s="1452" t="str">
        <f t="shared" si="694"/>
        <v/>
      </c>
      <c r="BK1321" s="1452" t="str">
        <f t="shared" si="695"/>
        <v/>
      </c>
      <c r="BL1321" s="1452" t="str">
        <f t="shared" si="696"/>
        <v/>
      </c>
      <c r="BM1321" s="1452" t="str">
        <f t="shared" si="697"/>
        <v/>
      </c>
      <c r="BN1321" s="1452" t="str">
        <f t="shared" ca="1" si="698"/>
        <v/>
      </c>
      <c r="BO1321" s="1452" t="str">
        <f t="shared" si="711"/>
        <v/>
      </c>
      <c r="BP1321" s="1452" t="str">
        <f t="shared" si="699"/>
        <v/>
      </c>
      <c r="BQ1321" s="1452" t="str">
        <f t="shared" si="700"/>
        <v/>
      </c>
      <c r="BR1321" s="1452" t="str">
        <f t="shared" si="701"/>
        <v/>
      </c>
      <c r="BS1321" s="1452" t="str">
        <f t="shared" si="702"/>
        <v/>
      </c>
      <c r="BT1321" s="1452" t="str">
        <f t="shared" si="703"/>
        <v/>
      </c>
      <c r="BU1321" s="1452" t="str">
        <f t="shared" si="704"/>
        <v/>
      </c>
      <c r="BV1321" s="1452" t="str">
        <f t="shared" si="705"/>
        <v/>
      </c>
      <c r="BW1321" s="1558">
        <f t="shared" ca="1" si="712"/>
        <v>0</v>
      </c>
    </row>
    <row r="1322" spans="1:75" s="9" customFormat="1" ht="12.5">
      <c r="A1322" s="1483" t="str">
        <f t="shared" si="706"/>
        <v>Public Health Wales Trust</v>
      </c>
      <c r="B1322" s="1583"/>
      <c r="C1322" s="1583"/>
      <c r="D1322" s="1583"/>
      <c r="E1322" s="1581"/>
      <c r="F1322" s="1436"/>
      <c r="G1322" s="1547">
        <f t="shared" si="707"/>
        <v>0</v>
      </c>
      <c r="H1322" s="1484"/>
      <c r="I1322" s="1547">
        <f t="shared" si="708"/>
        <v>0</v>
      </c>
      <c r="J1322" s="1485"/>
      <c r="K1322" s="1485"/>
      <c r="L1322" s="1436"/>
      <c r="M1322" s="1439"/>
      <c r="N1322" s="1439"/>
      <c r="O1322" s="1485"/>
      <c r="P1322" s="1486"/>
      <c r="Q1322" s="1486"/>
      <c r="R1322" s="1487"/>
      <c r="S1322" s="1444"/>
      <c r="T1322" s="1444"/>
      <c r="U1322" s="1444"/>
      <c r="V1322" s="1488"/>
      <c r="W1322" s="1488"/>
      <c r="X1322" s="1488"/>
      <c r="Y1322" s="1488"/>
      <c r="Z1322" s="1488"/>
      <c r="AA1322" s="1488"/>
      <c r="AB1322" s="1488"/>
      <c r="AC1322" s="1488"/>
      <c r="AD1322" s="1488"/>
      <c r="AE1322" s="1488"/>
      <c r="AF1322" s="1488"/>
      <c r="AG1322" s="1488"/>
      <c r="AH1322" s="1451">
        <f t="shared" si="680"/>
        <v>0</v>
      </c>
      <c r="AI1322" s="1488"/>
      <c r="AJ1322" s="1488"/>
      <c r="AK1322" s="1488"/>
      <c r="AL1322" s="1488"/>
      <c r="AM1322" s="1488"/>
      <c r="AN1322" s="1488"/>
      <c r="AO1322" s="1488"/>
      <c r="AP1322" s="1488"/>
      <c r="AQ1322" s="1488"/>
      <c r="AR1322" s="1488"/>
      <c r="AS1322" s="1488"/>
      <c r="AT1322" s="1542"/>
      <c r="AU1322" s="1599">
        <f t="shared" si="681"/>
        <v>0</v>
      </c>
      <c r="AV1322" s="1544">
        <f t="shared" si="709"/>
        <v>0</v>
      </c>
      <c r="AW1322" s="1452">
        <f t="shared" si="682"/>
        <v>0</v>
      </c>
      <c r="AX1322" s="1452">
        <f t="shared" si="683"/>
        <v>0</v>
      </c>
      <c r="AY1322" s="1452">
        <f t="shared" si="684"/>
        <v>0</v>
      </c>
      <c r="AZ1322" s="1452">
        <f t="shared" si="685"/>
        <v>0</v>
      </c>
      <c r="BA1322" s="1452">
        <f t="shared" si="686"/>
        <v>0</v>
      </c>
      <c r="BB1322" s="1452">
        <f t="shared" si="687"/>
        <v>0</v>
      </c>
      <c r="BC1322" s="1452">
        <f t="shared" si="688"/>
        <v>0</v>
      </c>
      <c r="BD1322" s="1452">
        <f t="shared" si="689"/>
        <v>0</v>
      </c>
      <c r="BE1322" s="1452">
        <f t="shared" si="690"/>
        <v>0</v>
      </c>
      <c r="BF1322" s="1452">
        <f t="shared" si="691"/>
        <v>0</v>
      </c>
      <c r="BG1322" s="1452">
        <f t="shared" si="692"/>
        <v>0</v>
      </c>
      <c r="BH1322" s="1452">
        <f t="shared" si="693"/>
        <v>0</v>
      </c>
      <c r="BI1322" s="1452">
        <f t="shared" si="710"/>
        <v>0</v>
      </c>
      <c r="BJ1322" s="1452" t="str">
        <f t="shared" si="694"/>
        <v/>
      </c>
      <c r="BK1322" s="1452" t="str">
        <f t="shared" si="695"/>
        <v/>
      </c>
      <c r="BL1322" s="1452" t="str">
        <f t="shared" si="696"/>
        <v/>
      </c>
      <c r="BM1322" s="1452" t="str">
        <f t="shared" si="697"/>
        <v/>
      </c>
      <c r="BN1322" s="1452" t="str">
        <f t="shared" ca="1" si="698"/>
        <v/>
      </c>
      <c r="BO1322" s="1452" t="str">
        <f t="shared" si="711"/>
        <v/>
      </c>
      <c r="BP1322" s="1452" t="str">
        <f t="shared" si="699"/>
        <v/>
      </c>
      <c r="BQ1322" s="1452" t="str">
        <f t="shared" si="700"/>
        <v/>
      </c>
      <c r="BR1322" s="1452" t="str">
        <f t="shared" si="701"/>
        <v/>
      </c>
      <c r="BS1322" s="1452" t="str">
        <f t="shared" si="702"/>
        <v/>
      </c>
      <c r="BT1322" s="1452" t="str">
        <f t="shared" si="703"/>
        <v/>
      </c>
      <c r="BU1322" s="1452" t="str">
        <f t="shared" si="704"/>
        <v/>
      </c>
      <c r="BV1322" s="1452" t="str">
        <f t="shared" si="705"/>
        <v/>
      </c>
      <c r="BW1322" s="1558">
        <f t="shared" ca="1" si="712"/>
        <v>0</v>
      </c>
    </row>
    <row r="1323" spans="1:75" s="9" customFormat="1" ht="12.5">
      <c r="A1323" s="1483" t="str">
        <f t="shared" si="706"/>
        <v>Public Health Wales Trust</v>
      </c>
      <c r="B1323" s="1583"/>
      <c r="C1323" s="1583"/>
      <c r="D1323" s="1583"/>
      <c r="E1323" s="1581"/>
      <c r="F1323" s="1436"/>
      <c r="G1323" s="1547">
        <f t="shared" si="707"/>
        <v>0</v>
      </c>
      <c r="H1323" s="1484"/>
      <c r="I1323" s="1547">
        <f t="shared" si="708"/>
        <v>0</v>
      </c>
      <c r="J1323" s="1485"/>
      <c r="K1323" s="1485"/>
      <c r="L1323" s="1436"/>
      <c r="M1323" s="1439"/>
      <c r="N1323" s="1439"/>
      <c r="O1323" s="1485"/>
      <c r="P1323" s="1486"/>
      <c r="Q1323" s="1486"/>
      <c r="R1323" s="1487"/>
      <c r="S1323" s="1444"/>
      <c r="T1323" s="1444"/>
      <c r="U1323" s="1444"/>
      <c r="V1323" s="1488"/>
      <c r="W1323" s="1488"/>
      <c r="X1323" s="1488"/>
      <c r="Y1323" s="1488"/>
      <c r="Z1323" s="1488"/>
      <c r="AA1323" s="1488"/>
      <c r="AB1323" s="1488"/>
      <c r="AC1323" s="1488"/>
      <c r="AD1323" s="1488"/>
      <c r="AE1323" s="1488"/>
      <c r="AF1323" s="1488"/>
      <c r="AG1323" s="1488"/>
      <c r="AH1323" s="1451">
        <f t="shared" ref="AH1323:AH1386" si="713">SUM(V1323:AG1323)</f>
        <v>0</v>
      </c>
      <c r="AI1323" s="1488"/>
      <c r="AJ1323" s="1488"/>
      <c r="AK1323" s="1488"/>
      <c r="AL1323" s="1488"/>
      <c r="AM1323" s="1488"/>
      <c r="AN1323" s="1488"/>
      <c r="AO1323" s="1488"/>
      <c r="AP1323" s="1488"/>
      <c r="AQ1323" s="1488"/>
      <c r="AR1323" s="1488"/>
      <c r="AS1323" s="1488"/>
      <c r="AT1323" s="1542"/>
      <c r="AU1323" s="1599">
        <f t="shared" ref="AU1323:AU1386" si="714">SUMPRODUCT($AC$40:$AN$40,AI1323:AT1323)</f>
        <v>0</v>
      </c>
      <c r="AV1323" s="1544">
        <f t="shared" si="709"/>
        <v>0</v>
      </c>
      <c r="AW1323" s="1452">
        <f t="shared" ref="AW1323:AW1386" si="715">AI1323-V1323</f>
        <v>0</v>
      </c>
      <c r="AX1323" s="1452">
        <f t="shared" ref="AX1323:AX1386" si="716">AJ1323-W1323</f>
        <v>0</v>
      </c>
      <c r="AY1323" s="1452">
        <f t="shared" ref="AY1323:AY1386" si="717">AK1323-X1323</f>
        <v>0</v>
      </c>
      <c r="AZ1323" s="1452">
        <f t="shared" ref="AZ1323:AZ1386" si="718">AL1323-Y1323</f>
        <v>0</v>
      </c>
      <c r="BA1323" s="1452">
        <f t="shared" ref="BA1323:BA1386" si="719">AM1323-Z1323</f>
        <v>0</v>
      </c>
      <c r="BB1323" s="1452">
        <f t="shared" ref="BB1323:BB1386" si="720">AN1323-AA1323</f>
        <v>0</v>
      </c>
      <c r="BC1323" s="1452">
        <f t="shared" ref="BC1323:BC1386" si="721">AO1323-AB1323</f>
        <v>0</v>
      </c>
      <c r="BD1323" s="1452">
        <f t="shared" ref="BD1323:BD1386" si="722">AP1323-AC1323</f>
        <v>0</v>
      </c>
      <c r="BE1323" s="1452">
        <f t="shared" ref="BE1323:BE1386" si="723">AQ1323-AD1323</f>
        <v>0</v>
      </c>
      <c r="BF1323" s="1452">
        <f t="shared" ref="BF1323:BF1386" si="724">AR1323-AE1323</f>
        <v>0</v>
      </c>
      <c r="BG1323" s="1452">
        <f t="shared" ref="BG1323:BG1386" si="725">AS1323-AF1323</f>
        <v>0</v>
      </c>
      <c r="BH1323" s="1452">
        <f t="shared" ref="BH1323:BH1386" si="726">AT1323-AG1323</f>
        <v>0</v>
      </c>
      <c r="BI1323" s="1452">
        <f t="shared" si="710"/>
        <v>0</v>
      </c>
      <c r="BJ1323" s="1452" t="str">
        <f t="shared" ref="BJ1323:BJ1386" si="727">IF(OR(G1323&gt;0,I1323&gt;0),IF(AND(B1323&lt;&gt;"",C1323&lt;&gt;"",D1323&lt;&gt;"",E1323&lt;&gt;"",F1323&lt;&gt;"",L1323&lt;&gt;"",M1323&lt;&gt;"",N1323&lt;&gt;"",O1323&lt;&gt;"",P1323&lt;&gt;"",Q1323&lt;&gt;"",R1323&lt;&gt;""),"","ERROR"),"")</f>
        <v/>
      </c>
      <c r="BK1323" s="1452" t="str">
        <f t="shared" ref="BK1323:BK1386" si="728">IF(COUNTIF($D$43:$D$1496,D1323)&gt;1,"ERROR","")</f>
        <v/>
      </c>
      <c r="BL1323" s="1452" t="str">
        <f t="shared" ref="BL1323:BL1386" si="729">IF(AND(OR(R1323=$CQ$1,R1323=$CQ$3),S1323=""),"ERROR","")</f>
        <v/>
      </c>
      <c r="BM1323" s="1452" t="str">
        <f t="shared" ref="BM1323:BM1386" si="730">IF(AND(OR(R1323=$CQ$2),S1323&lt;&gt;""),"ERROR","")</f>
        <v/>
      </c>
      <c r="BN1323" s="1452" t="str">
        <f t="shared" ref="BN1323:BN1386" ca="1" si="731">IF(AND(O1323=$CA$2,N1323&lt;TODAY()),"ERROR","")</f>
        <v/>
      </c>
      <c r="BO1323" s="1452" t="str">
        <f t="shared" si="711"/>
        <v/>
      </c>
      <c r="BP1323" s="1452" t="str">
        <f t="shared" ref="BP1323:BP1386" si="732">IF(AND(F1323=$BZ$1,G1323&gt;H1323),"ERROR","")</f>
        <v/>
      </c>
      <c r="BQ1323" s="1452" t="str">
        <f t="shared" ref="BQ1323:BQ1386" si="733">IF(AND(F1323=$BZ$1,I1323&gt;J1323),"ERROR","")</f>
        <v/>
      </c>
      <c r="BR1323" s="1452" t="str">
        <f t="shared" ref="BR1323:BR1386" si="734">IF(AND(F1323=$BZ$2,SUM(H1323,J1323)&gt;0),"ERROR","")</f>
        <v/>
      </c>
      <c r="BS1323" s="1452" t="str">
        <f t="shared" ref="BS1323:BS1386" si="735">IF(AND(I1323=0,J1323&gt;0),"ERROR","")</f>
        <v/>
      </c>
      <c r="BT1323" s="1452" t="str">
        <f t="shared" ref="BT1323:BT1386" si="736">IF(AND(O1323=$CA$1,K1323&lt;&gt;0),"ERROR","")</f>
        <v/>
      </c>
      <c r="BU1323" s="1452" t="str">
        <f t="shared" ref="BU1323:BU1386" si="737">IF(AND(O1323=$CA$2,I1323-AU1323-K1323&lt;0),"ERROR","")</f>
        <v/>
      </c>
      <c r="BV1323" s="1452" t="str">
        <f t="shared" ref="BV1323:BV1386" si="738">IF(S1323="","",VLOOKUP(S1323,$CS$1:$CT$14,2,0))</f>
        <v/>
      </c>
      <c r="BW1323" s="1558">
        <f t="shared" ca="1" si="712"/>
        <v>0</v>
      </c>
    </row>
    <row r="1324" spans="1:75" s="9" customFormat="1" ht="12.5">
      <c r="A1324" s="1483" t="str">
        <f t="shared" ref="A1324:A1387" si="739">$A$1</f>
        <v>Public Health Wales Trust</v>
      </c>
      <c r="B1324" s="1583"/>
      <c r="C1324" s="1583"/>
      <c r="D1324" s="1583"/>
      <c r="E1324" s="1581"/>
      <c r="F1324" s="1436"/>
      <c r="G1324" s="1547">
        <f t="shared" ref="G1324:G1387" si="740">AH1324</f>
        <v>0</v>
      </c>
      <c r="H1324" s="1484"/>
      <c r="I1324" s="1547">
        <f t="shared" ref="I1324:I1387" si="741">AV1324</f>
        <v>0</v>
      </c>
      <c r="J1324" s="1485"/>
      <c r="K1324" s="1485"/>
      <c r="L1324" s="1436"/>
      <c r="M1324" s="1439"/>
      <c r="N1324" s="1439"/>
      <c r="O1324" s="1485"/>
      <c r="P1324" s="1486"/>
      <c r="Q1324" s="1486"/>
      <c r="R1324" s="1487"/>
      <c r="S1324" s="1444"/>
      <c r="T1324" s="1444"/>
      <c r="U1324" s="1444"/>
      <c r="V1324" s="1488"/>
      <c r="W1324" s="1488"/>
      <c r="X1324" s="1488"/>
      <c r="Y1324" s="1488"/>
      <c r="Z1324" s="1488"/>
      <c r="AA1324" s="1488"/>
      <c r="AB1324" s="1488"/>
      <c r="AC1324" s="1488"/>
      <c r="AD1324" s="1488"/>
      <c r="AE1324" s="1488"/>
      <c r="AF1324" s="1488"/>
      <c r="AG1324" s="1488"/>
      <c r="AH1324" s="1451">
        <f t="shared" si="713"/>
        <v>0</v>
      </c>
      <c r="AI1324" s="1488"/>
      <c r="AJ1324" s="1488"/>
      <c r="AK1324" s="1488"/>
      <c r="AL1324" s="1488"/>
      <c r="AM1324" s="1488"/>
      <c r="AN1324" s="1488"/>
      <c r="AO1324" s="1488"/>
      <c r="AP1324" s="1488"/>
      <c r="AQ1324" s="1488"/>
      <c r="AR1324" s="1488"/>
      <c r="AS1324" s="1488"/>
      <c r="AT1324" s="1542"/>
      <c r="AU1324" s="1599">
        <f t="shared" si="714"/>
        <v>0</v>
      </c>
      <c r="AV1324" s="1544">
        <f t="shared" ref="AV1324:AV1387" si="742">SUM(AI1324:AT1324)</f>
        <v>0</v>
      </c>
      <c r="AW1324" s="1452">
        <f t="shared" si="715"/>
        <v>0</v>
      </c>
      <c r="AX1324" s="1452">
        <f t="shared" si="716"/>
        <v>0</v>
      </c>
      <c r="AY1324" s="1452">
        <f t="shared" si="717"/>
        <v>0</v>
      </c>
      <c r="AZ1324" s="1452">
        <f t="shared" si="718"/>
        <v>0</v>
      </c>
      <c r="BA1324" s="1452">
        <f t="shared" si="719"/>
        <v>0</v>
      </c>
      <c r="BB1324" s="1452">
        <f t="shared" si="720"/>
        <v>0</v>
      </c>
      <c r="BC1324" s="1452">
        <f t="shared" si="721"/>
        <v>0</v>
      </c>
      <c r="BD1324" s="1452">
        <f t="shared" si="722"/>
        <v>0</v>
      </c>
      <c r="BE1324" s="1452">
        <f t="shared" si="723"/>
        <v>0</v>
      </c>
      <c r="BF1324" s="1452">
        <f t="shared" si="724"/>
        <v>0</v>
      </c>
      <c r="BG1324" s="1452">
        <f t="shared" si="725"/>
        <v>0</v>
      </c>
      <c r="BH1324" s="1452">
        <f t="shared" si="726"/>
        <v>0</v>
      </c>
      <c r="BI1324" s="1452">
        <f t="shared" ref="BI1324:BI1387" si="743">SUM(AW1324:BH1324)</f>
        <v>0</v>
      </c>
      <c r="BJ1324" s="1452" t="str">
        <f t="shared" si="727"/>
        <v/>
      </c>
      <c r="BK1324" s="1452" t="str">
        <f t="shared" si="728"/>
        <v/>
      </c>
      <c r="BL1324" s="1452" t="str">
        <f t="shared" si="729"/>
        <v/>
      </c>
      <c r="BM1324" s="1452" t="str">
        <f t="shared" si="730"/>
        <v/>
      </c>
      <c r="BN1324" s="1452" t="str">
        <f t="shared" ca="1" si="731"/>
        <v/>
      </c>
      <c r="BO1324" s="1452" t="str">
        <f t="shared" ref="BO1324:BO1387" si="744">IF(AND(AV1324&gt;0,AH1324=0),"ERROR","")</f>
        <v/>
      </c>
      <c r="BP1324" s="1452" t="str">
        <f t="shared" si="732"/>
        <v/>
      </c>
      <c r="BQ1324" s="1452" t="str">
        <f t="shared" si="733"/>
        <v/>
      </c>
      <c r="BR1324" s="1452" t="str">
        <f t="shared" si="734"/>
        <v/>
      </c>
      <c r="BS1324" s="1452" t="str">
        <f t="shared" si="735"/>
        <v/>
      </c>
      <c r="BT1324" s="1452" t="str">
        <f t="shared" si="736"/>
        <v/>
      </c>
      <c r="BU1324" s="1452" t="str">
        <f t="shared" si="737"/>
        <v/>
      </c>
      <c r="BV1324" s="1452" t="str">
        <f t="shared" si="738"/>
        <v/>
      </c>
      <c r="BW1324" s="1558">
        <f t="shared" ref="BW1324:BW1387" ca="1" si="745">COUNTIF(BJ1324:BU1324,"ERROR")</f>
        <v>0</v>
      </c>
    </row>
    <row r="1325" spans="1:75" s="9" customFormat="1" ht="12.5">
      <c r="A1325" s="1483" t="str">
        <f t="shared" si="739"/>
        <v>Public Health Wales Trust</v>
      </c>
      <c r="B1325" s="1583"/>
      <c r="C1325" s="1583"/>
      <c r="D1325" s="1583"/>
      <c r="E1325" s="1581"/>
      <c r="F1325" s="1436"/>
      <c r="G1325" s="1547">
        <f t="shared" si="740"/>
        <v>0</v>
      </c>
      <c r="H1325" s="1484"/>
      <c r="I1325" s="1547">
        <f t="shared" si="741"/>
        <v>0</v>
      </c>
      <c r="J1325" s="1485"/>
      <c r="K1325" s="1485"/>
      <c r="L1325" s="1436"/>
      <c r="M1325" s="1439"/>
      <c r="N1325" s="1439"/>
      <c r="O1325" s="1485"/>
      <c r="P1325" s="1486"/>
      <c r="Q1325" s="1486"/>
      <c r="R1325" s="1487"/>
      <c r="S1325" s="1444"/>
      <c r="T1325" s="1444"/>
      <c r="U1325" s="1444"/>
      <c r="V1325" s="1488"/>
      <c r="W1325" s="1488"/>
      <c r="X1325" s="1488"/>
      <c r="Y1325" s="1488"/>
      <c r="Z1325" s="1488"/>
      <c r="AA1325" s="1488"/>
      <c r="AB1325" s="1488"/>
      <c r="AC1325" s="1488"/>
      <c r="AD1325" s="1488"/>
      <c r="AE1325" s="1488"/>
      <c r="AF1325" s="1488"/>
      <c r="AG1325" s="1488"/>
      <c r="AH1325" s="1451">
        <f t="shared" si="713"/>
        <v>0</v>
      </c>
      <c r="AI1325" s="1488"/>
      <c r="AJ1325" s="1488"/>
      <c r="AK1325" s="1488"/>
      <c r="AL1325" s="1488"/>
      <c r="AM1325" s="1488"/>
      <c r="AN1325" s="1488"/>
      <c r="AO1325" s="1488"/>
      <c r="AP1325" s="1488"/>
      <c r="AQ1325" s="1488"/>
      <c r="AR1325" s="1488"/>
      <c r="AS1325" s="1488"/>
      <c r="AT1325" s="1542"/>
      <c r="AU1325" s="1599">
        <f t="shared" si="714"/>
        <v>0</v>
      </c>
      <c r="AV1325" s="1544">
        <f t="shared" si="742"/>
        <v>0</v>
      </c>
      <c r="AW1325" s="1452">
        <f t="shared" si="715"/>
        <v>0</v>
      </c>
      <c r="AX1325" s="1452">
        <f t="shared" si="716"/>
        <v>0</v>
      </c>
      <c r="AY1325" s="1452">
        <f t="shared" si="717"/>
        <v>0</v>
      </c>
      <c r="AZ1325" s="1452">
        <f t="shared" si="718"/>
        <v>0</v>
      </c>
      <c r="BA1325" s="1452">
        <f t="shared" si="719"/>
        <v>0</v>
      </c>
      <c r="BB1325" s="1452">
        <f t="shared" si="720"/>
        <v>0</v>
      </c>
      <c r="BC1325" s="1452">
        <f t="shared" si="721"/>
        <v>0</v>
      </c>
      <c r="BD1325" s="1452">
        <f t="shared" si="722"/>
        <v>0</v>
      </c>
      <c r="BE1325" s="1452">
        <f t="shared" si="723"/>
        <v>0</v>
      </c>
      <c r="BF1325" s="1452">
        <f t="shared" si="724"/>
        <v>0</v>
      </c>
      <c r="BG1325" s="1452">
        <f t="shared" si="725"/>
        <v>0</v>
      </c>
      <c r="BH1325" s="1452">
        <f t="shared" si="726"/>
        <v>0</v>
      </c>
      <c r="BI1325" s="1452">
        <f t="shared" si="743"/>
        <v>0</v>
      </c>
      <c r="BJ1325" s="1452" t="str">
        <f t="shared" si="727"/>
        <v/>
      </c>
      <c r="BK1325" s="1452" t="str">
        <f t="shared" si="728"/>
        <v/>
      </c>
      <c r="BL1325" s="1452" t="str">
        <f t="shared" si="729"/>
        <v/>
      </c>
      <c r="BM1325" s="1452" t="str">
        <f t="shared" si="730"/>
        <v/>
      </c>
      <c r="BN1325" s="1452" t="str">
        <f t="shared" ca="1" si="731"/>
        <v/>
      </c>
      <c r="BO1325" s="1452" t="str">
        <f t="shared" si="744"/>
        <v/>
      </c>
      <c r="BP1325" s="1452" t="str">
        <f t="shared" si="732"/>
        <v/>
      </c>
      <c r="BQ1325" s="1452" t="str">
        <f t="shared" si="733"/>
        <v/>
      </c>
      <c r="BR1325" s="1452" t="str">
        <f t="shared" si="734"/>
        <v/>
      </c>
      <c r="BS1325" s="1452" t="str">
        <f t="shared" si="735"/>
        <v/>
      </c>
      <c r="BT1325" s="1452" t="str">
        <f t="shared" si="736"/>
        <v/>
      </c>
      <c r="BU1325" s="1452" t="str">
        <f t="shared" si="737"/>
        <v/>
      </c>
      <c r="BV1325" s="1452" t="str">
        <f t="shared" si="738"/>
        <v/>
      </c>
      <c r="BW1325" s="1558">
        <f t="shared" ca="1" si="745"/>
        <v>0</v>
      </c>
    </row>
    <row r="1326" spans="1:75" s="9" customFormat="1" ht="12.5">
      <c r="A1326" s="1483" t="str">
        <f t="shared" si="739"/>
        <v>Public Health Wales Trust</v>
      </c>
      <c r="B1326" s="1583"/>
      <c r="C1326" s="1583"/>
      <c r="D1326" s="1583"/>
      <c r="E1326" s="1581"/>
      <c r="F1326" s="1436"/>
      <c r="G1326" s="1547">
        <f t="shared" si="740"/>
        <v>0</v>
      </c>
      <c r="H1326" s="1484"/>
      <c r="I1326" s="1547">
        <f t="shared" si="741"/>
        <v>0</v>
      </c>
      <c r="J1326" s="1485"/>
      <c r="K1326" s="1485"/>
      <c r="L1326" s="1436"/>
      <c r="M1326" s="1439"/>
      <c r="N1326" s="1439"/>
      <c r="O1326" s="1485"/>
      <c r="P1326" s="1486"/>
      <c r="Q1326" s="1486"/>
      <c r="R1326" s="1487"/>
      <c r="S1326" s="1444"/>
      <c r="T1326" s="1444"/>
      <c r="U1326" s="1444"/>
      <c r="V1326" s="1488"/>
      <c r="W1326" s="1488"/>
      <c r="X1326" s="1488"/>
      <c r="Y1326" s="1488"/>
      <c r="Z1326" s="1488"/>
      <c r="AA1326" s="1488"/>
      <c r="AB1326" s="1488"/>
      <c r="AC1326" s="1488"/>
      <c r="AD1326" s="1488"/>
      <c r="AE1326" s="1488"/>
      <c r="AF1326" s="1488"/>
      <c r="AG1326" s="1488"/>
      <c r="AH1326" s="1451">
        <f t="shared" si="713"/>
        <v>0</v>
      </c>
      <c r="AI1326" s="1488"/>
      <c r="AJ1326" s="1488"/>
      <c r="AK1326" s="1488"/>
      <c r="AL1326" s="1488"/>
      <c r="AM1326" s="1488"/>
      <c r="AN1326" s="1488"/>
      <c r="AO1326" s="1488"/>
      <c r="AP1326" s="1488"/>
      <c r="AQ1326" s="1488"/>
      <c r="AR1326" s="1488"/>
      <c r="AS1326" s="1488"/>
      <c r="AT1326" s="1542"/>
      <c r="AU1326" s="1599">
        <f t="shared" si="714"/>
        <v>0</v>
      </c>
      <c r="AV1326" s="1544">
        <f t="shared" si="742"/>
        <v>0</v>
      </c>
      <c r="AW1326" s="1452">
        <f t="shared" si="715"/>
        <v>0</v>
      </c>
      <c r="AX1326" s="1452">
        <f t="shared" si="716"/>
        <v>0</v>
      </c>
      <c r="AY1326" s="1452">
        <f t="shared" si="717"/>
        <v>0</v>
      </c>
      <c r="AZ1326" s="1452">
        <f t="shared" si="718"/>
        <v>0</v>
      </c>
      <c r="BA1326" s="1452">
        <f t="shared" si="719"/>
        <v>0</v>
      </c>
      <c r="BB1326" s="1452">
        <f t="shared" si="720"/>
        <v>0</v>
      </c>
      <c r="BC1326" s="1452">
        <f t="shared" si="721"/>
        <v>0</v>
      </c>
      <c r="BD1326" s="1452">
        <f t="shared" si="722"/>
        <v>0</v>
      </c>
      <c r="BE1326" s="1452">
        <f t="shared" si="723"/>
        <v>0</v>
      </c>
      <c r="BF1326" s="1452">
        <f t="shared" si="724"/>
        <v>0</v>
      </c>
      <c r="BG1326" s="1452">
        <f t="shared" si="725"/>
        <v>0</v>
      </c>
      <c r="BH1326" s="1452">
        <f t="shared" si="726"/>
        <v>0</v>
      </c>
      <c r="BI1326" s="1452">
        <f t="shared" si="743"/>
        <v>0</v>
      </c>
      <c r="BJ1326" s="1452" t="str">
        <f t="shared" si="727"/>
        <v/>
      </c>
      <c r="BK1326" s="1452" t="str">
        <f t="shared" si="728"/>
        <v/>
      </c>
      <c r="BL1326" s="1452" t="str">
        <f t="shared" si="729"/>
        <v/>
      </c>
      <c r="BM1326" s="1452" t="str">
        <f t="shared" si="730"/>
        <v/>
      </c>
      <c r="BN1326" s="1452" t="str">
        <f t="shared" ca="1" si="731"/>
        <v/>
      </c>
      <c r="BO1326" s="1452" t="str">
        <f t="shared" si="744"/>
        <v/>
      </c>
      <c r="BP1326" s="1452" t="str">
        <f t="shared" si="732"/>
        <v/>
      </c>
      <c r="BQ1326" s="1452" t="str">
        <f t="shared" si="733"/>
        <v/>
      </c>
      <c r="BR1326" s="1452" t="str">
        <f t="shared" si="734"/>
        <v/>
      </c>
      <c r="BS1326" s="1452" t="str">
        <f t="shared" si="735"/>
        <v/>
      </c>
      <c r="BT1326" s="1452" t="str">
        <f t="shared" si="736"/>
        <v/>
      </c>
      <c r="BU1326" s="1452" t="str">
        <f t="shared" si="737"/>
        <v/>
      </c>
      <c r="BV1326" s="1452" t="str">
        <f t="shared" si="738"/>
        <v/>
      </c>
      <c r="BW1326" s="1558">
        <f t="shared" ca="1" si="745"/>
        <v>0</v>
      </c>
    </row>
    <row r="1327" spans="1:75" s="9" customFormat="1" ht="12.5">
      <c r="A1327" s="1483" t="str">
        <f t="shared" si="739"/>
        <v>Public Health Wales Trust</v>
      </c>
      <c r="B1327" s="1583"/>
      <c r="C1327" s="1583"/>
      <c r="D1327" s="1583"/>
      <c r="E1327" s="1581"/>
      <c r="F1327" s="1436"/>
      <c r="G1327" s="1547">
        <f t="shared" si="740"/>
        <v>0</v>
      </c>
      <c r="H1327" s="1484"/>
      <c r="I1327" s="1547">
        <f t="shared" si="741"/>
        <v>0</v>
      </c>
      <c r="J1327" s="1485"/>
      <c r="K1327" s="1485"/>
      <c r="L1327" s="1436"/>
      <c r="M1327" s="1439"/>
      <c r="N1327" s="1439"/>
      <c r="O1327" s="1485"/>
      <c r="P1327" s="1486"/>
      <c r="Q1327" s="1486"/>
      <c r="R1327" s="1487"/>
      <c r="S1327" s="1444"/>
      <c r="T1327" s="1444"/>
      <c r="U1327" s="1444"/>
      <c r="V1327" s="1488"/>
      <c r="W1327" s="1488"/>
      <c r="X1327" s="1488"/>
      <c r="Y1327" s="1488"/>
      <c r="Z1327" s="1488"/>
      <c r="AA1327" s="1488"/>
      <c r="AB1327" s="1488"/>
      <c r="AC1327" s="1488"/>
      <c r="AD1327" s="1488"/>
      <c r="AE1327" s="1488"/>
      <c r="AF1327" s="1488"/>
      <c r="AG1327" s="1488"/>
      <c r="AH1327" s="1451">
        <f t="shared" si="713"/>
        <v>0</v>
      </c>
      <c r="AI1327" s="1488"/>
      <c r="AJ1327" s="1488"/>
      <c r="AK1327" s="1488"/>
      <c r="AL1327" s="1488"/>
      <c r="AM1327" s="1488"/>
      <c r="AN1327" s="1488"/>
      <c r="AO1327" s="1488"/>
      <c r="AP1327" s="1488"/>
      <c r="AQ1327" s="1488"/>
      <c r="AR1327" s="1488"/>
      <c r="AS1327" s="1488"/>
      <c r="AT1327" s="1542"/>
      <c r="AU1327" s="1599">
        <f t="shared" si="714"/>
        <v>0</v>
      </c>
      <c r="AV1327" s="1544">
        <f t="shared" si="742"/>
        <v>0</v>
      </c>
      <c r="AW1327" s="1452">
        <f t="shared" si="715"/>
        <v>0</v>
      </c>
      <c r="AX1327" s="1452">
        <f t="shared" si="716"/>
        <v>0</v>
      </c>
      <c r="AY1327" s="1452">
        <f t="shared" si="717"/>
        <v>0</v>
      </c>
      <c r="AZ1327" s="1452">
        <f t="shared" si="718"/>
        <v>0</v>
      </c>
      <c r="BA1327" s="1452">
        <f t="shared" si="719"/>
        <v>0</v>
      </c>
      <c r="BB1327" s="1452">
        <f t="shared" si="720"/>
        <v>0</v>
      </c>
      <c r="BC1327" s="1452">
        <f t="shared" si="721"/>
        <v>0</v>
      </c>
      <c r="BD1327" s="1452">
        <f t="shared" si="722"/>
        <v>0</v>
      </c>
      <c r="BE1327" s="1452">
        <f t="shared" si="723"/>
        <v>0</v>
      </c>
      <c r="BF1327" s="1452">
        <f t="shared" si="724"/>
        <v>0</v>
      </c>
      <c r="BG1327" s="1452">
        <f t="shared" si="725"/>
        <v>0</v>
      </c>
      <c r="BH1327" s="1452">
        <f t="shared" si="726"/>
        <v>0</v>
      </c>
      <c r="BI1327" s="1452">
        <f t="shared" si="743"/>
        <v>0</v>
      </c>
      <c r="BJ1327" s="1452" t="str">
        <f t="shared" si="727"/>
        <v/>
      </c>
      <c r="BK1327" s="1452" t="str">
        <f t="shared" si="728"/>
        <v/>
      </c>
      <c r="BL1327" s="1452" t="str">
        <f t="shared" si="729"/>
        <v/>
      </c>
      <c r="BM1327" s="1452" t="str">
        <f t="shared" si="730"/>
        <v/>
      </c>
      <c r="BN1327" s="1452" t="str">
        <f t="shared" ca="1" si="731"/>
        <v/>
      </c>
      <c r="BO1327" s="1452" t="str">
        <f t="shared" si="744"/>
        <v/>
      </c>
      <c r="BP1327" s="1452" t="str">
        <f t="shared" si="732"/>
        <v/>
      </c>
      <c r="BQ1327" s="1452" t="str">
        <f t="shared" si="733"/>
        <v/>
      </c>
      <c r="BR1327" s="1452" t="str">
        <f t="shared" si="734"/>
        <v/>
      </c>
      <c r="BS1327" s="1452" t="str">
        <f t="shared" si="735"/>
        <v/>
      </c>
      <c r="BT1327" s="1452" t="str">
        <f t="shared" si="736"/>
        <v/>
      </c>
      <c r="BU1327" s="1452" t="str">
        <f t="shared" si="737"/>
        <v/>
      </c>
      <c r="BV1327" s="1452" t="str">
        <f t="shared" si="738"/>
        <v/>
      </c>
      <c r="BW1327" s="1558">
        <f t="shared" ca="1" si="745"/>
        <v>0</v>
      </c>
    </row>
    <row r="1328" spans="1:75" s="9" customFormat="1" ht="12.5">
      <c r="A1328" s="1483" t="str">
        <f t="shared" si="739"/>
        <v>Public Health Wales Trust</v>
      </c>
      <c r="B1328" s="1583"/>
      <c r="C1328" s="1583"/>
      <c r="D1328" s="1583"/>
      <c r="E1328" s="1581"/>
      <c r="F1328" s="1436"/>
      <c r="G1328" s="1547">
        <f t="shared" si="740"/>
        <v>0</v>
      </c>
      <c r="H1328" s="1484"/>
      <c r="I1328" s="1547">
        <f t="shared" si="741"/>
        <v>0</v>
      </c>
      <c r="J1328" s="1485"/>
      <c r="K1328" s="1485"/>
      <c r="L1328" s="1436"/>
      <c r="M1328" s="1439"/>
      <c r="N1328" s="1439"/>
      <c r="O1328" s="1485"/>
      <c r="P1328" s="1486"/>
      <c r="Q1328" s="1486"/>
      <c r="R1328" s="1487"/>
      <c r="S1328" s="1444"/>
      <c r="T1328" s="1444"/>
      <c r="U1328" s="1444"/>
      <c r="V1328" s="1488"/>
      <c r="W1328" s="1488"/>
      <c r="X1328" s="1488"/>
      <c r="Y1328" s="1488"/>
      <c r="Z1328" s="1488"/>
      <c r="AA1328" s="1488"/>
      <c r="AB1328" s="1488"/>
      <c r="AC1328" s="1488"/>
      <c r="AD1328" s="1488"/>
      <c r="AE1328" s="1488"/>
      <c r="AF1328" s="1488"/>
      <c r="AG1328" s="1488"/>
      <c r="AH1328" s="1451">
        <f t="shared" si="713"/>
        <v>0</v>
      </c>
      <c r="AI1328" s="1488"/>
      <c r="AJ1328" s="1488"/>
      <c r="AK1328" s="1488"/>
      <c r="AL1328" s="1488"/>
      <c r="AM1328" s="1488"/>
      <c r="AN1328" s="1488"/>
      <c r="AO1328" s="1488"/>
      <c r="AP1328" s="1488"/>
      <c r="AQ1328" s="1488"/>
      <c r="AR1328" s="1488"/>
      <c r="AS1328" s="1488"/>
      <c r="AT1328" s="1542"/>
      <c r="AU1328" s="1599">
        <f t="shared" si="714"/>
        <v>0</v>
      </c>
      <c r="AV1328" s="1544">
        <f t="shared" si="742"/>
        <v>0</v>
      </c>
      <c r="AW1328" s="1452">
        <f t="shared" si="715"/>
        <v>0</v>
      </c>
      <c r="AX1328" s="1452">
        <f t="shared" si="716"/>
        <v>0</v>
      </c>
      <c r="AY1328" s="1452">
        <f t="shared" si="717"/>
        <v>0</v>
      </c>
      <c r="AZ1328" s="1452">
        <f t="shared" si="718"/>
        <v>0</v>
      </c>
      <c r="BA1328" s="1452">
        <f t="shared" si="719"/>
        <v>0</v>
      </c>
      <c r="BB1328" s="1452">
        <f t="shared" si="720"/>
        <v>0</v>
      </c>
      <c r="BC1328" s="1452">
        <f t="shared" si="721"/>
        <v>0</v>
      </c>
      <c r="BD1328" s="1452">
        <f t="shared" si="722"/>
        <v>0</v>
      </c>
      <c r="BE1328" s="1452">
        <f t="shared" si="723"/>
        <v>0</v>
      </c>
      <c r="BF1328" s="1452">
        <f t="shared" si="724"/>
        <v>0</v>
      </c>
      <c r="BG1328" s="1452">
        <f t="shared" si="725"/>
        <v>0</v>
      </c>
      <c r="BH1328" s="1452">
        <f t="shared" si="726"/>
        <v>0</v>
      </c>
      <c r="BI1328" s="1452">
        <f t="shared" si="743"/>
        <v>0</v>
      </c>
      <c r="BJ1328" s="1452" t="str">
        <f t="shared" si="727"/>
        <v/>
      </c>
      <c r="BK1328" s="1452" t="str">
        <f t="shared" si="728"/>
        <v/>
      </c>
      <c r="BL1328" s="1452" t="str">
        <f t="shared" si="729"/>
        <v/>
      </c>
      <c r="BM1328" s="1452" t="str">
        <f t="shared" si="730"/>
        <v/>
      </c>
      <c r="BN1328" s="1452" t="str">
        <f t="shared" ca="1" si="731"/>
        <v/>
      </c>
      <c r="BO1328" s="1452" t="str">
        <f t="shared" si="744"/>
        <v/>
      </c>
      <c r="BP1328" s="1452" t="str">
        <f t="shared" si="732"/>
        <v/>
      </c>
      <c r="BQ1328" s="1452" t="str">
        <f t="shared" si="733"/>
        <v/>
      </c>
      <c r="BR1328" s="1452" t="str">
        <f t="shared" si="734"/>
        <v/>
      </c>
      <c r="BS1328" s="1452" t="str">
        <f t="shared" si="735"/>
        <v/>
      </c>
      <c r="BT1328" s="1452" t="str">
        <f t="shared" si="736"/>
        <v/>
      </c>
      <c r="BU1328" s="1452" t="str">
        <f t="shared" si="737"/>
        <v/>
      </c>
      <c r="BV1328" s="1452" t="str">
        <f t="shared" si="738"/>
        <v/>
      </c>
      <c r="BW1328" s="1558">
        <f t="shared" ca="1" si="745"/>
        <v>0</v>
      </c>
    </row>
    <row r="1329" spans="1:75" s="9" customFormat="1" ht="12.5">
      <c r="A1329" s="1483" t="str">
        <f t="shared" si="739"/>
        <v>Public Health Wales Trust</v>
      </c>
      <c r="B1329" s="1583"/>
      <c r="C1329" s="1583"/>
      <c r="D1329" s="1583"/>
      <c r="E1329" s="1581"/>
      <c r="F1329" s="1436"/>
      <c r="G1329" s="1547">
        <f t="shared" si="740"/>
        <v>0</v>
      </c>
      <c r="H1329" s="1484"/>
      <c r="I1329" s="1547">
        <f t="shared" si="741"/>
        <v>0</v>
      </c>
      <c r="J1329" s="1485"/>
      <c r="K1329" s="1485"/>
      <c r="L1329" s="1436"/>
      <c r="M1329" s="1439"/>
      <c r="N1329" s="1439"/>
      <c r="O1329" s="1485"/>
      <c r="P1329" s="1486"/>
      <c r="Q1329" s="1486"/>
      <c r="R1329" s="1487"/>
      <c r="S1329" s="1444"/>
      <c r="T1329" s="1444"/>
      <c r="U1329" s="1444"/>
      <c r="V1329" s="1488"/>
      <c r="W1329" s="1488"/>
      <c r="X1329" s="1488"/>
      <c r="Y1329" s="1488"/>
      <c r="Z1329" s="1488"/>
      <c r="AA1329" s="1488"/>
      <c r="AB1329" s="1488"/>
      <c r="AC1329" s="1488"/>
      <c r="AD1329" s="1488"/>
      <c r="AE1329" s="1488"/>
      <c r="AF1329" s="1488"/>
      <c r="AG1329" s="1488"/>
      <c r="AH1329" s="1451">
        <f t="shared" si="713"/>
        <v>0</v>
      </c>
      <c r="AI1329" s="1488"/>
      <c r="AJ1329" s="1488"/>
      <c r="AK1329" s="1488"/>
      <c r="AL1329" s="1488"/>
      <c r="AM1329" s="1488"/>
      <c r="AN1329" s="1488"/>
      <c r="AO1329" s="1488"/>
      <c r="AP1329" s="1488"/>
      <c r="AQ1329" s="1488"/>
      <c r="AR1329" s="1488"/>
      <c r="AS1329" s="1488"/>
      <c r="AT1329" s="1542"/>
      <c r="AU1329" s="1599">
        <f t="shared" si="714"/>
        <v>0</v>
      </c>
      <c r="AV1329" s="1544">
        <f t="shared" si="742"/>
        <v>0</v>
      </c>
      <c r="AW1329" s="1452">
        <f t="shared" si="715"/>
        <v>0</v>
      </c>
      <c r="AX1329" s="1452">
        <f t="shared" si="716"/>
        <v>0</v>
      </c>
      <c r="AY1329" s="1452">
        <f t="shared" si="717"/>
        <v>0</v>
      </c>
      <c r="AZ1329" s="1452">
        <f t="shared" si="718"/>
        <v>0</v>
      </c>
      <c r="BA1329" s="1452">
        <f t="shared" si="719"/>
        <v>0</v>
      </c>
      <c r="BB1329" s="1452">
        <f t="shared" si="720"/>
        <v>0</v>
      </c>
      <c r="BC1329" s="1452">
        <f t="shared" si="721"/>
        <v>0</v>
      </c>
      <c r="BD1329" s="1452">
        <f t="shared" si="722"/>
        <v>0</v>
      </c>
      <c r="BE1329" s="1452">
        <f t="shared" si="723"/>
        <v>0</v>
      </c>
      <c r="BF1329" s="1452">
        <f t="shared" si="724"/>
        <v>0</v>
      </c>
      <c r="BG1329" s="1452">
        <f t="shared" si="725"/>
        <v>0</v>
      </c>
      <c r="BH1329" s="1452">
        <f t="shared" si="726"/>
        <v>0</v>
      </c>
      <c r="BI1329" s="1452">
        <f t="shared" si="743"/>
        <v>0</v>
      </c>
      <c r="BJ1329" s="1452" t="str">
        <f t="shared" si="727"/>
        <v/>
      </c>
      <c r="BK1329" s="1452" t="str">
        <f t="shared" si="728"/>
        <v/>
      </c>
      <c r="BL1329" s="1452" t="str">
        <f t="shared" si="729"/>
        <v/>
      </c>
      <c r="BM1329" s="1452" t="str">
        <f t="shared" si="730"/>
        <v/>
      </c>
      <c r="BN1329" s="1452" t="str">
        <f t="shared" ca="1" si="731"/>
        <v/>
      </c>
      <c r="BO1329" s="1452" t="str">
        <f t="shared" si="744"/>
        <v/>
      </c>
      <c r="BP1329" s="1452" t="str">
        <f t="shared" si="732"/>
        <v/>
      </c>
      <c r="BQ1329" s="1452" t="str">
        <f t="shared" si="733"/>
        <v/>
      </c>
      <c r="BR1329" s="1452" t="str">
        <f t="shared" si="734"/>
        <v/>
      </c>
      <c r="BS1329" s="1452" t="str">
        <f t="shared" si="735"/>
        <v/>
      </c>
      <c r="BT1329" s="1452" t="str">
        <f t="shared" si="736"/>
        <v/>
      </c>
      <c r="BU1329" s="1452" t="str">
        <f t="shared" si="737"/>
        <v/>
      </c>
      <c r="BV1329" s="1452" t="str">
        <f t="shared" si="738"/>
        <v/>
      </c>
      <c r="BW1329" s="1558">
        <f t="shared" ca="1" si="745"/>
        <v>0</v>
      </c>
    </row>
    <row r="1330" spans="1:75" s="9" customFormat="1" ht="12.5">
      <c r="A1330" s="1483" t="str">
        <f t="shared" si="739"/>
        <v>Public Health Wales Trust</v>
      </c>
      <c r="B1330" s="1583"/>
      <c r="C1330" s="1583"/>
      <c r="D1330" s="1583"/>
      <c r="E1330" s="1581"/>
      <c r="F1330" s="1436"/>
      <c r="G1330" s="1547">
        <f t="shared" si="740"/>
        <v>0</v>
      </c>
      <c r="H1330" s="1484"/>
      <c r="I1330" s="1547">
        <f t="shared" si="741"/>
        <v>0</v>
      </c>
      <c r="J1330" s="1485"/>
      <c r="K1330" s="1485"/>
      <c r="L1330" s="1436"/>
      <c r="M1330" s="1439"/>
      <c r="N1330" s="1439"/>
      <c r="O1330" s="1485"/>
      <c r="P1330" s="1486"/>
      <c r="Q1330" s="1486"/>
      <c r="R1330" s="1487"/>
      <c r="S1330" s="1444"/>
      <c r="T1330" s="1444"/>
      <c r="U1330" s="1444"/>
      <c r="V1330" s="1488"/>
      <c r="W1330" s="1488"/>
      <c r="X1330" s="1488"/>
      <c r="Y1330" s="1488"/>
      <c r="Z1330" s="1488"/>
      <c r="AA1330" s="1488"/>
      <c r="AB1330" s="1488"/>
      <c r="AC1330" s="1488"/>
      <c r="AD1330" s="1488"/>
      <c r="AE1330" s="1488"/>
      <c r="AF1330" s="1488"/>
      <c r="AG1330" s="1488"/>
      <c r="AH1330" s="1451">
        <f t="shared" si="713"/>
        <v>0</v>
      </c>
      <c r="AI1330" s="1488"/>
      <c r="AJ1330" s="1488"/>
      <c r="AK1330" s="1488"/>
      <c r="AL1330" s="1488"/>
      <c r="AM1330" s="1488"/>
      <c r="AN1330" s="1488"/>
      <c r="AO1330" s="1488"/>
      <c r="AP1330" s="1488"/>
      <c r="AQ1330" s="1488"/>
      <c r="AR1330" s="1488"/>
      <c r="AS1330" s="1488"/>
      <c r="AT1330" s="1542"/>
      <c r="AU1330" s="1599">
        <f t="shared" si="714"/>
        <v>0</v>
      </c>
      <c r="AV1330" s="1544">
        <f t="shared" si="742"/>
        <v>0</v>
      </c>
      <c r="AW1330" s="1452">
        <f t="shared" si="715"/>
        <v>0</v>
      </c>
      <c r="AX1330" s="1452">
        <f t="shared" si="716"/>
        <v>0</v>
      </c>
      <c r="AY1330" s="1452">
        <f t="shared" si="717"/>
        <v>0</v>
      </c>
      <c r="AZ1330" s="1452">
        <f t="shared" si="718"/>
        <v>0</v>
      </c>
      <c r="BA1330" s="1452">
        <f t="shared" si="719"/>
        <v>0</v>
      </c>
      <c r="BB1330" s="1452">
        <f t="shared" si="720"/>
        <v>0</v>
      </c>
      <c r="BC1330" s="1452">
        <f t="shared" si="721"/>
        <v>0</v>
      </c>
      <c r="BD1330" s="1452">
        <f t="shared" si="722"/>
        <v>0</v>
      </c>
      <c r="BE1330" s="1452">
        <f t="shared" si="723"/>
        <v>0</v>
      </c>
      <c r="BF1330" s="1452">
        <f t="shared" si="724"/>
        <v>0</v>
      </c>
      <c r="BG1330" s="1452">
        <f t="shared" si="725"/>
        <v>0</v>
      </c>
      <c r="BH1330" s="1452">
        <f t="shared" si="726"/>
        <v>0</v>
      </c>
      <c r="BI1330" s="1452">
        <f t="shared" si="743"/>
        <v>0</v>
      </c>
      <c r="BJ1330" s="1452" t="str">
        <f t="shared" si="727"/>
        <v/>
      </c>
      <c r="BK1330" s="1452" t="str">
        <f t="shared" si="728"/>
        <v/>
      </c>
      <c r="BL1330" s="1452" t="str">
        <f t="shared" si="729"/>
        <v/>
      </c>
      <c r="BM1330" s="1452" t="str">
        <f t="shared" si="730"/>
        <v/>
      </c>
      <c r="BN1330" s="1452" t="str">
        <f t="shared" ca="1" si="731"/>
        <v/>
      </c>
      <c r="BO1330" s="1452" t="str">
        <f t="shared" si="744"/>
        <v/>
      </c>
      <c r="BP1330" s="1452" t="str">
        <f t="shared" si="732"/>
        <v/>
      </c>
      <c r="BQ1330" s="1452" t="str">
        <f t="shared" si="733"/>
        <v/>
      </c>
      <c r="BR1330" s="1452" t="str">
        <f t="shared" si="734"/>
        <v/>
      </c>
      <c r="BS1330" s="1452" t="str">
        <f t="shared" si="735"/>
        <v/>
      </c>
      <c r="BT1330" s="1452" t="str">
        <f t="shared" si="736"/>
        <v/>
      </c>
      <c r="BU1330" s="1452" t="str">
        <f t="shared" si="737"/>
        <v/>
      </c>
      <c r="BV1330" s="1452" t="str">
        <f t="shared" si="738"/>
        <v/>
      </c>
      <c r="BW1330" s="1558">
        <f t="shared" ca="1" si="745"/>
        <v>0</v>
      </c>
    </row>
    <row r="1331" spans="1:75" s="9" customFormat="1" ht="12.5">
      <c r="A1331" s="1483" t="str">
        <f t="shared" si="739"/>
        <v>Public Health Wales Trust</v>
      </c>
      <c r="B1331" s="1583"/>
      <c r="C1331" s="1583"/>
      <c r="D1331" s="1583"/>
      <c r="E1331" s="1581"/>
      <c r="F1331" s="1436"/>
      <c r="G1331" s="1547">
        <f t="shared" si="740"/>
        <v>0</v>
      </c>
      <c r="H1331" s="1484"/>
      <c r="I1331" s="1547">
        <f t="shared" si="741"/>
        <v>0</v>
      </c>
      <c r="J1331" s="1485"/>
      <c r="K1331" s="1485"/>
      <c r="L1331" s="1436"/>
      <c r="M1331" s="1439"/>
      <c r="N1331" s="1439"/>
      <c r="O1331" s="1485"/>
      <c r="P1331" s="1486"/>
      <c r="Q1331" s="1486"/>
      <c r="R1331" s="1487"/>
      <c r="S1331" s="1444"/>
      <c r="T1331" s="1444"/>
      <c r="U1331" s="1444"/>
      <c r="V1331" s="1488"/>
      <c r="W1331" s="1488"/>
      <c r="X1331" s="1488"/>
      <c r="Y1331" s="1488"/>
      <c r="Z1331" s="1488"/>
      <c r="AA1331" s="1488"/>
      <c r="AB1331" s="1488"/>
      <c r="AC1331" s="1488"/>
      <c r="AD1331" s="1488"/>
      <c r="AE1331" s="1488"/>
      <c r="AF1331" s="1488"/>
      <c r="AG1331" s="1488"/>
      <c r="AH1331" s="1451">
        <f t="shared" si="713"/>
        <v>0</v>
      </c>
      <c r="AI1331" s="1488"/>
      <c r="AJ1331" s="1488"/>
      <c r="AK1331" s="1488"/>
      <c r="AL1331" s="1488"/>
      <c r="AM1331" s="1488"/>
      <c r="AN1331" s="1488"/>
      <c r="AO1331" s="1488"/>
      <c r="AP1331" s="1488"/>
      <c r="AQ1331" s="1488"/>
      <c r="AR1331" s="1488"/>
      <c r="AS1331" s="1488"/>
      <c r="AT1331" s="1542"/>
      <c r="AU1331" s="1599">
        <f t="shared" si="714"/>
        <v>0</v>
      </c>
      <c r="AV1331" s="1544">
        <f t="shared" si="742"/>
        <v>0</v>
      </c>
      <c r="AW1331" s="1452">
        <f t="shared" si="715"/>
        <v>0</v>
      </c>
      <c r="AX1331" s="1452">
        <f t="shared" si="716"/>
        <v>0</v>
      </c>
      <c r="AY1331" s="1452">
        <f t="shared" si="717"/>
        <v>0</v>
      </c>
      <c r="AZ1331" s="1452">
        <f t="shared" si="718"/>
        <v>0</v>
      </c>
      <c r="BA1331" s="1452">
        <f t="shared" si="719"/>
        <v>0</v>
      </c>
      <c r="BB1331" s="1452">
        <f t="shared" si="720"/>
        <v>0</v>
      </c>
      <c r="BC1331" s="1452">
        <f t="shared" si="721"/>
        <v>0</v>
      </c>
      <c r="BD1331" s="1452">
        <f t="shared" si="722"/>
        <v>0</v>
      </c>
      <c r="BE1331" s="1452">
        <f t="shared" si="723"/>
        <v>0</v>
      </c>
      <c r="BF1331" s="1452">
        <f t="shared" si="724"/>
        <v>0</v>
      </c>
      <c r="BG1331" s="1452">
        <f t="shared" si="725"/>
        <v>0</v>
      </c>
      <c r="BH1331" s="1452">
        <f t="shared" si="726"/>
        <v>0</v>
      </c>
      <c r="BI1331" s="1452">
        <f t="shared" si="743"/>
        <v>0</v>
      </c>
      <c r="BJ1331" s="1452" t="str">
        <f t="shared" si="727"/>
        <v/>
      </c>
      <c r="BK1331" s="1452" t="str">
        <f t="shared" si="728"/>
        <v/>
      </c>
      <c r="BL1331" s="1452" t="str">
        <f t="shared" si="729"/>
        <v/>
      </c>
      <c r="BM1331" s="1452" t="str">
        <f t="shared" si="730"/>
        <v/>
      </c>
      <c r="BN1331" s="1452" t="str">
        <f t="shared" ca="1" si="731"/>
        <v/>
      </c>
      <c r="BO1331" s="1452" t="str">
        <f t="shared" si="744"/>
        <v/>
      </c>
      <c r="BP1331" s="1452" t="str">
        <f t="shared" si="732"/>
        <v/>
      </c>
      <c r="BQ1331" s="1452" t="str">
        <f t="shared" si="733"/>
        <v/>
      </c>
      <c r="BR1331" s="1452" t="str">
        <f t="shared" si="734"/>
        <v/>
      </c>
      <c r="BS1331" s="1452" t="str">
        <f t="shared" si="735"/>
        <v/>
      </c>
      <c r="BT1331" s="1452" t="str">
        <f t="shared" si="736"/>
        <v/>
      </c>
      <c r="BU1331" s="1452" t="str">
        <f t="shared" si="737"/>
        <v/>
      </c>
      <c r="BV1331" s="1452" t="str">
        <f t="shared" si="738"/>
        <v/>
      </c>
      <c r="BW1331" s="1558">
        <f t="shared" ca="1" si="745"/>
        <v>0</v>
      </c>
    </row>
    <row r="1332" spans="1:75" s="9" customFormat="1" ht="12.5">
      <c r="A1332" s="1483" t="str">
        <f t="shared" si="739"/>
        <v>Public Health Wales Trust</v>
      </c>
      <c r="B1332" s="1583"/>
      <c r="C1332" s="1583"/>
      <c r="D1332" s="1583"/>
      <c r="E1332" s="1581"/>
      <c r="F1332" s="1436"/>
      <c r="G1332" s="1547">
        <f t="shared" si="740"/>
        <v>0</v>
      </c>
      <c r="H1332" s="1484"/>
      <c r="I1332" s="1547">
        <f t="shared" si="741"/>
        <v>0</v>
      </c>
      <c r="J1332" s="1485"/>
      <c r="K1332" s="1485"/>
      <c r="L1332" s="1436"/>
      <c r="M1332" s="1439"/>
      <c r="N1332" s="1439"/>
      <c r="O1332" s="1485"/>
      <c r="P1332" s="1486"/>
      <c r="Q1332" s="1486"/>
      <c r="R1332" s="1487"/>
      <c r="S1332" s="1444"/>
      <c r="T1332" s="1444"/>
      <c r="U1332" s="1444"/>
      <c r="V1332" s="1488"/>
      <c r="W1332" s="1488"/>
      <c r="X1332" s="1488"/>
      <c r="Y1332" s="1488"/>
      <c r="Z1332" s="1488"/>
      <c r="AA1332" s="1488"/>
      <c r="AB1332" s="1488"/>
      <c r="AC1332" s="1488"/>
      <c r="AD1332" s="1488"/>
      <c r="AE1332" s="1488"/>
      <c r="AF1332" s="1488"/>
      <c r="AG1332" s="1488"/>
      <c r="AH1332" s="1451">
        <f t="shared" si="713"/>
        <v>0</v>
      </c>
      <c r="AI1332" s="1488"/>
      <c r="AJ1332" s="1488"/>
      <c r="AK1332" s="1488"/>
      <c r="AL1332" s="1488"/>
      <c r="AM1332" s="1488"/>
      <c r="AN1332" s="1488"/>
      <c r="AO1332" s="1488"/>
      <c r="AP1332" s="1488"/>
      <c r="AQ1332" s="1488"/>
      <c r="AR1332" s="1488"/>
      <c r="AS1332" s="1488"/>
      <c r="AT1332" s="1542"/>
      <c r="AU1332" s="1599">
        <f t="shared" si="714"/>
        <v>0</v>
      </c>
      <c r="AV1332" s="1544">
        <f t="shared" si="742"/>
        <v>0</v>
      </c>
      <c r="AW1332" s="1452">
        <f t="shared" si="715"/>
        <v>0</v>
      </c>
      <c r="AX1332" s="1452">
        <f t="shared" si="716"/>
        <v>0</v>
      </c>
      <c r="AY1332" s="1452">
        <f t="shared" si="717"/>
        <v>0</v>
      </c>
      <c r="AZ1332" s="1452">
        <f t="shared" si="718"/>
        <v>0</v>
      </c>
      <c r="BA1332" s="1452">
        <f t="shared" si="719"/>
        <v>0</v>
      </c>
      <c r="BB1332" s="1452">
        <f t="shared" si="720"/>
        <v>0</v>
      </c>
      <c r="BC1332" s="1452">
        <f t="shared" si="721"/>
        <v>0</v>
      </c>
      <c r="BD1332" s="1452">
        <f t="shared" si="722"/>
        <v>0</v>
      </c>
      <c r="BE1332" s="1452">
        <f t="shared" si="723"/>
        <v>0</v>
      </c>
      <c r="BF1332" s="1452">
        <f t="shared" si="724"/>
        <v>0</v>
      </c>
      <c r="BG1332" s="1452">
        <f t="shared" si="725"/>
        <v>0</v>
      </c>
      <c r="BH1332" s="1452">
        <f t="shared" si="726"/>
        <v>0</v>
      </c>
      <c r="BI1332" s="1452">
        <f t="shared" si="743"/>
        <v>0</v>
      </c>
      <c r="BJ1332" s="1452" t="str">
        <f t="shared" si="727"/>
        <v/>
      </c>
      <c r="BK1332" s="1452" t="str">
        <f t="shared" si="728"/>
        <v/>
      </c>
      <c r="BL1332" s="1452" t="str">
        <f t="shared" si="729"/>
        <v/>
      </c>
      <c r="BM1332" s="1452" t="str">
        <f t="shared" si="730"/>
        <v/>
      </c>
      <c r="BN1332" s="1452" t="str">
        <f t="shared" ca="1" si="731"/>
        <v/>
      </c>
      <c r="BO1332" s="1452" t="str">
        <f t="shared" si="744"/>
        <v/>
      </c>
      <c r="BP1332" s="1452" t="str">
        <f t="shared" si="732"/>
        <v/>
      </c>
      <c r="BQ1332" s="1452" t="str">
        <f t="shared" si="733"/>
        <v/>
      </c>
      <c r="BR1332" s="1452" t="str">
        <f t="shared" si="734"/>
        <v/>
      </c>
      <c r="BS1332" s="1452" t="str">
        <f t="shared" si="735"/>
        <v/>
      </c>
      <c r="BT1332" s="1452" t="str">
        <f t="shared" si="736"/>
        <v/>
      </c>
      <c r="BU1332" s="1452" t="str">
        <f t="shared" si="737"/>
        <v/>
      </c>
      <c r="BV1332" s="1452" t="str">
        <f t="shared" si="738"/>
        <v/>
      </c>
      <c r="BW1332" s="1558">
        <f t="shared" ca="1" si="745"/>
        <v>0</v>
      </c>
    </row>
    <row r="1333" spans="1:75" s="9" customFormat="1" ht="12.5">
      <c r="A1333" s="1483" t="str">
        <f t="shared" si="739"/>
        <v>Public Health Wales Trust</v>
      </c>
      <c r="B1333" s="1583"/>
      <c r="C1333" s="1583"/>
      <c r="D1333" s="1583"/>
      <c r="E1333" s="1581"/>
      <c r="F1333" s="1436"/>
      <c r="G1333" s="1547">
        <f t="shared" si="740"/>
        <v>0</v>
      </c>
      <c r="H1333" s="1484"/>
      <c r="I1333" s="1547">
        <f t="shared" si="741"/>
        <v>0</v>
      </c>
      <c r="J1333" s="1485"/>
      <c r="K1333" s="1485"/>
      <c r="L1333" s="1436"/>
      <c r="M1333" s="1439"/>
      <c r="N1333" s="1439"/>
      <c r="O1333" s="1485"/>
      <c r="P1333" s="1486"/>
      <c r="Q1333" s="1486"/>
      <c r="R1333" s="1487"/>
      <c r="S1333" s="1444"/>
      <c r="T1333" s="1444"/>
      <c r="U1333" s="1444"/>
      <c r="V1333" s="1488"/>
      <c r="W1333" s="1488"/>
      <c r="X1333" s="1488"/>
      <c r="Y1333" s="1488"/>
      <c r="Z1333" s="1488"/>
      <c r="AA1333" s="1488"/>
      <c r="AB1333" s="1488"/>
      <c r="AC1333" s="1488"/>
      <c r="AD1333" s="1488"/>
      <c r="AE1333" s="1488"/>
      <c r="AF1333" s="1488"/>
      <c r="AG1333" s="1488"/>
      <c r="AH1333" s="1451">
        <f t="shared" si="713"/>
        <v>0</v>
      </c>
      <c r="AI1333" s="1488"/>
      <c r="AJ1333" s="1488"/>
      <c r="AK1333" s="1488"/>
      <c r="AL1333" s="1488"/>
      <c r="AM1333" s="1488"/>
      <c r="AN1333" s="1488"/>
      <c r="AO1333" s="1488"/>
      <c r="AP1333" s="1488"/>
      <c r="AQ1333" s="1488"/>
      <c r="AR1333" s="1488"/>
      <c r="AS1333" s="1488"/>
      <c r="AT1333" s="1542"/>
      <c r="AU1333" s="1599">
        <f t="shared" si="714"/>
        <v>0</v>
      </c>
      <c r="AV1333" s="1544">
        <f t="shared" si="742"/>
        <v>0</v>
      </c>
      <c r="AW1333" s="1452">
        <f t="shared" si="715"/>
        <v>0</v>
      </c>
      <c r="AX1333" s="1452">
        <f t="shared" si="716"/>
        <v>0</v>
      </c>
      <c r="AY1333" s="1452">
        <f t="shared" si="717"/>
        <v>0</v>
      </c>
      <c r="AZ1333" s="1452">
        <f t="shared" si="718"/>
        <v>0</v>
      </c>
      <c r="BA1333" s="1452">
        <f t="shared" si="719"/>
        <v>0</v>
      </c>
      <c r="BB1333" s="1452">
        <f t="shared" si="720"/>
        <v>0</v>
      </c>
      <c r="BC1333" s="1452">
        <f t="shared" si="721"/>
        <v>0</v>
      </c>
      <c r="BD1333" s="1452">
        <f t="shared" si="722"/>
        <v>0</v>
      </c>
      <c r="BE1333" s="1452">
        <f t="shared" si="723"/>
        <v>0</v>
      </c>
      <c r="BF1333" s="1452">
        <f t="shared" si="724"/>
        <v>0</v>
      </c>
      <c r="BG1333" s="1452">
        <f t="shared" si="725"/>
        <v>0</v>
      </c>
      <c r="BH1333" s="1452">
        <f t="shared" si="726"/>
        <v>0</v>
      </c>
      <c r="BI1333" s="1452">
        <f t="shared" si="743"/>
        <v>0</v>
      </c>
      <c r="BJ1333" s="1452" t="str">
        <f t="shared" si="727"/>
        <v/>
      </c>
      <c r="BK1333" s="1452" t="str">
        <f t="shared" si="728"/>
        <v/>
      </c>
      <c r="BL1333" s="1452" t="str">
        <f t="shared" si="729"/>
        <v/>
      </c>
      <c r="BM1333" s="1452" t="str">
        <f t="shared" si="730"/>
        <v/>
      </c>
      <c r="BN1333" s="1452" t="str">
        <f t="shared" ca="1" si="731"/>
        <v/>
      </c>
      <c r="BO1333" s="1452" t="str">
        <f t="shared" si="744"/>
        <v/>
      </c>
      <c r="BP1333" s="1452" t="str">
        <f t="shared" si="732"/>
        <v/>
      </c>
      <c r="BQ1333" s="1452" t="str">
        <f t="shared" si="733"/>
        <v/>
      </c>
      <c r="BR1333" s="1452" t="str">
        <f t="shared" si="734"/>
        <v/>
      </c>
      <c r="BS1333" s="1452" t="str">
        <f t="shared" si="735"/>
        <v/>
      </c>
      <c r="BT1333" s="1452" t="str">
        <f t="shared" si="736"/>
        <v/>
      </c>
      <c r="BU1333" s="1452" t="str">
        <f t="shared" si="737"/>
        <v/>
      </c>
      <c r="BV1333" s="1452" t="str">
        <f t="shared" si="738"/>
        <v/>
      </c>
      <c r="BW1333" s="1558">
        <f t="shared" ca="1" si="745"/>
        <v>0</v>
      </c>
    </row>
    <row r="1334" spans="1:75" s="9" customFormat="1" ht="12.5">
      <c r="A1334" s="1483" t="str">
        <f t="shared" si="739"/>
        <v>Public Health Wales Trust</v>
      </c>
      <c r="B1334" s="1583"/>
      <c r="C1334" s="1583"/>
      <c r="D1334" s="1583"/>
      <c r="E1334" s="1581"/>
      <c r="F1334" s="1436"/>
      <c r="G1334" s="1547">
        <f t="shared" si="740"/>
        <v>0</v>
      </c>
      <c r="H1334" s="1484"/>
      <c r="I1334" s="1547">
        <f t="shared" si="741"/>
        <v>0</v>
      </c>
      <c r="J1334" s="1485"/>
      <c r="K1334" s="1485"/>
      <c r="L1334" s="1436"/>
      <c r="M1334" s="1439"/>
      <c r="N1334" s="1439"/>
      <c r="O1334" s="1485"/>
      <c r="P1334" s="1486"/>
      <c r="Q1334" s="1486"/>
      <c r="R1334" s="1487"/>
      <c r="S1334" s="1444"/>
      <c r="T1334" s="1444"/>
      <c r="U1334" s="1444"/>
      <c r="V1334" s="1488"/>
      <c r="W1334" s="1488"/>
      <c r="X1334" s="1488"/>
      <c r="Y1334" s="1488"/>
      <c r="Z1334" s="1488"/>
      <c r="AA1334" s="1488"/>
      <c r="AB1334" s="1488"/>
      <c r="AC1334" s="1488"/>
      <c r="AD1334" s="1488"/>
      <c r="AE1334" s="1488"/>
      <c r="AF1334" s="1488"/>
      <c r="AG1334" s="1488"/>
      <c r="AH1334" s="1451">
        <f t="shared" si="713"/>
        <v>0</v>
      </c>
      <c r="AI1334" s="1488"/>
      <c r="AJ1334" s="1488"/>
      <c r="AK1334" s="1488"/>
      <c r="AL1334" s="1488"/>
      <c r="AM1334" s="1488"/>
      <c r="AN1334" s="1488"/>
      <c r="AO1334" s="1488"/>
      <c r="AP1334" s="1488"/>
      <c r="AQ1334" s="1488"/>
      <c r="AR1334" s="1488"/>
      <c r="AS1334" s="1488"/>
      <c r="AT1334" s="1542"/>
      <c r="AU1334" s="1599">
        <f t="shared" si="714"/>
        <v>0</v>
      </c>
      <c r="AV1334" s="1544">
        <f t="shared" si="742"/>
        <v>0</v>
      </c>
      <c r="AW1334" s="1452">
        <f t="shared" si="715"/>
        <v>0</v>
      </c>
      <c r="AX1334" s="1452">
        <f t="shared" si="716"/>
        <v>0</v>
      </c>
      <c r="AY1334" s="1452">
        <f t="shared" si="717"/>
        <v>0</v>
      </c>
      <c r="AZ1334" s="1452">
        <f t="shared" si="718"/>
        <v>0</v>
      </c>
      <c r="BA1334" s="1452">
        <f t="shared" si="719"/>
        <v>0</v>
      </c>
      <c r="BB1334" s="1452">
        <f t="shared" si="720"/>
        <v>0</v>
      </c>
      <c r="BC1334" s="1452">
        <f t="shared" si="721"/>
        <v>0</v>
      </c>
      <c r="BD1334" s="1452">
        <f t="shared" si="722"/>
        <v>0</v>
      </c>
      <c r="BE1334" s="1452">
        <f t="shared" si="723"/>
        <v>0</v>
      </c>
      <c r="BF1334" s="1452">
        <f t="shared" si="724"/>
        <v>0</v>
      </c>
      <c r="BG1334" s="1452">
        <f t="shared" si="725"/>
        <v>0</v>
      </c>
      <c r="BH1334" s="1452">
        <f t="shared" si="726"/>
        <v>0</v>
      </c>
      <c r="BI1334" s="1452">
        <f t="shared" si="743"/>
        <v>0</v>
      </c>
      <c r="BJ1334" s="1452" t="str">
        <f t="shared" si="727"/>
        <v/>
      </c>
      <c r="BK1334" s="1452" t="str">
        <f t="shared" si="728"/>
        <v/>
      </c>
      <c r="BL1334" s="1452" t="str">
        <f t="shared" si="729"/>
        <v/>
      </c>
      <c r="BM1334" s="1452" t="str">
        <f t="shared" si="730"/>
        <v/>
      </c>
      <c r="BN1334" s="1452" t="str">
        <f t="shared" ca="1" si="731"/>
        <v/>
      </c>
      <c r="BO1334" s="1452" t="str">
        <f t="shared" si="744"/>
        <v/>
      </c>
      <c r="BP1334" s="1452" t="str">
        <f t="shared" si="732"/>
        <v/>
      </c>
      <c r="BQ1334" s="1452" t="str">
        <f t="shared" si="733"/>
        <v/>
      </c>
      <c r="BR1334" s="1452" t="str">
        <f t="shared" si="734"/>
        <v/>
      </c>
      <c r="BS1334" s="1452" t="str">
        <f t="shared" si="735"/>
        <v/>
      </c>
      <c r="BT1334" s="1452" t="str">
        <f t="shared" si="736"/>
        <v/>
      </c>
      <c r="BU1334" s="1452" t="str">
        <f t="shared" si="737"/>
        <v/>
      </c>
      <c r="BV1334" s="1452" t="str">
        <f t="shared" si="738"/>
        <v/>
      </c>
      <c r="BW1334" s="1558">
        <f t="shared" ca="1" si="745"/>
        <v>0</v>
      </c>
    </row>
    <row r="1335" spans="1:75" s="9" customFormat="1" ht="12.5">
      <c r="A1335" s="1483" t="str">
        <f t="shared" si="739"/>
        <v>Public Health Wales Trust</v>
      </c>
      <c r="B1335" s="1583"/>
      <c r="C1335" s="1583"/>
      <c r="D1335" s="1583"/>
      <c r="E1335" s="1581"/>
      <c r="F1335" s="1436"/>
      <c r="G1335" s="1547">
        <f t="shared" si="740"/>
        <v>0</v>
      </c>
      <c r="H1335" s="1484"/>
      <c r="I1335" s="1547">
        <f t="shared" si="741"/>
        <v>0</v>
      </c>
      <c r="J1335" s="1485"/>
      <c r="K1335" s="1485"/>
      <c r="L1335" s="1436"/>
      <c r="M1335" s="1439"/>
      <c r="N1335" s="1439"/>
      <c r="O1335" s="1485"/>
      <c r="P1335" s="1486"/>
      <c r="Q1335" s="1486"/>
      <c r="R1335" s="1487"/>
      <c r="S1335" s="1444"/>
      <c r="T1335" s="1444"/>
      <c r="U1335" s="1444"/>
      <c r="V1335" s="1488"/>
      <c r="W1335" s="1488"/>
      <c r="X1335" s="1488"/>
      <c r="Y1335" s="1488"/>
      <c r="Z1335" s="1488"/>
      <c r="AA1335" s="1488"/>
      <c r="AB1335" s="1488"/>
      <c r="AC1335" s="1488"/>
      <c r="AD1335" s="1488"/>
      <c r="AE1335" s="1488"/>
      <c r="AF1335" s="1488"/>
      <c r="AG1335" s="1488"/>
      <c r="AH1335" s="1451">
        <f t="shared" si="713"/>
        <v>0</v>
      </c>
      <c r="AI1335" s="1488"/>
      <c r="AJ1335" s="1488"/>
      <c r="AK1335" s="1488"/>
      <c r="AL1335" s="1488"/>
      <c r="AM1335" s="1488"/>
      <c r="AN1335" s="1488"/>
      <c r="AO1335" s="1488"/>
      <c r="AP1335" s="1488"/>
      <c r="AQ1335" s="1488"/>
      <c r="AR1335" s="1488"/>
      <c r="AS1335" s="1488"/>
      <c r="AT1335" s="1542"/>
      <c r="AU1335" s="1599">
        <f t="shared" si="714"/>
        <v>0</v>
      </c>
      <c r="AV1335" s="1544">
        <f t="shared" si="742"/>
        <v>0</v>
      </c>
      <c r="AW1335" s="1452">
        <f t="shared" si="715"/>
        <v>0</v>
      </c>
      <c r="AX1335" s="1452">
        <f t="shared" si="716"/>
        <v>0</v>
      </c>
      <c r="AY1335" s="1452">
        <f t="shared" si="717"/>
        <v>0</v>
      </c>
      <c r="AZ1335" s="1452">
        <f t="shared" si="718"/>
        <v>0</v>
      </c>
      <c r="BA1335" s="1452">
        <f t="shared" si="719"/>
        <v>0</v>
      </c>
      <c r="BB1335" s="1452">
        <f t="shared" si="720"/>
        <v>0</v>
      </c>
      <c r="BC1335" s="1452">
        <f t="shared" si="721"/>
        <v>0</v>
      </c>
      <c r="BD1335" s="1452">
        <f t="shared" si="722"/>
        <v>0</v>
      </c>
      <c r="BE1335" s="1452">
        <f t="shared" si="723"/>
        <v>0</v>
      </c>
      <c r="BF1335" s="1452">
        <f t="shared" si="724"/>
        <v>0</v>
      </c>
      <c r="BG1335" s="1452">
        <f t="shared" si="725"/>
        <v>0</v>
      </c>
      <c r="BH1335" s="1452">
        <f t="shared" si="726"/>
        <v>0</v>
      </c>
      <c r="BI1335" s="1452">
        <f t="shared" si="743"/>
        <v>0</v>
      </c>
      <c r="BJ1335" s="1452" t="str">
        <f t="shared" si="727"/>
        <v/>
      </c>
      <c r="BK1335" s="1452" t="str">
        <f t="shared" si="728"/>
        <v/>
      </c>
      <c r="BL1335" s="1452" t="str">
        <f t="shared" si="729"/>
        <v/>
      </c>
      <c r="BM1335" s="1452" t="str">
        <f t="shared" si="730"/>
        <v/>
      </c>
      <c r="BN1335" s="1452" t="str">
        <f t="shared" ca="1" si="731"/>
        <v/>
      </c>
      <c r="BO1335" s="1452" t="str">
        <f t="shared" si="744"/>
        <v/>
      </c>
      <c r="BP1335" s="1452" t="str">
        <f t="shared" si="732"/>
        <v/>
      </c>
      <c r="BQ1335" s="1452" t="str">
        <f t="shared" si="733"/>
        <v/>
      </c>
      <c r="BR1335" s="1452" t="str">
        <f t="shared" si="734"/>
        <v/>
      </c>
      <c r="BS1335" s="1452" t="str">
        <f t="shared" si="735"/>
        <v/>
      </c>
      <c r="BT1335" s="1452" t="str">
        <f t="shared" si="736"/>
        <v/>
      </c>
      <c r="BU1335" s="1452" t="str">
        <f t="shared" si="737"/>
        <v/>
      </c>
      <c r="BV1335" s="1452" t="str">
        <f t="shared" si="738"/>
        <v/>
      </c>
      <c r="BW1335" s="1558">
        <f t="shared" ca="1" si="745"/>
        <v>0</v>
      </c>
    </row>
    <row r="1336" spans="1:75" s="9" customFormat="1" ht="12.5">
      <c r="A1336" s="1483" t="str">
        <f t="shared" si="739"/>
        <v>Public Health Wales Trust</v>
      </c>
      <c r="B1336" s="1583"/>
      <c r="C1336" s="1583"/>
      <c r="D1336" s="1583"/>
      <c r="E1336" s="1581"/>
      <c r="F1336" s="1436"/>
      <c r="G1336" s="1547">
        <f t="shared" si="740"/>
        <v>0</v>
      </c>
      <c r="H1336" s="1484"/>
      <c r="I1336" s="1547">
        <f t="shared" si="741"/>
        <v>0</v>
      </c>
      <c r="J1336" s="1485"/>
      <c r="K1336" s="1485"/>
      <c r="L1336" s="1436"/>
      <c r="M1336" s="1439"/>
      <c r="N1336" s="1439"/>
      <c r="O1336" s="1485"/>
      <c r="P1336" s="1486"/>
      <c r="Q1336" s="1486"/>
      <c r="R1336" s="1487"/>
      <c r="S1336" s="1444"/>
      <c r="T1336" s="1444"/>
      <c r="U1336" s="1444"/>
      <c r="V1336" s="1488"/>
      <c r="W1336" s="1488"/>
      <c r="X1336" s="1488"/>
      <c r="Y1336" s="1488"/>
      <c r="Z1336" s="1488"/>
      <c r="AA1336" s="1488"/>
      <c r="AB1336" s="1488"/>
      <c r="AC1336" s="1488"/>
      <c r="AD1336" s="1488"/>
      <c r="AE1336" s="1488"/>
      <c r="AF1336" s="1488"/>
      <c r="AG1336" s="1488"/>
      <c r="AH1336" s="1451">
        <f t="shared" si="713"/>
        <v>0</v>
      </c>
      <c r="AI1336" s="1488"/>
      <c r="AJ1336" s="1488"/>
      <c r="AK1336" s="1488"/>
      <c r="AL1336" s="1488"/>
      <c r="AM1336" s="1488"/>
      <c r="AN1336" s="1488"/>
      <c r="AO1336" s="1488"/>
      <c r="AP1336" s="1488"/>
      <c r="AQ1336" s="1488"/>
      <c r="AR1336" s="1488"/>
      <c r="AS1336" s="1488"/>
      <c r="AT1336" s="1542"/>
      <c r="AU1336" s="1599">
        <f t="shared" si="714"/>
        <v>0</v>
      </c>
      <c r="AV1336" s="1544">
        <f t="shared" si="742"/>
        <v>0</v>
      </c>
      <c r="AW1336" s="1452">
        <f t="shared" si="715"/>
        <v>0</v>
      </c>
      <c r="AX1336" s="1452">
        <f t="shared" si="716"/>
        <v>0</v>
      </c>
      <c r="AY1336" s="1452">
        <f t="shared" si="717"/>
        <v>0</v>
      </c>
      <c r="AZ1336" s="1452">
        <f t="shared" si="718"/>
        <v>0</v>
      </c>
      <c r="BA1336" s="1452">
        <f t="shared" si="719"/>
        <v>0</v>
      </c>
      <c r="BB1336" s="1452">
        <f t="shared" si="720"/>
        <v>0</v>
      </c>
      <c r="BC1336" s="1452">
        <f t="shared" si="721"/>
        <v>0</v>
      </c>
      <c r="BD1336" s="1452">
        <f t="shared" si="722"/>
        <v>0</v>
      </c>
      <c r="BE1336" s="1452">
        <f t="shared" si="723"/>
        <v>0</v>
      </c>
      <c r="BF1336" s="1452">
        <f t="shared" si="724"/>
        <v>0</v>
      </c>
      <c r="BG1336" s="1452">
        <f t="shared" si="725"/>
        <v>0</v>
      </c>
      <c r="BH1336" s="1452">
        <f t="shared" si="726"/>
        <v>0</v>
      </c>
      <c r="BI1336" s="1452">
        <f t="shared" si="743"/>
        <v>0</v>
      </c>
      <c r="BJ1336" s="1452" t="str">
        <f t="shared" si="727"/>
        <v/>
      </c>
      <c r="BK1336" s="1452" t="str">
        <f t="shared" si="728"/>
        <v/>
      </c>
      <c r="BL1336" s="1452" t="str">
        <f t="shared" si="729"/>
        <v/>
      </c>
      <c r="BM1336" s="1452" t="str">
        <f t="shared" si="730"/>
        <v/>
      </c>
      <c r="BN1336" s="1452" t="str">
        <f t="shared" ca="1" si="731"/>
        <v/>
      </c>
      <c r="BO1336" s="1452" t="str">
        <f t="shared" si="744"/>
        <v/>
      </c>
      <c r="BP1336" s="1452" t="str">
        <f t="shared" si="732"/>
        <v/>
      </c>
      <c r="BQ1336" s="1452" t="str">
        <f t="shared" si="733"/>
        <v/>
      </c>
      <c r="BR1336" s="1452" t="str">
        <f t="shared" si="734"/>
        <v/>
      </c>
      <c r="BS1336" s="1452" t="str">
        <f t="shared" si="735"/>
        <v/>
      </c>
      <c r="BT1336" s="1452" t="str">
        <f t="shared" si="736"/>
        <v/>
      </c>
      <c r="BU1336" s="1452" t="str">
        <f t="shared" si="737"/>
        <v/>
      </c>
      <c r="BV1336" s="1452" t="str">
        <f t="shared" si="738"/>
        <v/>
      </c>
      <c r="BW1336" s="1558">
        <f t="shared" ca="1" si="745"/>
        <v>0</v>
      </c>
    </row>
    <row r="1337" spans="1:75" s="9" customFormat="1" ht="12.5">
      <c r="A1337" s="1483" t="str">
        <f t="shared" si="739"/>
        <v>Public Health Wales Trust</v>
      </c>
      <c r="B1337" s="1583"/>
      <c r="C1337" s="1583"/>
      <c r="D1337" s="1583"/>
      <c r="E1337" s="1581"/>
      <c r="F1337" s="1436"/>
      <c r="G1337" s="1547">
        <f t="shared" si="740"/>
        <v>0</v>
      </c>
      <c r="H1337" s="1484"/>
      <c r="I1337" s="1547">
        <f t="shared" si="741"/>
        <v>0</v>
      </c>
      <c r="J1337" s="1485"/>
      <c r="K1337" s="1485"/>
      <c r="L1337" s="1436"/>
      <c r="M1337" s="1439"/>
      <c r="N1337" s="1439"/>
      <c r="O1337" s="1485"/>
      <c r="P1337" s="1486"/>
      <c r="Q1337" s="1486"/>
      <c r="R1337" s="1487"/>
      <c r="S1337" s="1444"/>
      <c r="T1337" s="1444"/>
      <c r="U1337" s="1444"/>
      <c r="V1337" s="1488"/>
      <c r="W1337" s="1488"/>
      <c r="X1337" s="1488"/>
      <c r="Y1337" s="1488"/>
      <c r="Z1337" s="1488"/>
      <c r="AA1337" s="1488"/>
      <c r="AB1337" s="1488"/>
      <c r="AC1337" s="1488"/>
      <c r="AD1337" s="1488"/>
      <c r="AE1337" s="1488"/>
      <c r="AF1337" s="1488"/>
      <c r="AG1337" s="1488"/>
      <c r="AH1337" s="1451">
        <f t="shared" si="713"/>
        <v>0</v>
      </c>
      <c r="AI1337" s="1488"/>
      <c r="AJ1337" s="1488"/>
      <c r="AK1337" s="1488"/>
      <c r="AL1337" s="1488"/>
      <c r="AM1337" s="1488"/>
      <c r="AN1337" s="1488"/>
      <c r="AO1337" s="1488"/>
      <c r="AP1337" s="1488"/>
      <c r="AQ1337" s="1488"/>
      <c r="AR1337" s="1488"/>
      <c r="AS1337" s="1488"/>
      <c r="AT1337" s="1542"/>
      <c r="AU1337" s="1599">
        <f t="shared" si="714"/>
        <v>0</v>
      </c>
      <c r="AV1337" s="1544">
        <f t="shared" si="742"/>
        <v>0</v>
      </c>
      <c r="AW1337" s="1452">
        <f t="shared" si="715"/>
        <v>0</v>
      </c>
      <c r="AX1337" s="1452">
        <f t="shared" si="716"/>
        <v>0</v>
      </c>
      <c r="AY1337" s="1452">
        <f t="shared" si="717"/>
        <v>0</v>
      </c>
      <c r="AZ1337" s="1452">
        <f t="shared" si="718"/>
        <v>0</v>
      </c>
      <c r="BA1337" s="1452">
        <f t="shared" si="719"/>
        <v>0</v>
      </c>
      <c r="BB1337" s="1452">
        <f t="shared" si="720"/>
        <v>0</v>
      </c>
      <c r="BC1337" s="1452">
        <f t="shared" si="721"/>
        <v>0</v>
      </c>
      <c r="BD1337" s="1452">
        <f t="shared" si="722"/>
        <v>0</v>
      </c>
      <c r="BE1337" s="1452">
        <f t="shared" si="723"/>
        <v>0</v>
      </c>
      <c r="BF1337" s="1452">
        <f t="shared" si="724"/>
        <v>0</v>
      </c>
      <c r="BG1337" s="1452">
        <f t="shared" si="725"/>
        <v>0</v>
      </c>
      <c r="BH1337" s="1452">
        <f t="shared" si="726"/>
        <v>0</v>
      </c>
      <c r="BI1337" s="1452">
        <f t="shared" si="743"/>
        <v>0</v>
      </c>
      <c r="BJ1337" s="1452" t="str">
        <f t="shared" si="727"/>
        <v/>
      </c>
      <c r="BK1337" s="1452" t="str">
        <f t="shared" si="728"/>
        <v/>
      </c>
      <c r="BL1337" s="1452" t="str">
        <f t="shared" si="729"/>
        <v/>
      </c>
      <c r="BM1337" s="1452" t="str">
        <f t="shared" si="730"/>
        <v/>
      </c>
      <c r="BN1337" s="1452" t="str">
        <f t="shared" ca="1" si="731"/>
        <v/>
      </c>
      <c r="BO1337" s="1452" t="str">
        <f t="shared" si="744"/>
        <v/>
      </c>
      <c r="BP1337" s="1452" t="str">
        <f t="shared" si="732"/>
        <v/>
      </c>
      <c r="BQ1337" s="1452" t="str">
        <f t="shared" si="733"/>
        <v/>
      </c>
      <c r="BR1337" s="1452" t="str">
        <f t="shared" si="734"/>
        <v/>
      </c>
      <c r="BS1337" s="1452" t="str">
        <f t="shared" si="735"/>
        <v/>
      </c>
      <c r="BT1337" s="1452" t="str">
        <f t="shared" si="736"/>
        <v/>
      </c>
      <c r="BU1337" s="1452" t="str">
        <f t="shared" si="737"/>
        <v/>
      </c>
      <c r="BV1337" s="1452" t="str">
        <f t="shared" si="738"/>
        <v/>
      </c>
      <c r="BW1337" s="1558">
        <f t="shared" ca="1" si="745"/>
        <v>0</v>
      </c>
    </row>
    <row r="1338" spans="1:75" s="9" customFormat="1" ht="12.5">
      <c r="A1338" s="1483" t="str">
        <f t="shared" si="739"/>
        <v>Public Health Wales Trust</v>
      </c>
      <c r="B1338" s="1583"/>
      <c r="C1338" s="1583"/>
      <c r="D1338" s="1583"/>
      <c r="E1338" s="1581"/>
      <c r="F1338" s="1436"/>
      <c r="G1338" s="1547">
        <f t="shared" si="740"/>
        <v>0</v>
      </c>
      <c r="H1338" s="1484"/>
      <c r="I1338" s="1547">
        <f t="shared" si="741"/>
        <v>0</v>
      </c>
      <c r="J1338" s="1485"/>
      <c r="K1338" s="1485"/>
      <c r="L1338" s="1436"/>
      <c r="M1338" s="1439"/>
      <c r="N1338" s="1439"/>
      <c r="O1338" s="1485"/>
      <c r="P1338" s="1486"/>
      <c r="Q1338" s="1486"/>
      <c r="R1338" s="1487"/>
      <c r="S1338" s="1444"/>
      <c r="T1338" s="1444"/>
      <c r="U1338" s="1444"/>
      <c r="V1338" s="1488"/>
      <c r="W1338" s="1488"/>
      <c r="X1338" s="1488"/>
      <c r="Y1338" s="1488"/>
      <c r="Z1338" s="1488"/>
      <c r="AA1338" s="1488"/>
      <c r="AB1338" s="1488"/>
      <c r="AC1338" s="1488"/>
      <c r="AD1338" s="1488"/>
      <c r="AE1338" s="1488"/>
      <c r="AF1338" s="1488"/>
      <c r="AG1338" s="1488"/>
      <c r="AH1338" s="1451">
        <f t="shared" si="713"/>
        <v>0</v>
      </c>
      <c r="AI1338" s="1488"/>
      <c r="AJ1338" s="1488"/>
      <c r="AK1338" s="1488"/>
      <c r="AL1338" s="1488"/>
      <c r="AM1338" s="1488"/>
      <c r="AN1338" s="1488"/>
      <c r="AO1338" s="1488"/>
      <c r="AP1338" s="1488"/>
      <c r="AQ1338" s="1488"/>
      <c r="AR1338" s="1488"/>
      <c r="AS1338" s="1488"/>
      <c r="AT1338" s="1542"/>
      <c r="AU1338" s="1599">
        <f t="shared" si="714"/>
        <v>0</v>
      </c>
      <c r="AV1338" s="1544">
        <f t="shared" si="742"/>
        <v>0</v>
      </c>
      <c r="AW1338" s="1452">
        <f t="shared" si="715"/>
        <v>0</v>
      </c>
      <c r="AX1338" s="1452">
        <f t="shared" si="716"/>
        <v>0</v>
      </c>
      <c r="AY1338" s="1452">
        <f t="shared" si="717"/>
        <v>0</v>
      </c>
      <c r="AZ1338" s="1452">
        <f t="shared" si="718"/>
        <v>0</v>
      </c>
      <c r="BA1338" s="1452">
        <f t="shared" si="719"/>
        <v>0</v>
      </c>
      <c r="BB1338" s="1452">
        <f t="shared" si="720"/>
        <v>0</v>
      </c>
      <c r="BC1338" s="1452">
        <f t="shared" si="721"/>
        <v>0</v>
      </c>
      <c r="BD1338" s="1452">
        <f t="shared" si="722"/>
        <v>0</v>
      </c>
      <c r="BE1338" s="1452">
        <f t="shared" si="723"/>
        <v>0</v>
      </c>
      <c r="BF1338" s="1452">
        <f t="shared" si="724"/>
        <v>0</v>
      </c>
      <c r="BG1338" s="1452">
        <f t="shared" si="725"/>
        <v>0</v>
      </c>
      <c r="BH1338" s="1452">
        <f t="shared" si="726"/>
        <v>0</v>
      </c>
      <c r="BI1338" s="1452">
        <f t="shared" si="743"/>
        <v>0</v>
      </c>
      <c r="BJ1338" s="1452" t="str">
        <f t="shared" si="727"/>
        <v/>
      </c>
      <c r="BK1338" s="1452" t="str">
        <f t="shared" si="728"/>
        <v/>
      </c>
      <c r="BL1338" s="1452" t="str">
        <f t="shared" si="729"/>
        <v/>
      </c>
      <c r="BM1338" s="1452" t="str">
        <f t="shared" si="730"/>
        <v/>
      </c>
      <c r="BN1338" s="1452" t="str">
        <f t="shared" ca="1" si="731"/>
        <v/>
      </c>
      <c r="BO1338" s="1452" t="str">
        <f t="shared" si="744"/>
        <v/>
      </c>
      <c r="BP1338" s="1452" t="str">
        <f t="shared" si="732"/>
        <v/>
      </c>
      <c r="BQ1338" s="1452" t="str">
        <f t="shared" si="733"/>
        <v/>
      </c>
      <c r="BR1338" s="1452" t="str">
        <f t="shared" si="734"/>
        <v/>
      </c>
      <c r="BS1338" s="1452" t="str">
        <f t="shared" si="735"/>
        <v/>
      </c>
      <c r="BT1338" s="1452" t="str">
        <f t="shared" si="736"/>
        <v/>
      </c>
      <c r="BU1338" s="1452" t="str">
        <f t="shared" si="737"/>
        <v/>
      </c>
      <c r="BV1338" s="1452" t="str">
        <f t="shared" si="738"/>
        <v/>
      </c>
      <c r="BW1338" s="1558">
        <f t="shared" ca="1" si="745"/>
        <v>0</v>
      </c>
    </row>
    <row r="1339" spans="1:75" s="9" customFormat="1" ht="12.5">
      <c r="A1339" s="1483" t="str">
        <f t="shared" si="739"/>
        <v>Public Health Wales Trust</v>
      </c>
      <c r="B1339" s="1583"/>
      <c r="C1339" s="1583"/>
      <c r="D1339" s="1583"/>
      <c r="E1339" s="1581"/>
      <c r="F1339" s="1436"/>
      <c r="G1339" s="1547">
        <f t="shared" si="740"/>
        <v>0</v>
      </c>
      <c r="H1339" s="1484"/>
      <c r="I1339" s="1547">
        <f t="shared" si="741"/>
        <v>0</v>
      </c>
      <c r="J1339" s="1485"/>
      <c r="K1339" s="1485"/>
      <c r="L1339" s="1436"/>
      <c r="M1339" s="1439"/>
      <c r="N1339" s="1439"/>
      <c r="O1339" s="1485"/>
      <c r="P1339" s="1486"/>
      <c r="Q1339" s="1486"/>
      <c r="R1339" s="1487"/>
      <c r="S1339" s="1444"/>
      <c r="T1339" s="1444"/>
      <c r="U1339" s="1444"/>
      <c r="V1339" s="1488"/>
      <c r="W1339" s="1488"/>
      <c r="X1339" s="1488"/>
      <c r="Y1339" s="1488"/>
      <c r="Z1339" s="1488"/>
      <c r="AA1339" s="1488"/>
      <c r="AB1339" s="1488"/>
      <c r="AC1339" s="1488"/>
      <c r="AD1339" s="1488"/>
      <c r="AE1339" s="1488"/>
      <c r="AF1339" s="1488"/>
      <c r="AG1339" s="1488"/>
      <c r="AH1339" s="1451">
        <f t="shared" si="713"/>
        <v>0</v>
      </c>
      <c r="AI1339" s="1488"/>
      <c r="AJ1339" s="1488"/>
      <c r="AK1339" s="1488"/>
      <c r="AL1339" s="1488"/>
      <c r="AM1339" s="1488"/>
      <c r="AN1339" s="1488"/>
      <c r="AO1339" s="1488"/>
      <c r="AP1339" s="1488"/>
      <c r="AQ1339" s="1488"/>
      <c r="AR1339" s="1488"/>
      <c r="AS1339" s="1488"/>
      <c r="AT1339" s="1542"/>
      <c r="AU1339" s="1599">
        <f t="shared" si="714"/>
        <v>0</v>
      </c>
      <c r="AV1339" s="1544">
        <f t="shared" si="742"/>
        <v>0</v>
      </c>
      <c r="AW1339" s="1452">
        <f t="shared" si="715"/>
        <v>0</v>
      </c>
      <c r="AX1339" s="1452">
        <f t="shared" si="716"/>
        <v>0</v>
      </c>
      <c r="AY1339" s="1452">
        <f t="shared" si="717"/>
        <v>0</v>
      </c>
      <c r="AZ1339" s="1452">
        <f t="shared" si="718"/>
        <v>0</v>
      </c>
      <c r="BA1339" s="1452">
        <f t="shared" si="719"/>
        <v>0</v>
      </c>
      <c r="BB1339" s="1452">
        <f t="shared" si="720"/>
        <v>0</v>
      </c>
      <c r="BC1339" s="1452">
        <f t="shared" si="721"/>
        <v>0</v>
      </c>
      <c r="BD1339" s="1452">
        <f t="shared" si="722"/>
        <v>0</v>
      </c>
      <c r="BE1339" s="1452">
        <f t="shared" si="723"/>
        <v>0</v>
      </c>
      <c r="BF1339" s="1452">
        <f t="shared" si="724"/>
        <v>0</v>
      </c>
      <c r="BG1339" s="1452">
        <f t="shared" si="725"/>
        <v>0</v>
      </c>
      <c r="BH1339" s="1452">
        <f t="shared" si="726"/>
        <v>0</v>
      </c>
      <c r="BI1339" s="1452">
        <f t="shared" si="743"/>
        <v>0</v>
      </c>
      <c r="BJ1339" s="1452" t="str">
        <f t="shared" si="727"/>
        <v/>
      </c>
      <c r="BK1339" s="1452" t="str">
        <f t="shared" si="728"/>
        <v/>
      </c>
      <c r="BL1339" s="1452" t="str">
        <f t="shared" si="729"/>
        <v/>
      </c>
      <c r="BM1339" s="1452" t="str">
        <f t="shared" si="730"/>
        <v/>
      </c>
      <c r="BN1339" s="1452" t="str">
        <f t="shared" ca="1" si="731"/>
        <v/>
      </c>
      <c r="BO1339" s="1452" t="str">
        <f t="shared" si="744"/>
        <v/>
      </c>
      <c r="BP1339" s="1452" t="str">
        <f t="shared" si="732"/>
        <v/>
      </c>
      <c r="BQ1339" s="1452" t="str">
        <f t="shared" si="733"/>
        <v/>
      </c>
      <c r="BR1339" s="1452" t="str">
        <f t="shared" si="734"/>
        <v/>
      </c>
      <c r="BS1339" s="1452" t="str">
        <f t="shared" si="735"/>
        <v/>
      </c>
      <c r="BT1339" s="1452" t="str">
        <f t="shared" si="736"/>
        <v/>
      </c>
      <c r="BU1339" s="1452" t="str">
        <f t="shared" si="737"/>
        <v/>
      </c>
      <c r="BV1339" s="1452" t="str">
        <f t="shared" si="738"/>
        <v/>
      </c>
      <c r="BW1339" s="1558">
        <f t="shared" ca="1" si="745"/>
        <v>0</v>
      </c>
    </row>
    <row r="1340" spans="1:75" s="9" customFormat="1" ht="12.5">
      <c r="A1340" s="1483" t="str">
        <f t="shared" si="739"/>
        <v>Public Health Wales Trust</v>
      </c>
      <c r="B1340" s="1583"/>
      <c r="C1340" s="1583"/>
      <c r="D1340" s="1583"/>
      <c r="E1340" s="1581"/>
      <c r="F1340" s="1436"/>
      <c r="G1340" s="1547">
        <f t="shared" si="740"/>
        <v>0</v>
      </c>
      <c r="H1340" s="1484"/>
      <c r="I1340" s="1547">
        <f t="shared" si="741"/>
        <v>0</v>
      </c>
      <c r="J1340" s="1485"/>
      <c r="K1340" s="1485"/>
      <c r="L1340" s="1436"/>
      <c r="M1340" s="1439"/>
      <c r="N1340" s="1439"/>
      <c r="O1340" s="1485"/>
      <c r="P1340" s="1486"/>
      <c r="Q1340" s="1486"/>
      <c r="R1340" s="1487"/>
      <c r="S1340" s="1444"/>
      <c r="T1340" s="1444"/>
      <c r="U1340" s="1444"/>
      <c r="V1340" s="1488"/>
      <c r="W1340" s="1488"/>
      <c r="X1340" s="1488"/>
      <c r="Y1340" s="1488"/>
      <c r="Z1340" s="1488"/>
      <c r="AA1340" s="1488"/>
      <c r="AB1340" s="1488"/>
      <c r="AC1340" s="1488"/>
      <c r="AD1340" s="1488"/>
      <c r="AE1340" s="1488"/>
      <c r="AF1340" s="1488"/>
      <c r="AG1340" s="1488"/>
      <c r="AH1340" s="1451">
        <f t="shared" si="713"/>
        <v>0</v>
      </c>
      <c r="AI1340" s="1488"/>
      <c r="AJ1340" s="1488"/>
      <c r="AK1340" s="1488"/>
      <c r="AL1340" s="1488"/>
      <c r="AM1340" s="1488"/>
      <c r="AN1340" s="1488"/>
      <c r="AO1340" s="1488"/>
      <c r="AP1340" s="1488"/>
      <c r="AQ1340" s="1488"/>
      <c r="AR1340" s="1488"/>
      <c r="AS1340" s="1488"/>
      <c r="AT1340" s="1542"/>
      <c r="AU1340" s="1599">
        <f t="shared" si="714"/>
        <v>0</v>
      </c>
      <c r="AV1340" s="1544">
        <f t="shared" si="742"/>
        <v>0</v>
      </c>
      <c r="AW1340" s="1452">
        <f t="shared" si="715"/>
        <v>0</v>
      </c>
      <c r="AX1340" s="1452">
        <f t="shared" si="716"/>
        <v>0</v>
      </c>
      <c r="AY1340" s="1452">
        <f t="shared" si="717"/>
        <v>0</v>
      </c>
      <c r="AZ1340" s="1452">
        <f t="shared" si="718"/>
        <v>0</v>
      </c>
      <c r="BA1340" s="1452">
        <f t="shared" si="719"/>
        <v>0</v>
      </c>
      <c r="BB1340" s="1452">
        <f t="shared" si="720"/>
        <v>0</v>
      </c>
      <c r="BC1340" s="1452">
        <f t="shared" si="721"/>
        <v>0</v>
      </c>
      <c r="BD1340" s="1452">
        <f t="shared" si="722"/>
        <v>0</v>
      </c>
      <c r="BE1340" s="1452">
        <f t="shared" si="723"/>
        <v>0</v>
      </c>
      <c r="BF1340" s="1452">
        <f t="shared" si="724"/>
        <v>0</v>
      </c>
      <c r="BG1340" s="1452">
        <f t="shared" si="725"/>
        <v>0</v>
      </c>
      <c r="BH1340" s="1452">
        <f t="shared" si="726"/>
        <v>0</v>
      </c>
      <c r="BI1340" s="1452">
        <f t="shared" si="743"/>
        <v>0</v>
      </c>
      <c r="BJ1340" s="1452" t="str">
        <f t="shared" si="727"/>
        <v/>
      </c>
      <c r="BK1340" s="1452" t="str">
        <f t="shared" si="728"/>
        <v/>
      </c>
      <c r="BL1340" s="1452" t="str">
        <f t="shared" si="729"/>
        <v/>
      </c>
      <c r="BM1340" s="1452" t="str">
        <f t="shared" si="730"/>
        <v/>
      </c>
      <c r="BN1340" s="1452" t="str">
        <f t="shared" ca="1" si="731"/>
        <v/>
      </c>
      <c r="BO1340" s="1452" t="str">
        <f t="shared" si="744"/>
        <v/>
      </c>
      <c r="BP1340" s="1452" t="str">
        <f t="shared" si="732"/>
        <v/>
      </c>
      <c r="BQ1340" s="1452" t="str">
        <f t="shared" si="733"/>
        <v/>
      </c>
      <c r="BR1340" s="1452" t="str">
        <f t="shared" si="734"/>
        <v/>
      </c>
      <c r="BS1340" s="1452" t="str">
        <f t="shared" si="735"/>
        <v/>
      </c>
      <c r="BT1340" s="1452" t="str">
        <f t="shared" si="736"/>
        <v/>
      </c>
      <c r="BU1340" s="1452" t="str">
        <f t="shared" si="737"/>
        <v/>
      </c>
      <c r="BV1340" s="1452" t="str">
        <f t="shared" si="738"/>
        <v/>
      </c>
      <c r="BW1340" s="1558">
        <f t="shared" ca="1" si="745"/>
        <v>0</v>
      </c>
    </row>
    <row r="1341" spans="1:75" s="9" customFormat="1" ht="12.5">
      <c r="A1341" s="1483" t="str">
        <f t="shared" si="739"/>
        <v>Public Health Wales Trust</v>
      </c>
      <c r="B1341" s="1583"/>
      <c r="C1341" s="1583"/>
      <c r="D1341" s="1583"/>
      <c r="E1341" s="1581"/>
      <c r="F1341" s="1436"/>
      <c r="G1341" s="1547">
        <f t="shared" si="740"/>
        <v>0</v>
      </c>
      <c r="H1341" s="1484"/>
      <c r="I1341" s="1547">
        <f t="shared" si="741"/>
        <v>0</v>
      </c>
      <c r="J1341" s="1485"/>
      <c r="K1341" s="1485"/>
      <c r="L1341" s="1436"/>
      <c r="M1341" s="1439"/>
      <c r="N1341" s="1439"/>
      <c r="O1341" s="1485"/>
      <c r="P1341" s="1486"/>
      <c r="Q1341" s="1486"/>
      <c r="R1341" s="1487"/>
      <c r="S1341" s="1444"/>
      <c r="T1341" s="1444"/>
      <c r="U1341" s="1444"/>
      <c r="V1341" s="1488"/>
      <c r="W1341" s="1488"/>
      <c r="X1341" s="1488"/>
      <c r="Y1341" s="1488"/>
      <c r="Z1341" s="1488"/>
      <c r="AA1341" s="1488"/>
      <c r="AB1341" s="1488"/>
      <c r="AC1341" s="1488"/>
      <c r="AD1341" s="1488"/>
      <c r="AE1341" s="1488"/>
      <c r="AF1341" s="1488"/>
      <c r="AG1341" s="1488"/>
      <c r="AH1341" s="1451">
        <f t="shared" si="713"/>
        <v>0</v>
      </c>
      <c r="AI1341" s="1488"/>
      <c r="AJ1341" s="1488"/>
      <c r="AK1341" s="1488"/>
      <c r="AL1341" s="1488"/>
      <c r="AM1341" s="1488"/>
      <c r="AN1341" s="1488"/>
      <c r="AO1341" s="1488"/>
      <c r="AP1341" s="1488"/>
      <c r="AQ1341" s="1488"/>
      <c r="AR1341" s="1488"/>
      <c r="AS1341" s="1488"/>
      <c r="AT1341" s="1542"/>
      <c r="AU1341" s="1599">
        <f t="shared" si="714"/>
        <v>0</v>
      </c>
      <c r="AV1341" s="1544">
        <f t="shared" si="742"/>
        <v>0</v>
      </c>
      <c r="AW1341" s="1452">
        <f t="shared" si="715"/>
        <v>0</v>
      </c>
      <c r="AX1341" s="1452">
        <f t="shared" si="716"/>
        <v>0</v>
      </c>
      <c r="AY1341" s="1452">
        <f t="shared" si="717"/>
        <v>0</v>
      </c>
      <c r="AZ1341" s="1452">
        <f t="shared" si="718"/>
        <v>0</v>
      </c>
      <c r="BA1341" s="1452">
        <f t="shared" si="719"/>
        <v>0</v>
      </c>
      <c r="BB1341" s="1452">
        <f t="shared" si="720"/>
        <v>0</v>
      </c>
      <c r="BC1341" s="1452">
        <f t="shared" si="721"/>
        <v>0</v>
      </c>
      <c r="BD1341" s="1452">
        <f t="shared" si="722"/>
        <v>0</v>
      </c>
      <c r="BE1341" s="1452">
        <f t="shared" si="723"/>
        <v>0</v>
      </c>
      <c r="BF1341" s="1452">
        <f t="shared" si="724"/>
        <v>0</v>
      </c>
      <c r="BG1341" s="1452">
        <f t="shared" si="725"/>
        <v>0</v>
      </c>
      <c r="BH1341" s="1452">
        <f t="shared" si="726"/>
        <v>0</v>
      </c>
      <c r="BI1341" s="1452">
        <f t="shared" si="743"/>
        <v>0</v>
      </c>
      <c r="BJ1341" s="1452" t="str">
        <f t="shared" si="727"/>
        <v/>
      </c>
      <c r="BK1341" s="1452" t="str">
        <f t="shared" si="728"/>
        <v/>
      </c>
      <c r="BL1341" s="1452" t="str">
        <f t="shared" si="729"/>
        <v/>
      </c>
      <c r="BM1341" s="1452" t="str">
        <f t="shared" si="730"/>
        <v/>
      </c>
      <c r="BN1341" s="1452" t="str">
        <f t="shared" ca="1" si="731"/>
        <v/>
      </c>
      <c r="BO1341" s="1452" t="str">
        <f t="shared" si="744"/>
        <v/>
      </c>
      <c r="BP1341" s="1452" t="str">
        <f t="shared" si="732"/>
        <v/>
      </c>
      <c r="BQ1341" s="1452" t="str">
        <f t="shared" si="733"/>
        <v/>
      </c>
      <c r="BR1341" s="1452" t="str">
        <f t="shared" si="734"/>
        <v/>
      </c>
      <c r="BS1341" s="1452" t="str">
        <f t="shared" si="735"/>
        <v/>
      </c>
      <c r="BT1341" s="1452" t="str">
        <f t="shared" si="736"/>
        <v/>
      </c>
      <c r="BU1341" s="1452" t="str">
        <f t="shared" si="737"/>
        <v/>
      </c>
      <c r="BV1341" s="1452" t="str">
        <f t="shared" si="738"/>
        <v/>
      </c>
      <c r="BW1341" s="1558">
        <f t="shared" ca="1" si="745"/>
        <v>0</v>
      </c>
    </row>
    <row r="1342" spans="1:75" s="9" customFormat="1" ht="12.5">
      <c r="A1342" s="1483" t="str">
        <f t="shared" si="739"/>
        <v>Public Health Wales Trust</v>
      </c>
      <c r="B1342" s="1583"/>
      <c r="C1342" s="1583"/>
      <c r="D1342" s="1583"/>
      <c r="E1342" s="1581"/>
      <c r="F1342" s="1436"/>
      <c r="G1342" s="1547">
        <f t="shared" si="740"/>
        <v>0</v>
      </c>
      <c r="H1342" s="1484"/>
      <c r="I1342" s="1547">
        <f t="shared" si="741"/>
        <v>0</v>
      </c>
      <c r="J1342" s="1485"/>
      <c r="K1342" s="1485"/>
      <c r="L1342" s="1436"/>
      <c r="M1342" s="1439"/>
      <c r="N1342" s="1439"/>
      <c r="O1342" s="1485"/>
      <c r="P1342" s="1486"/>
      <c r="Q1342" s="1486"/>
      <c r="R1342" s="1487"/>
      <c r="S1342" s="1444"/>
      <c r="T1342" s="1444"/>
      <c r="U1342" s="1444"/>
      <c r="V1342" s="1488"/>
      <c r="W1342" s="1488"/>
      <c r="X1342" s="1488"/>
      <c r="Y1342" s="1488"/>
      <c r="Z1342" s="1488"/>
      <c r="AA1342" s="1488"/>
      <c r="AB1342" s="1488"/>
      <c r="AC1342" s="1488"/>
      <c r="AD1342" s="1488"/>
      <c r="AE1342" s="1488"/>
      <c r="AF1342" s="1488"/>
      <c r="AG1342" s="1488"/>
      <c r="AH1342" s="1451">
        <f t="shared" si="713"/>
        <v>0</v>
      </c>
      <c r="AI1342" s="1488"/>
      <c r="AJ1342" s="1488"/>
      <c r="AK1342" s="1488"/>
      <c r="AL1342" s="1488"/>
      <c r="AM1342" s="1488"/>
      <c r="AN1342" s="1488"/>
      <c r="AO1342" s="1488"/>
      <c r="AP1342" s="1488"/>
      <c r="AQ1342" s="1488"/>
      <c r="AR1342" s="1488"/>
      <c r="AS1342" s="1488"/>
      <c r="AT1342" s="1542"/>
      <c r="AU1342" s="1599">
        <f t="shared" si="714"/>
        <v>0</v>
      </c>
      <c r="AV1342" s="1544">
        <f t="shared" si="742"/>
        <v>0</v>
      </c>
      <c r="AW1342" s="1452">
        <f t="shared" si="715"/>
        <v>0</v>
      </c>
      <c r="AX1342" s="1452">
        <f t="shared" si="716"/>
        <v>0</v>
      </c>
      <c r="AY1342" s="1452">
        <f t="shared" si="717"/>
        <v>0</v>
      </c>
      <c r="AZ1342" s="1452">
        <f t="shared" si="718"/>
        <v>0</v>
      </c>
      <c r="BA1342" s="1452">
        <f t="shared" si="719"/>
        <v>0</v>
      </c>
      <c r="BB1342" s="1452">
        <f t="shared" si="720"/>
        <v>0</v>
      </c>
      <c r="BC1342" s="1452">
        <f t="shared" si="721"/>
        <v>0</v>
      </c>
      <c r="BD1342" s="1452">
        <f t="shared" si="722"/>
        <v>0</v>
      </c>
      <c r="BE1342" s="1452">
        <f t="shared" si="723"/>
        <v>0</v>
      </c>
      <c r="BF1342" s="1452">
        <f t="shared" si="724"/>
        <v>0</v>
      </c>
      <c r="BG1342" s="1452">
        <f t="shared" si="725"/>
        <v>0</v>
      </c>
      <c r="BH1342" s="1452">
        <f t="shared" si="726"/>
        <v>0</v>
      </c>
      <c r="BI1342" s="1452">
        <f t="shared" si="743"/>
        <v>0</v>
      </c>
      <c r="BJ1342" s="1452" t="str">
        <f t="shared" si="727"/>
        <v/>
      </c>
      <c r="BK1342" s="1452" t="str">
        <f t="shared" si="728"/>
        <v/>
      </c>
      <c r="BL1342" s="1452" t="str">
        <f t="shared" si="729"/>
        <v/>
      </c>
      <c r="BM1342" s="1452" t="str">
        <f t="shared" si="730"/>
        <v/>
      </c>
      <c r="BN1342" s="1452" t="str">
        <f t="shared" ca="1" si="731"/>
        <v/>
      </c>
      <c r="BO1342" s="1452" t="str">
        <f t="shared" si="744"/>
        <v/>
      </c>
      <c r="BP1342" s="1452" t="str">
        <f t="shared" si="732"/>
        <v/>
      </c>
      <c r="BQ1342" s="1452" t="str">
        <f t="shared" si="733"/>
        <v/>
      </c>
      <c r="BR1342" s="1452" t="str">
        <f t="shared" si="734"/>
        <v/>
      </c>
      <c r="BS1342" s="1452" t="str">
        <f t="shared" si="735"/>
        <v/>
      </c>
      <c r="BT1342" s="1452" t="str">
        <f t="shared" si="736"/>
        <v/>
      </c>
      <c r="BU1342" s="1452" t="str">
        <f t="shared" si="737"/>
        <v/>
      </c>
      <c r="BV1342" s="1452" t="str">
        <f t="shared" si="738"/>
        <v/>
      </c>
      <c r="BW1342" s="1558">
        <f t="shared" ca="1" si="745"/>
        <v>0</v>
      </c>
    </row>
    <row r="1343" spans="1:75" s="9" customFormat="1" ht="12.5">
      <c r="A1343" s="1483" t="str">
        <f t="shared" si="739"/>
        <v>Public Health Wales Trust</v>
      </c>
      <c r="B1343" s="1583"/>
      <c r="C1343" s="1583"/>
      <c r="D1343" s="1583"/>
      <c r="E1343" s="1581"/>
      <c r="F1343" s="1436"/>
      <c r="G1343" s="1547">
        <f t="shared" si="740"/>
        <v>0</v>
      </c>
      <c r="H1343" s="1484"/>
      <c r="I1343" s="1547">
        <f t="shared" si="741"/>
        <v>0</v>
      </c>
      <c r="J1343" s="1485"/>
      <c r="K1343" s="1485"/>
      <c r="L1343" s="1436"/>
      <c r="M1343" s="1439"/>
      <c r="N1343" s="1439"/>
      <c r="O1343" s="1485"/>
      <c r="P1343" s="1486"/>
      <c r="Q1343" s="1486"/>
      <c r="R1343" s="1487"/>
      <c r="S1343" s="1444"/>
      <c r="T1343" s="1444"/>
      <c r="U1343" s="1444"/>
      <c r="V1343" s="1488"/>
      <c r="W1343" s="1488"/>
      <c r="X1343" s="1488"/>
      <c r="Y1343" s="1488"/>
      <c r="Z1343" s="1488"/>
      <c r="AA1343" s="1488"/>
      <c r="AB1343" s="1488"/>
      <c r="AC1343" s="1488"/>
      <c r="AD1343" s="1488"/>
      <c r="AE1343" s="1488"/>
      <c r="AF1343" s="1488"/>
      <c r="AG1343" s="1488"/>
      <c r="AH1343" s="1451">
        <f t="shared" si="713"/>
        <v>0</v>
      </c>
      <c r="AI1343" s="1488"/>
      <c r="AJ1343" s="1488"/>
      <c r="AK1343" s="1488"/>
      <c r="AL1343" s="1488"/>
      <c r="AM1343" s="1488"/>
      <c r="AN1343" s="1488"/>
      <c r="AO1343" s="1488"/>
      <c r="AP1343" s="1488"/>
      <c r="AQ1343" s="1488"/>
      <c r="AR1343" s="1488"/>
      <c r="AS1343" s="1488"/>
      <c r="AT1343" s="1542"/>
      <c r="AU1343" s="1599">
        <f t="shared" si="714"/>
        <v>0</v>
      </c>
      <c r="AV1343" s="1544">
        <f t="shared" si="742"/>
        <v>0</v>
      </c>
      <c r="AW1343" s="1452">
        <f t="shared" si="715"/>
        <v>0</v>
      </c>
      <c r="AX1343" s="1452">
        <f t="shared" si="716"/>
        <v>0</v>
      </c>
      <c r="AY1343" s="1452">
        <f t="shared" si="717"/>
        <v>0</v>
      </c>
      <c r="AZ1343" s="1452">
        <f t="shared" si="718"/>
        <v>0</v>
      </c>
      <c r="BA1343" s="1452">
        <f t="shared" si="719"/>
        <v>0</v>
      </c>
      <c r="BB1343" s="1452">
        <f t="shared" si="720"/>
        <v>0</v>
      </c>
      <c r="BC1343" s="1452">
        <f t="shared" si="721"/>
        <v>0</v>
      </c>
      <c r="BD1343" s="1452">
        <f t="shared" si="722"/>
        <v>0</v>
      </c>
      <c r="BE1343" s="1452">
        <f t="shared" si="723"/>
        <v>0</v>
      </c>
      <c r="BF1343" s="1452">
        <f t="shared" si="724"/>
        <v>0</v>
      </c>
      <c r="BG1343" s="1452">
        <f t="shared" si="725"/>
        <v>0</v>
      </c>
      <c r="BH1343" s="1452">
        <f t="shared" si="726"/>
        <v>0</v>
      </c>
      <c r="BI1343" s="1452">
        <f t="shared" si="743"/>
        <v>0</v>
      </c>
      <c r="BJ1343" s="1452" t="str">
        <f t="shared" si="727"/>
        <v/>
      </c>
      <c r="BK1343" s="1452" t="str">
        <f t="shared" si="728"/>
        <v/>
      </c>
      <c r="BL1343" s="1452" t="str">
        <f t="shared" si="729"/>
        <v/>
      </c>
      <c r="BM1343" s="1452" t="str">
        <f t="shared" si="730"/>
        <v/>
      </c>
      <c r="BN1343" s="1452" t="str">
        <f t="shared" ca="1" si="731"/>
        <v/>
      </c>
      <c r="BO1343" s="1452" t="str">
        <f t="shared" si="744"/>
        <v/>
      </c>
      <c r="BP1343" s="1452" t="str">
        <f t="shared" si="732"/>
        <v/>
      </c>
      <c r="BQ1343" s="1452" t="str">
        <f t="shared" si="733"/>
        <v/>
      </c>
      <c r="BR1343" s="1452" t="str">
        <f t="shared" si="734"/>
        <v/>
      </c>
      <c r="BS1343" s="1452" t="str">
        <f t="shared" si="735"/>
        <v/>
      </c>
      <c r="BT1343" s="1452" t="str">
        <f t="shared" si="736"/>
        <v/>
      </c>
      <c r="BU1343" s="1452" t="str">
        <f t="shared" si="737"/>
        <v/>
      </c>
      <c r="BV1343" s="1452" t="str">
        <f t="shared" si="738"/>
        <v/>
      </c>
      <c r="BW1343" s="1558">
        <f t="shared" ca="1" si="745"/>
        <v>0</v>
      </c>
    </row>
    <row r="1344" spans="1:75" s="9" customFormat="1" ht="12.5">
      <c r="A1344" s="1483" t="str">
        <f t="shared" si="739"/>
        <v>Public Health Wales Trust</v>
      </c>
      <c r="B1344" s="1583"/>
      <c r="C1344" s="1583"/>
      <c r="D1344" s="1583"/>
      <c r="E1344" s="1581"/>
      <c r="F1344" s="1436"/>
      <c r="G1344" s="1547">
        <f t="shared" si="740"/>
        <v>0</v>
      </c>
      <c r="H1344" s="1484"/>
      <c r="I1344" s="1547">
        <f t="shared" si="741"/>
        <v>0</v>
      </c>
      <c r="J1344" s="1485"/>
      <c r="K1344" s="1485"/>
      <c r="L1344" s="1436"/>
      <c r="M1344" s="1439"/>
      <c r="N1344" s="1439"/>
      <c r="O1344" s="1485"/>
      <c r="P1344" s="1486"/>
      <c r="Q1344" s="1486"/>
      <c r="R1344" s="1487"/>
      <c r="S1344" s="1444"/>
      <c r="T1344" s="1444"/>
      <c r="U1344" s="1444"/>
      <c r="V1344" s="1488"/>
      <c r="W1344" s="1488"/>
      <c r="X1344" s="1488"/>
      <c r="Y1344" s="1488"/>
      <c r="Z1344" s="1488"/>
      <c r="AA1344" s="1488"/>
      <c r="AB1344" s="1488"/>
      <c r="AC1344" s="1488"/>
      <c r="AD1344" s="1488"/>
      <c r="AE1344" s="1488"/>
      <c r="AF1344" s="1488"/>
      <c r="AG1344" s="1488"/>
      <c r="AH1344" s="1451">
        <f t="shared" si="713"/>
        <v>0</v>
      </c>
      <c r="AI1344" s="1488"/>
      <c r="AJ1344" s="1488"/>
      <c r="AK1344" s="1488"/>
      <c r="AL1344" s="1488"/>
      <c r="AM1344" s="1488"/>
      <c r="AN1344" s="1488"/>
      <c r="AO1344" s="1488"/>
      <c r="AP1344" s="1488"/>
      <c r="AQ1344" s="1488"/>
      <c r="AR1344" s="1488"/>
      <c r="AS1344" s="1488"/>
      <c r="AT1344" s="1542"/>
      <c r="AU1344" s="1599">
        <f t="shared" si="714"/>
        <v>0</v>
      </c>
      <c r="AV1344" s="1544">
        <f t="shared" si="742"/>
        <v>0</v>
      </c>
      <c r="AW1344" s="1452">
        <f t="shared" si="715"/>
        <v>0</v>
      </c>
      <c r="AX1344" s="1452">
        <f t="shared" si="716"/>
        <v>0</v>
      </c>
      <c r="AY1344" s="1452">
        <f t="shared" si="717"/>
        <v>0</v>
      </c>
      <c r="AZ1344" s="1452">
        <f t="shared" si="718"/>
        <v>0</v>
      </c>
      <c r="BA1344" s="1452">
        <f t="shared" si="719"/>
        <v>0</v>
      </c>
      <c r="BB1344" s="1452">
        <f t="shared" si="720"/>
        <v>0</v>
      </c>
      <c r="BC1344" s="1452">
        <f t="shared" si="721"/>
        <v>0</v>
      </c>
      <c r="BD1344" s="1452">
        <f t="shared" si="722"/>
        <v>0</v>
      </c>
      <c r="BE1344" s="1452">
        <f t="shared" si="723"/>
        <v>0</v>
      </c>
      <c r="BF1344" s="1452">
        <f t="shared" si="724"/>
        <v>0</v>
      </c>
      <c r="BG1344" s="1452">
        <f t="shared" si="725"/>
        <v>0</v>
      </c>
      <c r="BH1344" s="1452">
        <f t="shared" si="726"/>
        <v>0</v>
      </c>
      <c r="BI1344" s="1452">
        <f t="shared" si="743"/>
        <v>0</v>
      </c>
      <c r="BJ1344" s="1452" t="str">
        <f t="shared" si="727"/>
        <v/>
      </c>
      <c r="BK1344" s="1452" t="str">
        <f t="shared" si="728"/>
        <v/>
      </c>
      <c r="BL1344" s="1452" t="str">
        <f t="shared" si="729"/>
        <v/>
      </c>
      <c r="BM1344" s="1452" t="str">
        <f t="shared" si="730"/>
        <v/>
      </c>
      <c r="BN1344" s="1452" t="str">
        <f t="shared" ca="1" si="731"/>
        <v/>
      </c>
      <c r="BO1344" s="1452" t="str">
        <f t="shared" si="744"/>
        <v/>
      </c>
      <c r="BP1344" s="1452" t="str">
        <f t="shared" si="732"/>
        <v/>
      </c>
      <c r="BQ1344" s="1452" t="str">
        <f t="shared" si="733"/>
        <v/>
      </c>
      <c r="BR1344" s="1452" t="str">
        <f t="shared" si="734"/>
        <v/>
      </c>
      <c r="BS1344" s="1452" t="str">
        <f t="shared" si="735"/>
        <v/>
      </c>
      <c r="BT1344" s="1452" t="str">
        <f t="shared" si="736"/>
        <v/>
      </c>
      <c r="BU1344" s="1452" t="str">
        <f t="shared" si="737"/>
        <v/>
      </c>
      <c r="BV1344" s="1452" t="str">
        <f t="shared" si="738"/>
        <v/>
      </c>
      <c r="BW1344" s="1558">
        <f t="shared" ca="1" si="745"/>
        <v>0</v>
      </c>
    </row>
    <row r="1345" spans="1:75" s="9" customFormat="1" ht="12.5">
      <c r="A1345" s="1483" t="str">
        <f t="shared" si="739"/>
        <v>Public Health Wales Trust</v>
      </c>
      <c r="B1345" s="1583"/>
      <c r="C1345" s="1583"/>
      <c r="D1345" s="1583"/>
      <c r="E1345" s="1581"/>
      <c r="F1345" s="1436"/>
      <c r="G1345" s="1547">
        <f t="shared" si="740"/>
        <v>0</v>
      </c>
      <c r="H1345" s="1484"/>
      <c r="I1345" s="1547">
        <f t="shared" si="741"/>
        <v>0</v>
      </c>
      <c r="J1345" s="1485"/>
      <c r="K1345" s="1485"/>
      <c r="L1345" s="1436"/>
      <c r="M1345" s="1439"/>
      <c r="N1345" s="1439"/>
      <c r="O1345" s="1485"/>
      <c r="P1345" s="1486"/>
      <c r="Q1345" s="1486"/>
      <c r="R1345" s="1487"/>
      <c r="S1345" s="1444"/>
      <c r="T1345" s="1444"/>
      <c r="U1345" s="1444"/>
      <c r="V1345" s="1488"/>
      <c r="W1345" s="1488"/>
      <c r="X1345" s="1488"/>
      <c r="Y1345" s="1488"/>
      <c r="Z1345" s="1488"/>
      <c r="AA1345" s="1488"/>
      <c r="AB1345" s="1488"/>
      <c r="AC1345" s="1488"/>
      <c r="AD1345" s="1488"/>
      <c r="AE1345" s="1488"/>
      <c r="AF1345" s="1488"/>
      <c r="AG1345" s="1488"/>
      <c r="AH1345" s="1451">
        <f t="shared" si="713"/>
        <v>0</v>
      </c>
      <c r="AI1345" s="1488"/>
      <c r="AJ1345" s="1488"/>
      <c r="AK1345" s="1488"/>
      <c r="AL1345" s="1488"/>
      <c r="AM1345" s="1488"/>
      <c r="AN1345" s="1488"/>
      <c r="AO1345" s="1488"/>
      <c r="AP1345" s="1488"/>
      <c r="AQ1345" s="1488"/>
      <c r="AR1345" s="1488"/>
      <c r="AS1345" s="1488"/>
      <c r="AT1345" s="1542"/>
      <c r="AU1345" s="1599">
        <f t="shared" si="714"/>
        <v>0</v>
      </c>
      <c r="AV1345" s="1544">
        <f t="shared" si="742"/>
        <v>0</v>
      </c>
      <c r="AW1345" s="1452">
        <f t="shared" si="715"/>
        <v>0</v>
      </c>
      <c r="AX1345" s="1452">
        <f t="shared" si="716"/>
        <v>0</v>
      </c>
      <c r="AY1345" s="1452">
        <f t="shared" si="717"/>
        <v>0</v>
      </c>
      <c r="AZ1345" s="1452">
        <f t="shared" si="718"/>
        <v>0</v>
      </c>
      <c r="BA1345" s="1452">
        <f t="shared" si="719"/>
        <v>0</v>
      </c>
      <c r="BB1345" s="1452">
        <f t="shared" si="720"/>
        <v>0</v>
      </c>
      <c r="BC1345" s="1452">
        <f t="shared" si="721"/>
        <v>0</v>
      </c>
      <c r="BD1345" s="1452">
        <f t="shared" si="722"/>
        <v>0</v>
      </c>
      <c r="BE1345" s="1452">
        <f t="shared" si="723"/>
        <v>0</v>
      </c>
      <c r="BF1345" s="1452">
        <f t="shared" si="724"/>
        <v>0</v>
      </c>
      <c r="BG1345" s="1452">
        <f t="shared" si="725"/>
        <v>0</v>
      </c>
      <c r="BH1345" s="1452">
        <f t="shared" si="726"/>
        <v>0</v>
      </c>
      <c r="BI1345" s="1452">
        <f t="shared" si="743"/>
        <v>0</v>
      </c>
      <c r="BJ1345" s="1452" t="str">
        <f t="shared" si="727"/>
        <v/>
      </c>
      <c r="BK1345" s="1452" t="str">
        <f t="shared" si="728"/>
        <v/>
      </c>
      <c r="BL1345" s="1452" t="str">
        <f t="shared" si="729"/>
        <v/>
      </c>
      <c r="BM1345" s="1452" t="str">
        <f t="shared" si="730"/>
        <v/>
      </c>
      <c r="BN1345" s="1452" t="str">
        <f t="shared" ca="1" si="731"/>
        <v/>
      </c>
      <c r="BO1345" s="1452" t="str">
        <f t="shared" si="744"/>
        <v/>
      </c>
      <c r="BP1345" s="1452" t="str">
        <f t="shared" si="732"/>
        <v/>
      </c>
      <c r="BQ1345" s="1452" t="str">
        <f t="shared" si="733"/>
        <v/>
      </c>
      <c r="BR1345" s="1452" t="str">
        <f t="shared" si="734"/>
        <v/>
      </c>
      <c r="BS1345" s="1452" t="str">
        <f t="shared" si="735"/>
        <v/>
      </c>
      <c r="BT1345" s="1452" t="str">
        <f t="shared" si="736"/>
        <v/>
      </c>
      <c r="BU1345" s="1452" t="str">
        <f t="shared" si="737"/>
        <v/>
      </c>
      <c r="BV1345" s="1452" t="str">
        <f t="shared" si="738"/>
        <v/>
      </c>
      <c r="BW1345" s="1558">
        <f t="shared" ca="1" si="745"/>
        <v>0</v>
      </c>
    </row>
    <row r="1346" spans="1:75" s="9" customFormat="1" ht="12.5">
      <c r="A1346" s="1483" t="str">
        <f t="shared" si="739"/>
        <v>Public Health Wales Trust</v>
      </c>
      <c r="B1346" s="1583"/>
      <c r="C1346" s="1583"/>
      <c r="D1346" s="1583"/>
      <c r="E1346" s="1581"/>
      <c r="F1346" s="1436"/>
      <c r="G1346" s="1547">
        <f t="shared" si="740"/>
        <v>0</v>
      </c>
      <c r="H1346" s="1484"/>
      <c r="I1346" s="1547">
        <f t="shared" si="741"/>
        <v>0</v>
      </c>
      <c r="J1346" s="1485"/>
      <c r="K1346" s="1485"/>
      <c r="L1346" s="1436"/>
      <c r="M1346" s="1439"/>
      <c r="N1346" s="1439"/>
      <c r="O1346" s="1485"/>
      <c r="P1346" s="1486"/>
      <c r="Q1346" s="1486"/>
      <c r="R1346" s="1487"/>
      <c r="S1346" s="1444"/>
      <c r="T1346" s="1444"/>
      <c r="U1346" s="1444"/>
      <c r="V1346" s="1488"/>
      <c r="W1346" s="1488"/>
      <c r="X1346" s="1488"/>
      <c r="Y1346" s="1488"/>
      <c r="Z1346" s="1488"/>
      <c r="AA1346" s="1488"/>
      <c r="AB1346" s="1488"/>
      <c r="AC1346" s="1488"/>
      <c r="AD1346" s="1488"/>
      <c r="AE1346" s="1488"/>
      <c r="AF1346" s="1488"/>
      <c r="AG1346" s="1488"/>
      <c r="AH1346" s="1451">
        <f t="shared" si="713"/>
        <v>0</v>
      </c>
      <c r="AI1346" s="1488"/>
      <c r="AJ1346" s="1488"/>
      <c r="AK1346" s="1488"/>
      <c r="AL1346" s="1488"/>
      <c r="AM1346" s="1488"/>
      <c r="AN1346" s="1488"/>
      <c r="AO1346" s="1488"/>
      <c r="AP1346" s="1488"/>
      <c r="AQ1346" s="1488"/>
      <c r="AR1346" s="1488"/>
      <c r="AS1346" s="1488"/>
      <c r="AT1346" s="1542"/>
      <c r="AU1346" s="1599">
        <f t="shared" si="714"/>
        <v>0</v>
      </c>
      <c r="AV1346" s="1544">
        <f t="shared" si="742"/>
        <v>0</v>
      </c>
      <c r="AW1346" s="1452">
        <f t="shared" si="715"/>
        <v>0</v>
      </c>
      <c r="AX1346" s="1452">
        <f t="shared" si="716"/>
        <v>0</v>
      </c>
      <c r="AY1346" s="1452">
        <f t="shared" si="717"/>
        <v>0</v>
      </c>
      <c r="AZ1346" s="1452">
        <f t="shared" si="718"/>
        <v>0</v>
      </c>
      <c r="BA1346" s="1452">
        <f t="shared" si="719"/>
        <v>0</v>
      </c>
      <c r="BB1346" s="1452">
        <f t="shared" si="720"/>
        <v>0</v>
      </c>
      <c r="BC1346" s="1452">
        <f t="shared" si="721"/>
        <v>0</v>
      </c>
      <c r="BD1346" s="1452">
        <f t="shared" si="722"/>
        <v>0</v>
      </c>
      <c r="BE1346" s="1452">
        <f t="shared" si="723"/>
        <v>0</v>
      </c>
      <c r="BF1346" s="1452">
        <f t="shared" si="724"/>
        <v>0</v>
      </c>
      <c r="BG1346" s="1452">
        <f t="shared" si="725"/>
        <v>0</v>
      </c>
      <c r="BH1346" s="1452">
        <f t="shared" si="726"/>
        <v>0</v>
      </c>
      <c r="BI1346" s="1452">
        <f t="shared" si="743"/>
        <v>0</v>
      </c>
      <c r="BJ1346" s="1452" t="str">
        <f t="shared" si="727"/>
        <v/>
      </c>
      <c r="BK1346" s="1452" t="str">
        <f t="shared" si="728"/>
        <v/>
      </c>
      <c r="BL1346" s="1452" t="str">
        <f t="shared" si="729"/>
        <v/>
      </c>
      <c r="BM1346" s="1452" t="str">
        <f t="shared" si="730"/>
        <v/>
      </c>
      <c r="BN1346" s="1452" t="str">
        <f t="shared" ca="1" si="731"/>
        <v/>
      </c>
      <c r="BO1346" s="1452" t="str">
        <f t="shared" si="744"/>
        <v/>
      </c>
      <c r="BP1346" s="1452" t="str">
        <f t="shared" si="732"/>
        <v/>
      </c>
      <c r="BQ1346" s="1452" t="str">
        <f t="shared" si="733"/>
        <v/>
      </c>
      <c r="BR1346" s="1452" t="str">
        <f t="shared" si="734"/>
        <v/>
      </c>
      <c r="BS1346" s="1452" t="str">
        <f t="shared" si="735"/>
        <v/>
      </c>
      <c r="BT1346" s="1452" t="str">
        <f t="shared" si="736"/>
        <v/>
      </c>
      <c r="BU1346" s="1452" t="str">
        <f t="shared" si="737"/>
        <v/>
      </c>
      <c r="BV1346" s="1452" t="str">
        <f t="shared" si="738"/>
        <v/>
      </c>
      <c r="BW1346" s="1558">
        <f t="shared" ca="1" si="745"/>
        <v>0</v>
      </c>
    </row>
    <row r="1347" spans="1:75" s="9" customFormat="1" ht="12.5">
      <c r="A1347" s="1483" t="str">
        <f t="shared" si="739"/>
        <v>Public Health Wales Trust</v>
      </c>
      <c r="B1347" s="1583"/>
      <c r="C1347" s="1583"/>
      <c r="D1347" s="1583"/>
      <c r="E1347" s="1581"/>
      <c r="F1347" s="1436"/>
      <c r="G1347" s="1547">
        <f t="shared" si="740"/>
        <v>0</v>
      </c>
      <c r="H1347" s="1484"/>
      <c r="I1347" s="1547">
        <f t="shared" si="741"/>
        <v>0</v>
      </c>
      <c r="J1347" s="1485"/>
      <c r="K1347" s="1485"/>
      <c r="L1347" s="1436"/>
      <c r="M1347" s="1439"/>
      <c r="N1347" s="1439"/>
      <c r="O1347" s="1485"/>
      <c r="P1347" s="1486"/>
      <c r="Q1347" s="1486"/>
      <c r="R1347" s="1487"/>
      <c r="S1347" s="1444"/>
      <c r="T1347" s="1444"/>
      <c r="U1347" s="1444"/>
      <c r="V1347" s="1488"/>
      <c r="W1347" s="1488"/>
      <c r="X1347" s="1488"/>
      <c r="Y1347" s="1488"/>
      <c r="Z1347" s="1488"/>
      <c r="AA1347" s="1488"/>
      <c r="AB1347" s="1488"/>
      <c r="AC1347" s="1488"/>
      <c r="AD1347" s="1488"/>
      <c r="AE1347" s="1488"/>
      <c r="AF1347" s="1488"/>
      <c r="AG1347" s="1488"/>
      <c r="AH1347" s="1451">
        <f t="shared" si="713"/>
        <v>0</v>
      </c>
      <c r="AI1347" s="1488"/>
      <c r="AJ1347" s="1488"/>
      <c r="AK1347" s="1488"/>
      <c r="AL1347" s="1488"/>
      <c r="AM1347" s="1488"/>
      <c r="AN1347" s="1488"/>
      <c r="AO1347" s="1488"/>
      <c r="AP1347" s="1488"/>
      <c r="AQ1347" s="1488"/>
      <c r="AR1347" s="1488"/>
      <c r="AS1347" s="1488"/>
      <c r="AT1347" s="1542"/>
      <c r="AU1347" s="1599">
        <f t="shared" si="714"/>
        <v>0</v>
      </c>
      <c r="AV1347" s="1544">
        <f t="shared" si="742"/>
        <v>0</v>
      </c>
      <c r="AW1347" s="1452">
        <f t="shared" si="715"/>
        <v>0</v>
      </c>
      <c r="AX1347" s="1452">
        <f t="shared" si="716"/>
        <v>0</v>
      </c>
      <c r="AY1347" s="1452">
        <f t="shared" si="717"/>
        <v>0</v>
      </c>
      <c r="AZ1347" s="1452">
        <f t="shared" si="718"/>
        <v>0</v>
      </c>
      <c r="BA1347" s="1452">
        <f t="shared" si="719"/>
        <v>0</v>
      </c>
      <c r="BB1347" s="1452">
        <f t="shared" si="720"/>
        <v>0</v>
      </c>
      <c r="BC1347" s="1452">
        <f t="shared" si="721"/>
        <v>0</v>
      </c>
      <c r="BD1347" s="1452">
        <f t="shared" si="722"/>
        <v>0</v>
      </c>
      <c r="BE1347" s="1452">
        <f t="shared" si="723"/>
        <v>0</v>
      </c>
      <c r="BF1347" s="1452">
        <f t="shared" si="724"/>
        <v>0</v>
      </c>
      <c r="BG1347" s="1452">
        <f t="shared" si="725"/>
        <v>0</v>
      </c>
      <c r="BH1347" s="1452">
        <f t="shared" si="726"/>
        <v>0</v>
      </c>
      <c r="BI1347" s="1452">
        <f t="shared" si="743"/>
        <v>0</v>
      </c>
      <c r="BJ1347" s="1452" t="str">
        <f t="shared" si="727"/>
        <v/>
      </c>
      <c r="BK1347" s="1452" t="str">
        <f t="shared" si="728"/>
        <v/>
      </c>
      <c r="BL1347" s="1452" t="str">
        <f t="shared" si="729"/>
        <v/>
      </c>
      <c r="BM1347" s="1452" t="str">
        <f t="shared" si="730"/>
        <v/>
      </c>
      <c r="BN1347" s="1452" t="str">
        <f t="shared" ca="1" si="731"/>
        <v/>
      </c>
      <c r="BO1347" s="1452" t="str">
        <f t="shared" si="744"/>
        <v/>
      </c>
      <c r="BP1347" s="1452" t="str">
        <f t="shared" si="732"/>
        <v/>
      </c>
      <c r="BQ1347" s="1452" t="str">
        <f t="shared" si="733"/>
        <v/>
      </c>
      <c r="BR1347" s="1452" t="str">
        <f t="shared" si="734"/>
        <v/>
      </c>
      <c r="BS1347" s="1452" t="str">
        <f t="shared" si="735"/>
        <v/>
      </c>
      <c r="BT1347" s="1452" t="str">
        <f t="shared" si="736"/>
        <v/>
      </c>
      <c r="BU1347" s="1452" t="str">
        <f t="shared" si="737"/>
        <v/>
      </c>
      <c r="BV1347" s="1452" t="str">
        <f t="shared" si="738"/>
        <v/>
      </c>
      <c r="BW1347" s="1558">
        <f t="shared" ca="1" si="745"/>
        <v>0</v>
      </c>
    </row>
    <row r="1348" spans="1:75" s="9" customFormat="1" ht="12.5">
      <c r="A1348" s="1483" t="str">
        <f t="shared" si="739"/>
        <v>Public Health Wales Trust</v>
      </c>
      <c r="B1348" s="1583"/>
      <c r="C1348" s="1583"/>
      <c r="D1348" s="1583"/>
      <c r="E1348" s="1581"/>
      <c r="F1348" s="1436"/>
      <c r="G1348" s="1547">
        <f t="shared" si="740"/>
        <v>0</v>
      </c>
      <c r="H1348" s="1484"/>
      <c r="I1348" s="1547">
        <f t="shared" si="741"/>
        <v>0</v>
      </c>
      <c r="J1348" s="1485"/>
      <c r="K1348" s="1485"/>
      <c r="L1348" s="1436"/>
      <c r="M1348" s="1439"/>
      <c r="N1348" s="1439"/>
      <c r="O1348" s="1485"/>
      <c r="P1348" s="1486"/>
      <c r="Q1348" s="1486"/>
      <c r="R1348" s="1487"/>
      <c r="S1348" s="1444"/>
      <c r="T1348" s="1444"/>
      <c r="U1348" s="1444"/>
      <c r="V1348" s="1488"/>
      <c r="W1348" s="1488"/>
      <c r="X1348" s="1488"/>
      <c r="Y1348" s="1488"/>
      <c r="Z1348" s="1488"/>
      <c r="AA1348" s="1488"/>
      <c r="AB1348" s="1488"/>
      <c r="AC1348" s="1488"/>
      <c r="AD1348" s="1488"/>
      <c r="AE1348" s="1488"/>
      <c r="AF1348" s="1488"/>
      <c r="AG1348" s="1488"/>
      <c r="AH1348" s="1451">
        <f t="shared" si="713"/>
        <v>0</v>
      </c>
      <c r="AI1348" s="1488"/>
      <c r="AJ1348" s="1488"/>
      <c r="AK1348" s="1488"/>
      <c r="AL1348" s="1488"/>
      <c r="AM1348" s="1488"/>
      <c r="AN1348" s="1488"/>
      <c r="AO1348" s="1488"/>
      <c r="AP1348" s="1488"/>
      <c r="AQ1348" s="1488"/>
      <c r="AR1348" s="1488"/>
      <c r="AS1348" s="1488"/>
      <c r="AT1348" s="1542"/>
      <c r="AU1348" s="1599">
        <f t="shared" si="714"/>
        <v>0</v>
      </c>
      <c r="AV1348" s="1544">
        <f t="shared" si="742"/>
        <v>0</v>
      </c>
      <c r="AW1348" s="1452">
        <f t="shared" si="715"/>
        <v>0</v>
      </c>
      <c r="AX1348" s="1452">
        <f t="shared" si="716"/>
        <v>0</v>
      </c>
      <c r="AY1348" s="1452">
        <f t="shared" si="717"/>
        <v>0</v>
      </c>
      <c r="AZ1348" s="1452">
        <f t="shared" si="718"/>
        <v>0</v>
      </c>
      <c r="BA1348" s="1452">
        <f t="shared" si="719"/>
        <v>0</v>
      </c>
      <c r="BB1348" s="1452">
        <f t="shared" si="720"/>
        <v>0</v>
      </c>
      <c r="BC1348" s="1452">
        <f t="shared" si="721"/>
        <v>0</v>
      </c>
      <c r="BD1348" s="1452">
        <f t="shared" si="722"/>
        <v>0</v>
      </c>
      <c r="BE1348" s="1452">
        <f t="shared" si="723"/>
        <v>0</v>
      </c>
      <c r="BF1348" s="1452">
        <f t="shared" si="724"/>
        <v>0</v>
      </c>
      <c r="BG1348" s="1452">
        <f t="shared" si="725"/>
        <v>0</v>
      </c>
      <c r="BH1348" s="1452">
        <f t="shared" si="726"/>
        <v>0</v>
      </c>
      <c r="BI1348" s="1452">
        <f t="shared" si="743"/>
        <v>0</v>
      </c>
      <c r="BJ1348" s="1452" t="str">
        <f t="shared" si="727"/>
        <v/>
      </c>
      <c r="BK1348" s="1452" t="str">
        <f t="shared" si="728"/>
        <v/>
      </c>
      <c r="BL1348" s="1452" t="str">
        <f t="shared" si="729"/>
        <v/>
      </c>
      <c r="BM1348" s="1452" t="str">
        <f t="shared" si="730"/>
        <v/>
      </c>
      <c r="BN1348" s="1452" t="str">
        <f t="shared" ca="1" si="731"/>
        <v/>
      </c>
      <c r="BO1348" s="1452" t="str">
        <f t="shared" si="744"/>
        <v/>
      </c>
      <c r="BP1348" s="1452" t="str">
        <f t="shared" si="732"/>
        <v/>
      </c>
      <c r="BQ1348" s="1452" t="str">
        <f t="shared" si="733"/>
        <v/>
      </c>
      <c r="BR1348" s="1452" t="str">
        <f t="shared" si="734"/>
        <v/>
      </c>
      <c r="BS1348" s="1452" t="str">
        <f t="shared" si="735"/>
        <v/>
      </c>
      <c r="BT1348" s="1452" t="str">
        <f t="shared" si="736"/>
        <v/>
      </c>
      <c r="BU1348" s="1452" t="str">
        <f t="shared" si="737"/>
        <v/>
      </c>
      <c r="BV1348" s="1452" t="str">
        <f t="shared" si="738"/>
        <v/>
      </c>
      <c r="BW1348" s="1558">
        <f t="shared" ca="1" si="745"/>
        <v>0</v>
      </c>
    </row>
    <row r="1349" spans="1:75" s="9" customFormat="1" ht="12.5">
      <c r="A1349" s="1483" t="str">
        <f t="shared" si="739"/>
        <v>Public Health Wales Trust</v>
      </c>
      <c r="B1349" s="1583"/>
      <c r="C1349" s="1583"/>
      <c r="D1349" s="1583"/>
      <c r="E1349" s="1581"/>
      <c r="F1349" s="1436"/>
      <c r="G1349" s="1547">
        <f t="shared" si="740"/>
        <v>0</v>
      </c>
      <c r="H1349" s="1484"/>
      <c r="I1349" s="1547">
        <f t="shared" si="741"/>
        <v>0</v>
      </c>
      <c r="J1349" s="1485"/>
      <c r="K1349" s="1485"/>
      <c r="L1349" s="1436"/>
      <c r="M1349" s="1439"/>
      <c r="N1349" s="1439"/>
      <c r="O1349" s="1485"/>
      <c r="P1349" s="1486"/>
      <c r="Q1349" s="1486"/>
      <c r="R1349" s="1487"/>
      <c r="S1349" s="1444"/>
      <c r="T1349" s="1444"/>
      <c r="U1349" s="1444"/>
      <c r="V1349" s="1488"/>
      <c r="W1349" s="1488"/>
      <c r="X1349" s="1488"/>
      <c r="Y1349" s="1488"/>
      <c r="Z1349" s="1488"/>
      <c r="AA1349" s="1488"/>
      <c r="AB1349" s="1488"/>
      <c r="AC1349" s="1488"/>
      <c r="AD1349" s="1488"/>
      <c r="AE1349" s="1488"/>
      <c r="AF1349" s="1488"/>
      <c r="AG1349" s="1488"/>
      <c r="AH1349" s="1451">
        <f t="shared" si="713"/>
        <v>0</v>
      </c>
      <c r="AI1349" s="1488"/>
      <c r="AJ1349" s="1488"/>
      <c r="AK1349" s="1488"/>
      <c r="AL1349" s="1488"/>
      <c r="AM1349" s="1488"/>
      <c r="AN1349" s="1488"/>
      <c r="AO1349" s="1488"/>
      <c r="AP1349" s="1488"/>
      <c r="AQ1349" s="1488"/>
      <c r="AR1349" s="1488"/>
      <c r="AS1349" s="1488"/>
      <c r="AT1349" s="1542"/>
      <c r="AU1349" s="1599">
        <f t="shared" si="714"/>
        <v>0</v>
      </c>
      <c r="AV1349" s="1544">
        <f t="shared" si="742"/>
        <v>0</v>
      </c>
      <c r="AW1349" s="1452">
        <f t="shared" si="715"/>
        <v>0</v>
      </c>
      <c r="AX1349" s="1452">
        <f t="shared" si="716"/>
        <v>0</v>
      </c>
      <c r="AY1349" s="1452">
        <f t="shared" si="717"/>
        <v>0</v>
      </c>
      <c r="AZ1349" s="1452">
        <f t="shared" si="718"/>
        <v>0</v>
      </c>
      <c r="BA1349" s="1452">
        <f t="shared" si="719"/>
        <v>0</v>
      </c>
      <c r="BB1349" s="1452">
        <f t="shared" si="720"/>
        <v>0</v>
      </c>
      <c r="BC1349" s="1452">
        <f t="shared" si="721"/>
        <v>0</v>
      </c>
      <c r="BD1349" s="1452">
        <f t="shared" si="722"/>
        <v>0</v>
      </c>
      <c r="BE1349" s="1452">
        <f t="shared" si="723"/>
        <v>0</v>
      </c>
      <c r="BF1349" s="1452">
        <f t="shared" si="724"/>
        <v>0</v>
      </c>
      <c r="BG1349" s="1452">
        <f t="shared" si="725"/>
        <v>0</v>
      </c>
      <c r="BH1349" s="1452">
        <f t="shared" si="726"/>
        <v>0</v>
      </c>
      <c r="BI1349" s="1452">
        <f t="shared" si="743"/>
        <v>0</v>
      </c>
      <c r="BJ1349" s="1452" t="str">
        <f t="shared" si="727"/>
        <v/>
      </c>
      <c r="BK1349" s="1452" t="str">
        <f t="shared" si="728"/>
        <v/>
      </c>
      <c r="BL1349" s="1452" t="str">
        <f t="shared" si="729"/>
        <v/>
      </c>
      <c r="BM1349" s="1452" t="str">
        <f t="shared" si="730"/>
        <v/>
      </c>
      <c r="BN1349" s="1452" t="str">
        <f t="shared" ca="1" si="731"/>
        <v/>
      </c>
      <c r="BO1349" s="1452" t="str">
        <f t="shared" si="744"/>
        <v/>
      </c>
      <c r="BP1349" s="1452" t="str">
        <f t="shared" si="732"/>
        <v/>
      </c>
      <c r="BQ1349" s="1452" t="str">
        <f t="shared" si="733"/>
        <v/>
      </c>
      <c r="BR1349" s="1452" t="str">
        <f t="shared" si="734"/>
        <v/>
      </c>
      <c r="BS1349" s="1452" t="str">
        <f t="shared" si="735"/>
        <v/>
      </c>
      <c r="BT1349" s="1452" t="str">
        <f t="shared" si="736"/>
        <v/>
      </c>
      <c r="BU1349" s="1452" t="str">
        <f t="shared" si="737"/>
        <v/>
      </c>
      <c r="BV1349" s="1452" t="str">
        <f t="shared" si="738"/>
        <v/>
      </c>
      <c r="BW1349" s="1558">
        <f t="shared" ca="1" si="745"/>
        <v>0</v>
      </c>
    </row>
    <row r="1350" spans="1:75" s="9" customFormat="1" ht="12.5">
      <c r="A1350" s="1483" t="str">
        <f t="shared" si="739"/>
        <v>Public Health Wales Trust</v>
      </c>
      <c r="B1350" s="1583"/>
      <c r="C1350" s="1583"/>
      <c r="D1350" s="1583"/>
      <c r="E1350" s="1581"/>
      <c r="F1350" s="1436"/>
      <c r="G1350" s="1547">
        <f t="shared" si="740"/>
        <v>0</v>
      </c>
      <c r="H1350" s="1484"/>
      <c r="I1350" s="1547">
        <f t="shared" si="741"/>
        <v>0</v>
      </c>
      <c r="J1350" s="1485"/>
      <c r="K1350" s="1485"/>
      <c r="L1350" s="1436"/>
      <c r="M1350" s="1439"/>
      <c r="N1350" s="1439"/>
      <c r="O1350" s="1485"/>
      <c r="P1350" s="1486"/>
      <c r="Q1350" s="1486"/>
      <c r="R1350" s="1487"/>
      <c r="S1350" s="1444"/>
      <c r="T1350" s="1444"/>
      <c r="U1350" s="1444"/>
      <c r="V1350" s="1488"/>
      <c r="W1350" s="1488"/>
      <c r="X1350" s="1488"/>
      <c r="Y1350" s="1488"/>
      <c r="Z1350" s="1488"/>
      <c r="AA1350" s="1488"/>
      <c r="AB1350" s="1488"/>
      <c r="AC1350" s="1488"/>
      <c r="AD1350" s="1488"/>
      <c r="AE1350" s="1488"/>
      <c r="AF1350" s="1488"/>
      <c r="AG1350" s="1488"/>
      <c r="AH1350" s="1451">
        <f t="shared" si="713"/>
        <v>0</v>
      </c>
      <c r="AI1350" s="1488"/>
      <c r="AJ1350" s="1488"/>
      <c r="AK1350" s="1488"/>
      <c r="AL1350" s="1488"/>
      <c r="AM1350" s="1488"/>
      <c r="AN1350" s="1488"/>
      <c r="AO1350" s="1488"/>
      <c r="AP1350" s="1488"/>
      <c r="AQ1350" s="1488"/>
      <c r="AR1350" s="1488"/>
      <c r="AS1350" s="1488"/>
      <c r="AT1350" s="1542"/>
      <c r="AU1350" s="1599">
        <f t="shared" si="714"/>
        <v>0</v>
      </c>
      <c r="AV1350" s="1544">
        <f t="shared" si="742"/>
        <v>0</v>
      </c>
      <c r="AW1350" s="1452">
        <f t="shared" si="715"/>
        <v>0</v>
      </c>
      <c r="AX1350" s="1452">
        <f t="shared" si="716"/>
        <v>0</v>
      </c>
      <c r="AY1350" s="1452">
        <f t="shared" si="717"/>
        <v>0</v>
      </c>
      <c r="AZ1350" s="1452">
        <f t="shared" si="718"/>
        <v>0</v>
      </c>
      <c r="BA1350" s="1452">
        <f t="shared" si="719"/>
        <v>0</v>
      </c>
      <c r="BB1350" s="1452">
        <f t="shared" si="720"/>
        <v>0</v>
      </c>
      <c r="BC1350" s="1452">
        <f t="shared" si="721"/>
        <v>0</v>
      </c>
      <c r="BD1350" s="1452">
        <f t="shared" si="722"/>
        <v>0</v>
      </c>
      <c r="BE1350" s="1452">
        <f t="shared" si="723"/>
        <v>0</v>
      </c>
      <c r="BF1350" s="1452">
        <f t="shared" si="724"/>
        <v>0</v>
      </c>
      <c r="BG1350" s="1452">
        <f t="shared" si="725"/>
        <v>0</v>
      </c>
      <c r="BH1350" s="1452">
        <f t="shared" si="726"/>
        <v>0</v>
      </c>
      <c r="BI1350" s="1452">
        <f t="shared" si="743"/>
        <v>0</v>
      </c>
      <c r="BJ1350" s="1452" t="str">
        <f t="shared" si="727"/>
        <v/>
      </c>
      <c r="BK1350" s="1452" t="str">
        <f t="shared" si="728"/>
        <v/>
      </c>
      <c r="BL1350" s="1452" t="str">
        <f t="shared" si="729"/>
        <v/>
      </c>
      <c r="BM1350" s="1452" t="str">
        <f t="shared" si="730"/>
        <v/>
      </c>
      <c r="BN1350" s="1452" t="str">
        <f t="shared" ca="1" si="731"/>
        <v/>
      </c>
      <c r="BO1350" s="1452" t="str">
        <f t="shared" si="744"/>
        <v/>
      </c>
      <c r="BP1350" s="1452" t="str">
        <f t="shared" si="732"/>
        <v/>
      </c>
      <c r="BQ1350" s="1452" t="str">
        <f t="shared" si="733"/>
        <v/>
      </c>
      <c r="BR1350" s="1452" t="str">
        <f t="shared" si="734"/>
        <v/>
      </c>
      <c r="BS1350" s="1452" t="str">
        <f t="shared" si="735"/>
        <v/>
      </c>
      <c r="BT1350" s="1452" t="str">
        <f t="shared" si="736"/>
        <v/>
      </c>
      <c r="BU1350" s="1452" t="str">
        <f t="shared" si="737"/>
        <v/>
      </c>
      <c r="BV1350" s="1452" t="str">
        <f t="shared" si="738"/>
        <v/>
      </c>
      <c r="BW1350" s="1558">
        <f t="shared" ca="1" si="745"/>
        <v>0</v>
      </c>
    </row>
    <row r="1351" spans="1:75" s="9" customFormat="1" ht="12.5">
      <c r="A1351" s="1483" t="str">
        <f t="shared" si="739"/>
        <v>Public Health Wales Trust</v>
      </c>
      <c r="B1351" s="1583"/>
      <c r="C1351" s="1583"/>
      <c r="D1351" s="1583"/>
      <c r="E1351" s="1581"/>
      <c r="F1351" s="1436"/>
      <c r="G1351" s="1547">
        <f t="shared" si="740"/>
        <v>0</v>
      </c>
      <c r="H1351" s="1484"/>
      <c r="I1351" s="1547">
        <f t="shared" si="741"/>
        <v>0</v>
      </c>
      <c r="J1351" s="1485"/>
      <c r="K1351" s="1485"/>
      <c r="L1351" s="1436"/>
      <c r="M1351" s="1439"/>
      <c r="N1351" s="1439"/>
      <c r="O1351" s="1485"/>
      <c r="P1351" s="1486"/>
      <c r="Q1351" s="1486"/>
      <c r="R1351" s="1487"/>
      <c r="S1351" s="1444"/>
      <c r="T1351" s="1444"/>
      <c r="U1351" s="1444"/>
      <c r="V1351" s="1488"/>
      <c r="W1351" s="1488"/>
      <c r="X1351" s="1488"/>
      <c r="Y1351" s="1488"/>
      <c r="Z1351" s="1488"/>
      <c r="AA1351" s="1488"/>
      <c r="AB1351" s="1488"/>
      <c r="AC1351" s="1488"/>
      <c r="AD1351" s="1488"/>
      <c r="AE1351" s="1488"/>
      <c r="AF1351" s="1488"/>
      <c r="AG1351" s="1488"/>
      <c r="AH1351" s="1451">
        <f t="shared" si="713"/>
        <v>0</v>
      </c>
      <c r="AI1351" s="1488"/>
      <c r="AJ1351" s="1488"/>
      <c r="AK1351" s="1488"/>
      <c r="AL1351" s="1488"/>
      <c r="AM1351" s="1488"/>
      <c r="AN1351" s="1488"/>
      <c r="AO1351" s="1488"/>
      <c r="AP1351" s="1488"/>
      <c r="AQ1351" s="1488"/>
      <c r="AR1351" s="1488"/>
      <c r="AS1351" s="1488"/>
      <c r="AT1351" s="1542"/>
      <c r="AU1351" s="1599">
        <f t="shared" si="714"/>
        <v>0</v>
      </c>
      <c r="AV1351" s="1544">
        <f t="shared" si="742"/>
        <v>0</v>
      </c>
      <c r="AW1351" s="1452">
        <f t="shared" si="715"/>
        <v>0</v>
      </c>
      <c r="AX1351" s="1452">
        <f t="shared" si="716"/>
        <v>0</v>
      </c>
      <c r="AY1351" s="1452">
        <f t="shared" si="717"/>
        <v>0</v>
      </c>
      <c r="AZ1351" s="1452">
        <f t="shared" si="718"/>
        <v>0</v>
      </c>
      <c r="BA1351" s="1452">
        <f t="shared" si="719"/>
        <v>0</v>
      </c>
      <c r="BB1351" s="1452">
        <f t="shared" si="720"/>
        <v>0</v>
      </c>
      <c r="BC1351" s="1452">
        <f t="shared" si="721"/>
        <v>0</v>
      </c>
      <c r="BD1351" s="1452">
        <f t="shared" si="722"/>
        <v>0</v>
      </c>
      <c r="BE1351" s="1452">
        <f t="shared" si="723"/>
        <v>0</v>
      </c>
      <c r="BF1351" s="1452">
        <f t="shared" si="724"/>
        <v>0</v>
      </c>
      <c r="BG1351" s="1452">
        <f t="shared" si="725"/>
        <v>0</v>
      </c>
      <c r="BH1351" s="1452">
        <f t="shared" si="726"/>
        <v>0</v>
      </c>
      <c r="BI1351" s="1452">
        <f t="shared" si="743"/>
        <v>0</v>
      </c>
      <c r="BJ1351" s="1452" t="str">
        <f t="shared" si="727"/>
        <v/>
      </c>
      <c r="BK1351" s="1452" t="str">
        <f t="shared" si="728"/>
        <v/>
      </c>
      <c r="BL1351" s="1452" t="str">
        <f t="shared" si="729"/>
        <v/>
      </c>
      <c r="BM1351" s="1452" t="str">
        <f t="shared" si="730"/>
        <v/>
      </c>
      <c r="BN1351" s="1452" t="str">
        <f t="shared" ca="1" si="731"/>
        <v/>
      </c>
      <c r="BO1351" s="1452" t="str">
        <f t="shared" si="744"/>
        <v/>
      </c>
      <c r="BP1351" s="1452" t="str">
        <f t="shared" si="732"/>
        <v/>
      </c>
      <c r="BQ1351" s="1452" t="str">
        <f t="shared" si="733"/>
        <v/>
      </c>
      <c r="BR1351" s="1452" t="str">
        <f t="shared" si="734"/>
        <v/>
      </c>
      <c r="BS1351" s="1452" t="str">
        <f t="shared" si="735"/>
        <v/>
      </c>
      <c r="BT1351" s="1452" t="str">
        <f t="shared" si="736"/>
        <v/>
      </c>
      <c r="BU1351" s="1452" t="str">
        <f t="shared" si="737"/>
        <v/>
      </c>
      <c r="BV1351" s="1452" t="str">
        <f t="shared" si="738"/>
        <v/>
      </c>
      <c r="BW1351" s="1558">
        <f t="shared" ca="1" si="745"/>
        <v>0</v>
      </c>
    </row>
    <row r="1352" spans="1:75" s="9" customFormat="1" ht="12.5">
      <c r="A1352" s="1483" t="str">
        <f t="shared" si="739"/>
        <v>Public Health Wales Trust</v>
      </c>
      <c r="B1352" s="1583"/>
      <c r="C1352" s="1583"/>
      <c r="D1352" s="1583"/>
      <c r="E1352" s="1581"/>
      <c r="F1352" s="1436"/>
      <c r="G1352" s="1547">
        <f t="shared" si="740"/>
        <v>0</v>
      </c>
      <c r="H1352" s="1484"/>
      <c r="I1352" s="1547">
        <f t="shared" si="741"/>
        <v>0</v>
      </c>
      <c r="J1352" s="1485"/>
      <c r="K1352" s="1485"/>
      <c r="L1352" s="1436"/>
      <c r="M1352" s="1439"/>
      <c r="N1352" s="1439"/>
      <c r="O1352" s="1485"/>
      <c r="P1352" s="1486"/>
      <c r="Q1352" s="1486"/>
      <c r="R1352" s="1487"/>
      <c r="S1352" s="1444"/>
      <c r="T1352" s="1444"/>
      <c r="U1352" s="1444"/>
      <c r="V1352" s="1488"/>
      <c r="W1352" s="1488"/>
      <c r="X1352" s="1488"/>
      <c r="Y1352" s="1488"/>
      <c r="Z1352" s="1488"/>
      <c r="AA1352" s="1488"/>
      <c r="AB1352" s="1488"/>
      <c r="AC1352" s="1488"/>
      <c r="AD1352" s="1488"/>
      <c r="AE1352" s="1488"/>
      <c r="AF1352" s="1488"/>
      <c r="AG1352" s="1488"/>
      <c r="AH1352" s="1451">
        <f t="shared" si="713"/>
        <v>0</v>
      </c>
      <c r="AI1352" s="1488"/>
      <c r="AJ1352" s="1488"/>
      <c r="AK1352" s="1488"/>
      <c r="AL1352" s="1488"/>
      <c r="AM1352" s="1488"/>
      <c r="AN1352" s="1488"/>
      <c r="AO1352" s="1488"/>
      <c r="AP1352" s="1488"/>
      <c r="AQ1352" s="1488"/>
      <c r="AR1352" s="1488"/>
      <c r="AS1352" s="1488"/>
      <c r="AT1352" s="1542"/>
      <c r="AU1352" s="1599">
        <f t="shared" si="714"/>
        <v>0</v>
      </c>
      <c r="AV1352" s="1544">
        <f t="shared" si="742"/>
        <v>0</v>
      </c>
      <c r="AW1352" s="1452">
        <f t="shared" si="715"/>
        <v>0</v>
      </c>
      <c r="AX1352" s="1452">
        <f t="shared" si="716"/>
        <v>0</v>
      </c>
      <c r="AY1352" s="1452">
        <f t="shared" si="717"/>
        <v>0</v>
      </c>
      <c r="AZ1352" s="1452">
        <f t="shared" si="718"/>
        <v>0</v>
      </c>
      <c r="BA1352" s="1452">
        <f t="shared" si="719"/>
        <v>0</v>
      </c>
      <c r="BB1352" s="1452">
        <f t="shared" si="720"/>
        <v>0</v>
      </c>
      <c r="BC1352" s="1452">
        <f t="shared" si="721"/>
        <v>0</v>
      </c>
      <c r="BD1352" s="1452">
        <f t="shared" si="722"/>
        <v>0</v>
      </c>
      <c r="BE1352" s="1452">
        <f t="shared" si="723"/>
        <v>0</v>
      </c>
      <c r="BF1352" s="1452">
        <f t="shared" si="724"/>
        <v>0</v>
      </c>
      <c r="BG1352" s="1452">
        <f t="shared" si="725"/>
        <v>0</v>
      </c>
      <c r="BH1352" s="1452">
        <f t="shared" si="726"/>
        <v>0</v>
      </c>
      <c r="BI1352" s="1452">
        <f t="shared" si="743"/>
        <v>0</v>
      </c>
      <c r="BJ1352" s="1452" t="str">
        <f t="shared" si="727"/>
        <v/>
      </c>
      <c r="BK1352" s="1452" t="str">
        <f t="shared" si="728"/>
        <v/>
      </c>
      <c r="BL1352" s="1452" t="str">
        <f t="shared" si="729"/>
        <v/>
      </c>
      <c r="BM1352" s="1452" t="str">
        <f t="shared" si="730"/>
        <v/>
      </c>
      <c r="BN1352" s="1452" t="str">
        <f t="shared" ca="1" si="731"/>
        <v/>
      </c>
      <c r="BO1352" s="1452" t="str">
        <f t="shared" si="744"/>
        <v/>
      </c>
      <c r="BP1352" s="1452" t="str">
        <f t="shared" si="732"/>
        <v/>
      </c>
      <c r="BQ1352" s="1452" t="str">
        <f t="shared" si="733"/>
        <v/>
      </c>
      <c r="BR1352" s="1452" t="str">
        <f t="shared" si="734"/>
        <v/>
      </c>
      <c r="BS1352" s="1452" t="str">
        <f t="shared" si="735"/>
        <v/>
      </c>
      <c r="BT1352" s="1452" t="str">
        <f t="shared" si="736"/>
        <v/>
      </c>
      <c r="BU1352" s="1452" t="str">
        <f t="shared" si="737"/>
        <v/>
      </c>
      <c r="BV1352" s="1452" t="str">
        <f t="shared" si="738"/>
        <v/>
      </c>
      <c r="BW1352" s="1558">
        <f t="shared" ca="1" si="745"/>
        <v>0</v>
      </c>
    </row>
    <row r="1353" spans="1:75" s="9" customFormat="1" ht="12.5">
      <c r="A1353" s="1483" t="str">
        <f t="shared" si="739"/>
        <v>Public Health Wales Trust</v>
      </c>
      <c r="B1353" s="1583"/>
      <c r="C1353" s="1583"/>
      <c r="D1353" s="1583"/>
      <c r="E1353" s="1581"/>
      <c r="F1353" s="1436"/>
      <c r="G1353" s="1547">
        <f t="shared" si="740"/>
        <v>0</v>
      </c>
      <c r="H1353" s="1484"/>
      <c r="I1353" s="1547">
        <f t="shared" si="741"/>
        <v>0</v>
      </c>
      <c r="J1353" s="1485"/>
      <c r="K1353" s="1485"/>
      <c r="L1353" s="1436"/>
      <c r="M1353" s="1439"/>
      <c r="N1353" s="1439"/>
      <c r="O1353" s="1485"/>
      <c r="P1353" s="1486"/>
      <c r="Q1353" s="1486"/>
      <c r="R1353" s="1487"/>
      <c r="S1353" s="1444"/>
      <c r="T1353" s="1444"/>
      <c r="U1353" s="1444"/>
      <c r="V1353" s="1488"/>
      <c r="W1353" s="1488"/>
      <c r="X1353" s="1488"/>
      <c r="Y1353" s="1488"/>
      <c r="Z1353" s="1488"/>
      <c r="AA1353" s="1488"/>
      <c r="AB1353" s="1488"/>
      <c r="AC1353" s="1488"/>
      <c r="AD1353" s="1488"/>
      <c r="AE1353" s="1488"/>
      <c r="AF1353" s="1488"/>
      <c r="AG1353" s="1488"/>
      <c r="AH1353" s="1451">
        <f t="shared" si="713"/>
        <v>0</v>
      </c>
      <c r="AI1353" s="1488"/>
      <c r="AJ1353" s="1488"/>
      <c r="AK1353" s="1488"/>
      <c r="AL1353" s="1488"/>
      <c r="AM1353" s="1488"/>
      <c r="AN1353" s="1488"/>
      <c r="AO1353" s="1488"/>
      <c r="AP1353" s="1488"/>
      <c r="AQ1353" s="1488"/>
      <c r="AR1353" s="1488"/>
      <c r="AS1353" s="1488"/>
      <c r="AT1353" s="1542"/>
      <c r="AU1353" s="1599">
        <f t="shared" si="714"/>
        <v>0</v>
      </c>
      <c r="AV1353" s="1544">
        <f t="shared" si="742"/>
        <v>0</v>
      </c>
      <c r="AW1353" s="1452">
        <f t="shared" si="715"/>
        <v>0</v>
      </c>
      <c r="AX1353" s="1452">
        <f t="shared" si="716"/>
        <v>0</v>
      </c>
      <c r="AY1353" s="1452">
        <f t="shared" si="717"/>
        <v>0</v>
      </c>
      <c r="AZ1353" s="1452">
        <f t="shared" si="718"/>
        <v>0</v>
      </c>
      <c r="BA1353" s="1452">
        <f t="shared" si="719"/>
        <v>0</v>
      </c>
      <c r="BB1353" s="1452">
        <f t="shared" si="720"/>
        <v>0</v>
      </c>
      <c r="BC1353" s="1452">
        <f t="shared" si="721"/>
        <v>0</v>
      </c>
      <c r="BD1353" s="1452">
        <f t="shared" si="722"/>
        <v>0</v>
      </c>
      <c r="BE1353" s="1452">
        <f t="shared" si="723"/>
        <v>0</v>
      </c>
      <c r="BF1353" s="1452">
        <f t="shared" si="724"/>
        <v>0</v>
      </c>
      <c r="BG1353" s="1452">
        <f t="shared" si="725"/>
        <v>0</v>
      </c>
      <c r="BH1353" s="1452">
        <f t="shared" si="726"/>
        <v>0</v>
      </c>
      <c r="BI1353" s="1452">
        <f t="shared" si="743"/>
        <v>0</v>
      </c>
      <c r="BJ1353" s="1452" t="str">
        <f t="shared" si="727"/>
        <v/>
      </c>
      <c r="BK1353" s="1452" t="str">
        <f t="shared" si="728"/>
        <v/>
      </c>
      <c r="BL1353" s="1452" t="str">
        <f t="shared" si="729"/>
        <v/>
      </c>
      <c r="BM1353" s="1452" t="str">
        <f t="shared" si="730"/>
        <v/>
      </c>
      <c r="BN1353" s="1452" t="str">
        <f t="shared" ca="1" si="731"/>
        <v/>
      </c>
      <c r="BO1353" s="1452" t="str">
        <f t="shared" si="744"/>
        <v/>
      </c>
      <c r="BP1353" s="1452" t="str">
        <f t="shared" si="732"/>
        <v/>
      </c>
      <c r="BQ1353" s="1452" t="str">
        <f t="shared" si="733"/>
        <v/>
      </c>
      <c r="BR1353" s="1452" t="str">
        <f t="shared" si="734"/>
        <v/>
      </c>
      <c r="BS1353" s="1452" t="str">
        <f t="shared" si="735"/>
        <v/>
      </c>
      <c r="BT1353" s="1452" t="str">
        <f t="shared" si="736"/>
        <v/>
      </c>
      <c r="BU1353" s="1452" t="str">
        <f t="shared" si="737"/>
        <v/>
      </c>
      <c r="BV1353" s="1452" t="str">
        <f t="shared" si="738"/>
        <v/>
      </c>
      <c r="BW1353" s="1558">
        <f t="shared" ca="1" si="745"/>
        <v>0</v>
      </c>
    </row>
    <row r="1354" spans="1:75" s="9" customFormat="1" ht="12.5">
      <c r="A1354" s="1483" t="str">
        <f t="shared" si="739"/>
        <v>Public Health Wales Trust</v>
      </c>
      <c r="B1354" s="1583"/>
      <c r="C1354" s="1583"/>
      <c r="D1354" s="1583"/>
      <c r="E1354" s="1581"/>
      <c r="F1354" s="1436"/>
      <c r="G1354" s="1547">
        <f t="shared" si="740"/>
        <v>0</v>
      </c>
      <c r="H1354" s="1484"/>
      <c r="I1354" s="1547">
        <f t="shared" si="741"/>
        <v>0</v>
      </c>
      <c r="J1354" s="1485"/>
      <c r="K1354" s="1485"/>
      <c r="L1354" s="1436"/>
      <c r="M1354" s="1439"/>
      <c r="N1354" s="1439"/>
      <c r="O1354" s="1485"/>
      <c r="P1354" s="1486"/>
      <c r="Q1354" s="1486"/>
      <c r="R1354" s="1487"/>
      <c r="S1354" s="1444"/>
      <c r="T1354" s="1444"/>
      <c r="U1354" s="1444"/>
      <c r="V1354" s="1488"/>
      <c r="W1354" s="1488"/>
      <c r="X1354" s="1488"/>
      <c r="Y1354" s="1488"/>
      <c r="Z1354" s="1488"/>
      <c r="AA1354" s="1488"/>
      <c r="AB1354" s="1488"/>
      <c r="AC1354" s="1488"/>
      <c r="AD1354" s="1488"/>
      <c r="AE1354" s="1488"/>
      <c r="AF1354" s="1488"/>
      <c r="AG1354" s="1488"/>
      <c r="AH1354" s="1451">
        <f t="shared" si="713"/>
        <v>0</v>
      </c>
      <c r="AI1354" s="1488"/>
      <c r="AJ1354" s="1488"/>
      <c r="AK1354" s="1488"/>
      <c r="AL1354" s="1488"/>
      <c r="AM1354" s="1488"/>
      <c r="AN1354" s="1488"/>
      <c r="AO1354" s="1488"/>
      <c r="AP1354" s="1488"/>
      <c r="AQ1354" s="1488"/>
      <c r="AR1354" s="1488"/>
      <c r="AS1354" s="1488"/>
      <c r="AT1354" s="1542"/>
      <c r="AU1354" s="1599">
        <f t="shared" si="714"/>
        <v>0</v>
      </c>
      <c r="AV1354" s="1544">
        <f t="shared" si="742"/>
        <v>0</v>
      </c>
      <c r="AW1354" s="1452">
        <f t="shared" si="715"/>
        <v>0</v>
      </c>
      <c r="AX1354" s="1452">
        <f t="shared" si="716"/>
        <v>0</v>
      </c>
      <c r="AY1354" s="1452">
        <f t="shared" si="717"/>
        <v>0</v>
      </c>
      <c r="AZ1354" s="1452">
        <f t="shared" si="718"/>
        <v>0</v>
      </c>
      <c r="BA1354" s="1452">
        <f t="shared" si="719"/>
        <v>0</v>
      </c>
      <c r="BB1354" s="1452">
        <f t="shared" si="720"/>
        <v>0</v>
      </c>
      <c r="BC1354" s="1452">
        <f t="shared" si="721"/>
        <v>0</v>
      </c>
      <c r="BD1354" s="1452">
        <f t="shared" si="722"/>
        <v>0</v>
      </c>
      <c r="BE1354" s="1452">
        <f t="shared" si="723"/>
        <v>0</v>
      </c>
      <c r="BF1354" s="1452">
        <f t="shared" si="724"/>
        <v>0</v>
      </c>
      <c r="BG1354" s="1452">
        <f t="shared" si="725"/>
        <v>0</v>
      </c>
      <c r="BH1354" s="1452">
        <f t="shared" si="726"/>
        <v>0</v>
      </c>
      <c r="BI1354" s="1452">
        <f t="shared" si="743"/>
        <v>0</v>
      </c>
      <c r="BJ1354" s="1452" t="str">
        <f t="shared" si="727"/>
        <v/>
      </c>
      <c r="BK1354" s="1452" t="str">
        <f t="shared" si="728"/>
        <v/>
      </c>
      <c r="BL1354" s="1452" t="str">
        <f t="shared" si="729"/>
        <v/>
      </c>
      <c r="BM1354" s="1452" t="str">
        <f t="shared" si="730"/>
        <v/>
      </c>
      <c r="BN1354" s="1452" t="str">
        <f t="shared" ca="1" si="731"/>
        <v/>
      </c>
      <c r="BO1354" s="1452" t="str">
        <f t="shared" si="744"/>
        <v/>
      </c>
      <c r="BP1354" s="1452" t="str">
        <f t="shared" si="732"/>
        <v/>
      </c>
      <c r="BQ1354" s="1452" t="str">
        <f t="shared" si="733"/>
        <v/>
      </c>
      <c r="BR1354" s="1452" t="str">
        <f t="shared" si="734"/>
        <v/>
      </c>
      <c r="BS1354" s="1452" t="str">
        <f t="shared" si="735"/>
        <v/>
      </c>
      <c r="BT1354" s="1452" t="str">
        <f t="shared" si="736"/>
        <v/>
      </c>
      <c r="BU1354" s="1452" t="str">
        <f t="shared" si="737"/>
        <v/>
      </c>
      <c r="BV1354" s="1452" t="str">
        <f t="shared" si="738"/>
        <v/>
      </c>
      <c r="BW1354" s="1558">
        <f t="shared" ca="1" si="745"/>
        <v>0</v>
      </c>
    </row>
    <row r="1355" spans="1:75" s="9" customFormat="1" ht="12.5">
      <c r="A1355" s="1483" t="str">
        <f t="shared" si="739"/>
        <v>Public Health Wales Trust</v>
      </c>
      <c r="B1355" s="1583"/>
      <c r="C1355" s="1583"/>
      <c r="D1355" s="1583"/>
      <c r="E1355" s="1581"/>
      <c r="F1355" s="1436"/>
      <c r="G1355" s="1547">
        <f t="shared" si="740"/>
        <v>0</v>
      </c>
      <c r="H1355" s="1484"/>
      <c r="I1355" s="1547">
        <f t="shared" si="741"/>
        <v>0</v>
      </c>
      <c r="J1355" s="1485"/>
      <c r="K1355" s="1485"/>
      <c r="L1355" s="1436"/>
      <c r="M1355" s="1439"/>
      <c r="N1355" s="1439"/>
      <c r="O1355" s="1485"/>
      <c r="P1355" s="1486"/>
      <c r="Q1355" s="1486"/>
      <c r="R1355" s="1487"/>
      <c r="S1355" s="1444"/>
      <c r="T1355" s="1444"/>
      <c r="U1355" s="1444"/>
      <c r="V1355" s="1488"/>
      <c r="W1355" s="1488"/>
      <c r="X1355" s="1488"/>
      <c r="Y1355" s="1488"/>
      <c r="Z1355" s="1488"/>
      <c r="AA1355" s="1488"/>
      <c r="AB1355" s="1488"/>
      <c r="AC1355" s="1488"/>
      <c r="AD1355" s="1488"/>
      <c r="AE1355" s="1488"/>
      <c r="AF1355" s="1488"/>
      <c r="AG1355" s="1488"/>
      <c r="AH1355" s="1451">
        <f t="shared" si="713"/>
        <v>0</v>
      </c>
      <c r="AI1355" s="1488"/>
      <c r="AJ1355" s="1488"/>
      <c r="AK1355" s="1488"/>
      <c r="AL1355" s="1488"/>
      <c r="AM1355" s="1488"/>
      <c r="AN1355" s="1488"/>
      <c r="AO1355" s="1488"/>
      <c r="AP1355" s="1488"/>
      <c r="AQ1355" s="1488"/>
      <c r="AR1355" s="1488"/>
      <c r="AS1355" s="1488"/>
      <c r="AT1355" s="1542"/>
      <c r="AU1355" s="1599">
        <f t="shared" si="714"/>
        <v>0</v>
      </c>
      <c r="AV1355" s="1544">
        <f t="shared" si="742"/>
        <v>0</v>
      </c>
      <c r="AW1355" s="1452">
        <f t="shared" si="715"/>
        <v>0</v>
      </c>
      <c r="AX1355" s="1452">
        <f t="shared" si="716"/>
        <v>0</v>
      </c>
      <c r="AY1355" s="1452">
        <f t="shared" si="717"/>
        <v>0</v>
      </c>
      <c r="AZ1355" s="1452">
        <f t="shared" si="718"/>
        <v>0</v>
      </c>
      <c r="BA1355" s="1452">
        <f t="shared" si="719"/>
        <v>0</v>
      </c>
      <c r="BB1355" s="1452">
        <f t="shared" si="720"/>
        <v>0</v>
      </c>
      <c r="BC1355" s="1452">
        <f t="shared" si="721"/>
        <v>0</v>
      </c>
      <c r="BD1355" s="1452">
        <f t="shared" si="722"/>
        <v>0</v>
      </c>
      <c r="BE1355" s="1452">
        <f t="shared" si="723"/>
        <v>0</v>
      </c>
      <c r="BF1355" s="1452">
        <f t="shared" si="724"/>
        <v>0</v>
      </c>
      <c r="BG1355" s="1452">
        <f t="shared" si="725"/>
        <v>0</v>
      </c>
      <c r="BH1355" s="1452">
        <f t="shared" si="726"/>
        <v>0</v>
      </c>
      <c r="BI1355" s="1452">
        <f t="shared" si="743"/>
        <v>0</v>
      </c>
      <c r="BJ1355" s="1452" t="str">
        <f t="shared" si="727"/>
        <v/>
      </c>
      <c r="BK1355" s="1452" t="str">
        <f t="shared" si="728"/>
        <v/>
      </c>
      <c r="BL1355" s="1452" t="str">
        <f t="shared" si="729"/>
        <v/>
      </c>
      <c r="BM1355" s="1452" t="str">
        <f t="shared" si="730"/>
        <v/>
      </c>
      <c r="BN1355" s="1452" t="str">
        <f t="shared" ca="1" si="731"/>
        <v/>
      </c>
      <c r="BO1355" s="1452" t="str">
        <f t="shared" si="744"/>
        <v/>
      </c>
      <c r="BP1355" s="1452" t="str">
        <f t="shared" si="732"/>
        <v/>
      </c>
      <c r="BQ1355" s="1452" t="str">
        <f t="shared" si="733"/>
        <v/>
      </c>
      <c r="BR1355" s="1452" t="str">
        <f t="shared" si="734"/>
        <v/>
      </c>
      <c r="BS1355" s="1452" t="str">
        <f t="shared" si="735"/>
        <v/>
      </c>
      <c r="BT1355" s="1452" t="str">
        <f t="shared" si="736"/>
        <v/>
      </c>
      <c r="BU1355" s="1452" t="str">
        <f t="shared" si="737"/>
        <v/>
      </c>
      <c r="BV1355" s="1452" t="str">
        <f t="shared" si="738"/>
        <v/>
      </c>
      <c r="BW1355" s="1558">
        <f t="shared" ca="1" si="745"/>
        <v>0</v>
      </c>
    </row>
    <row r="1356" spans="1:75" s="9" customFormat="1" ht="12.5">
      <c r="A1356" s="1483" t="str">
        <f t="shared" si="739"/>
        <v>Public Health Wales Trust</v>
      </c>
      <c r="B1356" s="1583"/>
      <c r="C1356" s="1583"/>
      <c r="D1356" s="1583"/>
      <c r="E1356" s="1581"/>
      <c r="F1356" s="1436"/>
      <c r="G1356" s="1547">
        <f t="shared" si="740"/>
        <v>0</v>
      </c>
      <c r="H1356" s="1484"/>
      <c r="I1356" s="1547">
        <f t="shared" si="741"/>
        <v>0</v>
      </c>
      <c r="J1356" s="1485"/>
      <c r="K1356" s="1485"/>
      <c r="L1356" s="1436"/>
      <c r="M1356" s="1439"/>
      <c r="N1356" s="1439"/>
      <c r="O1356" s="1485"/>
      <c r="P1356" s="1486"/>
      <c r="Q1356" s="1486"/>
      <c r="R1356" s="1487"/>
      <c r="S1356" s="1444"/>
      <c r="T1356" s="1444"/>
      <c r="U1356" s="1444"/>
      <c r="V1356" s="1488"/>
      <c r="W1356" s="1488"/>
      <c r="X1356" s="1488"/>
      <c r="Y1356" s="1488"/>
      <c r="Z1356" s="1488"/>
      <c r="AA1356" s="1488"/>
      <c r="AB1356" s="1488"/>
      <c r="AC1356" s="1488"/>
      <c r="AD1356" s="1488"/>
      <c r="AE1356" s="1488"/>
      <c r="AF1356" s="1488"/>
      <c r="AG1356" s="1488"/>
      <c r="AH1356" s="1451">
        <f t="shared" si="713"/>
        <v>0</v>
      </c>
      <c r="AI1356" s="1488"/>
      <c r="AJ1356" s="1488"/>
      <c r="AK1356" s="1488"/>
      <c r="AL1356" s="1488"/>
      <c r="AM1356" s="1488"/>
      <c r="AN1356" s="1488"/>
      <c r="AO1356" s="1488"/>
      <c r="AP1356" s="1488"/>
      <c r="AQ1356" s="1488"/>
      <c r="AR1356" s="1488"/>
      <c r="AS1356" s="1488"/>
      <c r="AT1356" s="1542"/>
      <c r="AU1356" s="1599">
        <f t="shared" si="714"/>
        <v>0</v>
      </c>
      <c r="AV1356" s="1544">
        <f t="shared" si="742"/>
        <v>0</v>
      </c>
      <c r="AW1356" s="1452">
        <f t="shared" si="715"/>
        <v>0</v>
      </c>
      <c r="AX1356" s="1452">
        <f t="shared" si="716"/>
        <v>0</v>
      </c>
      <c r="AY1356" s="1452">
        <f t="shared" si="717"/>
        <v>0</v>
      </c>
      <c r="AZ1356" s="1452">
        <f t="shared" si="718"/>
        <v>0</v>
      </c>
      <c r="BA1356" s="1452">
        <f t="shared" si="719"/>
        <v>0</v>
      </c>
      <c r="BB1356" s="1452">
        <f t="shared" si="720"/>
        <v>0</v>
      </c>
      <c r="BC1356" s="1452">
        <f t="shared" si="721"/>
        <v>0</v>
      </c>
      <c r="BD1356" s="1452">
        <f t="shared" si="722"/>
        <v>0</v>
      </c>
      <c r="BE1356" s="1452">
        <f t="shared" si="723"/>
        <v>0</v>
      </c>
      <c r="BF1356" s="1452">
        <f t="shared" si="724"/>
        <v>0</v>
      </c>
      <c r="BG1356" s="1452">
        <f t="shared" si="725"/>
        <v>0</v>
      </c>
      <c r="BH1356" s="1452">
        <f t="shared" si="726"/>
        <v>0</v>
      </c>
      <c r="BI1356" s="1452">
        <f t="shared" si="743"/>
        <v>0</v>
      </c>
      <c r="BJ1356" s="1452" t="str">
        <f t="shared" si="727"/>
        <v/>
      </c>
      <c r="BK1356" s="1452" t="str">
        <f t="shared" si="728"/>
        <v/>
      </c>
      <c r="BL1356" s="1452" t="str">
        <f t="shared" si="729"/>
        <v/>
      </c>
      <c r="BM1356" s="1452" t="str">
        <f t="shared" si="730"/>
        <v/>
      </c>
      <c r="BN1356" s="1452" t="str">
        <f t="shared" ca="1" si="731"/>
        <v/>
      </c>
      <c r="BO1356" s="1452" t="str">
        <f t="shared" si="744"/>
        <v/>
      </c>
      <c r="BP1356" s="1452" t="str">
        <f t="shared" si="732"/>
        <v/>
      </c>
      <c r="BQ1356" s="1452" t="str">
        <f t="shared" si="733"/>
        <v/>
      </c>
      <c r="BR1356" s="1452" t="str">
        <f t="shared" si="734"/>
        <v/>
      </c>
      <c r="BS1356" s="1452" t="str">
        <f t="shared" si="735"/>
        <v/>
      </c>
      <c r="BT1356" s="1452" t="str">
        <f t="shared" si="736"/>
        <v/>
      </c>
      <c r="BU1356" s="1452" t="str">
        <f t="shared" si="737"/>
        <v/>
      </c>
      <c r="BV1356" s="1452" t="str">
        <f t="shared" si="738"/>
        <v/>
      </c>
      <c r="BW1356" s="1558">
        <f t="shared" ca="1" si="745"/>
        <v>0</v>
      </c>
    </row>
    <row r="1357" spans="1:75" s="9" customFormat="1" ht="12.5">
      <c r="A1357" s="1483" t="str">
        <f t="shared" si="739"/>
        <v>Public Health Wales Trust</v>
      </c>
      <c r="B1357" s="1583"/>
      <c r="C1357" s="1583"/>
      <c r="D1357" s="1583"/>
      <c r="E1357" s="1581"/>
      <c r="F1357" s="1436"/>
      <c r="G1357" s="1547">
        <f t="shared" si="740"/>
        <v>0</v>
      </c>
      <c r="H1357" s="1484"/>
      <c r="I1357" s="1547">
        <f t="shared" si="741"/>
        <v>0</v>
      </c>
      <c r="J1357" s="1485"/>
      <c r="K1357" s="1485"/>
      <c r="L1357" s="1436"/>
      <c r="M1357" s="1439"/>
      <c r="N1357" s="1439"/>
      <c r="O1357" s="1485"/>
      <c r="P1357" s="1486"/>
      <c r="Q1357" s="1486"/>
      <c r="R1357" s="1487"/>
      <c r="S1357" s="1444"/>
      <c r="T1357" s="1444"/>
      <c r="U1357" s="1444"/>
      <c r="V1357" s="1488"/>
      <c r="W1357" s="1488"/>
      <c r="X1357" s="1488"/>
      <c r="Y1357" s="1488"/>
      <c r="Z1357" s="1488"/>
      <c r="AA1357" s="1488"/>
      <c r="AB1357" s="1488"/>
      <c r="AC1357" s="1488"/>
      <c r="AD1357" s="1488"/>
      <c r="AE1357" s="1488"/>
      <c r="AF1357" s="1488"/>
      <c r="AG1357" s="1488"/>
      <c r="AH1357" s="1451">
        <f t="shared" si="713"/>
        <v>0</v>
      </c>
      <c r="AI1357" s="1488"/>
      <c r="AJ1357" s="1488"/>
      <c r="AK1357" s="1488"/>
      <c r="AL1357" s="1488"/>
      <c r="AM1357" s="1488"/>
      <c r="AN1357" s="1488"/>
      <c r="AO1357" s="1488"/>
      <c r="AP1357" s="1488"/>
      <c r="AQ1357" s="1488"/>
      <c r="AR1357" s="1488"/>
      <c r="AS1357" s="1488"/>
      <c r="AT1357" s="1542"/>
      <c r="AU1357" s="1599">
        <f t="shared" si="714"/>
        <v>0</v>
      </c>
      <c r="AV1357" s="1544">
        <f t="shared" si="742"/>
        <v>0</v>
      </c>
      <c r="AW1357" s="1452">
        <f t="shared" si="715"/>
        <v>0</v>
      </c>
      <c r="AX1357" s="1452">
        <f t="shared" si="716"/>
        <v>0</v>
      </c>
      <c r="AY1357" s="1452">
        <f t="shared" si="717"/>
        <v>0</v>
      </c>
      <c r="AZ1357" s="1452">
        <f t="shared" si="718"/>
        <v>0</v>
      </c>
      <c r="BA1357" s="1452">
        <f t="shared" si="719"/>
        <v>0</v>
      </c>
      <c r="BB1357" s="1452">
        <f t="shared" si="720"/>
        <v>0</v>
      </c>
      <c r="BC1357" s="1452">
        <f t="shared" si="721"/>
        <v>0</v>
      </c>
      <c r="BD1357" s="1452">
        <f t="shared" si="722"/>
        <v>0</v>
      </c>
      <c r="BE1357" s="1452">
        <f t="shared" si="723"/>
        <v>0</v>
      </c>
      <c r="BF1357" s="1452">
        <f t="shared" si="724"/>
        <v>0</v>
      </c>
      <c r="BG1357" s="1452">
        <f t="shared" si="725"/>
        <v>0</v>
      </c>
      <c r="BH1357" s="1452">
        <f t="shared" si="726"/>
        <v>0</v>
      </c>
      <c r="BI1357" s="1452">
        <f t="shared" si="743"/>
        <v>0</v>
      </c>
      <c r="BJ1357" s="1452" t="str">
        <f t="shared" si="727"/>
        <v/>
      </c>
      <c r="BK1357" s="1452" t="str">
        <f t="shared" si="728"/>
        <v/>
      </c>
      <c r="BL1357" s="1452" t="str">
        <f t="shared" si="729"/>
        <v/>
      </c>
      <c r="BM1357" s="1452" t="str">
        <f t="shared" si="730"/>
        <v/>
      </c>
      <c r="BN1357" s="1452" t="str">
        <f t="shared" ca="1" si="731"/>
        <v/>
      </c>
      <c r="BO1357" s="1452" t="str">
        <f t="shared" si="744"/>
        <v/>
      </c>
      <c r="BP1357" s="1452" t="str">
        <f t="shared" si="732"/>
        <v/>
      </c>
      <c r="BQ1357" s="1452" t="str">
        <f t="shared" si="733"/>
        <v/>
      </c>
      <c r="BR1357" s="1452" t="str">
        <f t="shared" si="734"/>
        <v/>
      </c>
      <c r="BS1357" s="1452" t="str">
        <f t="shared" si="735"/>
        <v/>
      </c>
      <c r="BT1357" s="1452" t="str">
        <f t="shared" si="736"/>
        <v/>
      </c>
      <c r="BU1357" s="1452" t="str">
        <f t="shared" si="737"/>
        <v/>
      </c>
      <c r="BV1357" s="1452" t="str">
        <f t="shared" si="738"/>
        <v/>
      </c>
      <c r="BW1357" s="1558">
        <f t="shared" ca="1" si="745"/>
        <v>0</v>
      </c>
    </row>
    <row r="1358" spans="1:75" s="9" customFormat="1" ht="12.5">
      <c r="A1358" s="1483" t="str">
        <f t="shared" si="739"/>
        <v>Public Health Wales Trust</v>
      </c>
      <c r="B1358" s="1583"/>
      <c r="C1358" s="1583"/>
      <c r="D1358" s="1583"/>
      <c r="E1358" s="1581"/>
      <c r="F1358" s="1436"/>
      <c r="G1358" s="1547">
        <f t="shared" si="740"/>
        <v>0</v>
      </c>
      <c r="H1358" s="1484"/>
      <c r="I1358" s="1547">
        <f t="shared" si="741"/>
        <v>0</v>
      </c>
      <c r="J1358" s="1485"/>
      <c r="K1358" s="1485"/>
      <c r="L1358" s="1436"/>
      <c r="M1358" s="1439"/>
      <c r="N1358" s="1439"/>
      <c r="O1358" s="1485"/>
      <c r="P1358" s="1486"/>
      <c r="Q1358" s="1486"/>
      <c r="R1358" s="1487"/>
      <c r="S1358" s="1444"/>
      <c r="T1358" s="1444"/>
      <c r="U1358" s="1444"/>
      <c r="V1358" s="1488"/>
      <c r="W1358" s="1488"/>
      <c r="X1358" s="1488"/>
      <c r="Y1358" s="1488"/>
      <c r="Z1358" s="1488"/>
      <c r="AA1358" s="1488"/>
      <c r="AB1358" s="1488"/>
      <c r="AC1358" s="1488"/>
      <c r="AD1358" s="1488"/>
      <c r="AE1358" s="1488"/>
      <c r="AF1358" s="1488"/>
      <c r="AG1358" s="1488"/>
      <c r="AH1358" s="1451">
        <f t="shared" si="713"/>
        <v>0</v>
      </c>
      <c r="AI1358" s="1488"/>
      <c r="AJ1358" s="1488"/>
      <c r="AK1358" s="1488"/>
      <c r="AL1358" s="1488"/>
      <c r="AM1358" s="1488"/>
      <c r="AN1358" s="1488"/>
      <c r="AO1358" s="1488"/>
      <c r="AP1358" s="1488"/>
      <c r="AQ1358" s="1488"/>
      <c r="AR1358" s="1488"/>
      <c r="AS1358" s="1488"/>
      <c r="AT1358" s="1542"/>
      <c r="AU1358" s="1599">
        <f t="shared" si="714"/>
        <v>0</v>
      </c>
      <c r="AV1358" s="1544">
        <f t="shared" si="742"/>
        <v>0</v>
      </c>
      <c r="AW1358" s="1452">
        <f t="shared" si="715"/>
        <v>0</v>
      </c>
      <c r="AX1358" s="1452">
        <f t="shared" si="716"/>
        <v>0</v>
      </c>
      <c r="AY1358" s="1452">
        <f t="shared" si="717"/>
        <v>0</v>
      </c>
      <c r="AZ1358" s="1452">
        <f t="shared" si="718"/>
        <v>0</v>
      </c>
      <c r="BA1358" s="1452">
        <f t="shared" si="719"/>
        <v>0</v>
      </c>
      <c r="BB1358" s="1452">
        <f t="shared" si="720"/>
        <v>0</v>
      </c>
      <c r="BC1358" s="1452">
        <f t="shared" si="721"/>
        <v>0</v>
      </c>
      <c r="BD1358" s="1452">
        <f t="shared" si="722"/>
        <v>0</v>
      </c>
      <c r="BE1358" s="1452">
        <f t="shared" si="723"/>
        <v>0</v>
      </c>
      <c r="BF1358" s="1452">
        <f t="shared" si="724"/>
        <v>0</v>
      </c>
      <c r="BG1358" s="1452">
        <f t="shared" si="725"/>
        <v>0</v>
      </c>
      <c r="BH1358" s="1452">
        <f t="shared" si="726"/>
        <v>0</v>
      </c>
      <c r="BI1358" s="1452">
        <f t="shared" si="743"/>
        <v>0</v>
      </c>
      <c r="BJ1358" s="1452" t="str">
        <f t="shared" si="727"/>
        <v/>
      </c>
      <c r="BK1358" s="1452" t="str">
        <f t="shared" si="728"/>
        <v/>
      </c>
      <c r="BL1358" s="1452" t="str">
        <f t="shared" si="729"/>
        <v/>
      </c>
      <c r="BM1358" s="1452" t="str">
        <f t="shared" si="730"/>
        <v/>
      </c>
      <c r="BN1358" s="1452" t="str">
        <f t="shared" ca="1" si="731"/>
        <v/>
      </c>
      <c r="BO1358" s="1452" t="str">
        <f t="shared" si="744"/>
        <v/>
      </c>
      <c r="BP1358" s="1452" t="str">
        <f t="shared" si="732"/>
        <v/>
      </c>
      <c r="BQ1358" s="1452" t="str">
        <f t="shared" si="733"/>
        <v/>
      </c>
      <c r="BR1358" s="1452" t="str">
        <f t="shared" si="734"/>
        <v/>
      </c>
      <c r="BS1358" s="1452" t="str">
        <f t="shared" si="735"/>
        <v/>
      </c>
      <c r="BT1358" s="1452" t="str">
        <f t="shared" si="736"/>
        <v/>
      </c>
      <c r="BU1358" s="1452" t="str">
        <f t="shared" si="737"/>
        <v/>
      </c>
      <c r="BV1358" s="1452" t="str">
        <f t="shared" si="738"/>
        <v/>
      </c>
      <c r="BW1358" s="1558">
        <f t="shared" ca="1" si="745"/>
        <v>0</v>
      </c>
    </row>
    <row r="1359" spans="1:75" s="9" customFormat="1" ht="12.5">
      <c r="A1359" s="1483" t="str">
        <f t="shared" si="739"/>
        <v>Public Health Wales Trust</v>
      </c>
      <c r="B1359" s="1583"/>
      <c r="C1359" s="1583"/>
      <c r="D1359" s="1583"/>
      <c r="E1359" s="1581"/>
      <c r="F1359" s="1436"/>
      <c r="G1359" s="1547">
        <f t="shared" si="740"/>
        <v>0</v>
      </c>
      <c r="H1359" s="1484"/>
      <c r="I1359" s="1547">
        <f t="shared" si="741"/>
        <v>0</v>
      </c>
      <c r="J1359" s="1485"/>
      <c r="K1359" s="1485"/>
      <c r="L1359" s="1436"/>
      <c r="M1359" s="1439"/>
      <c r="N1359" s="1439"/>
      <c r="O1359" s="1485"/>
      <c r="P1359" s="1486"/>
      <c r="Q1359" s="1486"/>
      <c r="R1359" s="1487"/>
      <c r="S1359" s="1444"/>
      <c r="T1359" s="1444"/>
      <c r="U1359" s="1444"/>
      <c r="V1359" s="1488"/>
      <c r="W1359" s="1488"/>
      <c r="X1359" s="1488"/>
      <c r="Y1359" s="1488"/>
      <c r="Z1359" s="1488"/>
      <c r="AA1359" s="1488"/>
      <c r="AB1359" s="1488"/>
      <c r="AC1359" s="1488"/>
      <c r="AD1359" s="1488"/>
      <c r="AE1359" s="1488"/>
      <c r="AF1359" s="1488"/>
      <c r="AG1359" s="1488"/>
      <c r="AH1359" s="1451">
        <f t="shared" si="713"/>
        <v>0</v>
      </c>
      <c r="AI1359" s="1488"/>
      <c r="AJ1359" s="1488"/>
      <c r="AK1359" s="1488"/>
      <c r="AL1359" s="1488"/>
      <c r="AM1359" s="1488"/>
      <c r="AN1359" s="1488"/>
      <c r="AO1359" s="1488"/>
      <c r="AP1359" s="1488"/>
      <c r="AQ1359" s="1488"/>
      <c r="AR1359" s="1488"/>
      <c r="AS1359" s="1488"/>
      <c r="AT1359" s="1542"/>
      <c r="AU1359" s="1599">
        <f t="shared" si="714"/>
        <v>0</v>
      </c>
      <c r="AV1359" s="1544">
        <f t="shared" si="742"/>
        <v>0</v>
      </c>
      <c r="AW1359" s="1452">
        <f t="shared" si="715"/>
        <v>0</v>
      </c>
      <c r="AX1359" s="1452">
        <f t="shared" si="716"/>
        <v>0</v>
      </c>
      <c r="AY1359" s="1452">
        <f t="shared" si="717"/>
        <v>0</v>
      </c>
      <c r="AZ1359" s="1452">
        <f t="shared" si="718"/>
        <v>0</v>
      </c>
      <c r="BA1359" s="1452">
        <f t="shared" si="719"/>
        <v>0</v>
      </c>
      <c r="BB1359" s="1452">
        <f t="shared" si="720"/>
        <v>0</v>
      </c>
      <c r="BC1359" s="1452">
        <f t="shared" si="721"/>
        <v>0</v>
      </c>
      <c r="BD1359" s="1452">
        <f t="shared" si="722"/>
        <v>0</v>
      </c>
      <c r="BE1359" s="1452">
        <f t="shared" si="723"/>
        <v>0</v>
      </c>
      <c r="BF1359" s="1452">
        <f t="shared" si="724"/>
        <v>0</v>
      </c>
      <c r="BG1359" s="1452">
        <f t="shared" si="725"/>
        <v>0</v>
      </c>
      <c r="BH1359" s="1452">
        <f t="shared" si="726"/>
        <v>0</v>
      </c>
      <c r="BI1359" s="1452">
        <f t="shared" si="743"/>
        <v>0</v>
      </c>
      <c r="BJ1359" s="1452" t="str">
        <f t="shared" si="727"/>
        <v/>
      </c>
      <c r="BK1359" s="1452" t="str">
        <f t="shared" si="728"/>
        <v/>
      </c>
      <c r="BL1359" s="1452" t="str">
        <f t="shared" si="729"/>
        <v/>
      </c>
      <c r="BM1359" s="1452" t="str">
        <f t="shared" si="730"/>
        <v/>
      </c>
      <c r="BN1359" s="1452" t="str">
        <f t="shared" ca="1" si="731"/>
        <v/>
      </c>
      <c r="BO1359" s="1452" t="str">
        <f t="shared" si="744"/>
        <v/>
      </c>
      <c r="BP1359" s="1452" t="str">
        <f t="shared" si="732"/>
        <v/>
      </c>
      <c r="BQ1359" s="1452" t="str">
        <f t="shared" si="733"/>
        <v/>
      </c>
      <c r="BR1359" s="1452" t="str">
        <f t="shared" si="734"/>
        <v/>
      </c>
      <c r="BS1359" s="1452" t="str">
        <f t="shared" si="735"/>
        <v/>
      </c>
      <c r="BT1359" s="1452" t="str">
        <f t="shared" si="736"/>
        <v/>
      </c>
      <c r="BU1359" s="1452" t="str">
        <f t="shared" si="737"/>
        <v/>
      </c>
      <c r="BV1359" s="1452" t="str">
        <f t="shared" si="738"/>
        <v/>
      </c>
      <c r="BW1359" s="1558">
        <f t="shared" ca="1" si="745"/>
        <v>0</v>
      </c>
    </row>
    <row r="1360" spans="1:75" s="9" customFormat="1" ht="12.5">
      <c r="A1360" s="1483" t="str">
        <f t="shared" si="739"/>
        <v>Public Health Wales Trust</v>
      </c>
      <c r="B1360" s="1583"/>
      <c r="C1360" s="1583"/>
      <c r="D1360" s="1583"/>
      <c r="E1360" s="1581"/>
      <c r="F1360" s="1436"/>
      <c r="G1360" s="1547">
        <f t="shared" si="740"/>
        <v>0</v>
      </c>
      <c r="H1360" s="1484"/>
      <c r="I1360" s="1547">
        <f t="shared" si="741"/>
        <v>0</v>
      </c>
      <c r="J1360" s="1485"/>
      <c r="K1360" s="1485"/>
      <c r="L1360" s="1436"/>
      <c r="M1360" s="1439"/>
      <c r="N1360" s="1439"/>
      <c r="O1360" s="1485"/>
      <c r="P1360" s="1486"/>
      <c r="Q1360" s="1486"/>
      <c r="R1360" s="1487"/>
      <c r="S1360" s="1444"/>
      <c r="T1360" s="1444"/>
      <c r="U1360" s="1444"/>
      <c r="V1360" s="1488"/>
      <c r="W1360" s="1488"/>
      <c r="X1360" s="1488"/>
      <c r="Y1360" s="1488"/>
      <c r="Z1360" s="1488"/>
      <c r="AA1360" s="1488"/>
      <c r="AB1360" s="1488"/>
      <c r="AC1360" s="1488"/>
      <c r="AD1360" s="1488"/>
      <c r="AE1360" s="1488"/>
      <c r="AF1360" s="1488"/>
      <c r="AG1360" s="1488"/>
      <c r="AH1360" s="1451">
        <f t="shared" si="713"/>
        <v>0</v>
      </c>
      <c r="AI1360" s="1488"/>
      <c r="AJ1360" s="1488"/>
      <c r="AK1360" s="1488"/>
      <c r="AL1360" s="1488"/>
      <c r="AM1360" s="1488"/>
      <c r="AN1360" s="1488"/>
      <c r="AO1360" s="1488"/>
      <c r="AP1360" s="1488"/>
      <c r="AQ1360" s="1488"/>
      <c r="AR1360" s="1488"/>
      <c r="AS1360" s="1488"/>
      <c r="AT1360" s="1542"/>
      <c r="AU1360" s="1599">
        <f t="shared" si="714"/>
        <v>0</v>
      </c>
      <c r="AV1360" s="1544">
        <f t="shared" si="742"/>
        <v>0</v>
      </c>
      <c r="AW1360" s="1452">
        <f t="shared" si="715"/>
        <v>0</v>
      </c>
      <c r="AX1360" s="1452">
        <f t="shared" si="716"/>
        <v>0</v>
      </c>
      <c r="AY1360" s="1452">
        <f t="shared" si="717"/>
        <v>0</v>
      </c>
      <c r="AZ1360" s="1452">
        <f t="shared" si="718"/>
        <v>0</v>
      </c>
      <c r="BA1360" s="1452">
        <f t="shared" si="719"/>
        <v>0</v>
      </c>
      <c r="BB1360" s="1452">
        <f t="shared" si="720"/>
        <v>0</v>
      </c>
      <c r="BC1360" s="1452">
        <f t="shared" si="721"/>
        <v>0</v>
      </c>
      <c r="BD1360" s="1452">
        <f t="shared" si="722"/>
        <v>0</v>
      </c>
      <c r="BE1360" s="1452">
        <f t="shared" si="723"/>
        <v>0</v>
      </c>
      <c r="BF1360" s="1452">
        <f t="shared" si="724"/>
        <v>0</v>
      </c>
      <c r="BG1360" s="1452">
        <f t="shared" si="725"/>
        <v>0</v>
      </c>
      <c r="BH1360" s="1452">
        <f t="shared" si="726"/>
        <v>0</v>
      </c>
      <c r="BI1360" s="1452">
        <f t="shared" si="743"/>
        <v>0</v>
      </c>
      <c r="BJ1360" s="1452" t="str">
        <f t="shared" si="727"/>
        <v/>
      </c>
      <c r="BK1360" s="1452" t="str">
        <f t="shared" si="728"/>
        <v/>
      </c>
      <c r="BL1360" s="1452" t="str">
        <f t="shared" si="729"/>
        <v/>
      </c>
      <c r="BM1360" s="1452" t="str">
        <f t="shared" si="730"/>
        <v/>
      </c>
      <c r="BN1360" s="1452" t="str">
        <f t="shared" ca="1" si="731"/>
        <v/>
      </c>
      <c r="BO1360" s="1452" t="str">
        <f t="shared" si="744"/>
        <v/>
      </c>
      <c r="BP1360" s="1452" t="str">
        <f t="shared" si="732"/>
        <v/>
      </c>
      <c r="BQ1360" s="1452" t="str">
        <f t="shared" si="733"/>
        <v/>
      </c>
      <c r="BR1360" s="1452" t="str">
        <f t="shared" si="734"/>
        <v/>
      </c>
      <c r="BS1360" s="1452" t="str">
        <f t="shared" si="735"/>
        <v/>
      </c>
      <c r="BT1360" s="1452" t="str">
        <f t="shared" si="736"/>
        <v/>
      </c>
      <c r="BU1360" s="1452" t="str">
        <f t="shared" si="737"/>
        <v/>
      </c>
      <c r="BV1360" s="1452" t="str">
        <f t="shared" si="738"/>
        <v/>
      </c>
      <c r="BW1360" s="1558">
        <f t="shared" ca="1" si="745"/>
        <v>0</v>
      </c>
    </row>
    <row r="1361" spans="1:75" s="9" customFormat="1" ht="12.5">
      <c r="A1361" s="1483" t="str">
        <f t="shared" si="739"/>
        <v>Public Health Wales Trust</v>
      </c>
      <c r="B1361" s="1583"/>
      <c r="C1361" s="1583"/>
      <c r="D1361" s="1583"/>
      <c r="E1361" s="1581"/>
      <c r="F1361" s="1436"/>
      <c r="G1361" s="1547">
        <f t="shared" si="740"/>
        <v>0</v>
      </c>
      <c r="H1361" s="1484"/>
      <c r="I1361" s="1547">
        <f t="shared" si="741"/>
        <v>0</v>
      </c>
      <c r="J1361" s="1485"/>
      <c r="K1361" s="1485"/>
      <c r="L1361" s="1436"/>
      <c r="M1361" s="1439"/>
      <c r="N1361" s="1439"/>
      <c r="O1361" s="1485"/>
      <c r="P1361" s="1486"/>
      <c r="Q1361" s="1486"/>
      <c r="R1361" s="1487"/>
      <c r="S1361" s="1444"/>
      <c r="T1361" s="1444"/>
      <c r="U1361" s="1444"/>
      <c r="V1361" s="1488"/>
      <c r="W1361" s="1488"/>
      <c r="X1361" s="1488"/>
      <c r="Y1361" s="1488"/>
      <c r="Z1361" s="1488"/>
      <c r="AA1361" s="1488"/>
      <c r="AB1361" s="1488"/>
      <c r="AC1361" s="1488"/>
      <c r="AD1361" s="1488"/>
      <c r="AE1361" s="1488"/>
      <c r="AF1361" s="1488"/>
      <c r="AG1361" s="1488"/>
      <c r="AH1361" s="1451">
        <f t="shared" si="713"/>
        <v>0</v>
      </c>
      <c r="AI1361" s="1488"/>
      <c r="AJ1361" s="1488"/>
      <c r="AK1361" s="1488"/>
      <c r="AL1361" s="1488"/>
      <c r="AM1361" s="1488"/>
      <c r="AN1361" s="1488"/>
      <c r="AO1361" s="1488"/>
      <c r="AP1361" s="1488"/>
      <c r="AQ1361" s="1488"/>
      <c r="AR1361" s="1488"/>
      <c r="AS1361" s="1488"/>
      <c r="AT1361" s="1542"/>
      <c r="AU1361" s="1599">
        <f t="shared" si="714"/>
        <v>0</v>
      </c>
      <c r="AV1361" s="1544">
        <f t="shared" si="742"/>
        <v>0</v>
      </c>
      <c r="AW1361" s="1452">
        <f t="shared" si="715"/>
        <v>0</v>
      </c>
      <c r="AX1361" s="1452">
        <f t="shared" si="716"/>
        <v>0</v>
      </c>
      <c r="AY1361" s="1452">
        <f t="shared" si="717"/>
        <v>0</v>
      </c>
      <c r="AZ1361" s="1452">
        <f t="shared" si="718"/>
        <v>0</v>
      </c>
      <c r="BA1361" s="1452">
        <f t="shared" si="719"/>
        <v>0</v>
      </c>
      <c r="BB1361" s="1452">
        <f t="shared" si="720"/>
        <v>0</v>
      </c>
      <c r="BC1361" s="1452">
        <f t="shared" si="721"/>
        <v>0</v>
      </c>
      <c r="BD1361" s="1452">
        <f t="shared" si="722"/>
        <v>0</v>
      </c>
      <c r="BE1361" s="1452">
        <f t="shared" si="723"/>
        <v>0</v>
      </c>
      <c r="BF1361" s="1452">
        <f t="shared" si="724"/>
        <v>0</v>
      </c>
      <c r="BG1361" s="1452">
        <f t="shared" si="725"/>
        <v>0</v>
      </c>
      <c r="BH1361" s="1452">
        <f t="shared" si="726"/>
        <v>0</v>
      </c>
      <c r="BI1361" s="1452">
        <f t="shared" si="743"/>
        <v>0</v>
      </c>
      <c r="BJ1361" s="1452" t="str">
        <f t="shared" si="727"/>
        <v/>
      </c>
      <c r="BK1361" s="1452" t="str">
        <f t="shared" si="728"/>
        <v/>
      </c>
      <c r="BL1361" s="1452" t="str">
        <f t="shared" si="729"/>
        <v/>
      </c>
      <c r="BM1361" s="1452" t="str">
        <f t="shared" si="730"/>
        <v/>
      </c>
      <c r="BN1361" s="1452" t="str">
        <f t="shared" ca="1" si="731"/>
        <v/>
      </c>
      <c r="BO1361" s="1452" t="str">
        <f t="shared" si="744"/>
        <v/>
      </c>
      <c r="BP1361" s="1452" t="str">
        <f t="shared" si="732"/>
        <v/>
      </c>
      <c r="BQ1361" s="1452" t="str">
        <f t="shared" si="733"/>
        <v/>
      </c>
      <c r="BR1361" s="1452" t="str">
        <f t="shared" si="734"/>
        <v/>
      </c>
      <c r="BS1361" s="1452" t="str">
        <f t="shared" si="735"/>
        <v/>
      </c>
      <c r="BT1361" s="1452" t="str">
        <f t="shared" si="736"/>
        <v/>
      </c>
      <c r="BU1361" s="1452" t="str">
        <f t="shared" si="737"/>
        <v/>
      </c>
      <c r="BV1361" s="1452" t="str">
        <f t="shared" si="738"/>
        <v/>
      </c>
      <c r="BW1361" s="1558">
        <f t="shared" ca="1" si="745"/>
        <v>0</v>
      </c>
    </row>
    <row r="1362" spans="1:75" s="9" customFormat="1" ht="12.5">
      <c r="A1362" s="1483" t="str">
        <f t="shared" si="739"/>
        <v>Public Health Wales Trust</v>
      </c>
      <c r="B1362" s="1583"/>
      <c r="C1362" s="1583"/>
      <c r="D1362" s="1583"/>
      <c r="E1362" s="1581"/>
      <c r="F1362" s="1436"/>
      <c r="G1362" s="1547">
        <f t="shared" si="740"/>
        <v>0</v>
      </c>
      <c r="H1362" s="1484"/>
      <c r="I1362" s="1547">
        <f t="shared" si="741"/>
        <v>0</v>
      </c>
      <c r="J1362" s="1485"/>
      <c r="K1362" s="1485"/>
      <c r="L1362" s="1436"/>
      <c r="M1362" s="1439"/>
      <c r="N1362" s="1439"/>
      <c r="O1362" s="1485"/>
      <c r="P1362" s="1486"/>
      <c r="Q1362" s="1486"/>
      <c r="R1362" s="1487"/>
      <c r="S1362" s="1444"/>
      <c r="T1362" s="1444"/>
      <c r="U1362" s="1444"/>
      <c r="V1362" s="1488"/>
      <c r="W1362" s="1488"/>
      <c r="X1362" s="1488"/>
      <c r="Y1362" s="1488"/>
      <c r="Z1362" s="1488"/>
      <c r="AA1362" s="1488"/>
      <c r="AB1362" s="1488"/>
      <c r="AC1362" s="1488"/>
      <c r="AD1362" s="1488"/>
      <c r="AE1362" s="1488"/>
      <c r="AF1362" s="1488"/>
      <c r="AG1362" s="1488"/>
      <c r="AH1362" s="1451">
        <f t="shared" si="713"/>
        <v>0</v>
      </c>
      <c r="AI1362" s="1488"/>
      <c r="AJ1362" s="1488"/>
      <c r="AK1362" s="1488"/>
      <c r="AL1362" s="1488"/>
      <c r="AM1362" s="1488"/>
      <c r="AN1362" s="1488"/>
      <c r="AO1362" s="1488"/>
      <c r="AP1362" s="1488"/>
      <c r="AQ1362" s="1488"/>
      <c r="AR1362" s="1488"/>
      <c r="AS1362" s="1488"/>
      <c r="AT1362" s="1542"/>
      <c r="AU1362" s="1599">
        <f t="shared" si="714"/>
        <v>0</v>
      </c>
      <c r="AV1362" s="1544">
        <f t="shared" si="742"/>
        <v>0</v>
      </c>
      <c r="AW1362" s="1452">
        <f t="shared" si="715"/>
        <v>0</v>
      </c>
      <c r="AX1362" s="1452">
        <f t="shared" si="716"/>
        <v>0</v>
      </c>
      <c r="AY1362" s="1452">
        <f t="shared" si="717"/>
        <v>0</v>
      </c>
      <c r="AZ1362" s="1452">
        <f t="shared" si="718"/>
        <v>0</v>
      </c>
      <c r="BA1362" s="1452">
        <f t="shared" si="719"/>
        <v>0</v>
      </c>
      <c r="BB1362" s="1452">
        <f t="shared" si="720"/>
        <v>0</v>
      </c>
      <c r="BC1362" s="1452">
        <f t="shared" si="721"/>
        <v>0</v>
      </c>
      <c r="BD1362" s="1452">
        <f t="shared" si="722"/>
        <v>0</v>
      </c>
      <c r="BE1362" s="1452">
        <f t="shared" si="723"/>
        <v>0</v>
      </c>
      <c r="BF1362" s="1452">
        <f t="shared" si="724"/>
        <v>0</v>
      </c>
      <c r="BG1362" s="1452">
        <f t="shared" si="725"/>
        <v>0</v>
      </c>
      <c r="BH1362" s="1452">
        <f t="shared" si="726"/>
        <v>0</v>
      </c>
      <c r="BI1362" s="1452">
        <f t="shared" si="743"/>
        <v>0</v>
      </c>
      <c r="BJ1362" s="1452" t="str">
        <f t="shared" si="727"/>
        <v/>
      </c>
      <c r="BK1362" s="1452" t="str">
        <f t="shared" si="728"/>
        <v/>
      </c>
      <c r="BL1362" s="1452" t="str">
        <f t="shared" si="729"/>
        <v/>
      </c>
      <c r="BM1362" s="1452" t="str">
        <f t="shared" si="730"/>
        <v/>
      </c>
      <c r="BN1362" s="1452" t="str">
        <f t="shared" ca="1" si="731"/>
        <v/>
      </c>
      <c r="BO1362" s="1452" t="str">
        <f t="shared" si="744"/>
        <v/>
      </c>
      <c r="BP1362" s="1452" t="str">
        <f t="shared" si="732"/>
        <v/>
      </c>
      <c r="BQ1362" s="1452" t="str">
        <f t="shared" si="733"/>
        <v/>
      </c>
      <c r="BR1362" s="1452" t="str">
        <f t="shared" si="734"/>
        <v/>
      </c>
      <c r="BS1362" s="1452" t="str">
        <f t="shared" si="735"/>
        <v/>
      </c>
      <c r="BT1362" s="1452" t="str">
        <f t="shared" si="736"/>
        <v/>
      </c>
      <c r="BU1362" s="1452" t="str">
        <f t="shared" si="737"/>
        <v/>
      </c>
      <c r="BV1362" s="1452" t="str">
        <f t="shared" si="738"/>
        <v/>
      </c>
      <c r="BW1362" s="1558">
        <f t="shared" ca="1" si="745"/>
        <v>0</v>
      </c>
    </row>
    <row r="1363" spans="1:75" s="9" customFormat="1" ht="12.5">
      <c r="A1363" s="1483" t="str">
        <f t="shared" si="739"/>
        <v>Public Health Wales Trust</v>
      </c>
      <c r="B1363" s="1583"/>
      <c r="C1363" s="1583"/>
      <c r="D1363" s="1583"/>
      <c r="E1363" s="1581"/>
      <c r="F1363" s="1436"/>
      <c r="G1363" s="1547">
        <f t="shared" si="740"/>
        <v>0</v>
      </c>
      <c r="H1363" s="1484"/>
      <c r="I1363" s="1547">
        <f t="shared" si="741"/>
        <v>0</v>
      </c>
      <c r="J1363" s="1485"/>
      <c r="K1363" s="1485"/>
      <c r="L1363" s="1436"/>
      <c r="M1363" s="1439"/>
      <c r="N1363" s="1439"/>
      <c r="O1363" s="1485"/>
      <c r="P1363" s="1486"/>
      <c r="Q1363" s="1486"/>
      <c r="R1363" s="1487"/>
      <c r="S1363" s="1444"/>
      <c r="T1363" s="1444"/>
      <c r="U1363" s="1444"/>
      <c r="V1363" s="1488"/>
      <c r="W1363" s="1488"/>
      <c r="X1363" s="1488"/>
      <c r="Y1363" s="1488"/>
      <c r="Z1363" s="1488"/>
      <c r="AA1363" s="1488"/>
      <c r="AB1363" s="1488"/>
      <c r="AC1363" s="1488"/>
      <c r="AD1363" s="1488"/>
      <c r="AE1363" s="1488"/>
      <c r="AF1363" s="1488"/>
      <c r="AG1363" s="1488"/>
      <c r="AH1363" s="1451">
        <f t="shared" si="713"/>
        <v>0</v>
      </c>
      <c r="AI1363" s="1488"/>
      <c r="AJ1363" s="1488"/>
      <c r="AK1363" s="1488"/>
      <c r="AL1363" s="1488"/>
      <c r="AM1363" s="1488"/>
      <c r="AN1363" s="1488"/>
      <c r="AO1363" s="1488"/>
      <c r="AP1363" s="1488"/>
      <c r="AQ1363" s="1488"/>
      <c r="AR1363" s="1488"/>
      <c r="AS1363" s="1488"/>
      <c r="AT1363" s="1542"/>
      <c r="AU1363" s="1599">
        <f t="shared" si="714"/>
        <v>0</v>
      </c>
      <c r="AV1363" s="1544">
        <f t="shared" si="742"/>
        <v>0</v>
      </c>
      <c r="AW1363" s="1452">
        <f t="shared" si="715"/>
        <v>0</v>
      </c>
      <c r="AX1363" s="1452">
        <f t="shared" si="716"/>
        <v>0</v>
      </c>
      <c r="AY1363" s="1452">
        <f t="shared" si="717"/>
        <v>0</v>
      </c>
      <c r="AZ1363" s="1452">
        <f t="shared" si="718"/>
        <v>0</v>
      </c>
      <c r="BA1363" s="1452">
        <f t="shared" si="719"/>
        <v>0</v>
      </c>
      <c r="BB1363" s="1452">
        <f t="shared" si="720"/>
        <v>0</v>
      </c>
      <c r="BC1363" s="1452">
        <f t="shared" si="721"/>
        <v>0</v>
      </c>
      <c r="BD1363" s="1452">
        <f t="shared" si="722"/>
        <v>0</v>
      </c>
      <c r="BE1363" s="1452">
        <f t="shared" si="723"/>
        <v>0</v>
      </c>
      <c r="BF1363" s="1452">
        <f t="shared" si="724"/>
        <v>0</v>
      </c>
      <c r="BG1363" s="1452">
        <f t="shared" si="725"/>
        <v>0</v>
      </c>
      <c r="BH1363" s="1452">
        <f t="shared" si="726"/>
        <v>0</v>
      </c>
      <c r="BI1363" s="1452">
        <f t="shared" si="743"/>
        <v>0</v>
      </c>
      <c r="BJ1363" s="1452" t="str">
        <f t="shared" si="727"/>
        <v/>
      </c>
      <c r="BK1363" s="1452" t="str">
        <f t="shared" si="728"/>
        <v/>
      </c>
      <c r="BL1363" s="1452" t="str">
        <f t="shared" si="729"/>
        <v/>
      </c>
      <c r="BM1363" s="1452" t="str">
        <f t="shared" si="730"/>
        <v/>
      </c>
      <c r="BN1363" s="1452" t="str">
        <f t="shared" ca="1" si="731"/>
        <v/>
      </c>
      <c r="BO1363" s="1452" t="str">
        <f t="shared" si="744"/>
        <v/>
      </c>
      <c r="BP1363" s="1452" t="str">
        <f t="shared" si="732"/>
        <v/>
      </c>
      <c r="BQ1363" s="1452" t="str">
        <f t="shared" si="733"/>
        <v/>
      </c>
      <c r="BR1363" s="1452" t="str">
        <f t="shared" si="734"/>
        <v/>
      </c>
      <c r="BS1363" s="1452" t="str">
        <f t="shared" si="735"/>
        <v/>
      </c>
      <c r="BT1363" s="1452" t="str">
        <f t="shared" si="736"/>
        <v/>
      </c>
      <c r="BU1363" s="1452" t="str">
        <f t="shared" si="737"/>
        <v/>
      </c>
      <c r="BV1363" s="1452" t="str">
        <f t="shared" si="738"/>
        <v/>
      </c>
      <c r="BW1363" s="1558">
        <f t="shared" ca="1" si="745"/>
        <v>0</v>
      </c>
    </row>
    <row r="1364" spans="1:75" s="9" customFormat="1" ht="12.5">
      <c r="A1364" s="1483" t="str">
        <f t="shared" si="739"/>
        <v>Public Health Wales Trust</v>
      </c>
      <c r="B1364" s="1583"/>
      <c r="C1364" s="1583"/>
      <c r="D1364" s="1583"/>
      <c r="E1364" s="1581"/>
      <c r="F1364" s="1436"/>
      <c r="G1364" s="1547">
        <f t="shared" si="740"/>
        <v>0</v>
      </c>
      <c r="H1364" s="1484"/>
      <c r="I1364" s="1547">
        <f t="shared" si="741"/>
        <v>0</v>
      </c>
      <c r="J1364" s="1485"/>
      <c r="K1364" s="1485"/>
      <c r="L1364" s="1436"/>
      <c r="M1364" s="1439"/>
      <c r="N1364" s="1439"/>
      <c r="O1364" s="1485"/>
      <c r="P1364" s="1486"/>
      <c r="Q1364" s="1486"/>
      <c r="R1364" s="1487"/>
      <c r="S1364" s="1444"/>
      <c r="T1364" s="1444"/>
      <c r="U1364" s="1444"/>
      <c r="V1364" s="1488"/>
      <c r="W1364" s="1488"/>
      <c r="X1364" s="1488"/>
      <c r="Y1364" s="1488"/>
      <c r="Z1364" s="1488"/>
      <c r="AA1364" s="1488"/>
      <c r="AB1364" s="1488"/>
      <c r="AC1364" s="1488"/>
      <c r="AD1364" s="1488"/>
      <c r="AE1364" s="1488"/>
      <c r="AF1364" s="1488"/>
      <c r="AG1364" s="1488"/>
      <c r="AH1364" s="1451">
        <f t="shared" si="713"/>
        <v>0</v>
      </c>
      <c r="AI1364" s="1488"/>
      <c r="AJ1364" s="1488"/>
      <c r="AK1364" s="1488"/>
      <c r="AL1364" s="1488"/>
      <c r="AM1364" s="1488"/>
      <c r="AN1364" s="1488"/>
      <c r="AO1364" s="1488"/>
      <c r="AP1364" s="1488"/>
      <c r="AQ1364" s="1488"/>
      <c r="AR1364" s="1488"/>
      <c r="AS1364" s="1488"/>
      <c r="AT1364" s="1542"/>
      <c r="AU1364" s="1599">
        <f t="shared" si="714"/>
        <v>0</v>
      </c>
      <c r="AV1364" s="1544">
        <f t="shared" si="742"/>
        <v>0</v>
      </c>
      <c r="AW1364" s="1452">
        <f t="shared" si="715"/>
        <v>0</v>
      </c>
      <c r="AX1364" s="1452">
        <f t="shared" si="716"/>
        <v>0</v>
      </c>
      <c r="AY1364" s="1452">
        <f t="shared" si="717"/>
        <v>0</v>
      </c>
      <c r="AZ1364" s="1452">
        <f t="shared" si="718"/>
        <v>0</v>
      </c>
      <c r="BA1364" s="1452">
        <f t="shared" si="719"/>
        <v>0</v>
      </c>
      <c r="BB1364" s="1452">
        <f t="shared" si="720"/>
        <v>0</v>
      </c>
      <c r="BC1364" s="1452">
        <f t="shared" si="721"/>
        <v>0</v>
      </c>
      <c r="BD1364" s="1452">
        <f t="shared" si="722"/>
        <v>0</v>
      </c>
      <c r="BE1364" s="1452">
        <f t="shared" si="723"/>
        <v>0</v>
      </c>
      <c r="BF1364" s="1452">
        <f t="shared" si="724"/>
        <v>0</v>
      </c>
      <c r="BG1364" s="1452">
        <f t="shared" si="725"/>
        <v>0</v>
      </c>
      <c r="BH1364" s="1452">
        <f t="shared" si="726"/>
        <v>0</v>
      </c>
      <c r="BI1364" s="1452">
        <f t="shared" si="743"/>
        <v>0</v>
      </c>
      <c r="BJ1364" s="1452" t="str">
        <f t="shared" si="727"/>
        <v/>
      </c>
      <c r="BK1364" s="1452" t="str">
        <f t="shared" si="728"/>
        <v/>
      </c>
      <c r="BL1364" s="1452" t="str">
        <f t="shared" si="729"/>
        <v/>
      </c>
      <c r="BM1364" s="1452" t="str">
        <f t="shared" si="730"/>
        <v/>
      </c>
      <c r="BN1364" s="1452" t="str">
        <f t="shared" ca="1" si="731"/>
        <v/>
      </c>
      <c r="BO1364" s="1452" t="str">
        <f t="shared" si="744"/>
        <v/>
      </c>
      <c r="BP1364" s="1452" t="str">
        <f t="shared" si="732"/>
        <v/>
      </c>
      <c r="BQ1364" s="1452" t="str">
        <f t="shared" si="733"/>
        <v/>
      </c>
      <c r="BR1364" s="1452" t="str">
        <f t="shared" si="734"/>
        <v/>
      </c>
      <c r="BS1364" s="1452" t="str">
        <f t="shared" si="735"/>
        <v/>
      </c>
      <c r="BT1364" s="1452" t="str">
        <f t="shared" si="736"/>
        <v/>
      </c>
      <c r="BU1364" s="1452" t="str">
        <f t="shared" si="737"/>
        <v/>
      </c>
      <c r="BV1364" s="1452" t="str">
        <f t="shared" si="738"/>
        <v/>
      </c>
      <c r="BW1364" s="1558">
        <f t="shared" ca="1" si="745"/>
        <v>0</v>
      </c>
    </row>
    <row r="1365" spans="1:75" s="9" customFormat="1" ht="12.5">
      <c r="A1365" s="1483" t="str">
        <f t="shared" si="739"/>
        <v>Public Health Wales Trust</v>
      </c>
      <c r="B1365" s="1583"/>
      <c r="C1365" s="1583"/>
      <c r="D1365" s="1583"/>
      <c r="E1365" s="1581"/>
      <c r="F1365" s="1436"/>
      <c r="G1365" s="1547">
        <f t="shared" si="740"/>
        <v>0</v>
      </c>
      <c r="H1365" s="1484"/>
      <c r="I1365" s="1547">
        <f t="shared" si="741"/>
        <v>0</v>
      </c>
      <c r="J1365" s="1485"/>
      <c r="K1365" s="1485"/>
      <c r="L1365" s="1436"/>
      <c r="M1365" s="1439"/>
      <c r="N1365" s="1439"/>
      <c r="O1365" s="1485"/>
      <c r="P1365" s="1486"/>
      <c r="Q1365" s="1486"/>
      <c r="R1365" s="1487"/>
      <c r="S1365" s="1444"/>
      <c r="T1365" s="1444"/>
      <c r="U1365" s="1444"/>
      <c r="V1365" s="1488"/>
      <c r="W1365" s="1488"/>
      <c r="X1365" s="1488"/>
      <c r="Y1365" s="1488"/>
      <c r="Z1365" s="1488"/>
      <c r="AA1365" s="1488"/>
      <c r="AB1365" s="1488"/>
      <c r="AC1365" s="1488"/>
      <c r="AD1365" s="1488"/>
      <c r="AE1365" s="1488"/>
      <c r="AF1365" s="1488"/>
      <c r="AG1365" s="1488"/>
      <c r="AH1365" s="1451">
        <f t="shared" si="713"/>
        <v>0</v>
      </c>
      <c r="AI1365" s="1488"/>
      <c r="AJ1365" s="1488"/>
      <c r="AK1365" s="1488"/>
      <c r="AL1365" s="1488"/>
      <c r="AM1365" s="1488"/>
      <c r="AN1365" s="1488"/>
      <c r="AO1365" s="1488"/>
      <c r="AP1365" s="1488"/>
      <c r="AQ1365" s="1488"/>
      <c r="AR1365" s="1488"/>
      <c r="AS1365" s="1488"/>
      <c r="AT1365" s="1542"/>
      <c r="AU1365" s="1599">
        <f t="shared" si="714"/>
        <v>0</v>
      </c>
      <c r="AV1365" s="1544">
        <f t="shared" si="742"/>
        <v>0</v>
      </c>
      <c r="AW1365" s="1452">
        <f t="shared" si="715"/>
        <v>0</v>
      </c>
      <c r="AX1365" s="1452">
        <f t="shared" si="716"/>
        <v>0</v>
      </c>
      <c r="AY1365" s="1452">
        <f t="shared" si="717"/>
        <v>0</v>
      </c>
      <c r="AZ1365" s="1452">
        <f t="shared" si="718"/>
        <v>0</v>
      </c>
      <c r="BA1365" s="1452">
        <f t="shared" si="719"/>
        <v>0</v>
      </c>
      <c r="BB1365" s="1452">
        <f t="shared" si="720"/>
        <v>0</v>
      </c>
      <c r="BC1365" s="1452">
        <f t="shared" si="721"/>
        <v>0</v>
      </c>
      <c r="BD1365" s="1452">
        <f t="shared" si="722"/>
        <v>0</v>
      </c>
      <c r="BE1365" s="1452">
        <f t="shared" si="723"/>
        <v>0</v>
      </c>
      <c r="BF1365" s="1452">
        <f t="shared" si="724"/>
        <v>0</v>
      </c>
      <c r="BG1365" s="1452">
        <f t="shared" si="725"/>
        <v>0</v>
      </c>
      <c r="BH1365" s="1452">
        <f t="shared" si="726"/>
        <v>0</v>
      </c>
      <c r="BI1365" s="1452">
        <f t="shared" si="743"/>
        <v>0</v>
      </c>
      <c r="BJ1365" s="1452" t="str">
        <f t="shared" si="727"/>
        <v/>
      </c>
      <c r="BK1365" s="1452" t="str">
        <f t="shared" si="728"/>
        <v/>
      </c>
      <c r="BL1365" s="1452" t="str">
        <f t="shared" si="729"/>
        <v/>
      </c>
      <c r="BM1365" s="1452" t="str">
        <f t="shared" si="730"/>
        <v/>
      </c>
      <c r="BN1365" s="1452" t="str">
        <f t="shared" ca="1" si="731"/>
        <v/>
      </c>
      <c r="BO1365" s="1452" t="str">
        <f t="shared" si="744"/>
        <v/>
      </c>
      <c r="BP1365" s="1452" t="str">
        <f t="shared" si="732"/>
        <v/>
      </c>
      <c r="BQ1365" s="1452" t="str">
        <f t="shared" si="733"/>
        <v/>
      </c>
      <c r="BR1365" s="1452" t="str">
        <f t="shared" si="734"/>
        <v/>
      </c>
      <c r="BS1365" s="1452" t="str">
        <f t="shared" si="735"/>
        <v/>
      </c>
      <c r="BT1365" s="1452" t="str">
        <f t="shared" si="736"/>
        <v/>
      </c>
      <c r="BU1365" s="1452" t="str">
        <f t="shared" si="737"/>
        <v/>
      </c>
      <c r="BV1365" s="1452" t="str">
        <f t="shared" si="738"/>
        <v/>
      </c>
      <c r="BW1365" s="1558">
        <f t="shared" ca="1" si="745"/>
        <v>0</v>
      </c>
    </row>
    <row r="1366" spans="1:75" s="9" customFormat="1" ht="12.5">
      <c r="A1366" s="1483" t="str">
        <f t="shared" si="739"/>
        <v>Public Health Wales Trust</v>
      </c>
      <c r="B1366" s="1583"/>
      <c r="C1366" s="1583"/>
      <c r="D1366" s="1583"/>
      <c r="E1366" s="1581"/>
      <c r="F1366" s="1436"/>
      <c r="G1366" s="1547">
        <f t="shared" si="740"/>
        <v>0</v>
      </c>
      <c r="H1366" s="1484"/>
      <c r="I1366" s="1547">
        <f t="shared" si="741"/>
        <v>0</v>
      </c>
      <c r="J1366" s="1485"/>
      <c r="K1366" s="1485"/>
      <c r="L1366" s="1436"/>
      <c r="M1366" s="1439"/>
      <c r="N1366" s="1439"/>
      <c r="O1366" s="1485"/>
      <c r="P1366" s="1486"/>
      <c r="Q1366" s="1486"/>
      <c r="R1366" s="1487"/>
      <c r="S1366" s="1444"/>
      <c r="T1366" s="1444"/>
      <c r="U1366" s="1444"/>
      <c r="V1366" s="1488"/>
      <c r="W1366" s="1488"/>
      <c r="X1366" s="1488"/>
      <c r="Y1366" s="1488"/>
      <c r="Z1366" s="1488"/>
      <c r="AA1366" s="1488"/>
      <c r="AB1366" s="1488"/>
      <c r="AC1366" s="1488"/>
      <c r="AD1366" s="1488"/>
      <c r="AE1366" s="1488"/>
      <c r="AF1366" s="1488"/>
      <c r="AG1366" s="1488"/>
      <c r="AH1366" s="1451">
        <f t="shared" si="713"/>
        <v>0</v>
      </c>
      <c r="AI1366" s="1488"/>
      <c r="AJ1366" s="1488"/>
      <c r="AK1366" s="1488"/>
      <c r="AL1366" s="1488"/>
      <c r="AM1366" s="1488"/>
      <c r="AN1366" s="1488"/>
      <c r="AO1366" s="1488"/>
      <c r="AP1366" s="1488"/>
      <c r="AQ1366" s="1488"/>
      <c r="AR1366" s="1488"/>
      <c r="AS1366" s="1488"/>
      <c r="AT1366" s="1542"/>
      <c r="AU1366" s="1599">
        <f t="shared" si="714"/>
        <v>0</v>
      </c>
      <c r="AV1366" s="1544">
        <f t="shared" si="742"/>
        <v>0</v>
      </c>
      <c r="AW1366" s="1452">
        <f t="shared" si="715"/>
        <v>0</v>
      </c>
      <c r="AX1366" s="1452">
        <f t="shared" si="716"/>
        <v>0</v>
      </c>
      <c r="AY1366" s="1452">
        <f t="shared" si="717"/>
        <v>0</v>
      </c>
      <c r="AZ1366" s="1452">
        <f t="shared" si="718"/>
        <v>0</v>
      </c>
      <c r="BA1366" s="1452">
        <f t="shared" si="719"/>
        <v>0</v>
      </c>
      <c r="BB1366" s="1452">
        <f t="shared" si="720"/>
        <v>0</v>
      </c>
      <c r="BC1366" s="1452">
        <f t="shared" si="721"/>
        <v>0</v>
      </c>
      <c r="BD1366" s="1452">
        <f t="shared" si="722"/>
        <v>0</v>
      </c>
      <c r="BE1366" s="1452">
        <f t="shared" si="723"/>
        <v>0</v>
      </c>
      <c r="BF1366" s="1452">
        <f t="shared" si="724"/>
        <v>0</v>
      </c>
      <c r="BG1366" s="1452">
        <f t="shared" si="725"/>
        <v>0</v>
      </c>
      <c r="BH1366" s="1452">
        <f t="shared" si="726"/>
        <v>0</v>
      </c>
      <c r="BI1366" s="1452">
        <f t="shared" si="743"/>
        <v>0</v>
      </c>
      <c r="BJ1366" s="1452" t="str">
        <f t="shared" si="727"/>
        <v/>
      </c>
      <c r="BK1366" s="1452" t="str">
        <f t="shared" si="728"/>
        <v/>
      </c>
      <c r="BL1366" s="1452" t="str">
        <f t="shared" si="729"/>
        <v/>
      </c>
      <c r="BM1366" s="1452" t="str">
        <f t="shared" si="730"/>
        <v/>
      </c>
      <c r="BN1366" s="1452" t="str">
        <f t="shared" ca="1" si="731"/>
        <v/>
      </c>
      <c r="BO1366" s="1452" t="str">
        <f t="shared" si="744"/>
        <v/>
      </c>
      <c r="BP1366" s="1452" t="str">
        <f t="shared" si="732"/>
        <v/>
      </c>
      <c r="BQ1366" s="1452" t="str">
        <f t="shared" si="733"/>
        <v/>
      </c>
      <c r="BR1366" s="1452" t="str">
        <f t="shared" si="734"/>
        <v/>
      </c>
      <c r="BS1366" s="1452" t="str">
        <f t="shared" si="735"/>
        <v/>
      </c>
      <c r="BT1366" s="1452" t="str">
        <f t="shared" si="736"/>
        <v/>
      </c>
      <c r="BU1366" s="1452" t="str">
        <f t="shared" si="737"/>
        <v/>
      </c>
      <c r="BV1366" s="1452" t="str">
        <f t="shared" si="738"/>
        <v/>
      </c>
      <c r="BW1366" s="1558">
        <f t="shared" ca="1" si="745"/>
        <v>0</v>
      </c>
    </row>
    <row r="1367" spans="1:75" s="9" customFormat="1" ht="12.5">
      <c r="A1367" s="1483" t="str">
        <f t="shared" si="739"/>
        <v>Public Health Wales Trust</v>
      </c>
      <c r="B1367" s="1583"/>
      <c r="C1367" s="1583"/>
      <c r="D1367" s="1583"/>
      <c r="E1367" s="1581"/>
      <c r="F1367" s="1436"/>
      <c r="G1367" s="1547">
        <f t="shared" si="740"/>
        <v>0</v>
      </c>
      <c r="H1367" s="1484"/>
      <c r="I1367" s="1547">
        <f t="shared" si="741"/>
        <v>0</v>
      </c>
      <c r="J1367" s="1485"/>
      <c r="K1367" s="1485"/>
      <c r="L1367" s="1436"/>
      <c r="M1367" s="1439"/>
      <c r="N1367" s="1439"/>
      <c r="O1367" s="1485"/>
      <c r="P1367" s="1486"/>
      <c r="Q1367" s="1486"/>
      <c r="R1367" s="1487"/>
      <c r="S1367" s="1444"/>
      <c r="T1367" s="1444"/>
      <c r="U1367" s="1444"/>
      <c r="V1367" s="1488"/>
      <c r="W1367" s="1488"/>
      <c r="X1367" s="1488"/>
      <c r="Y1367" s="1488"/>
      <c r="Z1367" s="1488"/>
      <c r="AA1367" s="1488"/>
      <c r="AB1367" s="1488"/>
      <c r="AC1367" s="1488"/>
      <c r="AD1367" s="1488"/>
      <c r="AE1367" s="1488"/>
      <c r="AF1367" s="1488"/>
      <c r="AG1367" s="1488"/>
      <c r="AH1367" s="1451">
        <f t="shared" si="713"/>
        <v>0</v>
      </c>
      <c r="AI1367" s="1488"/>
      <c r="AJ1367" s="1488"/>
      <c r="AK1367" s="1488"/>
      <c r="AL1367" s="1488"/>
      <c r="AM1367" s="1488"/>
      <c r="AN1367" s="1488"/>
      <c r="AO1367" s="1488"/>
      <c r="AP1367" s="1488"/>
      <c r="AQ1367" s="1488"/>
      <c r="AR1367" s="1488"/>
      <c r="AS1367" s="1488"/>
      <c r="AT1367" s="1542"/>
      <c r="AU1367" s="1599">
        <f t="shared" si="714"/>
        <v>0</v>
      </c>
      <c r="AV1367" s="1544">
        <f t="shared" si="742"/>
        <v>0</v>
      </c>
      <c r="AW1367" s="1452">
        <f t="shared" si="715"/>
        <v>0</v>
      </c>
      <c r="AX1367" s="1452">
        <f t="shared" si="716"/>
        <v>0</v>
      </c>
      <c r="AY1367" s="1452">
        <f t="shared" si="717"/>
        <v>0</v>
      </c>
      <c r="AZ1367" s="1452">
        <f t="shared" si="718"/>
        <v>0</v>
      </c>
      <c r="BA1367" s="1452">
        <f t="shared" si="719"/>
        <v>0</v>
      </c>
      <c r="BB1367" s="1452">
        <f t="shared" si="720"/>
        <v>0</v>
      </c>
      <c r="BC1367" s="1452">
        <f t="shared" si="721"/>
        <v>0</v>
      </c>
      <c r="BD1367" s="1452">
        <f t="shared" si="722"/>
        <v>0</v>
      </c>
      <c r="BE1367" s="1452">
        <f t="shared" si="723"/>
        <v>0</v>
      </c>
      <c r="BF1367" s="1452">
        <f t="shared" si="724"/>
        <v>0</v>
      </c>
      <c r="BG1367" s="1452">
        <f t="shared" si="725"/>
        <v>0</v>
      </c>
      <c r="BH1367" s="1452">
        <f t="shared" si="726"/>
        <v>0</v>
      </c>
      <c r="BI1367" s="1452">
        <f t="shared" si="743"/>
        <v>0</v>
      </c>
      <c r="BJ1367" s="1452" t="str">
        <f t="shared" si="727"/>
        <v/>
      </c>
      <c r="BK1367" s="1452" t="str">
        <f t="shared" si="728"/>
        <v/>
      </c>
      <c r="BL1367" s="1452" t="str">
        <f t="shared" si="729"/>
        <v/>
      </c>
      <c r="BM1367" s="1452" t="str">
        <f t="shared" si="730"/>
        <v/>
      </c>
      <c r="BN1367" s="1452" t="str">
        <f t="shared" ca="1" si="731"/>
        <v/>
      </c>
      <c r="BO1367" s="1452" t="str">
        <f t="shared" si="744"/>
        <v/>
      </c>
      <c r="BP1367" s="1452" t="str">
        <f t="shared" si="732"/>
        <v/>
      </c>
      <c r="BQ1367" s="1452" t="str">
        <f t="shared" si="733"/>
        <v/>
      </c>
      <c r="BR1367" s="1452" t="str">
        <f t="shared" si="734"/>
        <v/>
      </c>
      <c r="BS1367" s="1452" t="str">
        <f t="shared" si="735"/>
        <v/>
      </c>
      <c r="BT1367" s="1452" t="str">
        <f t="shared" si="736"/>
        <v/>
      </c>
      <c r="BU1367" s="1452" t="str">
        <f t="shared" si="737"/>
        <v/>
      </c>
      <c r="BV1367" s="1452" t="str">
        <f t="shared" si="738"/>
        <v/>
      </c>
      <c r="BW1367" s="1558">
        <f t="shared" ca="1" si="745"/>
        <v>0</v>
      </c>
    </row>
    <row r="1368" spans="1:75" s="9" customFormat="1" ht="12.5">
      <c r="A1368" s="1483" t="str">
        <f t="shared" si="739"/>
        <v>Public Health Wales Trust</v>
      </c>
      <c r="B1368" s="1583"/>
      <c r="C1368" s="1583"/>
      <c r="D1368" s="1583"/>
      <c r="E1368" s="1581"/>
      <c r="F1368" s="1436"/>
      <c r="G1368" s="1547">
        <f t="shared" si="740"/>
        <v>0</v>
      </c>
      <c r="H1368" s="1484"/>
      <c r="I1368" s="1547">
        <f t="shared" si="741"/>
        <v>0</v>
      </c>
      <c r="J1368" s="1485"/>
      <c r="K1368" s="1485"/>
      <c r="L1368" s="1436"/>
      <c r="M1368" s="1439"/>
      <c r="N1368" s="1439"/>
      <c r="O1368" s="1485"/>
      <c r="P1368" s="1486"/>
      <c r="Q1368" s="1486"/>
      <c r="R1368" s="1487"/>
      <c r="S1368" s="1444"/>
      <c r="T1368" s="1444"/>
      <c r="U1368" s="1444"/>
      <c r="V1368" s="1488"/>
      <c r="W1368" s="1488"/>
      <c r="X1368" s="1488"/>
      <c r="Y1368" s="1488"/>
      <c r="Z1368" s="1488"/>
      <c r="AA1368" s="1488"/>
      <c r="AB1368" s="1488"/>
      <c r="AC1368" s="1488"/>
      <c r="AD1368" s="1488"/>
      <c r="AE1368" s="1488"/>
      <c r="AF1368" s="1488"/>
      <c r="AG1368" s="1488"/>
      <c r="AH1368" s="1451">
        <f t="shared" si="713"/>
        <v>0</v>
      </c>
      <c r="AI1368" s="1488"/>
      <c r="AJ1368" s="1488"/>
      <c r="AK1368" s="1488"/>
      <c r="AL1368" s="1488"/>
      <c r="AM1368" s="1488"/>
      <c r="AN1368" s="1488"/>
      <c r="AO1368" s="1488"/>
      <c r="AP1368" s="1488"/>
      <c r="AQ1368" s="1488"/>
      <c r="AR1368" s="1488"/>
      <c r="AS1368" s="1488"/>
      <c r="AT1368" s="1542"/>
      <c r="AU1368" s="1599">
        <f t="shared" si="714"/>
        <v>0</v>
      </c>
      <c r="AV1368" s="1544">
        <f t="shared" si="742"/>
        <v>0</v>
      </c>
      <c r="AW1368" s="1452">
        <f t="shared" si="715"/>
        <v>0</v>
      </c>
      <c r="AX1368" s="1452">
        <f t="shared" si="716"/>
        <v>0</v>
      </c>
      <c r="AY1368" s="1452">
        <f t="shared" si="717"/>
        <v>0</v>
      </c>
      <c r="AZ1368" s="1452">
        <f t="shared" si="718"/>
        <v>0</v>
      </c>
      <c r="BA1368" s="1452">
        <f t="shared" si="719"/>
        <v>0</v>
      </c>
      <c r="BB1368" s="1452">
        <f t="shared" si="720"/>
        <v>0</v>
      </c>
      <c r="BC1368" s="1452">
        <f t="shared" si="721"/>
        <v>0</v>
      </c>
      <c r="BD1368" s="1452">
        <f t="shared" si="722"/>
        <v>0</v>
      </c>
      <c r="BE1368" s="1452">
        <f t="shared" si="723"/>
        <v>0</v>
      </c>
      <c r="BF1368" s="1452">
        <f t="shared" si="724"/>
        <v>0</v>
      </c>
      <c r="BG1368" s="1452">
        <f t="shared" si="725"/>
        <v>0</v>
      </c>
      <c r="BH1368" s="1452">
        <f t="shared" si="726"/>
        <v>0</v>
      </c>
      <c r="BI1368" s="1452">
        <f t="shared" si="743"/>
        <v>0</v>
      </c>
      <c r="BJ1368" s="1452" t="str">
        <f t="shared" si="727"/>
        <v/>
      </c>
      <c r="BK1368" s="1452" t="str">
        <f t="shared" si="728"/>
        <v/>
      </c>
      <c r="BL1368" s="1452" t="str">
        <f t="shared" si="729"/>
        <v/>
      </c>
      <c r="BM1368" s="1452" t="str">
        <f t="shared" si="730"/>
        <v/>
      </c>
      <c r="BN1368" s="1452" t="str">
        <f t="shared" ca="1" si="731"/>
        <v/>
      </c>
      <c r="BO1368" s="1452" t="str">
        <f t="shared" si="744"/>
        <v/>
      </c>
      <c r="BP1368" s="1452" t="str">
        <f t="shared" si="732"/>
        <v/>
      </c>
      <c r="BQ1368" s="1452" t="str">
        <f t="shared" si="733"/>
        <v/>
      </c>
      <c r="BR1368" s="1452" t="str">
        <f t="shared" si="734"/>
        <v/>
      </c>
      <c r="BS1368" s="1452" t="str">
        <f t="shared" si="735"/>
        <v/>
      </c>
      <c r="BT1368" s="1452" t="str">
        <f t="shared" si="736"/>
        <v/>
      </c>
      <c r="BU1368" s="1452" t="str">
        <f t="shared" si="737"/>
        <v/>
      </c>
      <c r="BV1368" s="1452" t="str">
        <f t="shared" si="738"/>
        <v/>
      </c>
      <c r="BW1368" s="1558">
        <f t="shared" ca="1" si="745"/>
        <v>0</v>
      </c>
    </row>
    <row r="1369" spans="1:75" s="9" customFormat="1" ht="12.5">
      <c r="A1369" s="1483" t="str">
        <f t="shared" si="739"/>
        <v>Public Health Wales Trust</v>
      </c>
      <c r="B1369" s="1583"/>
      <c r="C1369" s="1583"/>
      <c r="D1369" s="1583"/>
      <c r="E1369" s="1581"/>
      <c r="F1369" s="1436"/>
      <c r="G1369" s="1547">
        <f t="shared" si="740"/>
        <v>0</v>
      </c>
      <c r="H1369" s="1484"/>
      <c r="I1369" s="1547">
        <f t="shared" si="741"/>
        <v>0</v>
      </c>
      <c r="J1369" s="1485"/>
      <c r="K1369" s="1485"/>
      <c r="L1369" s="1436"/>
      <c r="M1369" s="1439"/>
      <c r="N1369" s="1439"/>
      <c r="O1369" s="1485"/>
      <c r="P1369" s="1486"/>
      <c r="Q1369" s="1486"/>
      <c r="R1369" s="1487"/>
      <c r="S1369" s="1444"/>
      <c r="T1369" s="1444"/>
      <c r="U1369" s="1444"/>
      <c r="V1369" s="1488"/>
      <c r="W1369" s="1488"/>
      <c r="X1369" s="1488"/>
      <c r="Y1369" s="1488"/>
      <c r="Z1369" s="1488"/>
      <c r="AA1369" s="1488"/>
      <c r="AB1369" s="1488"/>
      <c r="AC1369" s="1488"/>
      <c r="AD1369" s="1488"/>
      <c r="AE1369" s="1488"/>
      <c r="AF1369" s="1488"/>
      <c r="AG1369" s="1488"/>
      <c r="AH1369" s="1451">
        <f t="shared" si="713"/>
        <v>0</v>
      </c>
      <c r="AI1369" s="1488"/>
      <c r="AJ1369" s="1488"/>
      <c r="AK1369" s="1488"/>
      <c r="AL1369" s="1488"/>
      <c r="AM1369" s="1488"/>
      <c r="AN1369" s="1488"/>
      <c r="AO1369" s="1488"/>
      <c r="AP1369" s="1488"/>
      <c r="AQ1369" s="1488"/>
      <c r="AR1369" s="1488"/>
      <c r="AS1369" s="1488"/>
      <c r="AT1369" s="1542"/>
      <c r="AU1369" s="1599">
        <f t="shared" si="714"/>
        <v>0</v>
      </c>
      <c r="AV1369" s="1544">
        <f t="shared" si="742"/>
        <v>0</v>
      </c>
      <c r="AW1369" s="1452">
        <f t="shared" si="715"/>
        <v>0</v>
      </c>
      <c r="AX1369" s="1452">
        <f t="shared" si="716"/>
        <v>0</v>
      </c>
      <c r="AY1369" s="1452">
        <f t="shared" si="717"/>
        <v>0</v>
      </c>
      <c r="AZ1369" s="1452">
        <f t="shared" si="718"/>
        <v>0</v>
      </c>
      <c r="BA1369" s="1452">
        <f t="shared" si="719"/>
        <v>0</v>
      </c>
      <c r="BB1369" s="1452">
        <f t="shared" si="720"/>
        <v>0</v>
      </c>
      <c r="BC1369" s="1452">
        <f t="shared" si="721"/>
        <v>0</v>
      </c>
      <c r="BD1369" s="1452">
        <f t="shared" si="722"/>
        <v>0</v>
      </c>
      <c r="BE1369" s="1452">
        <f t="shared" si="723"/>
        <v>0</v>
      </c>
      <c r="BF1369" s="1452">
        <f t="shared" si="724"/>
        <v>0</v>
      </c>
      <c r="BG1369" s="1452">
        <f t="shared" si="725"/>
        <v>0</v>
      </c>
      <c r="BH1369" s="1452">
        <f t="shared" si="726"/>
        <v>0</v>
      </c>
      <c r="BI1369" s="1452">
        <f t="shared" si="743"/>
        <v>0</v>
      </c>
      <c r="BJ1369" s="1452" t="str">
        <f t="shared" si="727"/>
        <v/>
      </c>
      <c r="BK1369" s="1452" t="str">
        <f t="shared" si="728"/>
        <v/>
      </c>
      <c r="BL1369" s="1452" t="str">
        <f t="shared" si="729"/>
        <v/>
      </c>
      <c r="BM1369" s="1452" t="str">
        <f t="shared" si="730"/>
        <v/>
      </c>
      <c r="BN1369" s="1452" t="str">
        <f t="shared" ca="1" si="731"/>
        <v/>
      </c>
      <c r="BO1369" s="1452" t="str">
        <f t="shared" si="744"/>
        <v/>
      </c>
      <c r="BP1369" s="1452" t="str">
        <f t="shared" si="732"/>
        <v/>
      </c>
      <c r="BQ1369" s="1452" t="str">
        <f t="shared" si="733"/>
        <v/>
      </c>
      <c r="BR1369" s="1452" t="str">
        <f t="shared" si="734"/>
        <v/>
      </c>
      <c r="BS1369" s="1452" t="str">
        <f t="shared" si="735"/>
        <v/>
      </c>
      <c r="BT1369" s="1452" t="str">
        <f t="shared" si="736"/>
        <v/>
      </c>
      <c r="BU1369" s="1452" t="str">
        <f t="shared" si="737"/>
        <v/>
      </c>
      <c r="BV1369" s="1452" t="str">
        <f t="shared" si="738"/>
        <v/>
      </c>
      <c r="BW1369" s="1558">
        <f t="shared" ca="1" si="745"/>
        <v>0</v>
      </c>
    </row>
    <row r="1370" spans="1:75" s="9" customFormat="1" ht="12.5">
      <c r="A1370" s="1483" t="str">
        <f t="shared" si="739"/>
        <v>Public Health Wales Trust</v>
      </c>
      <c r="B1370" s="1583"/>
      <c r="C1370" s="1583"/>
      <c r="D1370" s="1583"/>
      <c r="E1370" s="1581"/>
      <c r="F1370" s="1436"/>
      <c r="G1370" s="1547">
        <f t="shared" si="740"/>
        <v>0</v>
      </c>
      <c r="H1370" s="1484"/>
      <c r="I1370" s="1547">
        <f t="shared" si="741"/>
        <v>0</v>
      </c>
      <c r="J1370" s="1485"/>
      <c r="K1370" s="1485"/>
      <c r="L1370" s="1436"/>
      <c r="M1370" s="1439"/>
      <c r="N1370" s="1439"/>
      <c r="O1370" s="1485"/>
      <c r="P1370" s="1486"/>
      <c r="Q1370" s="1486"/>
      <c r="R1370" s="1487"/>
      <c r="S1370" s="1444"/>
      <c r="T1370" s="1444"/>
      <c r="U1370" s="1444"/>
      <c r="V1370" s="1488"/>
      <c r="W1370" s="1488"/>
      <c r="X1370" s="1488"/>
      <c r="Y1370" s="1488"/>
      <c r="Z1370" s="1488"/>
      <c r="AA1370" s="1488"/>
      <c r="AB1370" s="1488"/>
      <c r="AC1370" s="1488"/>
      <c r="AD1370" s="1488"/>
      <c r="AE1370" s="1488"/>
      <c r="AF1370" s="1488"/>
      <c r="AG1370" s="1488"/>
      <c r="AH1370" s="1451">
        <f t="shared" si="713"/>
        <v>0</v>
      </c>
      <c r="AI1370" s="1488"/>
      <c r="AJ1370" s="1488"/>
      <c r="AK1370" s="1488"/>
      <c r="AL1370" s="1488"/>
      <c r="AM1370" s="1488"/>
      <c r="AN1370" s="1488"/>
      <c r="AO1370" s="1488"/>
      <c r="AP1370" s="1488"/>
      <c r="AQ1370" s="1488"/>
      <c r="AR1370" s="1488"/>
      <c r="AS1370" s="1488"/>
      <c r="AT1370" s="1542"/>
      <c r="AU1370" s="1599">
        <f t="shared" si="714"/>
        <v>0</v>
      </c>
      <c r="AV1370" s="1544">
        <f t="shared" si="742"/>
        <v>0</v>
      </c>
      <c r="AW1370" s="1452">
        <f t="shared" si="715"/>
        <v>0</v>
      </c>
      <c r="AX1370" s="1452">
        <f t="shared" si="716"/>
        <v>0</v>
      </c>
      <c r="AY1370" s="1452">
        <f t="shared" si="717"/>
        <v>0</v>
      </c>
      <c r="AZ1370" s="1452">
        <f t="shared" si="718"/>
        <v>0</v>
      </c>
      <c r="BA1370" s="1452">
        <f t="shared" si="719"/>
        <v>0</v>
      </c>
      <c r="BB1370" s="1452">
        <f t="shared" si="720"/>
        <v>0</v>
      </c>
      <c r="BC1370" s="1452">
        <f t="shared" si="721"/>
        <v>0</v>
      </c>
      <c r="BD1370" s="1452">
        <f t="shared" si="722"/>
        <v>0</v>
      </c>
      <c r="BE1370" s="1452">
        <f t="shared" si="723"/>
        <v>0</v>
      </c>
      <c r="BF1370" s="1452">
        <f t="shared" si="724"/>
        <v>0</v>
      </c>
      <c r="BG1370" s="1452">
        <f t="shared" si="725"/>
        <v>0</v>
      </c>
      <c r="BH1370" s="1452">
        <f t="shared" si="726"/>
        <v>0</v>
      </c>
      <c r="BI1370" s="1452">
        <f t="shared" si="743"/>
        <v>0</v>
      </c>
      <c r="BJ1370" s="1452" t="str">
        <f t="shared" si="727"/>
        <v/>
      </c>
      <c r="BK1370" s="1452" t="str">
        <f t="shared" si="728"/>
        <v/>
      </c>
      <c r="BL1370" s="1452" t="str">
        <f t="shared" si="729"/>
        <v/>
      </c>
      <c r="BM1370" s="1452" t="str">
        <f t="shared" si="730"/>
        <v/>
      </c>
      <c r="BN1370" s="1452" t="str">
        <f t="shared" ca="1" si="731"/>
        <v/>
      </c>
      <c r="BO1370" s="1452" t="str">
        <f t="shared" si="744"/>
        <v/>
      </c>
      <c r="BP1370" s="1452" t="str">
        <f t="shared" si="732"/>
        <v/>
      </c>
      <c r="BQ1370" s="1452" t="str">
        <f t="shared" si="733"/>
        <v/>
      </c>
      <c r="BR1370" s="1452" t="str">
        <f t="shared" si="734"/>
        <v/>
      </c>
      <c r="BS1370" s="1452" t="str">
        <f t="shared" si="735"/>
        <v/>
      </c>
      <c r="BT1370" s="1452" t="str">
        <f t="shared" si="736"/>
        <v/>
      </c>
      <c r="BU1370" s="1452" t="str">
        <f t="shared" si="737"/>
        <v/>
      </c>
      <c r="BV1370" s="1452" t="str">
        <f t="shared" si="738"/>
        <v/>
      </c>
      <c r="BW1370" s="1558">
        <f t="shared" ca="1" si="745"/>
        <v>0</v>
      </c>
    </row>
    <row r="1371" spans="1:75" s="9" customFormat="1" ht="12.5">
      <c r="A1371" s="1483" t="str">
        <f t="shared" si="739"/>
        <v>Public Health Wales Trust</v>
      </c>
      <c r="B1371" s="1583"/>
      <c r="C1371" s="1583"/>
      <c r="D1371" s="1583"/>
      <c r="E1371" s="1581"/>
      <c r="F1371" s="1436"/>
      <c r="G1371" s="1547">
        <f t="shared" si="740"/>
        <v>0</v>
      </c>
      <c r="H1371" s="1484"/>
      <c r="I1371" s="1547">
        <f t="shared" si="741"/>
        <v>0</v>
      </c>
      <c r="J1371" s="1485"/>
      <c r="K1371" s="1485"/>
      <c r="L1371" s="1436"/>
      <c r="M1371" s="1439"/>
      <c r="N1371" s="1439"/>
      <c r="O1371" s="1485"/>
      <c r="P1371" s="1486"/>
      <c r="Q1371" s="1486"/>
      <c r="R1371" s="1487"/>
      <c r="S1371" s="1444"/>
      <c r="T1371" s="1444"/>
      <c r="U1371" s="1444"/>
      <c r="V1371" s="1488"/>
      <c r="W1371" s="1488"/>
      <c r="X1371" s="1488"/>
      <c r="Y1371" s="1488"/>
      <c r="Z1371" s="1488"/>
      <c r="AA1371" s="1488"/>
      <c r="AB1371" s="1488"/>
      <c r="AC1371" s="1488"/>
      <c r="AD1371" s="1488"/>
      <c r="AE1371" s="1488"/>
      <c r="AF1371" s="1488"/>
      <c r="AG1371" s="1488"/>
      <c r="AH1371" s="1451">
        <f t="shared" si="713"/>
        <v>0</v>
      </c>
      <c r="AI1371" s="1488"/>
      <c r="AJ1371" s="1488"/>
      <c r="AK1371" s="1488"/>
      <c r="AL1371" s="1488"/>
      <c r="AM1371" s="1488"/>
      <c r="AN1371" s="1488"/>
      <c r="AO1371" s="1488"/>
      <c r="AP1371" s="1488"/>
      <c r="AQ1371" s="1488"/>
      <c r="AR1371" s="1488"/>
      <c r="AS1371" s="1488"/>
      <c r="AT1371" s="1542"/>
      <c r="AU1371" s="1599">
        <f t="shared" si="714"/>
        <v>0</v>
      </c>
      <c r="AV1371" s="1544">
        <f t="shared" si="742"/>
        <v>0</v>
      </c>
      <c r="AW1371" s="1452">
        <f t="shared" si="715"/>
        <v>0</v>
      </c>
      <c r="AX1371" s="1452">
        <f t="shared" si="716"/>
        <v>0</v>
      </c>
      <c r="AY1371" s="1452">
        <f t="shared" si="717"/>
        <v>0</v>
      </c>
      <c r="AZ1371" s="1452">
        <f t="shared" si="718"/>
        <v>0</v>
      </c>
      <c r="BA1371" s="1452">
        <f t="shared" si="719"/>
        <v>0</v>
      </c>
      <c r="BB1371" s="1452">
        <f t="shared" si="720"/>
        <v>0</v>
      </c>
      <c r="BC1371" s="1452">
        <f t="shared" si="721"/>
        <v>0</v>
      </c>
      <c r="BD1371" s="1452">
        <f t="shared" si="722"/>
        <v>0</v>
      </c>
      <c r="BE1371" s="1452">
        <f t="shared" si="723"/>
        <v>0</v>
      </c>
      <c r="BF1371" s="1452">
        <f t="shared" si="724"/>
        <v>0</v>
      </c>
      <c r="BG1371" s="1452">
        <f t="shared" si="725"/>
        <v>0</v>
      </c>
      <c r="BH1371" s="1452">
        <f t="shared" si="726"/>
        <v>0</v>
      </c>
      <c r="BI1371" s="1452">
        <f t="shared" si="743"/>
        <v>0</v>
      </c>
      <c r="BJ1371" s="1452" t="str">
        <f t="shared" si="727"/>
        <v/>
      </c>
      <c r="BK1371" s="1452" t="str">
        <f t="shared" si="728"/>
        <v/>
      </c>
      <c r="BL1371" s="1452" t="str">
        <f t="shared" si="729"/>
        <v/>
      </c>
      <c r="BM1371" s="1452" t="str">
        <f t="shared" si="730"/>
        <v/>
      </c>
      <c r="BN1371" s="1452" t="str">
        <f t="shared" ca="1" si="731"/>
        <v/>
      </c>
      <c r="BO1371" s="1452" t="str">
        <f t="shared" si="744"/>
        <v/>
      </c>
      <c r="BP1371" s="1452" t="str">
        <f t="shared" si="732"/>
        <v/>
      </c>
      <c r="BQ1371" s="1452" t="str">
        <f t="shared" si="733"/>
        <v/>
      </c>
      <c r="BR1371" s="1452" t="str">
        <f t="shared" si="734"/>
        <v/>
      </c>
      <c r="BS1371" s="1452" t="str">
        <f t="shared" si="735"/>
        <v/>
      </c>
      <c r="BT1371" s="1452" t="str">
        <f t="shared" si="736"/>
        <v/>
      </c>
      <c r="BU1371" s="1452" t="str">
        <f t="shared" si="737"/>
        <v/>
      </c>
      <c r="BV1371" s="1452" t="str">
        <f t="shared" si="738"/>
        <v/>
      </c>
      <c r="BW1371" s="1558">
        <f t="shared" ca="1" si="745"/>
        <v>0</v>
      </c>
    </row>
    <row r="1372" spans="1:75" s="9" customFormat="1" ht="13">
      <c r="A1372" s="1483" t="str">
        <f t="shared" si="739"/>
        <v>Public Health Wales Trust</v>
      </c>
      <c r="B1372" s="1583"/>
      <c r="C1372" s="1583"/>
      <c r="D1372" s="1583"/>
      <c r="E1372" s="1581"/>
      <c r="F1372" s="1436"/>
      <c r="G1372" s="1547">
        <f t="shared" si="740"/>
        <v>0</v>
      </c>
      <c r="H1372" s="1484"/>
      <c r="I1372" s="1547">
        <f t="shared" si="741"/>
        <v>0</v>
      </c>
      <c r="J1372" s="1485"/>
      <c r="K1372" s="1485"/>
      <c r="L1372" s="1436"/>
      <c r="M1372" s="1439"/>
      <c r="N1372" s="1439"/>
      <c r="O1372" s="1485"/>
      <c r="P1372" s="1486"/>
      <c r="Q1372" s="1486"/>
      <c r="R1372" s="1487"/>
      <c r="S1372" s="1444"/>
      <c r="T1372" s="1444"/>
      <c r="U1372" s="1444"/>
      <c r="V1372" s="1488"/>
      <c r="W1372" s="1488"/>
      <c r="X1372" s="1488"/>
      <c r="Y1372" s="1488"/>
      <c r="Z1372" s="1488"/>
      <c r="AA1372" s="1488"/>
      <c r="AB1372" s="1488"/>
      <c r="AC1372" s="1488"/>
      <c r="AD1372" s="1488"/>
      <c r="AE1372" s="1488"/>
      <c r="AF1372" s="1488"/>
      <c r="AG1372" s="1488"/>
      <c r="AH1372" s="1451">
        <f t="shared" si="713"/>
        <v>0</v>
      </c>
      <c r="AI1372" s="1519"/>
      <c r="AJ1372" s="1519"/>
      <c r="AK1372" s="1488"/>
      <c r="AL1372" s="1488"/>
      <c r="AM1372" s="1488"/>
      <c r="AN1372" s="1488"/>
      <c r="AO1372" s="1488"/>
      <c r="AP1372" s="1488"/>
      <c r="AQ1372" s="1488"/>
      <c r="AR1372" s="1488"/>
      <c r="AS1372" s="1488"/>
      <c r="AT1372" s="1542"/>
      <c r="AU1372" s="1599">
        <f t="shared" si="714"/>
        <v>0</v>
      </c>
      <c r="AV1372" s="1544">
        <f t="shared" si="742"/>
        <v>0</v>
      </c>
      <c r="AW1372" s="1452">
        <f t="shared" si="715"/>
        <v>0</v>
      </c>
      <c r="AX1372" s="1452">
        <f t="shared" si="716"/>
        <v>0</v>
      </c>
      <c r="AY1372" s="1452">
        <f t="shared" si="717"/>
        <v>0</v>
      </c>
      <c r="AZ1372" s="1452">
        <f t="shared" si="718"/>
        <v>0</v>
      </c>
      <c r="BA1372" s="1452">
        <f t="shared" si="719"/>
        <v>0</v>
      </c>
      <c r="BB1372" s="1452">
        <f t="shared" si="720"/>
        <v>0</v>
      </c>
      <c r="BC1372" s="1452">
        <f t="shared" si="721"/>
        <v>0</v>
      </c>
      <c r="BD1372" s="1452">
        <f t="shared" si="722"/>
        <v>0</v>
      </c>
      <c r="BE1372" s="1452">
        <f t="shared" si="723"/>
        <v>0</v>
      </c>
      <c r="BF1372" s="1452">
        <f t="shared" si="724"/>
        <v>0</v>
      </c>
      <c r="BG1372" s="1452">
        <f t="shared" si="725"/>
        <v>0</v>
      </c>
      <c r="BH1372" s="1452">
        <f t="shared" si="726"/>
        <v>0</v>
      </c>
      <c r="BI1372" s="1452">
        <f t="shared" si="743"/>
        <v>0</v>
      </c>
      <c r="BJ1372" s="1452" t="str">
        <f t="shared" si="727"/>
        <v/>
      </c>
      <c r="BK1372" s="1452" t="str">
        <f t="shared" si="728"/>
        <v/>
      </c>
      <c r="BL1372" s="1452" t="str">
        <f t="shared" si="729"/>
        <v/>
      </c>
      <c r="BM1372" s="1452" t="str">
        <f t="shared" si="730"/>
        <v/>
      </c>
      <c r="BN1372" s="1452" t="str">
        <f t="shared" ca="1" si="731"/>
        <v/>
      </c>
      <c r="BO1372" s="1452" t="str">
        <f t="shared" si="744"/>
        <v/>
      </c>
      <c r="BP1372" s="1452" t="str">
        <f t="shared" si="732"/>
        <v/>
      </c>
      <c r="BQ1372" s="1452" t="str">
        <f t="shared" si="733"/>
        <v/>
      </c>
      <c r="BR1372" s="1452" t="str">
        <f t="shared" si="734"/>
        <v/>
      </c>
      <c r="BS1372" s="1452" t="str">
        <f t="shared" si="735"/>
        <v/>
      </c>
      <c r="BT1372" s="1452" t="str">
        <f t="shared" si="736"/>
        <v/>
      </c>
      <c r="BU1372" s="1452" t="str">
        <f t="shared" si="737"/>
        <v/>
      </c>
      <c r="BV1372" s="1452" t="str">
        <f t="shared" si="738"/>
        <v/>
      </c>
      <c r="BW1372" s="1558">
        <f t="shared" ca="1" si="745"/>
        <v>0</v>
      </c>
    </row>
    <row r="1373" spans="1:75" s="9" customFormat="1" ht="13">
      <c r="A1373" s="1483" t="str">
        <f t="shared" si="739"/>
        <v>Public Health Wales Trust</v>
      </c>
      <c r="B1373" s="1583"/>
      <c r="C1373" s="1583"/>
      <c r="D1373" s="1583"/>
      <c r="E1373" s="1581"/>
      <c r="F1373" s="1436"/>
      <c r="G1373" s="1547">
        <f t="shared" si="740"/>
        <v>0</v>
      </c>
      <c r="H1373" s="1484"/>
      <c r="I1373" s="1547">
        <f t="shared" si="741"/>
        <v>0</v>
      </c>
      <c r="J1373" s="1485"/>
      <c r="K1373" s="1485"/>
      <c r="L1373" s="1436"/>
      <c r="M1373" s="1439"/>
      <c r="N1373" s="1439"/>
      <c r="O1373" s="1485"/>
      <c r="P1373" s="1486"/>
      <c r="Q1373" s="1486"/>
      <c r="R1373" s="1487"/>
      <c r="S1373" s="1444"/>
      <c r="T1373" s="1444"/>
      <c r="U1373" s="1444"/>
      <c r="V1373" s="1488"/>
      <c r="W1373" s="1488"/>
      <c r="X1373" s="1488"/>
      <c r="Y1373" s="1488"/>
      <c r="Z1373" s="1488"/>
      <c r="AA1373" s="1488"/>
      <c r="AB1373" s="1488"/>
      <c r="AC1373" s="1488"/>
      <c r="AD1373" s="1488"/>
      <c r="AE1373" s="1488"/>
      <c r="AF1373" s="1488"/>
      <c r="AG1373" s="1488"/>
      <c r="AH1373" s="1451">
        <f t="shared" si="713"/>
        <v>0</v>
      </c>
      <c r="AI1373" s="1519"/>
      <c r="AJ1373" s="1519"/>
      <c r="AK1373" s="1488"/>
      <c r="AL1373" s="1488"/>
      <c r="AM1373" s="1488"/>
      <c r="AN1373" s="1488"/>
      <c r="AO1373" s="1488"/>
      <c r="AP1373" s="1488"/>
      <c r="AQ1373" s="1488"/>
      <c r="AR1373" s="1488"/>
      <c r="AS1373" s="1488"/>
      <c r="AT1373" s="1542"/>
      <c r="AU1373" s="1599">
        <f t="shared" si="714"/>
        <v>0</v>
      </c>
      <c r="AV1373" s="1544">
        <f t="shared" si="742"/>
        <v>0</v>
      </c>
      <c r="AW1373" s="1452">
        <f t="shared" si="715"/>
        <v>0</v>
      </c>
      <c r="AX1373" s="1452">
        <f t="shared" si="716"/>
        <v>0</v>
      </c>
      <c r="AY1373" s="1452">
        <f t="shared" si="717"/>
        <v>0</v>
      </c>
      <c r="AZ1373" s="1452">
        <f t="shared" si="718"/>
        <v>0</v>
      </c>
      <c r="BA1373" s="1452">
        <f t="shared" si="719"/>
        <v>0</v>
      </c>
      <c r="BB1373" s="1452">
        <f t="shared" si="720"/>
        <v>0</v>
      </c>
      <c r="BC1373" s="1452">
        <f t="shared" si="721"/>
        <v>0</v>
      </c>
      <c r="BD1373" s="1452">
        <f t="shared" si="722"/>
        <v>0</v>
      </c>
      <c r="BE1373" s="1452">
        <f t="shared" si="723"/>
        <v>0</v>
      </c>
      <c r="BF1373" s="1452">
        <f t="shared" si="724"/>
        <v>0</v>
      </c>
      <c r="BG1373" s="1452">
        <f t="shared" si="725"/>
        <v>0</v>
      </c>
      <c r="BH1373" s="1452">
        <f t="shared" si="726"/>
        <v>0</v>
      </c>
      <c r="BI1373" s="1452">
        <f t="shared" si="743"/>
        <v>0</v>
      </c>
      <c r="BJ1373" s="1452" t="str">
        <f t="shared" si="727"/>
        <v/>
      </c>
      <c r="BK1373" s="1452" t="str">
        <f t="shared" si="728"/>
        <v/>
      </c>
      <c r="BL1373" s="1452" t="str">
        <f t="shared" si="729"/>
        <v/>
      </c>
      <c r="BM1373" s="1452" t="str">
        <f t="shared" si="730"/>
        <v/>
      </c>
      <c r="BN1373" s="1452" t="str">
        <f t="shared" ca="1" si="731"/>
        <v/>
      </c>
      <c r="BO1373" s="1452" t="str">
        <f t="shared" si="744"/>
        <v/>
      </c>
      <c r="BP1373" s="1452" t="str">
        <f t="shared" si="732"/>
        <v/>
      </c>
      <c r="BQ1373" s="1452" t="str">
        <f t="shared" si="733"/>
        <v/>
      </c>
      <c r="BR1373" s="1452" t="str">
        <f t="shared" si="734"/>
        <v/>
      </c>
      <c r="BS1373" s="1452" t="str">
        <f t="shared" si="735"/>
        <v/>
      </c>
      <c r="BT1373" s="1452" t="str">
        <f t="shared" si="736"/>
        <v/>
      </c>
      <c r="BU1373" s="1452" t="str">
        <f t="shared" si="737"/>
        <v/>
      </c>
      <c r="BV1373" s="1452" t="str">
        <f t="shared" si="738"/>
        <v/>
      </c>
      <c r="BW1373" s="1558">
        <f t="shared" ca="1" si="745"/>
        <v>0</v>
      </c>
    </row>
    <row r="1374" spans="1:75" s="9" customFormat="1" ht="13">
      <c r="A1374" s="1483" t="str">
        <f t="shared" si="739"/>
        <v>Public Health Wales Trust</v>
      </c>
      <c r="B1374" s="1583"/>
      <c r="C1374" s="1583"/>
      <c r="D1374" s="1583"/>
      <c r="E1374" s="1581"/>
      <c r="F1374" s="1436"/>
      <c r="G1374" s="1547">
        <f t="shared" si="740"/>
        <v>0</v>
      </c>
      <c r="H1374" s="1484"/>
      <c r="I1374" s="1547">
        <f t="shared" si="741"/>
        <v>0</v>
      </c>
      <c r="J1374" s="1485"/>
      <c r="K1374" s="1485"/>
      <c r="L1374" s="1436"/>
      <c r="M1374" s="1439"/>
      <c r="N1374" s="1439"/>
      <c r="O1374" s="1485"/>
      <c r="P1374" s="1486"/>
      <c r="Q1374" s="1486"/>
      <c r="R1374" s="1487"/>
      <c r="S1374" s="1444"/>
      <c r="T1374" s="1444"/>
      <c r="U1374" s="1444"/>
      <c r="V1374" s="1488"/>
      <c r="W1374" s="1488"/>
      <c r="X1374" s="1488"/>
      <c r="Y1374" s="1488"/>
      <c r="Z1374" s="1488"/>
      <c r="AA1374" s="1488"/>
      <c r="AB1374" s="1488"/>
      <c r="AC1374" s="1488"/>
      <c r="AD1374" s="1488"/>
      <c r="AE1374" s="1488"/>
      <c r="AF1374" s="1488"/>
      <c r="AG1374" s="1488"/>
      <c r="AH1374" s="1451">
        <f t="shared" si="713"/>
        <v>0</v>
      </c>
      <c r="AI1374" s="1519"/>
      <c r="AJ1374" s="1519"/>
      <c r="AK1374" s="1488"/>
      <c r="AL1374" s="1488"/>
      <c r="AM1374" s="1488"/>
      <c r="AN1374" s="1488"/>
      <c r="AO1374" s="1488"/>
      <c r="AP1374" s="1488"/>
      <c r="AQ1374" s="1488"/>
      <c r="AR1374" s="1488"/>
      <c r="AS1374" s="1488"/>
      <c r="AT1374" s="1542"/>
      <c r="AU1374" s="1599">
        <f t="shared" si="714"/>
        <v>0</v>
      </c>
      <c r="AV1374" s="1544">
        <f t="shared" si="742"/>
        <v>0</v>
      </c>
      <c r="AW1374" s="1452">
        <f t="shared" si="715"/>
        <v>0</v>
      </c>
      <c r="AX1374" s="1452">
        <f t="shared" si="716"/>
        <v>0</v>
      </c>
      <c r="AY1374" s="1452">
        <f t="shared" si="717"/>
        <v>0</v>
      </c>
      <c r="AZ1374" s="1452">
        <f t="shared" si="718"/>
        <v>0</v>
      </c>
      <c r="BA1374" s="1452">
        <f t="shared" si="719"/>
        <v>0</v>
      </c>
      <c r="BB1374" s="1452">
        <f t="shared" si="720"/>
        <v>0</v>
      </c>
      <c r="BC1374" s="1452">
        <f t="shared" si="721"/>
        <v>0</v>
      </c>
      <c r="BD1374" s="1452">
        <f t="shared" si="722"/>
        <v>0</v>
      </c>
      <c r="BE1374" s="1452">
        <f t="shared" si="723"/>
        <v>0</v>
      </c>
      <c r="BF1374" s="1452">
        <f t="shared" si="724"/>
        <v>0</v>
      </c>
      <c r="BG1374" s="1452">
        <f t="shared" si="725"/>
        <v>0</v>
      </c>
      <c r="BH1374" s="1452">
        <f t="shared" si="726"/>
        <v>0</v>
      </c>
      <c r="BI1374" s="1452">
        <f t="shared" si="743"/>
        <v>0</v>
      </c>
      <c r="BJ1374" s="1452" t="str">
        <f t="shared" si="727"/>
        <v/>
      </c>
      <c r="BK1374" s="1452" t="str">
        <f t="shared" si="728"/>
        <v/>
      </c>
      <c r="BL1374" s="1452" t="str">
        <f t="shared" si="729"/>
        <v/>
      </c>
      <c r="BM1374" s="1452" t="str">
        <f t="shared" si="730"/>
        <v/>
      </c>
      <c r="BN1374" s="1452" t="str">
        <f t="shared" ca="1" si="731"/>
        <v/>
      </c>
      <c r="BO1374" s="1452" t="str">
        <f t="shared" si="744"/>
        <v/>
      </c>
      <c r="BP1374" s="1452" t="str">
        <f t="shared" si="732"/>
        <v/>
      </c>
      <c r="BQ1374" s="1452" t="str">
        <f t="shared" si="733"/>
        <v/>
      </c>
      <c r="BR1374" s="1452" t="str">
        <f t="shared" si="734"/>
        <v/>
      </c>
      <c r="BS1374" s="1452" t="str">
        <f t="shared" si="735"/>
        <v/>
      </c>
      <c r="BT1374" s="1452" t="str">
        <f t="shared" si="736"/>
        <v/>
      </c>
      <c r="BU1374" s="1452" t="str">
        <f t="shared" si="737"/>
        <v/>
      </c>
      <c r="BV1374" s="1452" t="str">
        <f t="shared" si="738"/>
        <v/>
      </c>
      <c r="BW1374" s="1558">
        <f t="shared" ca="1" si="745"/>
        <v>0</v>
      </c>
    </row>
    <row r="1375" spans="1:75" s="9" customFormat="1" ht="13">
      <c r="A1375" s="1483" t="str">
        <f t="shared" si="739"/>
        <v>Public Health Wales Trust</v>
      </c>
      <c r="B1375" s="1583"/>
      <c r="C1375" s="1583"/>
      <c r="D1375" s="1583"/>
      <c r="E1375" s="1581"/>
      <c r="F1375" s="1436"/>
      <c r="G1375" s="1547">
        <f t="shared" si="740"/>
        <v>0</v>
      </c>
      <c r="H1375" s="1484"/>
      <c r="I1375" s="1547">
        <f t="shared" si="741"/>
        <v>0</v>
      </c>
      <c r="J1375" s="1485"/>
      <c r="K1375" s="1485"/>
      <c r="L1375" s="1436"/>
      <c r="M1375" s="1439"/>
      <c r="N1375" s="1439"/>
      <c r="O1375" s="1485"/>
      <c r="P1375" s="1486"/>
      <c r="Q1375" s="1486"/>
      <c r="R1375" s="1487"/>
      <c r="S1375" s="1444"/>
      <c r="T1375" s="1444"/>
      <c r="U1375" s="1444"/>
      <c r="V1375" s="1488"/>
      <c r="W1375" s="1488"/>
      <c r="X1375" s="1488"/>
      <c r="Y1375" s="1488"/>
      <c r="Z1375" s="1488"/>
      <c r="AA1375" s="1488"/>
      <c r="AB1375" s="1488"/>
      <c r="AC1375" s="1488"/>
      <c r="AD1375" s="1488"/>
      <c r="AE1375" s="1488"/>
      <c r="AF1375" s="1488"/>
      <c r="AG1375" s="1488"/>
      <c r="AH1375" s="1451">
        <f t="shared" si="713"/>
        <v>0</v>
      </c>
      <c r="AI1375" s="1519"/>
      <c r="AJ1375" s="1519"/>
      <c r="AK1375" s="1488"/>
      <c r="AL1375" s="1488"/>
      <c r="AM1375" s="1488"/>
      <c r="AN1375" s="1488"/>
      <c r="AO1375" s="1488"/>
      <c r="AP1375" s="1488"/>
      <c r="AQ1375" s="1488"/>
      <c r="AR1375" s="1488"/>
      <c r="AS1375" s="1488"/>
      <c r="AT1375" s="1542"/>
      <c r="AU1375" s="1599">
        <f t="shared" si="714"/>
        <v>0</v>
      </c>
      <c r="AV1375" s="1544">
        <f t="shared" si="742"/>
        <v>0</v>
      </c>
      <c r="AW1375" s="1452">
        <f t="shared" si="715"/>
        <v>0</v>
      </c>
      <c r="AX1375" s="1452">
        <f t="shared" si="716"/>
        <v>0</v>
      </c>
      <c r="AY1375" s="1452">
        <f t="shared" si="717"/>
        <v>0</v>
      </c>
      <c r="AZ1375" s="1452">
        <f t="shared" si="718"/>
        <v>0</v>
      </c>
      <c r="BA1375" s="1452">
        <f t="shared" si="719"/>
        <v>0</v>
      </c>
      <c r="BB1375" s="1452">
        <f t="shared" si="720"/>
        <v>0</v>
      </c>
      <c r="BC1375" s="1452">
        <f t="shared" si="721"/>
        <v>0</v>
      </c>
      <c r="BD1375" s="1452">
        <f t="shared" si="722"/>
        <v>0</v>
      </c>
      <c r="BE1375" s="1452">
        <f t="shared" si="723"/>
        <v>0</v>
      </c>
      <c r="BF1375" s="1452">
        <f t="shared" si="724"/>
        <v>0</v>
      </c>
      <c r="BG1375" s="1452">
        <f t="shared" si="725"/>
        <v>0</v>
      </c>
      <c r="BH1375" s="1452">
        <f t="shared" si="726"/>
        <v>0</v>
      </c>
      <c r="BI1375" s="1452">
        <f t="shared" si="743"/>
        <v>0</v>
      </c>
      <c r="BJ1375" s="1452" t="str">
        <f t="shared" si="727"/>
        <v/>
      </c>
      <c r="BK1375" s="1452" t="str">
        <f t="shared" si="728"/>
        <v/>
      </c>
      <c r="BL1375" s="1452" t="str">
        <f t="shared" si="729"/>
        <v/>
      </c>
      <c r="BM1375" s="1452" t="str">
        <f t="shared" si="730"/>
        <v/>
      </c>
      <c r="BN1375" s="1452" t="str">
        <f t="shared" ca="1" si="731"/>
        <v/>
      </c>
      <c r="BO1375" s="1452" t="str">
        <f t="shared" si="744"/>
        <v/>
      </c>
      <c r="BP1375" s="1452" t="str">
        <f t="shared" si="732"/>
        <v/>
      </c>
      <c r="BQ1375" s="1452" t="str">
        <f t="shared" si="733"/>
        <v/>
      </c>
      <c r="BR1375" s="1452" t="str">
        <f t="shared" si="734"/>
        <v/>
      </c>
      <c r="BS1375" s="1452" t="str">
        <f t="shared" si="735"/>
        <v/>
      </c>
      <c r="BT1375" s="1452" t="str">
        <f t="shared" si="736"/>
        <v/>
      </c>
      <c r="BU1375" s="1452" t="str">
        <f t="shared" si="737"/>
        <v/>
      </c>
      <c r="BV1375" s="1452" t="str">
        <f t="shared" si="738"/>
        <v/>
      </c>
      <c r="BW1375" s="1558">
        <f t="shared" ca="1" si="745"/>
        <v>0</v>
      </c>
    </row>
    <row r="1376" spans="1:75" s="9" customFormat="1" ht="13">
      <c r="A1376" s="1483" t="str">
        <f t="shared" si="739"/>
        <v>Public Health Wales Trust</v>
      </c>
      <c r="B1376" s="1583"/>
      <c r="C1376" s="1583"/>
      <c r="D1376" s="1583"/>
      <c r="E1376" s="1581"/>
      <c r="F1376" s="1436"/>
      <c r="G1376" s="1547">
        <f t="shared" si="740"/>
        <v>0</v>
      </c>
      <c r="H1376" s="1484"/>
      <c r="I1376" s="1547">
        <f t="shared" si="741"/>
        <v>0</v>
      </c>
      <c r="J1376" s="1485"/>
      <c r="K1376" s="1485"/>
      <c r="L1376" s="1436"/>
      <c r="M1376" s="1439"/>
      <c r="N1376" s="1439"/>
      <c r="O1376" s="1485"/>
      <c r="P1376" s="1486"/>
      <c r="Q1376" s="1486"/>
      <c r="R1376" s="1487"/>
      <c r="S1376" s="1444"/>
      <c r="T1376" s="1444"/>
      <c r="U1376" s="1444"/>
      <c r="V1376" s="1488"/>
      <c r="W1376" s="1488"/>
      <c r="X1376" s="1488"/>
      <c r="Y1376" s="1488"/>
      <c r="Z1376" s="1488"/>
      <c r="AA1376" s="1488"/>
      <c r="AB1376" s="1488"/>
      <c r="AC1376" s="1488"/>
      <c r="AD1376" s="1488"/>
      <c r="AE1376" s="1488"/>
      <c r="AF1376" s="1488"/>
      <c r="AG1376" s="1488"/>
      <c r="AH1376" s="1451">
        <f t="shared" si="713"/>
        <v>0</v>
      </c>
      <c r="AI1376" s="1519"/>
      <c r="AJ1376" s="1519"/>
      <c r="AK1376" s="1488"/>
      <c r="AL1376" s="1488"/>
      <c r="AM1376" s="1488"/>
      <c r="AN1376" s="1488"/>
      <c r="AO1376" s="1488"/>
      <c r="AP1376" s="1488"/>
      <c r="AQ1376" s="1488"/>
      <c r="AR1376" s="1488"/>
      <c r="AS1376" s="1488"/>
      <c r="AT1376" s="1542"/>
      <c r="AU1376" s="1599">
        <f t="shared" si="714"/>
        <v>0</v>
      </c>
      <c r="AV1376" s="1544">
        <f t="shared" si="742"/>
        <v>0</v>
      </c>
      <c r="AW1376" s="1452">
        <f t="shared" si="715"/>
        <v>0</v>
      </c>
      <c r="AX1376" s="1452">
        <f t="shared" si="716"/>
        <v>0</v>
      </c>
      <c r="AY1376" s="1452">
        <f t="shared" si="717"/>
        <v>0</v>
      </c>
      <c r="AZ1376" s="1452">
        <f t="shared" si="718"/>
        <v>0</v>
      </c>
      <c r="BA1376" s="1452">
        <f t="shared" si="719"/>
        <v>0</v>
      </c>
      <c r="BB1376" s="1452">
        <f t="shared" si="720"/>
        <v>0</v>
      </c>
      <c r="BC1376" s="1452">
        <f t="shared" si="721"/>
        <v>0</v>
      </c>
      <c r="BD1376" s="1452">
        <f t="shared" si="722"/>
        <v>0</v>
      </c>
      <c r="BE1376" s="1452">
        <f t="shared" si="723"/>
        <v>0</v>
      </c>
      <c r="BF1376" s="1452">
        <f t="shared" si="724"/>
        <v>0</v>
      </c>
      <c r="BG1376" s="1452">
        <f t="shared" si="725"/>
        <v>0</v>
      </c>
      <c r="BH1376" s="1452">
        <f t="shared" si="726"/>
        <v>0</v>
      </c>
      <c r="BI1376" s="1452">
        <f t="shared" si="743"/>
        <v>0</v>
      </c>
      <c r="BJ1376" s="1452" t="str">
        <f t="shared" si="727"/>
        <v/>
      </c>
      <c r="BK1376" s="1452" t="str">
        <f t="shared" si="728"/>
        <v/>
      </c>
      <c r="BL1376" s="1452" t="str">
        <f t="shared" si="729"/>
        <v/>
      </c>
      <c r="BM1376" s="1452" t="str">
        <f t="shared" si="730"/>
        <v/>
      </c>
      <c r="BN1376" s="1452" t="str">
        <f t="shared" ca="1" si="731"/>
        <v/>
      </c>
      <c r="BO1376" s="1452" t="str">
        <f t="shared" si="744"/>
        <v/>
      </c>
      <c r="BP1376" s="1452" t="str">
        <f t="shared" si="732"/>
        <v/>
      </c>
      <c r="BQ1376" s="1452" t="str">
        <f t="shared" si="733"/>
        <v/>
      </c>
      <c r="BR1376" s="1452" t="str">
        <f t="shared" si="734"/>
        <v/>
      </c>
      <c r="BS1376" s="1452" t="str">
        <f t="shared" si="735"/>
        <v/>
      </c>
      <c r="BT1376" s="1452" t="str">
        <f t="shared" si="736"/>
        <v/>
      </c>
      <c r="BU1376" s="1452" t="str">
        <f t="shared" si="737"/>
        <v/>
      </c>
      <c r="BV1376" s="1452" t="str">
        <f t="shared" si="738"/>
        <v/>
      </c>
      <c r="BW1376" s="1558">
        <f t="shared" ca="1" si="745"/>
        <v>0</v>
      </c>
    </row>
    <row r="1377" spans="1:103" s="9" customFormat="1" ht="13">
      <c r="A1377" s="1483" t="str">
        <f t="shared" si="739"/>
        <v>Public Health Wales Trust</v>
      </c>
      <c r="B1377" s="1583"/>
      <c r="C1377" s="1583"/>
      <c r="D1377" s="1583"/>
      <c r="E1377" s="1581"/>
      <c r="F1377" s="1436"/>
      <c r="G1377" s="1547">
        <f t="shared" si="740"/>
        <v>0</v>
      </c>
      <c r="H1377" s="1484"/>
      <c r="I1377" s="1547">
        <f t="shared" si="741"/>
        <v>0</v>
      </c>
      <c r="J1377" s="1485"/>
      <c r="K1377" s="1485"/>
      <c r="L1377" s="1436"/>
      <c r="M1377" s="1439"/>
      <c r="N1377" s="1439"/>
      <c r="O1377" s="1485"/>
      <c r="P1377" s="1486"/>
      <c r="Q1377" s="1486"/>
      <c r="R1377" s="1487"/>
      <c r="S1377" s="1444"/>
      <c r="T1377" s="1444"/>
      <c r="U1377" s="1444"/>
      <c r="V1377" s="1488"/>
      <c r="W1377" s="1488"/>
      <c r="X1377" s="1488"/>
      <c r="Y1377" s="1488"/>
      <c r="Z1377" s="1488"/>
      <c r="AA1377" s="1488"/>
      <c r="AB1377" s="1488"/>
      <c r="AC1377" s="1488"/>
      <c r="AD1377" s="1488"/>
      <c r="AE1377" s="1488"/>
      <c r="AF1377" s="1488"/>
      <c r="AG1377" s="1488"/>
      <c r="AH1377" s="1451">
        <f t="shared" si="713"/>
        <v>0</v>
      </c>
      <c r="AI1377" s="1519"/>
      <c r="AJ1377" s="1519"/>
      <c r="AK1377" s="1488"/>
      <c r="AL1377" s="1488"/>
      <c r="AM1377" s="1488"/>
      <c r="AN1377" s="1488"/>
      <c r="AO1377" s="1488"/>
      <c r="AP1377" s="1488"/>
      <c r="AQ1377" s="1488"/>
      <c r="AR1377" s="1488"/>
      <c r="AS1377" s="1488"/>
      <c r="AT1377" s="1542"/>
      <c r="AU1377" s="1599">
        <f t="shared" si="714"/>
        <v>0</v>
      </c>
      <c r="AV1377" s="1544">
        <f t="shared" si="742"/>
        <v>0</v>
      </c>
      <c r="AW1377" s="1452">
        <f t="shared" si="715"/>
        <v>0</v>
      </c>
      <c r="AX1377" s="1452">
        <f t="shared" si="716"/>
        <v>0</v>
      </c>
      <c r="AY1377" s="1452">
        <f t="shared" si="717"/>
        <v>0</v>
      </c>
      <c r="AZ1377" s="1452">
        <f t="shared" si="718"/>
        <v>0</v>
      </c>
      <c r="BA1377" s="1452">
        <f t="shared" si="719"/>
        <v>0</v>
      </c>
      <c r="BB1377" s="1452">
        <f t="shared" si="720"/>
        <v>0</v>
      </c>
      <c r="BC1377" s="1452">
        <f t="shared" si="721"/>
        <v>0</v>
      </c>
      <c r="BD1377" s="1452">
        <f t="shared" si="722"/>
        <v>0</v>
      </c>
      <c r="BE1377" s="1452">
        <f t="shared" si="723"/>
        <v>0</v>
      </c>
      <c r="BF1377" s="1452">
        <f t="shared" si="724"/>
        <v>0</v>
      </c>
      <c r="BG1377" s="1452">
        <f t="shared" si="725"/>
        <v>0</v>
      </c>
      <c r="BH1377" s="1452">
        <f t="shared" si="726"/>
        <v>0</v>
      </c>
      <c r="BI1377" s="1452">
        <f t="shared" si="743"/>
        <v>0</v>
      </c>
      <c r="BJ1377" s="1452" t="str">
        <f t="shared" si="727"/>
        <v/>
      </c>
      <c r="BK1377" s="1452" t="str">
        <f t="shared" si="728"/>
        <v/>
      </c>
      <c r="BL1377" s="1452" t="str">
        <f t="shared" si="729"/>
        <v/>
      </c>
      <c r="BM1377" s="1452" t="str">
        <f t="shared" si="730"/>
        <v/>
      </c>
      <c r="BN1377" s="1452" t="str">
        <f t="shared" ca="1" si="731"/>
        <v/>
      </c>
      <c r="BO1377" s="1452" t="str">
        <f t="shared" si="744"/>
        <v/>
      </c>
      <c r="BP1377" s="1452" t="str">
        <f t="shared" si="732"/>
        <v/>
      </c>
      <c r="BQ1377" s="1452" t="str">
        <f t="shared" si="733"/>
        <v/>
      </c>
      <c r="BR1377" s="1452" t="str">
        <f t="shared" si="734"/>
        <v/>
      </c>
      <c r="BS1377" s="1452" t="str">
        <f t="shared" si="735"/>
        <v/>
      </c>
      <c r="BT1377" s="1452" t="str">
        <f t="shared" si="736"/>
        <v/>
      </c>
      <c r="BU1377" s="1452" t="str">
        <f t="shared" si="737"/>
        <v/>
      </c>
      <c r="BV1377" s="1452" t="str">
        <f t="shared" si="738"/>
        <v/>
      </c>
      <c r="BW1377" s="1558">
        <f t="shared" ca="1" si="745"/>
        <v>0</v>
      </c>
    </row>
    <row r="1378" spans="1:103" s="9" customFormat="1" ht="13">
      <c r="A1378" s="1483" t="str">
        <f t="shared" si="739"/>
        <v>Public Health Wales Trust</v>
      </c>
      <c r="B1378" s="1583"/>
      <c r="C1378" s="1583"/>
      <c r="D1378" s="1583"/>
      <c r="E1378" s="1581"/>
      <c r="F1378" s="1436"/>
      <c r="G1378" s="1547">
        <f t="shared" si="740"/>
        <v>0</v>
      </c>
      <c r="H1378" s="1484"/>
      <c r="I1378" s="1547">
        <f t="shared" si="741"/>
        <v>0</v>
      </c>
      <c r="J1378" s="1485"/>
      <c r="K1378" s="1485"/>
      <c r="L1378" s="1436"/>
      <c r="M1378" s="1439"/>
      <c r="N1378" s="1439"/>
      <c r="O1378" s="1485"/>
      <c r="P1378" s="1486"/>
      <c r="Q1378" s="1486"/>
      <c r="R1378" s="1487"/>
      <c r="S1378" s="1444"/>
      <c r="T1378" s="1444"/>
      <c r="U1378" s="1444"/>
      <c r="V1378" s="1488"/>
      <c r="W1378" s="1488"/>
      <c r="X1378" s="1488"/>
      <c r="Y1378" s="1488"/>
      <c r="Z1378" s="1488"/>
      <c r="AA1378" s="1488"/>
      <c r="AB1378" s="1488"/>
      <c r="AC1378" s="1488"/>
      <c r="AD1378" s="1488"/>
      <c r="AE1378" s="1488"/>
      <c r="AF1378" s="1488"/>
      <c r="AG1378" s="1488"/>
      <c r="AH1378" s="1451">
        <f t="shared" si="713"/>
        <v>0</v>
      </c>
      <c r="AI1378" s="1519"/>
      <c r="AJ1378" s="1519"/>
      <c r="AK1378" s="1488"/>
      <c r="AL1378" s="1488"/>
      <c r="AM1378" s="1488"/>
      <c r="AN1378" s="1488"/>
      <c r="AO1378" s="1488"/>
      <c r="AP1378" s="1488"/>
      <c r="AQ1378" s="1488"/>
      <c r="AR1378" s="1488"/>
      <c r="AS1378" s="1488"/>
      <c r="AT1378" s="1542"/>
      <c r="AU1378" s="1599">
        <f t="shared" si="714"/>
        <v>0</v>
      </c>
      <c r="AV1378" s="1544">
        <f t="shared" si="742"/>
        <v>0</v>
      </c>
      <c r="AW1378" s="1452">
        <f t="shared" si="715"/>
        <v>0</v>
      </c>
      <c r="AX1378" s="1452">
        <f t="shared" si="716"/>
        <v>0</v>
      </c>
      <c r="AY1378" s="1452">
        <f t="shared" si="717"/>
        <v>0</v>
      </c>
      <c r="AZ1378" s="1452">
        <f t="shared" si="718"/>
        <v>0</v>
      </c>
      <c r="BA1378" s="1452">
        <f t="shared" si="719"/>
        <v>0</v>
      </c>
      <c r="BB1378" s="1452">
        <f t="shared" si="720"/>
        <v>0</v>
      </c>
      <c r="BC1378" s="1452">
        <f t="shared" si="721"/>
        <v>0</v>
      </c>
      <c r="BD1378" s="1452">
        <f t="shared" si="722"/>
        <v>0</v>
      </c>
      <c r="BE1378" s="1452">
        <f t="shared" si="723"/>
        <v>0</v>
      </c>
      <c r="BF1378" s="1452">
        <f t="shared" si="724"/>
        <v>0</v>
      </c>
      <c r="BG1378" s="1452">
        <f t="shared" si="725"/>
        <v>0</v>
      </c>
      <c r="BH1378" s="1452">
        <f t="shared" si="726"/>
        <v>0</v>
      </c>
      <c r="BI1378" s="1452">
        <f t="shared" si="743"/>
        <v>0</v>
      </c>
      <c r="BJ1378" s="1452" t="str">
        <f t="shared" si="727"/>
        <v/>
      </c>
      <c r="BK1378" s="1452" t="str">
        <f t="shared" si="728"/>
        <v/>
      </c>
      <c r="BL1378" s="1452" t="str">
        <f t="shared" si="729"/>
        <v/>
      </c>
      <c r="BM1378" s="1452" t="str">
        <f t="shared" si="730"/>
        <v/>
      </c>
      <c r="BN1378" s="1452" t="str">
        <f t="shared" ca="1" si="731"/>
        <v/>
      </c>
      <c r="BO1378" s="1452" t="str">
        <f t="shared" si="744"/>
        <v/>
      </c>
      <c r="BP1378" s="1452" t="str">
        <f t="shared" si="732"/>
        <v/>
      </c>
      <c r="BQ1378" s="1452" t="str">
        <f t="shared" si="733"/>
        <v/>
      </c>
      <c r="BR1378" s="1452" t="str">
        <f t="shared" si="734"/>
        <v/>
      </c>
      <c r="BS1378" s="1452" t="str">
        <f t="shared" si="735"/>
        <v/>
      </c>
      <c r="BT1378" s="1452" t="str">
        <f t="shared" si="736"/>
        <v/>
      </c>
      <c r="BU1378" s="1452" t="str">
        <f t="shared" si="737"/>
        <v/>
      </c>
      <c r="BV1378" s="1452" t="str">
        <f t="shared" si="738"/>
        <v/>
      </c>
      <c r="BW1378" s="1558">
        <f t="shared" ca="1" si="745"/>
        <v>0</v>
      </c>
    </row>
    <row r="1379" spans="1:103" s="9" customFormat="1" ht="13">
      <c r="A1379" s="1483" t="str">
        <f t="shared" si="739"/>
        <v>Public Health Wales Trust</v>
      </c>
      <c r="B1379" s="1583"/>
      <c r="C1379" s="1583"/>
      <c r="D1379" s="1583"/>
      <c r="E1379" s="1581"/>
      <c r="F1379" s="1436"/>
      <c r="G1379" s="1547">
        <f t="shared" si="740"/>
        <v>0</v>
      </c>
      <c r="H1379" s="1484"/>
      <c r="I1379" s="1547">
        <f t="shared" si="741"/>
        <v>0</v>
      </c>
      <c r="J1379" s="1485"/>
      <c r="K1379" s="1485"/>
      <c r="L1379" s="1436"/>
      <c r="M1379" s="1439"/>
      <c r="N1379" s="1439"/>
      <c r="O1379" s="1485"/>
      <c r="P1379" s="1486"/>
      <c r="Q1379" s="1486"/>
      <c r="R1379" s="1487"/>
      <c r="S1379" s="1444"/>
      <c r="T1379" s="1444"/>
      <c r="U1379" s="1444"/>
      <c r="V1379" s="1488"/>
      <c r="W1379" s="1488"/>
      <c r="X1379" s="1488"/>
      <c r="Y1379" s="1488"/>
      <c r="Z1379" s="1488"/>
      <c r="AA1379" s="1488"/>
      <c r="AB1379" s="1488"/>
      <c r="AC1379" s="1488"/>
      <c r="AD1379" s="1488"/>
      <c r="AE1379" s="1488"/>
      <c r="AF1379" s="1488"/>
      <c r="AG1379" s="1488"/>
      <c r="AH1379" s="1451">
        <f t="shared" si="713"/>
        <v>0</v>
      </c>
      <c r="AI1379" s="1519"/>
      <c r="AJ1379" s="1519"/>
      <c r="AK1379" s="1488"/>
      <c r="AL1379" s="1488"/>
      <c r="AM1379" s="1488"/>
      <c r="AN1379" s="1488"/>
      <c r="AO1379" s="1488"/>
      <c r="AP1379" s="1488"/>
      <c r="AQ1379" s="1488"/>
      <c r="AR1379" s="1488"/>
      <c r="AS1379" s="1488"/>
      <c r="AT1379" s="1542"/>
      <c r="AU1379" s="1599">
        <f t="shared" si="714"/>
        <v>0</v>
      </c>
      <c r="AV1379" s="1544">
        <f t="shared" si="742"/>
        <v>0</v>
      </c>
      <c r="AW1379" s="1452">
        <f t="shared" si="715"/>
        <v>0</v>
      </c>
      <c r="AX1379" s="1452">
        <f t="shared" si="716"/>
        <v>0</v>
      </c>
      <c r="AY1379" s="1452">
        <f t="shared" si="717"/>
        <v>0</v>
      </c>
      <c r="AZ1379" s="1452">
        <f t="shared" si="718"/>
        <v>0</v>
      </c>
      <c r="BA1379" s="1452">
        <f t="shared" si="719"/>
        <v>0</v>
      </c>
      <c r="BB1379" s="1452">
        <f t="shared" si="720"/>
        <v>0</v>
      </c>
      <c r="BC1379" s="1452">
        <f t="shared" si="721"/>
        <v>0</v>
      </c>
      <c r="BD1379" s="1452">
        <f t="shared" si="722"/>
        <v>0</v>
      </c>
      <c r="BE1379" s="1452">
        <f t="shared" si="723"/>
        <v>0</v>
      </c>
      <c r="BF1379" s="1452">
        <f t="shared" si="724"/>
        <v>0</v>
      </c>
      <c r="BG1379" s="1452">
        <f t="shared" si="725"/>
        <v>0</v>
      </c>
      <c r="BH1379" s="1452">
        <f t="shared" si="726"/>
        <v>0</v>
      </c>
      <c r="BI1379" s="1452">
        <f t="shared" si="743"/>
        <v>0</v>
      </c>
      <c r="BJ1379" s="1452" t="str">
        <f t="shared" si="727"/>
        <v/>
      </c>
      <c r="BK1379" s="1452" t="str">
        <f t="shared" si="728"/>
        <v/>
      </c>
      <c r="BL1379" s="1452" t="str">
        <f t="shared" si="729"/>
        <v/>
      </c>
      <c r="BM1379" s="1452" t="str">
        <f t="shared" si="730"/>
        <v/>
      </c>
      <c r="BN1379" s="1452" t="str">
        <f t="shared" ca="1" si="731"/>
        <v/>
      </c>
      <c r="BO1379" s="1452" t="str">
        <f t="shared" si="744"/>
        <v/>
      </c>
      <c r="BP1379" s="1452" t="str">
        <f t="shared" si="732"/>
        <v/>
      </c>
      <c r="BQ1379" s="1452" t="str">
        <f t="shared" si="733"/>
        <v/>
      </c>
      <c r="BR1379" s="1452" t="str">
        <f t="shared" si="734"/>
        <v/>
      </c>
      <c r="BS1379" s="1452" t="str">
        <f t="shared" si="735"/>
        <v/>
      </c>
      <c r="BT1379" s="1452" t="str">
        <f t="shared" si="736"/>
        <v/>
      </c>
      <c r="BU1379" s="1452" t="str">
        <f t="shared" si="737"/>
        <v/>
      </c>
      <c r="BV1379" s="1452" t="str">
        <f t="shared" si="738"/>
        <v/>
      </c>
      <c r="BW1379" s="1558">
        <f t="shared" ca="1" si="745"/>
        <v>0</v>
      </c>
    </row>
    <row r="1380" spans="1:103" s="9" customFormat="1" ht="13">
      <c r="A1380" s="1483" t="str">
        <f t="shared" si="739"/>
        <v>Public Health Wales Trust</v>
      </c>
      <c r="B1380" s="1583"/>
      <c r="C1380" s="1583"/>
      <c r="D1380" s="1583"/>
      <c r="E1380" s="1581"/>
      <c r="F1380" s="1436"/>
      <c r="G1380" s="1547">
        <f t="shared" si="740"/>
        <v>0</v>
      </c>
      <c r="H1380" s="1484"/>
      <c r="I1380" s="1547">
        <f t="shared" si="741"/>
        <v>0</v>
      </c>
      <c r="J1380" s="1485"/>
      <c r="K1380" s="1485"/>
      <c r="L1380" s="1436"/>
      <c r="M1380" s="1439"/>
      <c r="N1380" s="1439"/>
      <c r="O1380" s="1485"/>
      <c r="P1380" s="1486"/>
      <c r="Q1380" s="1486"/>
      <c r="R1380" s="1487"/>
      <c r="S1380" s="1444"/>
      <c r="T1380" s="1444"/>
      <c r="U1380" s="1444"/>
      <c r="V1380" s="1488"/>
      <c r="W1380" s="1488"/>
      <c r="X1380" s="1488"/>
      <c r="Y1380" s="1488"/>
      <c r="Z1380" s="1488"/>
      <c r="AA1380" s="1488"/>
      <c r="AB1380" s="1488"/>
      <c r="AC1380" s="1488"/>
      <c r="AD1380" s="1488"/>
      <c r="AE1380" s="1488"/>
      <c r="AF1380" s="1488"/>
      <c r="AG1380" s="1488"/>
      <c r="AH1380" s="1451">
        <f t="shared" si="713"/>
        <v>0</v>
      </c>
      <c r="AI1380" s="1519"/>
      <c r="AJ1380" s="1519"/>
      <c r="AK1380" s="1488"/>
      <c r="AL1380" s="1488"/>
      <c r="AM1380" s="1488"/>
      <c r="AN1380" s="1488"/>
      <c r="AO1380" s="1488"/>
      <c r="AP1380" s="1488"/>
      <c r="AQ1380" s="1488"/>
      <c r="AR1380" s="1488"/>
      <c r="AS1380" s="1488"/>
      <c r="AT1380" s="1542"/>
      <c r="AU1380" s="1599">
        <f t="shared" si="714"/>
        <v>0</v>
      </c>
      <c r="AV1380" s="1544">
        <f t="shared" si="742"/>
        <v>0</v>
      </c>
      <c r="AW1380" s="1452">
        <f t="shared" si="715"/>
        <v>0</v>
      </c>
      <c r="AX1380" s="1452">
        <f t="shared" si="716"/>
        <v>0</v>
      </c>
      <c r="AY1380" s="1452">
        <f t="shared" si="717"/>
        <v>0</v>
      </c>
      <c r="AZ1380" s="1452">
        <f t="shared" si="718"/>
        <v>0</v>
      </c>
      <c r="BA1380" s="1452">
        <f t="shared" si="719"/>
        <v>0</v>
      </c>
      <c r="BB1380" s="1452">
        <f t="shared" si="720"/>
        <v>0</v>
      </c>
      <c r="BC1380" s="1452">
        <f t="shared" si="721"/>
        <v>0</v>
      </c>
      <c r="BD1380" s="1452">
        <f t="shared" si="722"/>
        <v>0</v>
      </c>
      <c r="BE1380" s="1452">
        <f t="shared" si="723"/>
        <v>0</v>
      </c>
      <c r="BF1380" s="1452">
        <f t="shared" si="724"/>
        <v>0</v>
      </c>
      <c r="BG1380" s="1452">
        <f t="shared" si="725"/>
        <v>0</v>
      </c>
      <c r="BH1380" s="1452">
        <f t="shared" si="726"/>
        <v>0</v>
      </c>
      <c r="BI1380" s="1452">
        <f t="shared" si="743"/>
        <v>0</v>
      </c>
      <c r="BJ1380" s="1452" t="str">
        <f t="shared" si="727"/>
        <v/>
      </c>
      <c r="BK1380" s="1452" t="str">
        <f t="shared" si="728"/>
        <v/>
      </c>
      <c r="BL1380" s="1452" t="str">
        <f t="shared" si="729"/>
        <v/>
      </c>
      <c r="BM1380" s="1452" t="str">
        <f t="shared" si="730"/>
        <v/>
      </c>
      <c r="BN1380" s="1452" t="str">
        <f t="shared" ca="1" si="731"/>
        <v/>
      </c>
      <c r="BO1380" s="1452" t="str">
        <f t="shared" si="744"/>
        <v/>
      </c>
      <c r="BP1380" s="1452" t="str">
        <f t="shared" si="732"/>
        <v/>
      </c>
      <c r="BQ1380" s="1452" t="str">
        <f t="shared" si="733"/>
        <v/>
      </c>
      <c r="BR1380" s="1452" t="str">
        <f t="shared" si="734"/>
        <v/>
      </c>
      <c r="BS1380" s="1452" t="str">
        <f t="shared" si="735"/>
        <v/>
      </c>
      <c r="BT1380" s="1452" t="str">
        <f t="shared" si="736"/>
        <v/>
      </c>
      <c r="BU1380" s="1452" t="str">
        <f t="shared" si="737"/>
        <v/>
      </c>
      <c r="BV1380" s="1452" t="str">
        <f t="shared" si="738"/>
        <v/>
      </c>
      <c r="BW1380" s="1558">
        <f t="shared" ca="1" si="745"/>
        <v>0</v>
      </c>
    </row>
    <row r="1381" spans="1:103" s="9" customFormat="1" ht="13">
      <c r="A1381" s="1483" t="str">
        <f t="shared" si="739"/>
        <v>Public Health Wales Trust</v>
      </c>
      <c r="B1381" s="1583"/>
      <c r="C1381" s="1583"/>
      <c r="D1381" s="1583"/>
      <c r="E1381" s="1596"/>
      <c r="F1381" s="1436"/>
      <c r="G1381" s="1547">
        <f t="shared" si="740"/>
        <v>0</v>
      </c>
      <c r="H1381" s="1484"/>
      <c r="I1381" s="1547">
        <f t="shared" si="741"/>
        <v>0</v>
      </c>
      <c r="J1381" s="1485"/>
      <c r="K1381" s="1485"/>
      <c r="L1381" s="1436"/>
      <c r="M1381" s="1439"/>
      <c r="N1381" s="1439"/>
      <c r="O1381" s="1485"/>
      <c r="P1381" s="1486"/>
      <c r="Q1381" s="1486"/>
      <c r="R1381" s="1487"/>
      <c r="S1381" s="1444"/>
      <c r="T1381" s="1444"/>
      <c r="U1381" s="1444"/>
      <c r="V1381" s="1488"/>
      <c r="W1381" s="1488"/>
      <c r="X1381" s="1488"/>
      <c r="Y1381" s="1488"/>
      <c r="Z1381" s="1488"/>
      <c r="AA1381" s="1488"/>
      <c r="AB1381" s="1488"/>
      <c r="AC1381" s="1488"/>
      <c r="AD1381" s="1488"/>
      <c r="AE1381" s="1488"/>
      <c r="AF1381" s="1488"/>
      <c r="AG1381" s="1488"/>
      <c r="AH1381" s="1451">
        <f t="shared" si="713"/>
        <v>0</v>
      </c>
      <c r="AI1381" s="1519"/>
      <c r="AJ1381" s="1519"/>
      <c r="AK1381" s="1488"/>
      <c r="AL1381" s="1488"/>
      <c r="AM1381" s="1488"/>
      <c r="AN1381" s="1488"/>
      <c r="AO1381" s="1488"/>
      <c r="AP1381" s="1488"/>
      <c r="AQ1381" s="1488"/>
      <c r="AR1381" s="1488"/>
      <c r="AS1381" s="1488"/>
      <c r="AT1381" s="1542"/>
      <c r="AU1381" s="1599">
        <f t="shared" si="714"/>
        <v>0</v>
      </c>
      <c r="AV1381" s="1544">
        <f t="shared" si="742"/>
        <v>0</v>
      </c>
      <c r="AW1381" s="1452">
        <f t="shared" si="715"/>
        <v>0</v>
      </c>
      <c r="AX1381" s="1452">
        <f t="shared" si="716"/>
        <v>0</v>
      </c>
      <c r="AY1381" s="1452">
        <f t="shared" si="717"/>
        <v>0</v>
      </c>
      <c r="AZ1381" s="1452">
        <f t="shared" si="718"/>
        <v>0</v>
      </c>
      <c r="BA1381" s="1452">
        <f t="shared" si="719"/>
        <v>0</v>
      </c>
      <c r="BB1381" s="1452">
        <f t="shared" si="720"/>
        <v>0</v>
      </c>
      <c r="BC1381" s="1452">
        <f t="shared" si="721"/>
        <v>0</v>
      </c>
      <c r="BD1381" s="1452">
        <f t="shared" si="722"/>
        <v>0</v>
      </c>
      <c r="BE1381" s="1452">
        <f t="shared" si="723"/>
        <v>0</v>
      </c>
      <c r="BF1381" s="1452">
        <f t="shared" si="724"/>
        <v>0</v>
      </c>
      <c r="BG1381" s="1452">
        <f t="shared" si="725"/>
        <v>0</v>
      </c>
      <c r="BH1381" s="1452">
        <f t="shared" si="726"/>
        <v>0</v>
      </c>
      <c r="BI1381" s="1452">
        <f t="shared" si="743"/>
        <v>0</v>
      </c>
      <c r="BJ1381" s="1452" t="str">
        <f t="shared" si="727"/>
        <v/>
      </c>
      <c r="BK1381" s="1452" t="str">
        <f t="shared" si="728"/>
        <v/>
      </c>
      <c r="BL1381" s="1452" t="str">
        <f t="shared" si="729"/>
        <v/>
      </c>
      <c r="BM1381" s="1452" t="str">
        <f t="shared" si="730"/>
        <v/>
      </c>
      <c r="BN1381" s="1452" t="str">
        <f t="shared" ca="1" si="731"/>
        <v/>
      </c>
      <c r="BO1381" s="1452" t="str">
        <f t="shared" si="744"/>
        <v/>
      </c>
      <c r="BP1381" s="1452" t="str">
        <f t="shared" si="732"/>
        <v/>
      </c>
      <c r="BQ1381" s="1452" t="str">
        <f t="shared" si="733"/>
        <v/>
      </c>
      <c r="BR1381" s="1452" t="str">
        <f t="shared" si="734"/>
        <v/>
      </c>
      <c r="BS1381" s="1452" t="str">
        <f t="shared" si="735"/>
        <v/>
      </c>
      <c r="BT1381" s="1452" t="str">
        <f t="shared" si="736"/>
        <v/>
      </c>
      <c r="BU1381" s="1452" t="str">
        <f t="shared" si="737"/>
        <v/>
      </c>
      <c r="BV1381" s="1452" t="str">
        <f t="shared" si="738"/>
        <v/>
      </c>
      <c r="BW1381" s="1558">
        <f t="shared" ca="1" si="745"/>
        <v>0</v>
      </c>
    </row>
    <row r="1382" spans="1:103" s="9" customFormat="1" ht="13">
      <c r="A1382" s="1483" t="str">
        <f t="shared" si="739"/>
        <v>Public Health Wales Trust</v>
      </c>
      <c r="B1382" s="1583"/>
      <c r="C1382" s="1583"/>
      <c r="D1382" s="1583"/>
      <c r="E1382" s="1597"/>
      <c r="F1382" s="1436"/>
      <c r="G1382" s="1547">
        <f t="shared" si="740"/>
        <v>0</v>
      </c>
      <c r="H1382" s="1484"/>
      <c r="I1382" s="1547">
        <f t="shared" si="741"/>
        <v>0</v>
      </c>
      <c r="J1382" s="1485"/>
      <c r="K1382" s="1485"/>
      <c r="L1382" s="1436"/>
      <c r="M1382" s="1439"/>
      <c r="N1382" s="1439"/>
      <c r="O1382" s="1485"/>
      <c r="P1382" s="1486"/>
      <c r="Q1382" s="1486"/>
      <c r="R1382" s="1487"/>
      <c r="S1382" s="1444"/>
      <c r="T1382" s="1444"/>
      <c r="U1382" s="1444"/>
      <c r="V1382" s="1488"/>
      <c r="W1382" s="1488"/>
      <c r="X1382" s="1488"/>
      <c r="Y1382" s="1488"/>
      <c r="Z1382" s="1488"/>
      <c r="AA1382" s="1488"/>
      <c r="AB1382" s="1488"/>
      <c r="AC1382" s="1488"/>
      <c r="AD1382" s="1488"/>
      <c r="AE1382" s="1488"/>
      <c r="AF1382" s="1488"/>
      <c r="AG1382" s="1488"/>
      <c r="AH1382" s="1451">
        <f t="shared" si="713"/>
        <v>0</v>
      </c>
      <c r="AI1382" s="1519"/>
      <c r="AJ1382" s="1519"/>
      <c r="AK1382" s="1488"/>
      <c r="AL1382" s="1488"/>
      <c r="AM1382" s="1488"/>
      <c r="AN1382" s="1488"/>
      <c r="AO1382" s="1488"/>
      <c r="AP1382" s="1488"/>
      <c r="AQ1382" s="1488"/>
      <c r="AR1382" s="1488"/>
      <c r="AS1382" s="1488"/>
      <c r="AT1382" s="1542"/>
      <c r="AU1382" s="1599">
        <f t="shared" si="714"/>
        <v>0</v>
      </c>
      <c r="AV1382" s="1544">
        <f t="shared" si="742"/>
        <v>0</v>
      </c>
      <c r="AW1382" s="1452">
        <f t="shared" si="715"/>
        <v>0</v>
      </c>
      <c r="AX1382" s="1452">
        <f t="shared" si="716"/>
        <v>0</v>
      </c>
      <c r="AY1382" s="1452">
        <f t="shared" si="717"/>
        <v>0</v>
      </c>
      <c r="AZ1382" s="1452">
        <f t="shared" si="718"/>
        <v>0</v>
      </c>
      <c r="BA1382" s="1452">
        <f t="shared" si="719"/>
        <v>0</v>
      </c>
      <c r="BB1382" s="1452">
        <f t="shared" si="720"/>
        <v>0</v>
      </c>
      <c r="BC1382" s="1452">
        <f t="shared" si="721"/>
        <v>0</v>
      </c>
      <c r="BD1382" s="1452">
        <f t="shared" si="722"/>
        <v>0</v>
      </c>
      <c r="BE1382" s="1452">
        <f t="shared" si="723"/>
        <v>0</v>
      </c>
      <c r="BF1382" s="1452">
        <f t="shared" si="724"/>
        <v>0</v>
      </c>
      <c r="BG1382" s="1452">
        <f t="shared" si="725"/>
        <v>0</v>
      </c>
      <c r="BH1382" s="1452">
        <f t="shared" si="726"/>
        <v>0</v>
      </c>
      <c r="BI1382" s="1452">
        <f t="shared" si="743"/>
        <v>0</v>
      </c>
      <c r="BJ1382" s="1452" t="str">
        <f t="shared" si="727"/>
        <v/>
      </c>
      <c r="BK1382" s="1452" t="str">
        <f t="shared" si="728"/>
        <v/>
      </c>
      <c r="BL1382" s="1452" t="str">
        <f t="shared" si="729"/>
        <v/>
      </c>
      <c r="BM1382" s="1452" t="str">
        <f t="shared" si="730"/>
        <v/>
      </c>
      <c r="BN1382" s="1452" t="str">
        <f t="shared" ca="1" si="731"/>
        <v/>
      </c>
      <c r="BO1382" s="1452" t="str">
        <f t="shared" si="744"/>
        <v/>
      </c>
      <c r="BP1382" s="1452" t="str">
        <f t="shared" si="732"/>
        <v/>
      </c>
      <c r="BQ1382" s="1452" t="str">
        <f t="shared" si="733"/>
        <v/>
      </c>
      <c r="BR1382" s="1452" t="str">
        <f t="shared" si="734"/>
        <v/>
      </c>
      <c r="BS1382" s="1452" t="str">
        <f t="shared" si="735"/>
        <v/>
      </c>
      <c r="BT1382" s="1452" t="str">
        <f t="shared" si="736"/>
        <v/>
      </c>
      <c r="BU1382" s="1452" t="str">
        <f t="shared" si="737"/>
        <v/>
      </c>
      <c r="BV1382" s="1452" t="str">
        <f t="shared" si="738"/>
        <v/>
      </c>
      <c r="BW1382" s="1558">
        <f t="shared" ca="1" si="745"/>
        <v>0</v>
      </c>
    </row>
    <row r="1383" spans="1:103" s="9" customFormat="1" ht="13">
      <c r="A1383" s="1483" t="str">
        <f t="shared" si="739"/>
        <v>Public Health Wales Trust</v>
      </c>
      <c r="B1383" s="1583"/>
      <c r="C1383" s="1510"/>
      <c r="D1383" s="1510"/>
      <c r="E1383" s="1598"/>
      <c r="F1383" s="1436"/>
      <c r="G1383" s="1547">
        <f t="shared" si="740"/>
        <v>0</v>
      </c>
      <c r="H1383" s="1484"/>
      <c r="I1383" s="1547">
        <f t="shared" si="741"/>
        <v>0</v>
      </c>
      <c r="J1383" s="1518"/>
      <c r="K1383" s="1518"/>
      <c r="L1383" s="1436"/>
      <c r="M1383" s="1439"/>
      <c r="N1383" s="1439"/>
      <c r="O1383" s="1485"/>
      <c r="P1383" s="1486"/>
      <c r="Q1383" s="1486"/>
      <c r="R1383" s="1487"/>
      <c r="S1383" s="1444"/>
      <c r="T1383" s="1444"/>
      <c r="U1383" s="1444"/>
      <c r="V1383" s="1488"/>
      <c r="W1383" s="1488"/>
      <c r="X1383" s="1488"/>
      <c r="Y1383" s="1488"/>
      <c r="Z1383" s="1488"/>
      <c r="AA1383" s="1488"/>
      <c r="AB1383" s="1488"/>
      <c r="AC1383" s="1488"/>
      <c r="AD1383" s="1488"/>
      <c r="AE1383" s="1488"/>
      <c r="AF1383" s="1488"/>
      <c r="AG1383" s="1488"/>
      <c r="AH1383" s="1451">
        <f t="shared" si="713"/>
        <v>0</v>
      </c>
      <c r="AI1383" s="1519"/>
      <c r="AJ1383" s="1519"/>
      <c r="AK1383" s="1488"/>
      <c r="AL1383" s="1488"/>
      <c r="AM1383" s="1488"/>
      <c r="AN1383" s="1488"/>
      <c r="AO1383" s="1488"/>
      <c r="AP1383" s="1488"/>
      <c r="AQ1383" s="1488"/>
      <c r="AR1383" s="1488"/>
      <c r="AS1383" s="1488"/>
      <c r="AT1383" s="1542"/>
      <c r="AU1383" s="1599">
        <f t="shared" si="714"/>
        <v>0</v>
      </c>
      <c r="AV1383" s="1544">
        <f t="shared" si="742"/>
        <v>0</v>
      </c>
      <c r="AW1383" s="1452">
        <f t="shared" si="715"/>
        <v>0</v>
      </c>
      <c r="AX1383" s="1452">
        <f t="shared" si="716"/>
        <v>0</v>
      </c>
      <c r="AY1383" s="1452">
        <f t="shared" si="717"/>
        <v>0</v>
      </c>
      <c r="AZ1383" s="1452">
        <f t="shared" si="718"/>
        <v>0</v>
      </c>
      <c r="BA1383" s="1452">
        <f t="shared" si="719"/>
        <v>0</v>
      </c>
      <c r="BB1383" s="1452">
        <f t="shared" si="720"/>
        <v>0</v>
      </c>
      <c r="BC1383" s="1452">
        <f t="shared" si="721"/>
        <v>0</v>
      </c>
      <c r="BD1383" s="1452">
        <f t="shared" si="722"/>
        <v>0</v>
      </c>
      <c r="BE1383" s="1452">
        <f t="shared" si="723"/>
        <v>0</v>
      </c>
      <c r="BF1383" s="1452">
        <f t="shared" si="724"/>
        <v>0</v>
      </c>
      <c r="BG1383" s="1452">
        <f t="shared" si="725"/>
        <v>0</v>
      </c>
      <c r="BH1383" s="1452">
        <f t="shared" si="726"/>
        <v>0</v>
      </c>
      <c r="BI1383" s="1452">
        <f t="shared" si="743"/>
        <v>0</v>
      </c>
      <c r="BJ1383" s="1452" t="str">
        <f t="shared" si="727"/>
        <v/>
      </c>
      <c r="BK1383" s="1452" t="str">
        <f t="shared" si="728"/>
        <v/>
      </c>
      <c r="BL1383" s="1452" t="str">
        <f t="shared" si="729"/>
        <v/>
      </c>
      <c r="BM1383" s="1452" t="str">
        <f t="shared" si="730"/>
        <v/>
      </c>
      <c r="BN1383" s="1452" t="str">
        <f t="shared" ca="1" si="731"/>
        <v/>
      </c>
      <c r="BO1383" s="1452" t="str">
        <f t="shared" si="744"/>
        <v/>
      </c>
      <c r="BP1383" s="1452" t="str">
        <f t="shared" si="732"/>
        <v/>
      </c>
      <c r="BQ1383" s="1452" t="str">
        <f t="shared" si="733"/>
        <v/>
      </c>
      <c r="BR1383" s="1452" t="str">
        <f t="shared" si="734"/>
        <v/>
      </c>
      <c r="BS1383" s="1452" t="str">
        <f t="shared" si="735"/>
        <v/>
      </c>
      <c r="BT1383" s="1452" t="str">
        <f t="shared" si="736"/>
        <v/>
      </c>
      <c r="BU1383" s="1452" t="str">
        <f t="shared" si="737"/>
        <v/>
      </c>
      <c r="BV1383" s="1452" t="str">
        <f t="shared" si="738"/>
        <v/>
      </c>
      <c r="BW1383" s="1558">
        <f t="shared" ca="1" si="745"/>
        <v>0</v>
      </c>
    </row>
    <row r="1384" spans="1:103" s="9" customFormat="1" ht="13">
      <c r="A1384" s="1483" t="str">
        <f t="shared" si="739"/>
        <v>Public Health Wales Trust</v>
      </c>
      <c r="B1384" s="1583"/>
      <c r="C1384" s="1510"/>
      <c r="D1384" s="1510"/>
      <c r="E1384" s="1584"/>
      <c r="F1384" s="1436"/>
      <c r="G1384" s="1547">
        <f t="shared" si="740"/>
        <v>0</v>
      </c>
      <c r="H1384" s="1484"/>
      <c r="I1384" s="1547">
        <f t="shared" si="741"/>
        <v>0</v>
      </c>
      <c r="J1384" s="1518"/>
      <c r="K1384" s="1518"/>
      <c r="L1384" s="1436"/>
      <c r="M1384" s="1439"/>
      <c r="N1384" s="1439"/>
      <c r="O1384" s="1485"/>
      <c r="P1384" s="1486"/>
      <c r="Q1384" s="1486"/>
      <c r="R1384" s="1487"/>
      <c r="S1384" s="1444"/>
      <c r="T1384" s="1444"/>
      <c r="U1384" s="1444"/>
      <c r="V1384" s="1488"/>
      <c r="W1384" s="1488"/>
      <c r="X1384" s="1488"/>
      <c r="Y1384" s="1488"/>
      <c r="Z1384" s="1488"/>
      <c r="AA1384" s="1488"/>
      <c r="AB1384" s="1488"/>
      <c r="AC1384" s="1488"/>
      <c r="AD1384" s="1488"/>
      <c r="AE1384" s="1488"/>
      <c r="AF1384" s="1488"/>
      <c r="AG1384" s="1488"/>
      <c r="AH1384" s="1451">
        <f t="shared" si="713"/>
        <v>0</v>
      </c>
      <c r="AI1384" s="1519"/>
      <c r="AJ1384" s="1519"/>
      <c r="AK1384" s="1488"/>
      <c r="AL1384" s="1488"/>
      <c r="AM1384" s="1488"/>
      <c r="AN1384" s="1488"/>
      <c r="AO1384" s="1488"/>
      <c r="AP1384" s="1488"/>
      <c r="AQ1384" s="1488"/>
      <c r="AR1384" s="1488"/>
      <c r="AS1384" s="1488"/>
      <c r="AT1384" s="1542"/>
      <c r="AU1384" s="1599">
        <f t="shared" si="714"/>
        <v>0</v>
      </c>
      <c r="AV1384" s="1544">
        <f t="shared" si="742"/>
        <v>0</v>
      </c>
      <c r="AW1384" s="1452">
        <f t="shared" si="715"/>
        <v>0</v>
      </c>
      <c r="AX1384" s="1452">
        <f t="shared" si="716"/>
        <v>0</v>
      </c>
      <c r="AY1384" s="1452">
        <f t="shared" si="717"/>
        <v>0</v>
      </c>
      <c r="AZ1384" s="1452">
        <f t="shared" si="718"/>
        <v>0</v>
      </c>
      <c r="BA1384" s="1452">
        <f t="shared" si="719"/>
        <v>0</v>
      </c>
      <c r="BB1384" s="1452">
        <f t="shared" si="720"/>
        <v>0</v>
      </c>
      <c r="BC1384" s="1452">
        <f t="shared" si="721"/>
        <v>0</v>
      </c>
      <c r="BD1384" s="1452">
        <f t="shared" si="722"/>
        <v>0</v>
      </c>
      <c r="BE1384" s="1452">
        <f t="shared" si="723"/>
        <v>0</v>
      </c>
      <c r="BF1384" s="1452">
        <f t="shared" si="724"/>
        <v>0</v>
      </c>
      <c r="BG1384" s="1452">
        <f t="shared" si="725"/>
        <v>0</v>
      </c>
      <c r="BH1384" s="1452">
        <f t="shared" si="726"/>
        <v>0</v>
      </c>
      <c r="BI1384" s="1452">
        <f t="shared" si="743"/>
        <v>0</v>
      </c>
      <c r="BJ1384" s="1452" t="str">
        <f t="shared" si="727"/>
        <v/>
      </c>
      <c r="BK1384" s="1452" t="str">
        <f t="shared" si="728"/>
        <v/>
      </c>
      <c r="BL1384" s="1452" t="str">
        <f t="shared" si="729"/>
        <v/>
      </c>
      <c r="BM1384" s="1452" t="str">
        <f t="shared" si="730"/>
        <v/>
      </c>
      <c r="BN1384" s="1452" t="str">
        <f t="shared" ca="1" si="731"/>
        <v/>
      </c>
      <c r="BO1384" s="1452" t="str">
        <f t="shared" si="744"/>
        <v/>
      </c>
      <c r="BP1384" s="1452" t="str">
        <f t="shared" si="732"/>
        <v/>
      </c>
      <c r="BQ1384" s="1452" t="str">
        <f t="shared" si="733"/>
        <v/>
      </c>
      <c r="BR1384" s="1452" t="str">
        <f t="shared" si="734"/>
        <v/>
      </c>
      <c r="BS1384" s="1452" t="str">
        <f t="shared" si="735"/>
        <v/>
      </c>
      <c r="BT1384" s="1452" t="str">
        <f t="shared" si="736"/>
        <v/>
      </c>
      <c r="BU1384" s="1452" t="str">
        <f t="shared" si="737"/>
        <v/>
      </c>
      <c r="BV1384" s="1452" t="str">
        <f t="shared" si="738"/>
        <v/>
      </c>
      <c r="BW1384" s="1558">
        <f t="shared" ca="1" si="745"/>
        <v>0</v>
      </c>
    </row>
    <row r="1385" spans="1:103" s="9" customFormat="1" ht="13">
      <c r="A1385" s="1483" t="str">
        <f t="shared" si="739"/>
        <v>Public Health Wales Trust</v>
      </c>
      <c r="B1385" s="1583"/>
      <c r="C1385" s="1510"/>
      <c r="D1385" s="1510"/>
      <c r="E1385" s="1581"/>
      <c r="F1385" s="1436"/>
      <c r="G1385" s="1547">
        <f t="shared" si="740"/>
        <v>0</v>
      </c>
      <c r="H1385" s="1484"/>
      <c r="I1385" s="1547">
        <f t="shared" si="741"/>
        <v>0</v>
      </c>
      <c r="J1385" s="1485"/>
      <c r="K1385" s="1485"/>
      <c r="L1385" s="1436"/>
      <c r="M1385" s="1439"/>
      <c r="N1385" s="1439"/>
      <c r="O1385" s="1485"/>
      <c r="P1385" s="1486"/>
      <c r="Q1385" s="1486"/>
      <c r="R1385" s="1487"/>
      <c r="S1385" s="1444"/>
      <c r="T1385" s="1444"/>
      <c r="U1385" s="1444"/>
      <c r="V1385" s="1488"/>
      <c r="W1385" s="1488"/>
      <c r="X1385" s="1488"/>
      <c r="Y1385" s="1488"/>
      <c r="Z1385" s="1488"/>
      <c r="AA1385" s="1488"/>
      <c r="AB1385" s="1488"/>
      <c r="AC1385" s="1488"/>
      <c r="AD1385" s="1488"/>
      <c r="AE1385" s="1488"/>
      <c r="AF1385" s="1488"/>
      <c r="AG1385" s="1488"/>
      <c r="AH1385" s="1451">
        <f t="shared" si="713"/>
        <v>0</v>
      </c>
      <c r="AI1385" s="1519"/>
      <c r="AJ1385" s="1519"/>
      <c r="AK1385" s="1488"/>
      <c r="AL1385" s="1488"/>
      <c r="AM1385" s="1488"/>
      <c r="AN1385" s="1488"/>
      <c r="AO1385" s="1488"/>
      <c r="AP1385" s="1488"/>
      <c r="AQ1385" s="1488"/>
      <c r="AR1385" s="1488"/>
      <c r="AS1385" s="1488"/>
      <c r="AT1385" s="1542"/>
      <c r="AU1385" s="1599">
        <f t="shared" si="714"/>
        <v>0</v>
      </c>
      <c r="AV1385" s="1544">
        <f t="shared" si="742"/>
        <v>0</v>
      </c>
      <c r="AW1385" s="1452">
        <f t="shared" si="715"/>
        <v>0</v>
      </c>
      <c r="AX1385" s="1452">
        <f t="shared" si="716"/>
        <v>0</v>
      </c>
      <c r="AY1385" s="1452">
        <f t="shared" si="717"/>
        <v>0</v>
      </c>
      <c r="AZ1385" s="1452">
        <f t="shared" si="718"/>
        <v>0</v>
      </c>
      <c r="BA1385" s="1452">
        <f t="shared" si="719"/>
        <v>0</v>
      </c>
      <c r="BB1385" s="1452">
        <f t="shared" si="720"/>
        <v>0</v>
      </c>
      <c r="BC1385" s="1452">
        <f t="shared" si="721"/>
        <v>0</v>
      </c>
      <c r="BD1385" s="1452">
        <f t="shared" si="722"/>
        <v>0</v>
      </c>
      <c r="BE1385" s="1452">
        <f t="shared" si="723"/>
        <v>0</v>
      </c>
      <c r="BF1385" s="1452">
        <f t="shared" si="724"/>
        <v>0</v>
      </c>
      <c r="BG1385" s="1452">
        <f t="shared" si="725"/>
        <v>0</v>
      </c>
      <c r="BH1385" s="1452">
        <f t="shared" si="726"/>
        <v>0</v>
      </c>
      <c r="BI1385" s="1452">
        <f t="shared" si="743"/>
        <v>0</v>
      </c>
      <c r="BJ1385" s="1452" t="str">
        <f t="shared" si="727"/>
        <v/>
      </c>
      <c r="BK1385" s="1452" t="str">
        <f t="shared" si="728"/>
        <v/>
      </c>
      <c r="BL1385" s="1452" t="str">
        <f t="shared" si="729"/>
        <v/>
      </c>
      <c r="BM1385" s="1452" t="str">
        <f t="shared" si="730"/>
        <v/>
      </c>
      <c r="BN1385" s="1452" t="str">
        <f t="shared" ca="1" si="731"/>
        <v/>
      </c>
      <c r="BO1385" s="1452" t="str">
        <f t="shared" si="744"/>
        <v/>
      </c>
      <c r="BP1385" s="1452" t="str">
        <f t="shared" si="732"/>
        <v/>
      </c>
      <c r="BQ1385" s="1452" t="str">
        <f t="shared" si="733"/>
        <v/>
      </c>
      <c r="BR1385" s="1452" t="str">
        <f t="shared" si="734"/>
        <v/>
      </c>
      <c r="BS1385" s="1452" t="str">
        <f t="shared" si="735"/>
        <v/>
      </c>
      <c r="BT1385" s="1452" t="str">
        <f t="shared" si="736"/>
        <v/>
      </c>
      <c r="BU1385" s="1452" t="str">
        <f t="shared" si="737"/>
        <v/>
      </c>
      <c r="BV1385" s="1452" t="str">
        <f t="shared" si="738"/>
        <v/>
      </c>
      <c r="BW1385" s="1558">
        <f t="shared" ca="1" si="745"/>
        <v>0</v>
      </c>
    </row>
    <row r="1386" spans="1:103" s="9" customFormat="1" ht="13">
      <c r="A1386" s="1483" t="str">
        <f t="shared" si="739"/>
        <v>Public Health Wales Trust</v>
      </c>
      <c r="B1386" s="1583"/>
      <c r="C1386" s="1510"/>
      <c r="D1386" s="1510"/>
      <c r="E1386" s="1584"/>
      <c r="F1386" s="1436"/>
      <c r="G1386" s="1547">
        <f t="shared" si="740"/>
        <v>0</v>
      </c>
      <c r="H1386" s="1484"/>
      <c r="I1386" s="1547">
        <f t="shared" si="741"/>
        <v>0</v>
      </c>
      <c r="J1386" s="1518"/>
      <c r="K1386" s="1518"/>
      <c r="L1386" s="1436"/>
      <c r="M1386" s="1439"/>
      <c r="N1386" s="1439"/>
      <c r="O1386" s="1485"/>
      <c r="P1386" s="1486"/>
      <c r="Q1386" s="1486"/>
      <c r="R1386" s="1487"/>
      <c r="S1386" s="1444"/>
      <c r="T1386" s="1444"/>
      <c r="U1386" s="1444"/>
      <c r="V1386" s="1488"/>
      <c r="W1386" s="1488"/>
      <c r="X1386" s="1488"/>
      <c r="Y1386" s="1488"/>
      <c r="Z1386" s="1488"/>
      <c r="AA1386" s="1488"/>
      <c r="AB1386" s="1488"/>
      <c r="AC1386" s="1488"/>
      <c r="AD1386" s="1488"/>
      <c r="AE1386" s="1488"/>
      <c r="AF1386" s="1488"/>
      <c r="AG1386" s="1488"/>
      <c r="AH1386" s="1451">
        <f t="shared" si="713"/>
        <v>0</v>
      </c>
      <c r="AI1386" s="1519"/>
      <c r="AJ1386" s="1519"/>
      <c r="AK1386" s="1488"/>
      <c r="AL1386" s="1488"/>
      <c r="AM1386" s="1488"/>
      <c r="AN1386" s="1488"/>
      <c r="AO1386" s="1488"/>
      <c r="AP1386" s="1488"/>
      <c r="AQ1386" s="1488"/>
      <c r="AR1386" s="1488"/>
      <c r="AS1386" s="1488"/>
      <c r="AT1386" s="1542"/>
      <c r="AU1386" s="1599">
        <f t="shared" si="714"/>
        <v>0</v>
      </c>
      <c r="AV1386" s="1544">
        <f t="shared" si="742"/>
        <v>0</v>
      </c>
      <c r="AW1386" s="1452">
        <f t="shared" si="715"/>
        <v>0</v>
      </c>
      <c r="AX1386" s="1452">
        <f t="shared" si="716"/>
        <v>0</v>
      </c>
      <c r="AY1386" s="1452">
        <f t="shared" si="717"/>
        <v>0</v>
      </c>
      <c r="AZ1386" s="1452">
        <f t="shared" si="718"/>
        <v>0</v>
      </c>
      <c r="BA1386" s="1452">
        <f t="shared" si="719"/>
        <v>0</v>
      </c>
      <c r="BB1386" s="1452">
        <f t="shared" si="720"/>
        <v>0</v>
      </c>
      <c r="BC1386" s="1452">
        <f t="shared" si="721"/>
        <v>0</v>
      </c>
      <c r="BD1386" s="1452">
        <f t="shared" si="722"/>
        <v>0</v>
      </c>
      <c r="BE1386" s="1452">
        <f t="shared" si="723"/>
        <v>0</v>
      </c>
      <c r="BF1386" s="1452">
        <f t="shared" si="724"/>
        <v>0</v>
      </c>
      <c r="BG1386" s="1452">
        <f t="shared" si="725"/>
        <v>0</v>
      </c>
      <c r="BH1386" s="1452">
        <f t="shared" si="726"/>
        <v>0</v>
      </c>
      <c r="BI1386" s="1452">
        <f t="shared" si="743"/>
        <v>0</v>
      </c>
      <c r="BJ1386" s="1452" t="str">
        <f t="shared" si="727"/>
        <v/>
      </c>
      <c r="BK1386" s="1452" t="str">
        <f t="shared" si="728"/>
        <v/>
      </c>
      <c r="BL1386" s="1452" t="str">
        <f t="shared" si="729"/>
        <v/>
      </c>
      <c r="BM1386" s="1452" t="str">
        <f t="shared" si="730"/>
        <v/>
      </c>
      <c r="BN1386" s="1452" t="str">
        <f t="shared" ca="1" si="731"/>
        <v/>
      </c>
      <c r="BO1386" s="1452" t="str">
        <f t="shared" si="744"/>
        <v/>
      </c>
      <c r="BP1386" s="1452" t="str">
        <f t="shared" si="732"/>
        <v/>
      </c>
      <c r="BQ1386" s="1452" t="str">
        <f t="shared" si="733"/>
        <v/>
      </c>
      <c r="BR1386" s="1452" t="str">
        <f t="shared" si="734"/>
        <v/>
      </c>
      <c r="BS1386" s="1452" t="str">
        <f t="shared" si="735"/>
        <v/>
      </c>
      <c r="BT1386" s="1452" t="str">
        <f t="shared" si="736"/>
        <v/>
      </c>
      <c r="BU1386" s="1452" t="str">
        <f t="shared" si="737"/>
        <v/>
      </c>
      <c r="BV1386" s="1452" t="str">
        <f t="shared" si="738"/>
        <v/>
      </c>
      <c r="BW1386" s="1558">
        <f t="shared" ca="1" si="745"/>
        <v>0</v>
      </c>
    </row>
    <row r="1387" spans="1:103" s="9" customFormat="1" ht="13">
      <c r="A1387" s="1483" t="str">
        <f t="shared" si="739"/>
        <v>Public Health Wales Trust</v>
      </c>
      <c r="B1387" s="1583"/>
      <c r="C1387" s="1510"/>
      <c r="D1387" s="1510"/>
      <c r="E1387" s="1598"/>
      <c r="F1387" s="1436"/>
      <c r="G1387" s="1547">
        <f t="shared" si="740"/>
        <v>0</v>
      </c>
      <c r="H1387" s="1484"/>
      <c r="I1387" s="1547">
        <f t="shared" si="741"/>
        <v>0</v>
      </c>
      <c r="J1387" s="1518"/>
      <c r="K1387" s="1518"/>
      <c r="L1387" s="1436"/>
      <c r="M1387" s="1443"/>
      <c r="N1387" s="1439"/>
      <c r="O1387" s="1485"/>
      <c r="P1387" s="1486"/>
      <c r="Q1387" s="1486"/>
      <c r="R1387" s="1487"/>
      <c r="S1387" s="1444"/>
      <c r="T1387" s="1444"/>
      <c r="U1387" s="1444"/>
      <c r="V1387" s="1488"/>
      <c r="W1387" s="1488"/>
      <c r="X1387" s="1488"/>
      <c r="Y1387" s="1488"/>
      <c r="Z1387" s="1488"/>
      <c r="AA1387" s="1488"/>
      <c r="AB1387" s="1488"/>
      <c r="AC1387" s="1488"/>
      <c r="AD1387" s="1488"/>
      <c r="AE1387" s="1488"/>
      <c r="AF1387" s="1488"/>
      <c r="AG1387" s="1488"/>
      <c r="AH1387" s="1451">
        <f t="shared" ref="AH1387:AH1450" si="746">SUM(V1387:AG1387)</f>
        <v>0</v>
      </c>
      <c r="AI1387" s="1519"/>
      <c r="AJ1387" s="1519"/>
      <c r="AK1387" s="1488"/>
      <c r="AL1387" s="1488"/>
      <c r="AM1387" s="1488"/>
      <c r="AN1387" s="1488"/>
      <c r="AO1387" s="1488"/>
      <c r="AP1387" s="1488"/>
      <c r="AQ1387" s="1488"/>
      <c r="AR1387" s="1488"/>
      <c r="AS1387" s="1488"/>
      <c r="AT1387" s="1542"/>
      <c r="AU1387" s="1599">
        <f t="shared" ref="AU1387:AU1450" si="747">SUMPRODUCT($AC$40:$AN$40,AI1387:AT1387)</f>
        <v>0</v>
      </c>
      <c r="AV1387" s="1544">
        <f t="shared" si="742"/>
        <v>0</v>
      </c>
      <c r="AW1387" s="1452">
        <f t="shared" ref="AW1387:AW1450" si="748">AI1387-V1387</f>
        <v>0</v>
      </c>
      <c r="AX1387" s="1452">
        <f t="shared" ref="AX1387:AX1450" si="749">AJ1387-W1387</f>
        <v>0</v>
      </c>
      <c r="AY1387" s="1452">
        <f t="shared" ref="AY1387:AY1450" si="750">AK1387-X1387</f>
        <v>0</v>
      </c>
      <c r="AZ1387" s="1452">
        <f t="shared" ref="AZ1387:AZ1450" si="751">AL1387-Y1387</f>
        <v>0</v>
      </c>
      <c r="BA1387" s="1452">
        <f t="shared" ref="BA1387:BA1450" si="752">AM1387-Z1387</f>
        <v>0</v>
      </c>
      <c r="BB1387" s="1452">
        <f t="shared" ref="BB1387:BB1450" si="753">AN1387-AA1387</f>
        <v>0</v>
      </c>
      <c r="BC1387" s="1452">
        <f t="shared" ref="BC1387:BC1450" si="754">AO1387-AB1387</f>
        <v>0</v>
      </c>
      <c r="BD1387" s="1452">
        <f t="shared" ref="BD1387:BD1450" si="755">AP1387-AC1387</f>
        <v>0</v>
      </c>
      <c r="BE1387" s="1452">
        <f t="shared" ref="BE1387:BE1450" si="756">AQ1387-AD1387</f>
        <v>0</v>
      </c>
      <c r="BF1387" s="1452">
        <f t="shared" ref="BF1387:BF1450" si="757">AR1387-AE1387</f>
        <v>0</v>
      </c>
      <c r="BG1387" s="1452">
        <f t="shared" ref="BG1387:BG1450" si="758">AS1387-AF1387</f>
        <v>0</v>
      </c>
      <c r="BH1387" s="1452">
        <f t="shared" ref="BH1387:BH1450" si="759">AT1387-AG1387</f>
        <v>0</v>
      </c>
      <c r="BI1387" s="1452">
        <f t="shared" si="743"/>
        <v>0</v>
      </c>
      <c r="BJ1387" s="1452" t="str">
        <f t="shared" ref="BJ1387:BJ1450" si="760">IF(OR(G1387&gt;0,I1387&gt;0),IF(AND(B1387&lt;&gt;"",C1387&lt;&gt;"",D1387&lt;&gt;"",E1387&lt;&gt;"",F1387&lt;&gt;"",L1387&lt;&gt;"",M1387&lt;&gt;"",N1387&lt;&gt;"",O1387&lt;&gt;"",P1387&lt;&gt;"",Q1387&lt;&gt;"",R1387&lt;&gt;""),"","ERROR"),"")</f>
        <v/>
      </c>
      <c r="BK1387" s="1452" t="str">
        <f t="shared" ref="BK1387:BK1450" si="761">IF(COUNTIF($D$43:$D$1496,D1387)&gt;1,"ERROR","")</f>
        <v/>
      </c>
      <c r="BL1387" s="1452" t="str">
        <f t="shared" ref="BL1387:BL1450" si="762">IF(AND(OR(R1387=$CQ$1,R1387=$CQ$3),S1387=""),"ERROR","")</f>
        <v/>
      </c>
      <c r="BM1387" s="1452" t="str">
        <f t="shared" ref="BM1387:BM1450" si="763">IF(AND(OR(R1387=$CQ$2),S1387&lt;&gt;""),"ERROR","")</f>
        <v/>
      </c>
      <c r="BN1387" s="1452" t="str">
        <f t="shared" ref="BN1387:BN1450" ca="1" si="764">IF(AND(O1387=$CA$2,N1387&lt;TODAY()),"ERROR","")</f>
        <v/>
      </c>
      <c r="BO1387" s="1452" t="str">
        <f t="shared" si="744"/>
        <v/>
      </c>
      <c r="BP1387" s="1452" t="str">
        <f t="shared" ref="BP1387:BP1450" si="765">IF(AND(F1387=$BZ$1,G1387&gt;H1387),"ERROR","")</f>
        <v/>
      </c>
      <c r="BQ1387" s="1452" t="str">
        <f t="shared" ref="BQ1387:BQ1450" si="766">IF(AND(F1387=$BZ$1,I1387&gt;J1387),"ERROR","")</f>
        <v/>
      </c>
      <c r="BR1387" s="1452" t="str">
        <f t="shared" ref="BR1387:BR1450" si="767">IF(AND(F1387=$BZ$2,SUM(H1387,J1387)&gt;0),"ERROR","")</f>
        <v/>
      </c>
      <c r="BS1387" s="1452" t="str">
        <f t="shared" ref="BS1387:BS1450" si="768">IF(AND(I1387=0,J1387&gt;0),"ERROR","")</f>
        <v/>
      </c>
      <c r="BT1387" s="1452" t="str">
        <f t="shared" ref="BT1387:BT1450" si="769">IF(AND(O1387=$CA$1,K1387&lt;&gt;0),"ERROR","")</f>
        <v/>
      </c>
      <c r="BU1387" s="1452" t="str">
        <f t="shared" ref="BU1387:BU1450" si="770">IF(AND(O1387=$CA$2,I1387-AU1387-K1387&lt;0),"ERROR","")</f>
        <v/>
      </c>
      <c r="BV1387" s="1452" t="str">
        <f t="shared" ref="BV1387:BV1450" si="771">IF(S1387="","",VLOOKUP(S1387,$CS$1:$CT$14,2,0))</f>
        <v/>
      </c>
      <c r="BW1387" s="1558">
        <f t="shared" ca="1" si="745"/>
        <v>0</v>
      </c>
    </row>
    <row r="1388" spans="1:103" s="9" customFormat="1" ht="13">
      <c r="A1388" s="1483" t="str">
        <f t="shared" ref="A1388:A1451" si="772">$A$1</f>
        <v>Public Health Wales Trust</v>
      </c>
      <c r="B1388" s="1583"/>
      <c r="C1388" s="1510"/>
      <c r="D1388" s="1510"/>
      <c r="E1388" s="1596"/>
      <c r="F1388" s="1436"/>
      <c r="G1388" s="1547">
        <f t="shared" ref="G1388:G1451" si="773">AH1388</f>
        <v>0</v>
      </c>
      <c r="H1388" s="1484"/>
      <c r="I1388" s="1547">
        <f t="shared" ref="I1388:I1451" si="774">AV1388</f>
        <v>0</v>
      </c>
      <c r="J1388" s="1485"/>
      <c r="K1388" s="1485"/>
      <c r="L1388" s="1436"/>
      <c r="M1388" s="1443"/>
      <c r="N1388" s="1439"/>
      <c r="O1388" s="1485"/>
      <c r="P1388" s="1486"/>
      <c r="Q1388" s="1486"/>
      <c r="R1388" s="1487"/>
      <c r="S1388" s="1444"/>
      <c r="T1388" s="1444"/>
      <c r="U1388" s="1444"/>
      <c r="V1388" s="1488"/>
      <c r="W1388" s="1488"/>
      <c r="X1388" s="1488"/>
      <c r="Y1388" s="1488"/>
      <c r="Z1388" s="1488"/>
      <c r="AA1388" s="1488"/>
      <c r="AB1388" s="1488"/>
      <c r="AC1388" s="1488"/>
      <c r="AD1388" s="1488"/>
      <c r="AE1388" s="1488"/>
      <c r="AF1388" s="1488"/>
      <c r="AG1388" s="1488"/>
      <c r="AH1388" s="1451">
        <f t="shared" si="746"/>
        <v>0</v>
      </c>
      <c r="AI1388" s="1519"/>
      <c r="AJ1388" s="1519"/>
      <c r="AK1388" s="1488"/>
      <c r="AL1388" s="1488"/>
      <c r="AM1388" s="1488"/>
      <c r="AN1388" s="1488"/>
      <c r="AO1388" s="1488"/>
      <c r="AP1388" s="1488"/>
      <c r="AQ1388" s="1488"/>
      <c r="AR1388" s="1488"/>
      <c r="AS1388" s="1488"/>
      <c r="AT1388" s="1542"/>
      <c r="AU1388" s="1599">
        <f t="shared" si="747"/>
        <v>0</v>
      </c>
      <c r="AV1388" s="1544">
        <f t="shared" ref="AV1388:AV1451" si="775">SUM(AI1388:AT1388)</f>
        <v>0</v>
      </c>
      <c r="AW1388" s="1452">
        <f t="shared" si="748"/>
        <v>0</v>
      </c>
      <c r="AX1388" s="1452">
        <f t="shared" si="749"/>
        <v>0</v>
      </c>
      <c r="AY1388" s="1452">
        <f t="shared" si="750"/>
        <v>0</v>
      </c>
      <c r="AZ1388" s="1452">
        <f t="shared" si="751"/>
        <v>0</v>
      </c>
      <c r="BA1388" s="1452">
        <f t="shared" si="752"/>
        <v>0</v>
      </c>
      <c r="BB1388" s="1452">
        <f t="shared" si="753"/>
        <v>0</v>
      </c>
      <c r="BC1388" s="1452">
        <f t="shared" si="754"/>
        <v>0</v>
      </c>
      <c r="BD1388" s="1452">
        <f t="shared" si="755"/>
        <v>0</v>
      </c>
      <c r="BE1388" s="1452">
        <f t="shared" si="756"/>
        <v>0</v>
      </c>
      <c r="BF1388" s="1452">
        <f t="shared" si="757"/>
        <v>0</v>
      </c>
      <c r="BG1388" s="1452">
        <f t="shared" si="758"/>
        <v>0</v>
      </c>
      <c r="BH1388" s="1452">
        <f t="shared" si="759"/>
        <v>0</v>
      </c>
      <c r="BI1388" s="1452">
        <f t="shared" ref="BI1388:BI1451" si="776">SUM(AW1388:BH1388)</f>
        <v>0</v>
      </c>
      <c r="BJ1388" s="1452" t="str">
        <f t="shared" si="760"/>
        <v/>
      </c>
      <c r="BK1388" s="1452" t="str">
        <f t="shared" si="761"/>
        <v/>
      </c>
      <c r="BL1388" s="1452" t="str">
        <f t="shared" si="762"/>
        <v/>
      </c>
      <c r="BM1388" s="1452" t="str">
        <f t="shared" si="763"/>
        <v/>
      </c>
      <c r="BN1388" s="1452" t="str">
        <f t="shared" ca="1" si="764"/>
        <v/>
      </c>
      <c r="BO1388" s="1452" t="str">
        <f t="shared" ref="BO1388:BO1451" si="777">IF(AND(AV1388&gt;0,AH1388=0),"ERROR","")</f>
        <v/>
      </c>
      <c r="BP1388" s="1452" t="str">
        <f t="shared" si="765"/>
        <v/>
      </c>
      <c r="BQ1388" s="1452" t="str">
        <f t="shared" si="766"/>
        <v/>
      </c>
      <c r="BR1388" s="1452" t="str">
        <f t="shared" si="767"/>
        <v/>
      </c>
      <c r="BS1388" s="1452" t="str">
        <f t="shared" si="768"/>
        <v/>
      </c>
      <c r="BT1388" s="1452" t="str">
        <f t="shared" si="769"/>
        <v/>
      </c>
      <c r="BU1388" s="1452" t="str">
        <f t="shared" si="770"/>
        <v/>
      </c>
      <c r="BV1388" s="1452" t="str">
        <f t="shared" si="771"/>
        <v/>
      </c>
      <c r="BW1388" s="1558">
        <f t="shared" ref="BW1388:BW1451" ca="1" si="778">COUNTIF(BJ1388:BU1388,"ERROR")</f>
        <v>0</v>
      </c>
    </row>
    <row r="1389" spans="1:103" s="9" customFormat="1" ht="13">
      <c r="A1389" s="1483" t="str">
        <f t="shared" si="772"/>
        <v>Public Health Wales Trust</v>
      </c>
      <c r="B1389" s="1583"/>
      <c r="C1389" s="1583"/>
      <c r="D1389" s="1583"/>
      <c r="E1389" s="1581"/>
      <c r="F1389" s="1436"/>
      <c r="G1389" s="1547">
        <f t="shared" si="773"/>
        <v>0</v>
      </c>
      <c r="H1389" s="1484"/>
      <c r="I1389" s="1547">
        <f t="shared" si="774"/>
        <v>0</v>
      </c>
      <c r="J1389" s="1485"/>
      <c r="K1389" s="1485"/>
      <c r="L1389" s="1436"/>
      <c r="M1389" s="1439"/>
      <c r="N1389" s="1439"/>
      <c r="O1389" s="1485"/>
      <c r="P1389" s="1486"/>
      <c r="Q1389" s="1486"/>
      <c r="R1389" s="1487"/>
      <c r="S1389" s="1444"/>
      <c r="T1389" s="1444"/>
      <c r="U1389" s="1444"/>
      <c r="V1389" s="1488"/>
      <c r="W1389" s="1488"/>
      <c r="X1389" s="1488"/>
      <c r="Y1389" s="1488"/>
      <c r="Z1389" s="1488"/>
      <c r="AA1389" s="1488"/>
      <c r="AB1389" s="1488"/>
      <c r="AC1389" s="1488"/>
      <c r="AD1389" s="1488"/>
      <c r="AE1389" s="1488"/>
      <c r="AF1389" s="1488"/>
      <c r="AG1389" s="1488"/>
      <c r="AH1389" s="1451">
        <f t="shared" si="746"/>
        <v>0</v>
      </c>
      <c r="AI1389" s="1519"/>
      <c r="AJ1389" s="1519"/>
      <c r="AK1389" s="1488"/>
      <c r="AL1389" s="1488"/>
      <c r="AM1389" s="1488"/>
      <c r="AN1389" s="1488"/>
      <c r="AO1389" s="1488"/>
      <c r="AP1389" s="1488"/>
      <c r="AQ1389" s="1488"/>
      <c r="AR1389" s="1488"/>
      <c r="AS1389" s="1488"/>
      <c r="AT1389" s="1542"/>
      <c r="AU1389" s="1599">
        <f t="shared" si="747"/>
        <v>0</v>
      </c>
      <c r="AV1389" s="1544">
        <f t="shared" si="775"/>
        <v>0</v>
      </c>
      <c r="AW1389" s="1452">
        <f t="shared" si="748"/>
        <v>0</v>
      </c>
      <c r="AX1389" s="1452">
        <f t="shared" si="749"/>
        <v>0</v>
      </c>
      <c r="AY1389" s="1452">
        <f t="shared" si="750"/>
        <v>0</v>
      </c>
      <c r="AZ1389" s="1452">
        <f t="shared" si="751"/>
        <v>0</v>
      </c>
      <c r="BA1389" s="1452">
        <f t="shared" si="752"/>
        <v>0</v>
      </c>
      <c r="BB1389" s="1452">
        <f t="shared" si="753"/>
        <v>0</v>
      </c>
      <c r="BC1389" s="1452">
        <f t="shared" si="754"/>
        <v>0</v>
      </c>
      <c r="BD1389" s="1452">
        <f t="shared" si="755"/>
        <v>0</v>
      </c>
      <c r="BE1389" s="1452">
        <f t="shared" si="756"/>
        <v>0</v>
      </c>
      <c r="BF1389" s="1452">
        <f t="shared" si="757"/>
        <v>0</v>
      </c>
      <c r="BG1389" s="1452">
        <f t="shared" si="758"/>
        <v>0</v>
      </c>
      <c r="BH1389" s="1452">
        <f t="shared" si="759"/>
        <v>0</v>
      </c>
      <c r="BI1389" s="1452">
        <f t="shared" si="776"/>
        <v>0</v>
      </c>
      <c r="BJ1389" s="1452" t="str">
        <f t="shared" si="760"/>
        <v/>
      </c>
      <c r="BK1389" s="1452" t="str">
        <f t="shared" si="761"/>
        <v/>
      </c>
      <c r="BL1389" s="1452" t="str">
        <f t="shared" si="762"/>
        <v/>
      </c>
      <c r="BM1389" s="1452" t="str">
        <f t="shared" si="763"/>
        <v/>
      </c>
      <c r="BN1389" s="1452" t="str">
        <f t="shared" ca="1" si="764"/>
        <v/>
      </c>
      <c r="BO1389" s="1452" t="str">
        <f t="shared" si="777"/>
        <v/>
      </c>
      <c r="BP1389" s="1452" t="str">
        <f t="shared" si="765"/>
        <v/>
      </c>
      <c r="BQ1389" s="1452" t="str">
        <f t="shared" si="766"/>
        <v/>
      </c>
      <c r="BR1389" s="1452" t="str">
        <f t="shared" si="767"/>
        <v/>
      </c>
      <c r="BS1389" s="1452" t="str">
        <f t="shared" si="768"/>
        <v/>
      </c>
      <c r="BT1389" s="1452" t="str">
        <f t="shared" si="769"/>
        <v/>
      </c>
      <c r="BU1389" s="1452" t="str">
        <f t="shared" si="770"/>
        <v/>
      </c>
      <c r="BV1389" s="1452" t="str">
        <f t="shared" si="771"/>
        <v/>
      </c>
      <c r="BW1389" s="1558">
        <f t="shared" ca="1" si="778"/>
        <v>0</v>
      </c>
      <c r="CY1389" s="1438"/>
    </row>
    <row r="1390" spans="1:103" s="9" customFormat="1" ht="13">
      <c r="A1390" s="1483" t="str">
        <f t="shared" si="772"/>
        <v>Public Health Wales Trust</v>
      </c>
      <c r="B1390" s="1583"/>
      <c r="C1390" s="1583"/>
      <c r="D1390" s="1583"/>
      <c r="E1390" s="1581"/>
      <c r="F1390" s="1436"/>
      <c r="G1390" s="1547">
        <f t="shared" si="773"/>
        <v>0</v>
      </c>
      <c r="H1390" s="1484"/>
      <c r="I1390" s="1547">
        <f t="shared" si="774"/>
        <v>0</v>
      </c>
      <c r="J1390" s="1485"/>
      <c r="K1390" s="1485"/>
      <c r="L1390" s="1436"/>
      <c r="M1390" s="1439"/>
      <c r="N1390" s="1439"/>
      <c r="O1390" s="1485"/>
      <c r="P1390" s="1486"/>
      <c r="Q1390" s="1486"/>
      <c r="R1390" s="1487"/>
      <c r="S1390" s="1444"/>
      <c r="T1390" s="1444"/>
      <c r="U1390" s="1444"/>
      <c r="V1390" s="1488"/>
      <c r="W1390" s="1488"/>
      <c r="X1390" s="1488"/>
      <c r="Y1390" s="1488"/>
      <c r="Z1390" s="1488"/>
      <c r="AA1390" s="1488"/>
      <c r="AB1390" s="1488"/>
      <c r="AC1390" s="1488"/>
      <c r="AD1390" s="1488"/>
      <c r="AE1390" s="1488"/>
      <c r="AF1390" s="1488"/>
      <c r="AG1390" s="1488"/>
      <c r="AH1390" s="1451">
        <f t="shared" si="746"/>
        <v>0</v>
      </c>
      <c r="AI1390" s="1519"/>
      <c r="AJ1390" s="1519"/>
      <c r="AK1390" s="1488"/>
      <c r="AL1390" s="1488"/>
      <c r="AM1390" s="1488"/>
      <c r="AN1390" s="1488"/>
      <c r="AO1390" s="1488"/>
      <c r="AP1390" s="1488"/>
      <c r="AQ1390" s="1488"/>
      <c r="AR1390" s="1488"/>
      <c r="AS1390" s="1488"/>
      <c r="AT1390" s="1542"/>
      <c r="AU1390" s="1599">
        <f t="shared" si="747"/>
        <v>0</v>
      </c>
      <c r="AV1390" s="1544">
        <f t="shared" si="775"/>
        <v>0</v>
      </c>
      <c r="AW1390" s="1452">
        <f t="shared" si="748"/>
        <v>0</v>
      </c>
      <c r="AX1390" s="1452">
        <f t="shared" si="749"/>
        <v>0</v>
      </c>
      <c r="AY1390" s="1452">
        <f t="shared" si="750"/>
        <v>0</v>
      </c>
      <c r="AZ1390" s="1452">
        <f t="shared" si="751"/>
        <v>0</v>
      </c>
      <c r="BA1390" s="1452">
        <f t="shared" si="752"/>
        <v>0</v>
      </c>
      <c r="BB1390" s="1452">
        <f t="shared" si="753"/>
        <v>0</v>
      </c>
      <c r="BC1390" s="1452">
        <f t="shared" si="754"/>
        <v>0</v>
      </c>
      <c r="BD1390" s="1452">
        <f t="shared" si="755"/>
        <v>0</v>
      </c>
      <c r="BE1390" s="1452">
        <f t="shared" si="756"/>
        <v>0</v>
      </c>
      <c r="BF1390" s="1452">
        <f t="shared" si="757"/>
        <v>0</v>
      </c>
      <c r="BG1390" s="1452">
        <f t="shared" si="758"/>
        <v>0</v>
      </c>
      <c r="BH1390" s="1452">
        <f t="shared" si="759"/>
        <v>0</v>
      </c>
      <c r="BI1390" s="1452">
        <f t="shared" si="776"/>
        <v>0</v>
      </c>
      <c r="BJ1390" s="1452" t="str">
        <f t="shared" si="760"/>
        <v/>
      </c>
      <c r="BK1390" s="1452" t="str">
        <f t="shared" si="761"/>
        <v/>
      </c>
      <c r="BL1390" s="1452" t="str">
        <f t="shared" si="762"/>
        <v/>
      </c>
      <c r="BM1390" s="1452" t="str">
        <f t="shared" si="763"/>
        <v/>
      </c>
      <c r="BN1390" s="1452" t="str">
        <f t="shared" ca="1" si="764"/>
        <v/>
      </c>
      <c r="BO1390" s="1452" t="str">
        <f t="shared" si="777"/>
        <v/>
      </c>
      <c r="BP1390" s="1452" t="str">
        <f t="shared" si="765"/>
        <v/>
      </c>
      <c r="BQ1390" s="1452" t="str">
        <f t="shared" si="766"/>
        <v/>
      </c>
      <c r="BR1390" s="1452" t="str">
        <f t="shared" si="767"/>
        <v/>
      </c>
      <c r="BS1390" s="1452" t="str">
        <f t="shared" si="768"/>
        <v/>
      </c>
      <c r="BT1390" s="1452" t="str">
        <f t="shared" si="769"/>
        <v/>
      </c>
      <c r="BU1390" s="1452" t="str">
        <f t="shared" si="770"/>
        <v/>
      </c>
      <c r="BV1390" s="1452" t="str">
        <f t="shared" si="771"/>
        <v/>
      </c>
      <c r="BW1390" s="1558">
        <f t="shared" ca="1" si="778"/>
        <v>0</v>
      </c>
    </row>
    <row r="1391" spans="1:103" s="1438" customFormat="1" ht="13">
      <c r="A1391" s="1483" t="str">
        <f t="shared" si="772"/>
        <v>Public Health Wales Trust</v>
      </c>
      <c r="B1391" s="1583"/>
      <c r="C1391" s="1583"/>
      <c r="D1391" s="1583"/>
      <c r="E1391" s="1581"/>
      <c r="F1391" s="1436"/>
      <c r="G1391" s="1547">
        <f t="shared" si="773"/>
        <v>0</v>
      </c>
      <c r="H1391" s="1484"/>
      <c r="I1391" s="1547">
        <f t="shared" si="774"/>
        <v>0</v>
      </c>
      <c r="J1391" s="1485"/>
      <c r="K1391" s="1485"/>
      <c r="L1391" s="1436"/>
      <c r="M1391" s="1439"/>
      <c r="N1391" s="1439"/>
      <c r="O1391" s="1485"/>
      <c r="P1391" s="1486"/>
      <c r="Q1391" s="1486"/>
      <c r="R1391" s="1487"/>
      <c r="S1391" s="1444"/>
      <c r="T1391" s="1444"/>
      <c r="U1391" s="1444"/>
      <c r="V1391" s="1488"/>
      <c r="W1391" s="1488"/>
      <c r="X1391" s="1488"/>
      <c r="Y1391" s="1488"/>
      <c r="Z1391" s="1488"/>
      <c r="AA1391" s="1488"/>
      <c r="AB1391" s="1488"/>
      <c r="AC1391" s="1488"/>
      <c r="AD1391" s="1488"/>
      <c r="AE1391" s="1488"/>
      <c r="AF1391" s="1488"/>
      <c r="AG1391" s="1488"/>
      <c r="AH1391" s="1451">
        <f t="shared" si="746"/>
        <v>0</v>
      </c>
      <c r="AI1391" s="1488"/>
      <c r="AJ1391" s="1488"/>
      <c r="AK1391" s="1488"/>
      <c r="AL1391" s="1488"/>
      <c r="AM1391" s="1488"/>
      <c r="AN1391" s="1488"/>
      <c r="AO1391" s="1488"/>
      <c r="AP1391" s="1488"/>
      <c r="AQ1391" s="1488"/>
      <c r="AR1391" s="1488"/>
      <c r="AS1391" s="1488"/>
      <c r="AT1391" s="1542"/>
      <c r="AU1391" s="1599">
        <f t="shared" si="747"/>
        <v>0</v>
      </c>
      <c r="AV1391" s="1544">
        <f t="shared" si="775"/>
        <v>0</v>
      </c>
      <c r="AW1391" s="1452">
        <f t="shared" si="748"/>
        <v>0</v>
      </c>
      <c r="AX1391" s="1452">
        <f t="shared" si="749"/>
        <v>0</v>
      </c>
      <c r="AY1391" s="1452">
        <f t="shared" si="750"/>
        <v>0</v>
      </c>
      <c r="AZ1391" s="1452">
        <f t="shared" si="751"/>
        <v>0</v>
      </c>
      <c r="BA1391" s="1452">
        <f t="shared" si="752"/>
        <v>0</v>
      </c>
      <c r="BB1391" s="1452">
        <f t="shared" si="753"/>
        <v>0</v>
      </c>
      <c r="BC1391" s="1452">
        <f t="shared" si="754"/>
        <v>0</v>
      </c>
      <c r="BD1391" s="1452">
        <f t="shared" si="755"/>
        <v>0</v>
      </c>
      <c r="BE1391" s="1452">
        <f t="shared" si="756"/>
        <v>0</v>
      </c>
      <c r="BF1391" s="1452">
        <f t="shared" si="757"/>
        <v>0</v>
      </c>
      <c r="BG1391" s="1452">
        <f t="shared" si="758"/>
        <v>0</v>
      </c>
      <c r="BH1391" s="1452">
        <f t="shared" si="759"/>
        <v>0</v>
      </c>
      <c r="BI1391" s="1452">
        <f t="shared" si="776"/>
        <v>0</v>
      </c>
      <c r="BJ1391" s="1452" t="str">
        <f t="shared" si="760"/>
        <v/>
      </c>
      <c r="BK1391" s="1452" t="str">
        <f t="shared" si="761"/>
        <v/>
      </c>
      <c r="BL1391" s="1452" t="str">
        <f t="shared" si="762"/>
        <v/>
      </c>
      <c r="BM1391" s="1452" t="str">
        <f t="shared" si="763"/>
        <v/>
      </c>
      <c r="BN1391" s="1452" t="str">
        <f t="shared" ca="1" si="764"/>
        <v/>
      </c>
      <c r="BO1391" s="1452" t="str">
        <f t="shared" si="777"/>
        <v/>
      </c>
      <c r="BP1391" s="1452" t="str">
        <f t="shared" si="765"/>
        <v/>
      </c>
      <c r="BQ1391" s="1452" t="str">
        <f t="shared" si="766"/>
        <v/>
      </c>
      <c r="BR1391" s="1452" t="str">
        <f t="shared" si="767"/>
        <v/>
      </c>
      <c r="BS1391" s="1452" t="str">
        <f t="shared" si="768"/>
        <v/>
      </c>
      <c r="BT1391" s="1452" t="str">
        <f t="shared" si="769"/>
        <v/>
      </c>
      <c r="BU1391" s="1452" t="str">
        <f t="shared" si="770"/>
        <v/>
      </c>
      <c r="BV1391" s="1452" t="str">
        <f t="shared" si="771"/>
        <v/>
      </c>
      <c r="BW1391" s="1558">
        <f t="shared" ca="1" si="778"/>
        <v>0</v>
      </c>
      <c r="CI1391" s="9"/>
      <c r="CY1391" s="9"/>
    </row>
    <row r="1392" spans="1:103" s="9" customFormat="1" ht="13">
      <c r="A1392" s="1483" t="str">
        <f t="shared" si="772"/>
        <v>Public Health Wales Trust</v>
      </c>
      <c r="B1392" s="1583"/>
      <c r="C1392" s="1583"/>
      <c r="D1392" s="1583"/>
      <c r="E1392" s="1581"/>
      <c r="F1392" s="1436"/>
      <c r="G1392" s="1547">
        <f t="shared" si="773"/>
        <v>0</v>
      </c>
      <c r="H1392" s="1484"/>
      <c r="I1392" s="1547">
        <f t="shared" si="774"/>
        <v>0</v>
      </c>
      <c r="J1392" s="1485"/>
      <c r="K1392" s="1485"/>
      <c r="L1392" s="1436"/>
      <c r="M1392" s="1439"/>
      <c r="N1392" s="1439"/>
      <c r="O1392" s="1485"/>
      <c r="P1392" s="1486"/>
      <c r="Q1392" s="1486"/>
      <c r="R1392" s="1487"/>
      <c r="S1392" s="1444"/>
      <c r="T1392" s="1444"/>
      <c r="U1392" s="1444"/>
      <c r="V1392" s="1488"/>
      <c r="W1392" s="1488"/>
      <c r="X1392" s="1488"/>
      <c r="Y1392" s="1488"/>
      <c r="Z1392" s="1488"/>
      <c r="AA1392" s="1488"/>
      <c r="AB1392" s="1488"/>
      <c r="AC1392" s="1488"/>
      <c r="AD1392" s="1488"/>
      <c r="AE1392" s="1488"/>
      <c r="AF1392" s="1488"/>
      <c r="AG1392" s="1488"/>
      <c r="AH1392" s="1451">
        <f t="shared" si="746"/>
        <v>0</v>
      </c>
      <c r="AI1392" s="1488"/>
      <c r="AJ1392" s="1488"/>
      <c r="AK1392" s="1488"/>
      <c r="AL1392" s="1488"/>
      <c r="AM1392" s="1488"/>
      <c r="AN1392" s="1488"/>
      <c r="AO1392" s="1488"/>
      <c r="AP1392" s="1488"/>
      <c r="AQ1392" s="1488"/>
      <c r="AR1392" s="1488"/>
      <c r="AS1392" s="1488"/>
      <c r="AT1392" s="1542"/>
      <c r="AU1392" s="1599">
        <f t="shared" si="747"/>
        <v>0</v>
      </c>
      <c r="AV1392" s="1544">
        <f t="shared" si="775"/>
        <v>0</v>
      </c>
      <c r="AW1392" s="1452">
        <f t="shared" si="748"/>
        <v>0</v>
      </c>
      <c r="AX1392" s="1452">
        <f t="shared" si="749"/>
        <v>0</v>
      </c>
      <c r="AY1392" s="1452">
        <f t="shared" si="750"/>
        <v>0</v>
      </c>
      <c r="AZ1392" s="1452">
        <f t="shared" si="751"/>
        <v>0</v>
      </c>
      <c r="BA1392" s="1452">
        <f t="shared" si="752"/>
        <v>0</v>
      </c>
      <c r="BB1392" s="1452">
        <f t="shared" si="753"/>
        <v>0</v>
      </c>
      <c r="BC1392" s="1452">
        <f t="shared" si="754"/>
        <v>0</v>
      </c>
      <c r="BD1392" s="1452">
        <f t="shared" si="755"/>
        <v>0</v>
      </c>
      <c r="BE1392" s="1452">
        <f t="shared" si="756"/>
        <v>0</v>
      </c>
      <c r="BF1392" s="1452">
        <f t="shared" si="757"/>
        <v>0</v>
      </c>
      <c r="BG1392" s="1452">
        <f t="shared" si="758"/>
        <v>0</v>
      </c>
      <c r="BH1392" s="1452">
        <f t="shared" si="759"/>
        <v>0</v>
      </c>
      <c r="BI1392" s="1452">
        <f t="shared" si="776"/>
        <v>0</v>
      </c>
      <c r="BJ1392" s="1452" t="str">
        <f t="shared" si="760"/>
        <v/>
      </c>
      <c r="BK1392" s="1452" t="str">
        <f t="shared" si="761"/>
        <v/>
      </c>
      <c r="BL1392" s="1452" t="str">
        <f t="shared" si="762"/>
        <v/>
      </c>
      <c r="BM1392" s="1452" t="str">
        <f t="shared" si="763"/>
        <v/>
      </c>
      <c r="BN1392" s="1452" t="str">
        <f t="shared" ca="1" si="764"/>
        <v/>
      </c>
      <c r="BO1392" s="1452" t="str">
        <f t="shared" si="777"/>
        <v/>
      </c>
      <c r="BP1392" s="1452" t="str">
        <f t="shared" si="765"/>
        <v/>
      </c>
      <c r="BQ1392" s="1452" t="str">
        <f t="shared" si="766"/>
        <v/>
      </c>
      <c r="BR1392" s="1452" t="str">
        <f t="shared" si="767"/>
        <v/>
      </c>
      <c r="BS1392" s="1452" t="str">
        <f t="shared" si="768"/>
        <v/>
      </c>
      <c r="BT1392" s="1452" t="str">
        <f t="shared" si="769"/>
        <v/>
      </c>
      <c r="BU1392" s="1452" t="str">
        <f t="shared" si="770"/>
        <v/>
      </c>
      <c r="BV1392" s="1452" t="str">
        <f t="shared" si="771"/>
        <v/>
      </c>
      <c r="BW1392" s="1558">
        <f t="shared" ca="1" si="778"/>
        <v>0</v>
      </c>
      <c r="CI1392" s="1438"/>
    </row>
    <row r="1393" spans="1:151" s="9" customFormat="1" ht="13">
      <c r="A1393" s="1483" t="str">
        <f t="shared" si="772"/>
        <v>Public Health Wales Trust</v>
      </c>
      <c r="B1393" s="1583"/>
      <c r="C1393" s="1583"/>
      <c r="D1393" s="1582"/>
      <c r="E1393" s="1581"/>
      <c r="F1393" s="1436"/>
      <c r="G1393" s="1547">
        <f t="shared" si="773"/>
        <v>0</v>
      </c>
      <c r="H1393" s="1484"/>
      <c r="I1393" s="1547">
        <f t="shared" si="774"/>
        <v>0</v>
      </c>
      <c r="J1393" s="1485"/>
      <c r="K1393" s="1485"/>
      <c r="L1393" s="1436"/>
      <c r="M1393" s="1439"/>
      <c r="N1393" s="1439"/>
      <c r="O1393" s="1485"/>
      <c r="P1393" s="1486"/>
      <c r="Q1393" s="1486"/>
      <c r="R1393" s="1487"/>
      <c r="S1393" s="1444"/>
      <c r="T1393" s="1444"/>
      <c r="U1393" s="1444"/>
      <c r="V1393" s="1488"/>
      <c r="W1393" s="1488"/>
      <c r="X1393" s="1488"/>
      <c r="Y1393" s="1488"/>
      <c r="Z1393" s="1488"/>
      <c r="AA1393" s="1488"/>
      <c r="AB1393" s="1488"/>
      <c r="AC1393" s="1488"/>
      <c r="AD1393" s="1488"/>
      <c r="AE1393" s="1488"/>
      <c r="AF1393" s="1488"/>
      <c r="AG1393" s="1488"/>
      <c r="AH1393" s="1451">
        <f t="shared" si="746"/>
        <v>0</v>
      </c>
      <c r="AI1393" s="1519"/>
      <c r="AJ1393" s="1519"/>
      <c r="AK1393" s="1519"/>
      <c r="AL1393" s="1519"/>
      <c r="AM1393" s="1519"/>
      <c r="AN1393" s="1519"/>
      <c r="AO1393" s="1519"/>
      <c r="AP1393" s="1519"/>
      <c r="AQ1393" s="1519"/>
      <c r="AR1393" s="1519"/>
      <c r="AS1393" s="1519"/>
      <c r="AT1393" s="1543"/>
      <c r="AU1393" s="1599">
        <f t="shared" si="747"/>
        <v>0</v>
      </c>
      <c r="AV1393" s="1544">
        <f t="shared" si="775"/>
        <v>0</v>
      </c>
      <c r="AW1393" s="1452">
        <f t="shared" si="748"/>
        <v>0</v>
      </c>
      <c r="AX1393" s="1452">
        <f t="shared" si="749"/>
        <v>0</v>
      </c>
      <c r="AY1393" s="1452">
        <f t="shared" si="750"/>
        <v>0</v>
      </c>
      <c r="AZ1393" s="1452">
        <f t="shared" si="751"/>
        <v>0</v>
      </c>
      <c r="BA1393" s="1452">
        <f t="shared" si="752"/>
        <v>0</v>
      </c>
      <c r="BB1393" s="1452">
        <f t="shared" si="753"/>
        <v>0</v>
      </c>
      <c r="BC1393" s="1452">
        <f t="shared" si="754"/>
        <v>0</v>
      </c>
      <c r="BD1393" s="1452">
        <f t="shared" si="755"/>
        <v>0</v>
      </c>
      <c r="BE1393" s="1452">
        <f t="shared" si="756"/>
        <v>0</v>
      </c>
      <c r="BF1393" s="1452">
        <f t="shared" si="757"/>
        <v>0</v>
      </c>
      <c r="BG1393" s="1452">
        <f t="shared" si="758"/>
        <v>0</v>
      </c>
      <c r="BH1393" s="1452">
        <f t="shared" si="759"/>
        <v>0</v>
      </c>
      <c r="BI1393" s="1452">
        <f t="shared" si="776"/>
        <v>0</v>
      </c>
      <c r="BJ1393" s="1452" t="str">
        <f t="shared" si="760"/>
        <v/>
      </c>
      <c r="BK1393" s="1452" t="str">
        <f t="shared" si="761"/>
        <v/>
      </c>
      <c r="BL1393" s="1452" t="str">
        <f t="shared" si="762"/>
        <v/>
      </c>
      <c r="BM1393" s="1452" t="str">
        <f t="shared" si="763"/>
        <v/>
      </c>
      <c r="BN1393" s="1452" t="str">
        <f t="shared" ca="1" si="764"/>
        <v/>
      </c>
      <c r="BO1393" s="1452" t="str">
        <f t="shared" si="777"/>
        <v/>
      </c>
      <c r="BP1393" s="1452" t="str">
        <f t="shared" si="765"/>
        <v/>
      </c>
      <c r="BQ1393" s="1452" t="str">
        <f t="shared" si="766"/>
        <v/>
      </c>
      <c r="BR1393" s="1452" t="str">
        <f t="shared" si="767"/>
        <v/>
      </c>
      <c r="BS1393" s="1452" t="str">
        <f t="shared" si="768"/>
        <v/>
      </c>
      <c r="BT1393" s="1452" t="str">
        <f t="shared" si="769"/>
        <v/>
      </c>
      <c r="BU1393" s="1452" t="str">
        <f t="shared" si="770"/>
        <v/>
      </c>
      <c r="BV1393" s="1452" t="str">
        <f t="shared" si="771"/>
        <v/>
      </c>
      <c r="BW1393" s="1558">
        <f t="shared" ca="1" si="778"/>
        <v>0</v>
      </c>
    </row>
    <row r="1394" spans="1:151" s="9" customFormat="1" ht="12.5">
      <c r="A1394" s="1483" t="str">
        <f t="shared" si="772"/>
        <v>Public Health Wales Trust</v>
      </c>
      <c r="B1394" s="1583"/>
      <c r="C1394" s="1510"/>
      <c r="D1394" s="1510"/>
      <c r="E1394" s="1581"/>
      <c r="F1394" s="1436"/>
      <c r="G1394" s="1547">
        <f t="shared" si="773"/>
        <v>0</v>
      </c>
      <c r="H1394" s="1484"/>
      <c r="I1394" s="1547">
        <f t="shared" si="774"/>
        <v>0</v>
      </c>
      <c r="J1394" s="1485"/>
      <c r="K1394" s="1485"/>
      <c r="L1394" s="1436"/>
      <c r="M1394" s="1439"/>
      <c r="N1394" s="1444"/>
      <c r="O1394" s="1485"/>
      <c r="P1394" s="1486"/>
      <c r="Q1394" s="1486"/>
      <c r="R1394" s="1487"/>
      <c r="S1394" s="1444"/>
      <c r="T1394" s="1444"/>
      <c r="U1394" s="1444"/>
      <c r="V1394" s="1488"/>
      <c r="W1394" s="1488"/>
      <c r="X1394" s="1488"/>
      <c r="Y1394" s="1488"/>
      <c r="Z1394" s="1488"/>
      <c r="AA1394" s="1488"/>
      <c r="AB1394" s="1488"/>
      <c r="AC1394" s="1488"/>
      <c r="AD1394" s="1488"/>
      <c r="AE1394" s="1488"/>
      <c r="AF1394" s="1488"/>
      <c r="AG1394" s="1488"/>
      <c r="AH1394" s="1451">
        <f t="shared" si="746"/>
        <v>0</v>
      </c>
      <c r="AI1394" s="1488"/>
      <c r="AJ1394" s="1488"/>
      <c r="AK1394" s="1488"/>
      <c r="AL1394" s="1488"/>
      <c r="AM1394" s="1488"/>
      <c r="AN1394" s="1488"/>
      <c r="AO1394" s="1488"/>
      <c r="AP1394" s="1488"/>
      <c r="AQ1394" s="1488"/>
      <c r="AR1394" s="1488"/>
      <c r="AS1394" s="1488"/>
      <c r="AT1394" s="1542"/>
      <c r="AU1394" s="1599">
        <f t="shared" si="747"/>
        <v>0</v>
      </c>
      <c r="AV1394" s="1544">
        <f t="shared" si="775"/>
        <v>0</v>
      </c>
      <c r="AW1394" s="1452">
        <f t="shared" si="748"/>
        <v>0</v>
      </c>
      <c r="AX1394" s="1452">
        <f t="shared" si="749"/>
        <v>0</v>
      </c>
      <c r="AY1394" s="1452">
        <f t="shared" si="750"/>
        <v>0</v>
      </c>
      <c r="AZ1394" s="1452">
        <f t="shared" si="751"/>
        <v>0</v>
      </c>
      <c r="BA1394" s="1452">
        <f t="shared" si="752"/>
        <v>0</v>
      </c>
      <c r="BB1394" s="1452">
        <f t="shared" si="753"/>
        <v>0</v>
      </c>
      <c r="BC1394" s="1452">
        <f t="shared" si="754"/>
        <v>0</v>
      </c>
      <c r="BD1394" s="1452">
        <f t="shared" si="755"/>
        <v>0</v>
      </c>
      <c r="BE1394" s="1452">
        <f t="shared" si="756"/>
        <v>0</v>
      </c>
      <c r="BF1394" s="1452">
        <f t="shared" si="757"/>
        <v>0</v>
      </c>
      <c r="BG1394" s="1452">
        <f t="shared" si="758"/>
        <v>0</v>
      </c>
      <c r="BH1394" s="1452">
        <f t="shared" si="759"/>
        <v>0</v>
      </c>
      <c r="BI1394" s="1452">
        <f t="shared" si="776"/>
        <v>0</v>
      </c>
      <c r="BJ1394" s="1452" t="str">
        <f t="shared" si="760"/>
        <v/>
      </c>
      <c r="BK1394" s="1452" t="str">
        <f t="shared" si="761"/>
        <v/>
      </c>
      <c r="BL1394" s="1452" t="str">
        <f t="shared" si="762"/>
        <v/>
      </c>
      <c r="BM1394" s="1452" t="str">
        <f t="shared" si="763"/>
        <v/>
      </c>
      <c r="BN1394" s="1452" t="str">
        <f t="shared" ca="1" si="764"/>
        <v/>
      </c>
      <c r="BO1394" s="1452" t="str">
        <f t="shared" si="777"/>
        <v/>
      </c>
      <c r="BP1394" s="1452" t="str">
        <f t="shared" si="765"/>
        <v/>
      </c>
      <c r="BQ1394" s="1452" t="str">
        <f t="shared" si="766"/>
        <v/>
      </c>
      <c r="BR1394" s="1452" t="str">
        <f t="shared" si="767"/>
        <v/>
      </c>
      <c r="BS1394" s="1452" t="str">
        <f t="shared" si="768"/>
        <v/>
      </c>
      <c r="BT1394" s="1452" t="str">
        <f t="shared" si="769"/>
        <v/>
      </c>
      <c r="BU1394" s="1452" t="str">
        <f t="shared" si="770"/>
        <v/>
      </c>
      <c r="BV1394" s="1452" t="str">
        <f t="shared" si="771"/>
        <v/>
      </c>
      <c r="BW1394" s="1558">
        <f t="shared" ca="1" si="778"/>
        <v>0</v>
      </c>
    </row>
    <row r="1395" spans="1:151" s="9" customFormat="1" ht="12.5">
      <c r="A1395" s="1483" t="str">
        <f t="shared" si="772"/>
        <v>Public Health Wales Trust</v>
      </c>
      <c r="B1395" s="1583"/>
      <c r="C1395" s="1583"/>
      <c r="D1395" s="1583"/>
      <c r="E1395" s="1581"/>
      <c r="F1395" s="1436"/>
      <c r="G1395" s="1547">
        <f t="shared" si="773"/>
        <v>0</v>
      </c>
      <c r="H1395" s="1484"/>
      <c r="I1395" s="1547">
        <f t="shared" si="774"/>
        <v>0</v>
      </c>
      <c r="J1395" s="1485"/>
      <c r="K1395" s="1485"/>
      <c r="L1395" s="1436"/>
      <c r="M1395" s="1439"/>
      <c r="N1395" s="1439"/>
      <c r="O1395" s="1485"/>
      <c r="P1395" s="1486"/>
      <c r="Q1395" s="1486"/>
      <c r="R1395" s="1487"/>
      <c r="S1395" s="1444"/>
      <c r="T1395" s="1444"/>
      <c r="U1395" s="1444"/>
      <c r="V1395" s="1488"/>
      <c r="W1395" s="1488"/>
      <c r="X1395" s="1488"/>
      <c r="Y1395" s="1488"/>
      <c r="Z1395" s="1488"/>
      <c r="AA1395" s="1488"/>
      <c r="AB1395" s="1488"/>
      <c r="AC1395" s="1488"/>
      <c r="AD1395" s="1488"/>
      <c r="AE1395" s="1488"/>
      <c r="AF1395" s="1488"/>
      <c r="AG1395" s="1488"/>
      <c r="AH1395" s="1451">
        <f t="shared" si="746"/>
        <v>0</v>
      </c>
      <c r="AI1395" s="1488"/>
      <c r="AJ1395" s="1488"/>
      <c r="AK1395" s="1488"/>
      <c r="AL1395" s="1488"/>
      <c r="AM1395" s="1488"/>
      <c r="AN1395" s="1488"/>
      <c r="AO1395" s="1488"/>
      <c r="AP1395" s="1488"/>
      <c r="AQ1395" s="1488"/>
      <c r="AR1395" s="1488"/>
      <c r="AS1395" s="1488"/>
      <c r="AT1395" s="1542"/>
      <c r="AU1395" s="1599">
        <f t="shared" si="747"/>
        <v>0</v>
      </c>
      <c r="AV1395" s="1544">
        <f t="shared" si="775"/>
        <v>0</v>
      </c>
      <c r="AW1395" s="1452">
        <f t="shared" si="748"/>
        <v>0</v>
      </c>
      <c r="AX1395" s="1452">
        <f t="shared" si="749"/>
        <v>0</v>
      </c>
      <c r="AY1395" s="1452">
        <f t="shared" si="750"/>
        <v>0</v>
      </c>
      <c r="AZ1395" s="1452">
        <f t="shared" si="751"/>
        <v>0</v>
      </c>
      <c r="BA1395" s="1452">
        <f t="shared" si="752"/>
        <v>0</v>
      </c>
      <c r="BB1395" s="1452">
        <f t="shared" si="753"/>
        <v>0</v>
      </c>
      <c r="BC1395" s="1452">
        <f t="shared" si="754"/>
        <v>0</v>
      </c>
      <c r="BD1395" s="1452">
        <f t="shared" si="755"/>
        <v>0</v>
      </c>
      <c r="BE1395" s="1452">
        <f t="shared" si="756"/>
        <v>0</v>
      </c>
      <c r="BF1395" s="1452">
        <f t="shared" si="757"/>
        <v>0</v>
      </c>
      <c r="BG1395" s="1452">
        <f t="shared" si="758"/>
        <v>0</v>
      </c>
      <c r="BH1395" s="1452">
        <f t="shared" si="759"/>
        <v>0</v>
      </c>
      <c r="BI1395" s="1452">
        <f t="shared" si="776"/>
        <v>0</v>
      </c>
      <c r="BJ1395" s="1452" t="str">
        <f t="shared" si="760"/>
        <v/>
      </c>
      <c r="BK1395" s="1452" t="str">
        <f t="shared" si="761"/>
        <v/>
      </c>
      <c r="BL1395" s="1452" t="str">
        <f t="shared" si="762"/>
        <v/>
      </c>
      <c r="BM1395" s="1452" t="str">
        <f t="shared" si="763"/>
        <v/>
      </c>
      <c r="BN1395" s="1452" t="str">
        <f t="shared" ca="1" si="764"/>
        <v/>
      </c>
      <c r="BO1395" s="1452" t="str">
        <f t="shared" si="777"/>
        <v/>
      </c>
      <c r="BP1395" s="1452" t="str">
        <f t="shared" si="765"/>
        <v/>
      </c>
      <c r="BQ1395" s="1452" t="str">
        <f t="shared" si="766"/>
        <v/>
      </c>
      <c r="BR1395" s="1452" t="str">
        <f t="shared" si="767"/>
        <v/>
      </c>
      <c r="BS1395" s="1452" t="str">
        <f t="shared" si="768"/>
        <v/>
      </c>
      <c r="BT1395" s="1452" t="str">
        <f t="shared" si="769"/>
        <v/>
      </c>
      <c r="BU1395" s="1452" t="str">
        <f t="shared" si="770"/>
        <v/>
      </c>
      <c r="BV1395" s="1452" t="str">
        <f t="shared" si="771"/>
        <v/>
      </c>
      <c r="BW1395" s="1558">
        <f t="shared" ca="1" si="778"/>
        <v>0</v>
      </c>
    </row>
    <row r="1396" spans="1:151" s="9" customFormat="1" ht="12.5">
      <c r="A1396" s="1483" t="str">
        <f t="shared" si="772"/>
        <v>Public Health Wales Trust</v>
      </c>
      <c r="B1396" s="1583"/>
      <c r="C1396" s="1583"/>
      <c r="D1396" s="1583"/>
      <c r="E1396" s="1581"/>
      <c r="F1396" s="1436"/>
      <c r="G1396" s="1547">
        <f t="shared" si="773"/>
        <v>0</v>
      </c>
      <c r="H1396" s="1484"/>
      <c r="I1396" s="1547">
        <f t="shared" si="774"/>
        <v>0</v>
      </c>
      <c r="J1396" s="1485"/>
      <c r="K1396" s="1485"/>
      <c r="L1396" s="1436"/>
      <c r="M1396" s="1439"/>
      <c r="N1396" s="1439"/>
      <c r="O1396" s="1485"/>
      <c r="P1396" s="1486"/>
      <c r="Q1396" s="1486"/>
      <c r="R1396" s="1487"/>
      <c r="S1396" s="1444"/>
      <c r="T1396" s="1444"/>
      <c r="U1396" s="1444"/>
      <c r="V1396" s="1488"/>
      <c r="W1396" s="1488"/>
      <c r="X1396" s="1488"/>
      <c r="Y1396" s="1488"/>
      <c r="Z1396" s="1488"/>
      <c r="AA1396" s="1488"/>
      <c r="AB1396" s="1488"/>
      <c r="AC1396" s="1488"/>
      <c r="AD1396" s="1488"/>
      <c r="AE1396" s="1488"/>
      <c r="AF1396" s="1488"/>
      <c r="AG1396" s="1488"/>
      <c r="AH1396" s="1451">
        <f t="shared" si="746"/>
        <v>0</v>
      </c>
      <c r="AI1396" s="1488"/>
      <c r="AJ1396" s="1488"/>
      <c r="AK1396" s="1488"/>
      <c r="AL1396" s="1488"/>
      <c r="AM1396" s="1488"/>
      <c r="AN1396" s="1488"/>
      <c r="AO1396" s="1488"/>
      <c r="AP1396" s="1488"/>
      <c r="AQ1396" s="1488"/>
      <c r="AR1396" s="1488"/>
      <c r="AS1396" s="1488"/>
      <c r="AT1396" s="1542"/>
      <c r="AU1396" s="1599">
        <f t="shared" si="747"/>
        <v>0</v>
      </c>
      <c r="AV1396" s="1544">
        <f t="shared" si="775"/>
        <v>0</v>
      </c>
      <c r="AW1396" s="1452">
        <f t="shared" si="748"/>
        <v>0</v>
      </c>
      <c r="AX1396" s="1452">
        <f t="shared" si="749"/>
        <v>0</v>
      </c>
      <c r="AY1396" s="1452">
        <f t="shared" si="750"/>
        <v>0</v>
      </c>
      <c r="AZ1396" s="1452">
        <f t="shared" si="751"/>
        <v>0</v>
      </c>
      <c r="BA1396" s="1452">
        <f t="shared" si="752"/>
        <v>0</v>
      </c>
      <c r="BB1396" s="1452">
        <f t="shared" si="753"/>
        <v>0</v>
      </c>
      <c r="BC1396" s="1452">
        <f t="shared" si="754"/>
        <v>0</v>
      </c>
      <c r="BD1396" s="1452">
        <f t="shared" si="755"/>
        <v>0</v>
      </c>
      <c r="BE1396" s="1452">
        <f t="shared" si="756"/>
        <v>0</v>
      </c>
      <c r="BF1396" s="1452">
        <f t="shared" si="757"/>
        <v>0</v>
      </c>
      <c r="BG1396" s="1452">
        <f t="shared" si="758"/>
        <v>0</v>
      </c>
      <c r="BH1396" s="1452">
        <f t="shared" si="759"/>
        <v>0</v>
      </c>
      <c r="BI1396" s="1452">
        <f t="shared" si="776"/>
        <v>0</v>
      </c>
      <c r="BJ1396" s="1452" t="str">
        <f t="shared" si="760"/>
        <v/>
      </c>
      <c r="BK1396" s="1452" t="str">
        <f t="shared" si="761"/>
        <v/>
      </c>
      <c r="BL1396" s="1452" t="str">
        <f t="shared" si="762"/>
        <v/>
      </c>
      <c r="BM1396" s="1452" t="str">
        <f t="shared" si="763"/>
        <v/>
      </c>
      <c r="BN1396" s="1452" t="str">
        <f t="shared" ca="1" si="764"/>
        <v/>
      </c>
      <c r="BO1396" s="1452" t="str">
        <f t="shared" si="777"/>
        <v/>
      </c>
      <c r="BP1396" s="1452" t="str">
        <f t="shared" si="765"/>
        <v/>
      </c>
      <c r="BQ1396" s="1452" t="str">
        <f t="shared" si="766"/>
        <v/>
      </c>
      <c r="BR1396" s="1452" t="str">
        <f t="shared" si="767"/>
        <v/>
      </c>
      <c r="BS1396" s="1452" t="str">
        <f t="shared" si="768"/>
        <v/>
      </c>
      <c r="BT1396" s="1452" t="str">
        <f t="shared" si="769"/>
        <v/>
      </c>
      <c r="BU1396" s="1452" t="str">
        <f t="shared" si="770"/>
        <v/>
      </c>
      <c r="BV1396" s="1452" t="str">
        <f t="shared" si="771"/>
        <v/>
      </c>
      <c r="BW1396" s="1558">
        <f t="shared" ca="1" si="778"/>
        <v>0</v>
      </c>
    </row>
    <row r="1397" spans="1:151" s="1445" customFormat="1" ht="12.5">
      <c r="A1397" s="1483" t="str">
        <f t="shared" si="772"/>
        <v>Public Health Wales Trust</v>
      </c>
      <c r="B1397" s="1583"/>
      <c r="C1397" s="1583"/>
      <c r="D1397" s="1583"/>
      <c r="E1397" s="1581"/>
      <c r="F1397" s="1436"/>
      <c r="G1397" s="1547">
        <f t="shared" si="773"/>
        <v>0</v>
      </c>
      <c r="H1397" s="1484"/>
      <c r="I1397" s="1547">
        <f t="shared" si="774"/>
        <v>0</v>
      </c>
      <c r="J1397" s="1485"/>
      <c r="K1397" s="1485"/>
      <c r="L1397" s="1436"/>
      <c r="M1397" s="1439"/>
      <c r="N1397" s="1439"/>
      <c r="O1397" s="1485"/>
      <c r="P1397" s="1486"/>
      <c r="Q1397" s="1486"/>
      <c r="R1397" s="1487"/>
      <c r="S1397" s="1444"/>
      <c r="T1397" s="1444"/>
      <c r="U1397" s="1444"/>
      <c r="V1397" s="1488"/>
      <c r="W1397" s="1488"/>
      <c r="X1397" s="1488"/>
      <c r="Y1397" s="1488"/>
      <c r="Z1397" s="1488"/>
      <c r="AA1397" s="1488"/>
      <c r="AB1397" s="1488"/>
      <c r="AC1397" s="1488"/>
      <c r="AD1397" s="1488"/>
      <c r="AE1397" s="1488"/>
      <c r="AF1397" s="1488"/>
      <c r="AG1397" s="1488"/>
      <c r="AH1397" s="1451">
        <f t="shared" si="746"/>
        <v>0</v>
      </c>
      <c r="AI1397" s="1488"/>
      <c r="AJ1397" s="1488"/>
      <c r="AK1397" s="1488"/>
      <c r="AL1397" s="1488"/>
      <c r="AM1397" s="1488"/>
      <c r="AN1397" s="1488"/>
      <c r="AO1397" s="1488"/>
      <c r="AP1397" s="1488"/>
      <c r="AQ1397" s="1488"/>
      <c r="AR1397" s="1488"/>
      <c r="AS1397" s="1488"/>
      <c r="AT1397" s="1542"/>
      <c r="AU1397" s="1599">
        <f t="shared" si="747"/>
        <v>0</v>
      </c>
      <c r="AV1397" s="1544">
        <f t="shared" si="775"/>
        <v>0</v>
      </c>
      <c r="AW1397" s="1452">
        <f t="shared" si="748"/>
        <v>0</v>
      </c>
      <c r="AX1397" s="1452">
        <f t="shared" si="749"/>
        <v>0</v>
      </c>
      <c r="AY1397" s="1452">
        <f t="shared" si="750"/>
        <v>0</v>
      </c>
      <c r="AZ1397" s="1452">
        <f t="shared" si="751"/>
        <v>0</v>
      </c>
      <c r="BA1397" s="1452">
        <f t="shared" si="752"/>
        <v>0</v>
      </c>
      <c r="BB1397" s="1452">
        <f t="shared" si="753"/>
        <v>0</v>
      </c>
      <c r="BC1397" s="1452">
        <f t="shared" si="754"/>
        <v>0</v>
      </c>
      <c r="BD1397" s="1452">
        <f t="shared" si="755"/>
        <v>0</v>
      </c>
      <c r="BE1397" s="1452">
        <f t="shared" si="756"/>
        <v>0</v>
      </c>
      <c r="BF1397" s="1452">
        <f t="shared" si="757"/>
        <v>0</v>
      </c>
      <c r="BG1397" s="1452">
        <f t="shared" si="758"/>
        <v>0</v>
      </c>
      <c r="BH1397" s="1452">
        <f t="shared" si="759"/>
        <v>0</v>
      </c>
      <c r="BI1397" s="1452">
        <f t="shared" si="776"/>
        <v>0</v>
      </c>
      <c r="BJ1397" s="1452" t="str">
        <f t="shared" si="760"/>
        <v/>
      </c>
      <c r="BK1397" s="1452" t="str">
        <f t="shared" si="761"/>
        <v/>
      </c>
      <c r="BL1397" s="1452" t="str">
        <f t="shared" si="762"/>
        <v/>
      </c>
      <c r="BM1397" s="1452" t="str">
        <f t="shared" si="763"/>
        <v/>
      </c>
      <c r="BN1397" s="1452" t="str">
        <f t="shared" ca="1" si="764"/>
        <v/>
      </c>
      <c r="BO1397" s="1452" t="str">
        <f t="shared" si="777"/>
        <v/>
      </c>
      <c r="BP1397" s="1452" t="str">
        <f t="shared" si="765"/>
        <v/>
      </c>
      <c r="BQ1397" s="1452" t="str">
        <f t="shared" si="766"/>
        <v/>
      </c>
      <c r="BR1397" s="1452" t="str">
        <f t="shared" si="767"/>
        <v/>
      </c>
      <c r="BS1397" s="1452" t="str">
        <f t="shared" si="768"/>
        <v/>
      </c>
      <c r="BT1397" s="1452" t="str">
        <f t="shared" si="769"/>
        <v/>
      </c>
      <c r="BU1397" s="1452" t="str">
        <f t="shared" si="770"/>
        <v/>
      </c>
      <c r="BV1397" s="1452" t="str">
        <f t="shared" si="771"/>
        <v/>
      </c>
      <c r="BW1397" s="1558">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5" customFormat="1" ht="12.5">
      <c r="A1398" s="1483" t="str">
        <f t="shared" si="772"/>
        <v>Public Health Wales Trust</v>
      </c>
      <c r="B1398" s="1583"/>
      <c r="C1398" s="1583"/>
      <c r="D1398" s="1583"/>
      <c r="E1398" s="1581"/>
      <c r="F1398" s="1436"/>
      <c r="G1398" s="1547">
        <f t="shared" si="773"/>
        <v>0</v>
      </c>
      <c r="H1398" s="1484"/>
      <c r="I1398" s="1547">
        <f t="shared" si="774"/>
        <v>0</v>
      </c>
      <c r="J1398" s="1485"/>
      <c r="K1398" s="1485"/>
      <c r="L1398" s="1436"/>
      <c r="M1398" s="1439"/>
      <c r="N1398" s="1439"/>
      <c r="O1398" s="1485"/>
      <c r="P1398" s="1486"/>
      <c r="Q1398" s="1486"/>
      <c r="R1398" s="1487"/>
      <c r="S1398" s="1444"/>
      <c r="T1398" s="1444"/>
      <c r="U1398" s="1444"/>
      <c r="V1398" s="1488"/>
      <c r="W1398" s="1488"/>
      <c r="X1398" s="1488"/>
      <c r="Y1398" s="1488"/>
      <c r="Z1398" s="1488"/>
      <c r="AA1398" s="1488"/>
      <c r="AB1398" s="1488"/>
      <c r="AC1398" s="1488"/>
      <c r="AD1398" s="1488"/>
      <c r="AE1398" s="1488"/>
      <c r="AF1398" s="1488"/>
      <c r="AG1398" s="1488"/>
      <c r="AH1398" s="1451">
        <f t="shared" si="746"/>
        <v>0</v>
      </c>
      <c r="AI1398" s="1488"/>
      <c r="AJ1398" s="1488"/>
      <c r="AK1398" s="1488"/>
      <c r="AL1398" s="1488"/>
      <c r="AM1398" s="1488"/>
      <c r="AN1398" s="1488"/>
      <c r="AO1398" s="1488"/>
      <c r="AP1398" s="1488"/>
      <c r="AQ1398" s="1488"/>
      <c r="AR1398" s="1488"/>
      <c r="AS1398" s="1488"/>
      <c r="AT1398" s="1542"/>
      <c r="AU1398" s="1599">
        <f t="shared" si="747"/>
        <v>0</v>
      </c>
      <c r="AV1398" s="1544">
        <f t="shared" si="775"/>
        <v>0</v>
      </c>
      <c r="AW1398" s="1452">
        <f t="shared" si="748"/>
        <v>0</v>
      </c>
      <c r="AX1398" s="1452">
        <f t="shared" si="749"/>
        <v>0</v>
      </c>
      <c r="AY1398" s="1452">
        <f t="shared" si="750"/>
        <v>0</v>
      </c>
      <c r="AZ1398" s="1452">
        <f t="shared" si="751"/>
        <v>0</v>
      </c>
      <c r="BA1398" s="1452">
        <f t="shared" si="752"/>
        <v>0</v>
      </c>
      <c r="BB1398" s="1452">
        <f t="shared" si="753"/>
        <v>0</v>
      </c>
      <c r="BC1398" s="1452">
        <f t="shared" si="754"/>
        <v>0</v>
      </c>
      <c r="BD1398" s="1452">
        <f t="shared" si="755"/>
        <v>0</v>
      </c>
      <c r="BE1398" s="1452">
        <f t="shared" si="756"/>
        <v>0</v>
      </c>
      <c r="BF1398" s="1452">
        <f t="shared" si="757"/>
        <v>0</v>
      </c>
      <c r="BG1398" s="1452">
        <f t="shared" si="758"/>
        <v>0</v>
      </c>
      <c r="BH1398" s="1452">
        <f t="shared" si="759"/>
        <v>0</v>
      </c>
      <c r="BI1398" s="1452">
        <f t="shared" si="776"/>
        <v>0</v>
      </c>
      <c r="BJ1398" s="1452" t="str">
        <f t="shared" si="760"/>
        <v/>
      </c>
      <c r="BK1398" s="1452" t="str">
        <f t="shared" si="761"/>
        <v/>
      </c>
      <c r="BL1398" s="1452" t="str">
        <f t="shared" si="762"/>
        <v/>
      </c>
      <c r="BM1398" s="1452" t="str">
        <f t="shared" si="763"/>
        <v/>
      </c>
      <c r="BN1398" s="1452" t="str">
        <f t="shared" ca="1" si="764"/>
        <v/>
      </c>
      <c r="BO1398" s="1452" t="str">
        <f t="shared" si="777"/>
        <v/>
      </c>
      <c r="BP1398" s="1452" t="str">
        <f t="shared" si="765"/>
        <v/>
      </c>
      <c r="BQ1398" s="1452" t="str">
        <f t="shared" si="766"/>
        <v/>
      </c>
      <c r="BR1398" s="1452" t="str">
        <f t="shared" si="767"/>
        <v/>
      </c>
      <c r="BS1398" s="1452" t="str">
        <f t="shared" si="768"/>
        <v/>
      </c>
      <c r="BT1398" s="1452" t="str">
        <f t="shared" si="769"/>
        <v/>
      </c>
      <c r="BU1398" s="1452" t="str">
        <f t="shared" si="770"/>
        <v/>
      </c>
      <c r="BV1398" s="1452" t="str">
        <f t="shared" si="771"/>
        <v/>
      </c>
      <c r="BW1398" s="1558">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5" customFormat="1" ht="12.5">
      <c r="A1399" s="1483" t="str">
        <f t="shared" si="772"/>
        <v>Public Health Wales Trust</v>
      </c>
      <c r="B1399" s="1583"/>
      <c r="C1399" s="1583"/>
      <c r="D1399" s="1583"/>
      <c r="E1399" s="1581"/>
      <c r="F1399" s="1436"/>
      <c r="G1399" s="1547">
        <f t="shared" si="773"/>
        <v>0</v>
      </c>
      <c r="H1399" s="1484"/>
      <c r="I1399" s="1547">
        <f t="shared" si="774"/>
        <v>0</v>
      </c>
      <c r="J1399" s="1485"/>
      <c r="K1399" s="1485"/>
      <c r="L1399" s="1436"/>
      <c r="M1399" s="1439"/>
      <c r="N1399" s="1439"/>
      <c r="O1399" s="1485"/>
      <c r="P1399" s="1486"/>
      <c r="Q1399" s="1486"/>
      <c r="R1399" s="1487"/>
      <c r="S1399" s="1444"/>
      <c r="T1399" s="1444"/>
      <c r="U1399" s="1444"/>
      <c r="V1399" s="1488"/>
      <c r="W1399" s="1488"/>
      <c r="X1399" s="1488"/>
      <c r="Y1399" s="1488"/>
      <c r="Z1399" s="1488"/>
      <c r="AA1399" s="1488"/>
      <c r="AB1399" s="1488"/>
      <c r="AC1399" s="1488"/>
      <c r="AD1399" s="1488"/>
      <c r="AE1399" s="1488"/>
      <c r="AF1399" s="1488"/>
      <c r="AG1399" s="1488"/>
      <c r="AH1399" s="1451">
        <f t="shared" si="746"/>
        <v>0</v>
      </c>
      <c r="AI1399" s="1488"/>
      <c r="AJ1399" s="1488"/>
      <c r="AK1399" s="1488"/>
      <c r="AL1399" s="1488"/>
      <c r="AM1399" s="1488"/>
      <c r="AN1399" s="1488"/>
      <c r="AO1399" s="1488"/>
      <c r="AP1399" s="1488"/>
      <c r="AQ1399" s="1488"/>
      <c r="AR1399" s="1488"/>
      <c r="AS1399" s="1488"/>
      <c r="AT1399" s="1542"/>
      <c r="AU1399" s="1599">
        <f t="shared" si="747"/>
        <v>0</v>
      </c>
      <c r="AV1399" s="1544">
        <f t="shared" si="775"/>
        <v>0</v>
      </c>
      <c r="AW1399" s="1452">
        <f t="shared" si="748"/>
        <v>0</v>
      </c>
      <c r="AX1399" s="1452">
        <f t="shared" si="749"/>
        <v>0</v>
      </c>
      <c r="AY1399" s="1452">
        <f t="shared" si="750"/>
        <v>0</v>
      </c>
      <c r="AZ1399" s="1452">
        <f t="shared" si="751"/>
        <v>0</v>
      </c>
      <c r="BA1399" s="1452">
        <f t="shared" si="752"/>
        <v>0</v>
      </c>
      <c r="BB1399" s="1452">
        <f t="shared" si="753"/>
        <v>0</v>
      </c>
      <c r="BC1399" s="1452">
        <f t="shared" si="754"/>
        <v>0</v>
      </c>
      <c r="BD1399" s="1452">
        <f t="shared" si="755"/>
        <v>0</v>
      </c>
      <c r="BE1399" s="1452">
        <f t="shared" si="756"/>
        <v>0</v>
      </c>
      <c r="BF1399" s="1452">
        <f t="shared" si="757"/>
        <v>0</v>
      </c>
      <c r="BG1399" s="1452">
        <f t="shared" si="758"/>
        <v>0</v>
      </c>
      <c r="BH1399" s="1452">
        <f t="shared" si="759"/>
        <v>0</v>
      </c>
      <c r="BI1399" s="1452">
        <f t="shared" si="776"/>
        <v>0</v>
      </c>
      <c r="BJ1399" s="1452" t="str">
        <f t="shared" si="760"/>
        <v/>
      </c>
      <c r="BK1399" s="1452" t="str">
        <f t="shared" si="761"/>
        <v/>
      </c>
      <c r="BL1399" s="1452" t="str">
        <f t="shared" si="762"/>
        <v/>
      </c>
      <c r="BM1399" s="1452" t="str">
        <f t="shared" si="763"/>
        <v/>
      </c>
      <c r="BN1399" s="1452" t="str">
        <f t="shared" ca="1" si="764"/>
        <v/>
      </c>
      <c r="BO1399" s="1452" t="str">
        <f t="shared" si="777"/>
        <v/>
      </c>
      <c r="BP1399" s="1452" t="str">
        <f t="shared" si="765"/>
        <v/>
      </c>
      <c r="BQ1399" s="1452" t="str">
        <f t="shared" si="766"/>
        <v/>
      </c>
      <c r="BR1399" s="1452" t="str">
        <f t="shared" si="767"/>
        <v/>
      </c>
      <c r="BS1399" s="1452" t="str">
        <f t="shared" si="768"/>
        <v/>
      </c>
      <c r="BT1399" s="1452" t="str">
        <f t="shared" si="769"/>
        <v/>
      </c>
      <c r="BU1399" s="1452" t="str">
        <f t="shared" si="770"/>
        <v/>
      </c>
      <c r="BV1399" s="1452" t="str">
        <f t="shared" si="771"/>
        <v/>
      </c>
      <c r="BW1399" s="1558">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5" customFormat="1" ht="12.5">
      <c r="A1400" s="1483" t="str">
        <f t="shared" si="772"/>
        <v>Public Health Wales Trust</v>
      </c>
      <c r="B1400" s="1583"/>
      <c r="C1400" s="1583"/>
      <c r="D1400" s="1583"/>
      <c r="E1400" s="1581"/>
      <c r="F1400" s="1436"/>
      <c r="G1400" s="1547">
        <f t="shared" si="773"/>
        <v>0</v>
      </c>
      <c r="H1400" s="1484"/>
      <c r="I1400" s="1547">
        <f t="shared" si="774"/>
        <v>0</v>
      </c>
      <c r="J1400" s="1485"/>
      <c r="K1400" s="1485"/>
      <c r="L1400" s="1436"/>
      <c r="M1400" s="1439"/>
      <c r="N1400" s="1439"/>
      <c r="O1400" s="1485"/>
      <c r="P1400" s="1486"/>
      <c r="Q1400" s="1486"/>
      <c r="R1400" s="1487"/>
      <c r="S1400" s="1444"/>
      <c r="T1400" s="1444"/>
      <c r="U1400" s="1444"/>
      <c r="V1400" s="1488"/>
      <c r="W1400" s="1488"/>
      <c r="X1400" s="1488"/>
      <c r="Y1400" s="1488"/>
      <c r="Z1400" s="1488"/>
      <c r="AA1400" s="1488"/>
      <c r="AB1400" s="1488"/>
      <c r="AC1400" s="1488"/>
      <c r="AD1400" s="1488"/>
      <c r="AE1400" s="1488"/>
      <c r="AF1400" s="1488"/>
      <c r="AG1400" s="1488"/>
      <c r="AH1400" s="1451">
        <f t="shared" si="746"/>
        <v>0</v>
      </c>
      <c r="AI1400" s="1488"/>
      <c r="AJ1400" s="1488"/>
      <c r="AK1400" s="1488"/>
      <c r="AL1400" s="1488"/>
      <c r="AM1400" s="1488"/>
      <c r="AN1400" s="1488"/>
      <c r="AO1400" s="1488"/>
      <c r="AP1400" s="1488"/>
      <c r="AQ1400" s="1488"/>
      <c r="AR1400" s="1488"/>
      <c r="AS1400" s="1488"/>
      <c r="AT1400" s="1542"/>
      <c r="AU1400" s="1599">
        <f t="shared" si="747"/>
        <v>0</v>
      </c>
      <c r="AV1400" s="1544">
        <f t="shared" si="775"/>
        <v>0</v>
      </c>
      <c r="AW1400" s="1452">
        <f t="shared" si="748"/>
        <v>0</v>
      </c>
      <c r="AX1400" s="1452">
        <f t="shared" si="749"/>
        <v>0</v>
      </c>
      <c r="AY1400" s="1452">
        <f t="shared" si="750"/>
        <v>0</v>
      </c>
      <c r="AZ1400" s="1452">
        <f t="shared" si="751"/>
        <v>0</v>
      </c>
      <c r="BA1400" s="1452">
        <f t="shared" si="752"/>
        <v>0</v>
      </c>
      <c r="BB1400" s="1452">
        <f t="shared" si="753"/>
        <v>0</v>
      </c>
      <c r="BC1400" s="1452">
        <f t="shared" si="754"/>
        <v>0</v>
      </c>
      <c r="BD1400" s="1452">
        <f t="shared" si="755"/>
        <v>0</v>
      </c>
      <c r="BE1400" s="1452">
        <f t="shared" si="756"/>
        <v>0</v>
      </c>
      <c r="BF1400" s="1452">
        <f t="shared" si="757"/>
        <v>0</v>
      </c>
      <c r="BG1400" s="1452">
        <f t="shared" si="758"/>
        <v>0</v>
      </c>
      <c r="BH1400" s="1452">
        <f t="shared" si="759"/>
        <v>0</v>
      </c>
      <c r="BI1400" s="1452">
        <f t="shared" si="776"/>
        <v>0</v>
      </c>
      <c r="BJ1400" s="1452" t="str">
        <f t="shared" si="760"/>
        <v/>
      </c>
      <c r="BK1400" s="1452" t="str">
        <f t="shared" si="761"/>
        <v/>
      </c>
      <c r="BL1400" s="1452" t="str">
        <f t="shared" si="762"/>
        <v/>
      </c>
      <c r="BM1400" s="1452" t="str">
        <f t="shared" si="763"/>
        <v/>
      </c>
      <c r="BN1400" s="1452" t="str">
        <f t="shared" ca="1" si="764"/>
        <v/>
      </c>
      <c r="BO1400" s="1452" t="str">
        <f t="shared" si="777"/>
        <v/>
      </c>
      <c r="BP1400" s="1452" t="str">
        <f t="shared" si="765"/>
        <v/>
      </c>
      <c r="BQ1400" s="1452" t="str">
        <f t="shared" si="766"/>
        <v/>
      </c>
      <c r="BR1400" s="1452" t="str">
        <f t="shared" si="767"/>
        <v/>
      </c>
      <c r="BS1400" s="1452" t="str">
        <f t="shared" si="768"/>
        <v/>
      </c>
      <c r="BT1400" s="1452" t="str">
        <f t="shared" si="769"/>
        <v/>
      </c>
      <c r="BU1400" s="1452" t="str">
        <f t="shared" si="770"/>
        <v/>
      </c>
      <c r="BV1400" s="1452" t="str">
        <f t="shared" si="771"/>
        <v/>
      </c>
      <c r="BW1400" s="1558">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5" customFormat="1" ht="12.5">
      <c r="A1401" s="1483" t="str">
        <f t="shared" si="772"/>
        <v>Public Health Wales Trust</v>
      </c>
      <c r="B1401" s="1583"/>
      <c r="C1401" s="1583"/>
      <c r="D1401" s="1583"/>
      <c r="E1401" s="1581"/>
      <c r="F1401" s="1436"/>
      <c r="G1401" s="1547">
        <f t="shared" si="773"/>
        <v>0</v>
      </c>
      <c r="H1401" s="1484"/>
      <c r="I1401" s="1547">
        <f t="shared" si="774"/>
        <v>0</v>
      </c>
      <c r="J1401" s="1485"/>
      <c r="K1401" s="1485"/>
      <c r="L1401" s="1436"/>
      <c r="M1401" s="1439"/>
      <c r="N1401" s="1439"/>
      <c r="O1401" s="1485"/>
      <c r="P1401" s="1486"/>
      <c r="Q1401" s="1486"/>
      <c r="R1401" s="1487"/>
      <c r="S1401" s="1444"/>
      <c r="T1401" s="1444"/>
      <c r="U1401" s="1444"/>
      <c r="V1401" s="1488"/>
      <c r="W1401" s="1488"/>
      <c r="X1401" s="1488"/>
      <c r="Y1401" s="1488"/>
      <c r="Z1401" s="1488"/>
      <c r="AA1401" s="1488"/>
      <c r="AB1401" s="1488"/>
      <c r="AC1401" s="1488"/>
      <c r="AD1401" s="1488"/>
      <c r="AE1401" s="1488"/>
      <c r="AF1401" s="1488"/>
      <c r="AG1401" s="1488"/>
      <c r="AH1401" s="1451">
        <f t="shared" si="746"/>
        <v>0</v>
      </c>
      <c r="AI1401" s="1488"/>
      <c r="AJ1401" s="1488"/>
      <c r="AK1401" s="1488"/>
      <c r="AL1401" s="1488"/>
      <c r="AM1401" s="1488"/>
      <c r="AN1401" s="1488"/>
      <c r="AO1401" s="1488"/>
      <c r="AP1401" s="1488"/>
      <c r="AQ1401" s="1488"/>
      <c r="AR1401" s="1488"/>
      <c r="AS1401" s="1488"/>
      <c r="AT1401" s="1542"/>
      <c r="AU1401" s="1599">
        <f t="shared" si="747"/>
        <v>0</v>
      </c>
      <c r="AV1401" s="1544">
        <f t="shared" si="775"/>
        <v>0</v>
      </c>
      <c r="AW1401" s="1452">
        <f t="shared" si="748"/>
        <v>0</v>
      </c>
      <c r="AX1401" s="1452">
        <f t="shared" si="749"/>
        <v>0</v>
      </c>
      <c r="AY1401" s="1452">
        <f t="shared" si="750"/>
        <v>0</v>
      </c>
      <c r="AZ1401" s="1452">
        <f t="shared" si="751"/>
        <v>0</v>
      </c>
      <c r="BA1401" s="1452">
        <f t="shared" si="752"/>
        <v>0</v>
      </c>
      <c r="BB1401" s="1452">
        <f t="shared" si="753"/>
        <v>0</v>
      </c>
      <c r="BC1401" s="1452">
        <f t="shared" si="754"/>
        <v>0</v>
      </c>
      <c r="BD1401" s="1452">
        <f t="shared" si="755"/>
        <v>0</v>
      </c>
      <c r="BE1401" s="1452">
        <f t="shared" si="756"/>
        <v>0</v>
      </c>
      <c r="BF1401" s="1452">
        <f t="shared" si="757"/>
        <v>0</v>
      </c>
      <c r="BG1401" s="1452">
        <f t="shared" si="758"/>
        <v>0</v>
      </c>
      <c r="BH1401" s="1452">
        <f t="shared" si="759"/>
        <v>0</v>
      </c>
      <c r="BI1401" s="1452">
        <f t="shared" si="776"/>
        <v>0</v>
      </c>
      <c r="BJ1401" s="1452" t="str">
        <f t="shared" si="760"/>
        <v/>
      </c>
      <c r="BK1401" s="1452" t="str">
        <f t="shared" si="761"/>
        <v/>
      </c>
      <c r="BL1401" s="1452" t="str">
        <f t="shared" si="762"/>
        <v/>
      </c>
      <c r="BM1401" s="1452" t="str">
        <f t="shared" si="763"/>
        <v/>
      </c>
      <c r="BN1401" s="1452" t="str">
        <f t="shared" ca="1" si="764"/>
        <v/>
      </c>
      <c r="BO1401" s="1452" t="str">
        <f t="shared" si="777"/>
        <v/>
      </c>
      <c r="BP1401" s="1452" t="str">
        <f t="shared" si="765"/>
        <v/>
      </c>
      <c r="BQ1401" s="1452" t="str">
        <f t="shared" si="766"/>
        <v/>
      </c>
      <c r="BR1401" s="1452" t="str">
        <f t="shared" si="767"/>
        <v/>
      </c>
      <c r="BS1401" s="1452" t="str">
        <f t="shared" si="768"/>
        <v/>
      </c>
      <c r="BT1401" s="1452" t="str">
        <f t="shared" si="769"/>
        <v/>
      </c>
      <c r="BU1401" s="1452" t="str">
        <f t="shared" si="770"/>
        <v/>
      </c>
      <c r="BV1401" s="1452" t="str">
        <f t="shared" si="771"/>
        <v/>
      </c>
      <c r="BW1401" s="1558">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5" customFormat="1" ht="12.5">
      <c r="A1402" s="1483" t="str">
        <f t="shared" si="772"/>
        <v>Public Health Wales Trust</v>
      </c>
      <c r="B1402" s="1583"/>
      <c r="C1402" s="1583"/>
      <c r="D1402" s="1583"/>
      <c r="E1402" s="1581"/>
      <c r="F1402" s="1436"/>
      <c r="G1402" s="1547">
        <f t="shared" si="773"/>
        <v>0</v>
      </c>
      <c r="H1402" s="1484"/>
      <c r="I1402" s="1547">
        <f t="shared" si="774"/>
        <v>0</v>
      </c>
      <c r="J1402" s="1485"/>
      <c r="K1402" s="1485"/>
      <c r="L1402" s="1436"/>
      <c r="M1402" s="1439"/>
      <c r="N1402" s="1439"/>
      <c r="O1402" s="1485"/>
      <c r="P1402" s="1486"/>
      <c r="Q1402" s="1486"/>
      <c r="R1402" s="1487"/>
      <c r="S1402" s="1444"/>
      <c r="T1402" s="1444"/>
      <c r="U1402" s="1444"/>
      <c r="V1402" s="1488"/>
      <c r="W1402" s="1488"/>
      <c r="X1402" s="1488"/>
      <c r="Y1402" s="1488"/>
      <c r="Z1402" s="1488"/>
      <c r="AA1402" s="1488"/>
      <c r="AB1402" s="1488"/>
      <c r="AC1402" s="1488"/>
      <c r="AD1402" s="1488"/>
      <c r="AE1402" s="1488"/>
      <c r="AF1402" s="1488"/>
      <c r="AG1402" s="1488"/>
      <c r="AH1402" s="1451">
        <f t="shared" si="746"/>
        <v>0</v>
      </c>
      <c r="AI1402" s="1488"/>
      <c r="AJ1402" s="1488"/>
      <c r="AK1402" s="1488"/>
      <c r="AL1402" s="1488"/>
      <c r="AM1402" s="1488"/>
      <c r="AN1402" s="1488"/>
      <c r="AO1402" s="1488"/>
      <c r="AP1402" s="1488"/>
      <c r="AQ1402" s="1488"/>
      <c r="AR1402" s="1488"/>
      <c r="AS1402" s="1488"/>
      <c r="AT1402" s="1542"/>
      <c r="AU1402" s="1599">
        <f t="shared" si="747"/>
        <v>0</v>
      </c>
      <c r="AV1402" s="1544">
        <f t="shared" si="775"/>
        <v>0</v>
      </c>
      <c r="AW1402" s="1452">
        <f t="shared" si="748"/>
        <v>0</v>
      </c>
      <c r="AX1402" s="1452">
        <f t="shared" si="749"/>
        <v>0</v>
      </c>
      <c r="AY1402" s="1452">
        <f t="shared" si="750"/>
        <v>0</v>
      </c>
      <c r="AZ1402" s="1452">
        <f t="shared" si="751"/>
        <v>0</v>
      </c>
      <c r="BA1402" s="1452">
        <f t="shared" si="752"/>
        <v>0</v>
      </c>
      <c r="BB1402" s="1452">
        <f t="shared" si="753"/>
        <v>0</v>
      </c>
      <c r="BC1402" s="1452">
        <f t="shared" si="754"/>
        <v>0</v>
      </c>
      <c r="BD1402" s="1452">
        <f t="shared" si="755"/>
        <v>0</v>
      </c>
      <c r="BE1402" s="1452">
        <f t="shared" si="756"/>
        <v>0</v>
      </c>
      <c r="BF1402" s="1452">
        <f t="shared" si="757"/>
        <v>0</v>
      </c>
      <c r="BG1402" s="1452">
        <f t="shared" si="758"/>
        <v>0</v>
      </c>
      <c r="BH1402" s="1452">
        <f t="shared" si="759"/>
        <v>0</v>
      </c>
      <c r="BI1402" s="1452">
        <f t="shared" si="776"/>
        <v>0</v>
      </c>
      <c r="BJ1402" s="1452" t="str">
        <f t="shared" si="760"/>
        <v/>
      </c>
      <c r="BK1402" s="1452" t="str">
        <f t="shared" si="761"/>
        <v/>
      </c>
      <c r="BL1402" s="1452" t="str">
        <f t="shared" si="762"/>
        <v/>
      </c>
      <c r="BM1402" s="1452" t="str">
        <f t="shared" si="763"/>
        <v/>
      </c>
      <c r="BN1402" s="1452" t="str">
        <f t="shared" ca="1" si="764"/>
        <v/>
      </c>
      <c r="BO1402" s="1452" t="str">
        <f t="shared" si="777"/>
        <v/>
      </c>
      <c r="BP1402" s="1452" t="str">
        <f t="shared" si="765"/>
        <v/>
      </c>
      <c r="BQ1402" s="1452" t="str">
        <f t="shared" si="766"/>
        <v/>
      </c>
      <c r="BR1402" s="1452" t="str">
        <f t="shared" si="767"/>
        <v/>
      </c>
      <c r="BS1402" s="1452" t="str">
        <f t="shared" si="768"/>
        <v/>
      </c>
      <c r="BT1402" s="1452" t="str">
        <f t="shared" si="769"/>
        <v/>
      </c>
      <c r="BU1402" s="1452" t="str">
        <f t="shared" si="770"/>
        <v/>
      </c>
      <c r="BV1402" s="1452" t="str">
        <f t="shared" si="771"/>
        <v/>
      </c>
      <c r="BW1402" s="1558">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5" customFormat="1" ht="12.5">
      <c r="A1403" s="1483" t="str">
        <f t="shared" si="772"/>
        <v>Public Health Wales Trust</v>
      </c>
      <c r="B1403" s="1583"/>
      <c r="C1403" s="1583"/>
      <c r="D1403" s="1583"/>
      <c r="E1403" s="1581"/>
      <c r="F1403" s="1436"/>
      <c r="G1403" s="1547">
        <f t="shared" si="773"/>
        <v>0</v>
      </c>
      <c r="H1403" s="1484"/>
      <c r="I1403" s="1547">
        <f t="shared" si="774"/>
        <v>0</v>
      </c>
      <c r="J1403" s="1485"/>
      <c r="K1403" s="1485"/>
      <c r="L1403" s="1436"/>
      <c r="M1403" s="1439"/>
      <c r="N1403" s="1439"/>
      <c r="O1403" s="1485"/>
      <c r="P1403" s="1486"/>
      <c r="Q1403" s="1486"/>
      <c r="R1403" s="1487"/>
      <c r="S1403" s="1444"/>
      <c r="T1403" s="1444"/>
      <c r="U1403" s="1444"/>
      <c r="V1403" s="1488"/>
      <c r="W1403" s="1488"/>
      <c r="X1403" s="1488"/>
      <c r="Y1403" s="1488"/>
      <c r="Z1403" s="1488"/>
      <c r="AA1403" s="1488"/>
      <c r="AB1403" s="1488"/>
      <c r="AC1403" s="1488"/>
      <c r="AD1403" s="1488"/>
      <c r="AE1403" s="1488"/>
      <c r="AF1403" s="1488"/>
      <c r="AG1403" s="1488"/>
      <c r="AH1403" s="1451">
        <f t="shared" si="746"/>
        <v>0</v>
      </c>
      <c r="AI1403" s="1488"/>
      <c r="AJ1403" s="1488"/>
      <c r="AK1403" s="1488"/>
      <c r="AL1403" s="1488"/>
      <c r="AM1403" s="1488"/>
      <c r="AN1403" s="1488"/>
      <c r="AO1403" s="1488"/>
      <c r="AP1403" s="1488"/>
      <c r="AQ1403" s="1488"/>
      <c r="AR1403" s="1488"/>
      <c r="AS1403" s="1488"/>
      <c r="AT1403" s="1542"/>
      <c r="AU1403" s="1599">
        <f t="shared" si="747"/>
        <v>0</v>
      </c>
      <c r="AV1403" s="1544">
        <f t="shared" si="775"/>
        <v>0</v>
      </c>
      <c r="AW1403" s="1452">
        <f t="shared" si="748"/>
        <v>0</v>
      </c>
      <c r="AX1403" s="1452">
        <f t="shared" si="749"/>
        <v>0</v>
      </c>
      <c r="AY1403" s="1452">
        <f t="shared" si="750"/>
        <v>0</v>
      </c>
      <c r="AZ1403" s="1452">
        <f t="shared" si="751"/>
        <v>0</v>
      </c>
      <c r="BA1403" s="1452">
        <f t="shared" si="752"/>
        <v>0</v>
      </c>
      <c r="BB1403" s="1452">
        <f t="shared" si="753"/>
        <v>0</v>
      </c>
      <c r="BC1403" s="1452">
        <f t="shared" si="754"/>
        <v>0</v>
      </c>
      <c r="BD1403" s="1452">
        <f t="shared" si="755"/>
        <v>0</v>
      </c>
      <c r="BE1403" s="1452">
        <f t="shared" si="756"/>
        <v>0</v>
      </c>
      <c r="BF1403" s="1452">
        <f t="shared" si="757"/>
        <v>0</v>
      </c>
      <c r="BG1403" s="1452">
        <f t="shared" si="758"/>
        <v>0</v>
      </c>
      <c r="BH1403" s="1452">
        <f t="shared" si="759"/>
        <v>0</v>
      </c>
      <c r="BI1403" s="1452">
        <f t="shared" si="776"/>
        <v>0</v>
      </c>
      <c r="BJ1403" s="1452" t="str">
        <f t="shared" si="760"/>
        <v/>
      </c>
      <c r="BK1403" s="1452" t="str">
        <f t="shared" si="761"/>
        <v/>
      </c>
      <c r="BL1403" s="1452" t="str">
        <f t="shared" si="762"/>
        <v/>
      </c>
      <c r="BM1403" s="1452" t="str">
        <f t="shared" si="763"/>
        <v/>
      </c>
      <c r="BN1403" s="1452" t="str">
        <f t="shared" ca="1" si="764"/>
        <v/>
      </c>
      <c r="BO1403" s="1452" t="str">
        <f t="shared" si="777"/>
        <v/>
      </c>
      <c r="BP1403" s="1452" t="str">
        <f t="shared" si="765"/>
        <v/>
      </c>
      <c r="BQ1403" s="1452" t="str">
        <f t="shared" si="766"/>
        <v/>
      </c>
      <c r="BR1403" s="1452" t="str">
        <f t="shared" si="767"/>
        <v/>
      </c>
      <c r="BS1403" s="1452" t="str">
        <f t="shared" si="768"/>
        <v/>
      </c>
      <c r="BT1403" s="1452" t="str">
        <f t="shared" si="769"/>
        <v/>
      </c>
      <c r="BU1403" s="1452" t="str">
        <f t="shared" si="770"/>
        <v/>
      </c>
      <c r="BV1403" s="1452" t="str">
        <f t="shared" si="771"/>
        <v/>
      </c>
      <c r="BW1403" s="1558">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5" customFormat="1" ht="12.5">
      <c r="A1404" s="1483" t="str">
        <f t="shared" si="772"/>
        <v>Public Health Wales Trust</v>
      </c>
      <c r="B1404" s="1583"/>
      <c r="C1404" s="1583"/>
      <c r="D1404" s="1583"/>
      <c r="E1404" s="1581"/>
      <c r="F1404" s="1436"/>
      <c r="G1404" s="1547">
        <f t="shared" si="773"/>
        <v>0</v>
      </c>
      <c r="H1404" s="1484"/>
      <c r="I1404" s="1547">
        <f t="shared" si="774"/>
        <v>0</v>
      </c>
      <c r="J1404" s="1485"/>
      <c r="K1404" s="1485"/>
      <c r="L1404" s="1436"/>
      <c r="M1404" s="1439"/>
      <c r="N1404" s="1439"/>
      <c r="O1404" s="1485"/>
      <c r="P1404" s="1486"/>
      <c r="Q1404" s="1486"/>
      <c r="R1404" s="1487"/>
      <c r="S1404" s="1444"/>
      <c r="T1404" s="1444"/>
      <c r="U1404" s="1444"/>
      <c r="V1404" s="1488"/>
      <c r="W1404" s="1488"/>
      <c r="X1404" s="1488"/>
      <c r="Y1404" s="1488"/>
      <c r="Z1404" s="1488"/>
      <c r="AA1404" s="1488"/>
      <c r="AB1404" s="1488"/>
      <c r="AC1404" s="1488"/>
      <c r="AD1404" s="1488"/>
      <c r="AE1404" s="1488"/>
      <c r="AF1404" s="1488"/>
      <c r="AG1404" s="1488"/>
      <c r="AH1404" s="1451">
        <f t="shared" si="746"/>
        <v>0</v>
      </c>
      <c r="AI1404" s="1488"/>
      <c r="AJ1404" s="1488"/>
      <c r="AK1404" s="1488"/>
      <c r="AL1404" s="1488"/>
      <c r="AM1404" s="1488"/>
      <c r="AN1404" s="1488"/>
      <c r="AO1404" s="1488"/>
      <c r="AP1404" s="1488"/>
      <c r="AQ1404" s="1488"/>
      <c r="AR1404" s="1488"/>
      <c r="AS1404" s="1488"/>
      <c r="AT1404" s="1542"/>
      <c r="AU1404" s="1599">
        <f t="shared" si="747"/>
        <v>0</v>
      </c>
      <c r="AV1404" s="1544">
        <f t="shared" si="775"/>
        <v>0</v>
      </c>
      <c r="AW1404" s="1452">
        <f t="shared" si="748"/>
        <v>0</v>
      </c>
      <c r="AX1404" s="1452">
        <f t="shared" si="749"/>
        <v>0</v>
      </c>
      <c r="AY1404" s="1452">
        <f t="shared" si="750"/>
        <v>0</v>
      </c>
      <c r="AZ1404" s="1452">
        <f t="shared" si="751"/>
        <v>0</v>
      </c>
      <c r="BA1404" s="1452">
        <f t="shared" si="752"/>
        <v>0</v>
      </c>
      <c r="BB1404" s="1452">
        <f t="shared" si="753"/>
        <v>0</v>
      </c>
      <c r="BC1404" s="1452">
        <f t="shared" si="754"/>
        <v>0</v>
      </c>
      <c r="BD1404" s="1452">
        <f t="shared" si="755"/>
        <v>0</v>
      </c>
      <c r="BE1404" s="1452">
        <f t="shared" si="756"/>
        <v>0</v>
      </c>
      <c r="BF1404" s="1452">
        <f t="shared" si="757"/>
        <v>0</v>
      </c>
      <c r="BG1404" s="1452">
        <f t="shared" si="758"/>
        <v>0</v>
      </c>
      <c r="BH1404" s="1452">
        <f t="shared" si="759"/>
        <v>0</v>
      </c>
      <c r="BI1404" s="1452">
        <f t="shared" si="776"/>
        <v>0</v>
      </c>
      <c r="BJ1404" s="1452" t="str">
        <f t="shared" si="760"/>
        <v/>
      </c>
      <c r="BK1404" s="1452" t="str">
        <f t="shared" si="761"/>
        <v/>
      </c>
      <c r="BL1404" s="1452" t="str">
        <f t="shared" si="762"/>
        <v/>
      </c>
      <c r="BM1404" s="1452" t="str">
        <f t="shared" si="763"/>
        <v/>
      </c>
      <c r="BN1404" s="1452" t="str">
        <f t="shared" ca="1" si="764"/>
        <v/>
      </c>
      <c r="BO1404" s="1452" t="str">
        <f t="shared" si="777"/>
        <v/>
      </c>
      <c r="BP1404" s="1452" t="str">
        <f t="shared" si="765"/>
        <v/>
      </c>
      <c r="BQ1404" s="1452" t="str">
        <f t="shared" si="766"/>
        <v/>
      </c>
      <c r="BR1404" s="1452" t="str">
        <f t="shared" si="767"/>
        <v/>
      </c>
      <c r="BS1404" s="1452" t="str">
        <f t="shared" si="768"/>
        <v/>
      </c>
      <c r="BT1404" s="1452" t="str">
        <f t="shared" si="769"/>
        <v/>
      </c>
      <c r="BU1404" s="1452" t="str">
        <f t="shared" si="770"/>
        <v/>
      </c>
      <c r="BV1404" s="1452" t="str">
        <f t="shared" si="771"/>
        <v/>
      </c>
      <c r="BW1404" s="1558">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5" customFormat="1" ht="12.5">
      <c r="A1405" s="1483" t="str">
        <f t="shared" si="772"/>
        <v>Public Health Wales Trust</v>
      </c>
      <c r="B1405" s="1583"/>
      <c r="C1405" s="1583"/>
      <c r="D1405" s="1583"/>
      <c r="E1405" s="1581"/>
      <c r="F1405" s="1436"/>
      <c r="G1405" s="1547">
        <f t="shared" si="773"/>
        <v>0</v>
      </c>
      <c r="H1405" s="1484"/>
      <c r="I1405" s="1547">
        <f t="shared" si="774"/>
        <v>0</v>
      </c>
      <c r="J1405" s="1485"/>
      <c r="K1405" s="1485"/>
      <c r="L1405" s="1436"/>
      <c r="M1405" s="1439"/>
      <c r="N1405" s="1439"/>
      <c r="O1405" s="1485"/>
      <c r="P1405" s="1486"/>
      <c r="Q1405" s="1486"/>
      <c r="R1405" s="1487"/>
      <c r="S1405" s="1444"/>
      <c r="T1405" s="1444"/>
      <c r="U1405" s="1444"/>
      <c r="V1405" s="1488"/>
      <c r="W1405" s="1488"/>
      <c r="X1405" s="1488"/>
      <c r="Y1405" s="1488"/>
      <c r="Z1405" s="1488"/>
      <c r="AA1405" s="1488"/>
      <c r="AB1405" s="1488"/>
      <c r="AC1405" s="1488"/>
      <c r="AD1405" s="1488"/>
      <c r="AE1405" s="1488"/>
      <c r="AF1405" s="1488"/>
      <c r="AG1405" s="1488"/>
      <c r="AH1405" s="1451">
        <f t="shared" si="746"/>
        <v>0</v>
      </c>
      <c r="AI1405" s="1488"/>
      <c r="AJ1405" s="1488"/>
      <c r="AK1405" s="1488"/>
      <c r="AL1405" s="1488"/>
      <c r="AM1405" s="1488"/>
      <c r="AN1405" s="1488"/>
      <c r="AO1405" s="1488"/>
      <c r="AP1405" s="1488"/>
      <c r="AQ1405" s="1488"/>
      <c r="AR1405" s="1488"/>
      <c r="AS1405" s="1488"/>
      <c r="AT1405" s="1542"/>
      <c r="AU1405" s="1599">
        <f t="shared" si="747"/>
        <v>0</v>
      </c>
      <c r="AV1405" s="1544">
        <f t="shared" si="775"/>
        <v>0</v>
      </c>
      <c r="AW1405" s="1452">
        <f t="shared" si="748"/>
        <v>0</v>
      </c>
      <c r="AX1405" s="1452">
        <f t="shared" si="749"/>
        <v>0</v>
      </c>
      <c r="AY1405" s="1452">
        <f t="shared" si="750"/>
        <v>0</v>
      </c>
      <c r="AZ1405" s="1452">
        <f t="shared" si="751"/>
        <v>0</v>
      </c>
      <c r="BA1405" s="1452">
        <f t="shared" si="752"/>
        <v>0</v>
      </c>
      <c r="BB1405" s="1452">
        <f t="shared" si="753"/>
        <v>0</v>
      </c>
      <c r="BC1405" s="1452">
        <f t="shared" si="754"/>
        <v>0</v>
      </c>
      <c r="BD1405" s="1452">
        <f t="shared" si="755"/>
        <v>0</v>
      </c>
      <c r="BE1405" s="1452">
        <f t="shared" si="756"/>
        <v>0</v>
      </c>
      <c r="BF1405" s="1452">
        <f t="shared" si="757"/>
        <v>0</v>
      </c>
      <c r="BG1405" s="1452">
        <f t="shared" si="758"/>
        <v>0</v>
      </c>
      <c r="BH1405" s="1452">
        <f t="shared" si="759"/>
        <v>0</v>
      </c>
      <c r="BI1405" s="1452">
        <f t="shared" si="776"/>
        <v>0</v>
      </c>
      <c r="BJ1405" s="1452" t="str">
        <f t="shared" si="760"/>
        <v/>
      </c>
      <c r="BK1405" s="1452" t="str">
        <f t="shared" si="761"/>
        <v/>
      </c>
      <c r="BL1405" s="1452" t="str">
        <f t="shared" si="762"/>
        <v/>
      </c>
      <c r="BM1405" s="1452" t="str">
        <f t="shared" si="763"/>
        <v/>
      </c>
      <c r="BN1405" s="1452" t="str">
        <f t="shared" ca="1" si="764"/>
        <v/>
      </c>
      <c r="BO1405" s="1452" t="str">
        <f t="shared" si="777"/>
        <v/>
      </c>
      <c r="BP1405" s="1452" t="str">
        <f t="shared" si="765"/>
        <v/>
      </c>
      <c r="BQ1405" s="1452" t="str">
        <f t="shared" si="766"/>
        <v/>
      </c>
      <c r="BR1405" s="1452" t="str">
        <f t="shared" si="767"/>
        <v/>
      </c>
      <c r="BS1405" s="1452" t="str">
        <f t="shared" si="768"/>
        <v/>
      </c>
      <c r="BT1405" s="1452" t="str">
        <f t="shared" si="769"/>
        <v/>
      </c>
      <c r="BU1405" s="1452" t="str">
        <f t="shared" si="770"/>
        <v/>
      </c>
      <c r="BV1405" s="1452" t="str">
        <f t="shared" si="771"/>
        <v/>
      </c>
      <c r="BW1405" s="1558">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5" customFormat="1" ht="12.5">
      <c r="A1406" s="1483" t="str">
        <f t="shared" si="772"/>
        <v>Public Health Wales Trust</v>
      </c>
      <c r="B1406" s="1583"/>
      <c r="C1406" s="1583"/>
      <c r="D1406" s="1583"/>
      <c r="E1406" s="1581"/>
      <c r="F1406" s="1436"/>
      <c r="G1406" s="1547">
        <f t="shared" si="773"/>
        <v>0</v>
      </c>
      <c r="H1406" s="1484"/>
      <c r="I1406" s="1547">
        <f t="shared" si="774"/>
        <v>0</v>
      </c>
      <c r="J1406" s="1485"/>
      <c r="K1406" s="1485"/>
      <c r="L1406" s="1436"/>
      <c r="M1406" s="1439"/>
      <c r="N1406" s="1439"/>
      <c r="O1406" s="1485"/>
      <c r="P1406" s="1486"/>
      <c r="Q1406" s="1486"/>
      <c r="R1406" s="1487"/>
      <c r="S1406" s="1444"/>
      <c r="T1406" s="1444"/>
      <c r="U1406" s="1444"/>
      <c r="V1406" s="1488"/>
      <c r="W1406" s="1488"/>
      <c r="X1406" s="1488"/>
      <c r="Y1406" s="1488"/>
      <c r="Z1406" s="1488"/>
      <c r="AA1406" s="1488"/>
      <c r="AB1406" s="1488"/>
      <c r="AC1406" s="1488"/>
      <c r="AD1406" s="1488"/>
      <c r="AE1406" s="1488"/>
      <c r="AF1406" s="1488"/>
      <c r="AG1406" s="1488"/>
      <c r="AH1406" s="1451">
        <f t="shared" si="746"/>
        <v>0</v>
      </c>
      <c r="AI1406" s="1488"/>
      <c r="AJ1406" s="1488"/>
      <c r="AK1406" s="1488"/>
      <c r="AL1406" s="1488"/>
      <c r="AM1406" s="1488"/>
      <c r="AN1406" s="1488"/>
      <c r="AO1406" s="1488"/>
      <c r="AP1406" s="1488"/>
      <c r="AQ1406" s="1488"/>
      <c r="AR1406" s="1488"/>
      <c r="AS1406" s="1488"/>
      <c r="AT1406" s="1542"/>
      <c r="AU1406" s="1599">
        <f t="shared" si="747"/>
        <v>0</v>
      </c>
      <c r="AV1406" s="1544">
        <f t="shared" si="775"/>
        <v>0</v>
      </c>
      <c r="AW1406" s="1452">
        <f t="shared" si="748"/>
        <v>0</v>
      </c>
      <c r="AX1406" s="1452">
        <f t="shared" si="749"/>
        <v>0</v>
      </c>
      <c r="AY1406" s="1452">
        <f t="shared" si="750"/>
        <v>0</v>
      </c>
      <c r="AZ1406" s="1452">
        <f t="shared" si="751"/>
        <v>0</v>
      </c>
      <c r="BA1406" s="1452">
        <f t="shared" si="752"/>
        <v>0</v>
      </c>
      <c r="BB1406" s="1452">
        <f t="shared" si="753"/>
        <v>0</v>
      </c>
      <c r="BC1406" s="1452">
        <f t="shared" si="754"/>
        <v>0</v>
      </c>
      <c r="BD1406" s="1452">
        <f t="shared" si="755"/>
        <v>0</v>
      </c>
      <c r="BE1406" s="1452">
        <f t="shared" si="756"/>
        <v>0</v>
      </c>
      <c r="BF1406" s="1452">
        <f t="shared" si="757"/>
        <v>0</v>
      </c>
      <c r="BG1406" s="1452">
        <f t="shared" si="758"/>
        <v>0</v>
      </c>
      <c r="BH1406" s="1452">
        <f t="shared" si="759"/>
        <v>0</v>
      </c>
      <c r="BI1406" s="1452">
        <f t="shared" si="776"/>
        <v>0</v>
      </c>
      <c r="BJ1406" s="1452" t="str">
        <f t="shared" si="760"/>
        <v/>
      </c>
      <c r="BK1406" s="1452" t="str">
        <f t="shared" si="761"/>
        <v/>
      </c>
      <c r="BL1406" s="1452" t="str">
        <f t="shared" si="762"/>
        <v/>
      </c>
      <c r="BM1406" s="1452" t="str">
        <f t="shared" si="763"/>
        <v/>
      </c>
      <c r="BN1406" s="1452" t="str">
        <f t="shared" ca="1" si="764"/>
        <v/>
      </c>
      <c r="BO1406" s="1452" t="str">
        <f t="shared" si="777"/>
        <v/>
      </c>
      <c r="BP1406" s="1452" t="str">
        <f t="shared" si="765"/>
        <v/>
      </c>
      <c r="BQ1406" s="1452" t="str">
        <f t="shared" si="766"/>
        <v/>
      </c>
      <c r="BR1406" s="1452" t="str">
        <f t="shared" si="767"/>
        <v/>
      </c>
      <c r="BS1406" s="1452" t="str">
        <f t="shared" si="768"/>
        <v/>
      </c>
      <c r="BT1406" s="1452" t="str">
        <f t="shared" si="769"/>
        <v/>
      </c>
      <c r="BU1406" s="1452" t="str">
        <f t="shared" si="770"/>
        <v/>
      </c>
      <c r="BV1406" s="1452" t="str">
        <f t="shared" si="771"/>
        <v/>
      </c>
      <c r="BW1406" s="1558">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5" customFormat="1" ht="12.5">
      <c r="A1407" s="1483" t="str">
        <f t="shared" si="772"/>
        <v>Public Health Wales Trust</v>
      </c>
      <c r="B1407" s="1583"/>
      <c r="C1407" s="1583"/>
      <c r="D1407" s="1583"/>
      <c r="E1407" s="1581"/>
      <c r="F1407" s="1436"/>
      <c r="G1407" s="1547">
        <f t="shared" si="773"/>
        <v>0</v>
      </c>
      <c r="H1407" s="1484"/>
      <c r="I1407" s="1547">
        <f t="shared" si="774"/>
        <v>0</v>
      </c>
      <c r="J1407" s="1485"/>
      <c r="K1407" s="1485"/>
      <c r="L1407" s="1436"/>
      <c r="M1407" s="1439"/>
      <c r="N1407" s="1439"/>
      <c r="O1407" s="1485"/>
      <c r="P1407" s="1486"/>
      <c r="Q1407" s="1486"/>
      <c r="R1407" s="1487"/>
      <c r="S1407" s="1444"/>
      <c r="T1407" s="1444"/>
      <c r="U1407" s="1444"/>
      <c r="V1407" s="1488"/>
      <c r="W1407" s="1488"/>
      <c r="X1407" s="1488"/>
      <c r="Y1407" s="1488"/>
      <c r="Z1407" s="1488"/>
      <c r="AA1407" s="1488"/>
      <c r="AB1407" s="1488"/>
      <c r="AC1407" s="1488"/>
      <c r="AD1407" s="1488"/>
      <c r="AE1407" s="1488"/>
      <c r="AF1407" s="1488"/>
      <c r="AG1407" s="1488"/>
      <c r="AH1407" s="1451">
        <f t="shared" si="746"/>
        <v>0</v>
      </c>
      <c r="AI1407" s="1488"/>
      <c r="AJ1407" s="1488"/>
      <c r="AK1407" s="1488"/>
      <c r="AL1407" s="1488"/>
      <c r="AM1407" s="1488"/>
      <c r="AN1407" s="1488"/>
      <c r="AO1407" s="1488"/>
      <c r="AP1407" s="1488"/>
      <c r="AQ1407" s="1488"/>
      <c r="AR1407" s="1488"/>
      <c r="AS1407" s="1488"/>
      <c r="AT1407" s="1542"/>
      <c r="AU1407" s="1599">
        <f t="shared" si="747"/>
        <v>0</v>
      </c>
      <c r="AV1407" s="1544">
        <f t="shared" si="775"/>
        <v>0</v>
      </c>
      <c r="AW1407" s="1452">
        <f t="shared" si="748"/>
        <v>0</v>
      </c>
      <c r="AX1407" s="1452">
        <f t="shared" si="749"/>
        <v>0</v>
      </c>
      <c r="AY1407" s="1452">
        <f t="shared" si="750"/>
        <v>0</v>
      </c>
      <c r="AZ1407" s="1452">
        <f t="shared" si="751"/>
        <v>0</v>
      </c>
      <c r="BA1407" s="1452">
        <f t="shared" si="752"/>
        <v>0</v>
      </c>
      <c r="BB1407" s="1452">
        <f t="shared" si="753"/>
        <v>0</v>
      </c>
      <c r="BC1407" s="1452">
        <f t="shared" si="754"/>
        <v>0</v>
      </c>
      <c r="BD1407" s="1452">
        <f t="shared" si="755"/>
        <v>0</v>
      </c>
      <c r="BE1407" s="1452">
        <f t="shared" si="756"/>
        <v>0</v>
      </c>
      <c r="BF1407" s="1452">
        <f t="shared" si="757"/>
        <v>0</v>
      </c>
      <c r="BG1407" s="1452">
        <f t="shared" si="758"/>
        <v>0</v>
      </c>
      <c r="BH1407" s="1452">
        <f t="shared" si="759"/>
        <v>0</v>
      </c>
      <c r="BI1407" s="1452">
        <f t="shared" si="776"/>
        <v>0</v>
      </c>
      <c r="BJ1407" s="1452" t="str">
        <f t="shared" si="760"/>
        <v/>
      </c>
      <c r="BK1407" s="1452" t="str">
        <f t="shared" si="761"/>
        <v/>
      </c>
      <c r="BL1407" s="1452" t="str">
        <f t="shared" si="762"/>
        <v/>
      </c>
      <c r="BM1407" s="1452" t="str">
        <f t="shared" si="763"/>
        <v/>
      </c>
      <c r="BN1407" s="1452" t="str">
        <f t="shared" ca="1" si="764"/>
        <v/>
      </c>
      <c r="BO1407" s="1452" t="str">
        <f t="shared" si="777"/>
        <v/>
      </c>
      <c r="BP1407" s="1452" t="str">
        <f t="shared" si="765"/>
        <v/>
      </c>
      <c r="BQ1407" s="1452" t="str">
        <f t="shared" si="766"/>
        <v/>
      </c>
      <c r="BR1407" s="1452" t="str">
        <f t="shared" si="767"/>
        <v/>
      </c>
      <c r="BS1407" s="1452" t="str">
        <f t="shared" si="768"/>
        <v/>
      </c>
      <c r="BT1407" s="1452" t="str">
        <f t="shared" si="769"/>
        <v/>
      </c>
      <c r="BU1407" s="1452" t="str">
        <f t="shared" si="770"/>
        <v/>
      </c>
      <c r="BV1407" s="1452" t="str">
        <f t="shared" si="771"/>
        <v/>
      </c>
      <c r="BW1407" s="1558">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5" customFormat="1" ht="12.5">
      <c r="A1408" s="1483" t="str">
        <f t="shared" si="772"/>
        <v>Public Health Wales Trust</v>
      </c>
      <c r="B1408" s="1583"/>
      <c r="C1408" s="1583"/>
      <c r="D1408" s="1583"/>
      <c r="E1408" s="1581"/>
      <c r="F1408" s="1436"/>
      <c r="G1408" s="1547">
        <f t="shared" si="773"/>
        <v>0</v>
      </c>
      <c r="H1408" s="1484"/>
      <c r="I1408" s="1547">
        <f t="shared" si="774"/>
        <v>0</v>
      </c>
      <c r="J1408" s="1485"/>
      <c r="K1408" s="1485"/>
      <c r="L1408" s="1436"/>
      <c r="M1408" s="1439"/>
      <c r="N1408" s="1439"/>
      <c r="O1408" s="1485"/>
      <c r="P1408" s="1486"/>
      <c r="Q1408" s="1486"/>
      <c r="R1408" s="1487"/>
      <c r="S1408" s="1444"/>
      <c r="T1408" s="1444"/>
      <c r="U1408" s="1444"/>
      <c r="V1408" s="1488"/>
      <c r="W1408" s="1488"/>
      <c r="X1408" s="1488"/>
      <c r="Y1408" s="1488"/>
      <c r="Z1408" s="1488"/>
      <c r="AA1408" s="1488"/>
      <c r="AB1408" s="1488"/>
      <c r="AC1408" s="1488"/>
      <c r="AD1408" s="1488"/>
      <c r="AE1408" s="1488"/>
      <c r="AF1408" s="1488"/>
      <c r="AG1408" s="1488"/>
      <c r="AH1408" s="1451">
        <f t="shared" si="746"/>
        <v>0</v>
      </c>
      <c r="AI1408" s="1488"/>
      <c r="AJ1408" s="1488"/>
      <c r="AK1408" s="1488"/>
      <c r="AL1408" s="1488"/>
      <c r="AM1408" s="1488"/>
      <c r="AN1408" s="1488"/>
      <c r="AO1408" s="1488"/>
      <c r="AP1408" s="1488"/>
      <c r="AQ1408" s="1488"/>
      <c r="AR1408" s="1488"/>
      <c r="AS1408" s="1488"/>
      <c r="AT1408" s="1542"/>
      <c r="AU1408" s="1599">
        <f t="shared" si="747"/>
        <v>0</v>
      </c>
      <c r="AV1408" s="1544">
        <f t="shared" si="775"/>
        <v>0</v>
      </c>
      <c r="AW1408" s="1452">
        <f t="shared" si="748"/>
        <v>0</v>
      </c>
      <c r="AX1408" s="1452">
        <f t="shared" si="749"/>
        <v>0</v>
      </c>
      <c r="AY1408" s="1452">
        <f t="shared" si="750"/>
        <v>0</v>
      </c>
      <c r="AZ1408" s="1452">
        <f t="shared" si="751"/>
        <v>0</v>
      </c>
      <c r="BA1408" s="1452">
        <f t="shared" si="752"/>
        <v>0</v>
      </c>
      <c r="BB1408" s="1452">
        <f t="shared" si="753"/>
        <v>0</v>
      </c>
      <c r="BC1408" s="1452">
        <f t="shared" si="754"/>
        <v>0</v>
      </c>
      <c r="BD1408" s="1452">
        <f t="shared" si="755"/>
        <v>0</v>
      </c>
      <c r="BE1408" s="1452">
        <f t="shared" si="756"/>
        <v>0</v>
      </c>
      <c r="BF1408" s="1452">
        <f t="shared" si="757"/>
        <v>0</v>
      </c>
      <c r="BG1408" s="1452">
        <f t="shared" si="758"/>
        <v>0</v>
      </c>
      <c r="BH1408" s="1452">
        <f t="shared" si="759"/>
        <v>0</v>
      </c>
      <c r="BI1408" s="1452">
        <f t="shared" si="776"/>
        <v>0</v>
      </c>
      <c r="BJ1408" s="1452" t="str">
        <f t="shared" si="760"/>
        <v/>
      </c>
      <c r="BK1408" s="1452" t="str">
        <f t="shared" si="761"/>
        <v/>
      </c>
      <c r="BL1408" s="1452" t="str">
        <f t="shared" si="762"/>
        <v/>
      </c>
      <c r="BM1408" s="1452" t="str">
        <f t="shared" si="763"/>
        <v/>
      </c>
      <c r="BN1408" s="1452" t="str">
        <f t="shared" ca="1" si="764"/>
        <v/>
      </c>
      <c r="BO1408" s="1452" t="str">
        <f t="shared" si="777"/>
        <v/>
      </c>
      <c r="BP1408" s="1452" t="str">
        <f t="shared" si="765"/>
        <v/>
      </c>
      <c r="BQ1408" s="1452" t="str">
        <f t="shared" si="766"/>
        <v/>
      </c>
      <c r="BR1408" s="1452" t="str">
        <f t="shared" si="767"/>
        <v/>
      </c>
      <c r="BS1408" s="1452" t="str">
        <f t="shared" si="768"/>
        <v/>
      </c>
      <c r="BT1408" s="1452" t="str">
        <f t="shared" si="769"/>
        <v/>
      </c>
      <c r="BU1408" s="1452" t="str">
        <f t="shared" si="770"/>
        <v/>
      </c>
      <c r="BV1408" s="1452" t="str">
        <f t="shared" si="771"/>
        <v/>
      </c>
      <c r="BW1408" s="1558">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5" customFormat="1" ht="12.5">
      <c r="A1409" s="1483" t="str">
        <f t="shared" si="772"/>
        <v>Public Health Wales Trust</v>
      </c>
      <c r="B1409" s="1583"/>
      <c r="C1409" s="1583"/>
      <c r="D1409" s="1583"/>
      <c r="E1409" s="1581"/>
      <c r="F1409" s="1436"/>
      <c r="G1409" s="1547">
        <f t="shared" si="773"/>
        <v>0</v>
      </c>
      <c r="H1409" s="1484"/>
      <c r="I1409" s="1547">
        <f t="shared" si="774"/>
        <v>0</v>
      </c>
      <c r="J1409" s="1485"/>
      <c r="K1409" s="1485"/>
      <c r="L1409" s="1436"/>
      <c r="M1409" s="1439"/>
      <c r="N1409" s="1439"/>
      <c r="O1409" s="1485"/>
      <c r="P1409" s="1486"/>
      <c r="Q1409" s="1486"/>
      <c r="R1409" s="1487"/>
      <c r="S1409" s="1444"/>
      <c r="T1409" s="1444"/>
      <c r="U1409" s="1444"/>
      <c r="V1409" s="1488"/>
      <c r="W1409" s="1488"/>
      <c r="X1409" s="1488"/>
      <c r="Y1409" s="1488"/>
      <c r="Z1409" s="1488"/>
      <c r="AA1409" s="1488"/>
      <c r="AB1409" s="1488"/>
      <c r="AC1409" s="1488"/>
      <c r="AD1409" s="1488"/>
      <c r="AE1409" s="1488"/>
      <c r="AF1409" s="1488"/>
      <c r="AG1409" s="1488"/>
      <c r="AH1409" s="1451">
        <f t="shared" si="746"/>
        <v>0</v>
      </c>
      <c r="AI1409" s="1488"/>
      <c r="AJ1409" s="1488"/>
      <c r="AK1409" s="1488"/>
      <c r="AL1409" s="1488"/>
      <c r="AM1409" s="1488"/>
      <c r="AN1409" s="1488"/>
      <c r="AO1409" s="1488"/>
      <c r="AP1409" s="1488"/>
      <c r="AQ1409" s="1488"/>
      <c r="AR1409" s="1488"/>
      <c r="AS1409" s="1488"/>
      <c r="AT1409" s="1542"/>
      <c r="AU1409" s="1599">
        <f t="shared" si="747"/>
        <v>0</v>
      </c>
      <c r="AV1409" s="1544">
        <f t="shared" si="775"/>
        <v>0</v>
      </c>
      <c r="AW1409" s="1452">
        <f t="shared" si="748"/>
        <v>0</v>
      </c>
      <c r="AX1409" s="1452">
        <f t="shared" si="749"/>
        <v>0</v>
      </c>
      <c r="AY1409" s="1452">
        <f t="shared" si="750"/>
        <v>0</v>
      </c>
      <c r="AZ1409" s="1452">
        <f t="shared" si="751"/>
        <v>0</v>
      </c>
      <c r="BA1409" s="1452">
        <f t="shared" si="752"/>
        <v>0</v>
      </c>
      <c r="BB1409" s="1452">
        <f t="shared" si="753"/>
        <v>0</v>
      </c>
      <c r="BC1409" s="1452">
        <f t="shared" si="754"/>
        <v>0</v>
      </c>
      <c r="BD1409" s="1452">
        <f t="shared" si="755"/>
        <v>0</v>
      </c>
      <c r="BE1409" s="1452">
        <f t="shared" si="756"/>
        <v>0</v>
      </c>
      <c r="BF1409" s="1452">
        <f t="shared" si="757"/>
        <v>0</v>
      </c>
      <c r="BG1409" s="1452">
        <f t="shared" si="758"/>
        <v>0</v>
      </c>
      <c r="BH1409" s="1452">
        <f t="shared" si="759"/>
        <v>0</v>
      </c>
      <c r="BI1409" s="1452">
        <f t="shared" si="776"/>
        <v>0</v>
      </c>
      <c r="BJ1409" s="1452" t="str">
        <f t="shared" si="760"/>
        <v/>
      </c>
      <c r="BK1409" s="1452" t="str">
        <f t="shared" si="761"/>
        <v/>
      </c>
      <c r="BL1409" s="1452" t="str">
        <f t="shared" si="762"/>
        <v/>
      </c>
      <c r="BM1409" s="1452" t="str">
        <f t="shared" si="763"/>
        <v/>
      </c>
      <c r="BN1409" s="1452" t="str">
        <f t="shared" ca="1" si="764"/>
        <v/>
      </c>
      <c r="BO1409" s="1452" t="str">
        <f t="shared" si="777"/>
        <v/>
      </c>
      <c r="BP1409" s="1452" t="str">
        <f t="shared" si="765"/>
        <v/>
      </c>
      <c r="BQ1409" s="1452" t="str">
        <f t="shared" si="766"/>
        <v/>
      </c>
      <c r="BR1409" s="1452" t="str">
        <f t="shared" si="767"/>
        <v/>
      </c>
      <c r="BS1409" s="1452" t="str">
        <f t="shared" si="768"/>
        <v/>
      </c>
      <c r="BT1409" s="1452" t="str">
        <f t="shared" si="769"/>
        <v/>
      </c>
      <c r="BU1409" s="1452" t="str">
        <f t="shared" si="770"/>
        <v/>
      </c>
      <c r="BV1409" s="1452" t="str">
        <f t="shared" si="771"/>
        <v/>
      </c>
      <c r="BW1409" s="1558">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5" customFormat="1" ht="12.5">
      <c r="A1410" s="1483" t="str">
        <f t="shared" si="772"/>
        <v>Public Health Wales Trust</v>
      </c>
      <c r="B1410" s="1583"/>
      <c r="C1410" s="1583"/>
      <c r="D1410" s="1583"/>
      <c r="E1410" s="1581"/>
      <c r="F1410" s="1436"/>
      <c r="G1410" s="1547">
        <f t="shared" si="773"/>
        <v>0</v>
      </c>
      <c r="H1410" s="1484"/>
      <c r="I1410" s="1547">
        <f t="shared" si="774"/>
        <v>0</v>
      </c>
      <c r="J1410" s="1485"/>
      <c r="K1410" s="1485"/>
      <c r="L1410" s="1436"/>
      <c r="M1410" s="1439"/>
      <c r="N1410" s="1439"/>
      <c r="O1410" s="1485"/>
      <c r="P1410" s="1486"/>
      <c r="Q1410" s="1486"/>
      <c r="R1410" s="1487"/>
      <c r="S1410" s="1444"/>
      <c r="T1410" s="1444"/>
      <c r="U1410" s="1444"/>
      <c r="V1410" s="1488"/>
      <c r="W1410" s="1488"/>
      <c r="X1410" s="1488"/>
      <c r="Y1410" s="1488"/>
      <c r="Z1410" s="1488"/>
      <c r="AA1410" s="1488"/>
      <c r="AB1410" s="1488"/>
      <c r="AC1410" s="1488"/>
      <c r="AD1410" s="1488"/>
      <c r="AE1410" s="1488"/>
      <c r="AF1410" s="1488"/>
      <c r="AG1410" s="1488"/>
      <c r="AH1410" s="1451">
        <f t="shared" si="746"/>
        <v>0</v>
      </c>
      <c r="AI1410" s="1488"/>
      <c r="AJ1410" s="1488"/>
      <c r="AK1410" s="1488"/>
      <c r="AL1410" s="1488"/>
      <c r="AM1410" s="1488"/>
      <c r="AN1410" s="1488"/>
      <c r="AO1410" s="1488"/>
      <c r="AP1410" s="1488"/>
      <c r="AQ1410" s="1488"/>
      <c r="AR1410" s="1488"/>
      <c r="AS1410" s="1488"/>
      <c r="AT1410" s="1542"/>
      <c r="AU1410" s="1599">
        <f t="shared" si="747"/>
        <v>0</v>
      </c>
      <c r="AV1410" s="1544">
        <f t="shared" si="775"/>
        <v>0</v>
      </c>
      <c r="AW1410" s="1452">
        <f t="shared" si="748"/>
        <v>0</v>
      </c>
      <c r="AX1410" s="1452">
        <f t="shared" si="749"/>
        <v>0</v>
      </c>
      <c r="AY1410" s="1452">
        <f t="shared" si="750"/>
        <v>0</v>
      </c>
      <c r="AZ1410" s="1452">
        <f t="shared" si="751"/>
        <v>0</v>
      </c>
      <c r="BA1410" s="1452">
        <f t="shared" si="752"/>
        <v>0</v>
      </c>
      <c r="BB1410" s="1452">
        <f t="shared" si="753"/>
        <v>0</v>
      </c>
      <c r="BC1410" s="1452">
        <f t="shared" si="754"/>
        <v>0</v>
      </c>
      <c r="BD1410" s="1452">
        <f t="shared" si="755"/>
        <v>0</v>
      </c>
      <c r="BE1410" s="1452">
        <f t="shared" si="756"/>
        <v>0</v>
      </c>
      <c r="BF1410" s="1452">
        <f t="shared" si="757"/>
        <v>0</v>
      </c>
      <c r="BG1410" s="1452">
        <f t="shared" si="758"/>
        <v>0</v>
      </c>
      <c r="BH1410" s="1452">
        <f t="shared" si="759"/>
        <v>0</v>
      </c>
      <c r="BI1410" s="1452">
        <f t="shared" si="776"/>
        <v>0</v>
      </c>
      <c r="BJ1410" s="1452" t="str">
        <f t="shared" si="760"/>
        <v/>
      </c>
      <c r="BK1410" s="1452" t="str">
        <f t="shared" si="761"/>
        <v/>
      </c>
      <c r="BL1410" s="1452" t="str">
        <f t="shared" si="762"/>
        <v/>
      </c>
      <c r="BM1410" s="1452" t="str">
        <f t="shared" si="763"/>
        <v/>
      </c>
      <c r="BN1410" s="1452" t="str">
        <f t="shared" ca="1" si="764"/>
        <v/>
      </c>
      <c r="BO1410" s="1452" t="str">
        <f t="shared" si="777"/>
        <v/>
      </c>
      <c r="BP1410" s="1452" t="str">
        <f t="shared" si="765"/>
        <v/>
      </c>
      <c r="BQ1410" s="1452" t="str">
        <f t="shared" si="766"/>
        <v/>
      </c>
      <c r="BR1410" s="1452" t="str">
        <f t="shared" si="767"/>
        <v/>
      </c>
      <c r="BS1410" s="1452" t="str">
        <f t="shared" si="768"/>
        <v/>
      </c>
      <c r="BT1410" s="1452" t="str">
        <f t="shared" si="769"/>
        <v/>
      </c>
      <c r="BU1410" s="1452" t="str">
        <f t="shared" si="770"/>
        <v/>
      </c>
      <c r="BV1410" s="1452" t="str">
        <f t="shared" si="771"/>
        <v/>
      </c>
      <c r="BW1410" s="1558">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5" customFormat="1" ht="12.5">
      <c r="A1411" s="1483" t="str">
        <f t="shared" si="772"/>
        <v>Public Health Wales Trust</v>
      </c>
      <c r="B1411" s="1583"/>
      <c r="C1411" s="1583"/>
      <c r="D1411" s="1583"/>
      <c r="E1411" s="1581"/>
      <c r="F1411" s="1436"/>
      <c r="G1411" s="1547">
        <f t="shared" si="773"/>
        <v>0</v>
      </c>
      <c r="H1411" s="1484"/>
      <c r="I1411" s="1547">
        <f t="shared" si="774"/>
        <v>0</v>
      </c>
      <c r="J1411" s="1485"/>
      <c r="K1411" s="1485"/>
      <c r="L1411" s="1436"/>
      <c r="M1411" s="1439"/>
      <c r="N1411" s="1439"/>
      <c r="O1411" s="1485"/>
      <c r="P1411" s="1486"/>
      <c r="Q1411" s="1486"/>
      <c r="R1411" s="1487"/>
      <c r="S1411" s="1444"/>
      <c r="T1411" s="1444"/>
      <c r="U1411" s="1444"/>
      <c r="V1411" s="1488"/>
      <c r="W1411" s="1488"/>
      <c r="X1411" s="1488"/>
      <c r="Y1411" s="1488"/>
      <c r="Z1411" s="1488"/>
      <c r="AA1411" s="1488"/>
      <c r="AB1411" s="1488"/>
      <c r="AC1411" s="1488"/>
      <c r="AD1411" s="1488"/>
      <c r="AE1411" s="1488"/>
      <c r="AF1411" s="1488"/>
      <c r="AG1411" s="1488"/>
      <c r="AH1411" s="1451">
        <f t="shared" si="746"/>
        <v>0</v>
      </c>
      <c r="AI1411" s="1488"/>
      <c r="AJ1411" s="1488"/>
      <c r="AK1411" s="1488"/>
      <c r="AL1411" s="1488"/>
      <c r="AM1411" s="1488"/>
      <c r="AN1411" s="1488"/>
      <c r="AO1411" s="1488"/>
      <c r="AP1411" s="1488"/>
      <c r="AQ1411" s="1488"/>
      <c r="AR1411" s="1488"/>
      <c r="AS1411" s="1488"/>
      <c r="AT1411" s="1542"/>
      <c r="AU1411" s="1599">
        <f t="shared" si="747"/>
        <v>0</v>
      </c>
      <c r="AV1411" s="1544">
        <f t="shared" si="775"/>
        <v>0</v>
      </c>
      <c r="AW1411" s="1452">
        <f t="shared" si="748"/>
        <v>0</v>
      </c>
      <c r="AX1411" s="1452">
        <f t="shared" si="749"/>
        <v>0</v>
      </c>
      <c r="AY1411" s="1452">
        <f t="shared" si="750"/>
        <v>0</v>
      </c>
      <c r="AZ1411" s="1452">
        <f t="shared" si="751"/>
        <v>0</v>
      </c>
      <c r="BA1411" s="1452">
        <f t="shared" si="752"/>
        <v>0</v>
      </c>
      <c r="BB1411" s="1452">
        <f t="shared" si="753"/>
        <v>0</v>
      </c>
      <c r="BC1411" s="1452">
        <f t="shared" si="754"/>
        <v>0</v>
      </c>
      <c r="BD1411" s="1452">
        <f t="shared" si="755"/>
        <v>0</v>
      </c>
      <c r="BE1411" s="1452">
        <f t="shared" si="756"/>
        <v>0</v>
      </c>
      <c r="BF1411" s="1452">
        <f t="shared" si="757"/>
        <v>0</v>
      </c>
      <c r="BG1411" s="1452">
        <f t="shared" si="758"/>
        <v>0</v>
      </c>
      <c r="BH1411" s="1452">
        <f t="shared" si="759"/>
        <v>0</v>
      </c>
      <c r="BI1411" s="1452">
        <f t="shared" si="776"/>
        <v>0</v>
      </c>
      <c r="BJ1411" s="1452" t="str">
        <f t="shared" si="760"/>
        <v/>
      </c>
      <c r="BK1411" s="1452" t="str">
        <f t="shared" si="761"/>
        <v/>
      </c>
      <c r="BL1411" s="1452" t="str">
        <f t="shared" si="762"/>
        <v/>
      </c>
      <c r="BM1411" s="1452" t="str">
        <f t="shared" si="763"/>
        <v/>
      </c>
      <c r="BN1411" s="1452" t="str">
        <f t="shared" ca="1" si="764"/>
        <v/>
      </c>
      <c r="BO1411" s="1452" t="str">
        <f t="shared" si="777"/>
        <v/>
      </c>
      <c r="BP1411" s="1452" t="str">
        <f t="shared" si="765"/>
        <v/>
      </c>
      <c r="BQ1411" s="1452" t="str">
        <f t="shared" si="766"/>
        <v/>
      </c>
      <c r="BR1411" s="1452" t="str">
        <f t="shared" si="767"/>
        <v/>
      </c>
      <c r="BS1411" s="1452" t="str">
        <f t="shared" si="768"/>
        <v/>
      </c>
      <c r="BT1411" s="1452" t="str">
        <f t="shared" si="769"/>
        <v/>
      </c>
      <c r="BU1411" s="1452" t="str">
        <f t="shared" si="770"/>
        <v/>
      </c>
      <c r="BV1411" s="1452" t="str">
        <f t="shared" si="771"/>
        <v/>
      </c>
      <c r="BW1411" s="1558">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5" customFormat="1" ht="12.5">
      <c r="A1412" s="1483" t="str">
        <f t="shared" si="772"/>
        <v>Public Health Wales Trust</v>
      </c>
      <c r="B1412" s="1583"/>
      <c r="C1412" s="1583"/>
      <c r="D1412" s="1583"/>
      <c r="E1412" s="1581"/>
      <c r="F1412" s="1436"/>
      <c r="G1412" s="1547">
        <f t="shared" si="773"/>
        <v>0</v>
      </c>
      <c r="H1412" s="1484"/>
      <c r="I1412" s="1547">
        <f t="shared" si="774"/>
        <v>0</v>
      </c>
      <c r="J1412" s="1485"/>
      <c r="K1412" s="1485"/>
      <c r="L1412" s="1436"/>
      <c r="M1412" s="1439"/>
      <c r="N1412" s="1439"/>
      <c r="O1412" s="1485"/>
      <c r="P1412" s="1486"/>
      <c r="Q1412" s="1486"/>
      <c r="R1412" s="1487"/>
      <c r="S1412" s="1444"/>
      <c r="T1412" s="1444"/>
      <c r="U1412" s="1444"/>
      <c r="V1412" s="1488"/>
      <c r="W1412" s="1488"/>
      <c r="X1412" s="1488"/>
      <c r="Y1412" s="1488"/>
      <c r="Z1412" s="1488"/>
      <c r="AA1412" s="1488"/>
      <c r="AB1412" s="1488"/>
      <c r="AC1412" s="1488"/>
      <c r="AD1412" s="1488"/>
      <c r="AE1412" s="1488"/>
      <c r="AF1412" s="1488"/>
      <c r="AG1412" s="1488"/>
      <c r="AH1412" s="1451">
        <f t="shared" si="746"/>
        <v>0</v>
      </c>
      <c r="AI1412" s="1488"/>
      <c r="AJ1412" s="1488"/>
      <c r="AK1412" s="1488"/>
      <c r="AL1412" s="1488"/>
      <c r="AM1412" s="1488"/>
      <c r="AN1412" s="1488"/>
      <c r="AO1412" s="1488"/>
      <c r="AP1412" s="1488"/>
      <c r="AQ1412" s="1488"/>
      <c r="AR1412" s="1488"/>
      <c r="AS1412" s="1488"/>
      <c r="AT1412" s="1542"/>
      <c r="AU1412" s="1599">
        <f t="shared" si="747"/>
        <v>0</v>
      </c>
      <c r="AV1412" s="1544">
        <f t="shared" si="775"/>
        <v>0</v>
      </c>
      <c r="AW1412" s="1452">
        <f t="shared" si="748"/>
        <v>0</v>
      </c>
      <c r="AX1412" s="1452">
        <f t="shared" si="749"/>
        <v>0</v>
      </c>
      <c r="AY1412" s="1452">
        <f t="shared" si="750"/>
        <v>0</v>
      </c>
      <c r="AZ1412" s="1452">
        <f t="shared" si="751"/>
        <v>0</v>
      </c>
      <c r="BA1412" s="1452">
        <f t="shared" si="752"/>
        <v>0</v>
      </c>
      <c r="BB1412" s="1452">
        <f t="shared" si="753"/>
        <v>0</v>
      </c>
      <c r="BC1412" s="1452">
        <f t="shared" si="754"/>
        <v>0</v>
      </c>
      <c r="BD1412" s="1452">
        <f t="shared" si="755"/>
        <v>0</v>
      </c>
      <c r="BE1412" s="1452">
        <f t="shared" si="756"/>
        <v>0</v>
      </c>
      <c r="BF1412" s="1452">
        <f t="shared" si="757"/>
        <v>0</v>
      </c>
      <c r="BG1412" s="1452">
        <f t="shared" si="758"/>
        <v>0</v>
      </c>
      <c r="BH1412" s="1452">
        <f t="shared" si="759"/>
        <v>0</v>
      </c>
      <c r="BI1412" s="1452">
        <f t="shared" si="776"/>
        <v>0</v>
      </c>
      <c r="BJ1412" s="1452" t="str">
        <f t="shared" si="760"/>
        <v/>
      </c>
      <c r="BK1412" s="1452" t="str">
        <f t="shared" si="761"/>
        <v/>
      </c>
      <c r="BL1412" s="1452" t="str">
        <f t="shared" si="762"/>
        <v/>
      </c>
      <c r="BM1412" s="1452" t="str">
        <f t="shared" si="763"/>
        <v/>
      </c>
      <c r="BN1412" s="1452" t="str">
        <f t="shared" ca="1" si="764"/>
        <v/>
      </c>
      <c r="BO1412" s="1452" t="str">
        <f t="shared" si="777"/>
        <v/>
      </c>
      <c r="BP1412" s="1452" t="str">
        <f t="shared" si="765"/>
        <v/>
      </c>
      <c r="BQ1412" s="1452" t="str">
        <f t="shared" si="766"/>
        <v/>
      </c>
      <c r="BR1412" s="1452" t="str">
        <f t="shared" si="767"/>
        <v/>
      </c>
      <c r="BS1412" s="1452" t="str">
        <f t="shared" si="768"/>
        <v/>
      </c>
      <c r="BT1412" s="1452" t="str">
        <f t="shared" si="769"/>
        <v/>
      </c>
      <c r="BU1412" s="1452" t="str">
        <f t="shared" si="770"/>
        <v/>
      </c>
      <c r="BV1412" s="1452" t="str">
        <f t="shared" si="771"/>
        <v/>
      </c>
      <c r="BW1412" s="1558">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5" customFormat="1" ht="12.5">
      <c r="A1413" s="1483" t="str">
        <f t="shared" si="772"/>
        <v>Public Health Wales Trust</v>
      </c>
      <c r="B1413" s="1583"/>
      <c r="C1413" s="1583"/>
      <c r="D1413" s="1583"/>
      <c r="E1413" s="1581"/>
      <c r="F1413" s="1436"/>
      <c r="G1413" s="1547">
        <f t="shared" si="773"/>
        <v>0</v>
      </c>
      <c r="H1413" s="1484"/>
      <c r="I1413" s="1547">
        <f t="shared" si="774"/>
        <v>0</v>
      </c>
      <c r="J1413" s="1485"/>
      <c r="K1413" s="1485"/>
      <c r="L1413" s="1436"/>
      <c r="M1413" s="1439"/>
      <c r="N1413" s="1439"/>
      <c r="O1413" s="1485"/>
      <c r="P1413" s="1486"/>
      <c r="Q1413" s="1486"/>
      <c r="R1413" s="1487"/>
      <c r="S1413" s="1444"/>
      <c r="T1413" s="1444"/>
      <c r="U1413" s="1444"/>
      <c r="V1413" s="1488"/>
      <c r="W1413" s="1488"/>
      <c r="X1413" s="1488"/>
      <c r="Y1413" s="1488"/>
      <c r="Z1413" s="1488"/>
      <c r="AA1413" s="1488"/>
      <c r="AB1413" s="1488"/>
      <c r="AC1413" s="1488"/>
      <c r="AD1413" s="1488"/>
      <c r="AE1413" s="1488"/>
      <c r="AF1413" s="1488"/>
      <c r="AG1413" s="1488"/>
      <c r="AH1413" s="1451">
        <f t="shared" si="746"/>
        <v>0</v>
      </c>
      <c r="AI1413" s="1488"/>
      <c r="AJ1413" s="1488"/>
      <c r="AK1413" s="1488"/>
      <c r="AL1413" s="1488"/>
      <c r="AM1413" s="1488"/>
      <c r="AN1413" s="1488"/>
      <c r="AO1413" s="1488"/>
      <c r="AP1413" s="1488"/>
      <c r="AQ1413" s="1488"/>
      <c r="AR1413" s="1488"/>
      <c r="AS1413" s="1488"/>
      <c r="AT1413" s="1542"/>
      <c r="AU1413" s="1599">
        <f t="shared" si="747"/>
        <v>0</v>
      </c>
      <c r="AV1413" s="1544">
        <f t="shared" si="775"/>
        <v>0</v>
      </c>
      <c r="AW1413" s="1452">
        <f t="shared" si="748"/>
        <v>0</v>
      </c>
      <c r="AX1413" s="1452">
        <f t="shared" si="749"/>
        <v>0</v>
      </c>
      <c r="AY1413" s="1452">
        <f t="shared" si="750"/>
        <v>0</v>
      </c>
      <c r="AZ1413" s="1452">
        <f t="shared" si="751"/>
        <v>0</v>
      </c>
      <c r="BA1413" s="1452">
        <f t="shared" si="752"/>
        <v>0</v>
      </c>
      <c r="BB1413" s="1452">
        <f t="shared" si="753"/>
        <v>0</v>
      </c>
      <c r="BC1413" s="1452">
        <f t="shared" si="754"/>
        <v>0</v>
      </c>
      <c r="BD1413" s="1452">
        <f t="shared" si="755"/>
        <v>0</v>
      </c>
      <c r="BE1413" s="1452">
        <f t="shared" si="756"/>
        <v>0</v>
      </c>
      <c r="BF1413" s="1452">
        <f t="shared" si="757"/>
        <v>0</v>
      </c>
      <c r="BG1413" s="1452">
        <f t="shared" si="758"/>
        <v>0</v>
      </c>
      <c r="BH1413" s="1452">
        <f t="shared" si="759"/>
        <v>0</v>
      </c>
      <c r="BI1413" s="1452">
        <f t="shared" si="776"/>
        <v>0</v>
      </c>
      <c r="BJ1413" s="1452" t="str">
        <f t="shared" si="760"/>
        <v/>
      </c>
      <c r="BK1413" s="1452" t="str">
        <f t="shared" si="761"/>
        <v/>
      </c>
      <c r="BL1413" s="1452" t="str">
        <f t="shared" si="762"/>
        <v/>
      </c>
      <c r="BM1413" s="1452" t="str">
        <f t="shared" si="763"/>
        <v/>
      </c>
      <c r="BN1413" s="1452" t="str">
        <f t="shared" ca="1" si="764"/>
        <v/>
      </c>
      <c r="BO1413" s="1452" t="str">
        <f t="shared" si="777"/>
        <v/>
      </c>
      <c r="BP1413" s="1452" t="str">
        <f t="shared" si="765"/>
        <v/>
      </c>
      <c r="BQ1413" s="1452" t="str">
        <f t="shared" si="766"/>
        <v/>
      </c>
      <c r="BR1413" s="1452" t="str">
        <f t="shared" si="767"/>
        <v/>
      </c>
      <c r="BS1413" s="1452" t="str">
        <f t="shared" si="768"/>
        <v/>
      </c>
      <c r="BT1413" s="1452" t="str">
        <f t="shared" si="769"/>
        <v/>
      </c>
      <c r="BU1413" s="1452" t="str">
        <f t="shared" si="770"/>
        <v/>
      </c>
      <c r="BV1413" s="1452" t="str">
        <f t="shared" si="771"/>
        <v/>
      </c>
      <c r="BW1413" s="1558">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5" customFormat="1" ht="12.5">
      <c r="A1414" s="1483" t="str">
        <f t="shared" si="772"/>
        <v>Public Health Wales Trust</v>
      </c>
      <c r="B1414" s="1583"/>
      <c r="C1414" s="1583"/>
      <c r="D1414" s="1583"/>
      <c r="E1414" s="1581"/>
      <c r="F1414" s="1436"/>
      <c r="G1414" s="1547">
        <f t="shared" si="773"/>
        <v>0</v>
      </c>
      <c r="H1414" s="1484"/>
      <c r="I1414" s="1547">
        <f t="shared" si="774"/>
        <v>0</v>
      </c>
      <c r="J1414" s="1485"/>
      <c r="K1414" s="1485"/>
      <c r="L1414" s="1436"/>
      <c r="M1414" s="1439"/>
      <c r="N1414" s="1439"/>
      <c r="O1414" s="1485"/>
      <c r="P1414" s="1486"/>
      <c r="Q1414" s="1486"/>
      <c r="R1414" s="1487"/>
      <c r="S1414" s="1444"/>
      <c r="T1414" s="1444"/>
      <c r="U1414" s="1444"/>
      <c r="V1414" s="1488"/>
      <c r="W1414" s="1488"/>
      <c r="X1414" s="1488"/>
      <c r="Y1414" s="1488"/>
      <c r="Z1414" s="1488"/>
      <c r="AA1414" s="1488"/>
      <c r="AB1414" s="1488"/>
      <c r="AC1414" s="1488"/>
      <c r="AD1414" s="1488"/>
      <c r="AE1414" s="1488"/>
      <c r="AF1414" s="1488"/>
      <c r="AG1414" s="1488"/>
      <c r="AH1414" s="1451">
        <f t="shared" si="746"/>
        <v>0</v>
      </c>
      <c r="AI1414" s="1488"/>
      <c r="AJ1414" s="1488"/>
      <c r="AK1414" s="1488"/>
      <c r="AL1414" s="1488"/>
      <c r="AM1414" s="1488"/>
      <c r="AN1414" s="1488"/>
      <c r="AO1414" s="1488"/>
      <c r="AP1414" s="1488"/>
      <c r="AQ1414" s="1488"/>
      <c r="AR1414" s="1488"/>
      <c r="AS1414" s="1488"/>
      <c r="AT1414" s="1542"/>
      <c r="AU1414" s="1599">
        <f t="shared" si="747"/>
        <v>0</v>
      </c>
      <c r="AV1414" s="1544">
        <f t="shared" si="775"/>
        <v>0</v>
      </c>
      <c r="AW1414" s="1452">
        <f t="shared" si="748"/>
        <v>0</v>
      </c>
      <c r="AX1414" s="1452">
        <f t="shared" si="749"/>
        <v>0</v>
      </c>
      <c r="AY1414" s="1452">
        <f t="shared" si="750"/>
        <v>0</v>
      </c>
      <c r="AZ1414" s="1452">
        <f t="shared" si="751"/>
        <v>0</v>
      </c>
      <c r="BA1414" s="1452">
        <f t="shared" si="752"/>
        <v>0</v>
      </c>
      <c r="BB1414" s="1452">
        <f t="shared" si="753"/>
        <v>0</v>
      </c>
      <c r="BC1414" s="1452">
        <f t="shared" si="754"/>
        <v>0</v>
      </c>
      <c r="BD1414" s="1452">
        <f t="shared" si="755"/>
        <v>0</v>
      </c>
      <c r="BE1414" s="1452">
        <f t="shared" si="756"/>
        <v>0</v>
      </c>
      <c r="BF1414" s="1452">
        <f t="shared" si="757"/>
        <v>0</v>
      </c>
      <c r="BG1414" s="1452">
        <f t="shared" si="758"/>
        <v>0</v>
      </c>
      <c r="BH1414" s="1452">
        <f t="shared" si="759"/>
        <v>0</v>
      </c>
      <c r="BI1414" s="1452">
        <f t="shared" si="776"/>
        <v>0</v>
      </c>
      <c r="BJ1414" s="1452" t="str">
        <f t="shared" si="760"/>
        <v/>
      </c>
      <c r="BK1414" s="1452" t="str">
        <f t="shared" si="761"/>
        <v/>
      </c>
      <c r="BL1414" s="1452" t="str">
        <f t="shared" si="762"/>
        <v/>
      </c>
      <c r="BM1414" s="1452" t="str">
        <f t="shared" si="763"/>
        <v/>
      </c>
      <c r="BN1414" s="1452" t="str">
        <f t="shared" ca="1" si="764"/>
        <v/>
      </c>
      <c r="BO1414" s="1452" t="str">
        <f t="shared" si="777"/>
        <v/>
      </c>
      <c r="BP1414" s="1452" t="str">
        <f t="shared" si="765"/>
        <v/>
      </c>
      <c r="BQ1414" s="1452" t="str">
        <f t="shared" si="766"/>
        <v/>
      </c>
      <c r="BR1414" s="1452" t="str">
        <f t="shared" si="767"/>
        <v/>
      </c>
      <c r="BS1414" s="1452" t="str">
        <f t="shared" si="768"/>
        <v/>
      </c>
      <c r="BT1414" s="1452" t="str">
        <f t="shared" si="769"/>
        <v/>
      </c>
      <c r="BU1414" s="1452" t="str">
        <f t="shared" si="770"/>
        <v/>
      </c>
      <c r="BV1414" s="1452" t="str">
        <f t="shared" si="771"/>
        <v/>
      </c>
      <c r="BW1414" s="1558">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5" customFormat="1" ht="12.5">
      <c r="A1415" s="1483" t="str">
        <f t="shared" si="772"/>
        <v>Public Health Wales Trust</v>
      </c>
      <c r="B1415" s="1583"/>
      <c r="C1415" s="1583"/>
      <c r="D1415" s="1583"/>
      <c r="E1415" s="1581"/>
      <c r="F1415" s="1436"/>
      <c r="G1415" s="1547">
        <f t="shared" si="773"/>
        <v>0</v>
      </c>
      <c r="H1415" s="1484"/>
      <c r="I1415" s="1547">
        <f t="shared" si="774"/>
        <v>0</v>
      </c>
      <c r="J1415" s="1485"/>
      <c r="K1415" s="1485"/>
      <c r="L1415" s="1436"/>
      <c r="M1415" s="1439"/>
      <c r="N1415" s="1439"/>
      <c r="O1415" s="1485"/>
      <c r="P1415" s="1486"/>
      <c r="Q1415" s="1486"/>
      <c r="R1415" s="1487"/>
      <c r="S1415" s="1444"/>
      <c r="T1415" s="1444"/>
      <c r="U1415" s="1444"/>
      <c r="V1415" s="1488"/>
      <c r="W1415" s="1488"/>
      <c r="X1415" s="1488"/>
      <c r="Y1415" s="1488"/>
      <c r="Z1415" s="1488"/>
      <c r="AA1415" s="1488"/>
      <c r="AB1415" s="1488"/>
      <c r="AC1415" s="1488"/>
      <c r="AD1415" s="1488"/>
      <c r="AE1415" s="1488"/>
      <c r="AF1415" s="1488"/>
      <c r="AG1415" s="1488"/>
      <c r="AH1415" s="1451">
        <f t="shared" si="746"/>
        <v>0</v>
      </c>
      <c r="AI1415" s="1488"/>
      <c r="AJ1415" s="1488"/>
      <c r="AK1415" s="1488"/>
      <c r="AL1415" s="1488"/>
      <c r="AM1415" s="1488"/>
      <c r="AN1415" s="1488"/>
      <c r="AO1415" s="1488"/>
      <c r="AP1415" s="1488"/>
      <c r="AQ1415" s="1488"/>
      <c r="AR1415" s="1488"/>
      <c r="AS1415" s="1488"/>
      <c r="AT1415" s="1542"/>
      <c r="AU1415" s="1599">
        <f t="shared" si="747"/>
        <v>0</v>
      </c>
      <c r="AV1415" s="1544">
        <f t="shared" si="775"/>
        <v>0</v>
      </c>
      <c r="AW1415" s="1452">
        <f t="shared" si="748"/>
        <v>0</v>
      </c>
      <c r="AX1415" s="1452">
        <f t="shared" si="749"/>
        <v>0</v>
      </c>
      <c r="AY1415" s="1452">
        <f t="shared" si="750"/>
        <v>0</v>
      </c>
      <c r="AZ1415" s="1452">
        <f t="shared" si="751"/>
        <v>0</v>
      </c>
      <c r="BA1415" s="1452">
        <f t="shared" si="752"/>
        <v>0</v>
      </c>
      <c r="BB1415" s="1452">
        <f t="shared" si="753"/>
        <v>0</v>
      </c>
      <c r="BC1415" s="1452">
        <f t="shared" si="754"/>
        <v>0</v>
      </c>
      <c r="BD1415" s="1452">
        <f t="shared" si="755"/>
        <v>0</v>
      </c>
      <c r="BE1415" s="1452">
        <f t="shared" si="756"/>
        <v>0</v>
      </c>
      <c r="BF1415" s="1452">
        <f t="shared" si="757"/>
        <v>0</v>
      </c>
      <c r="BG1415" s="1452">
        <f t="shared" si="758"/>
        <v>0</v>
      </c>
      <c r="BH1415" s="1452">
        <f t="shared" si="759"/>
        <v>0</v>
      </c>
      <c r="BI1415" s="1452">
        <f t="shared" si="776"/>
        <v>0</v>
      </c>
      <c r="BJ1415" s="1452" t="str">
        <f t="shared" si="760"/>
        <v/>
      </c>
      <c r="BK1415" s="1452" t="str">
        <f t="shared" si="761"/>
        <v/>
      </c>
      <c r="BL1415" s="1452" t="str">
        <f t="shared" si="762"/>
        <v/>
      </c>
      <c r="BM1415" s="1452" t="str">
        <f t="shared" si="763"/>
        <v/>
      </c>
      <c r="BN1415" s="1452" t="str">
        <f t="shared" ca="1" si="764"/>
        <v/>
      </c>
      <c r="BO1415" s="1452" t="str">
        <f t="shared" si="777"/>
        <v/>
      </c>
      <c r="BP1415" s="1452" t="str">
        <f t="shared" si="765"/>
        <v/>
      </c>
      <c r="BQ1415" s="1452" t="str">
        <f t="shared" si="766"/>
        <v/>
      </c>
      <c r="BR1415" s="1452" t="str">
        <f t="shared" si="767"/>
        <v/>
      </c>
      <c r="BS1415" s="1452" t="str">
        <f t="shared" si="768"/>
        <v/>
      </c>
      <c r="BT1415" s="1452" t="str">
        <f t="shared" si="769"/>
        <v/>
      </c>
      <c r="BU1415" s="1452" t="str">
        <f t="shared" si="770"/>
        <v/>
      </c>
      <c r="BV1415" s="1452" t="str">
        <f t="shared" si="771"/>
        <v/>
      </c>
      <c r="BW1415" s="1558">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5" customFormat="1" ht="12.5">
      <c r="A1416" s="1483" t="str">
        <f t="shared" si="772"/>
        <v>Public Health Wales Trust</v>
      </c>
      <c r="B1416" s="1583"/>
      <c r="C1416" s="1583"/>
      <c r="D1416" s="1583"/>
      <c r="E1416" s="1581"/>
      <c r="F1416" s="1436"/>
      <c r="G1416" s="1547">
        <f t="shared" si="773"/>
        <v>0</v>
      </c>
      <c r="H1416" s="1484"/>
      <c r="I1416" s="1547">
        <f t="shared" si="774"/>
        <v>0</v>
      </c>
      <c r="J1416" s="1485"/>
      <c r="K1416" s="1485"/>
      <c r="L1416" s="1436"/>
      <c r="M1416" s="1439"/>
      <c r="N1416" s="1439"/>
      <c r="O1416" s="1485"/>
      <c r="P1416" s="1486"/>
      <c r="Q1416" s="1486"/>
      <c r="R1416" s="1487"/>
      <c r="S1416" s="1444"/>
      <c r="T1416" s="1444"/>
      <c r="U1416" s="1444"/>
      <c r="V1416" s="1488"/>
      <c r="W1416" s="1488"/>
      <c r="X1416" s="1488"/>
      <c r="Y1416" s="1488"/>
      <c r="Z1416" s="1488"/>
      <c r="AA1416" s="1488"/>
      <c r="AB1416" s="1488"/>
      <c r="AC1416" s="1488"/>
      <c r="AD1416" s="1488"/>
      <c r="AE1416" s="1488"/>
      <c r="AF1416" s="1488"/>
      <c r="AG1416" s="1488"/>
      <c r="AH1416" s="1451">
        <f t="shared" si="746"/>
        <v>0</v>
      </c>
      <c r="AI1416" s="1488"/>
      <c r="AJ1416" s="1488"/>
      <c r="AK1416" s="1488"/>
      <c r="AL1416" s="1488"/>
      <c r="AM1416" s="1488"/>
      <c r="AN1416" s="1488"/>
      <c r="AO1416" s="1488"/>
      <c r="AP1416" s="1488"/>
      <c r="AQ1416" s="1488"/>
      <c r="AR1416" s="1488"/>
      <c r="AS1416" s="1488"/>
      <c r="AT1416" s="1542"/>
      <c r="AU1416" s="1599">
        <f t="shared" si="747"/>
        <v>0</v>
      </c>
      <c r="AV1416" s="1544">
        <f t="shared" si="775"/>
        <v>0</v>
      </c>
      <c r="AW1416" s="1452">
        <f t="shared" si="748"/>
        <v>0</v>
      </c>
      <c r="AX1416" s="1452">
        <f t="shared" si="749"/>
        <v>0</v>
      </c>
      <c r="AY1416" s="1452">
        <f t="shared" si="750"/>
        <v>0</v>
      </c>
      <c r="AZ1416" s="1452">
        <f t="shared" si="751"/>
        <v>0</v>
      </c>
      <c r="BA1416" s="1452">
        <f t="shared" si="752"/>
        <v>0</v>
      </c>
      <c r="BB1416" s="1452">
        <f t="shared" si="753"/>
        <v>0</v>
      </c>
      <c r="BC1416" s="1452">
        <f t="shared" si="754"/>
        <v>0</v>
      </c>
      <c r="BD1416" s="1452">
        <f t="shared" si="755"/>
        <v>0</v>
      </c>
      <c r="BE1416" s="1452">
        <f t="shared" si="756"/>
        <v>0</v>
      </c>
      <c r="BF1416" s="1452">
        <f t="shared" si="757"/>
        <v>0</v>
      </c>
      <c r="BG1416" s="1452">
        <f t="shared" si="758"/>
        <v>0</v>
      </c>
      <c r="BH1416" s="1452">
        <f t="shared" si="759"/>
        <v>0</v>
      </c>
      <c r="BI1416" s="1452">
        <f t="shared" si="776"/>
        <v>0</v>
      </c>
      <c r="BJ1416" s="1452" t="str">
        <f t="shared" si="760"/>
        <v/>
      </c>
      <c r="BK1416" s="1452" t="str">
        <f t="shared" si="761"/>
        <v/>
      </c>
      <c r="BL1416" s="1452" t="str">
        <f t="shared" si="762"/>
        <v/>
      </c>
      <c r="BM1416" s="1452" t="str">
        <f t="shared" si="763"/>
        <v/>
      </c>
      <c r="BN1416" s="1452" t="str">
        <f t="shared" ca="1" si="764"/>
        <v/>
      </c>
      <c r="BO1416" s="1452" t="str">
        <f t="shared" si="777"/>
        <v/>
      </c>
      <c r="BP1416" s="1452" t="str">
        <f t="shared" si="765"/>
        <v/>
      </c>
      <c r="BQ1416" s="1452" t="str">
        <f t="shared" si="766"/>
        <v/>
      </c>
      <c r="BR1416" s="1452" t="str">
        <f t="shared" si="767"/>
        <v/>
      </c>
      <c r="BS1416" s="1452" t="str">
        <f t="shared" si="768"/>
        <v/>
      </c>
      <c r="BT1416" s="1452" t="str">
        <f t="shared" si="769"/>
        <v/>
      </c>
      <c r="BU1416" s="1452" t="str">
        <f t="shared" si="770"/>
        <v/>
      </c>
      <c r="BV1416" s="1452" t="str">
        <f t="shared" si="771"/>
        <v/>
      </c>
      <c r="BW1416" s="1558">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5" customFormat="1" ht="12.5">
      <c r="A1417" s="1483" t="str">
        <f t="shared" si="772"/>
        <v>Public Health Wales Trust</v>
      </c>
      <c r="B1417" s="1583"/>
      <c r="C1417" s="1583"/>
      <c r="D1417" s="1583"/>
      <c r="E1417" s="1581"/>
      <c r="F1417" s="1436"/>
      <c r="G1417" s="1547">
        <f t="shared" si="773"/>
        <v>0</v>
      </c>
      <c r="H1417" s="1484"/>
      <c r="I1417" s="1547">
        <f t="shared" si="774"/>
        <v>0</v>
      </c>
      <c r="J1417" s="1485"/>
      <c r="K1417" s="1485"/>
      <c r="L1417" s="1436"/>
      <c r="M1417" s="1439"/>
      <c r="N1417" s="1439"/>
      <c r="O1417" s="1485"/>
      <c r="P1417" s="1486"/>
      <c r="Q1417" s="1486"/>
      <c r="R1417" s="1487"/>
      <c r="S1417" s="1444"/>
      <c r="T1417" s="1444"/>
      <c r="U1417" s="1444"/>
      <c r="V1417" s="1488"/>
      <c r="W1417" s="1488"/>
      <c r="X1417" s="1488"/>
      <c r="Y1417" s="1488"/>
      <c r="Z1417" s="1488"/>
      <c r="AA1417" s="1488"/>
      <c r="AB1417" s="1488"/>
      <c r="AC1417" s="1488"/>
      <c r="AD1417" s="1488"/>
      <c r="AE1417" s="1488"/>
      <c r="AF1417" s="1488"/>
      <c r="AG1417" s="1488"/>
      <c r="AH1417" s="1451">
        <f t="shared" si="746"/>
        <v>0</v>
      </c>
      <c r="AI1417" s="1488"/>
      <c r="AJ1417" s="1488"/>
      <c r="AK1417" s="1488"/>
      <c r="AL1417" s="1488"/>
      <c r="AM1417" s="1488"/>
      <c r="AN1417" s="1488"/>
      <c r="AO1417" s="1488"/>
      <c r="AP1417" s="1488"/>
      <c r="AQ1417" s="1488"/>
      <c r="AR1417" s="1488"/>
      <c r="AS1417" s="1488"/>
      <c r="AT1417" s="1542"/>
      <c r="AU1417" s="1599">
        <f t="shared" si="747"/>
        <v>0</v>
      </c>
      <c r="AV1417" s="1544">
        <f t="shared" si="775"/>
        <v>0</v>
      </c>
      <c r="AW1417" s="1452">
        <f t="shared" si="748"/>
        <v>0</v>
      </c>
      <c r="AX1417" s="1452">
        <f t="shared" si="749"/>
        <v>0</v>
      </c>
      <c r="AY1417" s="1452">
        <f t="shared" si="750"/>
        <v>0</v>
      </c>
      <c r="AZ1417" s="1452">
        <f t="shared" si="751"/>
        <v>0</v>
      </c>
      <c r="BA1417" s="1452">
        <f t="shared" si="752"/>
        <v>0</v>
      </c>
      <c r="BB1417" s="1452">
        <f t="shared" si="753"/>
        <v>0</v>
      </c>
      <c r="BC1417" s="1452">
        <f t="shared" si="754"/>
        <v>0</v>
      </c>
      <c r="BD1417" s="1452">
        <f t="shared" si="755"/>
        <v>0</v>
      </c>
      <c r="BE1417" s="1452">
        <f t="shared" si="756"/>
        <v>0</v>
      </c>
      <c r="BF1417" s="1452">
        <f t="shared" si="757"/>
        <v>0</v>
      </c>
      <c r="BG1417" s="1452">
        <f t="shared" si="758"/>
        <v>0</v>
      </c>
      <c r="BH1417" s="1452">
        <f t="shared" si="759"/>
        <v>0</v>
      </c>
      <c r="BI1417" s="1452">
        <f t="shared" si="776"/>
        <v>0</v>
      </c>
      <c r="BJ1417" s="1452" t="str">
        <f t="shared" si="760"/>
        <v/>
      </c>
      <c r="BK1417" s="1452" t="str">
        <f t="shared" si="761"/>
        <v/>
      </c>
      <c r="BL1417" s="1452" t="str">
        <f t="shared" si="762"/>
        <v/>
      </c>
      <c r="BM1417" s="1452" t="str">
        <f t="shared" si="763"/>
        <v/>
      </c>
      <c r="BN1417" s="1452" t="str">
        <f t="shared" ca="1" si="764"/>
        <v/>
      </c>
      <c r="BO1417" s="1452" t="str">
        <f t="shared" si="777"/>
        <v/>
      </c>
      <c r="BP1417" s="1452" t="str">
        <f t="shared" si="765"/>
        <v/>
      </c>
      <c r="BQ1417" s="1452" t="str">
        <f t="shared" si="766"/>
        <v/>
      </c>
      <c r="BR1417" s="1452" t="str">
        <f t="shared" si="767"/>
        <v/>
      </c>
      <c r="BS1417" s="1452" t="str">
        <f t="shared" si="768"/>
        <v/>
      </c>
      <c r="BT1417" s="1452" t="str">
        <f t="shared" si="769"/>
        <v/>
      </c>
      <c r="BU1417" s="1452" t="str">
        <f t="shared" si="770"/>
        <v/>
      </c>
      <c r="BV1417" s="1452" t="str">
        <f t="shared" si="771"/>
        <v/>
      </c>
      <c r="BW1417" s="1558">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5" customFormat="1" ht="12.5">
      <c r="A1418" s="1483" t="str">
        <f t="shared" si="772"/>
        <v>Public Health Wales Trust</v>
      </c>
      <c r="B1418" s="1583"/>
      <c r="C1418" s="1583"/>
      <c r="D1418" s="1583"/>
      <c r="E1418" s="1581"/>
      <c r="F1418" s="1436"/>
      <c r="G1418" s="1547">
        <f t="shared" si="773"/>
        <v>0</v>
      </c>
      <c r="H1418" s="1484"/>
      <c r="I1418" s="1547">
        <f t="shared" si="774"/>
        <v>0</v>
      </c>
      <c r="J1418" s="1485"/>
      <c r="K1418" s="1485"/>
      <c r="L1418" s="1436"/>
      <c r="M1418" s="1439"/>
      <c r="N1418" s="1439"/>
      <c r="O1418" s="1485"/>
      <c r="P1418" s="1486"/>
      <c r="Q1418" s="1486"/>
      <c r="R1418" s="1487"/>
      <c r="S1418" s="1444"/>
      <c r="T1418" s="1444"/>
      <c r="U1418" s="1444"/>
      <c r="V1418" s="1488"/>
      <c r="W1418" s="1488"/>
      <c r="X1418" s="1488"/>
      <c r="Y1418" s="1488"/>
      <c r="Z1418" s="1488"/>
      <c r="AA1418" s="1488"/>
      <c r="AB1418" s="1488"/>
      <c r="AC1418" s="1488"/>
      <c r="AD1418" s="1488"/>
      <c r="AE1418" s="1488"/>
      <c r="AF1418" s="1488"/>
      <c r="AG1418" s="1488"/>
      <c r="AH1418" s="1451">
        <f t="shared" si="746"/>
        <v>0</v>
      </c>
      <c r="AI1418" s="1488"/>
      <c r="AJ1418" s="1488"/>
      <c r="AK1418" s="1488"/>
      <c r="AL1418" s="1488"/>
      <c r="AM1418" s="1488"/>
      <c r="AN1418" s="1488"/>
      <c r="AO1418" s="1488"/>
      <c r="AP1418" s="1488"/>
      <c r="AQ1418" s="1488"/>
      <c r="AR1418" s="1488"/>
      <c r="AS1418" s="1488"/>
      <c r="AT1418" s="1542"/>
      <c r="AU1418" s="1599">
        <f t="shared" si="747"/>
        <v>0</v>
      </c>
      <c r="AV1418" s="1544">
        <f t="shared" si="775"/>
        <v>0</v>
      </c>
      <c r="AW1418" s="1452">
        <f t="shared" si="748"/>
        <v>0</v>
      </c>
      <c r="AX1418" s="1452">
        <f t="shared" si="749"/>
        <v>0</v>
      </c>
      <c r="AY1418" s="1452">
        <f t="shared" si="750"/>
        <v>0</v>
      </c>
      <c r="AZ1418" s="1452">
        <f t="shared" si="751"/>
        <v>0</v>
      </c>
      <c r="BA1418" s="1452">
        <f t="shared" si="752"/>
        <v>0</v>
      </c>
      <c r="BB1418" s="1452">
        <f t="shared" si="753"/>
        <v>0</v>
      </c>
      <c r="BC1418" s="1452">
        <f t="shared" si="754"/>
        <v>0</v>
      </c>
      <c r="BD1418" s="1452">
        <f t="shared" si="755"/>
        <v>0</v>
      </c>
      <c r="BE1418" s="1452">
        <f t="shared" si="756"/>
        <v>0</v>
      </c>
      <c r="BF1418" s="1452">
        <f t="shared" si="757"/>
        <v>0</v>
      </c>
      <c r="BG1418" s="1452">
        <f t="shared" si="758"/>
        <v>0</v>
      </c>
      <c r="BH1418" s="1452">
        <f t="shared" si="759"/>
        <v>0</v>
      </c>
      <c r="BI1418" s="1452">
        <f t="shared" si="776"/>
        <v>0</v>
      </c>
      <c r="BJ1418" s="1452" t="str">
        <f t="shared" si="760"/>
        <v/>
      </c>
      <c r="BK1418" s="1452" t="str">
        <f t="shared" si="761"/>
        <v/>
      </c>
      <c r="BL1418" s="1452" t="str">
        <f t="shared" si="762"/>
        <v/>
      </c>
      <c r="BM1418" s="1452" t="str">
        <f t="shared" si="763"/>
        <v/>
      </c>
      <c r="BN1418" s="1452" t="str">
        <f t="shared" ca="1" si="764"/>
        <v/>
      </c>
      <c r="BO1418" s="1452" t="str">
        <f t="shared" si="777"/>
        <v/>
      </c>
      <c r="BP1418" s="1452" t="str">
        <f t="shared" si="765"/>
        <v/>
      </c>
      <c r="BQ1418" s="1452" t="str">
        <f t="shared" si="766"/>
        <v/>
      </c>
      <c r="BR1418" s="1452" t="str">
        <f t="shared" si="767"/>
        <v/>
      </c>
      <c r="BS1418" s="1452" t="str">
        <f t="shared" si="768"/>
        <v/>
      </c>
      <c r="BT1418" s="1452" t="str">
        <f t="shared" si="769"/>
        <v/>
      </c>
      <c r="BU1418" s="1452" t="str">
        <f t="shared" si="770"/>
        <v/>
      </c>
      <c r="BV1418" s="1452" t="str">
        <f t="shared" si="771"/>
        <v/>
      </c>
      <c r="BW1418" s="1558">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5" customFormat="1" ht="12.5">
      <c r="A1419" s="1483" t="str">
        <f t="shared" si="772"/>
        <v>Public Health Wales Trust</v>
      </c>
      <c r="B1419" s="1583"/>
      <c r="C1419" s="1583"/>
      <c r="D1419" s="1583"/>
      <c r="E1419" s="1581"/>
      <c r="F1419" s="1436"/>
      <c r="G1419" s="1547">
        <f t="shared" si="773"/>
        <v>0</v>
      </c>
      <c r="H1419" s="1484"/>
      <c r="I1419" s="1547">
        <f t="shared" si="774"/>
        <v>0</v>
      </c>
      <c r="J1419" s="1485"/>
      <c r="K1419" s="1485"/>
      <c r="L1419" s="1436"/>
      <c r="M1419" s="1439"/>
      <c r="N1419" s="1439"/>
      <c r="O1419" s="1485"/>
      <c r="P1419" s="1486"/>
      <c r="Q1419" s="1486"/>
      <c r="R1419" s="1487"/>
      <c r="S1419" s="1444"/>
      <c r="T1419" s="1444"/>
      <c r="U1419" s="1444"/>
      <c r="V1419" s="1488"/>
      <c r="W1419" s="1488"/>
      <c r="X1419" s="1488"/>
      <c r="Y1419" s="1488"/>
      <c r="Z1419" s="1488"/>
      <c r="AA1419" s="1488"/>
      <c r="AB1419" s="1488"/>
      <c r="AC1419" s="1488"/>
      <c r="AD1419" s="1488"/>
      <c r="AE1419" s="1488"/>
      <c r="AF1419" s="1488"/>
      <c r="AG1419" s="1488"/>
      <c r="AH1419" s="1451">
        <f t="shared" si="746"/>
        <v>0</v>
      </c>
      <c r="AI1419" s="1488"/>
      <c r="AJ1419" s="1488"/>
      <c r="AK1419" s="1488"/>
      <c r="AL1419" s="1488"/>
      <c r="AM1419" s="1488"/>
      <c r="AN1419" s="1488"/>
      <c r="AO1419" s="1488"/>
      <c r="AP1419" s="1488"/>
      <c r="AQ1419" s="1488"/>
      <c r="AR1419" s="1488"/>
      <c r="AS1419" s="1488"/>
      <c r="AT1419" s="1542"/>
      <c r="AU1419" s="1599">
        <f t="shared" si="747"/>
        <v>0</v>
      </c>
      <c r="AV1419" s="1544">
        <f t="shared" si="775"/>
        <v>0</v>
      </c>
      <c r="AW1419" s="1452">
        <f t="shared" si="748"/>
        <v>0</v>
      </c>
      <c r="AX1419" s="1452">
        <f t="shared" si="749"/>
        <v>0</v>
      </c>
      <c r="AY1419" s="1452">
        <f t="shared" si="750"/>
        <v>0</v>
      </c>
      <c r="AZ1419" s="1452">
        <f t="shared" si="751"/>
        <v>0</v>
      </c>
      <c r="BA1419" s="1452">
        <f t="shared" si="752"/>
        <v>0</v>
      </c>
      <c r="BB1419" s="1452">
        <f t="shared" si="753"/>
        <v>0</v>
      </c>
      <c r="BC1419" s="1452">
        <f t="shared" si="754"/>
        <v>0</v>
      </c>
      <c r="BD1419" s="1452">
        <f t="shared" si="755"/>
        <v>0</v>
      </c>
      <c r="BE1419" s="1452">
        <f t="shared" si="756"/>
        <v>0</v>
      </c>
      <c r="BF1419" s="1452">
        <f t="shared" si="757"/>
        <v>0</v>
      </c>
      <c r="BG1419" s="1452">
        <f t="shared" si="758"/>
        <v>0</v>
      </c>
      <c r="BH1419" s="1452">
        <f t="shared" si="759"/>
        <v>0</v>
      </c>
      <c r="BI1419" s="1452">
        <f t="shared" si="776"/>
        <v>0</v>
      </c>
      <c r="BJ1419" s="1452" t="str">
        <f t="shared" si="760"/>
        <v/>
      </c>
      <c r="BK1419" s="1452" t="str">
        <f t="shared" si="761"/>
        <v/>
      </c>
      <c r="BL1419" s="1452" t="str">
        <f t="shared" si="762"/>
        <v/>
      </c>
      <c r="BM1419" s="1452" t="str">
        <f t="shared" si="763"/>
        <v/>
      </c>
      <c r="BN1419" s="1452" t="str">
        <f t="shared" ca="1" si="764"/>
        <v/>
      </c>
      <c r="BO1419" s="1452" t="str">
        <f t="shared" si="777"/>
        <v/>
      </c>
      <c r="BP1419" s="1452" t="str">
        <f t="shared" si="765"/>
        <v/>
      </c>
      <c r="BQ1419" s="1452" t="str">
        <f t="shared" si="766"/>
        <v/>
      </c>
      <c r="BR1419" s="1452" t="str">
        <f t="shared" si="767"/>
        <v/>
      </c>
      <c r="BS1419" s="1452" t="str">
        <f t="shared" si="768"/>
        <v/>
      </c>
      <c r="BT1419" s="1452" t="str">
        <f t="shared" si="769"/>
        <v/>
      </c>
      <c r="BU1419" s="1452" t="str">
        <f t="shared" si="770"/>
        <v/>
      </c>
      <c r="BV1419" s="1452" t="str">
        <f t="shared" si="771"/>
        <v/>
      </c>
      <c r="BW1419" s="1558">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5" customFormat="1" ht="12.5">
      <c r="A1420" s="1483" t="str">
        <f t="shared" si="772"/>
        <v>Public Health Wales Trust</v>
      </c>
      <c r="B1420" s="1583"/>
      <c r="C1420" s="1583"/>
      <c r="D1420" s="1583"/>
      <c r="E1420" s="1581"/>
      <c r="F1420" s="1436"/>
      <c r="G1420" s="1547">
        <f t="shared" si="773"/>
        <v>0</v>
      </c>
      <c r="H1420" s="1484"/>
      <c r="I1420" s="1547">
        <f t="shared" si="774"/>
        <v>0</v>
      </c>
      <c r="J1420" s="1485"/>
      <c r="K1420" s="1485"/>
      <c r="L1420" s="1436"/>
      <c r="M1420" s="1439"/>
      <c r="N1420" s="1439"/>
      <c r="O1420" s="1485"/>
      <c r="P1420" s="1486"/>
      <c r="Q1420" s="1486"/>
      <c r="R1420" s="1487"/>
      <c r="S1420" s="1444"/>
      <c r="T1420" s="1444"/>
      <c r="U1420" s="1444"/>
      <c r="V1420" s="1488"/>
      <c r="W1420" s="1488"/>
      <c r="X1420" s="1488"/>
      <c r="Y1420" s="1488"/>
      <c r="Z1420" s="1488"/>
      <c r="AA1420" s="1488"/>
      <c r="AB1420" s="1488"/>
      <c r="AC1420" s="1488"/>
      <c r="AD1420" s="1488"/>
      <c r="AE1420" s="1488"/>
      <c r="AF1420" s="1488"/>
      <c r="AG1420" s="1488"/>
      <c r="AH1420" s="1451">
        <f t="shared" si="746"/>
        <v>0</v>
      </c>
      <c r="AI1420" s="1488"/>
      <c r="AJ1420" s="1488"/>
      <c r="AK1420" s="1488"/>
      <c r="AL1420" s="1488"/>
      <c r="AM1420" s="1488"/>
      <c r="AN1420" s="1488"/>
      <c r="AO1420" s="1488"/>
      <c r="AP1420" s="1488"/>
      <c r="AQ1420" s="1488"/>
      <c r="AR1420" s="1488"/>
      <c r="AS1420" s="1488"/>
      <c r="AT1420" s="1542"/>
      <c r="AU1420" s="1599">
        <f t="shared" si="747"/>
        <v>0</v>
      </c>
      <c r="AV1420" s="1544">
        <f t="shared" si="775"/>
        <v>0</v>
      </c>
      <c r="AW1420" s="1452">
        <f t="shared" si="748"/>
        <v>0</v>
      </c>
      <c r="AX1420" s="1452">
        <f t="shared" si="749"/>
        <v>0</v>
      </c>
      <c r="AY1420" s="1452">
        <f t="shared" si="750"/>
        <v>0</v>
      </c>
      <c r="AZ1420" s="1452">
        <f t="shared" si="751"/>
        <v>0</v>
      </c>
      <c r="BA1420" s="1452">
        <f t="shared" si="752"/>
        <v>0</v>
      </c>
      <c r="BB1420" s="1452">
        <f t="shared" si="753"/>
        <v>0</v>
      </c>
      <c r="BC1420" s="1452">
        <f t="shared" si="754"/>
        <v>0</v>
      </c>
      <c r="BD1420" s="1452">
        <f t="shared" si="755"/>
        <v>0</v>
      </c>
      <c r="BE1420" s="1452">
        <f t="shared" si="756"/>
        <v>0</v>
      </c>
      <c r="BF1420" s="1452">
        <f t="shared" si="757"/>
        <v>0</v>
      </c>
      <c r="BG1420" s="1452">
        <f t="shared" si="758"/>
        <v>0</v>
      </c>
      <c r="BH1420" s="1452">
        <f t="shared" si="759"/>
        <v>0</v>
      </c>
      <c r="BI1420" s="1452">
        <f t="shared" si="776"/>
        <v>0</v>
      </c>
      <c r="BJ1420" s="1452" t="str">
        <f t="shared" si="760"/>
        <v/>
      </c>
      <c r="BK1420" s="1452" t="str">
        <f t="shared" si="761"/>
        <v/>
      </c>
      <c r="BL1420" s="1452" t="str">
        <f t="shared" si="762"/>
        <v/>
      </c>
      <c r="BM1420" s="1452" t="str">
        <f t="shared" si="763"/>
        <v/>
      </c>
      <c r="BN1420" s="1452" t="str">
        <f t="shared" ca="1" si="764"/>
        <v/>
      </c>
      <c r="BO1420" s="1452" t="str">
        <f t="shared" si="777"/>
        <v/>
      </c>
      <c r="BP1420" s="1452" t="str">
        <f t="shared" si="765"/>
        <v/>
      </c>
      <c r="BQ1420" s="1452" t="str">
        <f t="shared" si="766"/>
        <v/>
      </c>
      <c r="BR1420" s="1452" t="str">
        <f t="shared" si="767"/>
        <v/>
      </c>
      <c r="BS1420" s="1452" t="str">
        <f t="shared" si="768"/>
        <v/>
      </c>
      <c r="BT1420" s="1452" t="str">
        <f t="shared" si="769"/>
        <v/>
      </c>
      <c r="BU1420" s="1452" t="str">
        <f t="shared" si="770"/>
        <v/>
      </c>
      <c r="BV1420" s="1452" t="str">
        <f t="shared" si="771"/>
        <v/>
      </c>
      <c r="BW1420" s="1558">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5" customFormat="1" ht="12.5">
      <c r="A1421" s="1483" t="str">
        <f t="shared" si="772"/>
        <v>Public Health Wales Trust</v>
      </c>
      <c r="B1421" s="1583"/>
      <c r="C1421" s="1583"/>
      <c r="D1421" s="1583"/>
      <c r="E1421" s="1581"/>
      <c r="F1421" s="1436"/>
      <c r="G1421" s="1547">
        <f t="shared" si="773"/>
        <v>0</v>
      </c>
      <c r="H1421" s="1484"/>
      <c r="I1421" s="1547">
        <f t="shared" si="774"/>
        <v>0</v>
      </c>
      <c r="J1421" s="1485"/>
      <c r="K1421" s="1485"/>
      <c r="L1421" s="1436"/>
      <c r="M1421" s="1439"/>
      <c r="N1421" s="1439"/>
      <c r="O1421" s="1485"/>
      <c r="P1421" s="1486"/>
      <c r="Q1421" s="1486"/>
      <c r="R1421" s="1487"/>
      <c r="S1421" s="1444"/>
      <c r="T1421" s="1444"/>
      <c r="U1421" s="1444"/>
      <c r="V1421" s="1488"/>
      <c r="W1421" s="1488"/>
      <c r="X1421" s="1488"/>
      <c r="Y1421" s="1488"/>
      <c r="Z1421" s="1488"/>
      <c r="AA1421" s="1488"/>
      <c r="AB1421" s="1488"/>
      <c r="AC1421" s="1488"/>
      <c r="AD1421" s="1488"/>
      <c r="AE1421" s="1488"/>
      <c r="AF1421" s="1488"/>
      <c r="AG1421" s="1488"/>
      <c r="AH1421" s="1451">
        <f t="shared" si="746"/>
        <v>0</v>
      </c>
      <c r="AI1421" s="1488"/>
      <c r="AJ1421" s="1488"/>
      <c r="AK1421" s="1488"/>
      <c r="AL1421" s="1488"/>
      <c r="AM1421" s="1488"/>
      <c r="AN1421" s="1488"/>
      <c r="AO1421" s="1488"/>
      <c r="AP1421" s="1488"/>
      <c r="AQ1421" s="1488"/>
      <c r="AR1421" s="1488"/>
      <c r="AS1421" s="1488"/>
      <c r="AT1421" s="1542"/>
      <c r="AU1421" s="1599">
        <f t="shared" si="747"/>
        <v>0</v>
      </c>
      <c r="AV1421" s="1544">
        <f t="shared" si="775"/>
        <v>0</v>
      </c>
      <c r="AW1421" s="1452">
        <f t="shared" si="748"/>
        <v>0</v>
      </c>
      <c r="AX1421" s="1452">
        <f t="shared" si="749"/>
        <v>0</v>
      </c>
      <c r="AY1421" s="1452">
        <f t="shared" si="750"/>
        <v>0</v>
      </c>
      <c r="AZ1421" s="1452">
        <f t="shared" si="751"/>
        <v>0</v>
      </c>
      <c r="BA1421" s="1452">
        <f t="shared" si="752"/>
        <v>0</v>
      </c>
      <c r="BB1421" s="1452">
        <f t="shared" si="753"/>
        <v>0</v>
      </c>
      <c r="BC1421" s="1452">
        <f t="shared" si="754"/>
        <v>0</v>
      </c>
      <c r="BD1421" s="1452">
        <f t="shared" si="755"/>
        <v>0</v>
      </c>
      <c r="BE1421" s="1452">
        <f t="shared" si="756"/>
        <v>0</v>
      </c>
      <c r="BF1421" s="1452">
        <f t="shared" si="757"/>
        <v>0</v>
      </c>
      <c r="BG1421" s="1452">
        <f t="shared" si="758"/>
        <v>0</v>
      </c>
      <c r="BH1421" s="1452">
        <f t="shared" si="759"/>
        <v>0</v>
      </c>
      <c r="BI1421" s="1452">
        <f t="shared" si="776"/>
        <v>0</v>
      </c>
      <c r="BJ1421" s="1452" t="str">
        <f t="shared" si="760"/>
        <v/>
      </c>
      <c r="BK1421" s="1452" t="str">
        <f t="shared" si="761"/>
        <v/>
      </c>
      <c r="BL1421" s="1452" t="str">
        <f t="shared" si="762"/>
        <v/>
      </c>
      <c r="BM1421" s="1452" t="str">
        <f t="shared" si="763"/>
        <v/>
      </c>
      <c r="BN1421" s="1452" t="str">
        <f t="shared" ca="1" si="764"/>
        <v/>
      </c>
      <c r="BO1421" s="1452" t="str">
        <f t="shared" si="777"/>
        <v/>
      </c>
      <c r="BP1421" s="1452" t="str">
        <f t="shared" si="765"/>
        <v/>
      </c>
      <c r="BQ1421" s="1452" t="str">
        <f t="shared" si="766"/>
        <v/>
      </c>
      <c r="BR1421" s="1452" t="str">
        <f t="shared" si="767"/>
        <v/>
      </c>
      <c r="BS1421" s="1452" t="str">
        <f t="shared" si="768"/>
        <v/>
      </c>
      <c r="BT1421" s="1452" t="str">
        <f t="shared" si="769"/>
        <v/>
      </c>
      <c r="BU1421" s="1452" t="str">
        <f t="shared" si="770"/>
        <v/>
      </c>
      <c r="BV1421" s="1452" t="str">
        <f t="shared" si="771"/>
        <v/>
      </c>
      <c r="BW1421" s="1558">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5" customFormat="1" ht="12.5">
      <c r="A1422" s="1483" t="str">
        <f t="shared" si="772"/>
        <v>Public Health Wales Trust</v>
      </c>
      <c r="B1422" s="1583"/>
      <c r="C1422" s="1583"/>
      <c r="D1422" s="1583"/>
      <c r="E1422" s="1581"/>
      <c r="F1422" s="1436"/>
      <c r="G1422" s="1547">
        <f t="shared" si="773"/>
        <v>0</v>
      </c>
      <c r="H1422" s="1484"/>
      <c r="I1422" s="1547">
        <f t="shared" si="774"/>
        <v>0</v>
      </c>
      <c r="J1422" s="1485"/>
      <c r="K1422" s="1485"/>
      <c r="L1422" s="1436"/>
      <c r="M1422" s="1439"/>
      <c r="N1422" s="1439"/>
      <c r="O1422" s="1485"/>
      <c r="P1422" s="1486"/>
      <c r="Q1422" s="1486"/>
      <c r="R1422" s="1487"/>
      <c r="S1422" s="1444"/>
      <c r="T1422" s="1444"/>
      <c r="U1422" s="1444"/>
      <c r="V1422" s="1488"/>
      <c r="W1422" s="1488"/>
      <c r="X1422" s="1488"/>
      <c r="Y1422" s="1488"/>
      <c r="Z1422" s="1488"/>
      <c r="AA1422" s="1488"/>
      <c r="AB1422" s="1488"/>
      <c r="AC1422" s="1488"/>
      <c r="AD1422" s="1488"/>
      <c r="AE1422" s="1488"/>
      <c r="AF1422" s="1488"/>
      <c r="AG1422" s="1488"/>
      <c r="AH1422" s="1451">
        <f t="shared" si="746"/>
        <v>0</v>
      </c>
      <c r="AI1422" s="1488"/>
      <c r="AJ1422" s="1488"/>
      <c r="AK1422" s="1488"/>
      <c r="AL1422" s="1488"/>
      <c r="AM1422" s="1488"/>
      <c r="AN1422" s="1488"/>
      <c r="AO1422" s="1488"/>
      <c r="AP1422" s="1488"/>
      <c r="AQ1422" s="1488"/>
      <c r="AR1422" s="1488"/>
      <c r="AS1422" s="1488"/>
      <c r="AT1422" s="1542"/>
      <c r="AU1422" s="1599">
        <f t="shared" si="747"/>
        <v>0</v>
      </c>
      <c r="AV1422" s="1544">
        <f t="shared" si="775"/>
        <v>0</v>
      </c>
      <c r="AW1422" s="1452">
        <f t="shared" si="748"/>
        <v>0</v>
      </c>
      <c r="AX1422" s="1452">
        <f t="shared" si="749"/>
        <v>0</v>
      </c>
      <c r="AY1422" s="1452">
        <f t="shared" si="750"/>
        <v>0</v>
      </c>
      <c r="AZ1422" s="1452">
        <f t="shared" si="751"/>
        <v>0</v>
      </c>
      <c r="BA1422" s="1452">
        <f t="shared" si="752"/>
        <v>0</v>
      </c>
      <c r="BB1422" s="1452">
        <f t="shared" si="753"/>
        <v>0</v>
      </c>
      <c r="BC1422" s="1452">
        <f t="shared" si="754"/>
        <v>0</v>
      </c>
      <c r="BD1422" s="1452">
        <f t="shared" si="755"/>
        <v>0</v>
      </c>
      <c r="BE1422" s="1452">
        <f t="shared" si="756"/>
        <v>0</v>
      </c>
      <c r="BF1422" s="1452">
        <f t="shared" si="757"/>
        <v>0</v>
      </c>
      <c r="BG1422" s="1452">
        <f t="shared" si="758"/>
        <v>0</v>
      </c>
      <c r="BH1422" s="1452">
        <f t="shared" si="759"/>
        <v>0</v>
      </c>
      <c r="BI1422" s="1452">
        <f t="shared" si="776"/>
        <v>0</v>
      </c>
      <c r="BJ1422" s="1452" t="str">
        <f t="shared" si="760"/>
        <v/>
      </c>
      <c r="BK1422" s="1452" t="str">
        <f t="shared" si="761"/>
        <v/>
      </c>
      <c r="BL1422" s="1452" t="str">
        <f t="shared" si="762"/>
        <v/>
      </c>
      <c r="BM1422" s="1452" t="str">
        <f t="shared" si="763"/>
        <v/>
      </c>
      <c r="BN1422" s="1452" t="str">
        <f t="shared" ca="1" si="764"/>
        <v/>
      </c>
      <c r="BO1422" s="1452" t="str">
        <f t="shared" si="777"/>
        <v/>
      </c>
      <c r="BP1422" s="1452" t="str">
        <f t="shared" si="765"/>
        <v/>
      </c>
      <c r="BQ1422" s="1452" t="str">
        <f t="shared" si="766"/>
        <v/>
      </c>
      <c r="BR1422" s="1452" t="str">
        <f t="shared" si="767"/>
        <v/>
      </c>
      <c r="BS1422" s="1452" t="str">
        <f t="shared" si="768"/>
        <v/>
      </c>
      <c r="BT1422" s="1452" t="str">
        <f t="shared" si="769"/>
        <v/>
      </c>
      <c r="BU1422" s="1452" t="str">
        <f t="shared" si="770"/>
        <v/>
      </c>
      <c r="BV1422" s="1452" t="str">
        <f t="shared" si="771"/>
        <v/>
      </c>
      <c r="BW1422" s="1558">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5" customFormat="1" ht="12.5">
      <c r="A1423" s="1483" t="str">
        <f t="shared" si="772"/>
        <v>Public Health Wales Trust</v>
      </c>
      <c r="B1423" s="1583"/>
      <c r="C1423" s="1583"/>
      <c r="D1423" s="1583"/>
      <c r="E1423" s="1581"/>
      <c r="F1423" s="1436"/>
      <c r="G1423" s="1547">
        <f t="shared" si="773"/>
        <v>0</v>
      </c>
      <c r="H1423" s="1484"/>
      <c r="I1423" s="1547">
        <f t="shared" si="774"/>
        <v>0</v>
      </c>
      <c r="J1423" s="1485"/>
      <c r="K1423" s="1485"/>
      <c r="L1423" s="1436"/>
      <c r="M1423" s="1439"/>
      <c r="N1423" s="1439"/>
      <c r="O1423" s="1485"/>
      <c r="P1423" s="1486"/>
      <c r="Q1423" s="1486"/>
      <c r="R1423" s="1487"/>
      <c r="S1423" s="1444"/>
      <c r="T1423" s="1444"/>
      <c r="U1423" s="1444"/>
      <c r="V1423" s="1488"/>
      <c r="W1423" s="1488"/>
      <c r="X1423" s="1488"/>
      <c r="Y1423" s="1488"/>
      <c r="Z1423" s="1488"/>
      <c r="AA1423" s="1488"/>
      <c r="AB1423" s="1488"/>
      <c r="AC1423" s="1488"/>
      <c r="AD1423" s="1488"/>
      <c r="AE1423" s="1488"/>
      <c r="AF1423" s="1488"/>
      <c r="AG1423" s="1488"/>
      <c r="AH1423" s="1451">
        <f t="shared" si="746"/>
        <v>0</v>
      </c>
      <c r="AI1423" s="1488"/>
      <c r="AJ1423" s="1488"/>
      <c r="AK1423" s="1488"/>
      <c r="AL1423" s="1488"/>
      <c r="AM1423" s="1488"/>
      <c r="AN1423" s="1488"/>
      <c r="AO1423" s="1488"/>
      <c r="AP1423" s="1488"/>
      <c r="AQ1423" s="1488"/>
      <c r="AR1423" s="1488"/>
      <c r="AS1423" s="1488"/>
      <c r="AT1423" s="1542"/>
      <c r="AU1423" s="1599">
        <f t="shared" si="747"/>
        <v>0</v>
      </c>
      <c r="AV1423" s="1544">
        <f t="shared" si="775"/>
        <v>0</v>
      </c>
      <c r="AW1423" s="1452">
        <f t="shared" si="748"/>
        <v>0</v>
      </c>
      <c r="AX1423" s="1452">
        <f t="shared" si="749"/>
        <v>0</v>
      </c>
      <c r="AY1423" s="1452">
        <f t="shared" si="750"/>
        <v>0</v>
      </c>
      <c r="AZ1423" s="1452">
        <f t="shared" si="751"/>
        <v>0</v>
      </c>
      <c r="BA1423" s="1452">
        <f t="shared" si="752"/>
        <v>0</v>
      </c>
      <c r="BB1423" s="1452">
        <f t="shared" si="753"/>
        <v>0</v>
      </c>
      <c r="BC1423" s="1452">
        <f t="shared" si="754"/>
        <v>0</v>
      </c>
      <c r="BD1423" s="1452">
        <f t="shared" si="755"/>
        <v>0</v>
      </c>
      <c r="BE1423" s="1452">
        <f t="shared" si="756"/>
        <v>0</v>
      </c>
      <c r="BF1423" s="1452">
        <f t="shared" si="757"/>
        <v>0</v>
      </c>
      <c r="BG1423" s="1452">
        <f t="shared" si="758"/>
        <v>0</v>
      </c>
      <c r="BH1423" s="1452">
        <f t="shared" si="759"/>
        <v>0</v>
      </c>
      <c r="BI1423" s="1452">
        <f t="shared" si="776"/>
        <v>0</v>
      </c>
      <c r="BJ1423" s="1452" t="str">
        <f t="shared" si="760"/>
        <v/>
      </c>
      <c r="BK1423" s="1452" t="str">
        <f t="shared" si="761"/>
        <v/>
      </c>
      <c r="BL1423" s="1452" t="str">
        <f t="shared" si="762"/>
        <v/>
      </c>
      <c r="BM1423" s="1452" t="str">
        <f t="shared" si="763"/>
        <v/>
      </c>
      <c r="BN1423" s="1452" t="str">
        <f t="shared" ca="1" si="764"/>
        <v/>
      </c>
      <c r="BO1423" s="1452" t="str">
        <f t="shared" si="777"/>
        <v/>
      </c>
      <c r="BP1423" s="1452" t="str">
        <f t="shared" si="765"/>
        <v/>
      </c>
      <c r="BQ1423" s="1452" t="str">
        <f t="shared" si="766"/>
        <v/>
      </c>
      <c r="BR1423" s="1452" t="str">
        <f t="shared" si="767"/>
        <v/>
      </c>
      <c r="BS1423" s="1452" t="str">
        <f t="shared" si="768"/>
        <v/>
      </c>
      <c r="BT1423" s="1452" t="str">
        <f t="shared" si="769"/>
        <v/>
      </c>
      <c r="BU1423" s="1452" t="str">
        <f t="shared" si="770"/>
        <v/>
      </c>
      <c r="BV1423" s="1452" t="str">
        <f t="shared" si="771"/>
        <v/>
      </c>
      <c r="BW1423" s="1558">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5" customFormat="1" ht="12.5">
      <c r="A1424" s="1483" t="str">
        <f t="shared" si="772"/>
        <v>Public Health Wales Trust</v>
      </c>
      <c r="B1424" s="1583"/>
      <c r="C1424" s="1583"/>
      <c r="D1424" s="1583"/>
      <c r="E1424" s="1581"/>
      <c r="F1424" s="1436"/>
      <c r="G1424" s="1547">
        <f t="shared" si="773"/>
        <v>0</v>
      </c>
      <c r="H1424" s="1484"/>
      <c r="I1424" s="1547">
        <f t="shared" si="774"/>
        <v>0</v>
      </c>
      <c r="J1424" s="1485"/>
      <c r="K1424" s="1485"/>
      <c r="L1424" s="1436"/>
      <c r="M1424" s="1439"/>
      <c r="N1424" s="1439"/>
      <c r="O1424" s="1485"/>
      <c r="P1424" s="1486"/>
      <c r="Q1424" s="1486"/>
      <c r="R1424" s="1487"/>
      <c r="S1424" s="1444"/>
      <c r="T1424" s="1444"/>
      <c r="U1424" s="1444"/>
      <c r="V1424" s="1488"/>
      <c r="W1424" s="1488"/>
      <c r="X1424" s="1488"/>
      <c r="Y1424" s="1488"/>
      <c r="Z1424" s="1488"/>
      <c r="AA1424" s="1488"/>
      <c r="AB1424" s="1488"/>
      <c r="AC1424" s="1488"/>
      <c r="AD1424" s="1488"/>
      <c r="AE1424" s="1488"/>
      <c r="AF1424" s="1488"/>
      <c r="AG1424" s="1488"/>
      <c r="AH1424" s="1451">
        <f t="shared" si="746"/>
        <v>0</v>
      </c>
      <c r="AI1424" s="1488"/>
      <c r="AJ1424" s="1488"/>
      <c r="AK1424" s="1488"/>
      <c r="AL1424" s="1488"/>
      <c r="AM1424" s="1488"/>
      <c r="AN1424" s="1488"/>
      <c r="AO1424" s="1488"/>
      <c r="AP1424" s="1488"/>
      <c r="AQ1424" s="1488"/>
      <c r="AR1424" s="1488"/>
      <c r="AS1424" s="1488"/>
      <c r="AT1424" s="1542"/>
      <c r="AU1424" s="1599">
        <f t="shared" si="747"/>
        <v>0</v>
      </c>
      <c r="AV1424" s="1544">
        <f t="shared" si="775"/>
        <v>0</v>
      </c>
      <c r="AW1424" s="1452">
        <f t="shared" si="748"/>
        <v>0</v>
      </c>
      <c r="AX1424" s="1452">
        <f t="shared" si="749"/>
        <v>0</v>
      </c>
      <c r="AY1424" s="1452">
        <f t="shared" si="750"/>
        <v>0</v>
      </c>
      <c r="AZ1424" s="1452">
        <f t="shared" si="751"/>
        <v>0</v>
      </c>
      <c r="BA1424" s="1452">
        <f t="shared" si="752"/>
        <v>0</v>
      </c>
      <c r="BB1424" s="1452">
        <f t="shared" si="753"/>
        <v>0</v>
      </c>
      <c r="BC1424" s="1452">
        <f t="shared" si="754"/>
        <v>0</v>
      </c>
      <c r="BD1424" s="1452">
        <f t="shared" si="755"/>
        <v>0</v>
      </c>
      <c r="BE1424" s="1452">
        <f t="shared" si="756"/>
        <v>0</v>
      </c>
      <c r="BF1424" s="1452">
        <f t="shared" si="757"/>
        <v>0</v>
      </c>
      <c r="BG1424" s="1452">
        <f t="shared" si="758"/>
        <v>0</v>
      </c>
      <c r="BH1424" s="1452">
        <f t="shared" si="759"/>
        <v>0</v>
      </c>
      <c r="BI1424" s="1452">
        <f t="shared" si="776"/>
        <v>0</v>
      </c>
      <c r="BJ1424" s="1452" t="str">
        <f t="shared" si="760"/>
        <v/>
      </c>
      <c r="BK1424" s="1452" t="str">
        <f t="shared" si="761"/>
        <v/>
      </c>
      <c r="BL1424" s="1452" t="str">
        <f t="shared" si="762"/>
        <v/>
      </c>
      <c r="BM1424" s="1452" t="str">
        <f t="shared" si="763"/>
        <v/>
      </c>
      <c r="BN1424" s="1452" t="str">
        <f t="shared" ca="1" si="764"/>
        <v/>
      </c>
      <c r="BO1424" s="1452" t="str">
        <f t="shared" si="777"/>
        <v/>
      </c>
      <c r="BP1424" s="1452" t="str">
        <f t="shared" si="765"/>
        <v/>
      </c>
      <c r="BQ1424" s="1452" t="str">
        <f t="shared" si="766"/>
        <v/>
      </c>
      <c r="BR1424" s="1452" t="str">
        <f t="shared" si="767"/>
        <v/>
      </c>
      <c r="BS1424" s="1452" t="str">
        <f t="shared" si="768"/>
        <v/>
      </c>
      <c r="BT1424" s="1452" t="str">
        <f t="shared" si="769"/>
        <v/>
      </c>
      <c r="BU1424" s="1452" t="str">
        <f t="shared" si="770"/>
        <v/>
      </c>
      <c r="BV1424" s="1452" t="str">
        <f t="shared" si="771"/>
        <v/>
      </c>
      <c r="BW1424" s="1558">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5" customFormat="1" ht="12.5">
      <c r="A1425" s="1483" t="str">
        <f t="shared" si="772"/>
        <v>Public Health Wales Trust</v>
      </c>
      <c r="B1425" s="1583"/>
      <c r="C1425" s="1583"/>
      <c r="D1425" s="1583"/>
      <c r="E1425" s="1581"/>
      <c r="F1425" s="1436"/>
      <c r="G1425" s="1547">
        <f t="shared" si="773"/>
        <v>0</v>
      </c>
      <c r="H1425" s="1484"/>
      <c r="I1425" s="1547">
        <f t="shared" si="774"/>
        <v>0</v>
      </c>
      <c r="J1425" s="1485"/>
      <c r="K1425" s="1485"/>
      <c r="L1425" s="1436"/>
      <c r="M1425" s="1439"/>
      <c r="N1425" s="1439"/>
      <c r="O1425" s="1485"/>
      <c r="P1425" s="1486"/>
      <c r="Q1425" s="1486"/>
      <c r="R1425" s="1487"/>
      <c r="S1425" s="1444"/>
      <c r="T1425" s="1444"/>
      <c r="U1425" s="1444"/>
      <c r="V1425" s="1488"/>
      <c r="W1425" s="1488"/>
      <c r="X1425" s="1488"/>
      <c r="Y1425" s="1488"/>
      <c r="Z1425" s="1488"/>
      <c r="AA1425" s="1488"/>
      <c r="AB1425" s="1488"/>
      <c r="AC1425" s="1488"/>
      <c r="AD1425" s="1488"/>
      <c r="AE1425" s="1488"/>
      <c r="AF1425" s="1488"/>
      <c r="AG1425" s="1488"/>
      <c r="AH1425" s="1451">
        <f t="shared" si="746"/>
        <v>0</v>
      </c>
      <c r="AI1425" s="1488"/>
      <c r="AJ1425" s="1488"/>
      <c r="AK1425" s="1488"/>
      <c r="AL1425" s="1488"/>
      <c r="AM1425" s="1488"/>
      <c r="AN1425" s="1488"/>
      <c r="AO1425" s="1488"/>
      <c r="AP1425" s="1488"/>
      <c r="AQ1425" s="1488"/>
      <c r="AR1425" s="1488"/>
      <c r="AS1425" s="1488"/>
      <c r="AT1425" s="1542"/>
      <c r="AU1425" s="1599">
        <f t="shared" si="747"/>
        <v>0</v>
      </c>
      <c r="AV1425" s="1544">
        <f t="shared" si="775"/>
        <v>0</v>
      </c>
      <c r="AW1425" s="1452">
        <f t="shared" si="748"/>
        <v>0</v>
      </c>
      <c r="AX1425" s="1452">
        <f t="shared" si="749"/>
        <v>0</v>
      </c>
      <c r="AY1425" s="1452">
        <f t="shared" si="750"/>
        <v>0</v>
      </c>
      <c r="AZ1425" s="1452">
        <f t="shared" si="751"/>
        <v>0</v>
      </c>
      <c r="BA1425" s="1452">
        <f t="shared" si="752"/>
        <v>0</v>
      </c>
      <c r="BB1425" s="1452">
        <f t="shared" si="753"/>
        <v>0</v>
      </c>
      <c r="BC1425" s="1452">
        <f t="shared" si="754"/>
        <v>0</v>
      </c>
      <c r="BD1425" s="1452">
        <f t="shared" si="755"/>
        <v>0</v>
      </c>
      <c r="BE1425" s="1452">
        <f t="shared" si="756"/>
        <v>0</v>
      </c>
      <c r="BF1425" s="1452">
        <f t="shared" si="757"/>
        <v>0</v>
      </c>
      <c r="BG1425" s="1452">
        <f t="shared" si="758"/>
        <v>0</v>
      </c>
      <c r="BH1425" s="1452">
        <f t="shared" si="759"/>
        <v>0</v>
      </c>
      <c r="BI1425" s="1452">
        <f t="shared" si="776"/>
        <v>0</v>
      </c>
      <c r="BJ1425" s="1452" t="str">
        <f t="shared" si="760"/>
        <v/>
      </c>
      <c r="BK1425" s="1452" t="str">
        <f t="shared" si="761"/>
        <v/>
      </c>
      <c r="BL1425" s="1452" t="str">
        <f t="shared" si="762"/>
        <v/>
      </c>
      <c r="BM1425" s="1452" t="str">
        <f t="shared" si="763"/>
        <v/>
      </c>
      <c r="BN1425" s="1452" t="str">
        <f t="shared" ca="1" si="764"/>
        <v/>
      </c>
      <c r="BO1425" s="1452" t="str">
        <f t="shared" si="777"/>
        <v/>
      </c>
      <c r="BP1425" s="1452" t="str">
        <f t="shared" si="765"/>
        <v/>
      </c>
      <c r="BQ1425" s="1452" t="str">
        <f t="shared" si="766"/>
        <v/>
      </c>
      <c r="BR1425" s="1452" t="str">
        <f t="shared" si="767"/>
        <v/>
      </c>
      <c r="BS1425" s="1452" t="str">
        <f t="shared" si="768"/>
        <v/>
      </c>
      <c r="BT1425" s="1452" t="str">
        <f t="shared" si="769"/>
        <v/>
      </c>
      <c r="BU1425" s="1452" t="str">
        <f t="shared" si="770"/>
        <v/>
      </c>
      <c r="BV1425" s="1452" t="str">
        <f t="shared" si="771"/>
        <v/>
      </c>
      <c r="BW1425" s="1558">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5" customFormat="1" ht="12.5">
      <c r="A1426" s="1483" t="str">
        <f t="shared" si="772"/>
        <v>Public Health Wales Trust</v>
      </c>
      <c r="B1426" s="1583"/>
      <c r="C1426" s="1583"/>
      <c r="D1426" s="1583"/>
      <c r="E1426" s="1581"/>
      <c r="F1426" s="1436"/>
      <c r="G1426" s="1547">
        <f t="shared" si="773"/>
        <v>0</v>
      </c>
      <c r="H1426" s="1484"/>
      <c r="I1426" s="1547">
        <f t="shared" si="774"/>
        <v>0</v>
      </c>
      <c r="J1426" s="1485"/>
      <c r="K1426" s="1485"/>
      <c r="L1426" s="1436"/>
      <c r="M1426" s="1439"/>
      <c r="N1426" s="1439"/>
      <c r="O1426" s="1485"/>
      <c r="P1426" s="1486"/>
      <c r="Q1426" s="1486"/>
      <c r="R1426" s="1487"/>
      <c r="S1426" s="1444"/>
      <c r="T1426" s="1444"/>
      <c r="U1426" s="1444"/>
      <c r="V1426" s="1488"/>
      <c r="W1426" s="1488"/>
      <c r="X1426" s="1488"/>
      <c r="Y1426" s="1488"/>
      <c r="Z1426" s="1488"/>
      <c r="AA1426" s="1488"/>
      <c r="AB1426" s="1488"/>
      <c r="AC1426" s="1488"/>
      <c r="AD1426" s="1488"/>
      <c r="AE1426" s="1488"/>
      <c r="AF1426" s="1488"/>
      <c r="AG1426" s="1488"/>
      <c r="AH1426" s="1451">
        <f t="shared" si="746"/>
        <v>0</v>
      </c>
      <c r="AI1426" s="1488"/>
      <c r="AJ1426" s="1488"/>
      <c r="AK1426" s="1488"/>
      <c r="AL1426" s="1488"/>
      <c r="AM1426" s="1488"/>
      <c r="AN1426" s="1488"/>
      <c r="AO1426" s="1488"/>
      <c r="AP1426" s="1488"/>
      <c r="AQ1426" s="1488"/>
      <c r="AR1426" s="1488"/>
      <c r="AS1426" s="1488"/>
      <c r="AT1426" s="1542"/>
      <c r="AU1426" s="1599">
        <f t="shared" si="747"/>
        <v>0</v>
      </c>
      <c r="AV1426" s="1544">
        <f t="shared" si="775"/>
        <v>0</v>
      </c>
      <c r="AW1426" s="1452">
        <f t="shared" si="748"/>
        <v>0</v>
      </c>
      <c r="AX1426" s="1452">
        <f t="shared" si="749"/>
        <v>0</v>
      </c>
      <c r="AY1426" s="1452">
        <f t="shared" si="750"/>
        <v>0</v>
      </c>
      <c r="AZ1426" s="1452">
        <f t="shared" si="751"/>
        <v>0</v>
      </c>
      <c r="BA1426" s="1452">
        <f t="shared" si="752"/>
        <v>0</v>
      </c>
      <c r="BB1426" s="1452">
        <f t="shared" si="753"/>
        <v>0</v>
      </c>
      <c r="BC1426" s="1452">
        <f t="shared" si="754"/>
        <v>0</v>
      </c>
      <c r="BD1426" s="1452">
        <f t="shared" si="755"/>
        <v>0</v>
      </c>
      <c r="BE1426" s="1452">
        <f t="shared" si="756"/>
        <v>0</v>
      </c>
      <c r="BF1426" s="1452">
        <f t="shared" si="757"/>
        <v>0</v>
      </c>
      <c r="BG1426" s="1452">
        <f t="shared" si="758"/>
        <v>0</v>
      </c>
      <c r="BH1426" s="1452">
        <f t="shared" si="759"/>
        <v>0</v>
      </c>
      <c r="BI1426" s="1452">
        <f t="shared" si="776"/>
        <v>0</v>
      </c>
      <c r="BJ1426" s="1452" t="str">
        <f t="shared" si="760"/>
        <v/>
      </c>
      <c r="BK1426" s="1452" t="str">
        <f t="shared" si="761"/>
        <v/>
      </c>
      <c r="BL1426" s="1452" t="str">
        <f t="shared" si="762"/>
        <v/>
      </c>
      <c r="BM1426" s="1452" t="str">
        <f t="shared" si="763"/>
        <v/>
      </c>
      <c r="BN1426" s="1452" t="str">
        <f t="shared" ca="1" si="764"/>
        <v/>
      </c>
      <c r="BO1426" s="1452" t="str">
        <f t="shared" si="777"/>
        <v/>
      </c>
      <c r="BP1426" s="1452" t="str">
        <f t="shared" si="765"/>
        <v/>
      </c>
      <c r="BQ1426" s="1452" t="str">
        <f t="shared" si="766"/>
        <v/>
      </c>
      <c r="BR1426" s="1452" t="str">
        <f t="shared" si="767"/>
        <v/>
      </c>
      <c r="BS1426" s="1452" t="str">
        <f t="shared" si="768"/>
        <v/>
      </c>
      <c r="BT1426" s="1452" t="str">
        <f t="shared" si="769"/>
        <v/>
      </c>
      <c r="BU1426" s="1452" t="str">
        <f t="shared" si="770"/>
        <v/>
      </c>
      <c r="BV1426" s="1452" t="str">
        <f t="shared" si="771"/>
        <v/>
      </c>
      <c r="BW1426" s="1558">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5" customFormat="1" ht="12.5">
      <c r="A1427" s="1483" t="str">
        <f t="shared" si="772"/>
        <v>Public Health Wales Trust</v>
      </c>
      <c r="B1427" s="1583"/>
      <c r="C1427" s="1583"/>
      <c r="D1427" s="1583"/>
      <c r="E1427" s="1581"/>
      <c r="F1427" s="1436"/>
      <c r="G1427" s="1547">
        <f t="shared" si="773"/>
        <v>0</v>
      </c>
      <c r="H1427" s="1484"/>
      <c r="I1427" s="1547">
        <f t="shared" si="774"/>
        <v>0</v>
      </c>
      <c r="J1427" s="1485"/>
      <c r="K1427" s="1485"/>
      <c r="L1427" s="1436"/>
      <c r="M1427" s="1439"/>
      <c r="N1427" s="1439"/>
      <c r="O1427" s="1485"/>
      <c r="P1427" s="1486"/>
      <c r="Q1427" s="1486"/>
      <c r="R1427" s="1487"/>
      <c r="S1427" s="1444"/>
      <c r="T1427" s="1444"/>
      <c r="U1427" s="1444"/>
      <c r="V1427" s="1488"/>
      <c r="W1427" s="1488"/>
      <c r="X1427" s="1488"/>
      <c r="Y1427" s="1488"/>
      <c r="Z1427" s="1488"/>
      <c r="AA1427" s="1488"/>
      <c r="AB1427" s="1488"/>
      <c r="AC1427" s="1488"/>
      <c r="AD1427" s="1488"/>
      <c r="AE1427" s="1488"/>
      <c r="AF1427" s="1488"/>
      <c r="AG1427" s="1488"/>
      <c r="AH1427" s="1451">
        <f t="shared" si="746"/>
        <v>0</v>
      </c>
      <c r="AI1427" s="1488"/>
      <c r="AJ1427" s="1488"/>
      <c r="AK1427" s="1488"/>
      <c r="AL1427" s="1488"/>
      <c r="AM1427" s="1488"/>
      <c r="AN1427" s="1488"/>
      <c r="AO1427" s="1488"/>
      <c r="AP1427" s="1488"/>
      <c r="AQ1427" s="1488"/>
      <c r="AR1427" s="1488"/>
      <c r="AS1427" s="1488"/>
      <c r="AT1427" s="1542"/>
      <c r="AU1427" s="1599">
        <f t="shared" si="747"/>
        <v>0</v>
      </c>
      <c r="AV1427" s="1544">
        <f t="shared" si="775"/>
        <v>0</v>
      </c>
      <c r="AW1427" s="1452">
        <f t="shared" si="748"/>
        <v>0</v>
      </c>
      <c r="AX1427" s="1452">
        <f t="shared" si="749"/>
        <v>0</v>
      </c>
      <c r="AY1427" s="1452">
        <f t="shared" si="750"/>
        <v>0</v>
      </c>
      <c r="AZ1427" s="1452">
        <f t="shared" si="751"/>
        <v>0</v>
      </c>
      <c r="BA1427" s="1452">
        <f t="shared" si="752"/>
        <v>0</v>
      </c>
      <c r="BB1427" s="1452">
        <f t="shared" si="753"/>
        <v>0</v>
      </c>
      <c r="BC1427" s="1452">
        <f t="shared" si="754"/>
        <v>0</v>
      </c>
      <c r="BD1427" s="1452">
        <f t="shared" si="755"/>
        <v>0</v>
      </c>
      <c r="BE1427" s="1452">
        <f t="shared" si="756"/>
        <v>0</v>
      </c>
      <c r="BF1427" s="1452">
        <f t="shared" si="757"/>
        <v>0</v>
      </c>
      <c r="BG1427" s="1452">
        <f t="shared" si="758"/>
        <v>0</v>
      </c>
      <c r="BH1427" s="1452">
        <f t="shared" si="759"/>
        <v>0</v>
      </c>
      <c r="BI1427" s="1452">
        <f t="shared" si="776"/>
        <v>0</v>
      </c>
      <c r="BJ1427" s="1452" t="str">
        <f t="shared" si="760"/>
        <v/>
      </c>
      <c r="BK1427" s="1452" t="str">
        <f t="shared" si="761"/>
        <v/>
      </c>
      <c r="BL1427" s="1452" t="str">
        <f t="shared" si="762"/>
        <v/>
      </c>
      <c r="BM1427" s="1452" t="str">
        <f t="shared" si="763"/>
        <v/>
      </c>
      <c r="BN1427" s="1452" t="str">
        <f t="shared" ca="1" si="764"/>
        <v/>
      </c>
      <c r="BO1427" s="1452" t="str">
        <f t="shared" si="777"/>
        <v/>
      </c>
      <c r="BP1427" s="1452" t="str">
        <f t="shared" si="765"/>
        <v/>
      </c>
      <c r="BQ1427" s="1452" t="str">
        <f t="shared" si="766"/>
        <v/>
      </c>
      <c r="BR1427" s="1452" t="str">
        <f t="shared" si="767"/>
        <v/>
      </c>
      <c r="BS1427" s="1452" t="str">
        <f t="shared" si="768"/>
        <v/>
      </c>
      <c r="BT1427" s="1452" t="str">
        <f t="shared" si="769"/>
        <v/>
      </c>
      <c r="BU1427" s="1452" t="str">
        <f t="shared" si="770"/>
        <v/>
      </c>
      <c r="BV1427" s="1452" t="str">
        <f t="shared" si="771"/>
        <v/>
      </c>
      <c r="BW1427" s="1558">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5" customFormat="1" ht="12.5">
      <c r="A1428" s="1483" t="str">
        <f t="shared" si="772"/>
        <v>Public Health Wales Trust</v>
      </c>
      <c r="B1428" s="1583"/>
      <c r="C1428" s="1583"/>
      <c r="D1428" s="1583"/>
      <c r="E1428" s="1581"/>
      <c r="F1428" s="1436"/>
      <c r="G1428" s="1547">
        <f t="shared" si="773"/>
        <v>0</v>
      </c>
      <c r="H1428" s="1484"/>
      <c r="I1428" s="1547">
        <f t="shared" si="774"/>
        <v>0</v>
      </c>
      <c r="J1428" s="1485"/>
      <c r="K1428" s="1485"/>
      <c r="L1428" s="1436"/>
      <c r="M1428" s="1439"/>
      <c r="N1428" s="1439"/>
      <c r="O1428" s="1485"/>
      <c r="P1428" s="1486"/>
      <c r="Q1428" s="1486"/>
      <c r="R1428" s="1487"/>
      <c r="S1428" s="1444"/>
      <c r="T1428" s="1444"/>
      <c r="U1428" s="1444"/>
      <c r="V1428" s="1488"/>
      <c r="W1428" s="1488"/>
      <c r="X1428" s="1488"/>
      <c r="Y1428" s="1488"/>
      <c r="Z1428" s="1488"/>
      <c r="AA1428" s="1488"/>
      <c r="AB1428" s="1488"/>
      <c r="AC1428" s="1488"/>
      <c r="AD1428" s="1488"/>
      <c r="AE1428" s="1488"/>
      <c r="AF1428" s="1488"/>
      <c r="AG1428" s="1488"/>
      <c r="AH1428" s="1451">
        <f t="shared" si="746"/>
        <v>0</v>
      </c>
      <c r="AI1428" s="1488"/>
      <c r="AJ1428" s="1488"/>
      <c r="AK1428" s="1488"/>
      <c r="AL1428" s="1488"/>
      <c r="AM1428" s="1488"/>
      <c r="AN1428" s="1488"/>
      <c r="AO1428" s="1488"/>
      <c r="AP1428" s="1488"/>
      <c r="AQ1428" s="1488"/>
      <c r="AR1428" s="1488"/>
      <c r="AS1428" s="1488"/>
      <c r="AT1428" s="1542"/>
      <c r="AU1428" s="1599">
        <f t="shared" si="747"/>
        <v>0</v>
      </c>
      <c r="AV1428" s="1544">
        <f t="shared" si="775"/>
        <v>0</v>
      </c>
      <c r="AW1428" s="1452">
        <f t="shared" si="748"/>
        <v>0</v>
      </c>
      <c r="AX1428" s="1452">
        <f t="shared" si="749"/>
        <v>0</v>
      </c>
      <c r="AY1428" s="1452">
        <f t="shared" si="750"/>
        <v>0</v>
      </c>
      <c r="AZ1428" s="1452">
        <f t="shared" si="751"/>
        <v>0</v>
      </c>
      <c r="BA1428" s="1452">
        <f t="shared" si="752"/>
        <v>0</v>
      </c>
      <c r="BB1428" s="1452">
        <f t="shared" si="753"/>
        <v>0</v>
      </c>
      <c r="BC1428" s="1452">
        <f t="shared" si="754"/>
        <v>0</v>
      </c>
      <c r="BD1428" s="1452">
        <f t="shared" si="755"/>
        <v>0</v>
      </c>
      <c r="BE1428" s="1452">
        <f t="shared" si="756"/>
        <v>0</v>
      </c>
      <c r="BF1428" s="1452">
        <f t="shared" si="757"/>
        <v>0</v>
      </c>
      <c r="BG1428" s="1452">
        <f t="shared" si="758"/>
        <v>0</v>
      </c>
      <c r="BH1428" s="1452">
        <f t="shared" si="759"/>
        <v>0</v>
      </c>
      <c r="BI1428" s="1452">
        <f t="shared" si="776"/>
        <v>0</v>
      </c>
      <c r="BJ1428" s="1452" t="str">
        <f t="shared" si="760"/>
        <v/>
      </c>
      <c r="BK1428" s="1452" t="str">
        <f t="shared" si="761"/>
        <v/>
      </c>
      <c r="BL1428" s="1452" t="str">
        <f t="shared" si="762"/>
        <v/>
      </c>
      <c r="BM1428" s="1452" t="str">
        <f t="shared" si="763"/>
        <v/>
      </c>
      <c r="BN1428" s="1452" t="str">
        <f t="shared" ca="1" si="764"/>
        <v/>
      </c>
      <c r="BO1428" s="1452" t="str">
        <f t="shared" si="777"/>
        <v/>
      </c>
      <c r="BP1428" s="1452" t="str">
        <f t="shared" si="765"/>
        <v/>
      </c>
      <c r="BQ1428" s="1452" t="str">
        <f t="shared" si="766"/>
        <v/>
      </c>
      <c r="BR1428" s="1452" t="str">
        <f t="shared" si="767"/>
        <v/>
      </c>
      <c r="BS1428" s="1452" t="str">
        <f t="shared" si="768"/>
        <v/>
      </c>
      <c r="BT1428" s="1452" t="str">
        <f t="shared" si="769"/>
        <v/>
      </c>
      <c r="BU1428" s="1452" t="str">
        <f t="shared" si="770"/>
        <v/>
      </c>
      <c r="BV1428" s="1452" t="str">
        <f t="shared" si="771"/>
        <v/>
      </c>
      <c r="BW1428" s="1558">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5" customFormat="1" ht="12.5">
      <c r="A1429" s="1483" t="str">
        <f t="shared" si="772"/>
        <v>Public Health Wales Trust</v>
      </c>
      <c r="B1429" s="1583"/>
      <c r="C1429" s="1583"/>
      <c r="D1429" s="1583"/>
      <c r="E1429" s="1581"/>
      <c r="F1429" s="1436"/>
      <c r="G1429" s="1547">
        <f t="shared" si="773"/>
        <v>0</v>
      </c>
      <c r="H1429" s="1484"/>
      <c r="I1429" s="1547">
        <f t="shared" si="774"/>
        <v>0</v>
      </c>
      <c r="J1429" s="1485"/>
      <c r="K1429" s="1485"/>
      <c r="L1429" s="1436"/>
      <c r="M1429" s="1439"/>
      <c r="N1429" s="1439"/>
      <c r="O1429" s="1485"/>
      <c r="P1429" s="1486"/>
      <c r="Q1429" s="1486"/>
      <c r="R1429" s="1487"/>
      <c r="S1429" s="1444"/>
      <c r="T1429" s="1444"/>
      <c r="U1429" s="1444"/>
      <c r="V1429" s="1488"/>
      <c r="W1429" s="1488"/>
      <c r="X1429" s="1488"/>
      <c r="Y1429" s="1488"/>
      <c r="Z1429" s="1488"/>
      <c r="AA1429" s="1488"/>
      <c r="AB1429" s="1488"/>
      <c r="AC1429" s="1488"/>
      <c r="AD1429" s="1488"/>
      <c r="AE1429" s="1488"/>
      <c r="AF1429" s="1488"/>
      <c r="AG1429" s="1488"/>
      <c r="AH1429" s="1451">
        <f t="shared" si="746"/>
        <v>0</v>
      </c>
      <c r="AI1429" s="1488"/>
      <c r="AJ1429" s="1488"/>
      <c r="AK1429" s="1488"/>
      <c r="AL1429" s="1488"/>
      <c r="AM1429" s="1488"/>
      <c r="AN1429" s="1488"/>
      <c r="AO1429" s="1488"/>
      <c r="AP1429" s="1488"/>
      <c r="AQ1429" s="1488"/>
      <c r="AR1429" s="1488"/>
      <c r="AS1429" s="1488"/>
      <c r="AT1429" s="1542"/>
      <c r="AU1429" s="1599">
        <f t="shared" si="747"/>
        <v>0</v>
      </c>
      <c r="AV1429" s="1544">
        <f t="shared" si="775"/>
        <v>0</v>
      </c>
      <c r="AW1429" s="1452">
        <f t="shared" si="748"/>
        <v>0</v>
      </c>
      <c r="AX1429" s="1452">
        <f t="shared" si="749"/>
        <v>0</v>
      </c>
      <c r="AY1429" s="1452">
        <f t="shared" si="750"/>
        <v>0</v>
      </c>
      <c r="AZ1429" s="1452">
        <f t="shared" si="751"/>
        <v>0</v>
      </c>
      <c r="BA1429" s="1452">
        <f t="shared" si="752"/>
        <v>0</v>
      </c>
      <c r="BB1429" s="1452">
        <f t="shared" si="753"/>
        <v>0</v>
      </c>
      <c r="BC1429" s="1452">
        <f t="shared" si="754"/>
        <v>0</v>
      </c>
      <c r="BD1429" s="1452">
        <f t="shared" si="755"/>
        <v>0</v>
      </c>
      <c r="BE1429" s="1452">
        <f t="shared" si="756"/>
        <v>0</v>
      </c>
      <c r="BF1429" s="1452">
        <f t="shared" si="757"/>
        <v>0</v>
      </c>
      <c r="BG1429" s="1452">
        <f t="shared" si="758"/>
        <v>0</v>
      </c>
      <c r="BH1429" s="1452">
        <f t="shared" si="759"/>
        <v>0</v>
      </c>
      <c r="BI1429" s="1452">
        <f t="shared" si="776"/>
        <v>0</v>
      </c>
      <c r="BJ1429" s="1452" t="str">
        <f t="shared" si="760"/>
        <v/>
      </c>
      <c r="BK1429" s="1452" t="str">
        <f t="shared" si="761"/>
        <v/>
      </c>
      <c r="BL1429" s="1452" t="str">
        <f t="shared" si="762"/>
        <v/>
      </c>
      <c r="BM1429" s="1452" t="str">
        <f t="shared" si="763"/>
        <v/>
      </c>
      <c r="BN1429" s="1452" t="str">
        <f t="shared" ca="1" si="764"/>
        <v/>
      </c>
      <c r="BO1429" s="1452" t="str">
        <f t="shared" si="777"/>
        <v/>
      </c>
      <c r="BP1429" s="1452" t="str">
        <f t="shared" si="765"/>
        <v/>
      </c>
      <c r="BQ1429" s="1452" t="str">
        <f t="shared" si="766"/>
        <v/>
      </c>
      <c r="BR1429" s="1452" t="str">
        <f t="shared" si="767"/>
        <v/>
      </c>
      <c r="BS1429" s="1452" t="str">
        <f t="shared" si="768"/>
        <v/>
      </c>
      <c r="BT1429" s="1452" t="str">
        <f t="shared" si="769"/>
        <v/>
      </c>
      <c r="BU1429" s="1452" t="str">
        <f t="shared" si="770"/>
        <v/>
      </c>
      <c r="BV1429" s="1452" t="str">
        <f t="shared" si="771"/>
        <v/>
      </c>
      <c r="BW1429" s="1558">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5" customFormat="1" ht="12.5">
      <c r="A1430" s="1483" t="str">
        <f t="shared" si="772"/>
        <v>Public Health Wales Trust</v>
      </c>
      <c r="B1430" s="1583"/>
      <c r="C1430" s="1583"/>
      <c r="D1430" s="1583"/>
      <c r="E1430" s="1581"/>
      <c r="F1430" s="1436"/>
      <c r="G1430" s="1547">
        <f t="shared" si="773"/>
        <v>0</v>
      </c>
      <c r="H1430" s="1484"/>
      <c r="I1430" s="1547">
        <f t="shared" si="774"/>
        <v>0</v>
      </c>
      <c r="J1430" s="1485"/>
      <c r="K1430" s="1485"/>
      <c r="L1430" s="1436"/>
      <c r="M1430" s="1439"/>
      <c r="N1430" s="1439"/>
      <c r="O1430" s="1485"/>
      <c r="P1430" s="1486"/>
      <c r="Q1430" s="1486"/>
      <c r="R1430" s="1487"/>
      <c r="S1430" s="1444"/>
      <c r="T1430" s="1444"/>
      <c r="U1430" s="1444"/>
      <c r="V1430" s="1488"/>
      <c r="W1430" s="1488"/>
      <c r="X1430" s="1488"/>
      <c r="Y1430" s="1488"/>
      <c r="Z1430" s="1488"/>
      <c r="AA1430" s="1488"/>
      <c r="AB1430" s="1488"/>
      <c r="AC1430" s="1488"/>
      <c r="AD1430" s="1488"/>
      <c r="AE1430" s="1488"/>
      <c r="AF1430" s="1488"/>
      <c r="AG1430" s="1488"/>
      <c r="AH1430" s="1451">
        <f t="shared" si="746"/>
        <v>0</v>
      </c>
      <c r="AI1430" s="1488"/>
      <c r="AJ1430" s="1488"/>
      <c r="AK1430" s="1488"/>
      <c r="AL1430" s="1488"/>
      <c r="AM1430" s="1488"/>
      <c r="AN1430" s="1488"/>
      <c r="AO1430" s="1488"/>
      <c r="AP1430" s="1488"/>
      <c r="AQ1430" s="1488"/>
      <c r="AR1430" s="1488"/>
      <c r="AS1430" s="1488"/>
      <c r="AT1430" s="1542"/>
      <c r="AU1430" s="1599">
        <f t="shared" si="747"/>
        <v>0</v>
      </c>
      <c r="AV1430" s="1544">
        <f t="shared" si="775"/>
        <v>0</v>
      </c>
      <c r="AW1430" s="1452">
        <f t="shared" si="748"/>
        <v>0</v>
      </c>
      <c r="AX1430" s="1452">
        <f t="shared" si="749"/>
        <v>0</v>
      </c>
      <c r="AY1430" s="1452">
        <f t="shared" si="750"/>
        <v>0</v>
      </c>
      <c r="AZ1430" s="1452">
        <f t="shared" si="751"/>
        <v>0</v>
      </c>
      <c r="BA1430" s="1452">
        <f t="shared" si="752"/>
        <v>0</v>
      </c>
      <c r="BB1430" s="1452">
        <f t="shared" si="753"/>
        <v>0</v>
      </c>
      <c r="BC1430" s="1452">
        <f t="shared" si="754"/>
        <v>0</v>
      </c>
      <c r="BD1430" s="1452">
        <f t="shared" si="755"/>
        <v>0</v>
      </c>
      <c r="BE1430" s="1452">
        <f t="shared" si="756"/>
        <v>0</v>
      </c>
      <c r="BF1430" s="1452">
        <f t="shared" si="757"/>
        <v>0</v>
      </c>
      <c r="BG1430" s="1452">
        <f t="shared" si="758"/>
        <v>0</v>
      </c>
      <c r="BH1430" s="1452">
        <f t="shared" si="759"/>
        <v>0</v>
      </c>
      <c r="BI1430" s="1452">
        <f t="shared" si="776"/>
        <v>0</v>
      </c>
      <c r="BJ1430" s="1452" t="str">
        <f t="shared" si="760"/>
        <v/>
      </c>
      <c r="BK1430" s="1452" t="str">
        <f t="shared" si="761"/>
        <v/>
      </c>
      <c r="BL1430" s="1452" t="str">
        <f t="shared" si="762"/>
        <v/>
      </c>
      <c r="BM1430" s="1452" t="str">
        <f t="shared" si="763"/>
        <v/>
      </c>
      <c r="BN1430" s="1452" t="str">
        <f t="shared" ca="1" si="764"/>
        <v/>
      </c>
      <c r="BO1430" s="1452" t="str">
        <f t="shared" si="777"/>
        <v/>
      </c>
      <c r="BP1430" s="1452" t="str">
        <f t="shared" si="765"/>
        <v/>
      </c>
      <c r="BQ1430" s="1452" t="str">
        <f t="shared" si="766"/>
        <v/>
      </c>
      <c r="BR1430" s="1452" t="str">
        <f t="shared" si="767"/>
        <v/>
      </c>
      <c r="BS1430" s="1452" t="str">
        <f t="shared" si="768"/>
        <v/>
      </c>
      <c r="BT1430" s="1452" t="str">
        <f t="shared" si="769"/>
        <v/>
      </c>
      <c r="BU1430" s="1452" t="str">
        <f t="shared" si="770"/>
        <v/>
      </c>
      <c r="BV1430" s="1452" t="str">
        <f t="shared" si="771"/>
        <v/>
      </c>
      <c r="BW1430" s="1558">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5" customFormat="1" ht="12.5">
      <c r="A1431" s="1483" t="str">
        <f t="shared" si="772"/>
        <v>Public Health Wales Trust</v>
      </c>
      <c r="B1431" s="1583"/>
      <c r="C1431" s="1583"/>
      <c r="D1431" s="1583"/>
      <c r="E1431" s="1581"/>
      <c r="F1431" s="1436"/>
      <c r="G1431" s="1547">
        <f t="shared" si="773"/>
        <v>0</v>
      </c>
      <c r="H1431" s="1484"/>
      <c r="I1431" s="1547">
        <f t="shared" si="774"/>
        <v>0</v>
      </c>
      <c r="J1431" s="1485"/>
      <c r="K1431" s="1485"/>
      <c r="L1431" s="1436"/>
      <c r="M1431" s="1439"/>
      <c r="N1431" s="1439"/>
      <c r="O1431" s="1485"/>
      <c r="P1431" s="1486"/>
      <c r="Q1431" s="1486"/>
      <c r="R1431" s="1487"/>
      <c r="S1431" s="1444"/>
      <c r="T1431" s="1444"/>
      <c r="U1431" s="1444"/>
      <c r="V1431" s="1488"/>
      <c r="W1431" s="1488"/>
      <c r="X1431" s="1488"/>
      <c r="Y1431" s="1488"/>
      <c r="Z1431" s="1488"/>
      <c r="AA1431" s="1488"/>
      <c r="AB1431" s="1488"/>
      <c r="AC1431" s="1488"/>
      <c r="AD1431" s="1488"/>
      <c r="AE1431" s="1488"/>
      <c r="AF1431" s="1488"/>
      <c r="AG1431" s="1488"/>
      <c r="AH1431" s="1451">
        <f t="shared" si="746"/>
        <v>0</v>
      </c>
      <c r="AI1431" s="1488"/>
      <c r="AJ1431" s="1488"/>
      <c r="AK1431" s="1488"/>
      <c r="AL1431" s="1488"/>
      <c r="AM1431" s="1488"/>
      <c r="AN1431" s="1488"/>
      <c r="AO1431" s="1488"/>
      <c r="AP1431" s="1488"/>
      <c r="AQ1431" s="1488"/>
      <c r="AR1431" s="1488"/>
      <c r="AS1431" s="1488"/>
      <c r="AT1431" s="1542"/>
      <c r="AU1431" s="1599">
        <f t="shared" si="747"/>
        <v>0</v>
      </c>
      <c r="AV1431" s="1544">
        <f t="shared" si="775"/>
        <v>0</v>
      </c>
      <c r="AW1431" s="1452">
        <f t="shared" si="748"/>
        <v>0</v>
      </c>
      <c r="AX1431" s="1452">
        <f t="shared" si="749"/>
        <v>0</v>
      </c>
      <c r="AY1431" s="1452">
        <f t="shared" si="750"/>
        <v>0</v>
      </c>
      <c r="AZ1431" s="1452">
        <f t="shared" si="751"/>
        <v>0</v>
      </c>
      <c r="BA1431" s="1452">
        <f t="shared" si="752"/>
        <v>0</v>
      </c>
      <c r="BB1431" s="1452">
        <f t="shared" si="753"/>
        <v>0</v>
      </c>
      <c r="BC1431" s="1452">
        <f t="shared" si="754"/>
        <v>0</v>
      </c>
      <c r="BD1431" s="1452">
        <f t="shared" si="755"/>
        <v>0</v>
      </c>
      <c r="BE1431" s="1452">
        <f t="shared" si="756"/>
        <v>0</v>
      </c>
      <c r="BF1431" s="1452">
        <f t="shared" si="757"/>
        <v>0</v>
      </c>
      <c r="BG1431" s="1452">
        <f t="shared" si="758"/>
        <v>0</v>
      </c>
      <c r="BH1431" s="1452">
        <f t="shared" si="759"/>
        <v>0</v>
      </c>
      <c r="BI1431" s="1452">
        <f t="shared" si="776"/>
        <v>0</v>
      </c>
      <c r="BJ1431" s="1452" t="str">
        <f t="shared" si="760"/>
        <v/>
      </c>
      <c r="BK1431" s="1452" t="str">
        <f t="shared" si="761"/>
        <v/>
      </c>
      <c r="BL1431" s="1452" t="str">
        <f t="shared" si="762"/>
        <v/>
      </c>
      <c r="BM1431" s="1452" t="str">
        <f t="shared" si="763"/>
        <v/>
      </c>
      <c r="BN1431" s="1452" t="str">
        <f t="shared" ca="1" si="764"/>
        <v/>
      </c>
      <c r="BO1431" s="1452" t="str">
        <f t="shared" si="777"/>
        <v/>
      </c>
      <c r="BP1431" s="1452" t="str">
        <f t="shared" si="765"/>
        <v/>
      </c>
      <c r="BQ1431" s="1452" t="str">
        <f t="shared" si="766"/>
        <v/>
      </c>
      <c r="BR1431" s="1452" t="str">
        <f t="shared" si="767"/>
        <v/>
      </c>
      <c r="BS1431" s="1452" t="str">
        <f t="shared" si="768"/>
        <v/>
      </c>
      <c r="BT1431" s="1452" t="str">
        <f t="shared" si="769"/>
        <v/>
      </c>
      <c r="BU1431" s="1452" t="str">
        <f t="shared" si="770"/>
        <v/>
      </c>
      <c r="BV1431" s="1452" t="str">
        <f t="shared" si="771"/>
        <v/>
      </c>
      <c r="BW1431" s="1558">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5" customFormat="1" ht="12.5">
      <c r="A1432" s="1483" t="str">
        <f t="shared" si="772"/>
        <v>Public Health Wales Trust</v>
      </c>
      <c r="B1432" s="1583"/>
      <c r="C1432" s="1583"/>
      <c r="D1432" s="1583"/>
      <c r="E1432" s="1581"/>
      <c r="F1432" s="1436"/>
      <c r="G1432" s="1547">
        <f t="shared" si="773"/>
        <v>0</v>
      </c>
      <c r="H1432" s="1484"/>
      <c r="I1432" s="1547">
        <f t="shared" si="774"/>
        <v>0</v>
      </c>
      <c r="J1432" s="1485"/>
      <c r="K1432" s="1485"/>
      <c r="L1432" s="1436"/>
      <c r="M1432" s="1439"/>
      <c r="N1432" s="1439"/>
      <c r="O1432" s="1485"/>
      <c r="P1432" s="1486"/>
      <c r="Q1432" s="1486"/>
      <c r="R1432" s="1487"/>
      <c r="S1432" s="1444"/>
      <c r="T1432" s="1444"/>
      <c r="U1432" s="1444"/>
      <c r="V1432" s="1488"/>
      <c r="W1432" s="1488"/>
      <c r="X1432" s="1488"/>
      <c r="Y1432" s="1488"/>
      <c r="Z1432" s="1488"/>
      <c r="AA1432" s="1488"/>
      <c r="AB1432" s="1488"/>
      <c r="AC1432" s="1488"/>
      <c r="AD1432" s="1488"/>
      <c r="AE1432" s="1488"/>
      <c r="AF1432" s="1488"/>
      <c r="AG1432" s="1488"/>
      <c r="AH1432" s="1451">
        <f t="shared" si="746"/>
        <v>0</v>
      </c>
      <c r="AI1432" s="1488"/>
      <c r="AJ1432" s="1488"/>
      <c r="AK1432" s="1488"/>
      <c r="AL1432" s="1488"/>
      <c r="AM1432" s="1488"/>
      <c r="AN1432" s="1488"/>
      <c r="AO1432" s="1488"/>
      <c r="AP1432" s="1488"/>
      <c r="AQ1432" s="1488"/>
      <c r="AR1432" s="1488"/>
      <c r="AS1432" s="1488"/>
      <c r="AT1432" s="1542"/>
      <c r="AU1432" s="1599">
        <f t="shared" si="747"/>
        <v>0</v>
      </c>
      <c r="AV1432" s="1544">
        <f t="shared" si="775"/>
        <v>0</v>
      </c>
      <c r="AW1432" s="1452">
        <f t="shared" si="748"/>
        <v>0</v>
      </c>
      <c r="AX1432" s="1452">
        <f t="shared" si="749"/>
        <v>0</v>
      </c>
      <c r="AY1432" s="1452">
        <f t="shared" si="750"/>
        <v>0</v>
      </c>
      <c r="AZ1432" s="1452">
        <f t="shared" si="751"/>
        <v>0</v>
      </c>
      <c r="BA1432" s="1452">
        <f t="shared" si="752"/>
        <v>0</v>
      </c>
      <c r="BB1432" s="1452">
        <f t="shared" si="753"/>
        <v>0</v>
      </c>
      <c r="BC1432" s="1452">
        <f t="shared" si="754"/>
        <v>0</v>
      </c>
      <c r="BD1432" s="1452">
        <f t="shared" si="755"/>
        <v>0</v>
      </c>
      <c r="BE1432" s="1452">
        <f t="shared" si="756"/>
        <v>0</v>
      </c>
      <c r="BF1432" s="1452">
        <f t="shared" si="757"/>
        <v>0</v>
      </c>
      <c r="BG1432" s="1452">
        <f t="shared" si="758"/>
        <v>0</v>
      </c>
      <c r="BH1432" s="1452">
        <f t="shared" si="759"/>
        <v>0</v>
      </c>
      <c r="BI1432" s="1452">
        <f t="shared" si="776"/>
        <v>0</v>
      </c>
      <c r="BJ1432" s="1452" t="str">
        <f t="shared" si="760"/>
        <v/>
      </c>
      <c r="BK1432" s="1452" t="str">
        <f t="shared" si="761"/>
        <v/>
      </c>
      <c r="BL1432" s="1452" t="str">
        <f t="shared" si="762"/>
        <v/>
      </c>
      <c r="BM1432" s="1452" t="str">
        <f t="shared" si="763"/>
        <v/>
      </c>
      <c r="BN1432" s="1452" t="str">
        <f t="shared" ca="1" si="764"/>
        <v/>
      </c>
      <c r="BO1432" s="1452" t="str">
        <f t="shared" si="777"/>
        <v/>
      </c>
      <c r="BP1432" s="1452" t="str">
        <f t="shared" si="765"/>
        <v/>
      </c>
      <c r="BQ1432" s="1452" t="str">
        <f t="shared" si="766"/>
        <v/>
      </c>
      <c r="BR1432" s="1452" t="str">
        <f t="shared" si="767"/>
        <v/>
      </c>
      <c r="BS1432" s="1452" t="str">
        <f t="shared" si="768"/>
        <v/>
      </c>
      <c r="BT1432" s="1452" t="str">
        <f t="shared" si="769"/>
        <v/>
      </c>
      <c r="BU1432" s="1452" t="str">
        <f t="shared" si="770"/>
        <v/>
      </c>
      <c r="BV1432" s="1452" t="str">
        <f t="shared" si="771"/>
        <v/>
      </c>
      <c r="BW1432" s="1558">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5" customFormat="1" ht="12.5">
      <c r="A1433" s="1483" t="str">
        <f t="shared" si="772"/>
        <v>Public Health Wales Trust</v>
      </c>
      <c r="B1433" s="1583"/>
      <c r="C1433" s="1583"/>
      <c r="D1433" s="1583"/>
      <c r="E1433" s="1581"/>
      <c r="F1433" s="1436"/>
      <c r="G1433" s="1547">
        <f t="shared" si="773"/>
        <v>0</v>
      </c>
      <c r="H1433" s="1484"/>
      <c r="I1433" s="1547">
        <f t="shared" si="774"/>
        <v>0</v>
      </c>
      <c r="J1433" s="1485"/>
      <c r="K1433" s="1485"/>
      <c r="L1433" s="1436"/>
      <c r="M1433" s="1439"/>
      <c r="N1433" s="1439"/>
      <c r="O1433" s="1485"/>
      <c r="P1433" s="1486"/>
      <c r="Q1433" s="1486"/>
      <c r="R1433" s="1487"/>
      <c r="S1433" s="1444"/>
      <c r="T1433" s="1444"/>
      <c r="U1433" s="1444"/>
      <c r="V1433" s="1488"/>
      <c r="W1433" s="1488"/>
      <c r="X1433" s="1488"/>
      <c r="Y1433" s="1488"/>
      <c r="Z1433" s="1488"/>
      <c r="AA1433" s="1488"/>
      <c r="AB1433" s="1488"/>
      <c r="AC1433" s="1488"/>
      <c r="AD1433" s="1488"/>
      <c r="AE1433" s="1488"/>
      <c r="AF1433" s="1488"/>
      <c r="AG1433" s="1488"/>
      <c r="AH1433" s="1451">
        <f t="shared" si="746"/>
        <v>0</v>
      </c>
      <c r="AI1433" s="1488"/>
      <c r="AJ1433" s="1488"/>
      <c r="AK1433" s="1488"/>
      <c r="AL1433" s="1488"/>
      <c r="AM1433" s="1488"/>
      <c r="AN1433" s="1488"/>
      <c r="AO1433" s="1488"/>
      <c r="AP1433" s="1488"/>
      <c r="AQ1433" s="1488"/>
      <c r="AR1433" s="1488"/>
      <c r="AS1433" s="1488"/>
      <c r="AT1433" s="1542"/>
      <c r="AU1433" s="1599">
        <f t="shared" si="747"/>
        <v>0</v>
      </c>
      <c r="AV1433" s="1544">
        <f t="shared" si="775"/>
        <v>0</v>
      </c>
      <c r="AW1433" s="1452">
        <f t="shared" si="748"/>
        <v>0</v>
      </c>
      <c r="AX1433" s="1452">
        <f t="shared" si="749"/>
        <v>0</v>
      </c>
      <c r="AY1433" s="1452">
        <f t="shared" si="750"/>
        <v>0</v>
      </c>
      <c r="AZ1433" s="1452">
        <f t="shared" si="751"/>
        <v>0</v>
      </c>
      <c r="BA1433" s="1452">
        <f t="shared" si="752"/>
        <v>0</v>
      </c>
      <c r="BB1433" s="1452">
        <f t="shared" si="753"/>
        <v>0</v>
      </c>
      <c r="BC1433" s="1452">
        <f t="shared" si="754"/>
        <v>0</v>
      </c>
      <c r="BD1433" s="1452">
        <f t="shared" si="755"/>
        <v>0</v>
      </c>
      <c r="BE1433" s="1452">
        <f t="shared" si="756"/>
        <v>0</v>
      </c>
      <c r="BF1433" s="1452">
        <f t="shared" si="757"/>
        <v>0</v>
      </c>
      <c r="BG1433" s="1452">
        <f t="shared" si="758"/>
        <v>0</v>
      </c>
      <c r="BH1433" s="1452">
        <f t="shared" si="759"/>
        <v>0</v>
      </c>
      <c r="BI1433" s="1452">
        <f t="shared" si="776"/>
        <v>0</v>
      </c>
      <c r="BJ1433" s="1452" t="str">
        <f t="shared" si="760"/>
        <v/>
      </c>
      <c r="BK1433" s="1452" t="str">
        <f t="shared" si="761"/>
        <v/>
      </c>
      <c r="BL1433" s="1452" t="str">
        <f t="shared" si="762"/>
        <v/>
      </c>
      <c r="BM1433" s="1452" t="str">
        <f t="shared" si="763"/>
        <v/>
      </c>
      <c r="BN1433" s="1452" t="str">
        <f t="shared" ca="1" si="764"/>
        <v/>
      </c>
      <c r="BO1433" s="1452" t="str">
        <f t="shared" si="777"/>
        <v/>
      </c>
      <c r="BP1433" s="1452" t="str">
        <f t="shared" si="765"/>
        <v/>
      </c>
      <c r="BQ1433" s="1452" t="str">
        <f t="shared" si="766"/>
        <v/>
      </c>
      <c r="BR1433" s="1452" t="str">
        <f t="shared" si="767"/>
        <v/>
      </c>
      <c r="BS1433" s="1452" t="str">
        <f t="shared" si="768"/>
        <v/>
      </c>
      <c r="BT1433" s="1452" t="str">
        <f t="shared" si="769"/>
        <v/>
      </c>
      <c r="BU1433" s="1452" t="str">
        <f t="shared" si="770"/>
        <v/>
      </c>
      <c r="BV1433" s="1452" t="str">
        <f t="shared" si="771"/>
        <v/>
      </c>
      <c r="BW1433" s="1558">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5" customFormat="1" ht="12.5">
      <c r="A1434" s="1483" t="str">
        <f t="shared" si="772"/>
        <v>Public Health Wales Trust</v>
      </c>
      <c r="B1434" s="1583"/>
      <c r="C1434" s="1583"/>
      <c r="D1434" s="1583"/>
      <c r="E1434" s="1581"/>
      <c r="F1434" s="1436"/>
      <c r="G1434" s="1547">
        <f t="shared" si="773"/>
        <v>0</v>
      </c>
      <c r="H1434" s="1484"/>
      <c r="I1434" s="1547">
        <f t="shared" si="774"/>
        <v>0</v>
      </c>
      <c r="J1434" s="1485"/>
      <c r="K1434" s="1485"/>
      <c r="L1434" s="1436"/>
      <c r="M1434" s="1439"/>
      <c r="N1434" s="1439"/>
      <c r="O1434" s="1485"/>
      <c r="P1434" s="1486"/>
      <c r="Q1434" s="1486"/>
      <c r="R1434" s="1487"/>
      <c r="S1434" s="1444"/>
      <c r="T1434" s="1444"/>
      <c r="U1434" s="1444"/>
      <c r="V1434" s="1488"/>
      <c r="W1434" s="1488"/>
      <c r="X1434" s="1488"/>
      <c r="Y1434" s="1488"/>
      <c r="Z1434" s="1488"/>
      <c r="AA1434" s="1488"/>
      <c r="AB1434" s="1488"/>
      <c r="AC1434" s="1488"/>
      <c r="AD1434" s="1488"/>
      <c r="AE1434" s="1488"/>
      <c r="AF1434" s="1488"/>
      <c r="AG1434" s="1488"/>
      <c r="AH1434" s="1451">
        <f t="shared" si="746"/>
        <v>0</v>
      </c>
      <c r="AI1434" s="1488"/>
      <c r="AJ1434" s="1488"/>
      <c r="AK1434" s="1488"/>
      <c r="AL1434" s="1488"/>
      <c r="AM1434" s="1488"/>
      <c r="AN1434" s="1488"/>
      <c r="AO1434" s="1488"/>
      <c r="AP1434" s="1488"/>
      <c r="AQ1434" s="1488"/>
      <c r="AR1434" s="1488"/>
      <c r="AS1434" s="1488"/>
      <c r="AT1434" s="1542"/>
      <c r="AU1434" s="1599">
        <f t="shared" si="747"/>
        <v>0</v>
      </c>
      <c r="AV1434" s="1544">
        <f t="shared" si="775"/>
        <v>0</v>
      </c>
      <c r="AW1434" s="1452">
        <f t="shared" si="748"/>
        <v>0</v>
      </c>
      <c r="AX1434" s="1452">
        <f t="shared" si="749"/>
        <v>0</v>
      </c>
      <c r="AY1434" s="1452">
        <f t="shared" si="750"/>
        <v>0</v>
      </c>
      <c r="AZ1434" s="1452">
        <f t="shared" si="751"/>
        <v>0</v>
      </c>
      <c r="BA1434" s="1452">
        <f t="shared" si="752"/>
        <v>0</v>
      </c>
      <c r="BB1434" s="1452">
        <f t="shared" si="753"/>
        <v>0</v>
      </c>
      <c r="BC1434" s="1452">
        <f t="shared" si="754"/>
        <v>0</v>
      </c>
      <c r="BD1434" s="1452">
        <f t="shared" si="755"/>
        <v>0</v>
      </c>
      <c r="BE1434" s="1452">
        <f t="shared" si="756"/>
        <v>0</v>
      </c>
      <c r="BF1434" s="1452">
        <f t="shared" si="757"/>
        <v>0</v>
      </c>
      <c r="BG1434" s="1452">
        <f t="shared" si="758"/>
        <v>0</v>
      </c>
      <c r="BH1434" s="1452">
        <f t="shared" si="759"/>
        <v>0</v>
      </c>
      <c r="BI1434" s="1452">
        <f t="shared" si="776"/>
        <v>0</v>
      </c>
      <c r="BJ1434" s="1452" t="str">
        <f t="shared" si="760"/>
        <v/>
      </c>
      <c r="BK1434" s="1452" t="str">
        <f t="shared" si="761"/>
        <v/>
      </c>
      <c r="BL1434" s="1452" t="str">
        <f t="shared" si="762"/>
        <v/>
      </c>
      <c r="BM1434" s="1452" t="str">
        <f t="shared" si="763"/>
        <v/>
      </c>
      <c r="BN1434" s="1452" t="str">
        <f t="shared" ca="1" si="764"/>
        <v/>
      </c>
      <c r="BO1434" s="1452" t="str">
        <f t="shared" si="777"/>
        <v/>
      </c>
      <c r="BP1434" s="1452" t="str">
        <f t="shared" si="765"/>
        <v/>
      </c>
      <c r="BQ1434" s="1452" t="str">
        <f t="shared" si="766"/>
        <v/>
      </c>
      <c r="BR1434" s="1452" t="str">
        <f t="shared" si="767"/>
        <v/>
      </c>
      <c r="BS1434" s="1452" t="str">
        <f t="shared" si="768"/>
        <v/>
      </c>
      <c r="BT1434" s="1452" t="str">
        <f t="shared" si="769"/>
        <v/>
      </c>
      <c r="BU1434" s="1452" t="str">
        <f t="shared" si="770"/>
        <v/>
      </c>
      <c r="BV1434" s="1452" t="str">
        <f t="shared" si="771"/>
        <v/>
      </c>
      <c r="BW1434" s="1558">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5" customFormat="1" ht="12.5">
      <c r="A1435" s="1483" t="str">
        <f t="shared" si="772"/>
        <v>Public Health Wales Trust</v>
      </c>
      <c r="B1435" s="1583"/>
      <c r="C1435" s="1583"/>
      <c r="D1435" s="1583"/>
      <c r="E1435" s="1581"/>
      <c r="F1435" s="1436"/>
      <c r="G1435" s="1547">
        <f t="shared" si="773"/>
        <v>0</v>
      </c>
      <c r="H1435" s="1484"/>
      <c r="I1435" s="1547">
        <f t="shared" si="774"/>
        <v>0</v>
      </c>
      <c r="J1435" s="1485"/>
      <c r="K1435" s="1485"/>
      <c r="L1435" s="1436"/>
      <c r="M1435" s="1439"/>
      <c r="N1435" s="1439"/>
      <c r="O1435" s="1485"/>
      <c r="P1435" s="1486"/>
      <c r="Q1435" s="1486"/>
      <c r="R1435" s="1487"/>
      <c r="S1435" s="1444"/>
      <c r="T1435" s="1444"/>
      <c r="U1435" s="1444"/>
      <c r="V1435" s="1488"/>
      <c r="W1435" s="1488"/>
      <c r="X1435" s="1488"/>
      <c r="Y1435" s="1488"/>
      <c r="Z1435" s="1488"/>
      <c r="AA1435" s="1488"/>
      <c r="AB1435" s="1488"/>
      <c r="AC1435" s="1488"/>
      <c r="AD1435" s="1488"/>
      <c r="AE1435" s="1488"/>
      <c r="AF1435" s="1488"/>
      <c r="AG1435" s="1488"/>
      <c r="AH1435" s="1451">
        <f t="shared" si="746"/>
        <v>0</v>
      </c>
      <c r="AI1435" s="1488"/>
      <c r="AJ1435" s="1488"/>
      <c r="AK1435" s="1488"/>
      <c r="AL1435" s="1488"/>
      <c r="AM1435" s="1488"/>
      <c r="AN1435" s="1488"/>
      <c r="AO1435" s="1488"/>
      <c r="AP1435" s="1488"/>
      <c r="AQ1435" s="1488"/>
      <c r="AR1435" s="1488"/>
      <c r="AS1435" s="1488"/>
      <c r="AT1435" s="1542"/>
      <c r="AU1435" s="1599">
        <f t="shared" si="747"/>
        <v>0</v>
      </c>
      <c r="AV1435" s="1544">
        <f t="shared" si="775"/>
        <v>0</v>
      </c>
      <c r="AW1435" s="1452">
        <f t="shared" si="748"/>
        <v>0</v>
      </c>
      <c r="AX1435" s="1452">
        <f t="shared" si="749"/>
        <v>0</v>
      </c>
      <c r="AY1435" s="1452">
        <f t="shared" si="750"/>
        <v>0</v>
      </c>
      <c r="AZ1435" s="1452">
        <f t="shared" si="751"/>
        <v>0</v>
      </c>
      <c r="BA1435" s="1452">
        <f t="shared" si="752"/>
        <v>0</v>
      </c>
      <c r="BB1435" s="1452">
        <f t="shared" si="753"/>
        <v>0</v>
      </c>
      <c r="BC1435" s="1452">
        <f t="shared" si="754"/>
        <v>0</v>
      </c>
      <c r="BD1435" s="1452">
        <f t="shared" si="755"/>
        <v>0</v>
      </c>
      <c r="BE1435" s="1452">
        <f t="shared" si="756"/>
        <v>0</v>
      </c>
      <c r="BF1435" s="1452">
        <f t="shared" si="757"/>
        <v>0</v>
      </c>
      <c r="BG1435" s="1452">
        <f t="shared" si="758"/>
        <v>0</v>
      </c>
      <c r="BH1435" s="1452">
        <f t="shared" si="759"/>
        <v>0</v>
      </c>
      <c r="BI1435" s="1452">
        <f t="shared" si="776"/>
        <v>0</v>
      </c>
      <c r="BJ1435" s="1452" t="str">
        <f t="shared" si="760"/>
        <v/>
      </c>
      <c r="BK1435" s="1452" t="str">
        <f t="shared" si="761"/>
        <v/>
      </c>
      <c r="BL1435" s="1452" t="str">
        <f t="shared" si="762"/>
        <v/>
      </c>
      <c r="BM1435" s="1452" t="str">
        <f t="shared" si="763"/>
        <v/>
      </c>
      <c r="BN1435" s="1452" t="str">
        <f t="shared" ca="1" si="764"/>
        <v/>
      </c>
      <c r="BO1435" s="1452" t="str">
        <f t="shared" si="777"/>
        <v/>
      </c>
      <c r="BP1435" s="1452" t="str">
        <f t="shared" si="765"/>
        <v/>
      </c>
      <c r="BQ1435" s="1452" t="str">
        <f t="shared" si="766"/>
        <v/>
      </c>
      <c r="BR1435" s="1452" t="str">
        <f t="shared" si="767"/>
        <v/>
      </c>
      <c r="BS1435" s="1452" t="str">
        <f t="shared" si="768"/>
        <v/>
      </c>
      <c r="BT1435" s="1452" t="str">
        <f t="shared" si="769"/>
        <v/>
      </c>
      <c r="BU1435" s="1452" t="str">
        <f t="shared" si="770"/>
        <v/>
      </c>
      <c r="BV1435" s="1452" t="str">
        <f t="shared" si="771"/>
        <v/>
      </c>
      <c r="BW1435" s="1558">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5" customFormat="1" ht="12.5">
      <c r="A1436" s="1483" t="str">
        <f t="shared" si="772"/>
        <v>Public Health Wales Trust</v>
      </c>
      <c r="B1436" s="1583"/>
      <c r="C1436" s="1583"/>
      <c r="D1436" s="1583"/>
      <c r="E1436" s="1581"/>
      <c r="F1436" s="1436"/>
      <c r="G1436" s="1547">
        <f t="shared" si="773"/>
        <v>0</v>
      </c>
      <c r="H1436" s="1484"/>
      <c r="I1436" s="1547">
        <f t="shared" si="774"/>
        <v>0</v>
      </c>
      <c r="J1436" s="1485"/>
      <c r="K1436" s="1485"/>
      <c r="L1436" s="1436"/>
      <c r="M1436" s="1439"/>
      <c r="N1436" s="1439"/>
      <c r="O1436" s="1485"/>
      <c r="P1436" s="1486"/>
      <c r="Q1436" s="1486"/>
      <c r="R1436" s="1487"/>
      <c r="S1436" s="1444"/>
      <c r="T1436" s="1444"/>
      <c r="U1436" s="1444"/>
      <c r="V1436" s="1488"/>
      <c r="W1436" s="1488"/>
      <c r="X1436" s="1488"/>
      <c r="Y1436" s="1488"/>
      <c r="Z1436" s="1488"/>
      <c r="AA1436" s="1488"/>
      <c r="AB1436" s="1488"/>
      <c r="AC1436" s="1488"/>
      <c r="AD1436" s="1488"/>
      <c r="AE1436" s="1488"/>
      <c r="AF1436" s="1488"/>
      <c r="AG1436" s="1488"/>
      <c r="AH1436" s="1451">
        <f t="shared" si="746"/>
        <v>0</v>
      </c>
      <c r="AI1436" s="1488"/>
      <c r="AJ1436" s="1488"/>
      <c r="AK1436" s="1488"/>
      <c r="AL1436" s="1488"/>
      <c r="AM1436" s="1488"/>
      <c r="AN1436" s="1488"/>
      <c r="AO1436" s="1488"/>
      <c r="AP1436" s="1488"/>
      <c r="AQ1436" s="1488"/>
      <c r="AR1436" s="1488"/>
      <c r="AS1436" s="1488"/>
      <c r="AT1436" s="1542"/>
      <c r="AU1436" s="1599">
        <f t="shared" si="747"/>
        <v>0</v>
      </c>
      <c r="AV1436" s="1544">
        <f t="shared" si="775"/>
        <v>0</v>
      </c>
      <c r="AW1436" s="1452">
        <f t="shared" si="748"/>
        <v>0</v>
      </c>
      <c r="AX1436" s="1452">
        <f t="shared" si="749"/>
        <v>0</v>
      </c>
      <c r="AY1436" s="1452">
        <f t="shared" si="750"/>
        <v>0</v>
      </c>
      <c r="AZ1436" s="1452">
        <f t="shared" si="751"/>
        <v>0</v>
      </c>
      <c r="BA1436" s="1452">
        <f t="shared" si="752"/>
        <v>0</v>
      </c>
      <c r="BB1436" s="1452">
        <f t="shared" si="753"/>
        <v>0</v>
      </c>
      <c r="BC1436" s="1452">
        <f t="shared" si="754"/>
        <v>0</v>
      </c>
      <c r="BD1436" s="1452">
        <f t="shared" si="755"/>
        <v>0</v>
      </c>
      <c r="BE1436" s="1452">
        <f t="shared" si="756"/>
        <v>0</v>
      </c>
      <c r="BF1436" s="1452">
        <f t="shared" si="757"/>
        <v>0</v>
      </c>
      <c r="BG1436" s="1452">
        <f t="shared" si="758"/>
        <v>0</v>
      </c>
      <c r="BH1436" s="1452">
        <f t="shared" si="759"/>
        <v>0</v>
      </c>
      <c r="BI1436" s="1452">
        <f t="shared" si="776"/>
        <v>0</v>
      </c>
      <c r="BJ1436" s="1452" t="str">
        <f t="shared" si="760"/>
        <v/>
      </c>
      <c r="BK1436" s="1452" t="str">
        <f t="shared" si="761"/>
        <v/>
      </c>
      <c r="BL1436" s="1452" t="str">
        <f t="shared" si="762"/>
        <v/>
      </c>
      <c r="BM1436" s="1452" t="str">
        <f t="shared" si="763"/>
        <v/>
      </c>
      <c r="BN1436" s="1452" t="str">
        <f t="shared" ca="1" si="764"/>
        <v/>
      </c>
      <c r="BO1436" s="1452" t="str">
        <f t="shared" si="777"/>
        <v/>
      </c>
      <c r="BP1436" s="1452" t="str">
        <f t="shared" si="765"/>
        <v/>
      </c>
      <c r="BQ1436" s="1452" t="str">
        <f t="shared" si="766"/>
        <v/>
      </c>
      <c r="BR1436" s="1452" t="str">
        <f t="shared" si="767"/>
        <v/>
      </c>
      <c r="BS1436" s="1452" t="str">
        <f t="shared" si="768"/>
        <v/>
      </c>
      <c r="BT1436" s="1452" t="str">
        <f t="shared" si="769"/>
        <v/>
      </c>
      <c r="BU1436" s="1452" t="str">
        <f t="shared" si="770"/>
        <v/>
      </c>
      <c r="BV1436" s="1452" t="str">
        <f t="shared" si="771"/>
        <v/>
      </c>
      <c r="BW1436" s="1558">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5" customFormat="1" ht="12.5">
      <c r="A1437" s="1483" t="str">
        <f t="shared" si="772"/>
        <v>Public Health Wales Trust</v>
      </c>
      <c r="B1437" s="1583"/>
      <c r="C1437" s="1583"/>
      <c r="D1437" s="1583"/>
      <c r="E1437" s="1581"/>
      <c r="F1437" s="1436"/>
      <c r="G1437" s="1547">
        <f t="shared" si="773"/>
        <v>0</v>
      </c>
      <c r="H1437" s="1484"/>
      <c r="I1437" s="1547">
        <f t="shared" si="774"/>
        <v>0</v>
      </c>
      <c r="J1437" s="1485"/>
      <c r="K1437" s="1485"/>
      <c r="L1437" s="1436"/>
      <c r="M1437" s="1439"/>
      <c r="N1437" s="1439"/>
      <c r="O1437" s="1485"/>
      <c r="P1437" s="1486"/>
      <c r="Q1437" s="1486"/>
      <c r="R1437" s="1487"/>
      <c r="S1437" s="1444"/>
      <c r="T1437" s="1444"/>
      <c r="U1437" s="1444"/>
      <c r="V1437" s="1488"/>
      <c r="W1437" s="1488"/>
      <c r="X1437" s="1488"/>
      <c r="Y1437" s="1488"/>
      <c r="Z1437" s="1488"/>
      <c r="AA1437" s="1488"/>
      <c r="AB1437" s="1488"/>
      <c r="AC1437" s="1488"/>
      <c r="AD1437" s="1488"/>
      <c r="AE1437" s="1488"/>
      <c r="AF1437" s="1488"/>
      <c r="AG1437" s="1488"/>
      <c r="AH1437" s="1451">
        <f t="shared" si="746"/>
        <v>0</v>
      </c>
      <c r="AI1437" s="1488"/>
      <c r="AJ1437" s="1488"/>
      <c r="AK1437" s="1488"/>
      <c r="AL1437" s="1488"/>
      <c r="AM1437" s="1488"/>
      <c r="AN1437" s="1488"/>
      <c r="AO1437" s="1488"/>
      <c r="AP1437" s="1488"/>
      <c r="AQ1437" s="1488"/>
      <c r="AR1437" s="1488"/>
      <c r="AS1437" s="1488"/>
      <c r="AT1437" s="1542"/>
      <c r="AU1437" s="1599">
        <f t="shared" si="747"/>
        <v>0</v>
      </c>
      <c r="AV1437" s="1544">
        <f t="shared" si="775"/>
        <v>0</v>
      </c>
      <c r="AW1437" s="1452">
        <f t="shared" si="748"/>
        <v>0</v>
      </c>
      <c r="AX1437" s="1452">
        <f t="shared" si="749"/>
        <v>0</v>
      </c>
      <c r="AY1437" s="1452">
        <f t="shared" si="750"/>
        <v>0</v>
      </c>
      <c r="AZ1437" s="1452">
        <f t="shared" si="751"/>
        <v>0</v>
      </c>
      <c r="BA1437" s="1452">
        <f t="shared" si="752"/>
        <v>0</v>
      </c>
      <c r="BB1437" s="1452">
        <f t="shared" si="753"/>
        <v>0</v>
      </c>
      <c r="BC1437" s="1452">
        <f t="shared" si="754"/>
        <v>0</v>
      </c>
      <c r="BD1437" s="1452">
        <f t="shared" si="755"/>
        <v>0</v>
      </c>
      <c r="BE1437" s="1452">
        <f t="shared" si="756"/>
        <v>0</v>
      </c>
      <c r="BF1437" s="1452">
        <f t="shared" si="757"/>
        <v>0</v>
      </c>
      <c r="BG1437" s="1452">
        <f t="shared" si="758"/>
        <v>0</v>
      </c>
      <c r="BH1437" s="1452">
        <f t="shared" si="759"/>
        <v>0</v>
      </c>
      <c r="BI1437" s="1452">
        <f t="shared" si="776"/>
        <v>0</v>
      </c>
      <c r="BJ1437" s="1452" t="str">
        <f t="shared" si="760"/>
        <v/>
      </c>
      <c r="BK1437" s="1452" t="str">
        <f t="shared" si="761"/>
        <v/>
      </c>
      <c r="BL1437" s="1452" t="str">
        <f t="shared" si="762"/>
        <v/>
      </c>
      <c r="BM1437" s="1452" t="str">
        <f t="shared" si="763"/>
        <v/>
      </c>
      <c r="BN1437" s="1452" t="str">
        <f t="shared" ca="1" si="764"/>
        <v/>
      </c>
      <c r="BO1437" s="1452" t="str">
        <f t="shared" si="777"/>
        <v/>
      </c>
      <c r="BP1437" s="1452" t="str">
        <f t="shared" si="765"/>
        <v/>
      </c>
      <c r="BQ1437" s="1452" t="str">
        <f t="shared" si="766"/>
        <v/>
      </c>
      <c r="BR1437" s="1452" t="str">
        <f t="shared" si="767"/>
        <v/>
      </c>
      <c r="BS1437" s="1452" t="str">
        <f t="shared" si="768"/>
        <v/>
      </c>
      <c r="BT1437" s="1452" t="str">
        <f t="shared" si="769"/>
        <v/>
      </c>
      <c r="BU1437" s="1452" t="str">
        <f t="shared" si="770"/>
        <v/>
      </c>
      <c r="BV1437" s="1452" t="str">
        <f t="shared" si="771"/>
        <v/>
      </c>
      <c r="BW1437" s="1558">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5" customFormat="1" ht="12.5">
      <c r="A1438" s="1483" t="str">
        <f t="shared" si="772"/>
        <v>Public Health Wales Trust</v>
      </c>
      <c r="B1438" s="1583"/>
      <c r="C1438" s="1583"/>
      <c r="D1438" s="1583"/>
      <c r="E1438" s="1581"/>
      <c r="F1438" s="1436"/>
      <c r="G1438" s="1547">
        <f t="shared" si="773"/>
        <v>0</v>
      </c>
      <c r="H1438" s="1484"/>
      <c r="I1438" s="1547">
        <f t="shared" si="774"/>
        <v>0</v>
      </c>
      <c r="J1438" s="1485"/>
      <c r="K1438" s="1485"/>
      <c r="L1438" s="1436"/>
      <c r="M1438" s="1439"/>
      <c r="N1438" s="1439"/>
      <c r="O1438" s="1485"/>
      <c r="P1438" s="1486"/>
      <c r="Q1438" s="1486"/>
      <c r="R1438" s="1487"/>
      <c r="S1438" s="1444"/>
      <c r="T1438" s="1444"/>
      <c r="U1438" s="1444"/>
      <c r="V1438" s="1488"/>
      <c r="W1438" s="1488"/>
      <c r="X1438" s="1488"/>
      <c r="Y1438" s="1488"/>
      <c r="Z1438" s="1488"/>
      <c r="AA1438" s="1488"/>
      <c r="AB1438" s="1488"/>
      <c r="AC1438" s="1488"/>
      <c r="AD1438" s="1488"/>
      <c r="AE1438" s="1488"/>
      <c r="AF1438" s="1488"/>
      <c r="AG1438" s="1488"/>
      <c r="AH1438" s="1451">
        <f t="shared" si="746"/>
        <v>0</v>
      </c>
      <c r="AI1438" s="1488"/>
      <c r="AJ1438" s="1488"/>
      <c r="AK1438" s="1488"/>
      <c r="AL1438" s="1488"/>
      <c r="AM1438" s="1488"/>
      <c r="AN1438" s="1488"/>
      <c r="AO1438" s="1488"/>
      <c r="AP1438" s="1488"/>
      <c r="AQ1438" s="1488"/>
      <c r="AR1438" s="1488"/>
      <c r="AS1438" s="1488"/>
      <c r="AT1438" s="1542"/>
      <c r="AU1438" s="1599">
        <f t="shared" si="747"/>
        <v>0</v>
      </c>
      <c r="AV1438" s="1544">
        <f t="shared" si="775"/>
        <v>0</v>
      </c>
      <c r="AW1438" s="1452">
        <f t="shared" si="748"/>
        <v>0</v>
      </c>
      <c r="AX1438" s="1452">
        <f t="shared" si="749"/>
        <v>0</v>
      </c>
      <c r="AY1438" s="1452">
        <f t="shared" si="750"/>
        <v>0</v>
      </c>
      <c r="AZ1438" s="1452">
        <f t="shared" si="751"/>
        <v>0</v>
      </c>
      <c r="BA1438" s="1452">
        <f t="shared" si="752"/>
        <v>0</v>
      </c>
      <c r="BB1438" s="1452">
        <f t="shared" si="753"/>
        <v>0</v>
      </c>
      <c r="BC1438" s="1452">
        <f t="shared" si="754"/>
        <v>0</v>
      </c>
      <c r="BD1438" s="1452">
        <f t="shared" si="755"/>
        <v>0</v>
      </c>
      <c r="BE1438" s="1452">
        <f t="shared" si="756"/>
        <v>0</v>
      </c>
      <c r="BF1438" s="1452">
        <f t="shared" si="757"/>
        <v>0</v>
      </c>
      <c r="BG1438" s="1452">
        <f t="shared" si="758"/>
        <v>0</v>
      </c>
      <c r="BH1438" s="1452">
        <f t="shared" si="759"/>
        <v>0</v>
      </c>
      <c r="BI1438" s="1452">
        <f t="shared" si="776"/>
        <v>0</v>
      </c>
      <c r="BJ1438" s="1452" t="str">
        <f t="shared" si="760"/>
        <v/>
      </c>
      <c r="BK1438" s="1452" t="str">
        <f t="shared" si="761"/>
        <v/>
      </c>
      <c r="BL1438" s="1452" t="str">
        <f t="shared" si="762"/>
        <v/>
      </c>
      <c r="BM1438" s="1452" t="str">
        <f t="shared" si="763"/>
        <v/>
      </c>
      <c r="BN1438" s="1452" t="str">
        <f t="shared" ca="1" si="764"/>
        <v/>
      </c>
      <c r="BO1438" s="1452" t="str">
        <f t="shared" si="777"/>
        <v/>
      </c>
      <c r="BP1438" s="1452" t="str">
        <f t="shared" si="765"/>
        <v/>
      </c>
      <c r="BQ1438" s="1452" t="str">
        <f t="shared" si="766"/>
        <v/>
      </c>
      <c r="BR1438" s="1452" t="str">
        <f t="shared" si="767"/>
        <v/>
      </c>
      <c r="BS1438" s="1452" t="str">
        <f t="shared" si="768"/>
        <v/>
      </c>
      <c r="BT1438" s="1452" t="str">
        <f t="shared" si="769"/>
        <v/>
      </c>
      <c r="BU1438" s="1452" t="str">
        <f t="shared" si="770"/>
        <v/>
      </c>
      <c r="BV1438" s="1452" t="str">
        <f t="shared" si="771"/>
        <v/>
      </c>
      <c r="BW1438" s="1558">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5" customFormat="1" ht="12.5">
      <c r="A1439" s="1483" t="str">
        <f t="shared" si="772"/>
        <v>Public Health Wales Trust</v>
      </c>
      <c r="B1439" s="1583"/>
      <c r="C1439" s="1583"/>
      <c r="D1439" s="1583"/>
      <c r="E1439" s="1581"/>
      <c r="F1439" s="1436"/>
      <c r="G1439" s="1547">
        <f t="shared" si="773"/>
        <v>0</v>
      </c>
      <c r="H1439" s="1484"/>
      <c r="I1439" s="1547">
        <f t="shared" si="774"/>
        <v>0</v>
      </c>
      <c r="J1439" s="1485"/>
      <c r="K1439" s="1485"/>
      <c r="L1439" s="1436"/>
      <c r="M1439" s="1439"/>
      <c r="N1439" s="1439"/>
      <c r="O1439" s="1485"/>
      <c r="P1439" s="1486"/>
      <c r="Q1439" s="1486"/>
      <c r="R1439" s="1487"/>
      <c r="S1439" s="1444"/>
      <c r="T1439" s="1444"/>
      <c r="U1439" s="1444"/>
      <c r="V1439" s="1488"/>
      <c r="W1439" s="1488"/>
      <c r="X1439" s="1488"/>
      <c r="Y1439" s="1488"/>
      <c r="Z1439" s="1488"/>
      <c r="AA1439" s="1488"/>
      <c r="AB1439" s="1488"/>
      <c r="AC1439" s="1488"/>
      <c r="AD1439" s="1488"/>
      <c r="AE1439" s="1488"/>
      <c r="AF1439" s="1488"/>
      <c r="AG1439" s="1488"/>
      <c r="AH1439" s="1451">
        <f t="shared" si="746"/>
        <v>0</v>
      </c>
      <c r="AI1439" s="1488"/>
      <c r="AJ1439" s="1488"/>
      <c r="AK1439" s="1488"/>
      <c r="AL1439" s="1488"/>
      <c r="AM1439" s="1488"/>
      <c r="AN1439" s="1488"/>
      <c r="AO1439" s="1488"/>
      <c r="AP1439" s="1488"/>
      <c r="AQ1439" s="1488"/>
      <c r="AR1439" s="1488"/>
      <c r="AS1439" s="1488"/>
      <c r="AT1439" s="1542"/>
      <c r="AU1439" s="1599">
        <f t="shared" si="747"/>
        <v>0</v>
      </c>
      <c r="AV1439" s="1544">
        <f t="shared" si="775"/>
        <v>0</v>
      </c>
      <c r="AW1439" s="1452">
        <f t="shared" si="748"/>
        <v>0</v>
      </c>
      <c r="AX1439" s="1452">
        <f t="shared" si="749"/>
        <v>0</v>
      </c>
      <c r="AY1439" s="1452">
        <f t="shared" si="750"/>
        <v>0</v>
      </c>
      <c r="AZ1439" s="1452">
        <f t="shared" si="751"/>
        <v>0</v>
      </c>
      <c r="BA1439" s="1452">
        <f t="shared" si="752"/>
        <v>0</v>
      </c>
      <c r="BB1439" s="1452">
        <f t="shared" si="753"/>
        <v>0</v>
      </c>
      <c r="BC1439" s="1452">
        <f t="shared" si="754"/>
        <v>0</v>
      </c>
      <c r="BD1439" s="1452">
        <f t="shared" si="755"/>
        <v>0</v>
      </c>
      <c r="BE1439" s="1452">
        <f t="shared" si="756"/>
        <v>0</v>
      </c>
      <c r="BF1439" s="1452">
        <f t="shared" si="757"/>
        <v>0</v>
      </c>
      <c r="BG1439" s="1452">
        <f t="shared" si="758"/>
        <v>0</v>
      </c>
      <c r="BH1439" s="1452">
        <f t="shared" si="759"/>
        <v>0</v>
      </c>
      <c r="BI1439" s="1452">
        <f t="shared" si="776"/>
        <v>0</v>
      </c>
      <c r="BJ1439" s="1452" t="str">
        <f t="shared" si="760"/>
        <v/>
      </c>
      <c r="BK1439" s="1452" t="str">
        <f t="shared" si="761"/>
        <v/>
      </c>
      <c r="BL1439" s="1452" t="str">
        <f t="shared" si="762"/>
        <v/>
      </c>
      <c r="BM1439" s="1452" t="str">
        <f t="shared" si="763"/>
        <v/>
      </c>
      <c r="BN1439" s="1452" t="str">
        <f t="shared" ca="1" si="764"/>
        <v/>
      </c>
      <c r="BO1439" s="1452" t="str">
        <f t="shared" si="777"/>
        <v/>
      </c>
      <c r="BP1439" s="1452" t="str">
        <f t="shared" si="765"/>
        <v/>
      </c>
      <c r="BQ1439" s="1452" t="str">
        <f t="shared" si="766"/>
        <v/>
      </c>
      <c r="BR1439" s="1452" t="str">
        <f t="shared" si="767"/>
        <v/>
      </c>
      <c r="BS1439" s="1452" t="str">
        <f t="shared" si="768"/>
        <v/>
      </c>
      <c r="BT1439" s="1452" t="str">
        <f t="shared" si="769"/>
        <v/>
      </c>
      <c r="BU1439" s="1452" t="str">
        <f t="shared" si="770"/>
        <v/>
      </c>
      <c r="BV1439" s="1452" t="str">
        <f t="shared" si="771"/>
        <v/>
      </c>
      <c r="BW1439" s="1558">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5" customFormat="1" ht="12.5">
      <c r="A1440" s="1483" t="str">
        <f t="shared" si="772"/>
        <v>Public Health Wales Trust</v>
      </c>
      <c r="B1440" s="1583"/>
      <c r="C1440" s="1583"/>
      <c r="D1440" s="1583"/>
      <c r="E1440" s="1581"/>
      <c r="F1440" s="1436"/>
      <c r="G1440" s="1547">
        <f t="shared" si="773"/>
        <v>0</v>
      </c>
      <c r="H1440" s="1484"/>
      <c r="I1440" s="1547">
        <f t="shared" si="774"/>
        <v>0</v>
      </c>
      <c r="J1440" s="1485"/>
      <c r="K1440" s="1485"/>
      <c r="L1440" s="1436"/>
      <c r="M1440" s="1439"/>
      <c r="N1440" s="1439"/>
      <c r="O1440" s="1485"/>
      <c r="P1440" s="1486"/>
      <c r="Q1440" s="1486"/>
      <c r="R1440" s="1487"/>
      <c r="S1440" s="1444"/>
      <c r="T1440" s="1444"/>
      <c r="U1440" s="1444"/>
      <c r="V1440" s="1488"/>
      <c r="W1440" s="1488"/>
      <c r="X1440" s="1488"/>
      <c r="Y1440" s="1488"/>
      <c r="Z1440" s="1488"/>
      <c r="AA1440" s="1488"/>
      <c r="AB1440" s="1488"/>
      <c r="AC1440" s="1488"/>
      <c r="AD1440" s="1488"/>
      <c r="AE1440" s="1488"/>
      <c r="AF1440" s="1488"/>
      <c r="AG1440" s="1488"/>
      <c r="AH1440" s="1451">
        <f t="shared" si="746"/>
        <v>0</v>
      </c>
      <c r="AI1440" s="1488"/>
      <c r="AJ1440" s="1488"/>
      <c r="AK1440" s="1488"/>
      <c r="AL1440" s="1488"/>
      <c r="AM1440" s="1488"/>
      <c r="AN1440" s="1488"/>
      <c r="AO1440" s="1488"/>
      <c r="AP1440" s="1488"/>
      <c r="AQ1440" s="1488"/>
      <c r="AR1440" s="1488"/>
      <c r="AS1440" s="1488"/>
      <c r="AT1440" s="1542"/>
      <c r="AU1440" s="1599">
        <f t="shared" si="747"/>
        <v>0</v>
      </c>
      <c r="AV1440" s="1544">
        <f t="shared" si="775"/>
        <v>0</v>
      </c>
      <c r="AW1440" s="1452">
        <f t="shared" si="748"/>
        <v>0</v>
      </c>
      <c r="AX1440" s="1452">
        <f t="shared" si="749"/>
        <v>0</v>
      </c>
      <c r="AY1440" s="1452">
        <f t="shared" si="750"/>
        <v>0</v>
      </c>
      <c r="AZ1440" s="1452">
        <f t="shared" si="751"/>
        <v>0</v>
      </c>
      <c r="BA1440" s="1452">
        <f t="shared" si="752"/>
        <v>0</v>
      </c>
      <c r="BB1440" s="1452">
        <f t="shared" si="753"/>
        <v>0</v>
      </c>
      <c r="BC1440" s="1452">
        <f t="shared" si="754"/>
        <v>0</v>
      </c>
      <c r="BD1440" s="1452">
        <f t="shared" si="755"/>
        <v>0</v>
      </c>
      <c r="BE1440" s="1452">
        <f t="shared" si="756"/>
        <v>0</v>
      </c>
      <c r="BF1440" s="1452">
        <f t="shared" si="757"/>
        <v>0</v>
      </c>
      <c r="BG1440" s="1452">
        <f t="shared" si="758"/>
        <v>0</v>
      </c>
      <c r="BH1440" s="1452">
        <f t="shared" si="759"/>
        <v>0</v>
      </c>
      <c r="BI1440" s="1452">
        <f t="shared" si="776"/>
        <v>0</v>
      </c>
      <c r="BJ1440" s="1452" t="str">
        <f t="shared" si="760"/>
        <v/>
      </c>
      <c r="BK1440" s="1452" t="str">
        <f t="shared" si="761"/>
        <v/>
      </c>
      <c r="BL1440" s="1452" t="str">
        <f t="shared" si="762"/>
        <v/>
      </c>
      <c r="BM1440" s="1452" t="str">
        <f t="shared" si="763"/>
        <v/>
      </c>
      <c r="BN1440" s="1452" t="str">
        <f t="shared" ca="1" si="764"/>
        <v/>
      </c>
      <c r="BO1440" s="1452" t="str">
        <f t="shared" si="777"/>
        <v/>
      </c>
      <c r="BP1440" s="1452" t="str">
        <f t="shared" si="765"/>
        <v/>
      </c>
      <c r="BQ1440" s="1452" t="str">
        <f t="shared" si="766"/>
        <v/>
      </c>
      <c r="BR1440" s="1452" t="str">
        <f t="shared" si="767"/>
        <v/>
      </c>
      <c r="BS1440" s="1452" t="str">
        <f t="shared" si="768"/>
        <v/>
      </c>
      <c r="BT1440" s="1452" t="str">
        <f t="shared" si="769"/>
        <v/>
      </c>
      <c r="BU1440" s="1452" t="str">
        <f t="shared" si="770"/>
        <v/>
      </c>
      <c r="BV1440" s="1452" t="str">
        <f t="shared" si="771"/>
        <v/>
      </c>
      <c r="BW1440" s="1558">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5" customFormat="1" ht="12.5">
      <c r="A1441" s="1483" t="str">
        <f t="shared" si="772"/>
        <v>Public Health Wales Trust</v>
      </c>
      <c r="B1441" s="1583"/>
      <c r="C1441" s="1583"/>
      <c r="D1441" s="1583"/>
      <c r="E1441" s="1581"/>
      <c r="F1441" s="1436"/>
      <c r="G1441" s="1547">
        <f t="shared" si="773"/>
        <v>0</v>
      </c>
      <c r="H1441" s="1484"/>
      <c r="I1441" s="1547">
        <f t="shared" si="774"/>
        <v>0</v>
      </c>
      <c r="J1441" s="1485"/>
      <c r="K1441" s="1485"/>
      <c r="L1441" s="1436"/>
      <c r="M1441" s="1439"/>
      <c r="N1441" s="1439"/>
      <c r="O1441" s="1485"/>
      <c r="P1441" s="1486"/>
      <c r="Q1441" s="1486"/>
      <c r="R1441" s="1487"/>
      <c r="S1441" s="1444"/>
      <c r="T1441" s="1444"/>
      <c r="U1441" s="1444"/>
      <c r="V1441" s="1488"/>
      <c r="W1441" s="1488"/>
      <c r="X1441" s="1488"/>
      <c r="Y1441" s="1488"/>
      <c r="Z1441" s="1488"/>
      <c r="AA1441" s="1488"/>
      <c r="AB1441" s="1488"/>
      <c r="AC1441" s="1488"/>
      <c r="AD1441" s="1488"/>
      <c r="AE1441" s="1488"/>
      <c r="AF1441" s="1488"/>
      <c r="AG1441" s="1488"/>
      <c r="AH1441" s="1451">
        <f t="shared" si="746"/>
        <v>0</v>
      </c>
      <c r="AI1441" s="1488"/>
      <c r="AJ1441" s="1488"/>
      <c r="AK1441" s="1488"/>
      <c r="AL1441" s="1488"/>
      <c r="AM1441" s="1488"/>
      <c r="AN1441" s="1488"/>
      <c r="AO1441" s="1488"/>
      <c r="AP1441" s="1488"/>
      <c r="AQ1441" s="1488"/>
      <c r="AR1441" s="1488"/>
      <c r="AS1441" s="1488"/>
      <c r="AT1441" s="1542"/>
      <c r="AU1441" s="1599">
        <f t="shared" si="747"/>
        <v>0</v>
      </c>
      <c r="AV1441" s="1544">
        <f t="shared" si="775"/>
        <v>0</v>
      </c>
      <c r="AW1441" s="1452">
        <f t="shared" si="748"/>
        <v>0</v>
      </c>
      <c r="AX1441" s="1452">
        <f t="shared" si="749"/>
        <v>0</v>
      </c>
      <c r="AY1441" s="1452">
        <f t="shared" si="750"/>
        <v>0</v>
      </c>
      <c r="AZ1441" s="1452">
        <f t="shared" si="751"/>
        <v>0</v>
      </c>
      <c r="BA1441" s="1452">
        <f t="shared" si="752"/>
        <v>0</v>
      </c>
      <c r="BB1441" s="1452">
        <f t="shared" si="753"/>
        <v>0</v>
      </c>
      <c r="BC1441" s="1452">
        <f t="shared" si="754"/>
        <v>0</v>
      </c>
      <c r="BD1441" s="1452">
        <f t="shared" si="755"/>
        <v>0</v>
      </c>
      <c r="BE1441" s="1452">
        <f t="shared" si="756"/>
        <v>0</v>
      </c>
      <c r="BF1441" s="1452">
        <f t="shared" si="757"/>
        <v>0</v>
      </c>
      <c r="BG1441" s="1452">
        <f t="shared" si="758"/>
        <v>0</v>
      </c>
      <c r="BH1441" s="1452">
        <f t="shared" si="759"/>
        <v>0</v>
      </c>
      <c r="BI1441" s="1452">
        <f t="shared" si="776"/>
        <v>0</v>
      </c>
      <c r="BJ1441" s="1452" t="str">
        <f t="shared" si="760"/>
        <v/>
      </c>
      <c r="BK1441" s="1452" t="str">
        <f t="shared" si="761"/>
        <v/>
      </c>
      <c r="BL1441" s="1452" t="str">
        <f t="shared" si="762"/>
        <v/>
      </c>
      <c r="BM1441" s="1452" t="str">
        <f t="shared" si="763"/>
        <v/>
      </c>
      <c r="BN1441" s="1452" t="str">
        <f t="shared" ca="1" si="764"/>
        <v/>
      </c>
      <c r="BO1441" s="1452" t="str">
        <f t="shared" si="777"/>
        <v/>
      </c>
      <c r="BP1441" s="1452" t="str">
        <f t="shared" si="765"/>
        <v/>
      </c>
      <c r="BQ1441" s="1452" t="str">
        <f t="shared" si="766"/>
        <v/>
      </c>
      <c r="BR1441" s="1452" t="str">
        <f t="shared" si="767"/>
        <v/>
      </c>
      <c r="BS1441" s="1452" t="str">
        <f t="shared" si="768"/>
        <v/>
      </c>
      <c r="BT1441" s="1452" t="str">
        <f t="shared" si="769"/>
        <v/>
      </c>
      <c r="BU1441" s="1452" t="str">
        <f t="shared" si="770"/>
        <v/>
      </c>
      <c r="BV1441" s="1452" t="str">
        <f t="shared" si="771"/>
        <v/>
      </c>
      <c r="BW1441" s="1558">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5" customFormat="1" ht="12.5">
      <c r="A1442" s="1483" t="str">
        <f t="shared" si="772"/>
        <v>Public Health Wales Trust</v>
      </c>
      <c r="B1442" s="1583"/>
      <c r="C1442" s="1583"/>
      <c r="D1442" s="1583"/>
      <c r="E1442" s="1581"/>
      <c r="F1442" s="1436"/>
      <c r="G1442" s="1547">
        <f t="shared" si="773"/>
        <v>0</v>
      </c>
      <c r="H1442" s="1484"/>
      <c r="I1442" s="1547">
        <f t="shared" si="774"/>
        <v>0</v>
      </c>
      <c r="J1442" s="1485"/>
      <c r="K1442" s="1485"/>
      <c r="L1442" s="1436"/>
      <c r="M1442" s="1439"/>
      <c r="N1442" s="1439"/>
      <c r="O1442" s="1485"/>
      <c r="P1442" s="1486"/>
      <c r="Q1442" s="1486"/>
      <c r="R1442" s="1487"/>
      <c r="S1442" s="1444"/>
      <c r="T1442" s="1444"/>
      <c r="U1442" s="1444"/>
      <c r="V1442" s="1488"/>
      <c r="W1442" s="1488"/>
      <c r="X1442" s="1488"/>
      <c r="Y1442" s="1488"/>
      <c r="Z1442" s="1488"/>
      <c r="AA1442" s="1488"/>
      <c r="AB1442" s="1488"/>
      <c r="AC1442" s="1488"/>
      <c r="AD1442" s="1488"/>
      <c r="AE1442" s="1488"/>
      <c r="AF1442" s="1488"/>
      <c r="AG1442" s="1488"/>
      <c r="AH1442" s="1451">
        <f t="shared" si="746"/>
        <v>0</v>
      </c>
      <c r="AI1442" s="1488"/>
      <c r="AJ1442" s="1488"/>
      <c r="AK1442" s="1488"/>
      <c r="AL1442" s="1488"/>
      <c r="AM1442" s="1488"/>
      <c r="AN1442" s="1488"/>
      <c r="AO1442" s="1488"/>
      <c r="AP1442" s="1488"/>
      <c r="AQ1442" s="1488"/>
      <c r="AR1442" s="1488"/>
      <c r="AS1442" s="1488"/>
      <c r="AT1442" s="1542"/>
      <c r="AU1442" s="1599">
        <f t="shared" si="747"/>
        <v>0</v>
      </c>
      <c r="AV1442" s="1544">
        <f t="shared" si="775"/>
        <v>0</v>
      </c>
      <c r="AW1442" s="1452">
        <f t="shared" si="748"/>
        <v>0</v>
      </c>
      <c r="AX1442" s="1452">
        <f t="shared" si="749"/>
        <v>0</v>
      </c>
      <c r="AY1442" s="1452">
        <f t="shared" si="750"/>
        <v>0</v>
      </c>
      <c r="AZ1442" s="1452">
        <f t="shared" si="751"/>
        <v>0</v>
      </c>
      <c r="BA1442" s="1452">
        <f t="shared" si="752"/>
        <v>0</v>
      </c>
      <c r="BB1442" s="1452">
        <f t="shared" si="753"/>
        <v>0</v>
      </c>
      <c r="BC1442" s="1452">
        <f t="shared" si="754"/>
        <v>0</v>
      </c>
      <c r="BD1442" s="1452">
        <f t="shared" si="755"/>
        <v>0</v>
      </c>
      <c r="BE1442" s="1452">
        <f t="shared" si="756"/>
        <v>0</v>
      </c>
      <c r="BF1442" s="1452">
        <f t="shared" si="757"/>
        <v>0</v>
      </c>
      <c r="BG1442" s="1452">
        <f t="shared" si="758"/>
        <v>0</v>
      </c>
      <c r="BH1442" s="1452">
        <f t="shared" si="759"/>
        <v>0</v>
      </c>
      <c r="BI1442" s="1452">
        <f t="shared" si="776"/>
        <v>0</v>
      </c>
      <c r="BJ1442" s="1452" t="str">
        <f t="shared" si="760"/>
        <v/>
      </c>
      <c r="BK1442" s="1452" t="str">
        <f t="shared" si="761"/>
        <v/>
      </c>
      <c r="BL1442" s="1452" t="str">
        <f t="shared" si="762"/>
        <v/>
      </c>
      <c r="BM1442" s="1452" t="str">
        <f t="shared" si="763"/>
        <v/>
      </c>
      <c r="BN1442" s="1452" t="str">
        <f t="shared" ca="1" si="764"/>
        <v/>
      </c>
      <c r="BO1442" s="1452" t="str">
        <f t="shared" si="777"/>
        <v/>
      </c>
      <c r="BP1442" s="1452" t="str">
        <f t="shared" si="765"/>
        <v/>
      </c>
      <c r="BQ1442" s="1452" t="str">
        <f t="shared" si="766"/>
        <v/>
      </c>
      <c r="BR1442" s="1452" t="str">
        <f t="shared" si="767"/>
        <v/>
      </c>
      <c r="BS1442" s="1452" t="str">
        <f t="shared" si="768"/>
        <v/>
      </c>
      <c r="BT1442" s="1452" t="str">
        <f t="shared" si="769"/>
        <v/>
      </c>
      <c r="BU1442" s="1452" t="str">
        <f t="shared" si="770"/>
        <v/>
      </c>
      <c r="BV1442" s="1452" t="str">
        <f t="shared" si="771"/>
        <v/>
      </c>
      <c r="BW1442" s="1558">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5" customFormat="1" ht="12.5">
      <c r="A1443" s="1483" t="str">
        <f t="shared" si="772"/>
        <v>Public Health Wales Trust</v>
      </c>
      <c r="B1443" s="1583"/>
      <c r="C1443" s="1583"/>
      <c r="D1443" s="1583"/>
      <c r="E1443" s="1581"/>
      <c r="F1443" s="1436"/>
      <c r="G1443" s="1547">
        <f t="shared" si="773"/>
        <v>0</v>
      </c>
      <c r="H1443" s="1484"/>
      <c r="I1443" s="1547">
        <f t="shared" si="774"/>
        <v>0</v>
      </c>
      <c r="J1443" s="1485"/>
      <c r="K1443" s="1485"/>
      <c r="L1443" s="1436"/>
      <c r="M1443" s="1439"/>
      <c r="N1443" s="1439"/>
      <c r="O1443" s="1485"/>
      <c r="P1443" s="1486"/>
      <c r="Q1443" s="1486"/>
      <c r="R1443" s="1487"/>
      <c r="S1443" s="1444"/>
      <c r="T1443" s="1444"/>
      <c r="U1443" s="1444"/>
      <c r="V1443" s="1488"/>
      <c r="W1443" s="1488"/>
      <c r="X1443" s="1488"/>
      <c r="Y1443" s="1488"/>
      <c r="Z1443" s="1488"/>
      <c r="AA1443" s="1488"/>
      <c r="AB1443" s="1488"/>
      <c r="AC1443" s="1488"/>
      <c r="AD1443" s="1488"/>
      <c r="AE1443" s="1488"/>
      <c r="AF1443" s="1488"/>
      <c r="AG1443" s="1488"/>
      <c r="AH1443" s="1451">
        <f t="shared" si="746"/>
        <v>0</v>
      </c>
      <c r="AI1443" s="1488"/>
      <c r="AJ1443" s="1488"/>
      <c r="AK1443" s="1488"/>
      <c r="AL1443" s="1488"/>
      <c r="AM1443" s="1488"/>
      <c r="AN1443" s="1488"/>
      <c r="AO1443" s="1488"/>
      <c r="AP1443" s="1488"/>
      <c r="AQ1443" s="1488"/>
      <c r="AR1443" s="1488"/>
      <c r="AS1443" s="1488"/>
      <c r="AT1443" s="1542"/>
      <c r="AU1443" s="1599">
        <f t="shared" si="747"/>
        <v>0</v>
      </c>
      <c r="AV1443" s="1544">
        <f t="shared" si="775"/>
        <v>0</v>
      </c>
      <c r="AW1443" s="1452">
        <f t="shared" si="748"/>
        <v>0</v>
      </c>
      <c r="AX1443" s="1452">
        <f t="shared" si="749"/>
        <v>0</v>
      </c>
      <c r="AY1443" s="1452">
        <f t="shared" si="750"/>
        <v>0</v>
      </c>
      <c r="AZ1443" s="1452">
        <f t="shared" si="751"/>
        <v>0</v>
      </c>
      <c r="BA1443" s="1452">
        <f t="shared" si="752"/>
        <v>0</v>
      </c>
      <c r="BB1443" s="1452">
        <f t="shared" si="753"/>
        <v>0</v>
      </c>
      <c r="BC1443" s="1452">
        <f t="shared" si="754"/>
        <v>0</v>
      </c>
      <c r="BD1443" s="1452">
        <f t="shared" si="755"/>
        <v>0</v>
      </c>
      <c r="BE1443" s="1452">
        <f t="shared" si="756"/>
        <v>0</v>
      </c>
      <c r="BF1443" s="1452">
        <f t="shared" si="757"/>
        <v>0</v>
      </c>
      <c r="BG1443" s="1452">
        <f t="shared" si="758"/>
        <v>0</v>
      </c>
      <c r="BH1443" s="1452">
        <f t="shared" si="759"/>
        <v>0</v>
      </c>
      <c r="BI1443" s="1452">
        <f t="shared" si="776"/>
        <v>0</v>
      </c>
      <c r="BJ1443" s="1452" t="str">
        <f t="shared" si="760"/>
        <v/>
      </c>
      <c r="BK1443" s="1452" t="str">
        <f t="shared" si="761"/>
        <v/>
      </c>
      <c r="BL1443" s="1452" t="str">
        <f t="shared" si="762"/>
        <v/>
      </c>
      <c r="BM1443" s="1452" t="str">
        <f t="shared" si="763"/>
        <v/>
      </c>
      <c r="BN1443" s="1452" t="str">
        <f t="shared" ca="1" si="764"/>
        <v/>
      </c>
      <c r="BO1443" s="1452" t="str">
        <f t="shared" si="777"/>
        <v/>
      </c>
      <c r="BP1443" s="1452" t="str">
        <f t="shared" si="765"/>
        <v/>
      </c>
      <c r="BQ1443" s="1452" t="str">
        <f t="shared" si="766"/>
        <v/>
      </c>
      <c r="BR1443" s="1452" t="str">
        <f t="shared" si="767"/>
        <v/>
      </c>
      <c r="BS1443" s="1452" t="str">
        <f t="shared" si="768"/>
        <v/>
      </c>
      <c r="BT1443" s="1452" t="str">
        <f t="shared" si="769"/>
        <v/>
      </c>
      <c r="BU1443" s="1452" t="str">
        <f t="shared" si="770"/>
        <v/>
      </c>
      <c r="BV1443" s="1452" t="str">
        <f t="shared" si="771"/>
        <v/>
      </c>
      <c r="BW1443" s="1558">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5" customFormat="1" ht="12.5">
      <c r="A1444" s="1483" t="str">
        <f t="shared" si="772"/>
        <v>Public Health Wales Trust</v>
      </c>
      <c r="B1444" s="1583"/>
      <c r="C1444" s="1583"/>
      <c r="D1444" s="1583"/>
      <c r="E1444" s="1581"/>
      <c r="F1444" s="1436"/>
      <c r="G1444" s="1547">
        <f t="shared" si="773"/>
        <v>0</v>
      </c>
      <c r="H1444" s="1484"/>
      <c r="I1444" s="1547">
        <f t="shared" si="774"/>
        <v>0</v>
      </c>
      <c r="J1444" s="1485"/>
      <c r="K1444" s="1485"/>
      <c r="L1444" s="1436"/>
      <c r="M1444" s="1439"/>
      <c r="N1444" s="1439"/>
      <c r="O1444" s="1485"/>
      <c r="P1444" s="1486"/>
      <c r="Q1444" s="1486"/>
      <c r="R1444" s="1487"/>
      <c r="S1444" s="1444"/>
      <c r="T1444" s="1444"/>
      <c r="U1444" s="1444"/>
      <c r="V1444" s="1488"/>
      <c r="W1444" s="1488"/>
      <c r="X1444" s="1488"/>
      <c r="Y1444" s="1488"/>
      <c r="Z1444" s="1488"/>
      <c r="AA1444" s="1488"/>
      <c r="AB1444" s="1488"/>
      <c r="AC1444" s="1488"/>
      <c r="AD1444" s="1488"/>
      <c r="AE1444" s="1488"/>
      <c r="AF1444" s="1488"/>
      <c r="AG1444" s="1488"/>
      <c r="AH1444" s="1451">
        <f t="shared" si="746"/>
        <v>0</v>
      </c>
      <c r="AI1444" s="1488"/>
      <c r="AJ1444" s="1488"/>
      <c r="AK1444" s="1488"/>
      <c r="AL1444" s="1488"/>
      <c r="AM1444" s="1488"/>
      <c r="AN1444" s="1488"/>
      <c r="AO1444" s="1488"/>
      <c r="AP1444" s="1488"/>
      <c r="AQ1444" s="1488"/>
      <c r="AR1444" s="1488"/>
      <c r="AS1444" s="1488"/>
      <c r="AT1444" s="1542"/>
      <c r="AU1444" s="1599">
        <f t="shared" si="747"/>
        <v>0</v>
      </c>
      <c r="AV1444" s="1544">
        <f t="shared" si="775"/>
        <v>0</v>
      </c>
      <c r="AW1444" s="1452">
        <f t="shared" si="748"/>
        <v>0</v>
      </c>
      <c r="AX1444" s="1452">
        <f t="shared" si="749"/>
        <v>0</v>
      </c>
      <c r="AY1444" s="1452">
        <f t="shared" si="750"/>
        <v>0</v>
      </c>
      <c r="AZ1444" s="1452">
        <f t="shared" si="751"/>
        <v>0</v>
      </c>
      <c r="BA1444" s="1452">
        <f t="shared" si="752"/>
        <v>0</v>
      </c>
      <c r="BB1444" s="1452">
        <f t="shared" si="753"/>
        <v>0</v>
      </c>
      <c r="BC1444" s="1452">
        <f t="shared" si="754"/>
        <v>0</v>
      </c>
      <c r="BD1444" s="1452">
        <f t="shared" si="755"/>
        <v>0</v>
      </c>
      <c r="BE1444" s="1452">
        <f t="shared" si="756"/>
        <v>0</v>
      </c>
      <c r="BF1444" s="1452">
        <f t="shared" si="757"/>
        <v>0</v>
      </c>
      <c r="BG1444" s="1452">
        <f t="shared" si="758"/>
        <v>0</v>
      </c>
      <c r="BH1444" s="1452">
        <f t="shared" si="759"/>
        <v>0</v>
      </c>
      <c r="BI1444" s="1452">
        <f t="shared" si="776"/>
        <v>0</v>
      </c>
      <c r="BJ1444" s="1452" t="str">
        <f t="shared" si="760"/>
        <v/>
      </c>
      <c r="BK1444" s="1452" t="str">
        <f t="shared" si="761"/>
        <v/>
      </c>
      <c r="BL1444" s="1452" t="str">
        <f t="shared" si="762"/>
        <v/>
      </c>
      <c r="BM1444" s="1452" t="str">
        <f t="shared" si="763"/>
        <v/>
      </c>
      <c r="BN1444" s="1452" t="str">
        <f t="shared" ca="1" si="764"/>
        <v/>
      </c>
      <c r="BO1444" s="1452" t="str">
        <f t="shared" si="777"/>
        <v/>
      </c>
      <c r="BP1444" s="1452" t="str">
        <f t="shared" si="765"/>
        <v/>
      </c>
      <c r="BQ1444" s="1452" t="str">
        <f t="shared" si="766"/>
        <v/>
      </c>
      <c r="BR1444" s="1452" t="str">
        <f t="shared" si="767"/>
        <v/>
      </c>
      <c r="BS1444" s="1452" t="str">
        <f t="shared" si="768"/>
        <v/>
      </c>
      <c r="BT1444" s="1452" t="str">
        <f t="shared" si="769"/>
        <v/>
      </c>
      <c r="BU1444" s="1452" t="str">
        <f t="shared" si="770"/>
        <v/>
      </c>
      <c r="BV1444" s="1452" t="str">
        <f t="shared" si="771"/>
        <v/>
      </c>
      <c r="BW1444" s="1558">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5" customFormat="1" ht="12.5">
      <c r="A1445" s="1483" t="str">
        <f t="shared" si="772"/>
        <v>Public Health Wales Trust</v>
      </c>
      <c r="B1445" s="1583"/>
      <c r="C1445" s="1583"/>
      <c r="D1445" s="1583"/>
      <c r="E1445" s="1581"/>
      <c r="F1445" s="1436"/>
      <c r="G1445" s="1547">
        <f t="shared" si="773"/>
        <v>0</v>
      </c>
      <c r="H1445" s="1484"/>
      <c r="I1445" s="1547">
        <f t="shared" si="774"/>
        <v>0</v>
      </c>
      <c r="J1445" s="1485"/>
      <c r="K1445" s="1485"/>
      <c r="L1445" s="1436"/>
      <c r="M1445" s="1439"/>
      <c r="N1445" s="1439"/>
      <c r="O1445" s="1485"/>
      <c r="P1445" s="1486"/>
      <c r="Q1445" s="1486"/>
      <c r="R1445" s="1487"/>
      <c r="S1445" s="1444"/>
      <c r="T1445" s="1444"/>
      <c r="U1445" s="1444"/>
      <c r="V1445" s="1488"/>
      <c r="W1445" s="1488"/>
      <c r="X1445" s="1488"/>
      <c r="Y1445" s="1488"/>
      <c r="Z1445" s="1488"/>
      <c r="AA1445" s="1488"/>
      <c r="AB1445" s="1488"/>
      <c r="AC1445" s="1488"/>
      <c r="AD1445" s="1488"/>
      <c r="AE1445" s="1488"/>
      <c r="AF1445" s="1488"/>
      <c r="AG1445" s="1488"/>
      <c r="AH1445" s="1451">
        <f t="shared" si="746"/>
        <v>0</v>
      </c>
      <c r="AI1445" s="1488"/>
      <c r="AJ1445" s="1488"/>
      <c r="AK1445" s="1488"/>
      <c r="AL1445" s="1488"/>
      <c r="AM1445" s="1488"/>
      <c r="AN1445" s="1488"/>
      <c r="AO1445" s="1488"/>
      <c r="AP1445" s="1488"/>
      <c r="AQ1445" s="1488"/>
      <c r="AR1445" s="1488"/>
      <c r="AS1445" s="1488"/>
      <c r="AT1445" s="1542"/>
      <c r="AU1445" s="1599">
        <f t="shared" si="747"/>
        <v>0</v>
      </c>
      <c r="AV1445" s="1544">
        <f t="shared" si="775"/>
        <v>0</v>
      </c>
      <c r="AW1445" s="1452">
        <f t="shared" si="748"/>
        <v>0</v>
      </c>
      <c r="AX1445" s="1452">
        <f t="shared" si="749"/>
        <v>0</v>
      </c>
      <c r="AY1445" s="1452">
        <f t="shared" si="750"/>
        <v>0</v>
      </c>
      <c r="AZ1445" s="1452">
        <f t="shared" si="751"/>
        <v>0</v>
      </c>
      <c r="BA1445" s="1452">
        <f t="shared" si="752"/>
        <v>0</v>
      </c>
      <c r="BB1445" s="1452">
        <f t="shared" si="753"/>
        <v>0</v>
      </c>
      <c r="BC1445" s="1452">
        <f t="shared" si="754"/>
        <v>0</v>
      </c>
      <c r="BD1445" s="1452">
        <f t="shared" si="755"/>
        <v>0</v>
      </c>
      <c r="BE1445" s="1452">
        <f t="shared" si="756"/>
        <v>0</v>
      </c>
      <c r="BF1445" s="1452">
        <f t="shared" si="757"/>
        <v>0</v>
      </c>
      <c r="BG1445" s="1452">
        <f t="shared" si="758"/>
        <v>0</v>
      </c>
      <c r="BH1445" s="1452">
        <f t="shared" si="759"/>
        <v>0</v>
      </c>
      <c r="BI1445" s="1452">
        <f t="shared" si="776"/>
        <v>0</v>
      </c>
      <c r="BJ1445" s="1452" t="str">
        <f t="shared" si="760"/>
        <v/>
      </c>
      <c r="BK1445" s="1452" t="str">
        <f t="shared" si="761"/>
        <v/>
      </c>
      <c r="BL1445" s="1452" t="str">
        <f t="shared" si="762"/>
        <v/>
      </c>
      <c r="BM1445" s="1452" t="str">
        <f t="shared" si="763"/>
        <v/>
      </c>
      <c r="BN1445" s="1452" t="str">
        <f t="shared" ca="1" si="764"/>
        <v/>
      </c>
      <c r="BO1445" s="1452" t="str">
        <f t="shared" si="777"/>
        <v/>
      </c>
      <c r="BP1445" s="1452" t="str">
        <f t="shared" si="765"/>
        <v/>
      </c>
      <c r="BQ1445" s="1452" t="str">
        <f t="shared" si="766"/>
        <v/>
      </c>
      <c r="BR1445" s="1452" t="str">
        <f t="shared" si="767"/>
        <v/>
      </c>
      <c r="BS1445" s="1452" t="str">
        <f t="shared" si="768"/>
        <v/>
      </c>
      <c r="BT1445" s="1452" t="str">
        <f t="shared" si="769"/>
        <v/>
      </c>
      <c r="BU1445" s="1452" t="str">
        <f t="shared" si="770"/>
        <v/>
      </c>
      <c r="BV1445" s="1452" t="str">
        <f t="shared" si="771"/>
        <v/>
      </c>
      <c r="BW1445" s="1558">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5" customFormat="1" ht="12.5">
      <c r="A1446" s="1483" t="str">
        <f t="shared" si="772"/>
        <v>Public Health Wales Trust</v>
      </c>
      <c r="B1446" s="1583"/>
      <c r="C1446" s="1583"/>
      <c r="D1446" s="1583"/>
      <c r="E1446" s="1581"/>
      <c r="F1446" s="1436"/>
      <c r="G1446" s="1547">
        <f t="shared" si="773"/>
        <v>0</v>
      </c>
      <c r="H1446" s="1484"/>
      <c r="I1446" s="1547">
        <f t="shared" si="774"/>
        <v>0</v>
      </c>
      <c r="J1446" s="1485"/>
      <c r="K1446" s="1485"/>
      <c r="L1446" s="1436"/>
      <c r="M1446" s="1439"/>
      <c r="N1446" s="1439"/>
      <c r="O1446" s="1485"/>
      <c r="P1446" s="1486"/>
      <c r="Q1446" s="1486"/>
      <c r="R1446" s="1487"/>
      <c r="S1446" s="1444"/>
      <c r="T1446" s="1444"/>
      <c r="U1446" s="1444"/>
      <c r="V1446" s="1488"/>
      <c r="W1446" s="1488"/>
      <c r="X1446" s="1488"/>
      <c r="Y1446" s="1488"/>
      <c r="Z1446" s="1488"/>
      <c r="AA1446" s="1488"/>
      <c r="AB1446" s="1488"/>
      <c r="AC1446" s="1488"/>
      <c r="AD1446" s="1488"/>
      <c r="AE1446" s="1488"/>
      <c r="AF1446" s="1488"/>
      <c r="AG1446" s="1488"/>
      <c r="AH1446" s="1451">
        <f t="shared" si="746"/>
        <v>0</v>
      </c>
      <c r="AI1446" s="1488"/>
      <c r="AJ1446" s="1488"/>
      <c r="AK1446" s="1488"/>
      <c r="AL1446" s="1488"/>
      <c r="AM1446" s="1488"/>
      <c r="AN1446" s="1488"/>
      <c r="AO1446" s="1488"/>
      <c r="AP1446" s="1488"/>
      <c r="AQ1446" s="1488"/>
      <c r="AR1446" s="1488"/>
      <c r="AS1446" s="1488"/>
      <c r="AT1446" s="1542"/>
      <c r="AU1446" s="1599">
        <f t="shared" si="747"/>
        <v>0</v>
      </c>
      <c r="AV1446" s="1544">
        <f t="shared" si="775"/>
        <v>0</v>
      </c>
      <c r="AW1446" s="1452">
        <f t="shared" si="748"/>
        <v>0</v>
      </c>
      <c r="AX1446" s="1452">
        <f t="shared" si="749"/>
        <v>0</v>
      </c>
      <c r="AY1446" s="1452">
        <f t="shared" si="750"/>
        <v>0</v>
      </c>
      <c r="AZ1446" s="1452">
        <f t="shared" si="751"/>
        <v>0</v>
      </c>
      <c r="BA1446" s="1452">
        <f t="shared" si="752"/>
        <v>0</v>
      </c>
      <c r="BB1446" s="1452">
        <f t="shared" si="753"/>
        <v>0</v>
      </c>
      <c r="BC1446" s="1452">
        <f t="shared" si="754"/>
        <v>0</v>
      </c>
      <c r="BD1446" s="1452">
        <f t="shared" si="755"/>
        <v>0</v>
      </c>
      <c r="BE1446" s="1452">
        <f t="shared" si="756"/>
        <v>0</v>
      </c>
      <c r="BF1446" s="1452">
        <f t="shared" si="757"/>
        <v>0</v>
      </c>
      <c r="BG1446" s="1452">
        <f t="shared" si="758"/>
        <v>0</v>
      </c>
      <c r="BH1446" s="1452">
        <f t="shared" si="759"/>
        <v>0</v>
      </c>
      <c r="BI1446" s="1452">
        <f t="shared" si="776"/>
        <v>0</v>
      </c>
      <c r="BJ1446" s="1452" t="str">
        <f t="shared" si="760"/>
        <v/>
      </c>
      <c r="BK1446" s="1452" t="str">
        <f t="shared" si="761"/>
        <v/>
      </c>
      <c r="BL1446" s="1452" t="str">
        <f t="shared" si="762"/>
        <v/>
      </c>
      <c r="BM1446" s="1452" t="str">
        <f t="shared" si="763"/>
        <v/>
      </c>
      <c r="BN1446" s="1452" t="str">
        <f t="shared" ca="1" si="764"/>
        <v/>
      </c>
      <c r="BO1446" s="1452" t="str">
        <f t="shared" si="777"/>
        <v/>
      </c>
      <c r="BP1446" s="1452" t="str">
        <f t="shared" si="765"/>
        <v/>
      </c>
      <c r="BQ1446" s="1452" t="str">
        <f t="shared" si="766"/>
        <v/>
      </c>
      <c r="BR1446" s="1452" t="str">
        <f t="shared" si="767"/>
        <v/>
      </c>
      <c r="BS1446" s="1452" t="str">
        <f t="shared" si="768"/>
        <v/>
      </c>
      <c r="BT1446" s="1452" t="str">
        <f t="shared" si="769"/>
        <v/>
      </c>
      <c r="BU1446" s="1452" t="str">
        <f t="shared" si="770"/>
        <v/>
      </c>
      <c r="BV1446" s="1452" t="str">
        <f t="shared" si="771"/>
        <v/>
      </c>
      <c r="BW1446" s="1558">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3" t="str">
        <f t="shared" si="772"/>
        <v>Public Health Wales Trust</v>
      </c>
      <c r="B1447" s="1583"/>
      <c r="C1447" s="1583"/>
      <c r="D1447" s="1583"/>
      <c r="E1447" s="1581"/>
      <c r="F1447" s="1436"/>
      <c r="G1447" s="1547">
        <f t="shared" si="773"/>
        <v>0</v>
      </c>
      <c r="H1447" s="1484"/>
      <c r="I1447" s="1547">
        <f t="shared" si="774"/>
        <v>0</v>
      </c>
      <c r="J1447" s="1485"/>
      <c r="K1447" s="1485"/>
      <c r="L1447" s="1436"/>
      <c r="M1447" s="1439"/>
      <c r="N1447" s="1439"/>
      <c r="O1447" s="1485"/>
      <c r="P1447" s="1486"/>
      <c r="Q1447" s="1486"/>
      <c r="R1447" s="1487"/>
      <c r="S1447" s="1444"/>
      <c r="T1447" s="1444"/>
      <c r="U1447" s="1444"/>
      <c r="V1447" s="1488"/>
      <c r="W1447" s="1488"/>
      <c r="X1447" s="1488"/>
      <c r="Y1447" s="1488"/>
      <c r="Z1447" s="1488"/>
      <c r="AA1447" s="1488"/>
      <c r="AB1447" s="1488"/>
      <c r="AC1447" s="1488"/>
      <c r="AD1447" s="1488"/>
      <c r="AE1447" s="1488"/>
      <c r="AF1447" s="1488"/>
      <c r="AG1447" s="1488"/>
      <c r="AH1447" s="1451">
        <f t="shared" si="746"/>
        <v>0</v>
      </c>
      <c r="AI1447" s="1488"/>
      <c r="AJ1447" s="1488"/>
      <c r="AK1447" s="1488"/>
      <c r="AL1447" s="1488"/>
      <c r="AM1447" s="1488"/>
      <c r="AN1447" s="1488"/>
      <c r="AO1447" s="1488"/>
      <c r="AP1447" s="1488"/>
      <c r="AQ1447" s="1488"/>
      <c r="AR1447" s="1488"/>
      <c r="AS1447" s="1488"/>
      <c r="AT1447" s="1542"/>
      <c r="AU1447" s="1599">
        <f t="shared" si="747"/>
        <v>0</v>
      </c>
      <c r="AV1447" s="1544">
        <f t="shared" si="775"/>
        <v>0</v>
      </c>
      <c r="AW1447" s="1452">
        <f t="shared" si="748"/>
        <v>0</v>
      </c>
      <c r="AX1447" s="1452">
        <f t="shared" si="749"/>
        <v>0</v>
      </c>
      <c r="AY1447" s="1452">
        <f t="shared" si="750"/>
        <v>0</v>
      </c>
      <c r="AZ1447" s="1452">
        <f t="shared" si="751"/>
        <v>0</v>
      </c>
      <c r="BA1447" s="1452">
        <f t="shared" si="752"/>
        <v>0</v>
      </c>
      <c r="BB1447" s="1452">
        <f t="shared" si="753"/>
        <v>0</v>
      </c>
      <c r="BC1447" s="1452">
        <f t="shared" si="754"/>
        <v>0</v>
      </c>
      <c r="BD1447" s="1452">
        <f t="shared" si="755"/>
        <v>0</v>
      </c>
      <c r="BE1447" s="1452">
        <f t="shared" si="756"/>
        <v>0</v>
      </c>
      <c r="BF1447" s="1452">
        <f t="shared" si="757"/>
        <v>0</v>
      </c>
      <c r="BG1447" s="1452">
        <f t="shared" si="758"/>
        <v>0</v>
      </c>
      <c r="BH1447" s="1452">
        <f t="shared" si="759"/>
        <v>0</v>
      </c>
      <c r="BI1447" s="1452">
        <f t="shared" si="776"/>
        <v>0</v>
      </c>
      <c r="BJ1447" s="1452" t="str">
        <f t="shared" si="760"/>
        <v/>
      </c>
      <c r="BK1447" s="1452" t="str">
        <f t="shared" si="761"/>
        <v/>
      </c>
      <c r="BL1447" s="1452" t="str">
        <f t="shared" si="762"/>
        <v/>
      </c>
      <c r="BM1447" s="1452" t="str">
        <f t="shared" si="763"/>
        <v/>
      </c>
      <c r="BN1447" s="1452" t="str">
        <f t="shared" ca="1" si="764"/>
        <v/>
      </c>
      <c r="BO1447" s="1452" t="str">
        <f t="shared" si="777"/>
        <v/>
      </c>
      <c r="BP1447" s="1452" t="str">
        <f t="shared" si="765"/>
        <v/>
      </c>
      <c r="BQ1447" s="1452" t="str">
        <f t="shared" si="766"/>
        <v/>
      </c>
      <c r="BR1447" s="1452" t="str">
        <f t="shared" si="767"/>
        <v/>
      </c>
      <c r="BS1447" s="1452" t="str">
        <f t="shared" si="768"/>
        <v/>
      </c>
      <c r="BT1447" s="1452" t="str">
        <f t="shared" si="769"/>
        <v/>
      </c>
      <c r="BU1447" s="1452" t="str">
        <f t="shared" si="770"/>
        <v/>
      </c>
      <c r="BV1447" s="1452" t="str">
        <f t="shared" si="771"/>
        <v/>
      </c>
      <c r="BW1447" s="1558">
        <f t="shared" ca="1" si="778"/>
        <v>0</v>
      </c>
    </row>
    <row r="1448" spans="1:151" s="9" customFormat="1" ht="12.5">
      <c r="A1448" s="1483" t="str">
        <f t="shared" si="772"/>
        <v>Public Health Wales Trust</v>
      </c>
      <c r="B1448" s="1583"/>
      <c r="C1448" s="1583"/>
      <c r="D1448" s="1583"/>
      <c r="E1448" s="1581"/>
      <c r="F1448" s="1436"/>
      <c r="G1448" s="1547">
        <f t="shared" si="773"/>
        <v>0</v>
      </c>
      <c r="H1448" s="1484"/>
      <c r="I1448" s="1547">
        <f t="shared" si="774"/>
        <v>0</v>
      </c>
      <c r="J1448" s="1485"/>
      <c r="K1448" s="1485"/>
      <c r="L1448" s="1436"/>
      <c r="M1448" s="1439"/>
      <c r="N1448" s="1439"/>
      <c r="O1448" s="1485"/>
      <c r="P1448" s="1486"/>
      <c r="Q1448" s="1486"/>
      <c r="R1448" s="1487"/>
      <c r="S1448" s="1444"/>
      <c r="T1448" s="1444"/>
      <c r="U1448" s="1444"/>
      <c r="V1448" s="1488"/>
      <c r="W1448" s="1488"/>
      <c r="X1448" s="1488"/>
      <c r="Y1448" s="1488"/>
      <c r="Z1448" s="1488"/>
      <c r="AA1448" s="1488"/>
      <c r="AB1448" s="1488"/>
      <c r="AC1448" s="1488"/>
      <c r="AD1448" s="1488"/>
      <c r="AE1448" s="1488"/>
      <c r="AF1448" s="1488"/>
      <c r="AG1448" s="1488"/>
      <c r="AH1448" s="1451">
        <f t="shared" si="746"/>
        <v>0</v>
      </c>
      <c r="AI1448" s="1488"/>
      <c r="AJ1448" s="1488"/>
      <c r="AK1448" s="1488"/>
      <c r="AL1448" s="1488"/>
      <c r="AM1448" s="1488"/>
      <c r="AN1448" s="1488"/>
      <c r="AO1448" s="1488"/>
      <c r="AP1448" s="1488"/>
      <c r="AQ1448" s="1488"/>
      <c r="AR1448" s="1488"/>
      <c r="AS1448" s="1488"/>
      <c r="AT1448" s="1542"/>
      <c r="AU1448" s="1599">
        <f t="shared" si="747"/>
        <v>0</v>
      </c>
      <c r="AV1448" s="1544">
        <f t="shared" si="775"/>
        <v>0</v>
      </c>
      <c r="AW1448" s="1452">
        <f t="shared" si="748"/>
        <v>0</v>
      </c>
      <c r="AX1448" s="1452">
        <f t="shared" si="749"/>
        <v>0</v>
      </c>
      <c r="AY1448" s="1452">
        <f t="shared" si="750"/>
        <v>0</v>
      </c>
      <c r="AZ1448" s="1452">
        <f t="shared" si="751"/>
        <v>0</v>
      </c>
      <c r="BA1448" s="1452">
        <f t="shared" si="752"/>
        <v>0</v>
      </c>
      <c r="BB1448" s="1452">
        <f t="shared" si="753"/>
        <v>0</v>
      </c>
      <c r="BC1448" s="1452">
        <f t="shared" si="754"/>
        <v>0</v>
      </c>
      <c r="BD1448" s="1452">
        <f t="shared" si="755"/>
        <v>0</v>
      </c>
      <c r="BE1448" s="1452">
        <f t="shared" si="756"/>
        <v>0</v>
      </c>
      <c r="BF1448" s="1452">
        <f t="shared" si="757"/>
        <v>0</v>
      </c>
      <c r="BG1448" s="1452">
        <f t="shared" si="758"/>
        <v>0</v>
      </c>
      <c r="BH1448" s="1452">
        <f t="shared" si="759"/>
        <v>0</v>
      </c>
      <c r="BI1448" s="1452">
        <f t="shared" si="776"/>
        <v>0</v>
      </c>
      <c r="BJ1448" s="1452" t="str">
        <f t="shared" si="760"/>
        <v/>
      </c>
      <c r="BK1448" s="1452" t="str">
        <f t="shared" si="761"/>
        <v/>
      </c>
      <c r="BL1448" s="1452" t="str">
        <f t="shared" si="762"/>
        <v/>
      </c>
      <c r="BM1448" s="1452" t="str">
        <f t="shared" si="763"/>
        <v/>
      </c>
      <c r="BN1448" s="1452" t="str">
        <f t="shared" ca="1" si="764"/>
        <v/>
      </c>
      <c r="BO1448" s="1452" t="str">
        <f t="shared" si="777"/>
        <v/>
      </c>
      <c r="BP1448" s="1452" t="str">
        <f t="shared" si="765"/>
        <v/>
      </c>
      <c r="BQ1448" s="1452" t="str">
        <f t="shared" si="766"/>
        <v/>
      </c>
      <c r="BR1448" s="1452" t="str">
        <f t="shared" si="767"/>
        <v/>
      </c>
      <c r="BS1448" s="1452" t="str">
        <f t="shared" si="768"/>
        <v/>
      </c>
      <c r="BT1448" s="1452" t="str">
        <f t="shared" si="769"/>
        <v/>
      </c>
      <c r="BU1448" s="1452" t="str">
        <f t="shared" si="770"/>
        <v/>
      </c>
      <c r="BV1448" s="1452" t="str">
        <f t="shared" si="771"/>
        <v/>
      </c>
      <c r="BW1448" s="1558">
        <f t="shared" ca="1" si="778"/>
        <v>0</v>
      </c>
    </row>
    <row r="1449" spans="1:151" s="9" customFormat="1" ht="12.5">
      <c r="A1449" s="1483" t="str">
        <f t="shared" si="772"/>
        <v>Public Health Wales Trust</v>
      </c>
      <c r="B1449" s="1583"/>
      <c r="C1449" s="1583"/>
      <c r="D1449" s="1583"/>
      <c r="E1449" s="1581"/>
      <c r="F1449" s="1436"/>
      <c r="G1449" s="1547">
        <f t="shared" si="773"/>
        <v>0</v>
      </c>
      <c r="H1449" s="1484"/>
      <c r="I1449" s="1547">
        <f t="shared" si="774"/>
        <v>0</v>
      </c>
      <c r="J1449" s="1485"/>
      <c r="K1449" s="1485"/>
      <c r="L1449" s="1436"/>
      <c r="M1449" s="1439"/>
      <c r="N1449" s="1439"/>
      <c r="O1449" s="1485"/>
      <c r="P1449" s="1486"/>
      <c r="Q1449" s="1486"/>
      <c r="R1449" s="1487"/>
      <c r="S1449" s="1444"/>
      <c r="T1449" s="1444"/>
      <c r="U1449" s="1444"/>
      <c r="V1449" s="1488"/>
      <c r="W1449" s="1488"/>
      <c r="X1449" s="1488"/>
      <c r="Y1449" s="1488"/>
      <c r="Z1449" s="1488"/>
      <c r="AA1449" s="1488"/>
      <c r="AB1449" s="1488"/>
      <c r="AC1449" s="1488"/>
      <c r="AD1449" s="1488"/>
      <c r="AE1449" s="1488"/>
      <c r="AF1449" s="1488"/>
      <c r="AG1449" s="1488"/>
      <c r="AH1449" s="1451">
        <f t="shared" si="746"/>
        <v>0</v>
      </c>
      <c r="AI1449" s="1488"/>
      <c r="AJ1449" s="1488"/>
      <c r="AK1449" s="1488"/>
      <c r="AL1449" s="1488"/>
      <c r="AM1449" s="1488"/>
      <c r="AN1449" s="1488"/>
      <c r="AO1449" s="1488"/>
      <c r="AP1449" s="1488"/>
      <c r="AQ1449" s="1488"/>
      <c r="AR1449" s="1488"/>
      <c r="AS1449" s="1488"/>
      <c r="AT1449" s="1542"/>
      <c r="AU1449" s="1599">
        <f t="shared" si="747"/>
        <v>0</v>
      </c>
      <c r="AV1449" s="1544">
        <f t="shared" si="775"/>
        <v>0</v>
      </c>
      <c r="AW1449" s="1452">
        <f t="shared" si="748"/>
        <v>0</v>
      </c>
      <c r="AX1449" s="1452">
        <f t="shared" si="749"/>
        <v>0</v>
      </c>
      <c r="AY1449" s="1452">
        <f t="shared" si="750"/>
        <v>0</v>
      </c>
      <c r="AZ1449" s="1452">
        <f t="shared" si="751"/>
        <v>0</v>
      </c>
      <c r="BA1449" s="1452">
        <f t="shared" si="752"/>
        <v>0</v>
      </c>
      <c r="BB1449" s="1452">
        <f t="shared" si="753"/>
        <v>0</v>
      </c>
      <c r="BC1449" s="1452">
        <f t="shared" si="754"/>
        <v>0</v>
      </c>
      <c r="BD1449" s="1452">
        <f t="shared" si="755"/>
        <v>0</v>
      </c>
      <c r="BE1449" s="1452">
        <f t="shared" si="756"/>
        <v>0</v>
      </c>
      <c r="BF1449" s="1452">
        <f t="shared" si="757"/>
        <v>0</v>
      </c>
      <c r="BG1449" s="1452">
        <f t="shared" si="758"/>
        <v>0</v>
      </c>
      <c r="BH1449" s="1452">
        <f t="shared" si="759"/>
        <v>0</v>
      </c>
      <c r="BI1449" s="1452">
        <f t="shared" si="776"/>
        <v>0</v>
      </c>
      <c r="BJ1449" s="1452" t="str">
        <f t="shared" si="760"/>
        <v/>
      </c>
      <c r="BK1449" s="1452" t="str">
        <f t="shared" si="761"/>
        <v/>
      </c>
      <c r="BL1449" s="1452" t="str">
        <f t="shared" si="762"/>
        <v/>
      </c>
      <c r="BM1449" s="1452" t="str">
        <f t="shared" si="763"/>
        <v/>
      </c>
      <c r="BN1449" s="1452" t="str">
        <f t="shared" ca="1" si="764"/>
        <v/>
      </c>
      <c r="BO1449" s="1452" t="str">
        <f t="shared" si="777"/>
        <v/>
      </c>
      <c r="BP1449" s="1452" t="str">
        <f t="shared" si="765"/>
        <v/>
      </c>
      <c r="BQ1449" s="1452" t="str">
        <f t="shared" si="766"/>
        <v/>
      </c>
      <c r="BR1449" s="1452" t="str">
        <f t="shared" si="767"/>
        <v/>
      </c>
      <c r="BS1449" s="1452" t="str">
        <f t="shared" si="768"/>
        <v/>
      </c>
      <c r="BT1449" s="1452" t="str">
        <f t="shared" si="769"/>
        <v/>
      </c>
      <c r="BU1449" s="1452" t="str">
        <f t="shared" si="770"/>
        <v/>
      </c>
      <c r="BV1449" s="1452" t="str">
        <f t="shared" si="771"/>
        <v/>
      </c>
      <c r="BW1449" s="1558">
        <f t="shared" ca="1" si="778"/>
        <v>0</v>
      </c>
    </row>
    <row r="1450" spans="1:151" s="9" customFormat="1" ht="12.5">
      <c r="A1450" s="1483" t="str">
        <f t="shared" si="772"/>
        <v>Public Health Wales Trust</v>
      </c>
      <c r="B1450" s="1583"/>
      <c r="C1450" s="1583"/>
      <c r="D1450" s="1583"/>
      <c r="E1450" s="1581"/>
      <c r="F1450" s="1436"/>
      <c r="G1450" s="1547">
        <f t="shared" si="773"/>
        <v>0</v>
      </c>
      <c r="H1450" s="1484"/>
      <c r="I1450" s="1547">
        <f t="shared" si="774"/>
        <v>0</v>
      </c>
      <c r="J1450" s="1485"/>
      <c r="K1450" s="1485"/>
      <c r="L1450" s="1436"/>
      <c r="M1450" s="1439"/>
      <c r="N1450" s="1439"/>
      <c r="O1450" s="1485"/>
      <c r="P1450" s="1486"/>
      <c r="Q1450" s="1486"/>
      <c r="R1450" s="1487"/>
      <c r="S1450" s="1444"/>
      <c r="T1450" s="1444"/>
      <c r="U1450" s="1444"/>
      <c r="V1450" s="1488"/>
      <c r="W1450" s="1488"/>
      <c r="X1450" s="1488"/>
      <c r="Y1450" s="1488"/>
      <c r="Z1450" s="1488"/>
      <c r="AA1450" s="1488"/>
      <c r="AB1450" s="1488"/>
      <c r="AC1450" s="1488"/>
      <c r="AD1450" s="1488"/>
      <c r="AE1450" s="1488"/>
      <c r="AF1450" s="1488"/>
      <c r="AG1450" s="1488"/>
      <c r="AH1450" s="1451">
        <f t="shared" si="746"/>
        <v>0</v>
      </c>
      <c r="AI1450" s="1488"/>
      <c r="AJ1450" s="1488"/>
      <c r="AK1450" s="1488"/>
      <c r="AL1450" s="1488"/>
      <c r="AM1450" s="1488"/>
      <c r="AN1450" s="1488"/>
      <c r="AO1450" s="1488"/>
      <c r="AP1450" s="1488"/>
      <c r="AQ1450" s="1488"/>
      <c r="AR1450" s="1488"/>
      <c r="AS1450" s="1488"/>
      <c r="AT1450" s="1542"/>
      <c r="AU1450" s="1599">
        <f t="shared" si="747"/>
        <v>0</v>
      </c>
      <c r="AV1450" s="1544">
        <f t="shared" si="775"/>
        <v>0</v>
      </c>
      <c r="AW1450" s="1452">
        <f t="shared" si="748"/>
        <v>0</v>
      </c>
      <c r="AX1450" s="1452">
        <f t="shared" si="749"/>
        <v>0</v>
      </c>
      <c r="AY1450" s="1452">
        <f t="shared" si="750"/>
        <v>0</v>
      </c>
      <c r="AZ1450" s="1452">
        <f t="shared" si="751"/>
        <v>0</v>
      </c>
      <c r="BA1450" s="1452">
        <f t="shared" si="752"/>
        <v>0</v>
      </c>
      <c r="BB1450" s="1452">
        <f t="shared" si="753"/>
        <v>0</v>
      </c>
      <c r="BC1450" s="1452">
        <f t="shared" si="754"/>
        <v>0</v>
      </c>
      <c r="BD1450" s="1452">
        <f t="shared" si="755"/>
        <v>0</v>
      </c>
      <c r="BE1450" s="1452">
        <f t="shared" si="756"/>
        <v>0</v>
      </c>
      <c r="BF1450" s="1452">
        <f t="shared" si="757"/>
        <v>0</v>
      </c>
      <c r="BG1450" s="1452">
        <f t="shared" si="758"/>
        <v>0</v>
      </c>
      <c r="BH1450" s="1452">
        <f t="shared" si="759"/>
        <v>0</v>
      </c>
      <c r="BI1450" s="1452">
        <f t="shared" si="776"/>
        <v>0</v>
      </c>
      <c r="BJ1450" s="1452" t="str">
        <f t="shared" si="760"/>
        <v/>
      </c>
      <c r="BK1450" s="1452" t="str">
        <f t="shared" si="761"/>
        <v/>
      </c>
      <c r="BL1450" s="1452" t="str">
        <f t="shared" si="762"/>
        <v/>
      </c>
      <c r="BM1450" s="1452" t="str">
        <f t="shared" si="763"/>
        <v/>
      </c>
      <c r="BN1450" s="1452" t="str">
        <f t="shared" ca="1" si="764"/>
        <v/>
      </c>
      <c r="BO1450" s="1452" t="str">
        <f t="shared" si="777"/>
        <v/>
      </c>
      <c r="BP1450" s="1452" t="str">
        <f t="shared" si="765"/>
        <v/>
      </c>
      <c r="BQ1450" s="1452" t="str">
        <f t="shared" si="766"/>
        <v/>
      </c>
      <c r="BR1450" s="1452" t="str">
        <f t="shared" si="767"/>
        <v/>
      </c>
      <c r="BS1450" s="1452" t="str">
        <f t="shared" si="768"/>
        <v/>
      </c>
      <c r="BT1450" s="1452" t="str">
        <f t="shared" si="769"/>
        <v/>
      </c>
      <c r="BU1450" s="1452" t="str">
        <f t="shared" si="770"/>
        <v/>
      </c>
      <c r="BV1450" s="1452" t="str">
        <f t="shared" si="771"/>
        <v/>
      </c>
      <c r="BW1450" s="1558">
        <f t="shared" ca="1" si="778"/>
        <v>0</v>
      </c>
    </row>
    <row r="1451" spans="1:151" s="9" customFormat="1" ht="12.5">
      <c r="A1451" s="1483" t="str">
        <f t="shared" si="772"/>
        <v>Public Health Wales Trust</v>
      </c>
      <c r="B1451" s="1583"/>
      <c r="C1451" s="1583"/>
      <c r="D1451" s="1583"/>
      <c r="E1451" s="1581"/>
      <c r="F1451" s="1436"/>
      <c r="G1451" s="1547">
        <f t="shared" si="773"/>
        <v>0</v>
      </c>
      <c r="H1451" s="1484"/>
      <c r="I1451" s="1547">
        <f t="shared" si="774"/>
        <v>0</v>
      </c>
      <c r="J1451" s="1485"/>
      <c r="K1451" s="1485"/>
      <c r="L1451" s="1436"/>
      <c r="M1451" s="1439"/>
      <c r="N1451" s="1439"/>
      <c r="O1451" s="1485"/>
      <c r="P1451" s="1486"/>
      <c r="Q1451" s="1486"/>
      <c r="R1451" s="1487"/>
      <c r="S1451" s="1444"/>
      <c r="T1451" s="1444"/>
      <c r="U1451" s="1444"/>
      <c r="V1451" s="1488"/>
      <c r="W1451" s="1488"/>
      <c r="X1451" s="1488"/>
      <c r="Y1451" s="1488"/>
      <c r="Z1451" s="1488"/>
      <c r="AA1451" s="1488"/>
      <c r="AB1451" s="1488"/>
      <c r="AC1451" s="1488"/>
      <c r="AD1451" s="1488"/>
      <c r="AE1451" s="1488"/>
      <c r="AF1451" s="1488"/>
      <c r="AG1451" s="1488"/>
      <c r="AH1451" s="1451">
        <f t="shared" ref="AH1451:AH1496" si="779">SUM(V1451:AG1451)</f>
        <v>0</v>
      </c>
      <c r="AI1451" s="1488"/>
      <c r="AJ1451" s="1488"/>
      <c r="AK1451" s="1488"/>
      <c r="AL1451" s="1488"/>
      <c r="AM1451" s="1488"/>
      <c r="AN1451" s="1488"/>
      <c r="AO1451" s="1488"/>
      <c r="AP1451" s="1488"/>
      <c r="AQ1451" s="1488"/>
      <c r="AR1451" s="1488"/>
      <c r="AS1451" s="1488"/>
      <c r="AT1451" s="1542"/>
      <c r="AU1451" s="1599">
        <f t="shared" ref="AU1451:AU1496" si="780">SUMPRODUCT($AC$40:$AN$40,AI1451:AT1451)</f>
        <v>0</v>
      </c>
      <c r="AV1451" s="1544">
        <f t="shared" si="775"/>
        <v>0</v>
      </c>
      <c r="AW1451" s="1452">
        <f t="shared" ref="AW1451:AW1471" si="781">AI1451-V1451</f>
        <v>0</v>
      </c>
      <c r="AX1451" s="1452">
        <f t="shared" ref="AX1451:AX1471" si="782">AJ1451-W1451</f>
        <v>0</v>
      </c>
      <c r="AY1451" s="1452">
        <f t="shared" ref="AY1451:AY1471" si="783">AK1451-X1451</f>
        <v>0</v>
      </c>
      <c r="AZ1451" s="1452">
        <f t="shared" ref="AZ1451:AZ1471" si="784">AL1451-Y1451</f>
        <v>0</v>
      </c>
      <c r="BA1451" s="1452">
        <f t="shared" ref="BA1451:BA1471" si="785">AM1451-Z1451</f>
        <v>0</v>
      </c>
      <c r="BB1451" s="1452">
        <f t="shared" ref="BB1451:BB1471" si="786">AN1451-AA1451</f>
        <v>0</v>
      </c>
      <c r="BC1451" s="1452">
        <f t="shared" ref="BC1451:BC1471" si="787">AO1451-AB1451</f>
        <v>0</v>
      </c>
      <c r="BD1451" s="1452">
        <f t="shared" ref="BD1451:BD1471" si="788">AP1451-AC1451</f>
        <v>0</v>
      </c>
      <c r="BE1451" s="1452">
        <f t="shared" ref="BE1451:BE1471" si="789">AQ1451-AD1451</f>
        <v>0</v>
      </c>
      <c r="BF1451" s="1452">
        <f t="shared" ref="BF1451:BF1471" si="790">AR1451-AE1451</f>
        <v>0</v>
      </c>
      <c r="BG1451" s="1452">
        <f t="shared" ref="BG1451:BG1471" si="791">AS1451-AF1451</f>
        <v>0</v>
      </c>
      <c r="BH1451" s="1452">
        <f t="shared" ref="BH1451:BH1471" si="792">AT1451-AG1451</f>
        <v>0</v>
      </c>
      <c r="BI1451" s="1452">
        <f t="shared" si="776"/>
        <v>0</v>
      </c>
      <c r="BJ1451" s="1452" t="str">
        <f t="shared" ref="BJ1451:BJ1496" si="793">IF(OR(G1451&gt;0,I1451&gt;0),IF(AND(B1451&lt;&gt;"",C1451&lt;&gt;"",D1451&lt;&gt;"",E1451&lt;&gt;"",F1451&lt;&gt;"",L1451&lt;&gt;"",M1451&lt;&gt;"",N1451&lt;&gt;"",O1451&lt;&gt;"",P1451&lt;&gt;"",Q1451&lt;&gt;"",R1451&lt;&gt;""),"","ERROR"),"")</f>
        <v/>
      </c>
      <c r="BK1451" s="1452" t="str">
        <f t="shared" ref="BK1451:BK1496" si="794">IF(COUNTIF($D$43:$D$1496,D1451)&gt;1,"ERROR","")</f>
        <v/>
      </c>
      <c r="BL1451" s="1452" t="str">
        <f t="shared" ref="BL1451:BL1496" si="795">IF(AND(OR(R1451=$CQ$1,R1451=$CQ$3),S1451=""),"ERROR","")</f>
        <v/>
      </c>
      <c r="BM1451" s="1452" t="str">
        <f t="shared" ref="BM1451:BM1496" si="796">IF(AND(OR(R1451=$CQ$2),S1451&lt;&gt;""),"ERROR","")</f>
        <v/>
      </c>
      <c r="BN1451" s="1452" t="str">
        <f t="shared" ref="BN1451:BN1496" ca="1" si="797">IF(AND(O1451=$CA$2,N1451&lt;TODAY()),"ERROR","")</f>
        <v/>
      </c>
      <c r="BO1451" s="1452" t="str">
        <f t="shared" si="777"/>
        <v/>
      </c>
      <c r="BP1451" s="1452" t="str">
        <f t="shared" ref="BP1451:BP1496" si="798">IF(AND(F1451=$BZ$1,G1451&gt;H1451),"ERROR","")</f>
        <v/>
      </c>
      <c r="BQ1451" s="1452" t="str">
        <f t="shared" ref="BQ1451:BQ1496" si="799">IF(AND(F1451=$BZ$1,I1451&gt;J1451),"ERROR","")</f>
        <v/>
      </c>
      <c r="BR1451" s="1452" t="str">
        <f t="shared" ref="BR1451:BR1496" si="800">IF(AND(F1451=$BZ$2,SUM(H1451,J1451)&gt;0),"ERROR","")</f>
        <v/>
      </c>
      <c r="BS1451" s="1452" t="str">
        <f t="shared" ref="BS1451:BS1496" si="801">IF(AND(I1451=0,J1451&gt;0),"ERROR","")</f>
        <v/>
      </c>
      <c r="BT1451" s="1452" t="str">
        <f t="shared" ref="BT1451:BT1496" si="802">IF(AND(O1451=$CA$1,K1451&lt;&gt;0),"ERROR","")</f>
        <v/>
      </c>
      <c r="BU1451" s="1452" t="str">
        <f t="shared" ref="BU1451:BU1496" si="803">IF(AND(O1451=$CA$2,I1451-AU1451-K1451&lt;0),"ERROR","")</f>
        <v/>
      </c>
      <c r="BV1451" s="1452" t="str">
        <f t="shared" ref="BV1451:BV1496" si="804">IF(S1451="","",VLOOKUP(S1451,$CS$1:$CT$14,2,0))</f>
        <v/>
      </c>
      <c r="BW1451" s="1558">
        <f t="shared" ca="1" si="778"/>
        <v>0</v>
      </c>
    </row>
    <row r="1452" spans="1:151" s="9" customFormat="1" ht="12.5">
      <c r="A1452" s="1483" t="str">
        <f t="shared" ref="A1452:A1496" si="805">$A$1</f>
        <v>Public Health Wales Trust</v>
      </c>
      <c r="B1452" s="1583"/>
      <c r="C1452" s="1583"/>
      <c r="D1452" s="1583"/>
      <c r="E1452" s="1581"/>
      <c r="F1452" s="1436"/>
      <c r="G1452" s="1547">
        <f t="shared" ref="G1452:G1496" si="806">AH1452</f>
        <v>0</v>
      </c>
      <c r="H1452" s="1484"/>
      <c r="I1452" s="1547">
        <f t="shared" ref="I1452:I1496" si="807">AV1452</f>
        <v>0</v>
      </c>
      <c r="J1452" s="1485"/>
      <c r="K1452" s="1485"/>
      <c r="L1452" s="1436"/>
      <c r="M1452" s="1439"/>
      <c r="N1452" s="1439"/>
      <c r="O1452" s="1485"/>
      <c r="P1452" s="1486"/>
      <c r="Q1452" s="1486"/>
      <c r="R1452" s="1487"/>
      <c r="S1452" s="1444"/>
      <c r="T1452" s="1444"/>
      <c r="U1452" s="1444"/>
      <c r="V1452" s="1488"/>
      <c r="W1452" s="1488"/>
      <c r="X1452" s="1488"/>
      <c r="Y1452" s="1488"/>
      <c r="Z1452" s="1488"/>
      <c r="AA1452" s="1488"/>
      <c r="AB1452" s="1488"/>
      <c r="AC1452" s="1488"/>
      <c r="AD1452" s="1488"/>
      <c r="AE1452" s="1488"/>
      <c r="AF1452" s="1488"/>
      <c r="AG1452" s="1488"/>
      <c r="AH1452" s="1451">
        <f t="shared" si="779"/>
        <v>0</v>
      </c>
      <c r="AI1452" s="1488"/>
      <c r="AJ1452" s="1488"/>
      <c r="AK1452" s="1488"/>
      <c r="AL1452" s="1488"/>
      <c r="AM1452" s="1488"/>
      <c r="AN1452" s="1488"/>
      <c r="AO1452" s="1488"/>
      <c r="AP1452" s="1488"/>
      <c r="AQ1452" s="1488"/>
      <c r="AR1452" s="1488"/>
      <c r="AS1452" s="1488"/>
      <c r="AT1452" s="1542"/>
      <c r="AU1452" s="1599">
        <f t="shared" si="780"/>
        <v>0</v>
      </c>
      <c r="AV1452" s="1544">
        <f t="shared" ref="AV1452:AV1496" si="808">SUM(AI1452:AT1452)</f>
        <v>0</v>
      </c>
      <c r="AW1452" s="1452">
        <f t="shared" si="781"/>
        <v>0</v>
      </c>
      <c r="AX1452" s="1452">
        <f t="shared" si="782"/>
        <v>0</v>
      </c>
      <c r="AY1452" s="1452">
        <f t="shared" si="783"/>
        <v>0</v>
      </c>
      <c r="AZ1452" s="1452">
        <f t="shared" si="784"/>
        <v>0</v>
      </c>
      <c r="BA1452" s="1452">
        <f t="shared" si="785"/>
        <v>0</v>
      </c>
      <c r="BB1452" s="1452">
        <f t="shared" si="786"/>
        <v>0</v>
      </c>
      <c r="BC1452" s="1452">
        <f t="shared" si="787"/>
        <v>0</v>
      </c>
      <c r="BD1452" s="1452">
        <f t="shared" si="788"/>
        <v>0</v>
      </c>
      <c r="BE1452" s="1452">
        <f t="shared" si="789"/>
        <v>0</v>
      </c>
      <c r="BF1452" s="1452">
        <f t="shared" si="790"/>
        <v>0</v>
      </c>
      <c r="BG1452" s="1452">
        <f t="shared" si="791"/>
        <v>0</v>
      </c>
      <c r="BH1452" s="1452">
        <f t="shared" si="792"/>
        <v>0</v>
      </c>
      <c r="BI1452" s="1452">
        <f t="shared" ref="BI1452:BI1496" si="809">SUM(AW1452:BH1452)</f>
        <v>0</v>
      </c>
      <c r="BJ1452" s="1452" t="str">
        <f t="shared" si="793"/>
        <v/>
      </c>
      <c r="BK1452" s="1452" t="str">
        <f t="shared" si="794"/>
        <v/>
      </c>
      <c r="BL1452" s="1452" t="str">
        <f t="shared" si="795"/>
        <v/>
      </c>
      <c r="BM1452" s="1452" t="str">
        <f t="shared" si="796"/>
        <v/>
      </c>
      <c r="BN1452" s="1452" t="str">
        <f t="shared" ca="1" si="797"/>
        <v/>
      </c>
      <c r="BO1452" s="1452" t="str">
        <f t="shared" ref="BO1452:BO1496" si="810">IF(AND(AV1452&gt;0,AH1452=0),"ERROR","")</f>
        <v/>
      </c>
      <c r="BP1452" s="1452" t="str">
        <f t="shared" si="798"/>
        <v/>
      </c>
      <c r="BQ1452" s="1452" t="str">
        <f t="shared" si="799"/>
        <v/>
      </c>
      <c r="BR1452" s="1452" t="str">
        <f t="shared" si="800"/>
        <v/>
      </c>
      <c r="BS1452" s="1452" t="str">
        <f t="shared" si="801"/>
        <v/>
      </c>
      <c r="BT1452" s="1452" t="str">
        <f t="shared" si="802"/>
        <v/>
      </c>
      <c r="BU1452" s="1452" t="str">
        <f t="shared" si="803"/>
        <v/>
      </c>
      <c r="BV1452" s="1452" t="str">
        <f t="shared" si="804"/>
        <v/>
      </c>
      <c r="BW1452" s="1558">
        <f t="shared" ref="BW1452:BW1496" ca="1" si="811">COUNTIF(BJ1452:BU1452,"ERROR")</f>
        <v>0</v>
      </c>
    </row>
    <row r="1453" spans="1:151" s="9" customFormat="1" ht="12.5">
      <c r="A1453" s="1483" t="str">
        <f t="shared" si="805"/>
        <v>Public Health Wales Trust</v>
      </c>
      <c r="B1453" s="1583"/>
      <c r="C1453" s="1583"/>
      <c r="D1453" s="1583"/>
      <c r="E1453" s="1581"/>
      <c r="F1453" s="1436"/>
      <c r="G1453" s="1547">
        <f t="shared" si="806"/>
        <v>0</v>
      </c>
      <c r="H1453" s="1484"/>
      <c r="I1453" s="1547">
        <f t="shared" si="807"/>
        <v>0</v>
      </c>
      <c r="J1453" s="1485"/>
      <c r="K1453" s="1485"/>
      <c r="L1453" s="1436"/>
      <c r="M1453" s="1439"/>
      <c r="N1453" s="1439"/>
      <c r="O1453" s="1485"/>
      <c r="P1453" s="1486"/>
      <c r="Q1453" s="1486"/>
      <c r="R1453" s="1487"/>
      <c r="S1453" s="1444"/>
      <c r="T1453" s="1444"/>
      <c r="U1453" s="1444"/>
      <c r="V1453" s="1488"/>
      <c r="W1453" s="1488"/>
      <c r="X1453" s="1488"/>
      <c r="Y1453" s="1488"/>
      <c r="Z1453" s="1488"/>
      <c r="AA1453" s="1488"/>
      <c r="AB1453" s="1488"/>
      <c r="AC1453" s="1488"/>
      <c r="AD1453" s="1488"/>
      <c r="AE1453" s="1488"/>
      <c r="AF1453" s="1488"/>
      <c r="AG1453" s="1488"/>
      <c r="AH1453" s="1451">
        <f t="shared" si="779"/>
        <v>0</v>
      </c>
      <c r="AI1453" s="1488"/>
      <c r="AJ1453" s="1488"/>
      <c r="AK1453" s="1488"/>
      <c r="AL1453" s="1488"/>
      <c r="AM1453" s="1488"/>
      <c r="AN1453" s="1488"/>
      <c r="AO1453" s="1488"/>
      <c r="AP1453" s="1488"/>
      <c r="AQ1453" s="1488"/>
      <c r="AR1453" s="1488"/>
      <c r="AS1453" s="1488"/>
      <c r="AT1453" s="1542"/>
      <c r="AU1453" s="1599">
        <f t="shared" si="780"/>
        <v>0</v>
      </c>
      <c r="AV1453" s="1544">
        <f t="shared" si="808"/>
        <v>0</v>
      </c>
      <c r="AW1453" s="1452">
        <f t="shared" si="781"/>
        <v>0</v>
      </c>
      <c r="AX1453" s="1452">
        <f t="shared" si="782"/>
        <v>0</v>
      </c>
      <c r="AY1453" s="1452">
        <f t="shared" si="783"/>
        <v>0</v>
      </c>
      <c r="AZ1453" s="1452">
        <f t="shared" si="784"/>
        <v>0</v>
      </c>
      <c r="BA1453" s="1452">
        <f t="shared" si="785"/>
        <v>0</v>
      </c>
      <c r="BB1453" s="1452">
        <f t="shared" si="786"/>
        <v>0</v>
      </c>
      <c r="BC1453" s="1452">
        <f t="shared" si="787"/>
        <v>0</v>
      </c>
      <c r="BD1453" s="1452">
        <f t="shared" si="788"/>
        <v>0</v>
      </c>
      <c r="BE1453" s="1452">
        <f t="shared" si="789"/>
        <v>0</v>
      </c>
      <c r="BF1453" s="1452">
        <f t="shared" si="790"/>
        <v>0</v>
      </c>
      <c r="BG1453" s="1452">
        <f t="shared" si="791"/>
        <v>0</v>
      </c>
      <c r="BH1453" s="1452">
        <f t="shared" si="792"/>
        <v>0</v>
      </c>
      <c r="BI1453" s="1452">
        <f t="shared" si="809"/>
        <v>0</v>
      </c>
      <c r="BJ1453" s="1452" t="str">
        <f t="shared" si="793"/>
        <v/>
      </c>
      <c r="BK1453" s="1452" t="str">
        <f t="shared" si="794"/>
        <v/>
      </c>
      <c r="BL1453" s="1452" t="str">
        <f t="shared" si="795"/>
        <v/>
      </c>
      <c r="BM1453" s="1452" t="str">
        <f t="shared" si="796"/>
        <v/>
      </c>
      <c r="BN1453" s="1452" t="str">
        <f t="shared" ca="1" si="797"/>
        <v/>
      </c>
      <c r="BO1453" s="1452" t="str">
        <f t="shared" si="810"/>
        <v/>
      </c>
      <c r="BP1453" s="1452" t="str">
        <f t="shared" si="798"/>
        <v/>
      </c>
      <c r="BQ1453" s="1452" t="str">
        <f t="shared" si="799"/>
        <v/>
      </c>
      <c r="BR1453" s="1452" t="str">
        <f t="shared" si="800"/>
        <v/>
      </c>
      <c r="BS1453" s="1452" t="str">
        <f t="shared" si="801"/>
        <v/>
      </c>
      <c r="BT1453" s="1452" t="str">
        <f t="shared" si="802"/>
        <v/>
      </c>
      <c r="BU1453" s="1452" t="str">
        <f t="shared" si="803"/>
        <v/>
      </c>
      <c r="BV1453" s="1452" t="str">
        <f t="shared" si="804"/>
        <v/>
      </c>
      <c r="BW1453" s="1558">
        <f t="shared" ca="1" si="811"/>
        <v>0</v>
      </c>
    </row>
    <row r="1454" spans="1:151" s="9" customFormat="1" ht="12.5">
      <c r="A1454" s="1483" t="str">
        <f t="shared" si="805"/>
        <v>Public Health Wales Trust</v>
      </c>
      <c r="B1454" s="1583"/>
      <c r="C1454" s="1583"/>
      <c r="D1454" s="1583"/>
      <c r="E1454" s="1581"/>
      <c r="F1454" s="1436"/>
      <c r="G1454" s="1547">
        <f t="shared" si="806"/>
        <v>0</v>
      </c>
      <c r="H1454" s="1484"/>
      <c r="I1454" s="1547">
        <f t="shared" si="807"/>
        <v>0</v>
      </c>
      <c r="J1454" s="1485"/>
      <c r="K1454" s="1485"/>
      <c r="L1454" s="1436"/>
      <c r="M1454" s="1439"/>
      <c r="N1454" s="1439"/>
      <c r="O1454" s="1485"/>
      <c r="P1454" s="1486"/>
      <c r="Q1454" s="1486"/>
      <c r="R1454" s="1487"/>
      <c r="S1454" s="1444"/>
      <c r="T1454" s="1444"/>
      <c r="U1454" s="1444"/>
      <c r="V1454" s="1488"/>
      <c r="W1454" s="1488"/>
      <c r="X1454" s="1488"/>
      <c r="Y1454" s="1488"/>
      <c r="Z1454" s="1488"/>
      <c r="AA1454" s="1488"/>
      <c r="AB1454" s="1488"/>
      <c r="AC1454" s="1488"/>
      <c r="AD1454" s="1488"/>
      <c r="AE1454" s="1488"/>
      <c r="AF1454" s="1488"/>
      <c r="AG1454" s="1488"/>
      <c r="AH1454" s="1451">
        <f t="shared" si="779"/>
        <v>0</v>
      </c>
      <c r="AI1454" s="1488"/>
      <c r="AJ1454" s="1488"/>
      <c r="AK1454" s="1488"/>
      <c r="AL1454" s="1488"/>
      <c r="AM1454" s="1488"/>
      <c r="AN1454" s="1488"/>
      <c r="AO1454" s="1488"/>
      <c r="AP1454" s="1488"/>
      <c r="AQ1454" s="1488"/>
      <c r="AR1454" s="1488"/>
      <c r="AS1454" s="1488"/>
      <c r="AT1454" s="1542"/>
      <c r="AU1454" s="1599">
        <f t="shared" si="780"/>
        <v>0</v>
      </c>
      <c r="AV1454" s="1544">
        <f t="shared" si="808"/>
        <v>0</v>
      </c>
      <c r="AW1454" s="1452">
        <f t="shared" si="781"/>
        <v>0</v>
      </c>
      <c r="AX1454" s="1452">
        <f t="shared" si="782"/>
        <v>0</v>
      </c>
      <c r="AY1454" s="1452">
        <f t="shared" si="783"/>
        <v>0</v>
      </c>
      <c r="AZ1454" s="1452">
        <f t="shared" si="784"/>
        <v>0</v>
      </c>
      <c r="BA1454" s="1452">
        <f t="shared" si="785"/>
        <v>0</v>
      </c>
      <c r="BB1454" s="1452">
        <f t="shared" si="786"/>
        <v>0</v>
      </c>
      <c r="BC1454" s="1452">
        <f t="shared" si="787"/>
        <v>0</v>
      </c>
      <c r="BD1454" s="1452">
        <f t="shared" si="788"/>
        <v>0</v>
      </c>
      <c r="BE1454" s="1452">
        <f t="shared" si="789"/>
        <v>0</v>
      </c>
      <c r="BF1454" s="1452">
        <f t="shared" si="790"/>
        <v>0</v>
      </c>
      <c r="BG1454" s="1452">
        <f t="shared" si="791"/>
        <v>0</v>
      </c>
      <c r="BH1454" s="1452">
        <f t="shared" si="792"/>
        <v>0</v>
      </c>
      <c r="BI1454" s="1452">
        <f t="shared" si="809"/>
        <v>0</v>
      </c>
      <c r="BJ1454" s="1452" t="str">
        <f t="shared" si="793"/>
        <v/>
      </c>
      <c r="BK1454" s="1452" t="str">
        <f t="shared" si="794"/>
        <v/>
      </c>
      <c r="BL1454" s="1452" t="str">
        <f t="shared" si="795"/>
        <v/>
      </c>
      <c r="BM1454" s="1452" t="str">
        <f t="shared" si="796"/>
        <v/>
      </c>
      <c r="BN1454" s="1452" t="str">
        <f t="shared" ca="1" si="797"/>
        <v/>
      </c>
      <c r="BO1454" s="1452" t="str">
        <f t="shared" si="810"/>
        <v/>
      </c>
      <c r="BP1454" s="1452" t="str">
        <f t="shared" si="798"/>
        <v/>
      </c>
      <c r="BQ1454" s="1452" t="str">
        <f t="shared" si="799"/>
        <v/>
      </c>
      <c r="BR1454" s="1452" t="str">
        <f t="shared" si="800"/>
        <v/>
      </c>
      <c r="BS1454" s="1452" t="str">
        <f t="shared" si="801"/>
        <v/>
      </c>
      <c r="BT1454" s="1452" t="str">
        <f t="shared" si="802"/>
        <v/>
      </c>
      <c r="BU1454" s="1452" t="str">
        <f t="shared" si="803"/>
        <v/>
      </c>
      <c r="BV1454" s="1452" t="str">
        <f t="shared" si="804"/>
        <v/>
      </c>
      <c r="BW1454" s="1558">
        <f t="shared" ca="1" si="811"/>
        <v>0</v>
      </c>
    </row>
    <row r="1455" spans="1:151" s="9" customFormat="1" ht="12.5">
      <c r="A1455" s="1483" t="str">
        <f t="shared" si="805"/>
        <v>Public Health Wales Trust</v>
      </c>
      <c r="B1455" s="1583"/>
      <c r="C1455" s="1583"/>
      <c r="D1455" s="1583"/>
      <c r="E1455" s="1581"/>
      <c r="F1455" s="1436"/>
      <c r="G1455" s="1547">
        <f t="shared" si="806"/>
        <v>0</v>
      </c>
      <c r="H1455" s="1484"/>
      <c r="I1455" s="1547">
        <f t="shared" si="807"/>
        <v>0</v>
      </c>
      <c r="J1455" s="1485"/>
      <c r="K1455" s="1485"/>
      <c r="L1455" s="1436"/>
      <c r="M1455" s="1439"/>
      <c r="N1455" s="1439"/>
      <c r="O1455" s="1485"/>
      <c r="P1455" s="1486"/>
      <c r="Q1455" s="1486"/>
      <c r="R1455" s="1487"/>
      <c r="S1455" s="1444"/>
      <c r="T1455" s="1444"/>
      <c r="U1455" s="1444"/>
      <c r="V1455" s="1488"/>
      <c r="W1455" s="1488"/>
      <c r="X1455" s="1488"/>
      <c r="Y1455" s="1488"/>
      <c r="Z1455" s="1488"/>
      <c r="AA1455" s="1488"/>
      <c r="AB1455" s="1488"/>
      <c r="AC1455" s="1488"/>
      <c r="AD1455" s="1488"/>
      <c r="AE1455" s="1488"/>
      <c r="AF1455" s="1488"/>
      <c r="AG1455" s="1488"/>
      <c r="AH1455" s="1451">
        <f t="shared" si="779"/>
        <v>0</v>
      </c>
      <c r="AI1455" s="1488"/>
      <c r="AJ1455" s="1488"/>
      <c r="AK1455" s="1488"/>
      <c r="AL1455" s="1488"/>
      <c r="AM1455" s="1488"/>
      <c r="AN1455" s="1488"/>
      <c r="AO1455" s="1488"/>
      <c r="AP1455" s="1488"/>
      <c r="AQ1455" s="1488"/>
      <c r="AR1455" s="1488"/>
      <c r="AS1455" s="1488"/>
      <c r="AT1455" s="1542"/>
      <c r="AU1455" s="1599">
        <f t="shared" si="780"/>
        <v>0</v>
      </c>
      <c r="AV1455" s="1544">
        <f t="shared" si="808"/>
        <v>0</v>
      </c>
      <c r="AW1455" s="1452">
        <f t="shared" si="781"/>
        <v>0</v>
      </c>
      <c r="AX1455" s="1452">
        <f t="shared" si="782"/>
        <v>0</v>
      </c>
      <c r="AY1455" s="1452">
        <f t="shared" si="783"/>
        <v>0</v>
      </c>
      <c r="AZ1455" s="1452">
        <f t="shared" si="784"/>
        <v>0</v>
      </c>
      <c r="BA1455" s="1452">
        <f t="shared" si="785"/>
        <v>0</v>
      </c>
      <c r="BB1455" s="1452">
        <f t="shared" si="786"/>
        <v>0</v>
      </c>
      <c r="BC1455" s="1452">
        <f t="shared" si="787"/>
        <v>0</v>
      </c>
      <c r="BD1455" s="1452">
        <f t="shared" si="788"/>
        <v>0</v>
      </c>
      <c r="BE1455" s="1452">
        <f t="shared" si="789"/>
        <v>0</v>
      </c>
      <c r="BF1455" s="1452">
        <f t="shared" si="790"/>
        <v>0</v>
      </c>
      <c r="BG1455" s="1452">
        <f t="shared" si="791"/>
        <v>0</v>
      </c>
      <c r="BH1455" s="1452">
        <f t="shared" si="792"/>
        <v>0</v>
      </c>
      <c r="BI1455" s="1452">
        <f t="shared" si="809"/>
        <v>0</v>
      </c>
      <c r="BJ1455" s="1452" t="str">
        <f t="shared" si="793"/>
        <v/>
      </c>
      <c r="BK1455" s="1452" t="str">
        <f t="shared" si="794"/>
        <v/>
      </c>
      <c r="BL1455" s="1452" t="str">
        <f t="shared" si="795"/>
        <v/>
      </c>
      <c r="BM1455" s="1452" t="str">
        <f t="shared" si="796"/>
        <v/>
      </c>
      <c r="BN1455" s="1452" t="str">
        <f t="shared" ca="1" si="797"/>
        <v/>
      </c>
      <c r="BO1455" s="1452" t="str">
        <f t="shared" si="810"/>
        <v/>
      </c>
      <c r="BP1455" s="1452" t="str">
        <f t="shared" si="798"/>
        <v/>
      </c>
      <c r="BQ1455" s="1452" t="str">
        <f t="shared" si="799"/>
        <v/>
      </c>
      <c r="BR1455" s="1452" t="str">
        <f t="shared" si="800"/>
        <v/>
      </c>
      <c r="BS1455" s="1452" t="str">
        <f t="shared" si="801"/>
        <v/>
      </c>
      <c r="BT1455" s="1452" t="str">
        <f t="shared" si="802"/>
        <v/>
      </c>
      <c r="BU1455" s="1452" t="str">
        <f t="shared" si="803"/>
        <v/>
      </c>
      <c r="BV1455" s="1452" t="str">
        <f t="shared" si="804"/>
        <v/>
      </c>
      <c r="BW1455" s="1558">
        <f t="shared" ca="1" si="811"/>
        <v>0</v>
      </c>
    </row>
    <row r="1456" spans="1:151" s="9" customFormat="1" ht="12.5">
      <c r="A1456" s="1483" t="str">
        <f t="shared" si="805"/>
        <v>Public Health Wales Trust</v>
      </c>
      <c r="B1456" s="1583"/>
      <c r="C1456" s="1583"/>
      <c r="D1456" s="1583"/>
      <c r="E1456" s="1581"/>
      <c r="F1456" s="1436"/>
      <c r="G1456" s="1547">
        <f t="shared" si="806"/>
        <v>0</v>
      </c>
      <c r="H1456" s="1484"/>
      <c r="I1456" s="1547">
        <f t="shared" si="807"/>
        <v>0</v>
      </c>
      <c r="J1456" s="1485"/>
      <c r="K1456" s="1485"/>
      <c r="L1456" s="1436"/>
      <c r="M1456" s="1439"/>
      <c r="N1456" s="1439"/>
      <c r="O1456" s="1485"/>
      <c r="P1456" s="1486"/>
      <c r="Q1456" s="1486"/>
      <c r="R1456" s="1487"/>
      <c r="S1456" s="1444"/>
      <c r="T1456" s="1444"/>
      <c r="U1456" s="1444"/>
      <c r="V1456" s="1488"/>
      <c r="W1456" s="1488"/>
      <c r="X1456" s="1488"/>
      <c r="Y1456" s="1488"/>
      <c r="Z1456" s="1488"/>
      <c r="AA1456" s="1488"/>
      <c r="AB1456" s="1488"/>
      <c r="AC1456" s="1488"/>
      <c r="AD1456" s="1488"/>
      <c r="AE1456" s="1488"/>
      <c r="AF1456" s="1488"/>
      <c r="AG1456" s="1488"/>
      <c r="AH1456" s="1451">
        <f t="shared" si="779"/>
        <v>0</v>
      </c>
      <c r="AI1456" s="1488"/>
      <c r="AJ1456" s="1488"/>
      <c r="AK1456" s="1488"/>
      <c r="AL1456" s="1488"/>
      <c r="AM1456" s="1488"/>
      <c r="AN1456" s="1488"/>
      <c r="AO1456" s="1488"/>
      <c r="AP1456" s="1488"/>
      <c r="AQ1456" s="1488"/>
      <c r="AR1456" s="1488"/>
      <c r="AS1456" s="1488"/>
      <c r="AT1456" s="1542"/>
      <c r="AU1456" s="1599">
        <f t="shared" si="780"/>
        <v>0</v>
      </c>
      <c r="AV1456" s="1544">
        <f t="shared" si="808"/>
        <v>0</v>
      </c>
      <c r="AW1456" s="1452">
        <f t="shared" si="781"/>
        <v>0</v>
      </c>
      <c r="AX1456" s="1452">
        <f t="shared" si="782"/>
        <v>0</v>
      </c>
      <c r="AY1456" s="1452">
        <f t="shared" si="783"/>
        <v>0</v>
      </c>
      <c r="AZ1456" s="1452">
        <f t="shared" si="784"/>
        <v>0</v>
      </c>
      <c r="BA1456" s="1452">
        <f t="shared" si="785"/>
        <v>0</v>
      </c>
      <c r="BB1456" s="1452">
        <f t="shared" si="786"/>
        <v>0</v>
      </c>
      <c r="BC1456" s="1452">
        <f t="shared" si="787"/>
        <v>0</v>
      </c>
      <c r="BD1456" s="1452">
        <f t="shared" si="788"/>
        <v>0</v>
      </c>
      <c r="BE1456" s="1452">
        <f t="shared" si="789"/>
        <v>0</v>
      </c>
      <c r="BF1456" s="1452">
        <f t="shared" si="790"/>
        <v>0</v>
      </c>
      <c r="BG1456" s="1452">
        <f t="shared" si="791"/>
        <v>0</v>
      </c>
      <c r="BH1456" s="1452">
        <f t="shared" si="792"/>
        <v>0</v>
      </c>
      <c r="BI1456" s="1452">
        <f t="shared" si="809"/>
        <v>0</v>
      </c>
      <c r="BJ1456" s="1452" t="str">
        <f t="shared" si="793"/>
        <v/>
      </c>
      <c r="BK1456" s="1452" t="str">
        <f t="shared" si="794"/>
        <v/>
      </c>
      <c r="BL1456" s="1452" t="str">
        <f t="shared" si="795"/>
        <v/>
      </c>
      <c r="BM1456" s="1452" t="str">
        <f t="shared" si="796"/>
        <v/>
      </c>
      <c r="BN1456" s="1452" t="str">
        <f t="shared" ca="1" si="797"/>
        <v/>
      </c>
      <c r="BO1456" s="1452" t="str">
        <f t="shared" si="810"/>
        <v/>
      </c>
      <c r="BP1456" s="1452" t="str">
        <f t="shared" si="798"/>
        <v/>
      </c>
      <c r="BQ1456" s="1452" t="str">
        <f t="shared" si="799"/>
        <v/>
      </c>
      <c r="BR1456" s="1452" t="str">
        <f t="shared" si="800"/>
        <v/>
      </c>
      <c r="BS1456" s="1452" t="str">
        <f t="shared" si="801"/>
        <v/>
      </c>
      <c r="BT1456" s="1452" t="str">
        <f t="shared" si="802"/>
        <v/>
      </c>
      <c r="BU1456" s="1452" t="str">
        <f t="shared" si="803"/>
        <v/>
      </c>
      <c r="BV1456" s="1452" t="str">
        <f t="shared" si="804"/>
        <v/>
      </c>
      <c r="BW1456" s="1558">
        <f t="shared" ca="1" si="811"/>
        <v>0</v>
      </c>
    </row>
    <row r="1457" spans="1:75" s="9" customFormat="1" ht="12.5">
      <c r="A1457" s="1483" t="str">
        <f t="shared" si="805"/>
        <v>Public Health Wales Trust</v>
      </c>
      <c r="B1457" s="1583"/>
      <c r="C1457" s="1583"/>
      <c r="D1457" s="1583"/>
      <c r="E1457" s="1581"/>
      <c r="F1457" s="1436"/>
      <c r="G1457" s="1547">
        <f t="shared" si="806"/>
        <v>0</v>
      </c>
      <c r="H1457" s="1484"/>
      <c r="I1457" s="1547">
        <f t="shared" si="807"/>
        <v>0</v>
      </c>
      <c r="J1457" s="1485"/>
      <c r="K1457" s="1485"/>
      <c r="L1457" s="1436"/>
      <c r="M1457" s="1439"/>
      <c r="N1457" s="1439"/>
      <c r="O1457" s="1485"/>
      <c r="P1457" s="1486"/>
      <c r="Q1457" s="1486"/>
      <c r="R1457" s="1487"/>
      <c r="S1457" s="1444"/>
      <c r="T1457" s="1444"/>
      <c r="U1457" s="1444"/>
      <c r="V1457" s="1488"/>
      <c r="W1457" s="1488"/>
      <c r="X1457" s="1488"/>
      <c r="Y1457" s="1488"/>
      <c r="Z1457" s="1488"/>
      <c r="AA1457" s="1488"/>
      <c r="AB1457" s="1488"/>
      <c r="AC1457" s="1488"/>
      <c r="AD1457" s="1488"/>
      <c r="AE1457" s="1488"/>
      <c r="AF1457" s="1488"/>
      <c r="AG1457" s="1488"/>
      <c r="AH1457" s="1451">
        <f t="shared" si="779"/>
        <v>0</v>
      </c>
      <c r="AI1457" s="1488"/>
      <c r="AJ1457" s="1488"/>
      <c r="AK1457" s="1488"/>
      <c r="AL1457" s="1488"/>
      <c r="AM1457" s="1488"/>
      <c r="AN1457" s="1488"/>
      <c r="AO1457" s="1488"/>
      <c r="AP1457" s="1488"/>
      <c r="AQ1457" s="1488"/>
      <c r="AR1457" s="1488"/>
      <c r="AS1457" s="1488"/>
      <c r="AT1457" s="1542"/>
      <c r="AU1457" s="1599">
        <f t="shared" si="780"/>
        <v>0</v>
      </c>
      <c r="AV1457" s="1544">
        <f t="shared" si="808"/>
        <v>0</v>
      </c>
      <c r="AW1457" s="1452">
        <f t="shared" si="781"/>
        <v>0</v>
      </c>
      <c r="AX1457" s="1452">
        <f t="shared" si="782"/>
        <v>0</v>
      </c>
      <c r="AY1457" s="1452">
        <f t="shared" si="783"/>
        <v>0</v>
      </c>
      <c r="AZ1457" s="1452">
        <f t="shared" si="784"/>
        <v>0</v>
      </c>
      <c r="BA1457" s="1452">
        <f t="shared" si="785"/>
        <v>0</v>
      </c>
      <c r="BB1457" s="1452">
        <f t="shared" si="786"/>
        <v>0</v>
      </c>
      <c r="BC1457" s="1452">
        <f t="shared" si="787"/>
        <v>0</v>
      </c>
      <c r="BD1457" s="1452">
        <f t="shared" si="788"/>
        <v>0</v>
      </c>
      <c r="BE1457" s="1452">
        <f t="shared" si="789"/>
        <v>0</v>
      </c>
      <c r="BF1457" s="1452">
        <f t="shared" si="790"/>
        <v>0</v>
      </c>
      <c r="BG1457" s="1452">
        <f t="shared" si="791"/>
        <v>0</v>
      </c>
      <c r="BH1457" s="1452">
        <f t="shared" si="792"/>
        <v>0</v>
      </c>
      <c r="BI1457" s="1452">
        <f t="shared" si="809"/>
        <v>0</v>
      </c>
      <c r="BJ1457" s="1452" t="str">
        <f t="shared" si="793"/>
        <v/>
      </c>
      <c r="BK1457" s="1452" t="str">
        <f t="shared" si="794"/>
        <v/>
      </c>
      <c r="BL1457" s="1452" t="str">
        <f t="shared" si="795"/>
        <v/>
      </c>
      <c r="BM1457" s="1452" t="str">
        <f t="shared" si="796"/>
        <v/>
      </c>
      <c r="BN1457" s="1452" t="str">
        <f t="shared" ca="1" si="797"/>
        <v/>
      </c>
      <c r="BO1457" s="1452" t="str">
        <f t="shared" si="810"/>
        <v/>
      </c>
      <c r="BP1457" s="1452" t="str">
        <f t="shared" si="798"/>
        <v/>
      </c>
      <c r="BQ1457" s="1452" t="str">
        <f t="shared" si="799"/>
        <v/>
      </c>
      <c r="BR1457" s="1452" t="str">
        <f t="shared" si="800"/>
        <v/>
      </c>
      <c r="BS1457" s="1452" t="str">
        <f t="shared" si="801"/>
        <v/>
      </c>
      <c r="BT1457" s="1452" t="str">
        <f t="shared" si="802"/>
        <v/>
      </c>
      <c r="BU1457" s="1452" t="str">
        <f t="shared" si="803"/>
        <v/>
      </c>
      <c r="BV1457" s="1452" t="str">
        <f t="shared" si="804"/>
        <v/>
      </c>
      <c r="BW1457" s="1558">
        <f t="shared" ca="1" si="811"/>
        <v>0</v>
      </c>
    </row>
    <row r="1458" spans="1:75" s="9" customFormat="1" ht="12.5">
      <c r="A1458" s="1483" t="str">
        <f t="shared" si="805"/>
        <v>Public Health Wales Trust</v>
      </c>
      <c r="B1458" s="1583"/>
      <c r="C1458" s="1583"/>
      <c r="D1458" s="1583"/>
      <c r="E1458" s="1581"/>
      <c r="F1458" s="1436"/>
      <c r="G1458" s="1547">
        <f t="shared" si="806"/>
        <v>0</v>
      </c>
      <c r="H1458" s="1484"/>
      <c r="I1458" s="1547">
        <f t="shared" si="807"/>
        <v>0</v>
      </c>
      <c r="J1458" s="1485"/>
      <c r="K1458" s="1485"/>
      <c r="L1458" s="1436"/>
      <c r="M1458" s="1439"/>
      <c r="N1458" s="1439"/>
      <c r="O1458" s="1485"/>
      <c r="P1458" s="1486"/>
      <c r="Q1458" s="1486"/>
      <c r="R1458" s="1487"/>
      <c r="S1458" s="1444"/>
      <c r="T1458" s="1444"/>
      <c r="U1458" s="1444"/>
      <c r="V1458" s="1488"/>
      <c r="W1458" s="1488"/>
      <c r="X1458" s="1488"/>
      <c r="Y1458" s="1488"/>
      <c r="Z1458" s="1488"/>
      <c r="AA1458" s="1488"/>
      <c r="AB1458" s="1488"/>
      <c r="AC1458" s="1488"/>
      <c r="AD1458" s="1488"/>
      <c r="AE1458" s="1488"/>
      <c r="AF1458" s="1488"/>
      <c r="AG1458" s="1488"/>
      <c r="AH1458" s="1451">
        <f t="shared" si="779"/>
        <v>0</v>
      </c>
      <c r="AI1458" s="1488"/>
      <c r="AJ1458" s="1488"/>
      <c r="AK1458" s="1488"/>
      <c r="AL1458" s="1488"/>
      <c r="AM1458" s="1488"/>
      <c r="AN1458" s="1488"/>
      <c r="AO1458" s="1488"/>
      <c r="AP1458" s="1488"/>
      <c r="AQ1458" s="1488"/>
      <c r="AR1458" s="1488"/>
      <c r="AS1458" s="1488"/>
      <c r="AT1458" s="1542"/>
      <c r="AU1458" s="1599">
        <f t="shared" si="780"/>
        <v>0</v>
      </c>
      <c r="AV1458" s="1544">
        <f t="shared" si="808"/>
        <v>0</v>
      </c>
      <c r="AW1458" s="1452">
        <f t="shared" si="781"/>
        <v>0</v>
      </c>
      <c r="AX1458" s="1452">
        <f t="shared" si="782"/>
        <v>0</v>
      </c>
      <c r="AY1458" s="1452">
        <f t="shared" si="783"/>
        <v>0</v>
      </c>
      <c r="AZ1458" s="1452">
        <f t="shared" si="784"/>
        <v>0</v>
      </c>
      <c r="BA1458" s="1452">
        <f t="shared" si="785"/>
        <v>0</v>
      </c>
      <c r="BB1458" s="1452">
        <f t="shared" si="786"/>
        <v>0</v>
      </c>
      <c r="BC1458" s="1452">
        <f t="shared" si="787"/>
        <v>0</v>
      </c>
      <c r="BD1458" s="1452">
        <f t="shared" si="788"/>
        <v>0</v>
      </c>
      <c r="BE1458" s="1452">
        <f t="shared" si="789"/>
        <v>0</v>
      </c>
      <c r="BF1458" s="1452">
        <f t="shared" si="790"/>
        <v>0</v>
      </c>
      <c r="BG1458" s="1452">
        <f t="shared" si="791"/>
        <v>0</v>
      </c>
      <c r="BH1458" s="1452">
        <f t="shared" si="792"/>
        <v>0</v>
      </c>
      <c r="BI1458" s="1452">
        <f t="shared" si="809"/>
        <v>0</v>
      </c>
      <c r="BJ1458" s="1452" t="str">
        <f t="shared" si="793"/>
        <v/>
      </c>
      <c r="BK1458" s="1452" t="str">
        <f t="shared" si="794"/>
        <v/>
      </c>
      <c r="BL1458" s="1452" t="str">
        <f t="shared" si="795"/>
        <v/>
      </c>
      <c r="BM1458" s="1452" t="str">
        <f t="shared" si="796"/>
        <v/>
      </c>
      <c r="BN1458" s="1452" t="str">
        <f t="shared" ca="1" si="797"/>
        <v/>
      </c>
      <c r="BO1458" s="1452" t="str">
        <f t="shared" si="810"/>
        <v/>
      </c>
      <c r="BP1458" s="1452" t="str">
        <f t="shared" si="798"/>
        <v/>
      </c>
      <c r="BQ1458" s="1452" t="str">
        <f t="shared" si="799"/>
        <v/>
      </c>
      <c r="BR1458" s="1452" t="str">
        <f t="shared" si="800"/>
        <v/>
      </c>
      <c r="BS1458" s="1452" t="str">
        <f t="shared" si="801"/>
        <v/>
      </c>
      <c r="BT1458" s="1452" t="str">
        <f t="shared" si="802"/>
        <v/>
      </c>
      <c r="BU1458" s="1452" t="str">
        <f t="shared" si="803"/>
        <v/>
      </c>
      <c r="BV1458" s="1452" t="str">
        <f t="shared" si="804"/>
        <v/>
      </c>
      <c r="BW1458" s="1558">
        <f t="shared" ca="1" si="811"/>
        <v>0</v>
      </c>
    </row>
    <row r="1459" spans="1:75" s="9" customFormat="1" ht="12.5">
      <c r="A1459" s="1483" t="str">
        <f t="shared" si="805"/>
        <v>Public Health Wales Trust</v>
      </c>
      <c r="B1459" s="1583"/>
      <c r="C1459" s="1583"/>
      <c r="D1459" s="1583"/>
      <c r="E1459" s="1581"/>
      <c r="F1459" s="1436"/>
      <c r="G1459" s="1547">
        <f t="shared" si="806"/>
        <v>0</v>
      </c>
      <c r="H1459" s="1484"/>
      <c r="I1459" s="1547">
        <f t="shared" si="807"/>
        <v>0</v>
      </c>
      <c r="J1459" s="1485"/>
      <c r="K1459" s="1485"/>
      <c r="L1459" s="1436"/>
      <c r="M1459" s="1439"/>
      <c r="N1459" s="1439"/>
      <c r="O1459" s="1485"/>
      <c r="P1459" s="1486"/>
      <c r="Q1459" s="1486"/>
      <c r="R1459" s="1487"/>
      <c r="S1459" s="1444"/>
      <c r="T1459" s="1444"/>
      <c r="U1459" s="1444"/>
      <c r="V1459" s="1488"/>
      <c r="W1459" s="1488"/>
      <c r="X1459" s="1488"/>
      <c r="Y1459" s="1488"/>
      <c r="Z1459" s="1488"/>
      <c r="AA1459" s="1488"/>
      <c r="AB1459" s="1488"/>
      <c r="AC1459" s="1488"/>
      <c r="AD1459" s="1488"/>
      <c r="AE1459" s="1488"/>
      <c r="AF1459" s="1488"/>
      <c r="AG1459" s="1488"/>
      <c r="AH1459" s="1451">
        <f t="shared" si="779"/>
        <v>0</v>
      </c>
      <c r="AI1459" s="1488"/>
      <c r="AJ1459" s="1488"/>
      <c r="AK1459" s="1488"/>
      <c r="AL1459" s="1488"/>
      <c r="AM1459" s="1488"/>
      <c r="AN1459" s="1488"/>
      <c r="AO1459" s="1488"/>
      <c r="AP1459" s="1488"/>
      <c r="AQ1459" s="1488"/>
      <c r="AR1459" s="1488"/>
      <c r="AS1459" s="1488"/>
      <c r="AT1459" s="1542"/>
      <c r="AU1459" s="1599">
        <f t="shared" si="780"/>
        <v>0</v>
      </c>
      <c r="AV1459" s="1544">
        <f t="shared" si="808"/>
        <v>0</v>
      </c>
      <c r="AW1459" s="1452">
        <f t="shared" si="781"/>
        <v>0</v>
      </c>
      <c r="AX1459" s="1452">
        <f t="shared" si="782"/>
        <v>0</v>
      </c>
      <c r="AY1459" s="1452">
        <f t="shared" si="783"/>
        <v>0</v>
      </c>
      <c r="AZ1459" s="1452">
        <f t="shared" si="784"/>
        <v>0</v>
      </c>
      <c r="BA1459" s="1452">
        <f t="shared" si="785"/>
        <v>0</v>
      </c>
      <c r="BB1459" s="1452">
        <f t="shared" si="786"/>
        <v>0</v>
      </c>
      <c r="BC1459" s="1452">
        <f t="shared" si="787"/>
        <v>0</v>
      </c>
      <c r="BD1459" s="1452">
        <f t="shared" si="788"/>
        <v>0</v>
      </c>
      <c r="BE1459" s="1452">
        <f t="shared" si="789"/>
        <v>0</v>
      </c>
      <c r="BF1459" s="1452">
        <f t="shared" si="790"/>
        <v>0</v>
      </c>
      <c r="BG1459" s="1452">
        <f t="shared" si="791"/>
        <v>0</v>
      </c>
      <c r="BH1459" s="1452">
        <f t="shared" si="792"/>
        <v>0</v>
      </c>
      <c r="BI1459" s="1452">
        <f t="shared" si="809"/>
        <v>0</v>
      </c>
      <c r="BJ1459" s="1452" t="str">
        <f t="shared" si="793"/>
        <v/>
      </c>
      <c r="BK1459" s="1452" t="str">
        <f t="shared" si="794"/>
        <v/>
      </c>
      <c r="BL1459" s="1452" t="str">
        <f t="shared" si="795"/>
        <v/>
      </c>
      <c r="BM1459" s="1452" t="str">
        <f t="shared" si="796"/>
        <v/>
      </c>
      <c r="BN1459" s="1452" t="str">
        <f t="shared" ca="1" si="797"/>
        <v/>
      </c>
      <c r="BO1459" s="1452" t="str">
        <f t="shared" si="810"/>
        <v/>
      </c>
      <c r="BP1459" s="1452" t="str">
        <f t="shared" si="798"/>
        <v/>
      </c>
      <c r="BQ1459" s="1452" t="str">
        <f t="shared" si="799"/>
        <v/>
      </c>
      <c r="BR1459" s="1452" t="str">
        <f t="shared" si="800"/>
        <v/>
      </c>
      <c r="BS1459" s="1452" t="str">
        <f t="shared" si="801"/>
        <v/>
      </c>
      <c r="BT1459" s="1452" t="str">
        <f t="shared" si="802"/>
        <v/>
      </c>
      <c r="BU1459" s="1452" t="str">
        <f t="shared" si="803"/>
        <v/>
      </c>
      <c r="BV1459" s="1452" t="str">
        <f t="shared" si="804"/>
        <v/>
      </c>
      <c r="BW1459" s="1558">
        <f t="shared" ca="1" si="811"/>
        <v>0</v>
      </c>
    </row>
    <row r="1460" spans="1:75" s="9" customFormat="1" ht="12.5">
      <c r="A1460" s="1483" t="str">
        <f t="shared" si="805"/>
        <v>Public Health Wales Trust</v>
      </c>
      <c r="B1460" s="1583"/>
      <c r="C1460" s="1583"/>
      <c r="D1460" s="1583"/>
      <c r="E1460" s="1581"/>
      <c r="F1460" s="1436"/>
      <c r="G1460" s="1547">
        <f t="shared" si="806"/>
        <v>0</v>
      </c>
      <c r="H1460" s="1484"/>
      <c r="I1460" s="1547">
        <f t="shared" si="807"/>
        <v>0</v>
      </c>
      <c r="J1460" s="1485"/>
      <c r="K1460" s="1485"/>
      <c r="L1460" s="1436"/>
      <c r="M1460" s="1439"/>
      <c r="N1460" s="1439"/>
      <c r="O1460" s="1485"/>
      <c r="P1460" s="1486"/>
      <c r="Q1460" s="1486"/>
      <c r="R1460" s="1487"/>
      <c r="S1460" s="1444"/>
      <c r="T1460" s="1444"/>
      <c r="U1460" s="1444"/>
      <c r="V1460" s="1488"/>
      <c r="W1460" s="1488"/>
      <c r="X1460" s="1488"/>
      <c r="Y1460" s="1488"/>
      <c r="Z1460" s="1488"/>
      <c r="AA1460" s="1488"/>
      <c r="AB1460" s="1488"/>
      <c r="AC1460" s="1488"/>
      <c r="AD1460" s="1488"/>
      <c r="AE1460" s="1488"/>
      <c r="AF1460" s="1488"/>
      <c r="AG1460" s="1488"/>
      <c r="AH1460" s="1451">
        <f t="shared" si="779"/>
        <v>0</v>
      </c>
      <c r="AI1460" s="1488"/>
      <c r="AJ1460" s="1488"/>
      <c r="AK1460" s="1488"/>
      <c r="AL1460" s="1488"/>
      <c r="AM1460" s="1488"/>
      <c r="AN1460" s="1488"/>
      <c r="AO1460" s="1488"/>
      <c r="AP1460" s="1488"/>
      <c r="AQ1460" s="1488"/>
      <c r="AR1460" s="1488"/>
      <c r="AS1460" s="1488"/>
      <c r="AT1460" s="1542"/>
      <c r="AU1460" s="1599">
        <f t="shared" si="780"/>
        <v>0</v>
      </c>
      <c r="AV1460" s="1544">
        <f t="shared" si="808"/>
        <v>0</v>
      </c>
      <c r="AW1460" s="1452">
        <f t="shared" si="781"/>
        <v>0</v>
      </c>
      <c r="AX1460" s="1452">
        <f t="shared" si="782"/>
        <v>0</v>
      </c>
      <c r="AY1460" s="1452">
        <f t="shared" si="783"/>
        <v>0</v>
      </c>
      <c r="AZ1460" s="1452">
        <f t="shared" si="784"/>
        <v>0</v>
      </c>
      <c r="BA1460" s="1452">
        <f t="shared" si="785"/>
        <v>0</v>
      </c>
      <c r="BB1460" s="1452">
        <f t="shared" si="786"/>
        <v>0</v>
      </c>
      <c r="BC1460" s="1452">
        <f t="shared" si="787"/>
        <v>0</v>
      </c>
      <c r="BD1460" s="1452">
        <f t="shared" si="788"/>
        <v>0</v>
      </c>
      <c r="BE1460" s="1452">
        <f t="shared" si="789"/>
        <v>0</v>
      </c>
      <c r="BF1460" s="1452">
        <f t="shared" si="790"/>
        <v>0</v>
      </c>
      <c r="BG1460" s="1452">
        <f t="shared" si="791"/>
        <v>0</v>
      </c>
      <c r="BH1460" s="1452">
        <f t="shared" si="792"/>
        <v>0</v>
      </c>
      <c r="BI1460" s="1452">
        <f t="shared" si="809"/>
        <v>0</v>
      </c>
      <c r="BJ1460" s="1452" t="str">
        <f t="shared" si="793"/>
        <v/>
      </c>
      <c r="BK1460" s="1452" t="str">
        <f t="shared" si="794"/>
        <v/>
      </c>
      <c r="BL1460" s="1452" t="str">
        <f t="shared" si="795"/>
        <v/>
      </c>
      <c r="BM1460" s="1452" t="str">
        <f t="shared" si="796"/>
        <v/>
      </c>
      <c r="BN1460" s="1452" t="str">
        <f t="shared" ca="1" si="797"/>
        <v/>
      </c>
      <c r="BO1460" s="1452" t="str">
        <f t="shared" si="810"/>
        <v/>
      </c>
      <c r="BP1460" s="1452" t="str">
        <f t="shared" si="798"/>
        <v/>
      </c>
      <c r="BQ1460" s="1452" t="str">
        <f t="shared" si="799"/>
        <v/>
      </c>
      <c r="BR1460" s="1452" t="str">
        <f t="shared" si="800"/>
        <v/>
      </c>
      <c r="BS1460" s="1452" t="str">
        <f t="shared" si="801"/>
        <v/>
      </c>
      <c r="BT1460" s="1452" t="str">
        <f t="shared" si="802"/>
        <v/>
      </c>
      <c r="BU1460" s="1452" t="str">
        <f t="shared" si="803"/>
        <v/>
      </c>
      <c r="BV1460" s="1452" t="str">
        <f t="shared" si="804"/>
        <v/>
      </c>
      <c r="BW1460" s="1558">
        <f t="shared" ca="1" si="811"/>
        <v>0</v>
      </c>
    </row>
    <row r="1461" spans="1:75" s="9" customFormat="1" ht="12.5">
      <c r="A1461" s="1483" t="str">
        <f t="shared" si="805"/>
        <v>Public Health Wales Trust</v>
      </c>
      <c r="B1461" s="1583"/>
      <c r="C1461" s="1583"/>
      <c r="D1461" s="1583"/>
      <c r="E1461" s="1581"/>
      <c r="F1461" s="1436"/>
      <c r="G1461" s="1547">
        <f t="shared" si="806"/>
        <v>0</v>
      </c>
      <c r="H1461" s="1484"/>
      <c r="I1461" s="1547">
        <f t="shared" si="807"/>
        <v>0</v>
      </c>
      <c r="J1461" s="1485"/>
      <c r="K1461" s="1485"/>
      <c r="L1461" s="1436"/>
      <c r="M1461" s="1439"/>
      <c r="N1461" s="1439"/>
      <c r="O1461" s="1485"/>
      <c r="P1461" s="1486"/>
      <c r="Q1461" s="1486"/>
      <c r="R1461" s="1487"/>
      <c r="S1461" s="1444"/>
      <c r="T1461" s="1444"/>
      <c r="U1461" s="1444"/>
      <c r="V1461" s="1488"/>
      <c r="W1461" s="1488"/>
      <c r="X1461" s="1488"/>
      <c r="Y1461" s="1488"/>
      <c r="Z1461" s="1488"/>
      <c r="AA1461" s="1488"/>
      <c r="AB1461" s="1488"/>
      <c r="AC1461" s="1488"/>
      <c r="AD1461" s="1488"/>
      <c r="AE1461" s="1488"/>
      <c r="AF1461" s="1488"/>
      <c r="AG1461" s="1488"/>
      <c r="AH1461" s="1451">
        <f t="shared" si="779"/>
        <v>0</v>
      </c>
      <c r="AI1461" s="1488"/>
      <c r="AJ1461" s="1488"/>
      <c r="AK1461" s="1488"/>
      <c r="AL1461" s="1488"/>
      <c r="AM1461" s="1488"/>
      <c r="AN1461" s="1488"/>
      <c r="AO1461" s="1488"/>
      <c r="AP1461" s="1488"/>
      <c r="AQ1461" s="1488"/>
      <c r="AR1461" s="1488"/>
      <c r="AS1461" s="1488"/>
      <c r="AT1461" s="1542"/>
      <c r="AU1461" s="1599">
        <f t="shared" si="780"/>
        <v>0</v>
      </c>
      <c r="AV1461" s="1544">
        <f t="shared" si="808"/>
        <v>0</v>
      </c>
      <c r="AW1461" s="1452">
        <f t="shared" si="781"/>
        <v>0</v>
      </c>
      <c r="AX1461" s="1452">
        <f t="shared" si="782"/>
        <v>0</v>
      </c>
      <c r="AY1461" s="1452">
        <f t="shared" si="783"/>
        <v>0</v>
      </c>
      <c r="AZ1461" s="1452">
        <f t="shared" si="784"/>
        <v>0</v>
      </c>
      <c r="BA1461" s="1452">
        <f t="shared" si="785"/>
        <v>0</v>
      </c>
      <c r="BB1461" s="1452">
        <f t="shared" si="786"/>
        <v>0</v>
      </c>
      <c r="BC1461" s="1452">
        <f t="shared" si="787"/>
        <v>0</v>
      </c>
      <c r="BD1461" s="1452">
        <f t="shared" si="788"/>
        <v>0</v>
      </c>
      <c r="BE1461" s="1452">
        <f t="shared" si="789"/>
        <v>0</v>
      </c>
      <c r="BF1461" s="1452">
        <f t="shared" si="790"/>
        <v>0</v>
      </c>
      <c r="BG1461" s="1452">
        <f t="shared" si="791"/>
        <v>0</v>
      </c>
      <c r="BH1461" s="1452">
        <f t="shared" si="792"/>
        <v>0</v>
      </c>
      <c r="BI1461" s="1452">
        <f t="shared" si="809"/>
        <v>0</v>
      </c>
      <c r="BJ1461" s="1452" t="str">
        <f t="shared" si="793"/>
        <v/>
      </c>
      <c r="BK1461" s="1452" t="str">
        <f t="shared" si="794"/>
        <v/>
      </c>
      <c r="BL1461" s="1452" t="str">
        <f t="shared" si="795"/>
        <v/>
      </c>
      <c r="BM1461" s="1452" t="str">
        <f t="shared" si="796"/>
        <v/>
      </c>
      <c r="BN1461" s="1452" t="str">
        <f t="shared" ca="1" si="797"/>
        <v/>
      </c>
      <c r="BO1461" s="1452" t="str">
        <f t="shared" si="810"/>
        <v/>
      </c>
      <c r="BP1461" s="1452" t="str">
        <f t="shared" si="798"/>
        <v/>
      </c>
      <c r="BQ1461" s="1452" t="str">
        <f t="shared" si="799"/>
        <v/>
      </c>
      <c r="BR1461" s="1452" t="str">
        <f t="shared" si="800"/>
        <v/>
      </c>
      <c r="BS1461" s="1452" t="str">
        <f t="shared" si="801"/>
        <v/>
      </c>
      <c r="BT1461" s="1452" t="str">
        <f t="shared" si="802"/>
        <v/>
      </c>
      <c r="BU1461" s="1452" t="str">
        <f t="shared" si="803"/>
        <v/>
      </c>
      <c r="BV1461" s="1452" t="str">
        <f t="shared" si="804"/>
        <v/>
      </c>
      <c r="BW1461" s="1558">
        <f t="shared" ca="1" si="811"/>
        <v>0</v>
      </c>
    </row>
    <row r="1462" spans="1:75" s="9" customFormat="1" ht="12.5">
      <c r="A1462" s="1483" t="str">
        <f t="shared" si="805"/>
        <v>Public Health Wales Trust</v>
      </c>
      <c r="B1462" s="1583"/>
      <c r="C1462" s="1583"/>
      <c r="D1462" s="1583"/>
      <c r="E1462" s="1581"/>
      <c r="F1462" s="1436"/>
      <c r="G1462" s="1547">
        <f t="shared" si="806"/>
        <v>0</v>
      </c>
      <c r="H1462" s="1484"/>
      <c r="I1462" s="1547">
        <f t="shared" si="807"/>
        <v>0</v>
      </c>
      <c r="J1462" s="1485"/>
      <c r="K1462" s="1485"/>
      <c r="L1462" s="1436"/>
      <c r="M1462" s="1439"/>
      <c r="N1462" s="1439"/>
      <c r="O1462" s="1485"/>
      <c r="P1462" s="1486"/>
      <c r="Q1462" s="1486"/>
      <c r="R1462" s="1487"/>
      <c r="S1462" s="1444"/>
      <c r="T1462" s="1444"/>
      <c r="U1462" s="1444"/>
      <c r="V1462" s="1488"/>
      <c r="W1462" s="1488"/>
      <c r="X1462" s="1488"/>
      <c r="Y1462" s="1488"/>
      <c r="Z1462" s="1488"/>
      <c r="AA1462" s="1488"/>
      <c r="AB1462" s="1488"/>
      <c r="AC1462" s="1488"/>
      <c r="AD1462" s="1488"/>
      <c r="AE1462" s="1488"/>
      <c r="AF1462" s="1488"/>
      <c r="AG1462" s="1488"/>
      <c r="AH1462" s="1451">
        <f t="shared" si="779"/>
        <v>0</v>
      </c>
      <c r="AI1462" s="1488"/>
      <c r="AJ1462" s="1488"/>
      <c r="AK1462" s="1488"/>
      <c r="AL1462" s="1488"/>
      <c r="AM1462" s="1488"/>
      <c r="AN1462" s="1488"/>
      <c r="AO1462" s="1488"/>
      <c r="AP1462" s="1488"/>
      <c r="AQ1462" s="1488"/>
      <c r="AR1462" s="1488"/>
      <c r="AS1462" s="1488"/>
      <c r="AT1462" s="1542"/>
      <c r="AU1462" s="1599">
        <f t="shared" si="780"/>
        <v>0</v>
      </c>
      <c r="AV1462" s="1544">
        <f t="shared" si="808"/>
        <v>0</v>
      </c>
      <c r="AW1462" s="1452">
        <f t="shared" si="781"/>
        <v>0</v>
      </c>
      <c r="AX1462" s="1452">
        <f t="shared" si="782"/>
        <v>0</v>
      </c>
      <c r="AY1462" s="1452">
        <f t="shared" si="783"/>
        <v>0</v>
      </c>
      <c r="AZ1462" s="1452">
        <f t="shared" si="784"/>
        <v>0</v>
      </c>
      <c r="BA1462" s="1452">
        <f t="shared" si="785"/>
        <v>0</v>
      </c>
      <c r="BB1462" s="1452">
        <f t="shared" si="786"/>
        <v>0</v>
      </c>
      <c r="BC1462" s="1452">
        <f t="shared" si="787"/>
        <v>0</v>
      </c>
      <c r="BD1462" s="1452">
        <f t="shared" si="788"/>
        <v>0</v>
      </c>
      <c r="BE1462" s="1452">
        <f t="shared" si="789"/>
        <v>0</v>
      </c>
      <c r="BF1462" s="1452">
        <f t="shared" si="790"/>
        <v>0</v>
      </c>
      <c r="BG1462" s="1452">
        <f t="shared" si="791"/>
        <v>0</v>
      </c>
      <c r="BH1462" s="1452">
        <f t="shared" si="792"/>
        <v>0</v>
      </c>
      <c r="BI1462" s="1452">
        <f t="shared" si="809"/>
        <v>0</v>
      </c>
      <c r="BJ1462" s="1452" t="str">
        <f t="shared" si="793"/>
        <v/>
      </c>
      <c r="BK1462" s="1452" t="str">
        <f t="shared" si="794"/>
        <v/>
      </c>
      <c r="BL1462" s="1452" t="str">
        <f t="shared" si="795"/>
        <v/>
      </c>
      <c r="BM1462" s="1452" t="str">
        <f t="shared" si="796"/>
        <v/>
      </c>
      <c r="BN1462" s="1452" t="str">
        <f t="shared" ca="1" si="797"/>
        <v/>
      </c>
      <c r="BO1462" s="1452" t="str">
        <f t="shared" si="810"/>
        <v/>
      </c>
      <c r="BP1462" s="1452" t="str">
        <f t="shared" si="798"/>
        <v/>
      </c>
      <c r="BQ1462" s="1452" t="str">
        <f t="shared" si="799"/>
        <v/>
      </c>
      <c r="BR1462" s="1452" t="str">
        <f t="shared" si="800"/>
        <v/>
      </c>
      <c r="BS1462" s="1452" t="str">
        <f t="shared" si="801"/>
        <v/>
      </c>
      <c r="BT1462" s="1452" t="str">
        <f t="shared" si="802"/>
        <v/>
      </c>
      <c r="BU1462" s="1452" t="str">
        <f t="shared" si="803"/>
        <v/>
      </c>
      <c r="BV1462" s="1452" t="str">
        <f t="shared" si="804"/>
        <v/>
      </c>
      <c r="BW1462" s="1558">
        <f t="shared" ca="1" si="811"/>
        <v>0</v>
      </c>
    </row>
    <row r="1463" spans="1:75" s="9" customFormat="1" ht="12.5">
      <c r="A1463" s="1483" t="str">
        <f t="shared" si="805"/>
        <v>Public Health Wales Trust</v>
      </c>
      <c r="B1463" s="1583"/>
      <c r="C1463" s="1583"/>
      <c r="D1463" s="1583"/>
      <c r="E1463" s="1581"/>
      <c r="F1463" s="1436"/>
      <c r="G1463" s="1547">
        <f t="shared" si="806"/>
        <v>0</v>
      </c>
      <c r="H1463" s="1484"/>
      <c r="I1463" s="1547">
        <f t="shared" si="807"/>
        <v>0</v>
      </c>
      <c r="J1463" s="1485"/>
      <c r="K1463" s="1485"/>
      <c r="L1463" s="1436"/>
      <c r="M1463" s="1439"/>
      <c r="N1463" s="1439"/>
      <c r="O1463" s="1485"/>
      <c r="P1463" s="1486"/>
      <c r="Q1463" s="1486"/>
      <c r="R1463" s="1487"/>
      <c r="S1463" s="1444"/>
      <c r="T1463" s="1444"/>
      <c r="U1463" s="1444"/>
      <c r="V1463" s="1488"/>
      <c r="W1463" s="1488"/>
      <c r="X1463" s="1488"/>
      <c r="Y1463" s="1488"/>
      <c r="Z1463" s="1488"/>
      <c r="AA1463" s="1488"/>
      <c r="AB1463" s="1488"/>
      <c r="AC1463" s="1488"/>
      <c r="AD1463" s="1488"/>
      <c r="AE1463" s="1488"/>
      <c r="AF1463" s="1488"/>
      <c r="AG1463" s="1488"/>
      <c r="AH1463" s="1451">
        <f t="shared" si="779"/>
        <v>0</v>
      </c>
      <c r="AI1463" s="1488"/>
      <c r="AJ1463" s="1488"/>
      <c r="AK1463" s="1488"/>
      <c r="AL1463" s="1488"/>
      <c r="AM1463" s="1488"/>
      <c r="AN1463" s="1488"/>
      <c r="AO1463" s="1488"/>
      <c r="AP1463" s="1488"/>
      <c r="AQ1463" s="1488"/>
      <c r="AR1463" s="1488"/>
      <c r="AS1463" s="1488"/>
      <c r="AT1463" s="1542"/>
      <c r="AU1463" s="1599">
        <f t="shared" si="780"/>
        <v>0</v>
      </c>
      <c r="AV1463" s="1544">
        <f t="shared" si="808"/>
        <v>0</v>
      </c>
      <c r="AW1463" s="1452">
        <f t="shared" si="781"/>
        <v>0</v>
      </c>
      <c r="AX1463" s="1452">
        <f t="shared" si="782"/>
        <v>0</v>
      </c>
      <c r="AY1463" s="1452">
        <f t="shared" si="783"/>
        <v>0</v>
      </c>
      <c r="AZ1463" s="1452">
        <f t="shared" si="784"/>
        <v>0</v>
      </c>
      <c r="BA1463" s="1452">
        <f t="shared" si="785"/>
        <v>0</v>
      </c>
      <c r="BB1463" s="1452">
        <f t="shared" si="786"/>
        <v>0</v>
      </c>
      <c r="BC1463" s="1452">
        <f t="shared" si="787"/>
        <v>0</v>
      </c>
      <c r="BD1463" s="1452">
        <f t="shared" si="788"/>
        <v>0</v>
      </c>
      <c r="BE1463" s="1452">
        <f t="shared" si="789"/>
        <v>0</v>
      </c>
      <c r="BF1463" s="1452">
        <f t="shared" si="790"/>
        <v>0</v>
      </c>
      <c r="BG1463" s="1452">
        <f t="shared" si="791"/>
        <v>0</v>
      </c>
      <c r="BH1463" s="1452">
        <f t="shared" si="792"/>
        <v>0</v>
      </c>
      <c r="BI1463" s="1452">
        <f t="shared" si="809"/>
        <v>0</v>
      </c>
      <c r="BJ1463" s="1452" t="str">
        <f t="shared" si="793"/>
        <v/>
      </c>
      <c r="BK1463" s="1452" t="str">
        <f t="shared" si="794"/>
        <v/>
      </c>
      <c r="BL1463" s="1452" t="str">
        <f t="shared" si="795"/>
        <v/>
      </c>
      <c r="BM1463" s="1452" t="str">
        <f t="shared" si="796"/>
        <v/>
      </c>
      <c r="BN1463" s="1452" t="str">
        <f t="shared" ca="1" si="797"/>
        <v/>
      </c>
      <c r="BO1463" s="1452" t="str">
        <f t="shared" si="810"/>
        <v/>
      </c>
      <c r="BP1463" s="1452" t="str">
        <f t="shared" si="798"/>
        <v/>
      </c>
      <c r="BQ1463" s="1452" t="str">
        <f t="shared" si="799"/>
        <v/>
      </c>
      <c r="BR1463" s="1452" t="str">
        <f t="shared" si="800"/>
        <v/>
      </c>
      <c r="BS1463" s="1452" t="str">
        <f t="shared" si="801"/>
        <v/>
      </c>
      <c r="BT1463" s="1452" t="str">
        <f t="shared" si="802"/>
        <v/>
      </c>
      <c r="BU1463" s="1452" t="str">
        <f t="shared" si="803"/>
        <v/>
      </c>
      <c r="BV1463" s="1452" t="str">
        <f t="shared" si="804"/>
        <v/>
      </c>
      <c r="BW1463" s="1558">
        <f t="shared" ca="1" si="811"/>
        <v>0</v>
      </c>
    </row>
    <row r="1464" spans="1:75" s="9" customFormat="1" ht="12.5">
      <c r="A1464" s="1483" t="str">
        <f t="shared" si="805"/>
        <v>Public Health Wales Trust</v>
      </c>
      <c r="B1464" s="1583"/>
      <c r="C1464" s="1583"/>
      <c r="D1464" s="1583"/>
      <c r="E1464" s="1581"/>
      <c r="F1464" s="1436"/>
      <c r="G1464" s="1547">
        <f t="shared" si="806"/>
        <v>0</v>
      </c>
      <c r="H1464" s="1484"/>
      <c r="I1464" s="1547">
        <f t="shared" si="807"/>
        <v>0</v>
      </c>
      <c r="J1464" s="1485"/>
      <c r="K1464" s="1485"/>
      <c r="L1464" s="1436"/>
      <c r="M1464" s="1439"/>
      <c r="N1464" s="1439"/>
      <c r="O1464" s="1485"/>
      <c r="P1464" s="1486"/>
      <c r="Q1464" s="1486"/>
      <c r="R1464" s="1487"/>
      <c r="S1464" s="1444"/>
      <c r="T1464" s="1444"/>
      <c r="U1464" s="1444"/>
      <c r="V1464" s="1488"/>
      <c r="W1464" s="1488"/>
      <c r="X1464" s="1488"/>
      <c r="Y1464" s="1488"/>
      <c r="Z1464" s="1488"/>
      <c r="AA1464" s="1488"/>
      <c r="AB1464" s="1488"/>
      <c r="AC1464" s="1488"/>
      <c r="AD1464" s="1488"/>
      <c r="AE1464" s="1488"/>
      <c r="AF1464" s="1488"/>
      <c r="AG1464" s="1488"/>
      <c r="AH1464" s="1451">
        <f t="shared" si="779"/>
        <v>0</v>
      </c>
      <c r="AI1464" s="1488"/>
      <c r="AJ1464" s="1488"/>
      <c r="AK1464" s="1488"/>
      <c r="AL1464" s="1488"/>
      <c r="AM1464" s="1488"/>
      <c r="AN1464" s="1488"/>
      <c r="AO1464" s="1488"/>
      <c r="AP1464" s="1488"/>
      <c r="AQ1464" s="1488"/>
      <c r="AR1464" s="1488"/>
      <c r="AS1464" s="1488"/>
      <c r="AT1464" s="1542"/>
      <c r="AU1464" s="1599">
        <f t="shared" si="780"/>
        <v>0</v>
      </c>
      <c r="AV1464" s="1544">
        <f t="shared" si="808"/>
        <v>0</v>
      </c>
      <c r="AW1464" s="1452">
        <f t="shared" si="781"/>
        <v>0</v>
      </c>
      <c r="AX1464" s="1452">
        <f t="shared" si="782"/>
        <v>0</v>
      </c>
      <c r="AY1464" s="1452">
        <f t="shared" si="783"/>
        <v>0</v>
      </c>
      <c r="AZ1464" s="1452">
        <f t="shared" si="784"/>
        <v>0</v>
      </c>
      <c r="BA1464" s="1452">
        <f t="shared" si="785"/>
        <v>0</v>
      </c>
      <c r="BB1464" s="1452">
        <f t="shared" si="786"/>
        <v>0</v>
      </c>
      <c r="BC1464" s="1452">
        <f t="shared" si="787"/>
        <v>0</v>
      </c>
      <c r="BD1464" s="1452">
        <f t="shared" si="788"/>
        <v>0</v>
      </c>
      <c r="BE1464" s="1452">
        <f t="shared" si="789"/>
        <v>0</v>
      </c>
      <c r="BF1464" s="1452">
        <f t="shared" si="790"/>
        <v>0</v>
      </c>
      <c r="BG1464" s="1452">
        <f t="shared" si="791"/>
        <v>0</v>
      </c>
      <c r="BH1464" s="1452">
        <f t="shared" si="792"/>
        <v>0</v>
      </c>
      <c r="BI1464" s="1452">
        <f t="shared" si="809"/>
        <v>0</v>
      </c>
      <c r="BJ1464" s="1452" t="str">
        <f t="shared" si="793"/>
        <v/>
      </c>
      <c r="BK1464" s="1452" t="str">
        <f t="shared" si="794"/>
        <v/>
      </c>
      <c r="BL1464" s="1452" t="str">
        <f t="shared" si="795"/>
        <v/>
      </c>
      <c r="BM1464" s="1452" t="str">
        <f t="shared" si="796"/>
        <v/>
      </c>
      <c r="BN1464" s="1452" t="str">
        <f t="shared" ca="1" si="797"/>
        <v/>
      </c>
      <c r="BO1464" s="1452" t="str">
        <f t="shared" si="810"/>
        <v/>
      </c>
      <c r="BP1464" s="1452" t="str">
        <f t="shared" si="798"/>
        <v/>
      </c>
      <c r="BQ1464" s="1452" t="str">
        <f t="shared" si="799"/>
        <v/>
      </c>
      <c r="BR1464" s="1452" t="str">
        <f t="shared" si="800"/>
        <v/>
      </c>
      <c r="BS1464" s="1452" t="str">
        <f t="shared" si="801"/>
        <v/>
      </c>
      <c r="BT1464" s="1452" t="str">
        <f t="shared" si="802"/>
        <v/>
      </c>
      <c r="BU1464" s="1452" t="str">
        <f t="shared" si="803"/>
        <v/>
      </c>
      <c r="BV1464" s="1452" t="str">
        <f t="shared" si="804"/>
        <v/>
      </c>
      <c r="BW1464" s="1558">
        <f t="shared" ca="1" si="811"/>
        <v>0</v>
      </c>
    </row>
    <row r="1465" spans="1:75" s="9" customFormat="1" ht="12.5">
      <c r="A1465" s="1483" t="str">
        <f t="shared" si="805"/>
        <v>Public Health Wales Trust</v>
      </c>
      <c r="B1465" s="1583"/>
      <c r="C1465" s="1583"/>
      <c r="D1465" s="1583"/>
      <c r="E1465" s="1581"/>
      <c r="F1465" s="1436"/>
      <c r="G1465" s="1547">
        <f t="shared" si="806"/>
        <v>0</v>
      </c>
      <c r="H1465" s="1484"/>
      <c r="I1465" s="1547">
        <f t="shared" si="807"/>
        <v>0</v>
      </c>
      <c r="J1465" s="1485"/>
      <c r="K1465" s="1485"/>
      <c r="L1465" s="1436"/>
      <c r="M1465" s="1439"/>
      <c r="N1465" s="1439"/>
      <c r="O1465" s="1485"/>
      <c r="P1465" s="1486"/>
      <c r="Q1465" s="1486"/>
      <c r="R1465" s="1487"/>
      <c r="S1465" s="1444"/>
      <c r="T1465" s="1444"/>
      <c r="U1465" s="1444"/>
      <c r="V1465" s="1488"/>
      <c r="W1465" s="1488"/>
      <c r="X1465" s="1488"/>
      <c r="Y1465" s="1488"/>
      <c r="Z1465" s="1488"/>
      <c r="AA1465" s="1488"/>
      <c r="AB1465" s="1488"/>
      <c r="AC1465" s="1488"/>
      <c r="AD1465" s="1488"/>
      <c r="AE1465" s="1488"/>
      <c r="AF1465" s="1488"/>
      <c r="AG1465" s="1488"/>
      <c r="AH1465" s="1451">
        <f t="shared" si="779"/>
        <v>0</v>
      </c>
      <c r="AI1465" s="1488"/>
      <c r="AJ1465" s="1488"/>
      <c r="AK1465" s="1488"/>
      <c r="AL1465" s="1488"/>
      <c r="AM1465" s="1488"/>
      <c r="AN1465" s="1488"/>
      <c r="AO1465" s="1488"/>
      <c r="AP1465" s="1488"/>
      <c r="AQ1465" s="1488"/>
      <c r="AR1465" s="1488"/>
      <c r="AS1465" s="1488"/>
      <c r="AT1465" s="1542"/>
      <c r="AU1465" s="1599">
        <f t="shared" si="780"/>
        <v>0</v>
      </c>
      <c r="AV1465" s="1544">
        <f t="shared" si="808"/>
        <v>0</v>
      </c>
      <c r="AW1465" s="1452">
        <f t="shared" si="781"/>
        <v>0</v>
      </c>
      <c r="AX1465" s="1452">
        <f t="shared" si="782"/>
        <v>0</v>
      </c>
      <c r="AY1465" s="1452">
        <f t="shared" si="783"/>
        <v>0</v>
      </c>
      <c r="AZ1465" s="1452">
        <f t="shared" si="784"/>
        <v>0</v>
      </c>
      <c r="BA1465" s="1452">
        <f t="shared" si="785"/>
        <v>0</v>
      </c>
      <c r="BB1465" s="1452">
        <f t="shared" si="786"/>
        <v>0</v>
      </c>
      <c r="BC1465" s="1452">
        <f t="shared" si="787"/>
        <v>0</v>
      </c>
      <c r="BD1465" s="1452">
        <f t="shared" si="788"/>
        <v>0</v>
      </c>
      <c r="BE1465" s="1452">
        <f t="shared" si="789"/>
        <v>0</v>
      </c>
      <c r="BF1465" s="1452">
        <f t="shared" si="790"/>
        <v>0</v>
      </c>
      <c r="BG1465" s="1452">
        <f t="shared" si="791"/>
        <v>0</v>
      </c>
      <c r="BH1465" s="1452">
        <f t="shared" si="792"/>
        <v>0</v>
      </c>
      <c r="BI1465" s="1452">
        <f t="shared" si="809"/>
        <v>0</v>
      </c>
      <c r="BJ1465" s="1452" t="str">
        <f t="shared" si="793"/>
        <v/>
      </c>
      <c r="BK1465" s="1452" t="str">
        <f t="shared" si="794"/>
        <v/>
      </c>
      <c r="BL1465" s="1452" t="str">
        <f t="shared" si="795"/>
        <v/>
      </c>
      <c r="BM1465" s="1452" t="str">
        <f t="shared" si="796"/>
        <v/>
      </c>
      <c r="BN1465" s="1452" t="str">
        <f t="shared" ca="1" si="797"/>
        <v/>
      </c>
      <c r="BO1465" s="1452" t="str">
        <f t="shared" si="810"/>
        <v/>
      </c>
      <c r="BP1465" s="1452" t="str">
        <f t="shared" si="798"/>
        <v/>
      </c>
      <c r="BQ1465" s="1452" t="str">
        <f t="shared" si="799"/>
        <v/>
      </c>
      <c r="BR1465" s="1452" t="str">
        <f t="shared" si="800"/>
        <v/>
      </c>
      <c r="BS1465" s="1452" t="str">
        <f t="shared" si="801"/>
        <v/>
      </c>
      <c r="BT1465" s="1452" t="str">
        <f t="shared" si="802"/>
        <v/>
      </c>
      <c r="BU1465" s="1452" t="str">
        <f t="shared" si="803"/>
        <v/>
      </c>
      <c r="BV1465" s="1452" t="str">
        <f t="shared" si="804"/>
        <v/>
      </c>
      <c r="BW1465" s="1558">
        <f t="shared" ca="1" si="811"/>
        <v>0</v>
      </c>
    </row>
    <row r="1466" spans="1:75" s="9" customFormat="1" ht="12.5">
      <c r="A1466" s="1483" t="str">
        <f t="shared" si="805"/>
        <v>Public Health Wales Trust</v>
      </c>
      <c r="B1466" s="1583"/>
      <c r="C1466" s="1583"/>
      <c r="D1466" s="1583"/>
      <c r="E1466" s="1581"/>
      <c r="F1466" s="1436"/>
      <c r="G1466" s="1547">
        <f t="shared" si="806"/>
        <v>0</v>
      </c>
      <c r="H1466" s="1484"/>
      <c r="I1466" s="1547">
        <f t="shared" si="807"/>
        <v>0</v>
      </c>
      <c r="J1466" s="1485"/>
      <c r="K1466" s="1485"/>
      <c r="L1466" s="1436"/>
      <c r="M1466" s="1439"/>
      <c r="N1466" s="1439"/>
      <c r="O1466" s="1485"/>
      <c r="P1466" s="1486"/>
      <c r="Q1466" s="1486"/>
      <c r="R1466" s="1487"/>
      <c r="S1466" s="1444"/>
      <c r="T1466" s="1444"/>
      <c r="U1466" s="1444"/>
      <c r="V1466" s="1488"/>
      <c r="W1466" s="1488"/>
      <c r="X1466" s="1488"/>
      <c r="Y1466" s="1488"/>
      <c r="Z1466" s="1488"/>
      <c r="AA1466" s="1488"/>
      <c r="AB1466" s="1488"/>
      <c r="AC1466" s="1488"/>
      <c r="AD1466" s="1488"/>
      <c r="AE1466" s="1488"/>
      <c r="AF1466" s="1488"/>
      <c r="AG1466" s="1488"/>
      <c r="AH1466" s="1451">
        <f t="shared" si="779"/>
        <v>0</v>
      </c>
      <c r="AI1466" s="1488"/>
      <c r="AJ1466" s="1488"/>
      <c r="AK1466" s="1488"/>
      <c r="AL1466" s="1488"/>
      <c r="AM1466" s="1488"/>
      <c r="AN1466" s="1488"/>
      <c r="AO1466" s="1488"/>
      <c r="AP1466" s="1488"/>
      <c r="AQ1466" s="1488"/>
      <c r="AR1466" s="1488"/>
      <c r="AS1466" s="1488"/>
      <c r="AT1466" s="1542"/>
      <c r="AU1466" s="1599">
        <f t="shared" si="780"/>
        <v>0</v>
      </c>
      <c r="AV1466" s="1544">
        <f t="shared" si="808"/>
        <v>0</v>
      </c>
      <c r="AW1466" s="1452">
        <f t="shared" si="781"/>
        <v>0</v>
      </c>
      <c r="AX1466" s="1452">
        <f t="shared" si="782"/>
        <v>0</v>
      </c>
      <c r="AY1466" s="1452">
        <f t="shared" si="783"/>
        <v>0</v>
      </c>
      <c r="AZ1466" s="1452">
        <f t="shared" si="784"/>
        <v>0</v>
      </c>
      <c r="BA1466" s="1452">
        <f t="shared" si="785"/>
        <v>0</v>
      </c>
      <c r="BB1466" s="1452">
        <f t="shared" si="786"/>
        <v>0</v>
      </c>
      <c r="BC1466" s="1452">
        <f t="shared" si="787"/>
        <v>0</v>
      </c>
      <c r="BD1466" s="1452">
        <f t="shared" si="788"/>
        <v>0</v>
      </c>
      <c r="BE1466" s="1452">
        <f t="shared" si="789"/>
        <v>0</v>
      </c>
      <c r="BF1466" s="1452">
        <f t="shared" si="790"/>
        <v>0</v>
      </c>
      <c r="BG1466" s="1452">
        <f t="shared" si="791"/>
        <v>0</v>
      </c>
      <c r="BH1466" s="1452">
        <f t="shared" si="792"/>
        <v>0</v>
      </c>
      <c r="BI1466" s="1452">
        <f t="shared" si="809"/>
        <v>0</v>
      </c>
      <c r="BJ1466" s="1452" t="str">
        <f t="shared" si="793"/>
        <v/>
      </c>
      <c r="BK1466" s="1452" t="str">
        <f t="shared" si="794"/>
        <v/>
      </c>
      <c r="BL1466" s="1452" t="str">
        <f t="shared" si="795"/>
        <v/>
      </c>
      <c r="BM1466" s="1452" t="str">
        <f t="shared" si="796"/>
        <v/>
      </c>
      <c r="BN1466" s="1452" t="str">
        <f t="shared" ca="1" si="797"/>
        <v/>
      </c>
      <c r="BO1466" s="1452" t="str">
        <f t="shared" si="810"/>
        <v/>
      </c>
      <c r="BP1466" s="1452" t="str">
        <f t="shared" si="798"/>
        <v/>
      </c>
      <c r="BQ1466" s="1452" t="str">
        <f t="shared" si="799"/>
        <v/>
      </c>
      <c r="BR1466" s="1452" t="str">
        <f t="shared" si="800"/>
        <v/>
      </c>
      <c r="BS1466" s="1452" t="str">
        <f t="shared" si="801"/>
        <v/>
      </c>
      <c r="BT1466" s="1452" t="str">
        <f t="shared" si="802"/>
        <v/>
      </c>
      <c r="BU1466" s="1452" t="str">
        <f t="shared" si="803"/>
        <v/>
      </c>
      <c r="BV1466" s="1452" t="str">
        <f t="shared" si="804"/>
        <v/>
      </c>
      <c r="BW1466" s="1558">
        <f t="shared" ca="1" si="811"/>
        <v>0</v>
      </c>
    </row>
    <row r="1467" spans="1:75" s="9" customFormat="1" ht="12.5">
      <c r="A1467" s="1483" t="str">
        <f t="shared" si="805"/>
        <v>Public Health Wales Trust</v>
      </c>
      <c r="B1467" s="1583"/>
      <c r="C1467" s="1583"/>
      <c r="D1467" s="1583"/>
      <c r="E1467" s="1581"/>
      <c r="F1467" s="1436"/>
      <c r="G1467" s="1547">
        <f t="shared" si="806"/>
        <v>0</v>
      </c>
      <c r="H1467" s="1484"/>
      <c r="I1467" s="1547">
        <f t="shared" si="807"/>
        <v>0</v>
      </c>
      <c r="J1467" s="1485"/>
      <c r="K1467" s="1485"/>
      <c r="L1467" s="1436"/>
      <c r="M1467" s="1439"/>
      <c r="N1467" s="1439"/>
      <c r="O1467" s="1485"/>
      <c r="P1467" s="1486"/>
      <c r="Q1467" s="1486"/>
      <c r="R1467" s="1487"/>
      <c r="S1467" s="1444"/>
      <c r="T1467" s="1444"/>
      <c r="U1467" s="1444"/>
      <c r="V1467" s="1488"/>
      <c r="W1467" s="1488"/>
      <c r="X1467" s="1488"/>
      <c r="Y1467" s="1488"/>
      <c r="Z1467" s="1488"/>
      <c r="AA1467" s="1488"/>
      <c r="AB1467" s="1488"/>
      <c r="AC1467" s="1488"/>
      <c r="AD1467" s="1488"/>
      <c r="AE1467" s="1488"/>
      <c r="AF1467" s="1488"/>
      <c r="AG1467" s="1488"/>
      <c r="AH1467" s="1451">
        <f t="shared" si="779"/>
        <v>0</v>
      </c>
      <c r="AI1467" s="1488"/>
      <c r="AJ1467" s="1488"/>
      <c r="AK1467" s="1488"/>
      <c r="AL1467" s="1488"/>
      <c r="AM1467" s="1488"/>
      <c r="AN1467" s="1488"/>
      <c r="AO1467" s="1488"/>
      <c r="AP1467" s="1488"/>
      <c r="AQ1467" s="1488"/>
      <c r="AR1467" s="1488"/>
      <c r="AS1467" s="1488"/>
      <c r="AT1467" s="1542"/>
      <c r="AU1467" s="1599">
        <f t="shared" si="780"/>
        <v>0</v>
      </c>
      <c r="AV1467" s="1544">
        <f t="shared" si="808"/>
        <v>0</v>
      </c>
      <c r="AW1467" s="1452">
        <f t="shared" si="781"/>
        <v>0</v>
      </c>
      <c r="AX1467" s="1452">
        <f t="shared" si="782"/>
        <v>0</v>
      </c>
      <c r="AY1467" s="1452">
        <f t="shared" si="783"/>
        <v>0</v>
      </c>
      <c r="AZ1467" s="1452">
        <f t="shared" si="784"/>
        <v>0</v>
      </c>
      <c r="BA1467" s="1452">
        <f t="shared" si="785"/>
        <v>0</v>
      </c>
      <c r="BB1467" s="1452">
        <f t="shared" si="786"/>
        <v>0</v>
      </c>
      <c r="BC1467" s="1452">
        <f t="shared" si="787"/>
        <v>0</v>
      </c>
      <c r="BD1467" s="1452">
        <f t="shared" si="788"/>
        <v>0</v>
      </c>
      <c r="BE1467" s="1452">
        <f t="shared" si="789"/>
        <v>0</v>
      </c>
      <c r="BF1467" s="1452">
        <f t="shared" si="790"/>
        <v>0</v>
      </c>
      <c r="BG1467" s="1452">
        <f t="shared" si="791"/>
        <v>0</v>
      </c>
      <c r="BH1467" s="1452">
        <f t="shared" si="792"/>
        <v>0</v>
      </c>
      <c r="BI1467" s="1452">
        <f t="shared" si="809"/>
        <v>0</v>
      </c>
      <c r="BJ1467" s="1452" t="str">
        <f t="shared" si="793"/>
        <v/>
      </c>
      <c r="BK1467" s="1452" t="str">
        <f t="shared" si="794"/>
        <v/>
      </c>
      <c r="BL1467" s="1452" t="str">
        <f t="shared" si="795"/>
        <v/>
      </c>
      <c r="BM1467" s="1452" t="str">
        <f t="shared" si="796"/>
        <v/>
      </c>
      <c r="BN1467" s="1452" t="str">
        <f t="shared" ca="1" si="797"/>
        <v/>
      </c>
      <c r="BO1467" s="1452" t="str">
        <f t="shared" si="810"/>
        <v/>
      </c>
      <c r="BP1467" s="1452" t="str">
        <f t="shared" si="798"/>
        <v/>
      </c>
      <c r="BQ1467" s="1452" t="str">
        <f t="shared" si="799"/>
        <v/>
      </c>
      <c r="BR1467" s="1452" t="str">
        <f t="shared" si="800"/>
        <v/>
      </c>
      <c r="BS1467" s="1452" t="str">
        <f t="shared" si="801"/>
        <v/>
      </c>
      <c r="BT1467" s="1452" t="str">
        <f t="shared" si="802"/>
        <v/>
      </c>
      <c r="BU1467" s="1452" t="str">
        <f t="shared" si="803"/>
        <v/>
      </c>
      <c r="BV1467" s="1452" t="str">
        <f t="shared" si="804"/>
        <v/>
      </c>
      <c r="BW1467" s="1558">
        <f t="shared" ca="1" si="811"/>
        <v>0</v>
      </c>
    </row>
    <row r="1468" spans="1:75" s="9" customFormat="1" ht="12.5">
      <c r="A1468" s="1483" t="str">
        <f t="shared" si="805"/>
        <v>Public Health Wales Trust</v>
      </c>
      <c r="B1468" s="1583"/>
      <c r="C1468" s="1583"/>
      <c r="D1468" s="1583"/>
      <c r="E1468" s="1581"/>
      <c r="F1468" s="1436"/>
      <c r="G1468" s="1547">
        <f t="shared" si="806"/>
        <v>0</v>
      </c>
      <c r="H1468" s="1484"/>
      <c r="I1468" s="1547">
        <f t="shared" si="807"/>
        <v>0</v>
      </c>
      <c r="J1468" s="1485"/>
      <c r="K1468" s="1485"/>
      <c r="L1468" s="1436"/>
      <c r="M1468" s="1439"/>
      <c r="N1468" s="1439"/>
      <c r="O1468" s="1485"/>
      <c r="P1468" s="1486"/>
      <c r="Q1468" s="1486"/>
      <c r="R1468" s="1487"/>
      <c r="S1468" s="1444"/>
      <c r="T1468" s="1444"/>
      <c r="U1468" s="1444"/>
      <c r="V1468" s="1488"/>
      <c r="W1468" s="1488"/>
      <c r="X1468" s="1488"/>
      <c r="Y1468" s="1488"/>
      <c r="Z1468" s="1488"/>
      <c r="AA1468" s="1488"/>
      <c r="AB1468" s="1488"/>
      <c r="AC1468" s="1488"/>
      <c r="AD1468" s="1488"/>
      <c r="AE1468" s="1488"/>
      <c r="AF1468" s="1488"/>
      <c r="AG1468" s="1488"/>
      <c r="AH1468" s="1451">
        <f t="shared" si="779"/>
        <v>0</v>
      </c>
      <c r="AI1468" s="1488"/>
      <c r="AJ1468" s="1488"/>
      <c r="AK1468" s="1488"/>
      <c r="AL1468" s="1488"/>
      <c r="AM1468" s="1488"/>
      <c r="AN1468" s="1488"/>
      <c r="AO1468" s="1488"/>
      <c r="AP1468" s="1488"/>
      <c r="AQ1468" s="1488"/>
      <c r="AR1468" s="1488"/>
      <c r="AS1468" s="1488"/>
      <c r="AT1468" s="1542"/>
      <c r="AU1468" s="1599">
        <f t="shared" si="780"/>
        <v>0</v>
      </c>
      <c r="AV1468" s="1544">
        <f t="shared" si="808"/>
        <v>0</v>
      </c>
      <c r="AW1468" s="1452">
        <f t="shared" si="781"/>
        <v>0</v>
      </c>
      <c r="AX1468" s="1452">
        <f t="shared" si="782"/>
        <v>0</v>
      </c>
      <c r="AY1468" s="1452">
        <f t="shared" si="783"/>
        <v>0</v>
      </c>
      <c r="AZ1468" s="1452">
        <f t="shared" si="784"/>
        <v>0</v>
      </c>
      <c r="BA1468" s="1452">
        <f t="shared" si="785"/>
        <v>0</v>
      </c>
      <c r="BB1468" s="1452">
        <f t="shared" si="786"/>
        <v>0</v>
      </c>
      <c r="BC1468" s="1452">
        <f t="shared" si="787"/>
        <v>0</v>
      </c>
      <c r="BD1468" s="1452">
        <f t="shared" si="788"/>
        <v>0</v>
      </c>
      <c r="BE1468" s="1452">
        <f t="shared" si="789"/>
        <v>0</v>
      </c>
      <c r="BF1468" s="1452">
        <f t="shared" si="790"/>
        <v>0</v>
      </c>
      <c r="BG1468" s="1452">
        <f t="shared" si="791"/>
        <v>0</v>
      </c>
      <c r="BH1468" s="1452">
        <f t="shared" si="792"/>
        <v>0</v>
      </c>
      <c r="BI1468" s="1452">
        <f t="shared" si="809"/>
        <v>0</v>
      </c>
      <c r="BJ1468" s="1452" t="str">
        <f t="shared" si="793"/>
        <v/>
      </c>
      <c r="BK1468" s="1452" t="str">
        <f t="shared" si="794"/>
        <v/>
      </c>
      <c r="BL1468" s="1452" t="str">
        <f t="shared" si="795"/>
        <v/>
      </c>
      <c r="BM1468" s="1452" t="str">
        <f t="shared" si="796"/>
        <v/>
      </c>
      <c r="BN1468" s="1452" t="str">
        <f t="shared" ca="1" si="797"/>
        <v/>
      </c>
      <c r="BO1468" s="1452" t="str">
        <f t="shared" si="810"/>
        <v/>
      </c>
      <c r="BP1468" s="1452" t="str">
        <f t="shared" si="798"/>
        <v/>
      </c>
      <c r="BQ1468" s="1452" t="str">
        <f t="shared" si="799"/>
        <v/>
      </c>
      <c r="BR1468" s="1452" t="str">
        <f t="shared" si="800"/>
        <v/>
      </c>
      <c r="BS1468" s="1452" t="str">
        <f t="shared" si="801"/>
        <v/>
      </c>
      <c r="BT1468" s="1452" t="str">
        <f t="shared" si="802"/>
        <v/>
      </c>
      <c r="BU1468" s="1452" t="str">
        <f t="shared" si="803"/>
        <v/>
      </c>
      <c r="BV1468" s="1452" t="str">
        <f t="shared" si="804"/>
        <v/>
      </c>
      <c r="BW1468" s="1558">
        <f t="shared" ca="1" si="811"/>
        <v>0</v>
      </c>
    </row>
    <row r="1469" spans="1:75" s="9" customFormat="1" ht="12.5">
      <c r="A1469" s="1483" t="str">
        <f t="shared" si="805"/>
        <v>Public Health Wales Trust</v>
      </c>
      <c r="B1469" s="1583"/>
      <c r="C1469" s="1583"/>
      <c r="D1469" s="1583"/>
      <c r="E1469" s="1581"/>
      <c r="F1469" s="1436"/>
      <c r="G1469" s="1547">
        <f t="shared" si="806"/>
        <v>0</v>
      </c>
      <c r="H1469" s="1484"/>
      <c r="I1469" s="1547">
        <f t="shared" si="807"/>
        <v>0</v>
      </c>
      <c r="J1469" s="1485"/>
      <c r="K1469" s="1485"/>
      <c r="L1469" s="1436"/>
      <c r="M1469" s="1439"/>
      <c r="N1469" s="1439"/>
      <c r="O1469" s="1485"/>
      <c r="P1469" s="1486"/>
      <c r="Q1469" s="1486"/>
      <c r="R1469" s="1487"/>
      <c r="S1469" s="1444"/>
      <c r="T1469" s="1444"/>
      <c r="U1469" s="1444"/>
      <c r="V1469" s="1488"/>
      <c r="W1469" s="1488"/>
      <c r="X1469" s="1488"/>
      <c r="Y1469" s="1488"/>
      <c r="Z1469" s="1488"/>
      <c r="AA1469" s="1488"/>
      <c r="AB1469" s="1488"/>
      <c r="AC1469" s="1488"/>
      <c r="AD1469" s="1488"/>
      <c r="AE1469" s="1488"/>
      <c r="AF1469" s="1488"/>
      <c r="AG1469" s="1488"/>
      <c r="AH1469" s="1451">
        <f t="shared" si="779"/>
        <v>0</v>
      </c>
      <c r="AI1469" s="1488"/>
      <c r="AJ1469" s="1488"/>
      <c r="AK1469" s="1488"/>
      <c r="AL1469" s="1488"/>
      <c r="AM1469" s="1488"/>
      <c r="AN1469" s="1488"/>
      <c r="AO1469" s="1488"/>
      <c r="AP1469" s="1488"/>
      <c r="AQ1469" s="1488"/>
      <c r="AR1469" s="1488"/>
      <c r="AS1469" s="1488"/>
      <c r="AT1469" s="1542"/>
      <c r="AU1469" s="1599">
        <f t="shared" si="780"/>
        <v>0</v>
      </c>
      <c r="AV1469" s="1544">
        <f t="shared" si="808"/>
        <v>0</v>
      </c>
      <c r="AW1469" s="1452">
        <f t="shared" si="781"/>
        <v>0</v>
      </c>
      <c r="AX1469" s="1452">
        <f t="shared" si="782"/>
        <v>0</v>
      </c>
      <c r="AY1469" s="1452">
        <f t="shared" si="783"/>
        <v>0</v>
      </c>
      <c r="AZ1469" s="1452">
        <f t="shared" si="784"/>
        <v>0</v>
      </c>
      <c r="BA1469" s="1452">
        <f t="shared" si="785"/>
        <v>0</v>
      </c>
      <c r="BB1469" s="1452">
        <f t="shared" si="786"/>
        <v>0</v>
      </c>
      <c r="BC1469" s="1452">
        <f t="shared" si="787"/>
        <v>0</v>
      </c>
      <c r="BD1469" s="1452">
        <f t="shared" si="788"/>
        <v>0</v>
      </c>
      <c r="BE1469" s="1452">
        <f t="shared" si="789"/>
        <v>0</v>
      </c>
      <c r="BF1469" s="1452">
        <f t="shared" si="790"/>
        <v>0</v>
      </c>
      <c r="BG1469" s="1452">
        <f t="shared" si="791"/>
        <v>0</v>
      </c>
      <c r="BH1469" s="1452">
        <f t="shared" si="792"/>
        <v>0</v>
      </c>
      <c r="BI1469" s="1452">
        <f t="shared" si="809"/>
        <v>0</v>
      </c>
      <c r="BJ1469" s="1452" t="str">
        <f t="shared" si="793"/>
        <v/>
      </c>
      <c r="BK1469" s="1452" t="str">
        <f t="shared" si="794"/>
        <v/>
      </c>
      <c r="BL1469" s="1452" t="str">
        <f t="shared" si="795"/>
        <v/>
      </c>
      <c r="BM1469" s="1452" t="str">
        <f t="shared" si="796"/>
        <v/>
      </c>
      <c r="BN1469" s="1452" t="str">
        <f t="shared" ca="1" si="797"/>
        <v/>
      </c>
      <c r="BO1469" s="1452" t="str">
        <f t="shared" si="810"/>
        <v/>
      </c>
      <c r="BP1469" s="1452" t="str">
        <f t="shared" si="798"/>
        <v/>
      </c>
      <c r="BQ1469" s="1452" t="str">
        <f t="shared" si="799"/>
        <v/>
      </c>
      <c r="BR1469" s="1452" t="str">
        <f t="shared" si="800"/>
        <v/>
      </c>
      <c r="BS1469" s="1452" t="str">
        <f t="shared" si="801"/>
        <v/>
      </c>
      <c r="BT1469" s="1452" t="str">
        <f t="shared" si="802"/>
        <v/>
      </c>
      <c r="BU1469" s="1452" t="str">
        <f t="shared" si="803"/>
        <v/>
      </c>
      <c r="BV1469" s="1452" t="str">
        <f t="shared" si="804"/>
        <v/>
      </c>
      <c r="BW1469" s="1558">
        <f t="shared" ca="1" si="811"/>
        <v>0</v>
      </c>
    </row>
    <row r="1470" spans="1:75" s="9" customFormat="1" ht="12.5">
      <c r="A1470" s="1483" t="str">
        <f t="shared" si="805"/>
        <v>Public Health Wales Trust</v>
      </c>
      <c r="B1470" s="1583"/>
      <c r="C1470" s="1583"/>
      <c r="D1470" s="1583"/>
      <c r="E1470" s="1581"/>
      <c r="F1470" s="1436"/>
      <c r="G1470" s="1547">
        <f t="shared" si="806"/>
        <v>0</v>
      </c>
      <c r="H1470" s="1484"/>
      <c r="I1470" s="1547">
        <f t="shared" si="807"/>
        <v>0</v>
      </c>
      <c r="J1470" s="1485"/>
      <c r="K1470" s="1485"/>
      <c r="L1470" s="1436"/>
      <c r="M1470" s="1439"/>
      <c r="N1470" s="1439"/>
      <c r="O1470" s="1485"/>
      <c r="P1470" s="1486"/>
      <c r="Q1470" s="1486"/>
      <c r="R1470" s="1487"/>
      <c r="S1470" s="1444"/>
      <c r="T1470" s="1444"/>
      <c r="U1470" s="1444"/>
      <c r="V1470" s="1488"/>
      <c r="W1470" s="1488"/>
      <c r="X1470" s="1488"/>
      <c r="Y1470" s="1488"/>
      <c r="Z1470" s="1488"/>
      <c r="AA1470" s="1488"/>
      <c r="AB1470" s="1488"/>
      <c r="AC1470" s="1488"/>
      <c r="AD1470" s="1488"/>
      <c r="AE1470" s="1488"/>
      <c r="AF1470" s="1488"/>
      <c r="AG1470" s="1488"/>
      <c r="AH1470" s="1451">
        <f t="shared" si="779"/>
        <v>0</v>
      </c>
      <c r="AI1470" s="1488"/>
      <c r="AJ1470" s="1488"/>
      <c r="AK1470" s="1488"/>
      <c r="AL1470" s="1488"/>
      <c r="AM1470" s="1488"/>
      <c r="AN1470" s="1488"/>
      <c r="AO1470" s="1488"/>
      <c r="AP1470" s="1488"/>
      <c r="AQ1470" s="1488"/>
      <c r="AR1470" s="1488"/>
      <c r="AS1470" s="1488"/>
      <c r="AT1470" s="1542"/>
      <c r="AU1470" s="1599">
        <f t="shared" si="780"/>
        <v>0</v>
      </c>
      <c r="AV1470" s="1544">
        <f t="shared" si="808"/>
        <v>0</v>
      </c>
      <c r="AW1470" s="1452">
        <f t="shared" si="781"/>
        <v>0</v>
      </c>
      <c r="AX1470" s="1452">
        <f t="shared" si="782"/>
        <v>0</v>
      </c>
      <c r="AY1470" s="1452">
        <f t="shared" si="783"/>
        <v>0</v>
      </c>
      <c r="AZ1470" s="1452">
        <f t="shared" si="784"/>
        <v>0</v>
      </c>
      <c r="BA1470" s="1452">
        <f t="shared" si="785"/>
        <v>0</v>
      </c>
      <c r="BB1470" s="1452">
        <f t="shared" si="786"/>
        <v>0</v>
      </c>
      <c r="BC1470" s="1452">
        <f t="shared" si="787"/>
        <v>0</v>
      </c>
      <c r="BD1470" s="1452">
        <f t="shared" si="788"/>
        <v>0</v>
      </c>
      <c r="BE1470" s="1452">
        <f t="shared" si="789"/>
        <v>0</v>
      </c>
      <c r="BF1470" s="1452">
        <f t="shared" si="790"/>
        <v>0</v>
      </c>
      <c r="BG1470" s="1452">
        <f t="shared" si="791"/>
        <v>0</v>
      </c>
      <c r="BH1470" s="1452">
        <f t="shared" si="792"/>
        <v>0</v>
      </c>
      <c r="BI1470" s="1452">
        <f t="shared" si="809"/>
        <v>0</v>
      </c>
      <c r="BJ1470" s="1452" t="str">
        <f t="shared" si="793"/>
        <v/>
      </c>
      <c r="BK1470" s="1452" t="str">
        <f t="shared" si="794"/>
        <v/>
      </c>
      <c r="BL1470" s="1452" t="str">
        <f t="shared" si="795"/>
        <v/>
      </c>
      <c r="BM1470" s="1452" t="str">
        <f t="shared" si="796"/>
        <v/>
      </c>
      <c r="BN1470" s="1452" t="str">
        <f t="shared" ca="1" si="797"/>
        <v/>
      </c>
      <c r="BO1470" s="1452" t="str">
        <f t="shared" si="810"/>
        <v/>
      </c>
      <c r="BP1470" s="1452" t="str">
        <f t="shared" si="798"/>
        <v/>
      </c>
      <c r="BQ1470" s="1452" t="str">
        <f t="shared" si="799"/>
        <v/>
      </c>
      <c r="BR1470" s="1452" t="str">
        <f t="shared" si="800"/>
        <v/>
      </c>
      <c r="BS1470" s="1452" t="str">
        <f t="shared" si="801"/>
        <v/>
      </c>
      <c r="BT1470" s="1452" t="str">
        <f t="shared" si="802"/>
        <v/>
      </c>
      <c r="BU1470" s="1452" t="str">
        <f t="shared" si="803"/>
        <v/>
      </c>
      <c r="BV1470" s="1452" t="str">
        <f t="shared" si="804"/>
        <v/>
      </c>
      <c r="BW1470" s="1558">
        <f t="shared" ca="1" si="811"/>
        <v>0</v>
      </c>
    </row>
    <row r="1471" spans="1:75" s="9" customFormat="1" ht="12.5">
      <c r="A1471" s="1483" t="str">
        <f t="shared" si="805"/>
        <v>Public Health Wales Trust</v>
      </c>
      <c r="B1471" s="1583"/>
      <c r="C1471" s="1583"/>
      <c r="D1471" s="1583"/>
      <c r="E1471" s="1581"/>
      <c r="F1471" s="1436"/>
      <c r="G1471" s="1547">
        <f t="shared" si="806"/>
        <v>0</v>
      </c>
      <c r="H1471" s="1484"/>
      <c r="I1471" s="1547">
        <f t="shared" si="807"/>
        <v>0</v>
      </c>
      <c r="J1471" s="1485"/>
      <c r="K1471" s="1485"/>
      <c r="L1471" s="1436"/>
      <c r="M1471" s="1439"/>
      <c r="N1471" s="1439"/>
      <c r="O1471" s="1485"/>
      <c r="P1471" s="1486"/>
      <c r="Q1471" s="1486"/>
      <c r="R1471" s="1487"/>
      <c r="S1471" s="1444"/>
      <c r="T1471" s="1444"/>
      <c r="U1471" s="1444"/>
      <c r="V1471" s="1488"/>
      <c r="W1471" s="1488"/>
      <c r="X1471" s="1488"/>
      <c r="Y1471" s="1488"/>
      <c r="Z1471" s="1488"/>
      <c r="AA1471" s="1488"/>
      <c r="AB1471" s="1488"/>
      <c r="AC1471" s="1488"/>
      <c r="AD1471" s="1488"/>
      <c r="AE1471" s="1488"/>
      <c r="AF1471" s="1488"/>
      <c r="AG1471" s="1488"/>
      <c r="AH1471" s="1451">
        <f t="shared" si="779"/>
        <v>0</v>
      </c>
      <c r="AI1471" s="1488"/>
      <c r="AJ1471" s="1488"/>
      <c r="AK1471" s="1488"/>
      <c r="AL1471" s="1488"/>
      <c r="AM1471" s="1488"/>
      <c r="AN1471" s="1488"/>
      <c r="AO1471" s="1488"/>
      <c r="AP1471" s="1488"/>
      <c r="AQ1471" s="1488"/>
      <c r="AR1471" s="1488"/>
      <c r="AS1471" s="1488"/>
      <c r="AT1471" s="1542"/>
      <c r="AU1471" s="1599">
        <f t="shared" si="780"/>
        <v>0</v>
      </c>
      <c r="AV1471" s="1544">
        <f t="shared" si="808"/>
        <v>0</v>
      </c>
      <c r="AW1471" s="1452">
        <f t="shared" si="781"/>
        <v>0</v>
      </c>
      <c r="AX1471" s="1452">
        <f t="shared" si="782"/>
        <v>0</v>
      </c>
      <c r="AY1471" s="1452">
        <f t="shared" si="783"/>
        <v>0</v>
      </c>
      <c r="AZ1471" s="1452">
        <f t="shared" si="784"/>
        <v>0</v>
      </c>
      <c r="BA1471" s="1452">
        <f t="shared" si="785"/>
        <v>0</v>
      </c>
      <c r="BB1471" s="1452">
        <f t="shared" si="786"/>
        <v>0</v>
      </c>
      <c r="BC1471" s="1452">
        <f t="shared" si="787"/>
        <v>0</v>
      </c>
      <c r="BD1471" s="1452">
        <f t="shared" si="788"/>
        <v>0</v>
      </c>
      <c r="BE1471" s="1452">
        <f t="shared" si="789"/>
        <v>0</v>
      </c>
      <c r="BF1471" s="1452">
        <f t="shared" si="790"/>
        <v>0</v>
      </c>
      <c r="BG1471" s="1452">
        <f t="shared" si="791"/>
        <v>0</v>
      </c>
      <c r="BH1471" s="1452">
        <f t="shared" si="792"/>
        <v>0</v>
      </c>
      <c r="BI1471" s="1452">
        <f t="shared" si="809"/>
        <v>0</v>
      </c>
      <c r="BJ1471" s="1452" t="str">
        <f t="shared" si="793"/>
        <v/>
      </c>
      <c r="BK1471" s="1452" t="str">
        <f t="shared" si="794"/>
        <v/>
      </c>
      <c r="BL1471" s="1452" t="str">
        <f t="shared" si="795"/>
        <v/>
      </c>
      <c r="BM1471" s="1452" t="str">
        <f t="shared" si="796"/>
        <v/>
      </c>
      <c r="BN1471" s="1452" t="str">
        <f t="shared" ca="1" si="797"/>
        <v/>
      </c>
      <c r="BO1471" s="1452" t="str">
        <f t="shared" si="810"/>
        <v/>
      </c>
      <c r="BP1471" s="1452" t="str">
        <f t="shared" si="798"/>
        <v/>
      </c>
      <c r="BQ1471" s="1452" t="str">
        <f t="shared" si="799"/>
        <v/>
      </c>
      <c r="BR1471" s="1452" t="str">
        <f t="shared" si="800"/>
        <v/>
      </c>
      <c r="BS1471" s="1452" t="str">
        <f t="shared" si="801"/>
        <v/>
      </c>
      <c r="BT1471" s="1452" t="str">
        <f t="shared" si="802"/>
        <v/>
      </c>
      <c r="BU1471" s="1452" t="str">
        <f t="shared" si="803"/>
        <v/>
      </c>
      <c r="BV1471" s="1452" t="str">
        <f t="shared" si="804"/>
        <v/>
      </c>
      <c r="BW1471" s="1558">
        <f t="shared" ca="1" si="811"/>
        <v>0</v>
      </c>
    </row>
    <row r="1472" spans="1:75" s="9" customFormat="1" ht="12.5">
      <c r="A1472" s="1483" t="str">
        <f t="shared" si="805"/>
        <v>Public Health Wales Trust</v>
      </c>
      <c r="B1472" s="1583"/>
      <c r="C1472" s="1583"/>
      <c r="D1472" s="1583"/>
      <c r="E1472" s="1581"/>
      <c r="F1472" s="1436"/>
      <c r="G1472" s="1547">
        <f t="shared" si="806"/>
        <v>0</v>
      </c>
      <c r="H1472" s="1484"/>
      <c r="I1472" s="1547">
        <f t="shared" si="807"/>
        <v>0</v>
      </c>
      <c r="J1472" s="1485"/>
      <c r="K1472" s="1485"/>
      <c r="L1472" s="1436"/>
      <c r="M1472" s="1439"/>
      <c r="N1472" s="1439"/>
      <c r="O1472" s="1485"/>
      <c r="P1472" s="1486"/>
      <c r="Q1472" s="1486"/>
      <c r="R1472" s="1487"/>
      <c r="S1472" s="1444"/>
      <c r="T1472" s="1444"/>
      <c r="U1472" s="1444"/>
      <c r="V1472" s="1488"/>
      <c r="W1472" s="1488"/>
      <c r="X1472" s="1488"/>
      <c r="Y1472" s="1488"/>
      <c r="Z1472" s="1488"/>
      <c r="AA1472" s="1488"/>
      <c r="AB1472" s="1488"/>
      <c r="AC1472" s="1488"/>
      <c r="AD1472" s="1488"/>
      <c r="AE1472" s="1488"/>
      <c r="AF1472" s="1488"/>
      <c r="AG1472" s="1488"/>
      <c r="AH1472" s="1451">
        <f t="shared" si="779"/>
        <v>0</v>
      </c>
      <c r="AI1472" s="1488"/>
      <c r="AJ1472" s="1488"/>
      <c r="AK1472" s="1488"/>
      <c r="AL1472" s="1488"/>
      <c r="AM1472" s="1488"/>
      <c r="AN1472" s="1488"/>
      <c r="AO1472" s="1488"/>
      <c r="AP1472" s="1488"/>
      <c r="AQ1472" s="1488"/>
      <c r="AR1472" s="1488"/>
      <c r="AS1472" s="1488"/>
      <c r="AT1472" s="1542"/>
      <c r="AU1472" s="1599">
        <f t="shared" si="780"/>
        <v>0</v>
      </c>
      <c r="AV1472" s="1544">
        <f t="shared" si="808"/>
        <v>0</v>
      </c>
      <c r="AW1472" s="1452">
        <f t="shared" ref="AW1472:AW1482" si="812">AI1472-V1472</f>
        <v>0</v>
      </c>
      <c r="AX1472" s="1452">
        <f t="shared" ref="AX1472:AX1482" si="813">AJ1472-W1472</f>
        <v>0</v>
      </c>
      <c r="AY1472" s="1452">
        <f t="shared" ref="AY1472:AY1482" si="814">AK1472-X1472</f>
        <v>0</v>
      </c>
      <c r="AZ1472" s="1452">
        <f t="shared" ref="AZ1472:AZ1482" si="815">AL1472-Y1472</f>
        <v>0</v>
      </c>
      <c r="BA1472" s="1452">
        <f t="shared" ref="BA1472:BA1482" si="816">AM1472-Z1472</f>
        <v>0</v>
      </c>
      <c r="BB1472" s="1452">
        <f t="shared" ref="BB1472:BB1482" si="817">AN1472-AA1472</f>
        <v>0</v>
      </c>
      <c r="BC1472" s="1452">
        <f t="shared" ref="BC1472:BE1496" si="818">AO1472-AB1472</f>
        <v>0</v>
      </c>
      <c r="BD1472" s="1452">
        <f t="shared" si="818"/>
        <v>0</v>
      </c>
      <c r="BE1472" s="1452">
        <f t="shared" si="818"/>
        <v>0</v>
      </c>
      <c r="BF1472" s="1452">
        <f t="shared" ref="BF1472:BF1496" si="819">AR1472-AE1472</f>
        <v>0</v>
      </c>
      <c r="BG1472" s="1452">
        <f t="shared" ref="BG1472:BG1496" si="820">AS1472-AF1472</f>
        <v>0</v>
      </c>
      <c r="BH1472" s="1452">
        <f t="shared" ref="BH1472:BH1496" si="821">AT1472-AG1472</f>
        <v>0</v>
      </c>
      <c r="BI1472" s="1452">
        <f t="shared" si="809"/>
        <v>0</v>
      </c>
      <c r="BJ1472" s="1452" t="str">
        <f t="shared" si="793"/>
        <v/>
      </c>
      <c r="BK1472" s="1452" t="str">
        <f t="shared" si="794"/>
        <v/>
      </c>
      <c r="BL1472" s="1452" t="str">
        <f t="shared" si="795"/>
        <v/>
      </c>
      <c r="BM1472" s="1452" t="str">
        <f t="shared" si="796"/>
        <v/>
      </c>
      <c r="BN1472" s="1452" t="str">
        <f t="shared" ca="1" si="797"/>
        <v/>
      </c>
      <c r="BO1472" s="1452" t="str">
        <f t="shared" si="810"/>
        <v/>
      </c>
      <c r="BP1472" s="1452" t="str">
        <f t="shared" si="798"/>
        <v/>
      </c>
      <c r="BQ1472" s="1452" t="str">
        <f t="shared" si="799"/>
        <v/>
      </c>
      <c r="BR1472" s="1452" t="str">
        <f t="shared" si="800"/>
        <v/>
      </c>
      <c r="BS1472" s="1452" t="str">
        <f t="shared" si="801"/>
        <v/>
      </c>
      <c r="BT1472" s="1452" t="str">
        <f t="shared" si="802"/>
        <v/>
      </c>
      <c r="BU1472" s="1452" t="str">
        <f t="shared" si="803"/>
        <v/>
      </c>
      <c r="BV1472" s="1452" t="str">
        <f t="shared" si="804"/>
        <v/>
      </c>
      <c r="BW1472" s="1558">
        <f t="shared" ca="1" si="811"/>
        <v>0</v>
      </c>
    </row>
    <row r="1473" spans="1:75" s="9" customFormat="1" ht="12.5">
      <c r="A1473" s="1483" t="str">
        <f t="shared" si="805"/>
        <v>Public Health Wales Trust</v>
      </c>
      <c r="B1473" s="1583"/>
      <c r="C1473" s="1583"/>
      <c r="D1473" s="1583"/>
      <c r="E1473" s="1581"/>
      <c r="F1473" s="1436"/>
      <c r="G1473" s="1547">
        <f t="shared" si="806"/>
        <v>0</v>
      </c>
      <c r="H1473" s="1484"/>
      <c r="I1473" s="1547">
        <f t="shared" si="807"/>
        <v>0</v>
      </c>
      <c r="J1473" s="1485"/>
      <c r="K1473" s="1485"/>
      <c r="L1473" s="1436"/>
      <c r="M1473" s="1439"/>
      <c r="N1473" s="1439"/>
      <c r="O1473" s="1485"/>
      <c r="P1473" s="1486"/>
      <c r="Q1473" s="1486"/>
      <c r="R1473" s="1487"/>
      <c r="S1473" s="1444"/>
      <c r="T1473" s="1444"/>
      <c r="U1473" s="1444"/>
      <c r="V1473" s="1488"/>
      <c r="W1473" s="1488"/>
      <c r="X1473" s="1488"/>
      <c r="Y1473" s="1488"/>
      <c r="Z1473" s="1488"/>
      <c r="AA1473" s="1488"/>
      <c r="AB1473" s="1488"/>
      <c r="AC1473" s="1488"/>
      <c r="AD1473" s="1488"/>
      <c r="AE1473" s="1488"/>
      <c r="AF1473" s="1488"/>
      <c r="AG1473" s="1488"/>
      <c r="AH1473" s="1451">
        <f t="shared" si="779"/>
        <v>0</v>
      </c>
      <c r="AI1473" s="1488"/>
      <c r="AJ1473" s="1488"/>
      <c r="AK1473" s="1488"/>
      <c r="AL1473" s="1488"/>
      <c r="AM1473" s="1488"/>
      <c r="AN1473" s="1488"/>
      <c r="AO1473" s="1488"/>
      <c r="AP1473" s="1488"/>
      <c r="AQ1473" s="1488"/>
      <c r="AR1473" s="1488"/>
      <c r="AS1473" s="1488"/>
      <c r="AT1473" s="1542"/>
      <c r="AU1473" s="1599">
        <f t="shared" si="780"/>
        <v>0</v>
      </c>
      <c r="AV1473" s="1544">
        <f t="shared" si="808"/>
        <v>0</v>
      </c>
      <c r="AW1473" s="1452">
        <f t="shared" si="812"/>
        <v>0</v>
      </c>
      <c r="AX1473" s="1452">
        <f t="shared" si="813"/>
        <v>0</v>
      </c>
      <c r="AY1473" s="1452">
        <f t="shared" si="814"/>
        <v>0</v>
      </c>
      <c r="AZ1473" s="1452">
        <f t="shared" si="815"/>
        <v>0</v>
      </c>
      <c r="BA1473" s="1452">
        <f t="shared" si="816"/>
        <v>0</v>
      </c>
      <c r="BB1473" s="1452">
        <f t="shared" si="817"/>
        <v>0</v>
      </c>
      <c r="BC1473" s="1452">
        <f t="shared" si="818"/>
        <v>0</v>
      </c>
      <c r="BD1473" s="1452">
        <f t="shared" si="818"/>
        <v>0</v>
      </c>
      <c r="BE1473" s="1452">
        <f t="shared" si="818"/>
        <v>0</v>
      </c>
      <c r="BF1473" s="1452">
        <f t="shared" si="819"/>
        <v>0</v>
      </c>
      <c r="BG1473" s="1452">
        <f t="shared" si="820"/>
        <v>0</v>
      </c>
      <c r="BH1473" s="1452">
        <f t="shared" si="821"/>
        <v>0</v>
      </c>
      <c r="BI1473" s="1452">
        <f t="shared" si="809"/>
        <v>0</v>
      </c>
      <c r="BJ1473" s="1452" t="str">
        <f t="shared" si="793"/>
        <v/>
      </c>
      <c r="BK1473" s="1452" t="str">
        <f t="shared" si="794"/>
        <v/>
      </c>
      <c r="BL1473" s="1452" t="str">
        <f t="shared" si="795"/>
        <v/>
      </c>
      <c r="BM1473" s="1452" t="str">
        <f t="shared" si="796"/>
        <v/>
      </c>
      <c r="BN1473" s="1452" t="str">
        <f t="shared" ca="1" si="797"/>
        <v/>
      </c>
      <c r="BO1473" s="1452" t="str">
        <f t="shared" si="810"/>
        <v/>
      </c>
      <c r="BP1473" s="1452" t="str">
        <f t="shared" si="798"/>
        <v/>
      </c>
      <c r="BQ1473" s="1452" t="str">
        <f t="shared" si="799"/>
        <v/>
      </c>
      <c r="BR1473" s="1452" t="str">
        <f t="shared" si="800"/>
        <v/>
      </c>
      <c r="BS1473" s="1452" t="str">
        <f t="shared" si="801"/>
        <v/>
      </c>
      <c r="BT1473" s="1452" t="str">
        <f t="shared" si="802"/>
        <v/>
      </c>
      <c r="BU1473" s="1452" t="str">
        <f t="shared" si="803"/>
        <v/>
      </c>
      <c r="BV1473" s="1452" t="str">
        <f t="shared" si="804"/>
        <v/>
      </c>
      <c r="BW1473" s="1558">
        <f t="shared" ca="1" si="811"/>
        <v>0</v>
      </c>
    </row>
    <row r="1474" spans="1:75" s="9" customFormat="1" ht="12.5">
      <c r="A1474" s="1483" t="str">
        <f t="shared" si="805"/>
        <v>Public Health Wales Trust</v>
      </c>
      <c r="B1474" s="1583"/>
      <c r="C1474" s="1583"/>
      <c r="D1474" s="1583"/>
      <c r="E1474" s="1581"/>
      <c r="F1474" s="1436"/>
      <c r="G1474" s="1547">
        <f t="shared" si="806"/>
        <v>0</v>
      </c>
      <c r="H1474" s="1484"/>
      <c r="I1474" s="1547">
        <f t="shared" si="807"/>
        <v>0</v>
      </c>
      <c r="J1474" s="1485"/>
      <c r="K1474" s="1485"/>
      <c r="L1474" s="1436"/>
      <c r="M1474" s="1439"/>
      <c r="N1474" s="1439"/>
      <c r="O1474" s="1485"/>
      <c r="P1474" s="1486"/>
      <c r="Q1474" s="1486"/>
      <c r="R1474" s="1487"/>
      <c r="S1474" s="1444"/>
      <c r="T1474" s="1444"/>
      <c r="U1474" s="1444"/>
      <c r="V1474" s="1488"/>
      <c r="W1474" s="1488"/>
      <c r="X1474" s="1488"/>
      <c r="Y1474" s="1488"/>
      <c r="Z1474" s="1488"/>
      <c r="AA1474" s="1488"/>
      <c r="AB1474" s="1488"/>
      <c r="AC1474" s="1488"/>
      <c r="AD1474" s="1488"/>
      <c r="AE1474" s="1488"/>
      <c r="AF1474" s="1488"/>
      <c r="AG1474" s="1488"/>
      <c r="AH1474" s="1451">
        <f t="shared" si="779"/>
        <v>0</v>
      </c>
      <c r="AI1474" s="1488"/>
      <c r="AJ1474" s="1488"/>
      <c r="AK1474" s="1488"/>
      <c r="AL1474" s="1488"/>
      <c r="AM1474" s="1488"/>
      <c r="AN1474" s="1488"/>
      <c r="AO1474" s="1488"/>
      <c r="AP1474" s="1488"/>
      <c r="AQ1474" s="1488"/>
      <c r="AR1474" s="1488"/>
      <c r="AS1474" s="1488"/>
      <c r="AT1474" s="1542"/>
      <c r="AU1474" s="1599">
        <f t="shared" si="780"/>
        <v>0</v>
      </c>
      <c r="AV1474" s="1544">
        <f t="shared" si="808"/>
        <v>0</v>
      </c>
      <c r="AW1474" s="1452">
        <f t="shared" si="812"/>
        <v>0</v>
      </c>
      <c r="AX1474" s="1452">
        <f t="shared" si="813"/>
        <v>0</v>
      </c>
      <c r="AY1474" s="1452">
        <f t="shared" si="814"/>
        <v>0</v>
      </c>
      <c r="AZ1474" s="1452">
        <f t="shared" si="815"/>
        <v>0</v>
      </c>
      <c r="BA1474" s="1452">
        <f t="shared" si="816"/>
        <v>0</v>
      </c>
      <c r="BB1474" s="1452">
        <f t="shared" si="817"/>
        <v>0</v>
      </c>
      <c r="BC1474" s="1452">
        <f t="shared" si="818"/>
        <v>0</v>
      </c>
      <c r="BD1474" s="1452">
        <f t="shared" si="818"/>
        <v>0</v>
      </c>
      <c r="BE1474" s="1452">
        <f t="shared" si="818"/>
        <v>0</v>
      </c>
      <c r="BF1474" s="1452">
        <f t="shared" si="819"/>
        <v>0</v>
      </c>
      <c r="BG1474" s="1452">
        <f t="shared" si="820"/>
        <v>0</v>
      </c>
      <c r="BH1474" s="1452">
        <f t="shared" si="821"/>
        <v>0</v>
      </c>
      <c r="BI1474" s="1452">
        <f t="shared" si="809"/>
        <v>0</v>
      </c>
      <c r="BJ1474" s="1452" t="str">
        <f t="shared" si="793"/>
        <v/>
      </c>
      <c r="BK1474" s="1452" t="str">
        <f t="shared" si="794"/>
        <v/>
      </c>
      <c r="BL1474" s="1452" t="str">
        <f t="shared" si="795"/>
        <v/>
      </c>
      <c r="BM1474" s="1452" t="str">
        <f t="shared" si="796"/>
        <v/>
      </c>
      <c r="BN1474" s="1452" t="str">
        <f t="shared" ca="1" si="797"/>
        <v/>
      </c>
      <c r="BO1474" s="1452" t="str">
        <f t="shared" si="810"/>
        <v/>
      </c>
      <c r="BP1474" s="1452" t="str">
        <f t="shared" si="798"/>
        <v/>
      </c>
      <c r="BQ1474" s="1452" t="str">
        <f t="shared" si="799"/>
        <v/>
      </c>
      <c r="BR1474" s="1452" t="str">
        <f t="shared" si="800"/>
        <v/>
      </c>
      <c r="BS1474" s="1452" t="str">
        <f t="shared" si="801"/>
        <v/>
      </c>
      <c r="BT1474" s="1452" t="str">
        <f t="shared" si="802"/>
        <v/>
      </c>
      <c r="BU1474" s="1452" t="str">
        <f t="shared" si="803"/>
        <v/>
      </c>
      <c r="BV1474" s="1452" t="str">
        <f t="shared" si="804"/>
        <v/>
      </c>
      <c r="BW1474" s="1558">
        <f t="shared" ca="1" si="811"/>
        <v>0</v>
      </c>
    </row>
    <row r="1475" spans="1:75" s="9" customFormat="1" ht="12.5">
      <c r="A1475" s="1483" t="str">
        <f t="shared" si="805"/>
        <v>Public Health Wales Trust</v>
      </c>
      <c r="B1475" s="1583"/>
      <c r="C1475" s="1583"/>
      <c r="D1475" s="1583"/>
      <c r="E1475" s="1581"/>
      <c r="F1475" s="1436"/>
      <c r="G1475" s="1547">
        <f t="shared" si="806"/>
        <v>0</v>
      </c>
      <c r="H1475" s="1484"/>
      <c r="I1475" s="1547">
        <f t="shared" si="807"/>
        <v>0</v>
      </c>
      <c r="J1475" s="1485"/>
      <c r="K1475" s="1485"/>
      <c r="L1475" s="1436"/>
      <c r="M1475" s="1439"/>
      <c r="N1475" s="1439"/>
      <c r="O1475" s="1485"/>
      <c r="P1475" s="1486"/>
      <c r="Q1475" s="1486"/>
      <c r="R1475" s="1487"/>
      <c r="S1475" s="1444"/>
      <c r="T1475" s="1444"/>
      <c r="U1475" s="1444"/>
      <c r="V1475" s="1488"/>
      <c r="W1475" s="1488"/>
      <c r="X1475" s="1488"/>
      <c r="Y1475" s="1488"/>
      <c r="Z1475" s="1488"/>
      <c r="AA1475" s="1488"/>
      <c r="AB1475" s="1488"/>
      <c r="AC1475" s="1488"/>
      <c r="AD1475" s="1488"/>
      <c r="AE1475" s="1488"/>
      <c r="AF1475" s="1488"/>
      <c r="AG1475" s="1488"/>
      <c r="AH1475" s="1451">
        <f t="shared" si="779"/>
        <v>0</v>
      </c>
      <c r="AI1475" s="1488"/>
      <c r="AJ1475" s="1488"/>
      <c r="AK1475" s="1488"/>
      <c r="AL1475" s="1488"/>
      <c r="AM1475" s="1488"/>
      <c r="AN1475" s="1488"/>
      <c r="AO1475" s="1488"/>
      <c r="AP1475" s="1488"/>
      <c r="AQ1475" s="1488"/>
      <c r="AR1475" s="1488"/>
      <c r="AS1475" s="1488"/>
      <c r="AT1475" s="1542"/>
      <c r="AU1475" s="1599">
        <f t="shared" si="780"/>
        <v>0</v>
      </c>
      <c r="AV1475" s="1544">
        <f t="shared" si="808"/>
        <v>0</v>
      </c>
      <c r="AW1475" s="1452">
        <f t="shared" si="812"/>
        <v>0</v>
      </c>
      <c r="AX1475" s="1452">
        <f t="shared" si="813"/>
        <v>0</v>
      </c>
      <c r="AY1475" s="1452">
        <f t="shared" si="814"/>
        <v>0</v>
      </c>
      <c r="AZ1475" s="1452">
        <f t="shared" si="815"/>
        <v>0</v>
      </c>
      <c r="BA1475" s="1452">
        <f t="shared" si="816"/>
        <v>0</v>
      </c>
      <c r="BB1475" s="1452">
        <f t="shared" si="817"/>
        <v>0</v>
      </c>
      <c r="BC1475" s="1452">
        <f t="shared" si="818"/>
        <v>0</v>
      </c>
      <c r="BD1475" s="1452">
        <f t="shared" si="818"/>
        <v>0</v>
      </c>
      <c r="BE1475" s="1452">
        <f t="shared" si="818"/>
        <v>0</v>
      </c>
      <c r="BF1475" s="1452">
        <f t="shared" si="819"/>
        <v>0</v>
      </c>
      <c r="BG1475" s="1452">
        <f t="shared" si="820"/>
        <v>0</v>
      </c>
      <c r="BH1475" s="1452">
        <f t="shared" si="821"/>
        <v>0</v>
      </c>
      <c r="BI1475" s="1452">
        <f t="shared" si="809"/>
        <v>0</v>
      </c>
      <c r="BJ1475" s="1452" t="str">
        <f t="shared" si="793"/>
        <v/>
      </c>
      <c r="BK1475" s="1452" t="str">
        <f t="shared" si="794"/>
        <v/>
      </c>
      <c r="BL1475" s="1452" t="str">
        <f t="shared" si="795"/>
        <v/>
      </c>
      <c r="BM1475" s="1452" t="str">
        <f t="shared" si="796"/>
        <v/>
      </c>
      <c r="BN1475" s="1452" t="str">
        <f t="shared" ca="1" si="797"/>
        <v/>
      </c>
      <c r="BO1475" s="1452" t="str">
        <f t="shared" si="810"/>
        <v/>
      </c>
      <c r="BP1475" s="1452" t="str">
        <f t="shared" si="798"/>
        <v/>
      </c>
      <c r="BQ1475" s="1452" t="str">
        <f t="shared" si="799"/>
        <v/>
      </c>
      <c r="BR1475" s="1452" t="str">
        <f t="shared" si="800"/>
        <v/>
      </c>
      <c r="BS1475" s="1452" t="str">
        <f t="shared" si="801"/>
        <v/>
      </c>
      <c r="BT1475" s="1452" t="str">
        <f t="shared" si="802"/>
        <v/>
      </c>
      <c r="BU1475" s="1452" t="str">
        <f t="shared" si="803"/>
        <v/>
      </c>
      <c r="BV1475" s="1452" t="str">
        <f t="shared" si="804"/>
        <v/>
      </c>
      <c r="BW1475" s="1558">
        <f t="shared" ca="1" si="811"/>
        <v>0</v>
      </c>
    </row>
    <row r="1476" spans="1:75" s="9" customFormat="1" ht="12.5">
      <c r="A1476" s="1483" t="str">
        <f t="shared" si="805"/>
        <v>Public Health Wales Trust</v>
      </c>
      <c r="B1476" s="1583"/>
      <c r="C1476" s="1583"/>
      <c r="D1476" s="1583"/>
      <c r="E1476" s="1581"/>
      <c r="F1476" s="1436"/>
      <c r="G1476" s="1547">
        <f t="shared" si="806"/>
        <v>0</v>
      </c>
      <c r="H1476" s="1484"/>
      <c r="I1476" s="1547">
        <f t="shared" si="807"/>
        <v>0</v>
      </c>
      <c r="J1476" s="1485"/>
      <c r="K1476" s="1485"/>
      <c r="L1476" s="1436"/>
      <c r="M1476" s="1439"/>
      <c r="N1476" s="1439"/>
      <c r="O1476" s="1485"/>
      <c r="P1476" s="1486"/>
      <c r="Q1476" s="1486"/>
      <c r="R1476" s="1487"/>
      <c r="S1476" s="1444"/>
      <c r="T1476" s="1444"/>
      <c r="U1476" s="1444"/>
      <c r="V1476" s="1488"/>
      <c r="W1476" s="1488"/>
      <c r="X1476" s="1488"/>
      <c r="Y1476" s="1488"/>
      <c r="Z1476" s="1488"/>
      <c r="AA1476" s="1488"/>
      <c r="AB1476" s="1488"/>
      <c r="AC1476" s="1488"/>
      <c r="AD1476" s="1488"/>
      <c r="AE1476" s="1488"/>
      <c r="AF1476" s="1488"/>
      <c r="AG1476" s="1488"/>
      <c r="AH1476" s="1451">
        <f t="shared" si="779"/>
        <v>0</v>
      </c>
      <c r="AI1476" s="1488"/>
      <c r="AJ1476" s="1488"/>
      <c r="AK1476" s="1488"/>
      <c r="AL1476" s="1488"/>
      <c r="AM1476" s="1488"/>
      <c r="AN1476" s="1488"/>
      <c r="AO1476" s="1488"/>
      <c r="AP1476" s="1488"/>
      <c r="AQ1476" s="1488"/>
      <c r="AR1476" s="1488"/>
      <c r="AS1476" s="1488"/>
      <c r="AT1476" s="1542"/>
      <c r="AU1476" s="1599">
        <f t="shared" si="780"/>
        <v>0</v>
      </c>
      <c r="AV1476" s="1544">
        <f t="shared" si="808"/>
        <v>0</v>
      </c>
      <c r="AW1476" s="1452">
        <f t="shared" si="812"/>
        <v>0</v>
      </c>
      <c r="AX1476" s="1452">
        <f t="shared" si="813"/>
        <v>0</v>
      </c>
      <c r="AY1476" s="1452">
        <f t="shared" si="814"/>
        <v>0</v>
      </c>
      <c r="AZ1476" s="1452">
        <f t="shared" si="815"/>
        <v>0</v>
      </c>
      <c r="BA1476" s="1452">
        <f t="shared" si="816"/>
        <v>0</v>
      </c>
      <c r="BB1476" s="1452">
        <f t="shared" si="817"/>
        <v>0</v>
      </c>
      <c r="BC1476" s="1452">
        <f t="shared" si="818"/>
        <v>0</v>
      </c>
      <c r="BD1476" s="1452">
        <f t="shared" si="818"/>
        <v>0</v>
      </c>
      <c r="BE1476" s="1452">
        <f t="shared" si="818"/>
        <v>0</v>
      </c>
      <c r="BF1476" s="1452">
        <f t="shared" si="819"/>
        <v>0</v>
      </c>
      <c r="BG1476" s="1452">
        <f t="shared" si="820"/>
        <v>0</v>
      </c>
      <c r="BH1476" s="1452">
        <f t="shared" si="821"/>
        <v>0</v>
      </c>
      <c r="BI1476" s="1452">
        <f t="shared" si="809"/>
        <v>0</v>
      </c>
      <c r="BJ1476" s="1452" t="str">
        <f t="shared" si="793"/>
        <v/>
      </c>
      <c r="BK1476" s="1452" t="str">
        <f t="shared" si="794"/>
        <v/>
      </c>
      <c r="BL1476" s="1452" t="str">
        <f t="shared" si="795"/>
        <v/>
      </c>
      <c r="BM1476" s="1452" t="str">
        <f t="shared" si="796"/>
        <v/>
      </c>
      <c r="BN1476" s="1452" t="str">
        <f t="shared" ca="1" si="797"/>
        <v/>
      </c>
      <c r="BO1476" s="1452" t="str">
        <f t="shared" si="810"/>
        <v/>
      </c>
      <c r="BP1476" s="1452" t="str">
        <f t="shared" si="798"/>
        <v/>
      </c>
      <c r="BQ1476" s="1452" t="str">
        <f t="shared" si="799"/>
        <v/>
      </c>
      <c r="BR1476" s="1452" t="str">
        <f t="shared" si="800"/>
        <v/>
      </c>
      <c r="BS1476" s="1452" t="str">
        <f t="shared" si="801"/>
        <v/>
      </c>
      <c r="BT1476" s="1452" t="str">
        <f t="shared" si="802"/>
        <v/>
      </c>
      <c r="BU1476" s="1452" t="str">
        <f t="shared" si="803"/>
        <v/>
      </c>
      <c r="BV1476" s="1452" t="str">
        <f t="shared" si="804"/>
        <v/>
      </c>
      <c r="BW1476" s="1558">
        <f t="shared" ca="1" si="811"/>
        <v>0</v>
      </c>
    </row>
    <row r="1477" spans="1:75" s="9" customFormat="1" ht="12.5">
      <c r="A1477" s="1483" t="str">
        <f t="shared" si="805"/>
        <v>Public Health Wales Trust</v>
      </c>
      <c r="B1477" s="1583"/>
      <c r="C1477" s="1583"/>
      <c r="D1477" s="1583"/>
      <c r="E1477" s="1581"/>
      <c r="F1477" s="1436"/>
      <c r="G1477" s="1547">
        <f t="shared" si="806"/>
        <v>0</v>
      </c>
      <c r="H1477" s="1484"/>
      <c r="I1477" s="1547">
        <f t="shared" si="807"/>
        <v>0</v>
      </c>
      <c r="J1477" s="1485"/>
      <c r="K1477" s="1485"/>
      <c r="L1477" s="1436"/>
      <c r="M1477" s="1439"/>
      <c r="N1477" s="1439"/>
      <c r="O1477" s="1485"/>
      <c r="P1477" s="1486"/>
      <c r="Q1477" s="1486"/>
      <c r="R1477" s="1487"/>
      <c r="S1477" s="1444"/>
      <c r="T1477" s="1444"/>
      <c r="U1477" s="1444"/>
      <c r="V1477" s="1488"/>
      <c r="W1477" s="1488"/>
      <c r="X1477" s="1488"/>
      <c r="Y1477" s="1488"/>
      <c r="Z1477" s="1488"/>
      <c r="AA1477" s="1488"/>
      <c r="AB1477" s="1488"/>
      <c r="AC1477" s="1488"/>
      <c r="AD1477" s="1488"/>
      <c r="AE1477" s="1488"/>
      <c r="AF1477" s="1488"/>
      <c r="AG1477" s="1488"/>
      <c r="AH1477" s="1451">
        <f t="shared" si="779"/>
        <v>0</v>
      </c>
      <c r="AI1477" s="1488"/>
      <c r="AJ1477" s="1488"/>
      <c r="AK1477" s="1488"/>
      <c r="AL1477" s="1488"/>
      <c r="AM1477" s="1488"/>
      <c r="AN1477" s="1488"/>
      <c r="AO1477" s="1488"/>
      <c r="AP1477" s="1488"/>
      <c r="AQ1477" s="1488"/>
      <c r="AR1477" s="1488"/>
      <c r="AS1477" s="1488"/>
      <c r="AT1477" s="1542"/>
      <c r="AU1477" s="1599">
        <f t="shared" si="780"/>
        <v>0</v>
      </c>
      <c r="AV1477" s="1544">
        <f t="shared" si="808"/>
        <v>0</v>
      </c>
      <c r="AW1477" s="1452">
        <f t="shared" si="812"/>
        <v>0</v>
      </c>
      <c r="AX1477" s="1452">
        <f t="shared" si="813"/>
        <v>0</v>
      </c>
      <c r="AY1477" s="1452">
        <f t="shared" si="814"/>
        <v>0</v>
      </c>
      <c r="AZ1477" s="1452">
        <f t="shared" si="815"/>
        <v>0</v>
      </c>
      <c r="BA1477" s="1452">
        <f t="shared" si="816"/>
        <v>0</v>
      </c>
      <c r="BB1477" s="1452">
        <f t="shared" si="817"/>
        <v>0</v>
      </c>
      <c r="BC1477" s="1452">
        <f t="shared" si="818"/>
        <v>0</v>
      </c>
      <c r="BD1477" s="1452">
        <f t="shared" si="818"/>
        <v>0</v>
      </c>
      <c r="BE1477" s="1452">
        <f t="shared" si="818"/>
        <v>0</v>
      </c>
      <c r="BF1477" s="1452">
        <f t="shared" si="819"/>
        <v>0</v>
      </c>
      <c r="BG1477" s="1452">
        <f t="shared" si="820"/>
        <v>0</v>
      </c>
      <c r="BH1477" s="1452">
        <f t="shared" si="821"/>
        <v>0</v>
      </c>
      <c r="BI1477" s="1452">
        <f t="shared" si="809"/>
        <v>0</v>
      </c>
      <c r="BJ1477" s="1452" t="str">
        <f t="shared" si="793"/>
        <v/>
      </c>
      <c r="BK1477" s="1452" t="str">
        <f t="shared" si="794"/>
        <v/>
      </c>
      <c r="BL1477" s="1452" t="str">
        <f t="shared" si="795"/>
        <v/>
      </c>
      <c r="BM1477" s="1452" t="str">
        <f t="shared" si="796"/>
        <v/>
      </c>
      <c r="BN1477" s="1452" t="str">
        <f t="shared" ca="1" si="797"/>
        <v/>
      </c>
      <c r="BO1477" s="1452" t="str">
        <f t="shared" si="810"/>
        <v/>
      </c>
      <c r="BP1477" s="1452" t="str">
        <f t="shared" si="798"/>
        <v/>
      </c>
      <c r="BQ1477" s="1452" t="str">
        <f t="shared" si="799"/>
        <v/>
      </c>
      <c r="BR1477" s="1452" t="str">
        <f t="shared" si="800"/>
        <v/>
      </c>
      <c r="BS1477" s="1452" t="str">
        <f t="shared" si="801"/>
        <v/>
      </c>
      <c r="BT1477" s="1452" t="str">
        <f t="shared" si="802"/>
        <v/>
      </c>
      <c r="BU1477" s="1452" t="str">
        <f t="shared" si="803"/>
        <v/>
      </c>
      <c r="BV1477" s="1452" t="str">
        <f t="shared" si="804"/>
        <v/>
      </c>
      <c r="BW1477" s="1558">
        <f t="shared" ca="1" si="811"/>
        <v>0</v>
      </c>
    </row>
    <row r="1478" spans="1:75" s="9" customFormat="1" ht="12.5">
      <c r="A1478" s="1483" t="str">
        <f t="shared" si="805"/>
        <v>Public Health Wales Trust</v>
      </c>
      <c r="B1478" s="1583"/>
      <c r="C1478" s="1583"/>
      <c r="D1478" s="1583"/>
      <c r="E1478" s="1581"/>
      <c r="F1478" s="1436"/>
      <c r="G1478" s="1547">
        <f t="shared" si="806"/>
        <v>0</v>
      </c>
      <c r="H1478" s="1484"/>
      <c r="I1478" s="1547">
        <f t="shared" si="807"/>
        <v>0</v>
      </c>
      <c r="J1478" s="1485"/>
      <c r="K1478" s="1485"/>
      <c r="L1478" s="1436"/>
      <c r="M1478" s="1439"/>
      <c r="N1478" s="1439"/>
      <c r="O1478" s="1485"/>
      <c r="P1478" s="1486"/>
      <c r="Q1478" s="1486"/>
      <c r="R1478" s="1487"/>
      <c r="S1478" s="1444"/>
      <c r="T1478" s="1444"/>
      <c r="U1478" s="1444"/>
      <c r="V1478" s="1488"/>
      <c r="W1478" s="1488"/>
      <c r="X1478" s="1488"/>
      <c r="Y1478" s="1488"/>
      <c r="Z1478" s="1488"/>
      <c r="AA1478" s="1488"/>
      <c r="AB1478" s="1488"/>
      <c r="AC1478" s="1488"/>
      <c r="AD1478" s="1488"/>
      <c r="AE1478" s="1488"/>
      <c r="AF1478" s="1488"/>
      <c r="AG1478" s="1488"/>
      <c r="AH1478" s="1451">
        <f t="shared" si="779"/>
        <v>0</v>
      </c>
      <c r="AI1478" s="1488"/>
      <c r="AJ1478" s="1488"/>
      <c r="AK1478" s="1488"/>
      <c r="AL1478" s="1488"/>
      <c r="AM1478" s="1488"/>
      <c r="AN1478" s="1488"/>
      <c r="AO1478" s="1488"/>
      <c r="AP1478" s="1488"/>
      <c r="AQ1478" s="1488"/>
      <c r="AR1478" s="1488"/>
      <c r="AS1478" s="1488"/>
      <c r="AT1478" s="1542"/>
      <c r="AU1478" s="1599">
        <f t="shared" si="780"/>
        <v>0</v>
      </c>
      <c r="AV1478" s="1544">
        <f t="shared" si="808"/>
        <v>0</v>
      </c>
      <c r="AW1478" s="1452">
        <f t="shared" si="812"/>
        <v>0</v>
      </c>
      <c r="AX1478" s="1452">
        <f t="shared" si="813"/>
        <v>0</v>
      </c>
      <c r="AY1478" s="1452">
        <f t="shared" si="814"/>
        <v>0</v>
      </c>
      <c r="AZ1478" s="1452">
        <f t="shared" si="815"/>
        <v>0</v>
      </c>
      <c r="BA1478" s="1452">
        <f t="shared" si="816"/>
        <v>0</v>
      </c>
      <c r="BB1478" s="1452">
        <f t="shared" si="817"/>
        <v>0</v>
      </c>
      <c r="BC1478" s="1452">
        <f t="shared" si="818"/>
        <v>0</v>
      </c>
      <c r="BD1478" s="1452">
        <f t="shared" si="818"/>
        <v>0</v>
      </c>
      <c r="BE1478" s="1452">
        <f t="shared" si="818"/>
        <v>0</v>
      </c>
      <c r="BF1478" s="1452">
        <f t="shared" si="819"/>
        <v>0</v>
      </c>
      <c r="BG1478" s="1452">
        <f t="shared" si="820"/>
        <v>0</v>
      </c>
      <c r="BH1478" s="1452">
        <f t="shared" si="821"/>
        <v>0</v>
      </c>
      <c r="BI1478" s="1452">
        <f t="shared" si="809"/>
        <v>0</v>
      </c>
      <c r="BJ1478" s="1452" t="str">
        <f t="shared" si="793"/>
        <v/>
      </c>
      <c r="BK1478" s="1452" t="str">
        <f t="shared" si="794"/>
        <v/>
      </c>
      <c r="BL1478" s="1452" t="str">
        <f t="shared" si="795"/>
        <v/>
      </c>
      <c r="BM1478" s="1452" t="str">
        <f t="shared" si="796"/>
        <v/>
      </c>
      <c r="BN1478" s="1452" t="str">
        <f t="shared" ca="1" si="797"/>
        <v/>
      </c>
      <c r="BO1478" s="1452" t="str">
        <f t="shared" si="810"/>
        <v/>
      </c>
      <c r="BP1478" s="1452" t="str">
        <f t="shared" si="798"/>
        <v/>
      </c>
      <c r="BQ1478" s="1452" t="str">
        <f t="shared" si="799"/>
        <v/>
      </c>
      <c r="BR1478" s="1452" t="str">
        <f t="shared" si="800"/>
        <v/>
      </c>
      <c r="BS1478" s="1452" t="str">
        <f t="shared" si="801"/>
        <v/>
      </c>
      <c r="BT1478" s="1452" t="str">
        <f t="shared" si="802"/>
        <v/>
      </c>
      <c r="BU1478" s="1452" t="str">
        <f t="shared" si="803"/>
        <v/>
      </c>
      <c r="BV1478" s="1452" t="str">
        <f t="shared" si="804"/>
        <v/>
      </c>
      <c r="BW1478" s="1558">
        <f t="shared" ca="1" si="811"/>
        <v>0</v>
      </c>
    </row>
    <row r="1479" spans="1:75" s="9" customFormat="1" ht="12.5">
      <c r="A1479" s="1483" t="str">
        <f t="shared" si="805"/>
        <v>Public Health Wales Trust</v>
      </c>
      <c r="B1479" s="1583"/>
      <c r="C1479" s="1583"/>
      <c r="D1479" s="1583"/>
      <c r="E1479" s="1581"/>
      <c r="F1479" s="1436"/>
      <c r="G1479" s="1547">
        <f t="shared" si="806"/>
        <v>0</v>
      </c>
      <c r="H1479" s="1484"/>
      <c r="I1479" s="1547">
        <f t="shared" si="807"/>
        <v>0</v>
      </c>
      <c r="J1479" s="1485"/>
      <c r="K1479" s="1485"/>
      <c r="L1479" s="1436"/>
      <c r="M1479" s="1439"/>
      <c r="N1479" s="1439"/>
      <c r="O1479" s="1485"/>
      <c r="P1479" s="1486"/>
      <c r="Q1479" s="1486"/>
      <c r="R1479" s="1487"/>
      <c r="S1479" s="1444"/>
      <c r="T1479" s="1444"/>
      <c r="U1479" s="1444"/>
      <c r="V1479" s="1488"/>
      <c r="W1479" s="1488"/>
      <c r="X1479" s="1488"/>
      <c r="Y1479" s="1488"/>
      <c r="Z1479" s="1488"/>
      <c r="AA1479" s="1488"/>
      <c r="AB1479" s="1488"/>
      <c r="AC1479" s="1488"/>
      <c r="AD1479" s="1488"/>
      <c r="AE1479" s="1488"/>
      <c r="AF1479" s="1488"/>
      <c r="AG1479" s="1488"/>
      <c r="AH1479" s="1451">
        <f t="shared" si="779"/>
        <v>0</v>
      </c>
      <c r="AI1479" s="1488"/>
      <c r="AJ1479" s="1488"/>
      <c r="AK1479" s="1488"/>
      <c r="AL1479" s="1488"/>
      <c r="AM1479" s="1488"/>
      <c r="AN1479" s="1488"/>
      <c r="AO1479" s="1488"/>
      <c r="AP1479" s="1488"/>
      <c r="AQ1479" s="1488"/>
      <c r="AR1479" s="1488"/>
      <c r="AS1479" s="1488"/>
      <c r="AT1479" s="1542"/>
      <c r="AU1479" s="1599">
        <f t="shared" si="780"/>
        <v>0</v>
      </c>
      <c r="AV1479" s="1544">
        <f t="shared" si="808"/>
        <v>0</v>
      </c>
      <c r="AW1479" s="1452">
        <f t="shared" si="812"/>
        <v>0</v>
      </c>
      <c r="AX1479" s="1452">
        <f t="shared" si="813"/>
        <v>0</v>
      </c>
      <c r="AY1479" s="1452">
        <f t="shared" si="814"/>
        <v>0</v>
      </c>
      <c r="AZ1479" s="1452">
        <f t="shared" si="815"/>
        <v>0</v>
      </c>
      <c r="BA1479" s="1452">
        <f t="shared" si="816"/>
        <v>0</v>
      </c>
      <c r="BB1479" s="1452">
        <f t="shared" si="817"/>
        <v>0</v>
      </c>
      <c r="BC1479" s="1452">
        <f t="shared" si="818"/>
        <v>0</v>
      </c>
      <c r="BD1479" s="1452">
        <f t="shared" si="818"/>
        <v>0</v>
      </c>
      <c r="BE1479" s="1452">
        <f t="shared" si="818"/>
        <v>0</v>
      </c>
      <c r="BF1479" s="1452">
        <f t="shared" si="819"/>
        <v>0</v>
      </c>
      <c r="BG1479" s="1452">
        <f t="shared" si="820"/>
        <v>0</v>
      </c>
      <c r="BH1479" s="1452">
        <f t="shared" si="821"/>
        <v>0</v>
      </c>
      <c r="BI1479" s="1452">
        <f t="shared" si="809"/>
        <v>0</v>
      </c>
      <c r="BJ1479" s="1452" t="str">
        <f t="shared" si="793"/>
        <v/>
      </c>
      <c r="BK1479" s="1452" t="str">
        <f t="shared" si="794"/>
        <v/>
      </c>
      <c r="BL1479" s="1452" t="str">
        <f t="shared" si="795"/>
        <v/>
      </c>
      <c r="BM1479" s="1452" t="str">
        <f t="shared" si="796"/>
        <v/>
      </c>
      <c r="BN1479" s="1452" t="str">
        <f t="shared" ca="1" si="797"/>
        <v/>
      </c>
      <c r="BO1479" s="1452" t="str">
        <f t="shared" si="810"/>
        <v/>
      </c>
      <c r="BP1479" s="1452" t="str">
        <f t="shared" si="798"/>
        <v/>
      </c>
      <c r="BQ1479" s="1452" t="str">
        <f t="shared" si="799"/>
        <v/>
      </c>
      <c r="BR1479" s="1452" t="str">
        <f t="shared" si="800"/>
        <v/>
      </c>
      <c r="BS1479" s="1452" t="str">
        <f t="shared" si="801"/>
        <v/>
      </c>
      <c r="BT1479" s="1452" t="str">
        <f t="shared" si="802"/>
        <v/>
      </c>
      <c r="BU1479" s="1452" t="str">
        <f t="shared" si="803"/>
        <v/>
      </c>
      <c r="BV1479" s="1452" t="str">
        <f t="shared" si="804"/>
        <v/>
      </c>
      <c r="BW1479" s="1558">
        <f t="shared" ca="1" si="811"/>
        <v>0</v>
      </c>
    </row>
    <row r="1480" spans="1:75" s="9" customFormat="1" ht="12.5">
      <c r="A1480" s="1483" t="str">
        <f t="shared" si="805"/>
        <v>Public Health Wales Trust</v>
      </c>
      <c r="B1480" s="1583"/>
      <c r="C1480" s="1583"/>
      <c r="D1480" s="1583"/>
      <c r="E1480" s="1581"/>
      <c r="F1480" s="1436"/>
      <c r="G1480" s="1547">
        <f t="shared" si="806"/>
        <v>0</v>
      </c>
      <c r="H1480" s="1484"/>
      <c r="I1480" s="1547">
        <f t="shared" si="807"/>
        <v>0</v>
      </c>
      <c r="J1480" s="1485"/>
      <c r="K1480" s="1485"/>
      <c r="L1480" s="1436"/>
      <c r="M1480" s="1439"/>
      <c r="N1480" s="1439"/>
      <c r="O1480" s="1485"/>
      <c r="P1480" s="1486"/>
      <c r="Q1480" s="1486"/>
      <c r="R1480" s="1487"/>
      <c r="S1480" s="1444"/>
      <c r="T1480" s="1444"/>
      <c r="U1480" s="1444"/>
      <c r="V1480" s="1488"/>
      <c r="W1480" s="1488"/>
      <c r="X1480" s="1488"/>
      <c r="Y1480" s="1488"/>
      <c r="Z1480" s="1488"/>
      <c r="AA1480" s="1488"/>
      <c r="AB1480" s="1488"/>
      <c r="AC1480" s="1488"/>
      <c r="AD1480" s="1488"/>
      <c r="AE1480" s="1488"/>
      <c r="AF1480" s="1488"/>
      <c r="AG1480" s="1488"/>
      <c r="AH1480" s="1451">
        <f t="shared" si="779"/>
        <v>0</v>
      </c>
      <c r="AI1480" s="1488"/>
      <c r="AJ1480" s="1488"/>
      <c r="AK1480" s="1488"/>
      <c r="AL1480" s="1488"/>
      <c r="AM1480" s="1488"/>
      <c r="AN1480" s="1488"/>
      <c r="AO1480" s="1488"/>
      <c r="AP1480" s="1488"/>
      <c r="AQ1480" s="1488"/>
      <c r="AR1480" s="1488"/>
      <c r="AS1480" s="1488"/>
      <c r="AT1480" s="1542"/>
      <c r="AU1480" s="1599">
        <f t="shared" si="780"/>
        <v>0</v>
      </c>
      <c r="AV1480" s="1544">
        <f t="shared" si="808"/>
        <v>0</v>
      </c>
      <c r="AW1480" s="1452">
        <f t="shared" si="812"/>
        <v>0</v>
      </c>
      <c r="AX1480" s="1452">
        <f t="shared" si="813"/>
        <v>0</v>
      </c>
      <c r="AY1480" s="1452">
        <f t="shared" si="814"/>
        <v>0</v>
      </c>
      <c r="AZ1480" s="1452">
        <f t="shared" si="815"/>
        <v>0</v>
      </c>
      <c r="BA1480" s="1452">
        <f t="shared" si="816"/>
        <v>0</v>
      </c>
      <c r="BB1480" s="1452">
        <f t="shared" si="817"/>
        <v>0</v>
      </c>
      <c r="BC1480" s="1452">
        <f t="shared" si="818"/>
        <v>0</v>
      </c>
      <c r="BD1480" s="1452">
        <f t="shared" si="818"/>
        <v>0</v>
      </c>
      <c r="BE1480" s="1452">
        <f t="shared" si="818"/>
        <v>0</v>
      </c>
      <c r="BF1480" s="1452">
        <f t="shared" si="819"/>
        <v>0</v>
      </c>
      <c r="BG1480" s="1452">
        <f t="shared" si="820"/>
        <v>0</v>
      </c>
      <c r="BH1480" s="1452">
        <f t="shared" si="821"/>
        <v>0</v>
      </c>
      <c r="BI1480" s="1452">
        <f t="shared" si="809"/>
        <v>0</v>
      </c>
      <c r="BJ1480" s="1452" t="str">
        <f t="shared" si="793"/>
        <v/>
      </c>
      <c r="BK1480" s="1452" t="str">
        <f t="shared" si="794"/>
        <v/>
      </c>
      <c r="BL1480" s="1452" t="str">
        <f t="shared" si="795"/>
        <v/>
      </c>
      <c r="BM1480" s="1452" t="str">
        <f t="shared" si="796"/>
        <v/>
      </c>
      <c r="BN1480" s="1452" t="str">
        <f t="shared" ca="1" si="797"/>
        <v/>
      </c>
      <c r="BO1480" s="1452" t="str">
        <f t="shared" si="810"/>
        <v/>
      </c>
      <c r="BP1480" s="1452" t="str">
        <f t="shared" si="798"/>
        <v/>
      </c>
      <c r="BQ1480" s="1452" t="str">
        <f t="shared" si="799"/>
        <v/>
      </c>
      <c r="BR1480" s="1452" t="str">
        <f t="shared" si="800"/>
        <v/>
      </c>
      <c r="BS1480" s="1452" t="str">
        <f t="shared" si="801"/>
        <v/>
      </c>
      <c r="BT1480" s="1452" t="str">
        <f t="shared" si="802"/>
        <v/>
      </c>
      <c r="BU1480" s="1452" t="str">
        <f t="shared" si="803"/>
        <v/>
      </c>
      <c r="BV1480" s="1452" t="str">
        <f t="shared" si="804"/>
        <v/>
      </c>
      <c r="BW1480" s="1558">
        <f t="shared" ca="1" si="811"/>
        <v>0</v>
      </c>
    </row>
    <row r="1481" spans="1:75" s="9" customFormat="1" ht="12.5">
      <c r="A1481" s="1483" t="str">
        <f t="shared" si="805"/>
        <v>Public Health Wales Trust</v>
      </c>
      <c r="B1481" s="1583"/>
      <c r="C1481" s="1583"/>
      <c r="D1481" s="1583"/>
      <c r="E1481" s="1581"/>
      <c r="F1481" s="1436"/>
      <c r="G1481" s="1547">
        <f t="shared" si="806"/>
        <v>0</v>
      </c>
      <c r="H1481" s="1484"/>
      <c r="I1481" s="1547">
        <f t="shared" si="807"/>
        <v>0</v>
      </c>
      <c r="J1481" s="1485"/>
      <c r="K1481" s="1485"/>
      <c r="L1481" s="1436"/>
      <c r="M1481" s="1439"/>
      <c r="N1481" s="1439"/>
      <c r="O1481" s="1485"/>
      <c r="P1481" s="1486"/>
      <c r="Q1481" s="1486"/>
      <c r="R1481" s="1487"/>
      <c r="S1481" s="1444"/>
      <c r="T1481" s="1444"/>
      <c r="U1481" s="1444"/>
      <c r="V1481" s="1488"/>
      <c r="W1481" s="1488"/>
      <c r="X1481" s="1488"/>
      <c r="Y1481" s="1488"/>
      <c r="Z1481" s="1488"/>
      <c r="AA1481" s="1488"/>
      <c r="AB1481" s="1488"/>
      <c r="AC1481" s="1488"/>
      <c r="AD1481" s="1488"/>
      <c r="AE1481" s="1488"/>
      <c r="AF1481" s="1488"/>
      <c r="AG1481" s="1488"/>
      <c r="AH1481" s="1451">
        <f t="shared" si="779"/>
        <v>0</v>
      </c>
      <c r="AI1481" s="1488"/>
      <c r="AJ1481" s="1488"/>
      <c r="AK1481" s="1488"/>
      <c r="AL1481" s="1488"/>
      <c r="AM1481" s="1488"/>
      <c r="AN1481" s="1488"/>
      <c r="AO1481" s="1488"/>
      <c r="AP1481" s="1488"/>
      <c r="AQ1481" s="1488"/>
      <c r="AR1481" s="1488"/>
      <c r="AS1481" s="1488"/>
      <c r="AT1481" s="1542"/>
      <c r="AU1481" s="1599">
        <f t="shared" si="780"/>
        <v>0</v>
      </c>
      <c r="AV1481" s="1544">
        <f t="shared" si="808"/>
        <v>0</v>
      </c>
      <c r="AW1481" s="1452">
        <f t="shared" si="812"/>
        <v>0</v>
      </c>
      <c r="AX1481" s="1452">
        <f t="shared" si="813"/>
        <v>0</v>
      </c>
      <c r="AY1481" s="1452">
        <f t="shared" si="814"/>
        <v>0</v>
      </c>
      <c r="AZ1481" s="1452">
        <f t="shared" si="815"/>
        <v>0</v>
      </c>
      <c r="BA1481" s="1452">
        <f t="shared" si="816"/>
        <v>0</v>
      </c>
      <c r="BB1481" s="1452">
        <f t="shared" si="817"/>
        <v>0</v>
      </c>
      <c r="BC1481" s="1452">
        <f t="shared" si="818"/>
        <v>0</v>
      </c>
      <c r="BD1481" s="1452">
        <f t="shared" si="818"/>
        <v>0</v>
      </c>
      <c r="BE1481" s="1452">
        <f t="shared" si="818"/>
        <v>0</v>
      </c>
      <c r="BF1481" s="1452">
        <f t="shared" si="819"/>
        <v>0</v>
      </c>
      <c r="BG1481" s="1452">
        <f t="shared" si="820"/>
        <v>0</v>
      </c>
      <c r="BH1481" s="1452">
        <f t="shared" si="821"/>
        <v>0</v>
      </c>
      <c r="BI1481" s="1452">
        <f t="shared" si="809"/>
        <v>0</v>
      </c>
      <c r="BJ1481" s="1452" t="str">
        <f t="shared" si="793"/>
        <v/>
      </c>
      <c r="BK1481" s="1452" t="str">
        <f t="shared" si="794"/>
        <v/>
      </c>
      <c r="BL1481" s="1452" t="str">
        <f t="shared" si="795"/>
        <v/>
      </c>
      <c r="BM1481" s="1452" t="str">
        <f t="shared" si="796"/>
        <v/>
      </c>
      <c r="BN1481" s="1452" t="str">
        <f t="shared" ca="1" si="797"/>
        <v/>
      </c>
      <c r="BO1481" s="1452" t="str">
        <f t="shared" si="810"/>
        <v/>
      </c>
      <c r="BP1481" s="1452" t="str">
        <f t="shared" si="798"/>
        <v/>
      </c>
      <c r="BQ1481" s="1452" t="str">
        <f t="shared" si="799"/>
        <v/>
      </c>
      <c r="BR1481" s="1452" t="str">
        <f t="shared" si="800"/>
        <v/>
      </c>
      <c r="BS1481" s="1452" t="str">
        <f t="shared" si="801"/>
        <v/>
      </c>
      <c r="BT1481" s="1452" t="str">
        <f t="shared" si="802"/>
        <v/>
      </c>
      <c r="BU1481" s="1452" t="str">
        <f t="shared" si="803"/>
        <v/>
      </c>
      <c r="BV1481" s="1452" t="str">
        <f t="shared" si="804"/>
        <v/>
      </c>
      <c r="BW1481" s="1558">
        <f t="shared" ca="1" si="811"/>
        <v>0</v>
      </c>
    </row>
    <row r="1482" spans="1:75" s="9" customFormat="1" ht="12.5">
      <c r="A1482" s="1483" t="str">
        <f t="shared" si="805"/>
        <v>Public Health Wales Trust</v>
      </c>
      <c r="B1482" s="1583"/>
      <c r="C1482" s="1583"/>
      <c r="D1482" s="1583"/>
      <c r="E1482" s="1581"/>
      <c r="F1482" s="1436"/>
      <c r="G1482" s="1547">
        <f t="shared" si="806"/>
        <v>0</v>
      </c>
      <c r="H1482" s="1484"/>
      <c r="I1482" s="1547">
        <f t="shared" si="807"/>
        <v>0</v>
      </c>
      <c r="J1482" s="1485"/>
      <c r="K1482" s="1485"/>
      <c r="L1482" s="1436"/>
      <c r="M1482" s="1439"/>
      <c r="N1482" s="1439"/>
      <c r="O1482" s="1485"/>
      <c r="P1482" s="1486"/>
      <c r="Q1482" s="1486"/>
      <c r="R1482" s="1487"/>
      <c r="S1482" s="1444"/>
      <c r="T1482" s="1444"/>
      <c r="U1482" s="1444"/>
      <c r="V1482" s="1488"/>
      <c r="W1482" s="1488"/>
      <c r="X1482" s="1488"/>
      <c r="Y1482" s="1488"/>
      <c r="Z1482" s="1488"/>
      <c r="AA1482" s="1488"/>
      <c r="AB1482" s="1488"/>
      <c r="AC1482" s="1488"/>
      <c r="AD1482" s="1488"/>
      <c r="AE1482" s="1488"/>
      <c r="AF1482" s="1488"/>
      <c r="AG1482" s="1488"/>
      <c r="AH1482" s="1451">
        <f t="shared" si="779"/>
        <v>0</v>
      </c>
      <c r="AI1482" s="1488"/>
      <c r="AJ1482" s="1488"/>
      <c r="AK1482" s="1488"/>
      <c r="AL1482" s="1488"/>
      <c r="AM1482" s="1488"/>
      <c r="AN1482" s="1488"/>
      <c r="AO1482" s="1488"/>
      <c r="AP1482" s="1488"/>
      <c r="AQ1482" s="1488"/>
      <c r="AR1482" s="1488"/>
      <c r="AS1482" s="1488"/>
      <c r="AT1482" s="1542"/>
      <c r="AU1482" s="1599">
        <f t="shared" si="780"/>
        <v>0</v>
      </c>
      <c r="AV1482" s="1544">
        <f t="shared" si="808"/>
        <v>0</v>
      </c>
      <c r="AW1482" s="1452">
        <f t="shared" si="812"/>
        <v>0</v>
      </c>
      <c r="AX1482" s="1452">
        <f t="shared" si="813"/>
        <v>0</v>
      </c>
      <c r="AY1482" s="1452">
        <f t="shared" si="814"/>
        <v>0</v>
      </c>
      <c r="AZ1482" s="1452">
        <f t="shared" si="815"/>
        <v>0</v>
      </c>
      <c r="BA1482" s="1452">
        <f t="shared" si="816"/>
        <v>0</v>
      </c>
      <c r="BB1482" s="1452">
        <f t="shared" si="817"/>
        <v>0</v>
      </c>
      <c r="BC1482" s="1452">
        <f t="shared" si="818"/>
        <v>0</v>
      </c>
      <c r="BD1482" s="1452">
        <f t="shared" si="818"/>
        <v>0</v>
      </c>
      <c r="BE1482" s="1452">
        <f t="shared" si="818"/>
        <v>0</v>
      </c>
      <c r="BF1482" s="1452">
        <f t="shared" si="819"/>
        <v>0</v>
      </c>
      <c r="BG1482" s="1452">
        <f t="shared" si="820"/>
        <v>0</v>
      </c>
      <c r="BH1482" s="1452">
        <f t="shared" si="821"/>
        <v>0</v>
      </c>
      <c r="BI1482" s="1452">
        <f t="shared" si="809"/>
        <v>0</v>
      </c>
      <c r="BJ1482" s="1452" t="str">
        <f t="shared" si="793"/>
        <v/>
      </c>
      <c r="BK1482" s="1452" t="str">
        <f t="shared" si="794"/>
        <v/>
      </c>
      <c r="BL1482" s="1452" t="str">
        <f t="shared" si="795"/>
        <v/>
      </c>
      <c r="BM1482" s="1452" t="str">
        <f t="shared" si="796"/>
        <v/>
      </c>
      <c r="BN1482" s="1452" t="str">
        <f t="shared" ca="1" si="797"/>
        <v/>
      </c>
      <c r="BO1482" s="1452" t="str">
        <f t="shared" si="810"/>
        <v/>
      </c>
      <c r="BP1482" s="1452" t="str">
        <f t="shared" si="798"/>
        <v/>
      </c>
      <c r="BQ1482" s="1452" t="str">
        <f t="shared" si="799"/>
        <v/>
      </c>
      <c r="BR1482" s="1452" t="str">
        <f t="shared" si="800"/>
        <v/>
      </c>
      <c r="BS1482" s="1452" t="str">
        <f t="shared" si="801"/>
        <v/>
      </c>
      <c r="BT1482" s="1452" t="str">
        <f t="shared" si="802"/>
        <v/>
      </c>
      <c r="BU1482" s="1452" t="str">
        <f t="shared" si="803"/>
        <v/>
      </c>
      <c r="BV1482" s="1452" t="str">
        <f t="shared" si="804"/>
        <v/>
      </c>
      <c r="BW1482" s="1558">
        <f t="shared" ca="1" si="811"/>
        <v>0</v>
      </c>
    </row>
    <row r="1483" spans="1:75" s="9" customFormat="1" ht="12.5">
      <c r="A1483" s="1483" t="str">
        <f t="shared" si="805"/>
        <v>Public Health Wales Trust</v>
      </c>
      <c r="B1483" s="1583"/>
      <c r="C1483" s="1583"/>
      <c r="D1483" s="1583"/>
      <c r="E1483" s="1581"/>
      <c r="F1483" s="1436"/>
      <c r="G1483" s="1547">
        <f t="shared" si="806"/>
        <v>0</v>
      </c>
      <c r="H1483" s="1484"/>
      <c r="I1483" s="1547">
        <f t="shared" si="807"/>
        <v>0</v>
      </c>
      <c r="J1483" s="1485"/>
      <c r="K1483" s="1485"/>
      <c r="L1483" s="1436"/>
      <c r="M1483" s="1439"/>
      <c r="N1483" s="1439"/>
      <c r="O1483" s="1485"/>
      <c r="P1483" s="1486"/>
      <c r="Q1483" s="1486"/>
      <c r="R1483" s="1487"/>
      <c r="S1483" s="1444"/>
      <c r="T1483" s="1444"/>
      <c r="U1483" s="1444"/>
      <c r="V1483" s="1488"/>
      <c r="W1483" s="1488"/>
      <c r="X1483" s="1488"/>
      <c r="Y1483" s="1488"/>
      <c r="Z1483" s="1488"/>
      <c r="AA1483" s="1488"/>
      <c r="AB1483" s="1488"/>
      <c r="AC1483" s="1488"/>
      <c r="AD1483" s="1488"/>
      <c r="AE1483" s="1488"/>
      <c r="AF1483" s="1488"/>
      <c r="AG1483" s="1488"/>
      <c r="AH1483" s="1451">
        <f t="shared" si="779"/>
        <v>0</v>
      </c>
      <c r="AI1483" s="1488"/>
      <c r="AJ1483" s="1488"/>
      <c r="AK1483" s="1488"/>
      <c r="AL1483" s="1488"/>
      <c r="AM1483" s="1488"/>
      <c r="AN1483" s="1488"/>
      <c r="AO1483" s="1488"/>
      <c r="AP1483" s="1488"/>
      <c r="AQ1483" s="1488"/>
      <c r="AR1483" s="1488"/>
      <c r="AS1483" s="1488"/>
      <c r="AT1483" s="1542"/>
      <c r="AU1483" s="1599">
        <f t="shared" si="780"/>
        <v>0</v>
      </c>
      <c r="AV1483" s="1544">
        <f t="shared" si="808"/>
        <v>0</v>
      </c>
      <c r="AW1483" s="1452">
        <f t="shared" ref="AW1483:BB1496" si="822">AI1483-V1483</f>
        <v>0</v>
      </c>
      <c r="AX1483" s="1452">
        <f t="shared" si="822"/>
        <v>0</v>
      </c>
      <c r="AY1483" s="1452">
        <f t="shared" si="822"/>
        <v>0</v>
      </c>
      <c r="AZ1483" s="1452">
        <f t="shared" si="822"/>
        <v>0</v>
      </c>
      <c r="BA1483" s="1452">
        <f t="shared" si="822"/>
        <v>0</v>
      </c>
      <c r="BB1483" s="1452">
        <f t="shared" si="822"/>
        <v>0</v>
      </c>
      <c r="BC1483" s="1452">
        <f t="shared" si="818"/>
        <v>0</v>
      </c>
      <c r="BD1483" s="1452">
        <f t="shared" si="818"/>
        <v>0</v>
      </c>
      <c r="BE1483" s="1452">
        <f t="shared" si="818"/>
        <v>0</v>
      </c>
      <c r="BF1483" s="1452">
        <f t="shared" si="819"/>
        <v>0</v>
      </c>
      <c r="BG1483" s="1452">
        <f t="shared" si="820"/>
        <v>0</v>
      </c>
      <c r="BH1483" s="1452">
        <f t="shared" si="821"/>
        <v>0</v>
      </c>
      <c r="BI1483" s="1452">
        <f t="shared" si="809"/>
        <v>0</v>
      </c>
      <c r="BJ1483" s="1452" t="str">
        <f t="shared" si="793"/>
        <v/>
      </c>
      <c r="BK1483" s="1452" t="str">
        <f t="shared" si="794"/>
        <v/>
      </c>
      <c r="BL1483" s="1452" t="str">
        <f t="shared" si="795"/>
        <v/>
      </c>
      <c r="BM1483" s="1452" t="str">
        <f t="shared" si="796"/>
        <v/>
      </c>
      <c r="BN1483" s="1452" t="str">
        <f t="shared" ca="1" si="797"/>
        <v/>
      </c>
      <c r="BO1483" s="1452" t="str">
        <f t="shared" si="810"/>
        <v/>
      </c>
      <c r="BP1483" s="1452" t="str">
        <f t="shared" si="798"/>
        <v/>
      </c>
      <c r="BQ1483" s="1452" t="str">
        <f t="shared" si="799"/>
        <v/>
      </c>
      <c r="BR1483" s="1452" t="str">
        <f t="shared" si="800"/>
        <v/>
      </c>
      <c r="BS1483" s="1452" t="str">
        <f t="shared" si="801"/>
        <v/>
      </c>
      <c r="BT1483" s="1452" t="str">
        <f t="shared" si="802"/>
        <v/>
      </c>
      <c r="BU1483" s="1452" t="str">
        <f t="shared" si="803"/>
        <v/>
      </c>
      <c r="BV1483" s="1452" t="str">
        <f t="shared" si="804"/>
        <v/>
      </c>
      <c r="BW1483" s="1558">
        <f t="shared" ca="1" si="811"/>
        <v>0</v>
      </c>
    </row>
    <row r="1484" spans="1:75" s="9" customFormat="1" ht="12.5">
      <c r="A1484" s="1483" t="str">
        <f t="shared" si="805"/>
        <v>Public Health Wales Trust</v>
      </c>
      <c r="B1484" s="1583"/>
      <c r="C1484" s="1583"/>
      <c r="D1484" s="1583"/>
      <c r="E1484" s="1581"/>
      <c r="F1484" s="1436"/>
      <c r="G1484" s="1547">
        <f t="shared" si="806"/>
        <v>0</v>
      </c>
      <c r="H1484" s="1484"/>
      <c r="I1484" s="1547">
        <f t="shared" si="807"/>
        <v>0</v>
      </c>
      <c r="J1484" s="1485"/>
      <c r="K1484" s="1485"/>
      <c r="L1484" s="1436"/>
      <c r="M1484" s="1439"/>
      <c r="N1484" s="1439"/>
      <c r="O1484" s="1485"/>
      <c r="P1484" s="1486"/>
      <c r="Q1484" s="1486"/>
      <c r="R1484" s="1487"/>
      <c r="S1484" s="1444"/>
      <c r="T1484" s="1444"/>
      <c r="U1484" s="1444"/>
      <c r="V1484" s="1488"/>
      <c r="W1484" s="1488"/>
      <c r="X1484" s="1488"/>
      <c r="Y1484" s="1488"/>
      <c r="Z1484" s="1488"/>
      <c r="AA1484" s="1488"/>
      <c r="AB1484" s="1488"/>
      <c r="AC1484" s="1488"/>
      <c r="AD1484" s="1488"/>
      <c r="AE1484" s="1488"/>
      <c r="AF1484" s="1488"/>
      <c r="AG1484" s="1488"/>
      <c r="AH1484" s="1451">
        <f t="shared" si="779"/>
        <v>0</v>
      </c>
      <c r="AI1484" s="1488"/>
      <c r="AJ1484" s="1488"/>
      <c r="AK1484" s="1488"/>
      <c r="AL1484" s="1488"/>
      <c r="AM1484" s="1488"/>
      <c r="AN1484" s="1488"/>
      <c r="AO1484" s="1488"/>
      <c r="AP1484" s="1488"/>
      <c r="AQ1484" s="1488"/>
      <c r="AR1484" s="1488"/>
      <c r="AS1484" s="1488"/>
      <c r="AT1484" s="1542"/>
      <c r="AU1484" s="1599">
        <f t="shared" si="780"/>
        <v>0</v>
      </c>
      <c r="AV1484" s="1544">
        <f t="shared" si="808"/>
        <v>0</v>
      </c>
      <c r="AW1484" s="1452">
        <f t="shared" si="822"/>
        <v>0</v>
      </c>
      <c r="AX1484" s="1452">
        <f t="shared" si="822"/>
        <v>0</v>
      </c>
      <c r="AY1484" s="1452">
        <f t="shared" si="822"/>
        <v>0</v>
      </c>
      <c r="AZ1484" s="1452">
        <f t="shared" si="822"/>
        <v>0</v>
      </c>
      <c r="BA1484" s="1452">
        <f t="shared" si="822"/>
        <v>0</v>
      </c>
      <c r="BB1484" s="1452">
        <f t="shared" si="822"/>
        <v>0</v>
      </c>
      <c r="BC1484" s="1452">
        <f t="shared" si="818"/>
        <v>0</v>
      </c>
      <c r="BD1484" s="1452">
        <f t="shared" si="818"/>
        <v>0</v>
      </c>
      <c r="BE1484" s="1452">
        <f t="shared" si="818"/>
        <v>0</v>
      </c>
      <c r="BF1484" s="1452">
        <f t="shared" si="819"/>
        <v>0</v>
      </c>
      <c r="BG1484" s="1452">
        <f t="shared" si="820"/>
        <v>0</v>
      </c>
      <c r="BH1484" s="1452">
        <f t="shared" si="821"/>
        <v>0</v>
      </c>
      <c r="BI1484" s="1452">
        <f t="shared" si="809"/>
        <v>0</v>
      </c>
      <c r="BJ1484" s="1452" t="str">
        <f t="shared" si="793"/>
        <v/>
      </c>
      <c r="BK1484" s="1452" t="str">
        <f t="shared" si="794"/>
        <v/>
      </c>
      <c r="BL1484" s="1452" t="str">
        <f t="shared" si="795"/>
        <v/>
      </c>
      <c r="BM1484" s="1452" t="str">
        <f t="shared" si="796"/>
        <v/>
      </c>
      <c r="BN1484" s="1452" t="str">
        <f t="shared" ca="1" si="797"/>
        <v/>
      </c>
      <c r="BO1484" s="1452" t="str">
        <f t="shared" si="810"/>
        <v/>
      </c>
      <c r="BP1484" s="1452" t="str">
        <f t="shared" si="798"/>
        <v/>
      </c>
      <c r="BQ1484" s="1452" t="str">
        <f t="shared" si="799"/>
        <v/>
      </c>
      <c r="BR1484" s="1452" t="str">
        <f t="shared" si="800"/>
        <v/>
      </c>
      <c r="BS1484" s="1452" t="str">
        <f t="shared" si="801"/>
        <v/>
      </c>
      <c r="BT1484" s="1452" t="str">
        <f t="shared" si="802"/>
        <v/>
      </c>
      <c r="BU1484" s="1452" t="str">
        <f t="shared" si="803"/>
        <v/>
      </c>
      <c r="BV1484" s="1452" t="str">
        <f t="shared" si="804"/>
        <v/>
      </c>
      <c r="BW1484" s="1558">
        <f t="shared" ca="1" si="811"/>
        <v>0</v>
      </c>
    </row>
    <row r="1485" spans="1:75" s="9" customFormat="1" ht="12.5">
      <c r="A1485" s="1483" t="str">
        <f t="shared" si="805"/>
        <v>Public Health Wales Trust</v>
      </c>
      <c r="B1485" s="1583"/>
      <c r="C1485" s="1583"/>
      <c r="D1485" s="1583"/>
      <c r="E1485" s="1581"/>
      <c r="F1485" s="1436"/>
      <c r="G1485" s="1547">
        <f t="shared" si="806"/>
        <v>0</v>
      </c>
      <c r="H1485" s="1484"/>
      <c r="I1485" s="1547">
        <f t="shared" si="807"/>
        <v>0</v>
      </c>
      <c r="J1485" s="1485"/>
      <c r="K1485" s="1485"/>
      <c r="L1485" s="1436"/>
      <c r="M1485" s="1439"/>
      <c r="N1485" s="1439"/>
      <c r="O1485" s="1485"/>
      <c r="P1485" s="1486"/>
      <c r="Q1485" s="1486"/>
      <c r="R1485" s="1487"/>
      <c r="S1485" s="1444"/>
      <c r="T1485" s="1444"/>
      <c r="U1485" s="1444"/>
      <c r="V1485" s="1488"/>
      <c r="W1485" s="1488"/>
      <c r="X1485" s="1488"/>
      <c r="Y1485" s="1488"/>
      <c r="Z1485" s="1488"/>
      <c r="AA1485" s="1488"/>
      <c r="AB1485" s="1488"/>
      <c r="AC1485" s="1488"/>
      <c r="AD1485" s="1488"/>
      <c r="AE1485" s="1488"/>
      <c r="AF1485" s="1488"/>
      <c r="AG1485" s="1488"/>
      <c r="AH1485" s="1451">
        <f t="shared" si="779"/>
        <v>0</v>
      </c>
      <c r="AI1485" s="1488"/>
      <c r="AJ1485" s="1488"/>
      <c r="AK1485" s="1488"/>
      <c r="AL1485" s="1488"/>
      <c r="AM1485" s="1488"/>
      <c r="AN1485" s="1488"/>
      <c r="AO1485" s="1488"/>
      <c r="AP1485" s="1488"/>
      <c r="AQ1485" s="1488"/>
      <c r="AR1485" s="1488"/>
      <c r="AS1485" s="1488"/>
      <c r="AT1485" s="1542"/>
      <c r="AU1485" s="1599">
        <f t="shared" si="780"/>
        <v>0</v>
      </c>
      <c r="AV1485" s="1544">
        <f t="shared" si="808"/>
        <v>0</v>
      </c>
      <c r="AW1485" s="1452">
        <f t="shared" si="822"/>
        <v>0</v>
      </c>
      <c r="AX1485" s="1452">
        <f t="shared" si="822"/>
        <v>0</v>
      </c>
      <c r="AY1485" s="1452">
        <f t="shared" si="822"/>
        <v>0</v>
      </c>
      <c r="AZ1485" s="1452">
        <f t="shared" si="822"/>
        <v>0</v>
      </c>
      <c r="BA1485" s="1452">
        <f t="shared" si="822"/>
        <v>0</v>
      </c>
      <c r="BB1485" s="1452">
        <f t="shared" si="822"/>
        <v>0</v>
      </c>
      <c r="BC1485" s="1452">
        <f t="shared" si="818"/>
        <v>0</v>
      </c>
      <c r="BD1485" s="1452">
        <f t="shared" si="818"/>
        <v>0</v>
      </c>
      <c r="BE1485" s="1452">
        <f t="shared" si="818"/>
        <v>0</v>
      </c>
      <c r="BF1485" s="1452">
        <f t="shared" si="819"/>
        <v>0</v>
      </c>
      <c r="BG1485" s="1452">
        <f t="shared" si="820"/>
        <v>0</v>
      </c>
      <c r="BH1485" s="1452">
        <f t="shared" si="821"/>
        <v>0</v>
      </c>
      <c r="BI1485" s="1452">
        <f t="shared" si="809"/>
        <v>0</v>
      </c>
      <c r="BJ1485" s="1452" t="str">
        <f t="shared" si="793"/>
        <v/>
      </c>
      <c r="BK1485" s="1452" t="str">
        <f t="shared" si="794"/>
        <v/>
      </c>
      <c r="BL1485" s="1452" t="str">
        <f t="shared" si="795"/>
        <v/>
      </c>
      <c r="BM1485" s="1452" t="str">
        <f t="shared" si="796"/>
        <v/>
      </c>
      <c r="BN1485" s="1452" t="str">
        <f t="shared" ca="1" si="797"/>
        <v/>
      </c>
      <c r="BO1485" s="1452" t="str">
        <f t="shared" si="810"/>
        <v/>
      </c>
      <c r="BP1485" s="1452" t="str">
        <f t="shared" si="798"/>
        <v/>
      </c>
      <c r="BQ1485" s="1452" t="str">
        <f t="shared" si="799"/>
        <v/>
      </c>
      <c r="BR1485" s="1452" t="str">
        <f t="shared" si="800"/>
        <v/>
      </c>
      <c r="BS1485" s="1452" t="str">
        <f t="shared" si="801"/>
        <v/>
      </c>
      <c r="BT1485" s="1452" t="str">
        <f t="shared" si="802"/>
        <v/>
      </c>
      <c r="BU1485" s="1452" t="str">
        <f t="shared" si="803"/>
        <v/>
      </c>
      <c r="BV1485" s="1452" t="str">
        <f t="shared" si="804"/>
        <v/>
      </c>
      <c r="BW1485" s="1558">
        <f t="shared" ca="1" si="811"/>
        <v>0</v>
      </c>
    </row>
    <row r="1486" spans="1:75" s="9" customFormat="1" ht="12.5">
      <c r="A1486" s="1483" t="str">
        <f t="shared" si="805"/>
        <v>Public Health Wales Trust</v>
      </c>
      <c r="B1486" s="1583"/>
      <c r="C1486" s="1583"/>
      <c r="D1486" s="1583"/>
      <c r="E1486" s="1581"/>
      <c r="F1486" s="1436"/>
      <c r="G1486" s="1547">
        <f t="shared" si="806"/>
        <v>0</v>
      </c>
      <c r="H1486" s="1484"/>
      <c r="I1486" s="1547">
        <f t="shared" si="807"/>
        <v>0</v>
      </c>
      <c r="J1486" s="1485"/>
      <c r="K1486" s="1485"/>
      <c r="L1486" s="1436"/>
      <c r="M1486" s="1439"/>
      <c r="N1486" s="1439"/>
      <c r="O1486" s="1485"/>
      <c r="P1486" s="1486"/>
      <c r="Q1486" s="1486"/>
      <c r="R1486" s="1487"/>
      <c r="S1486" s="1444"/>
      <c r="T1486" s="1444"/>
      <c r="U1486" s="1444"/>
      <c r="V1486" s="1488"/>
      <c r="W1486" s="1488"/>
      <c r="X1486" s="1488"/>
      <c r="Y1486" s="1488"/>
      <c r="Z1486" s="1488"/>
      <c r="AA1486" s="1488"/>
      <c r="AB1486" s="1488"/>
      <c r="AC1486" s="1488"/>
      <c r="AD1486" s="1488"/>
      <c r="AE1486" s="1488"/>
      <c r="AF1486" s="1488"/>
      <c r="AG1486" s="1488"/>
      <c r="AH1486" s="1451">
        <f t="shared" si="779"/>
        <v>0</v>
      </c>
      <c r="AI1486" s="1488"/>
      <c r="AJ1486" s="1488"/>
      <c r="AK1486" s="1488"/>
      <c r="AL1486" s="1488"/>
      <c r="AM1486" s="1488"/>
      <c r="AN1486" s="1488"/>
      <c r="AO1486" s="1488"/>
      <c r="AP1486" s="1488"/>
      <c r="AQ1486" s="1488"/>
      <c r="AR1486" s="1488"/>
      <c r="AS1486" s="1488"/>
      <c r="AT1486" s="1542"/>
      <c r="AU1486" s="1599">
        <f t="shared" si="780"/>
        <v>0</v>
      </c>
      <c r="AV1486" s="1544">
        <f t="shared" si="808"/>
        <v>0</v>
      </c>
      <c r="AW1486" s="1452">
        <f t="shared" si="822"/>
        <v>0</v>
      </c>
      <c r="AX1486" s="1452">
        <f t="shared" si="822"/>
        <v>0</v>
      </c>
      <c r="AY1486" s="1452">
        <f t="shared" si="822"/>
        <v>0</v>
      </c>
      <c r="AZ1486" s="1452">
        <f t="shared" si="822"/>
        <v>0</v>
      </c>
      <c r="BA1486" s="1452">
        <f t="shared" si="822"/>
        <v>0</v>
      </c>
      <c r="BB1486" s="1452">
        <f t="shared" si="822"/>
        <v>0</v>
      </c>
      <c r="BC1486" s="1452">
        <f t="shared" si="818"/>
        <v>0</v>
      </c>
      <c r="BD1486" s="1452">
        <f t="shared" si="818"/>
        <v>0</v>
      </c>
      <c r="BE1486" s="1452">
        <f t="shared" si="818"/>
        <v>0</v>
      </c>
      <c r="BF1486" s="1452">
        <f t="shared" si="819"/>
        <v>0</v>
      </c>
      <c r="BG1486" s="1452">
        <f t="shared" si="820"/>
        <v>0</v>
      </c>
      <c r="BH1486" s="1452">
        <f t="shared" si="821"/>
        <v>0</v>
      </c>
      <c r="BI1486" s="1452">
        <f t="shared" si="809"/>
        <v>0</v>
      </c>
      <c r="BJ1486" s="1452" t="str">
        <f t="shared" si="793"/>
        <v/>
      </c>
      <c r="BK1486" s="1452" t="str">
        <f t="shared" si="794"/>
        <v/>
      </c>
      <c r="BL1486" s="1452" t="str">
        <f t="shared" si="795"/>
        <v/>
      </c>
      <c r="BM1486" s="1452" t="str">
        <f t="shared" si="796"/>
        <v/>
      </c>
      <c r="BN1486" s="1452" t="str">
        <f t="shared" ca="1" si="797"/>
        <v/>
      </c>
      <c r="BO1486" s="1452" t="str">
        <f t="shared" si="810"/>
        <v/>
      </c>
      <c r="BP1486" s="1452" t="str">
        <f t="shared" si="798"/>
        <v/>
      </c>
      <c r="BQ1486" s="1452" t="str">
        <f t="shared" si="799"/>
        <v/>
      </c>
      <c r="BR1486" s="1452" t="str">
        <f t="shared" si="800"/>
        <v/>
      </c>
      <c r="BS1486" s="1452" t="str">
        <f t="shared" si="801"/>
        <v/>
      </c>
      <c r="BT1486" s="1452" t="str">
        <f t="shared" si="802"/>
        <v/>
      </c>
      <c r="BU1486" s="1452" t="str">
        <f t="shared" si="803"/>
        <v/>
      </c>
      <c r="BV1486" s="1452" t="str">
        <f t="shared" si="804"/>
        <v/>
      </c>
      <c r="BW1486" s="1558">
        <f t="shared" ca="1" si="811"/>
        <v>0</v>
      </c>
    </row>
    <row r="1487" spans="1:75" s="9" customFormat="1" ht="12.5">
      <c r="A1487" s="1483" t="str">
        <f t="shared" si="805"/>
        <v>Public Health Wales Trust</v>
      </c>
      <c r="B1487" s="1583"/>
      <c r="C1487" s="1583"/>
      <c r="D1487" s="1583"/>
      <c r="E1487" s="1581"/>
      <c r="F1487" s="1436"/>
      <c r="G1487" s="1547">
        <f t="shared" si="806"/>
        <v>0</v>
      </c>
      <c r="H1487" s="1484"/>
      <c r="I1487" s="1547">
        <f t="shared" si="807"/>
        <v>0</v>
      </c>
      <c r="J1487" s="1485"/>
      <c r="K1487" s="1485"/>
      <c r="L1487" s="1436"/>
      <c r="M1487" s="1439"/>
      <c r="N1487" s="1439"/>
      <c r="O1487" s="1485"/>
      <c r="P1487" s="1486"/>
      <c r="Q1487" s="1486"/>
      <c r="R1487" s="1487"/>
      <c r="S1487" s="1444"/>
      <c r="T1487" s="1444"/>
      <c r="U1487" s="1444"/>
      <c r="V1487" s="1488"/>
      <c r="W1487" s="1488"/>
      <c r="X1487" s="1488"/>
      <c r="Y1487" s="1488"/>
      <c r="Z1487" s="1488"/>
      <c r="AA1487" s="1488"/>
      <c r="AB1487" s="1488"/>
      <c r="AC1487" s="1488"/>
      <c r="AD1487" s="1488"/>
      <c r="AE1487" s="1488"/>
      <c r="AF1487" s="1488"/>
      <c r="AG1487" s="1488"/>
      <c r="AH1487" s="1451">
        <f t="shared" si="779"/>
        <v>0</v>
      </c>
      <c r="AI1487" s="1488"/>
      <c r="AJ1487" s="1488"/>
      <c r="AK1487" s="1488"/>
      <c r="AL1487" s="1488"/>
      <c r="AM1487" s="1488"/>
      <c r="AN1487" s="1488"/>
      <c r="AO1487" s="1488"/>
      <c r="AP1487" s="1488"/>
      <c r="AQ1487" s="1488"/>
      <c r="AR1487" s="1488"/>
      <c r="AS1487" s="1488"/>
      <c r="AT1487" s="1542"/>
      <c r="AU1487" s="1599">
        <f t="shared" si="780"/>
        <v>0</v>
      </c>
      <c r="AV1487" s="1544">
        <f t="shared" si="808"/>
        <v>0</v>
      </c>
      <c r="AW1487" s="1452">
        <f t="shared" si="822"/>
        <v>0</v>
      </c>
      <c r="AX1487" s="1452">
        <f t="shared" si="822"/>
        <v>0</v>
      </c>
      <c r="AY1487" s="1452">
        <f t="shared" si="822"/>
        <v>0</v>
      </c>
      <c r="AZ1487" s="1452">
        <f t="shared" si="822"/>
        <v>0</v>
      </c>
      <c r="BA1487" s="1452">
        <f t="shared" si="822"/>
        <v>0</v>
      </c>
      <c r="BB1487" s="1452">
        <f t="shared" si="822"/>
        <v>0</v>
      </c>
      <c r="BC1487" s="1452">
        <f t="shared" si="818"/>
        <v>0</v>
      </c>
      <c r="BD1487" s="1452">
        <f t="shared" si="818"/>
        <v>0</v>
      </c>
      <c r="BE1487" s="1452">
        <f t="shared" si="818"/>
        <v>0</v>
      </c>
      <c r="BF1487" s="1452">
        <f t="shared" si="819"/>
        <v>0</v>
      </c>
      <c r="BG1487" s="1452">
        <f t="shared" si="820"/>
        <v>0</v>
      </c>
      <c r="BH1487" s="1452">
        <f t="shared" si="821"/>
        <v>0</v>
      </c>
      <c r="BI1487" s="1452">
        <f t="shared" si="809"/>
        <v>0</v>
      </c>
      <c r="BJ1487" s="1452" t="str">
        <f t="shared" si="793"/>
        <v/>
      </c>
      <c r="BK1487" s="1452" t="str">
        <f t="shared" si="794"/>
        <v/>
      </c>
      <c r="BL1487" s="1452" t="str">
        <f t="shared" si="795"/>
        <v/>
      </c>
      <c r="BM1487" s="1452" t="str">
        <f t="shared" si="796"/>
        <v/>
      </c>
      <c r="BN1487" s="1452" t="str">
        <f t="shared" ca="1" si="797"/>
        <v/>
      </c>
      <c r="BO1487" s="1452" t="str">
        <f t="shared" si="810"/>
        <v/>
      </c>
      <c r="BP1487" s="1452" t="str">
        <f t="shared" si="798"/>
        <v/>
      </c>
      <c r="BQ1487" s="1452" t="str">
        <f t="shared" si="799"/>
        <v/>
      </c>
      <c r="BR1487" s="1452" t="str">
        <f t="shared" si="800"/>
        <v/>
      </c>
      <c r="BS1487" s="1452" t="str">
        <f t="shared" si="801"/>
        <v/>
      </c>
      <c r="BT1487" s="1452" t="str">
        <f t="shared" si="802"/>
        <v/>
      </c>
      <c r="BU1487" s="1452" t="str">
        <f t="shared" si="803"/>
        <v/>
      </c>
      <c r="BV1487" s="1452" t="str">
        <f t="shared" si="804"/>
        <v/>
      </c>
      <c r="BW1487" s="1558">
        <f t="shared" ca="1" si="811"/>
        <v>0</v>
      </c>
    </row>
    <row r="1488" spans="1:75" s="9" customFormat="1" ht="12.5">
      <c r="A1488" s="1483" t="str">
        <f t="shared" si="805"/>
        <v>Public Health Wales Trust</v>
      </c>
      <c r="B1488" s="1583"/>
      <c r="C1488" s="1583"/>
      <c r="D1488" s="1583"/>
      <c r="E1488" s="1581"/>
      <c r="F1488" s="1436"/>
      <c r="G1488" s="1547">
        <f t="shared" si="806"/>
        <v>0</v>
      </c>
      <c r="H1488" s="1484"/>
      <c r="I1488" s="1547">
        <f t="shared" si="807"/>
        <v>0</v>
      </c>
      <c r="J1488" s="1485"/>
      <c r="K1488" s="1485"/>
      <c r="L1488" s="1436"/>
      <c r="M1488" s="1439"/>
      <c r="N1488" s="1439"/>
      <c r="O1488" s="1485"/>
      <c r="P1488" s="1486"/>
      <c r="Q1488" s="1486"/>
      <c r="R1488" s="1487"/>
      <c r="S1488" s="1444"/>
      <c r="T1488" s="1444"/>
      <c r="U1488" s="1444"/>
      <c r="V1488" s="1488"/>
      <c r="W1488" s="1488"/>
      <c r="X1488" s="1488"/>
      <c r="Y1488" s="1488"/>
      <c r="Z1488" s="1488"/>
      <c r="AA1488" s="1488"/>
      <c r="AB1488" s="1488"/>
      <c r="AC1488" s="1488"/>
      <c r="AD1488" s="1488"/>
      <c r="AE1488" s="1488"/>
      <c r="AF1488" s="1488"/>
      <c r="AG1488" s="1488"/>
      <c r="AH1488" s="1451">
        <f t="shared" si="779"/>
        <v>0</v>
      </c>
      <c r="AI1488" s="1488"/>
      <c r="AJ1488" s="1488"/>
      <c r="AK1488" s="1488"/>
      <c r="AL1488" s="1488"/>
      <c r="AM1488" s="1488"/>
      <c r="AN1488" s="1488"/>
      <c r="AO1488" s="1488"/>
      <c r="AP1488" s="1488"/>
      <c r="AQ1488" s="1488"/>
      <c r="AR1488" s="1488"/>
      <c r="AS1488" s="1488"/>
      <c r="AT1488" s="1542"/>
      <c r="AU1488" s="1599">
        <f t="shared" si="780"/>
        <v>0</v>
      </c>
      <c r="AV1488" s="1544">
        <f t="shared" si="808"/>
        <v>0</v>
      </c>
      <c r="AW1488" s="1452">
        <f t="shared" si="822"/>
        <v>0</v>
      </c>
      <c r="AX1488" s="1452">
        <f t="shared" si="822"/>
        <v>0</v>
      </c>
      <c r="AY1488" s="1452">
        <f t="shared" si="822"/>
        <v>0</v>
      </c>
      <c r="AZ1488" s="1452">
        <f t="shared" si="822"/>
        <v>0</v>
      </c>
      <c r="BA1488" s="1452">
        <f t="shared" si="822"/>
        <v>0</v>
      </c>
      <c r="BB1488" s="1452">
        <f t="shared" si="822"/>
        <v>0</v>
      </c>
      <c r="BC1488" s="1452">
        <f t="shared" si="818"/>
        <v>0</v>
      </c>
      <c r="BD1488" s="1452">
        <f t="shared" si="818"/>
        <v>0</v>
      </c>
      <c r="BE1488" s="1452">
        <f t="shared" si="818"/>
        <v>0</v>
      </c>
      <c r="BF1488" s="1452">
        <f t="shared" si="819"/>
        <v>0</v>
      </c>
      <c r="BG1488" s="1452">
        <f t="shared" si="820"/>
        <v>0</v>
      </c>
      <c r="BH1488" s="1452">
        <f t="shared" si="821"/>
        <v>0</v>
      </c>
      <c r="BI1488" s="1452">
        <f t="shared" si="809"/>
        <v>0</v>
      </c>
      <c r="BJ1488" s="1452" t="str">
        <f t="shared" si="793"/>
        <v/>
      </c>
      <c r="BK1488" s="1452" t="str">
        <f t="shared" si="794"/>
        <v/>
      </c>
      <c r="BL1488" s="1452" t="str">
        <f t="shared" si="795"/>
        <v/>
      </c>
      <c r="BM1488" s="1452" t="str">
        <f t="shared" si="796"/>
        <v/>
      </c>
      <c r="BN1488" s="1452" t="str">
        <f t="shared" ca="1" si="797"/>
        <v/>
      </c>
      <c r="BO1488" s="1452" t="str">
        <f t="shared" si="810"/>
        <v/>
      </c>
      <c r="BP1488" s="1452" t="str">
        <f t="shared" si="798"/>
        <v/>
      </c>
      <c r="BQ1488" s="1452" t="str">
        <f t="shared" si="799"/>
        <v/>
      </c>
      <c r="BR1488" s="1452" t="str">
        <f t="shared" si="800"/>
        <v/>
      </c>
      <c r="BS1488" s="1452" t="str">
        <f t="shared" si="801"/>
        <v/>
      </c>
      <c r="BT1488" s="1452" t="str">
        <f t="shared" si="802"/>
        <v/>
      </c>
      <c r="BU1488" s="1452" t="str">
        <f t="shared" si="803"/>
        <v/>
      </c>
      <c r="BV1488" s="1452" t="str">
        <f t="shared" si="804"/>
        <v/>
      </c>
      <c r="BW1488" s="1558">
        <f t="shared" ca="1" si="811"/>
        <v>0</v>
      </c>
    </row>
    <row r="1489" spans="1:100" s="9" customFormat="1" ht="12.5">
      <c r="A1489" s="1483" t="str">
        <f t="shared" si="805"/>
        <v>Public Health Wales Trust</v>
      </c>
      <c r="B1489" s="1583"/>
      <c r="C1489" s="1583"/>
      <c r="D1489" s="1583"/>
      <c r="E1489" s="1581"/>
      <c r="F1489" s="1436"/>
      <c r="G1489" s="1547">
        <f t="shared" si="806"/>
        <v>0</v>
      </c>
      <c r="H1489" s="1484"/>
      <c r="I1489" s="1547">
        <f t="shared" si="807"/>
        <v>0</v>
      </c>
      <c r="J1489" s="1485"/>
      <c r="K1489" s="1485"/>
      <c r="L1489" s="1436"/>
      <c r="M1489" s="1439"/>
      <c r="N1489" s="1439"/>
      <c r="O1489" s="1485"/>
      <c r="P1489" s="1486"/>
      <c r="Q1489" s="1486"/>
      <c r="R1489" s="1487"/>
      <c r="S1489" s="1444"/>
      <c r="T1489" s="1444"/>
      <c r="U1489" s="1444"/>
      <c r="V1489" s="1488"/>
      <c r="W1489" s="1488"/>
      <c r="X1489" s="1488"/>
      <c r="Y1489" s="1488"/>
      <c r="Z1489" s="1488"/>
      <c r="AA1489" s="1488"/>
      <c r="AB1489" s="1488"/>
      <c r="AC1489" s="1488"/>
      <c r="AD1489" s="1488"/>
      <c r="AE1489" s="1488"/>
      <c r="AF1489" s="1488"/>
      <c r="AG1489" s="1488"/>
      <c r="AH1489" s="1451">
        <f t="shared" si="779"/>
        <v>0</v>
      </c>
      <c r="AI1489" s="1488"/>
      <c r="AJ1489" s="1488"/>
      <c r="AK1489" s="1488"/>
      <c r="AL1489" s="1488"/>
      <c r="AM1489" s="1488"/>
      <c r="AN1489" s="1488"/>
      <c r="AO1489" s="1488"/>
      <c r="AP1489" s="1488"/>
      <c r="AQ1489" s="1488"/>
      <c r="AR1489" s="1488"/>
      <c r="AS1489" s="1488"/>
      <c r="AT1489" s="1542"/>
      <c r="AU1489" s="1599">
        <f t="shared" si="780"/>
        <v>0</v>
      </c>
      <c r="AV1489" s="1544">
        <f t="shared" si="808"/>
        <v>0</v>
      </c>
      <c r="AW1489" s="1452">
        <f t="shared" si="822"/>
        <v>0</v>
      </c>
      <c r="AX1489" s="1452">
        <f t="shared" si="822"/>
        <v>0</v>
      </c>
      <c r="AY1489" s="1452">
        <f t="shared" si="822"/>
        <v>0</v>
      </c>
      <c r="AZ1489" s="1452">
        <f t="shared" si="822"/>
        <v>0</v>
      </c>
      <c r="BA1489" s="1452">
        <f t="shared" si="822"/>
        <v>0</v>
      </c>
      <c r="BB1489" s="1452">
        <f t="shared" si="822"/>
        <v>0</v>
      </c>
      <c r="BC1489" s="1452">
        <f t="shared" si="818"/>
        <v>0</v>
      </c>
      <c r="BD1489" s="1452">
        <f t="shared" si="818"/>
        <v>0</v>
      </c>
      <c r="BE1489" s="1452">
        <f t="shared" si="818"/>
        <v>0</v>
      </c>
      <c r="BF1489" s="1452">
        <f t="shared" si="819"/>
        <v>0</v>
      </c>
      <c r="BG1489" s="1452">
        <f t="shared" si="820"/>
        <v>0</v>
      </c>
      <c r="BH1489" s="1452">
        <f t="shared" si="821"/>
        <v>0</v>
      </c>
      <c r="BI1489" s="1452">
        <f t="shared" si="809"/>
        <v>0</v>
      </c>
      <c r="BJ1489" s="1452" t="str">
        <f t="shared" si="793"/>
        <v/>
      </c>
      <c r="BK1489" s="1452" t="str">
        <f t="shared" si="794"/>
        <v/>
      </c>
      <c r="BL1489" s="1452" t="str">
        <f t="shared" si="795"/>
        <v/>
      </c>
      <c r="BM1489" s="1452" t="str">
        <f t="shared" si="796"/>
        <v/>
      </c>
      <c r="BN1489" s="1452" t="str">
        <f t="shared" ca="1" si="797"/>
        <v/>
      </c>
      <c r="BO1489" s="1452" t="str">
        <f t="shared" si="810"/>
        <v/>
      </c>
      <c r="BP1489" s="1452" t="str">
        <f t="shared" si="798"/>
        <v/>
      </c>
      <c r="BQ1489" s="1452" t="str">
        <f t="shared" si="799"/>
        <v/>
      </c>
      <c r="BR1489" s="1452" t="str">
        <f t="shared" si="800"/>
        <v/>
      </c>
      <c r="BS1489" s="1452" t="str">
        <f t="shared" si="801"/>
        <v/>
      </c>
      <c r="BT1489" s="1452" t="str">
        <f t="shared" si="802"/>
        <v/>
      </c>
      <c r="BU1489" s="1452" t="str">
        <f t="shared" si="803"/>
        <v/>
      </c>
      <c r="BV1489" s="1452" t="str">
        <f t="shared" si="804"/>
        <v/>
      </c>
      <c r="BW1489" s="1558">
        <f t="shared" ca="1" si="811"/>
        <v>0</v>
      </c>
    </row>
    <row r="1490" spans="1:100" s="9" customFormat="1" ht="12.5">
      <c r="A1490" s="1483" t="str">
        <f t="shared" si="805"/>
        <v>Public Health Wales Trust</v>
      </c>
      <c r="B1490" s="1583"/>
      <c r="C1490" s="1583"/>
      <c r="D1490" s="1583"/>
      <c r="E1490" s="1581"/>
      <c r="F1490" s="1436"/>
      <c r="G1490" s="1547">
        <f t="shared" si="806"/>
        <v>0</v>
      </c>
      <c r="H1490" s="1484"/>
      <c r="I1490" s="1547">
        <f t="shared" si="807"/>
        <v>0</v>
      </c>
      <c r="J1490" s="1485"/>
      <c r="K1490" s="1485"/>
      <c r="L1490" s="1436"/>
      <c r="M1490" s="1439"/>
      <c r="N1490" s="1439"/>
      <c r="O1490" s="1485"/>
      <c r="P1490" s="1486"/>
      <c r="Q1490" s="1486"/>
      <c r="R1490" s="1487"/>
      <c r="S1490" s="1444"/>
      <c r="T1490" s="1444"/>
      <c r="U1490" s="1444"/>
      <c r="V1490" s="1488"/>
      <c r="W1490" s="1488"/>
      <c r="X1490" s="1488"/>
      <c r="Y1490" s="1488"/>
      <c r="Z1490" s="1488"/>
      <c r="AA1490" s="1488"/>
      <c r="AB1490" s="1488"/>
      <c r="AC1490" s="1488"/>
      <c r="AD1490" s="1488"/>
      <c r="AE1490" s="1488"/>
      <c r="AF1490" s="1488"/>
      <c r="AG1490" s="1488"/>
      <c r="AH1490" s="1451">
        <f t="shared" si="779"/>
        <v>0</v>
      </c>
      <c r="AI1490" s="1488"/>
      <c r="AJ1490" s="1488"/>
      <c r="AK1490" s="1488"/>
      <c r="AL1490" s="1488"/>
      <c r="AM1490" s="1488"/>
      <c r="AN1490" s="1488"/>
      <c r="AO1490" s="1488"/>
      <c r="AP1490" s="1488"/>
      <c r="AQ1490" s="1488"/>
      <c r="AR1490" s="1488"/>
      <c r="AS1490" s="1488"/>
      <c r="AT1490" s="1542"/>
      <c r="AU1490" s="1599">
        <f t="shared" si="780"/>
        <v>0</v>
      </c>
      <c r="AV1490" s="1544">
        <f t="shared" si="808"/>
        <v>0</v>
      </c>
      <c r="AW1490" s="1452">
        <f t="shared" si="822"/>
        <v>0</v>
      </c>
      <c r="AX1490" s="1452">
        <f t="shared" si="822"/>
        <v>0</v>
      </c>
      <c r="AY1490" s="1452">
        <f t="shared" si="822"/>
        <v>0</v>
      </c>
      <c r="AZ1490" s="1452">
        <f t="shared" si="822"/>
        <v>0</v>
      </c>
      <c r="BA1490" s="1452">
        <f t="shared" si="822"/>
        <v>0</v>
      </c>
      <c r="BB1490" s="1452">
        <f t="shared" si="822"/>
        <v>0</v>
      </c>
      <c r="BC1490" s="1452">
        <f t="shared" si="818"/>
        <v>0</v>
      </c>
      <c r="BD1490" s="1452">
        <f t="shared" si="818"/>
        <v>0</v>
      </c>
      <c r="BE1490" s="1452">
        <f t="shared" si="818"/>
        <v>0</v>
      </c>
      <c r="BF1490" s="1452">
        <f t="shared" si="819"/>
        <v>0</v>
      </c>
      <c r="BG1490" s="1452">
        <f t="shared" si="820"/>
        <v>0</v>
      </c>
      <c r="BH1490" s="1452">
        <f t="shared" si="821"/>
        <v>0</v>
      </c>
      <c r="BI1490" s="1452">
        <f t="shared" si="809"/>
        <v>0</v>
      </c>
      <c r="BJ1490" s="1452" t="str">
        <f t="shared" si="793"/>
        <v/>
      </c>
      <c r="BK1490" s="1452" t="str">
        <f t="shared" si="794"/>
        <v/>
      </c>
      <c r="BL1490" s="1452" t="str">
        <f t="shared" si="795"/>
        <v/>
      </c>
      <c r="BM1490" s="1452" t="str">
        <f t="shared" si="796"/>
        <v/>
      </c>
      <c r="BN1490" s="1452" t="str">
        <f t="shared" ca="1" si="797"/>
        <v/>
      </c>
      <c r="BO1490" s="1452" t="str">
        <f t="shared" si="810"/>
        <v/>
      </c>
      <c r="BP1490" s="1452" t="str">
        <f t="shared" si="798"/>
        <v/>
      </c>
      <c r="BQ1490" s="1452" t="str">
        <f t="shared" si="799"/>
        <v/>
      </c>
      <c r="BR1490" s="1452" t="str">
        <f t="shared" si="800"/>
        <v/>
      </c>
      <c r="BS1490" s="1452" t="str">
        <f t="shared" si="801"/>
        <v/>
      </c>
      <c r="BT1490" s="1452" t="str">
        <f t="shared" si="802"/>
        <v/>
      </c>
      <c r="BU1490" s="1452" t="str">
        <f t="shared" si="803"/>
        <v/>
      </c>
      <c r="BV1490" s="1452" t="str">
        <f t="shared" si="804"/>
        <v/>
      </c>
      <c r="BW1490" s="1558">
        <f t="shared" ca="1" si="811"/>
        <v>0</v>
      </c>
    </row>
    <row r="1491" spans="1:100" s="9" customFormat="1" ht="12.5">
      <c r="A1491" s="1483" t="str">
        <f t="shared" si="805"/>
        <v>Public Health Wales Trust</v>
      </c>
      <c r="B1491" s="1583"/>
      <c r="C1491" s="1583"/>
      <c r="D1491" s="1583"/>
      <c r="E1491" s="1581"/>
      <c r="F1491" s="1436"/>
      <c r="G1491" s="1547">
        <f t="shared" si="806"/>
        <v>0</v>
      </c>
      <c r="H1491" s="1484"/>
      <c r="I1491" s="1547">
        <f t="shared" si="807"/>
        <v>0</v>
      </c>
      <c r="J1491" s="1485"/>
      <c r="K1491" s="1485"/>
      <c r="L1491" s="1436"/>
      <c r="M1491" s="1439"/>
      <c r="N1491" s="1439"/>
      <c r="O1491" s="1485"/>
      <c r="P1491" s="1486"/>
      <c r="Q1491" s="1486"/>
      <c r="R1491" s="1487"/>
      <c r="S1491" s="1444"/>
      <c r="T1491" s="1444"/>
      <c r="U1491" s="1444"/>
      <c r="V1491" s="1488"/>
      <c r="W1491" s="1488"/>
      <c r="X1491" s="1488"/>
      <c r="Y1491" s="1488"/>
      <c r="Z1491" s="1488"/>
      <c r="AA1491" s="1488"/>
      <c r="AB1491" s="1488"/>
      <c r="AC1491" s="1488"/>
      <c r="AD1491" s="1488"/>
      <c r="AE1491" s="1488"/>
      <c r="AF1491" s="1488"/>
      <c r="AG1491" s="1488"/>
      <c r="AH1491" s="1451">
        <f t="shared" si="779"/>
        <v>0</v>
      </c>
      <c r="AI1491" s="1488"/>
      <c r="AJ1491" s="1488"/>
      <c r="AK1491" s="1488"/>
      <c r="AL1491" s="1488"/>
      <c r="AM1491" s="1488"/>
      <c r="AN1491" s="1488"/>
      <c r="AO1491" s="1488"/>
      <c r="AP1491" s="1488"/>
      <c r="AQ1491" s="1488"/>
      <c r="AR1491" s="1488"/>
      <c r="AS1491" s="1488"/>
      <c r="AT1491" s="1542"/>
      <c r="AU1491" s="1599">
        <f t="shared" si="780"/>
        <v>0</v>
      </c>
      <c r="AV1491" s="1544">
        <f t="shared" si="808"/>
        <v>0</v>
      </c>
      <c r="AW1491" s="1452">
        <f t="shared" si="822"/>
        <v>0</v>
      </c>
      <c r="AX1491" s="1452">
        <f t="shared" si="822"/>
        <v>0</v>
      </c>
      <c r="AY1491" s="1452">
        <f t="shared" si="822"/>
        <v>0</v>
      </c>
      <c r="AZ1491" s="1452">
        <f t="shared" si="822"/>
        <v>0</v>
      </c>
      <c r="BA1491" s="1452">
        <f t="shared" si="822"/>
        <v>0</v>
      </c>
      <c r="BB1491" s="1452">
        <f t="shared" si="822"/>
        <v>0</v>
      </c>
      <c r="BC1491" s="1452">
        <f t="shared" si="818"/>
        <v>0</v>
      </c>
      <c r="BD1491" s="1452">
        <f t="shared" si="818"/>
        <v>0</v>
      </c>
      <c r="BE1491" s="1452">
        <f t="shared" si="818"/>
        <v>0</v>
      </c>
      <c r="BF1491" s="1452">
        <f t="shared" si="819"/>
        <v>0</v>
      </c>
      <c r="BG1491" s="1452">
        <f t="shared" si="820"/>
        <v>0</v>
      </c>
      <c r="BH1491" s="1452">
        <f t="shared" si="821"/>
        <v>0</v>
      </c>
      <c r="BI1491" s="1452">
        <f t="shared" si="809"/>
        <v>0</v>
      </c>
      <c r="BJ1491" s="1452" t="str">
        <f t="shared" si="793"/>
        <v/>
      </c>
      <c r="BK1491" s="1452" t="str">
        <f t="shared" si="794"/>
        <v/>
      </c>
      <c r="BL1491" s="1452" t="str">
        <f t="shared" si="795"/>
        <v/>
      </c>
      <c r="BM1491" s="1452" t="str">
        <f t="shared" si="796"/>
        <v/>
      </c>
      <c r="BN1491" s="1452" t="str">
        <f t="shared" ca="1" si="797"/>
        <v/>
      </c>
      <c r="BO1491" s="1452" t="str">
        <f t="shared" si="810"/>
        <v/>
      </c>
      <c r="BP1491" s="1452" t="str">
        <f t="shared" si="798"/>
        <v/>
      </c>
      <c r="BQ1491" s="1452" t="str">
        <f t="shared" si="799"/>
        <v/>
      </c>
      <c r="BR1491" s="1452" t="str">
        <f t="shared" si="800"/>
        <v/>
      </c>
      <c r="BS1491" s="1452" t="str">
        <f t="shared" si="801"/>
        <v/>
      </c>
      <c r="BT1491" s="1452" t="str">
        <f t="shared" si="802"/>
        <v/>
      </c>
      <c r="BU1491" s="1452" t="str">
        <f t="shared" si="803"/>
        <v/>
      </c>
      <c r="BV1491" s="1452" t="str">
        <f t="shared" si="804"/>
        <v/>
      </c>
      <c r="BW1491" s="1558">
        <f t="shared" ca="1" si="811"/>
        <v>0</v>
      </c>
    </row>
    <row r="1492" spans="1:100" s="9" customFormat="1" ht="12.5">
      <c r="A1492" s="1483" t="str">
        <f t="shared" si="805"/>
        <v>Public Health Wales Trust</v>
      </c>
      <c r="B1492" s="1583"/>
      <c r="C1492" s="1583"/>
      <c r="D1492" s="1583"/>
      <c r="E1492" s="1581"/>
      <c r="F1492" s="1436"/>
      <c r="G1492" s="1547">
        <f t="shared" si="806"/>
        <v>0</v>
      </c>
      <c r="H1492" s="1484"/>
      <c r="I1492" s="1547">
        <f t="shared" si="807"/>
        <v>0</v>
      </c>
      <c r="J1492" s="1485"/>
      <c r="K1492" s="1485"/>
      <c r="L1492" s="1436"/>
      <c r="M1492" s="1439"/>
      <c r="N1492" s="1439"/>
      <c r="O1492" s="1485"/>
      <c r="P1492" s="1486"/>
      <c r="Q1492" s="1486"/>
      <c r="R1492" s="1487"/>
      <c r="S1492" s="1444"/>
      <c r="T1492" s="1444"/>
      <c r="U1492" s="1444"/>
      <c r="V1492" s="1488"/>
      <c r="W1492" s="1488"/>
      <c r="X1492" s="1488"/>
      <c r="Y1492" s="1488"/>
      <c r="Z1492" s="1488"/>
      <c r="AA1492" s="1488"/>
      <c r="AB1492" s="1488"/>
      <c r="AC1492" s="1488"/>
      <c r="AD1492" s="1488"/>
      <c r="AE1492" s="1488"/>
      <c r="AF1492" s="1488"/>
      <c r="AG1492" s="1488"/>
      <c r="AH1492" s="1451">
        <f t="shared" si="779"/>
        <v>0</v>
      </c>
      <c r="AI1492" s="1488"/>
      <c r="AJ1492" s="1488"/>
      <c r="AK1492" s="1488"/>
      <c r="AL1492" s="1488"/>
      <c r="AM1492" s="1488"/>
      <c r="AN1492" s="1488"/>
      <c r="AO1492" s="1488"/>
      <c r="AP1492" s="1488"/>
      <c r="AQ1492" s="1488"/>
      <c r="AR1492" s="1488"/>
      <c r="AS1492" s="1488"/>
      <c r="AT1492" s="1542"/>
      <c r="AU1492" s="1599">
        <f t="shared" si="780"/>
        <v>0</v>
      </c>
      <c r="AV1492" s="1544">
        <f t="shared" si="808"/>
        <v>0</v>
      </c>
      <c r="AW1492" s="1452">
        <f t="shared" si="822"/>
        <v>0</v>
      </c>
      <c r="AX1492" s="1452">
        <f t="shared" si="822"/>
        <v>0</v>
      </c>
      <c r="AY1492" s="1452">
        <f t="shared" si="822"/>
        <v>0</v>
      </c>
      <c r="AZ1492" s="1452">
        <f t="shared" si="822"/>
        <v>0</v>
      </c>
      <c r="BA1492" s="1452">
        <f t="shared" si="822"/>
        <v>0</v>
      </c>
      <c r="BB1492" s="1452">
        <f t="shared" si="822"/>
        <v>0</v>
      </c>
      <c r="BC1492" s="1452">
        <f t="shared" si="818"/>
        <v>0</v>
      </c>
      <c r="BD1492" s="1452">
        <f t="shared" si="818"/>
        <v>0</v>
      </c>
      <c r="BE1492" s="1452">
        <f t="shared" si="818"/>
        <v>0</v>
      </c>
      <c r="BF1492" s="1452">
        <f t="shared" si="819"/>
        <v>0</v>
      </c>
      <c r="BG1492" s="1452">
        <f t="shared" si="820"/>
        <v>0</v>
      </c>
      <c r="BH1492" s="1452">
        <f t="shared" si="821"/>
        <v>0</v>
      </c>
      <c r="BI1492" s="1452">
        <f t="shared" si="809"/>
        <v>0</v>
      </c>
      <c r="BJ1492" s="1452" t="str">
        <f t="shared" si="793"/>
        <v/>
      </c>
      <c r="BK1492" s="1452" t="str">
        <f t="shared" si="794"/>
        <v/>
      </c>
      <c r="BL1492" s="1452" t="str">
        <f t="shared" si="795"/>
        <v/>
      </c>
      <c r="BM1492" s="1452" t="str">
        <f t="shared" si="796"/>
        <v/>
      </c>
      <c r="BN1492" s="1452" t="str">
        <f t="shared" ca="1" si="797"/>
        <v/>
      </c>
      <c r="BO1492" s="1452" t="str">
        <f t="shared" si="810"/>
        <v/>
      </c>
      <c r="BP1492" s="1452" t="str">
        <f t="shared" si="798"/>
        <v/>
      </c>
      <c r="BQ1492" s="1452" t="str">
        <f t="shared" si="799"/>
        <v/>
      </c>
      <c r="BR1492" s="1452" t="str">
        <f t="shared" si="800"/>
        <v/>
      </c>
      <c r="BS1492" s="1452" t="str">
        <f t="shared" si="801"/>
        <v/>
      </c>
      <c r="BT1492" s="1452" t="str">
        <f t="shared" si="802"/>
        <v/>
      </c>
      <c r="BU1492" s="1452" t="str">
        <f t="shared" si="803"/>
        <v/>
      </c>
      <c r="BV1492" s="1452" t="str">
        <f t="shared" si="804"/>
        <v/>
      </c>
      <c r="BW1492" s="1558">
        <f t="shared" ca="1" si="811"/>
        <v>0</v>
      </c>
    </row>
    <row r="1493" spans="1:100" s="9" customFormat="1" ht="12.5">
      <c r="A1493" s="1483" t="str">
        <f t="shared" si="805"/>
        <v>Public Health Wales Trust</v>
      </c>
      <c r="B1493" s="1583"/>
      <c r="C1493" s="1583"/>
      <c r="D1493" s="1583"/>
      <c r="E1493" s="1581"/>
      <c r="F1493" s="1436"/>
      <c r="G1493" s="1547">
        <f t="shared" si="806"/>
        <v>0</v>
      </c>
      <c r="H1493" s="1484"/>
      <c r="I1493" s="1547">
        <f t="shared" si="807"/>
        <v>0</v>
      </c>
      <c r="J1493" s="1485"/>
      <c r="K1493" s="1485"/>
      <c r="L1493" s="1436"/>
      <c r="M1493" s="1439"/>
      <c r="N1493" s="1439"/>
      <c r="O1493" s="1485"/>
      <c r="P1493" s="1486"/>
      <c r="Q1493" s="1486"/>
      <c r="R1493" s="1487"/>
      <c r="S1493" s="1444"/>
      <c r="T1493" s="1444"/>
      <c r="U1493" s="1444"/>
      <c r="V1493" s="1488"/>
      <c r="W1493" s="1488"/>
      <c r="X1493" s="1488"/>
      <c r="Y1493" s="1488"/>
      <c r="Z1493" s="1488"/>
      <c r="AA1493" s="1488"/>
      <c r="AB1493" s="1488"/>
      <c r="AC1493" s="1488"/>
      <c r="AD1493" s="1488"/>
      <c r="AE1493" s="1488"/>
      <c r="AF1493" s="1488"/>
      <c r="AG1493" s="1488"/>
      <c r="AH1493" s="1451">
        <f t="shared" si="779"/>
        <v>0</v>
      </c>
      <c r="AI1493" s="1488"/>
      <c r="AJ1493" s="1488"/>
      <c r="AK1493" s="1488"/>
      <c r="AL1493" s="1488"/>
      <c r="AM1493" s="1488"/>
      <c r="AN1493" s="1488"/>
      <c r="AO1493" s="1488"/>
      <c r="AP1493" s="1488"/>
      <c r="AQ1493" s="1488"/>
      <c r="AR1493" s="1488"/>
      <c r="AS1493" s="1488"/>
      <c r="AT1493" s="1542"/>
      <c r="AU1493" s="1599">
        <f t="shared" si="780"/>
        <v>0</v>
      </c>
      <c r="AV1493" s="1544">
        <f t="shared" si="808"/>
        <v>0</v>
      </c>
      <c r="AW1493" s="1452">
        <f t="shared" si="822"/>
        <v>0</v>
      </c>
      <c r="AX1493" s="1452">
        <f t="shared" si="822"/>
        <v>0</v>
      </c>
      <c r="AY1493" s="1452">
        <f t="shared" si="822"/>
        <v>0</v>
      </c>
      <c r="AZ1493" s="1452">
        <f t="shared" si="822"/>
        <v>0</v>
      </c>
      <c r="BA1493" s="1452">
        <f t="shared" si="822"/>
        <v>0</v>
      </c>
      <c r="BB1493" s="1452">
        <f t="shared" si="822"/>
        <v>0</v>
      </c>
      <c r="BC1493" s="1452">
        <f t="shared" si="818"/>
        <v>0</v>
      </c>
      <c r="BD1493" s="1452">
        <f t="shared" si="818"/>
        <v>0</v>
      </c>
      <c r="BE1493" s="1452">
        <f t="shared" si="818"/>
        <v>0</v>
      </c>
      <c r="BF1493" s="1452">
        <f t="shared" si="819"/>
        <v>0</v>
      </c>
      <c r="BG1493" s="1452">
        <f t="shared" si="820"/>
        <v>0</v>
      </c>
      <c r="BH1493" s="1452">
        <f t="shared" si="821"/>
        <v>0</v>
      </c>
      <c r="BI1493" s="1452">
        <f t="shared" si="809"/>
        <v>0</v>
      </c>
      <c r="BJ1493" s="1452" t="str">
        <f t="shared" si="793"/>
        <v/>
      </c>
      <c r="BK1493" s="1452" t="str">
        <f t="shared" si="794"/>
        <v/>
      </c>
      <c r="BL1493" s="1452" t="str">
        <f t="shared" si="795"/>
        <v/>
      </c>
      <c r="BM1493" s="1452" t="str">
        <f t="shared" si="796"/>
        <v/>
      </c>
      <c r="BN1493" s="1452" t="str">
        <f t="shared" ca="1" si="797"/>
        <v/>
      </c>
      <c r="BO1493" s="1452" t="str">
        <f t="shared" si="810"/>
        <v/>
      </c>
      <c r="BP1493" s="1452" t="str">
        <f t="shared" si="798"/>
        <v/>
      </c>
      <c r="BQ1493" s="1452" t="str">
        <f t="shared" si="799"/>
        <v/>
      </c>
      <c r="BR1493" s="1452" t="str">
        <f t="shared" si="800"/>
        <v/>
      </c>
      <c r="BS1493" s="1452" t="str">
        <f t="shared" si="801"/>
        <v/>
      </c>
      <c r="BT1493" s="1452" t="str">
        <f t="shared" si="802"/>
        <v/>
      </c>
      <c r="BU1493" s="1452" t="str">
        <f t="shared" si="803"/>
        <v/>
      </c>
      <c r="BV1493" s="1452" t="str">
        <f t="shared" si="804"/>
        <v/>
      </c>
      <c r="BW1493" s="1558">
        <f t="shared" ca="1" si="811"/>
        <v>0</v>
      </c>
    </row>
    <row r="1494" spans="1:100" s="9" customFormat="1" ht="12.5">
      <c r="A1494" s="1483" t="str">
        <f t="shared" si="805"/>
        <v>Public Health Wales Trust</v>
      </c>
      <c r="B1494" s="1583"/>
      <c r="C1494" s="1583"/>
      <c r="D1494" s="1583"/>
      <c r="E1494" s="1581"/>
      <c r="F1494" s="1436"/>
      <c r="G1494" s="1547">
        <f t="shared" si="806"/>
        <v>0</v>
      </c>
      <c r="H1494" s="1484"/>
      <c r="I1494" s="1547">
        <f t="shared" si="807"/>
        <v>0</v>
      </c>
      <c r="J1494" s="1485"/>
      <c r="K1494" s="1485"/>
      <c r="L1494" s="1436"/>
      <c r="M1494" s="1439"/>
      <c r="N1494" s="1439"/>
      <c r="O1494" s="1485"/>
      <c r="P1494" s="1486"/>
      <c r="Q1494" s="1486"/>
      <c r="R1494" s="1487"/>
      <c r="S1494" s="1444"/>
      <c r="T1494" s="1444"/>
      <c r="U1494" s="1444"/>
      <c r="V1494" s="1488"/>
      <c r="W1494" s="1488"/>
      <c r="X1494" s="1488"/>
      <c r="Y1494" s="1488"/>
      <c r="Z1494" s="1488"/>
      <c r="AA1494" s="1488"/>
      <c r="AB1494" s="1488"/>
      <c r="AC1494" s="1488"/>
      <c r="AD1494" s="1488"/>
      <c r="AE1494" s="1488"/>
      <c r="AF1494" s="1488"/>
      <c r="AG1494" s="1488"/>
      <c r="AH1494" s="1451">
        <f t="shared" si="779"/>
        <v>0</v>
      </c>
      <c r="AI1494" s="1488"/>
      <c r="AJ1494" s="1488"/>
      <c r="AK1494" s="1488"/>
      <c r="AL1494" s="1488"/>
      <c r="AM1494" s="1488"/>
      <c r="AN1494" s="1488"/>
      <c r="AO1494" s="1488"/>
      <c r="AP1494" s="1488"/>
      <c r="AQ1494" s="1488"/>
      <c r="AR1494" s="1488"/>
      <c r="AS1494" s="1488"/>
      <c r="AT1494" s="1542"/>
      <c r="AU1494" s="1599">
        <f t="shared" si="780"/>
        <v>0</v>
      </c>
      <c r="AV1494" s="1544">
        <f t="shared" si="808"/>
        <v>0</v>
      </c>
      <c r="AW1494" s="1452">
        <f t="shared" si="822"/>
        <v>0</v>
      </c>
      <c r="AX1494" s="1452">
        <f t="shared" si="822"/>
        <v>0</v>
      </c>
      <c r="AY1494" s="1452">
        <f t="shared" si="822"/>
        <v>0</v>
      </c>
      <c r="AZ1494" s="1452">
        <f t="shared" si="822"/>
        <v>0</v>
      </c>
      <c r="BA1494" s="1452">
        <f t="shared" si="822"/>
        <v>0</v>
      </c>
      <c r="BB1494" s="1452">
        <f t="shared" si="822"/>
        <v>0</v>
      </c>
      <c r="BC1494" s="1452">
        <f t="shared" si="818"/>
        <v>0</v>
      </c>
      <c r="BD1494" s="1452">
        <f t="shared" si="818"/>
        <v>0</v>
      </c>
      <c r="BE1494" s="1452">
        <f t="shared" si="818"/>
        <v>0</v>
      </c>
      <c r="BF1494" s="1452">
        <f t="shared" si="819"/>
        <v>0</v>
      </c>
      <c r="BG1494" s="1452">
        <f t="shared" si="820"/>
        <v>0</v>
      </c>
      <c r="BH1494" s="1452">
        <f t="shared" si="821"/>
        <v>0</v>
      </c>
      <c r="BI1494" s="1452">
        <f t="shared" si="809"/>
        <v>0</v>
      </c>
      <c r="BJ1494" s="1452" t="str">
        <f t="shared" si="793"/>
        <v/>
      </c>
      <c r="BK1494" s="1452" t="str">
        <f t="shared" si="794"/>
        <v/>
      </c>
      <c r="BL1494" s="1452" t="str">
        <f t="shared" si="795"/>
        <v/>
      </c>
      <c r="BM1494" s="1452" t="str">
        <f t="shared" si="796"/>
        <v/>
      </c>
      <c r="BN1494" s="1452" t="str">
        <f t="shared" ca="1" si="797"/>
        <v/>
      </c>
      <c r="BO1494" s="1452" t="str">
        <f t="shared" si="810"/>
        <v/>
      </c>
      <c r="BP1494" s="1452" t="str">
        <f t="shared" si="798"/>
        <v/>
      </c>
      <c r="BQ1494" s="1452" t="str">
        <f t="shared" si="799"/>
        <v/>
      </c>
      <c r="BR1494" s="1452" t="str">
        <f t="shared" si="800"/>
        <v/>
      </c>
      <c r="BS1494" s="1452" t="str">
        <f t="shared" si="801"/>
        <v/>
      </c>
      <c r="BT1494" s="1452" t="str">
        <f t="shared" si="802"/>
        <v/>
      </c>
      <c r="BU1494" s="1452" t="str">
        <f t="shared" si="803"/>
        <v/>
      </c>
      <c r="BV1494" s="1452" t="str">
        <f t="shared" si="804"/>
        <v/>
      </c>
      <c r="BW1494" s="1558">
        <f t="shared" ca="1" si="811"/>
        <v>0</v>
      </c>
    </row>
    <row r="1495" spans="1:100" s="9" customFormat="1" ht="12.5">
      <c r="A1495" s="1483" t="str">
        <f t="shared" si="805"/>
        <v>Public Health Wales Trust</v>
      </c>
      <c r="B1495" s="1583"/>
      <c r="C1495" s="1583"/>
      <c r="D1495" s="1583"/>
      <c r="E1495" s="1581"/>
      <c r="F1495" s="1436"/>
      <c r="G1495" s="1547">
        <f t="shared" si="806"/>
        <v>0</v>
      </c>
      <c r="H1495" s="1484"/>
      <c r="I1495" s="1547">
        <f t="shared" si="807"/>
        <v>0</v>
      </c>
      <c r="J1495" s="1485"/>
      <c r="K1495" s="1485"/>
      <c r="L1495" s="1436"/>
      <c r="M1495" s="1439"/>
      <c r="N1495" s="1439"/>
      <c r="O1495" s="1485"/>
      <c r="P1495" s="1486"/>
      <c r="Q1495" s="1486"/>
      <c r="R1495" s="1487"/>
      <c r="S1495" s="1444"/>
      <c r="T1495" s="1444"/>
      <c r="U1495" s="1444"/>
      <c r="V1495" s="1488"/>
      <c r="W1495" s="1488"/>
      <c r="X1495" s="1488"/>
      <c r="Y1495" s="1488"/>
      <c r="Z1495" s="1488"/>
      <c r="AA1495" s="1488"/>
      <c r="AB1495" s="1488"/>
      <c r="AC1495" s="1488"/>
      <c r="AD1495" s="1488"/>
      <c r="AE1495" s="1488"/>
      <c r="AF1495" s="1488"/>
      <c r="AG1495" s="1488"/>
      <c r="AH1495" s="1451">
        <f t="shared" si="779"/>
        <v>0</v>
      </c>
      <c r="AI1495" s="1488"/>
      <c r="AJ1495" s="1488"/>
      <c r="AK1495" s="1488"/>
      <c r="AL1495" s="1488"/>
      <c r="AM1495" s="1488"/>
      <c r="AN1495" s="1488"/>
      <c r="AO1495" s="1488"/>
      <c r="AP1495" s="1488"/>
      <c r="AQ1495" s="1488"/>
      <c r="AR1495" s="1488"/>
      <c r="AS1495" s="1488"/>
      <c r="AT1495" s="1542"/>
      <c r="AU1495" s="1599">
        <f t="shared" si="780"/>
        <v>0</v>
      </c>
      <c r="AV1495" s="1544">
        <f t="shared" si="808"/>
        <v>0</v>
      </c>
      <c r="AW1495" s="1452">
        <f t="shared" si="822"/>
        <v>0</v>
      </c>
      <c r="AX1495" s="1452">
        <f t="shared" si="822"/>
        <v>0</v>
      </c>
      <c r="AY1495" s="1452">
        <f t="shared" si="822"/>
        <v>0</v>
      </c>
      <c r="AZ1495" s="1452">
        <f t="shared" si="822"/>
        <v>0</v>
      </c>
      <c r="BA1495" s="1452">
        <f t="shared" si="822"/>
        <v>0</v>
      </c>
      <c r="BB1495" s="1452">
        <f t="shared" si="822"/>
        <v>0</v>
      </c>
      <c r="BC1495" s="1452">
        <f t="shared" si="818"/>
        <v>0</v>
      </c>
      <c r="BD1495" s="1452">
        <f t="shared" si="818"/>
        <v>0</v>
      </c>
      <c r="BE1495" s="1452">
        <f t="shared" si="818"/>
        <v>0</v>
      </c>
      <c r="BF1495" s="1452">
        <f t="shared" si="819"/>
        <v>0</v>
      </c>
      <c r="BG1495" s="1452">
        <f t="shared" si="820"/>
        <v>0</v>
      </c>
      <c r="BH1495" s="1452">
        <f t="shared" si="821"/>
        <v>0</v>
      </c>
      <c r="BI1495" s="1452">
        <f t="shared" si="809"/>
        <v>0</v>
      </c>
      <c r="BJ1495" s="1452" t="str">
        <f t="shared" si="793"/>
        <v/>
      </c>
      <c r="BK1495" s="1452" t="str">
        <f t="shared" si="794"/>
        <v/>
      </c>
      <c r="BL1495" s="1452" t="str">
        <f t="shared" si="795"/>
        <v/>
      </c>
      <c r="BM1495" s="1452" t="str">
        <f t="shared" si="796"/>
        <v/>
      </c>
      <c r="BN1495" s="1452" t="str">
        <f t="shared" ca="1" si="797"/>
        <v/>
      </c>
      <c r="BO1495" s="1452" t="str">
        <f t="shared" si="810"/>
        <v/>
      </c>
      <c r="BP1495" s="1452" t="str">
        <f t="shared" si="798"/>
        <v/>
      </c>
      <c r="BQ1495" s="1452" t="str">
        <f t="shared" si="799"/>
        <v/>
      </c>
      <c r="BR1495" s="1452" t="str">
        <f t="shared" si="800"/>
        <v/>
      </c>
      <c r="BS1495" s="1452" t="str">
        <f t="shared" si="801"/>
        <v/>
      </c>
      <c r="BT1495" s="1452" t="str">
        <f t="shared" si="802"/>
        <v/>
      </c>
      <c r="BU1495" s="1452" t="str">
        <f t="shared" si="803"/>
        <v/>
      </c>
      <c r="BV1495" s="1452" t="str">
        <f t="shared" si="804"/>
        <v/>
      </c>
      <c r="BW1495" s="1558">
        <f t="shared" ca="1" si="811"/>
        <v>0</v>
      </c>
    </row>
    <row r="1496" spans="1:100" s="9" customFormat="1" ht="12.5">
      <c r="A1496" s="1483" t="str">
        <f t="shared" si="805"/>
        <v>Public Health Wales Trust</v>
      </c>
      <c r="B1496" s="1583"/>
      <c r="C1496" s="1583"/>
      <c r="D1496" s="1583"/>
      <c r="E1496" s="1581"/>
      <c r="F1496" s="1436"/>
      <c r="G1496" s="1547">
        <f t="shared" si="806"/>
        <v>0</v>
      </c>
      <c r="H1496" s="1484"/>
      <c r="I1496" s="1547">
        <f t="shared" si="807"/>
        <v>0</v>
      </c>
      <c r="J1496" s="1485"/>
      <c r="K1496" s="1485"/>
      <c r="L1496" s="1436"/>
      <c r="M1496" s="1439"/>
      <c r="N1496" s="1439"/>
      <c r="O1496" s="1485"/>
      <c r="P1496" s="1486"/>
      <c r="Q1496" s="1486"/>
      <c r="R1496" s="1487"/>
      <c r="S1496" s="1444"/>
      <c r="T1496" s="1444"/>
      <c r="U1496" s="1444"/>
      <c r="V1496" s="1488"/>
      <c r="W1496" s="1488"/>
      <c r="X1496" s="1488"/>
      <c r="Y1496" s="1488"/>
      <c r="Z1496" s="1488"/>
      <c r="AA1496" s="1488"/>
      <c r="AB1496" s="1488"/>
      <c r="AC1496" s="1488"/>
      <c r="AD1496" s="1488"/>
      <c r="AE1496" s="1488"/>
      <c r="AF1496" s="1488"/>
      <c r="AG1496" s="1488"/>
      <c r="AH1496" s="1451">
        <f t="shared" si="779"/>
        <v>0</v>
      </c>
      <c r="AI1496" s="1488"/>
      <c r="AJ1496" s="1488"/>
      <c r="AK1496" s="1488"/>
      <c r="AL1496" s="1488"/>
      <c r="AM1496" s="1488"/>
      <c r="AN1496" s="1488"/>
      <c r="AO1496" s="1488"/>
      <c r="AP1496" s="1488"/>
      <c r="AQ1496" s="1488"/>
      <c r="AR1496" s="1488"/>
      <c r="AS1496" s="1488"/>
      <c r="AT1496" s="1542"/>
      <c r="AU1496" s="1599">
        <f t="shared" si="780"/>
        <v>0</v>
      </c>
      <c r="AV1496" s="1544">
        <f t="shared" si="808"/>
        <v>0</v>
      </c>
      <c r="AW1496" s="1452">
        <f t="shared" si="822"/>
        <v>0</v>
      </c>
      <c r="AX1496" s="1452">
        <f t="shared" si="822"/>
        <v>0</v>
      </c>
      <c r="AY1496" s="1452">
        <f t="shared" si="822"/>
        <v>0</v>
      </c>
      <c r="AZ1496" s="1452">
        <f t="shared" si="822"/>
        <v>0</v>
      </c>
      <c r="BA1496" s="1452">
        <f t="shared" si="822"/>
        <v>0</v>
      </c>
      <c r="BB1496" s="1452">
        <f>AN1496-AA1496</f>
        <v>0</v>
      </c>
      <c r="BC1496" s="1452">
        <f t="shared" si="818"/>
        <v>0</v>
      </c>
      <c r="BD1496" s="1452">
        <f t="shared" si="818"/>
        <v>0</v>
      </c>
      <c r="BE1496" s="1452">
        <f t="shared" si="818"/>
        <v>0</v>
      </c>
      <c r="BF1496" s="1452">
        <f t="shared" si="819"/>
        <v>0</v>
      </c>
      <c r="BG1496" s="1452">
        <f t="shared" si="820"/>
        <v>0</v>
      </c>
      <c r="BH1496" s="1452">
        <f t="shared" si="821"/>
        <v>0</v>
      </c>
      <c r="BI1496" s="1452">
        <f t="shared" si="809"/>
        <v>0</v>
      </c>
      <c r="BJ1496" s="1452" t="str">
        <f t="shared" si="793"/>
        <v/>
      </c>
      <c r="BK1496" s="1452" t="str">
        <f t="shared" si="794"/>
        <v/>
      </c>
      <c r="BL1496" s="1452" t="str">
        <f t="shared" si="795"/>
        <v/>
      </c>
      <c r="BM1496" s="1452" t="str">
        <f t="shared" si="796"/>
        <v/>
      </c>
      <c r="BN1496" s="1452" t="str">
        <f t="shared" ca="1" si="797"/>
        <v/>
      </c>
      <c r="BO1496" s="1452" t="str">
        <f t="shared" si="810"/>
        <v/>
      </c>
      <c r="BP1496" s="1452" t="str">
        <f t="shared" si="798"/>
        <v/>
      </c>
      <c r="BQ1496" s="1452" t="str">
        <f t="shared" si="799"/>
        <v/>
      </c>
      <c r="BR1496" s="1452" t="str">
        <f t="shared" si="800"/>
        <v/>
      </c>
      <c r="BS1496" s="1452" t="str">
        <f t="shared" si="801"/>
        <v/>
      </c>
      <c r="BT1496" s="1452" t="str">
        <f t="shared" si="802"/>
        <v/>
      </c>
      <c r="BU1496" s="1452" t="str">
        <f t="shared" si="803"/>
        <v/>
      </c>
      <c r="BV1496" s="1452" t="str">
        <f t="shared" si="804"/>
        <v/>
      </c>
      <c r="BW1496" s="1558">
        <f t="shared" ca="1" si="811"/>
        <v>0</v>
      </c>
    </row>
    <row r="1497" spans="1:100" s="9" customFormat="1">
      <c r="B1497" s="14"/>
      <c r="C1497" s="14"/>
      <c r="D1497" s="14"/>
      <c r="E1497" s="1446"/>
      <c r="F1497" s="14"/>
      <c r="G1497" s="1447"/>
      <c r="H1497" s="1447"/>
      <c r="I1497" s="1447"/>
      <c r="J1497" s="1447"/>
      <c r="K1497" s="1447"/>
      <c r="O1497" s="1448"/>
      <c r="P1497" s="1449"/>
      <c r="Q1497" s="1449"/>
      <c r="R1497" s="1449"/>
      <c r="S1497" s="1450"/>
      <c r="T1497" s="1450"/>
      <c r="U1497" s="1450"/>
      <c r="V1497" s="1450"/>
      <c r="W1497" s="1450"/>
      <c r="X1497" s="1450"/>
      <c r="Y1497" s="1450"/>
      <c r="Z1497" s="1450"/>
      <c r="AA1497" s="1450"/>
      <c r="AB1497" s="1450"/>
      <c r="AC1497" s="1450"/>
      <c r="AD1497" s="1450"/>
      <c r="AE1497" s="1450"/>
      <c r="BU1497" s="1558">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B9" sqref="B9"/>
    </sheetView>
  </sheetViews>
  <sheetFormatPr defaultColWidth="8.921875" defaultRowHeight="15.5"/>
  <cols>
    <col min="1" max="1" width="5.15234375" customWidth="1"/>
    <col min="2" max="2" width="30.15234375" bestFit="1" customWidth="1"/>
    <col min="3" max="5" width="11.15234375" customWidth="1"/>
    <col min="6" max="6" width="2.61328125" customWidth="1"/>
    <col min="7" max="9" width="11.6132812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Apr 23</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1"/>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62">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4" t="s">
        <v>733</v>
      </c>
      <c r="C11" s="2864">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4"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4" t="s">
        <v>734</v>
      </c>
      <c r="C15" s="41">
        <v>1072</v>
      </c>
      <c r="D15" s="41">
        <v>1246</v>
      </c>
      <c r="E15" s="199">
        <f t="shared" si="0"/>
        <v>2318</v>
      </c>
      <c r="F15" s="71"/>
      <c r="G15" s="3012">
        <v>3297</v>
      </c>
      <c r="H15" s="3012">
        <v>771</v>
      </c>
      <c r="I15" s="199">
        <f t="shared" si="1"/>
        <v>4068</v>
      </c>
      <c r="J15" s="71"/>
      <c r="K15" s="71"/>
      <c r="L15" s="71"/>
      <c r="M15" s="332"/>
      <c r="N15" s="332"/>
      <c r="O15" s="332"/>
      <c r="P15" s="332"/>
      <c r="Q15" s="332"/>
      <c r="R15" s="332"/>
      <c r="S15" s="332"/>
      <c r="T15" s="332"/>
      <c r="U15" s="332"/>
      <c r="V15" s="332"/>
      <c r="W15" s="332"/>
    </row>
    <row r="16" spans="1:23">
      <c r="A16" s="335">
        <v>6</v>
      </c>
      <c r="B16" s="994" t="s">
        <v>408</v>
      </c>
      <c r="C16" s="41">
        <v>1798</v>
      </c>
      <c r="D16" s="41">
        <v>850</v>
      </c>
      <c r="E16" s="199">
        <f t="shared" si="0"/>
        <v>2648</v>
      </c>
      <c r="F16" s="71"/>
      <c r="G16" s="3012">
        <v>2738</v>
      </c>
      <c r="H16" s="3012">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2">
        <v>410</v>
      </c>
      <c r="H17" s="3012">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2">
        <v>0</v>
      </c>
      <c r="H18" s="3012">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2">
        <v>3283</v>
      </c>
      <c r="H19" s="3012">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2">
        <v>0</v>
      </c>
      <c r="H20" s="3012">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357</v>
      </c>
      <c r="D21" s="41">
        <v>3823</v>
      </c>
      <c r="E21" s="199">
        <f t="shared" si="2"/>
        <v>4180</v>
      </c>
      <c r="F21" s="71"/>
      <c r="G21" s="3012">
        <v>2112</v>
      </c>
      <c r="H21" s="3012">
        <v>905</v>
      </c>
      <c r="I21" s="199">
        <f t="shared" si="3"/>
        <v>3017</v>
      </c>
      <c r="J21" s="71"/>
      <c r="K21" s="71"/>
      <c r="L21" s="71"/>
      <c r="M21" s="332"/>
      <c r="N21" s="332"/>
      <c r="O21" s="332"/>
      <c r="P21" s="332"/>
      <c r="Q21" s="332"/>
      <c r="R21" s="332"/>
      <c r="S21" s="332"/>
      <c r="T21" s="332"/>
      <c r="U21" s="332"/>
      <c r="V21" s="332"/>
      <c r="W21" s="332"/>
    </row>
    <row r="22" spans="1:23">
      <c r="A22" s="335">
        <v>12</v>
      </c>
      <c r="B22" s="190" t="s">
        <v>295</v>
      </c>
      <c r="C22" s="41">
        <v>0</v>
      </c>
      <c r="D22" s="41">
        <v>34</v>
      </c>
      <c r="E22" s="199">
        <f t="shared" si="2"/>
        <v>34</v>
      </c>
      <c r="F22" s="71"/>
      <c r="G22" s="3012">
        <v>49</v>
      </c>
      <c r="H22" s="3012">
        <v>0</v>
      </c>
      <c r="I22" s="199">
        <f t="shared" si="3"/>
        <v>49</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2">
        <v>0</v>
      </c>
      <c r="H23" s="3012">
        <v>144</v>
      </c>
      <c r="I23" s="199">
        <f t="shared" si="3"/>
        <v>144</v>
      </c>
      <c r="J23" s="71"/>
      <c r="K23" s="71"/>
      <c r="L23" s="71"/>
      <c r="M23" s="332"/>
      <c r="N23" s="332"/>
      <c r="O23" s="332"/>
      <c r="P23" s="332"/>
      <c r="Q23" s="332"/>
      <c r="R23" s="332"/>
      <c r="S23" s="332"/>
      <c r="T23" s="332"/>
      <c r="U23" s="332"/>
      <c r="V23" s="332"/>
      <c r="W23" s="332"/>
    </row>
    <row r="24" spans="1:23">
      <c r="A24" s="335">
        <v>14</v>
      </c>
      <c r="B24" s="994" t="s">
        <v>537</v>
      </c>
      <c r="C24" s="41">
        <v>0</v>
      </c>
      <c r="D24" s="41">
        <v>0</v>
      </c>
      <c r="E24" s="199">
        <f t="shared" si="2"/>
        <v>0</v>
      </c>
      <c r="F24" s="71"/>
      <c r="G24" s="3012">
        <v>0</v>
      </c>
      <c r="H24" s="3012">
        <v>0</v>
      </c>
      <c r="I24" s="199">
        <f t="shared" si="3"/>
        <v>0</v>
      </c>
      <c r="J24" s="71"/>
      <c r="K24" s="71"/>
      <c r="L24" s="71"/>
      <c r="M24" s="332"/>
      <c r="N24" s="332"/>
      <c r="O24" s="332"/>
      <c r="P24" s="332"/>
      <c r="Q24" s="332"/>
      <c r="R24" s="332"/>
      <c r="S24" s="332"/>
      <c r="T24" s="332"/>
      <c r="U24" s="332"/>
      <c r="V24" s="332"/>
      <c r="W24" s="332"/>
    </row>
    <row r="25" spans="1:23">
      <c r="A25" s="335">
        <v>15</v>
      </c>
      <c r="B25" s="994" t="s">
        <v>538</v>
      </c>
      <c r="C25" s="41">
        <v>1699</v>
      </c>
      <c r="D25" s="41">
        <v>0</v>
      </c>
      <c r="E25" s="199">
        <f t="shared" si="2"/>
        <v>1699</v>
      </c>
      <c r="F25" s="71"/>
      <c r="G25" s="3012">
        <v>0</v>
      </c>
      <c r="H25" s="3012">
        <v>157</v>
      </c>
      <c r="I25" s="199">
        <f t="shared" si="3"/>
        <v>157</v>
      </c>
      <c r="J25" s="71"/>
      <c r="K25" s="71"/>
      <c r="L25" s="71"/>
      <c r="M25" s="332"/>
      <c r="N25" s="332"/>
      <c r="O25" s="332"/>
      <c r="P25" s="332"/>
      <c r="Q25" s="332"/>
      <c r="R25" s="332"/>
      <c r="S25" s="332"/>
      <c r="T25" s="332"/>
      <c r="U25" s="332"/>
      <c r="V25" s="332"/>
      <c r="W25" s="332"/>
    </row>
    <row r="26" spans="1:23">
      <c r="A26" s="335">
        <v>16</v>
      </c>
      <c r="B26" s="994" t="s">
        <v>1306</v>
      </c>
      <c r="C26" s="41">
        <v>0</v>
      </c>
      <c r="D26" s="41">
        <v>0</v>
      </c>
      <c r="E26" s="199">
        <f t="shared" si="2"/>
        <v>0</v>
      </c>
      <c r="F26" s="71"/>
      <c r="G26" s="3012">
        <v>0</v>
      </c>
      <c r="H26" s="3012">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19974</v>
      </c>
      <c r="D27" s="199">
        <f>SUM(D11:D26)</f>
        <v>12224</v>
      </c>
      <c r="E27" s="199">
        <f>SUM(E11:E26)</f>
        <v>32198</v>
      </c>
      <c r="F27" s="71"/>
      <c r="G27" s="199">
        <f>SUM(G11:G26)</f>
        <v>17687</v>
      </c>
      <c r="H27" s="199">
        <f>SUM(H11:H26)</f>
        <v>23230</v>
      </c>
      <c r="I27" s="199">
        <f>SUM(I11:I26)</f>
        <v>40917</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pageSetUpPr fitToPage="1"/>
  </sheetPr>
  <dimension ref="A1:AA158"/>
  <sheetViews>
    <sheetView showGridLines="0" zoomScale="70" zoomScaleNormal="70" workbookViewId="0">
      <selection activeCell="L115" sqref="L115"/>
    </sheetView>
  </sheetViews>
  <sheetFormatPr defaultColWidth="8.921875" defaultRowHeight="15.5"/>
  <cols>
    <col min="1" max="1" width="4.61328125" customWidth="1"/>
    <col min="2" max="2" width="60.61328125" customWidth="1"/>
    <col min="3" max="6" width="12.4609375" customWidth="1"/>
    <col min="7" max="8" width="13.61328125" customWidth="1"/>
    <col min="9" max="11" width="16" customWidth="1"/>
    <col min="12" max="12" width="32.15234375" customWidth="1"/>
    <col min="13" max="13" width="8.921875" style="789"/>
    <col min="14" max="17" width="8.921875" style="755"/>
    <col min="18" max="18" width="54.15234375" customWidth="1"/>
    <col min="19" max="19" width="75" customWidth="1"/>
  </cols>
  <sheetData>
    <row r="1" spans="1:27" ht="36" customHeight="1">
      <c r="A1" s="79" t="str">
        <f>+Summary!A1</f>
        <v>Public Health Wales Trust</v>
      </c>
      <c r="B1" s="79"/>
      <c r="C1" s="844" t="str">
        <f>"This Table is currently showing "&amp;$T$7&amp;" errors"</f>
        <v>This Table is currently showing 0 errors</v>
      </c>
      <c r="D1" s="48"/>
      <c r="E1" s="48"/>
      <c r="F1" s="48"/>
      <c r="G1" s="845"/>
      <c r="H1" s="845"/>
      <c r="I1" s="48"/>
      <c r="J1" s="71"/>
      <c r="K1" s="150" t="s">
        <v>80</v>
      </c>
      <c r="L1" s="140" t="str">
        <f>+Summary!H1</f>
        <v>Apr 23</v>
      </c>
      <c r="M1" s="787"/>
      <c r="N1" s="322"/>
      <c r="O1" s="322"/>
      <c r="P1" s="322"/>
      <c r="Q1" s="322"/>
      <c r="R1" s="254" t="s">
        <v>571</v>
      </c>
      <c r="S1" s="850" t="str">
        <f>IF($T$7&gt;0," If there are any validation errors, you must include an explanation within your narrative","")</f>
        <v/>
      </c>
      <c r="T1" s="746"/>
      <c r="U1" s="320"/>
      <c r="V1" s="320"/>
      <c r="W1" s="320"/>
      <c r="X1" s="320"/>
      <c r="Y1" s="320"/>
      <c r="Z1" s="320"/>
      <c r="AA1" s="320"/>
    </row>
    <row r="2" spans="1:27">
      <c r="A2" s="71"/>
      <c r="B2" s="753"/>
      <c r="C2" s="855" t="str">
        <f>IF($T$7&lt;=0,"","Some errors will be resolved when complete rows have data or associated tables are completed")</f>
        <v/>
      </c>
      <c r="D2" s="845"/>
      <c r="E2" s="48"/>
      <c r="F2" s="48"/>
      <c r="G2" s="845"/>
      <c r="H2" s="845"/>
      <c r="I2" s="48"/>
      <c r="J2" s="71"/>
      <c r="K2" s="71"/>
      <c r="L2" s="71"/>
      <c r="M2" s="787"/>
      <c r="N2" s="322"/>
      <c r="O2" s="322"/>
      <c r="P2" s="322"/>
      <c r="Q2" s="322"/>
      <c r="R2" s="48"/>
      <c r="S2" s="48"/>
      <c r="T2" s="785"/>
      <c r="U2" s="320"/>
      <c r="V2" s="320"/>
      <c r="W2" s="320"/>
      <c r="X2" s="320"/>
      <c r="Y2" s="320"/>
      <c r="Z2" s="320"/>
      <c r="AA2" s="320"/>
    </row>
    <row r="3" spans="1:27" ht="16" thickBot="1">
      <c r="A3" s="71"/>
      <c r="B3" s="71"/>
      <c r="C3" s="71"/>
      <c r="D3" s="71"/>
      <c r="E3" s="71"/>
      <c r="F3" s="71"/>
      <c r="G3" s="71"/>
      <c r="H3" s="71"/>
      <c r="I3" s="71"/>
      <c r="J3" s="71"/>
      <c r="K3" s="71"/>
      <c r="L3" s="71"/>
      <c r="M3" s="787"/>
      <c r="N3" s="322"/>
      <c r="O3" s="322"/>
      <c r="P3" s="322"/>
      <c r="Q3" s="322"/>
      <c r="R3" s="164" t="s">
        <v>127</v>
      </c>
      <c r="S3" s="165" t="str">
        <f>IF($A$1="Organisation","Ok",IF(VLOOKUP($A$1,Summary!Z1:AB17,3,0)="Trust","Ok",IF('E - Resource Limits'!$G$10&lt;=0,"Total Confirmed Funding line needs completing","Ok")))</f>
        <v>Ok</v>
      </c>
      <c r="T3" s="782">
        <f>IF(S3="Ok",0,1)</f>
        <v>0</v>
      </c>
      <c r="U3" s="320"/>
      <c r="V3" s="320"/>
      <c r="W3" s="320"/>
      <c r="X3" s="320"/>
      <c r="Y3" s="320"/>
      <c r="Z3" s="320"/>
      <c r="AA3" s="320"/>
    </row>
    <row r="4" spans="1:27">
      <c r="A4" s="70"/>
      <c r="B4" s="70"/>
      <c r="C4" s="3237" t="s">
        <v>132</v>
      </c>
      <c r="D4" s="3238"/>
      <c r="E4" s="3238"/>
      <c r="F4" s="3238"/>
      <c r="G4" s="192" t="s">
        <v>279</v>
      </c>
      <c r="H4" s="1033" t="s">
        <v>432</v>
      </c>
      <c r="I4" s="192" t="s">
        <v>78</v>
      </c>
      <c r="J4" s="192" t="s">
        <v>78</v>
      </c>
      <c r="K4" s="275" t="s">
        <v>78</v>
      </c>
      <c r="L4" s="275" t="s">
        <v>365</v>
      </c>
      <c r="M4" s="787"/>
      <c r="N4" s="322"/>
      <c r="O4" s="322"/>
      <c r="P4" s="322"/>
      <c r="Q4" s="322"/>
      <c r="R4" s="164" t="s">
        <v>363</v>
      </c>
      <c r="S4" s="165" t="str">
        <f>IF('E - Resource Limits'!$M$68&gt;0,"There is data in one or more monthly columns without supporting narrative in column B","Ok")</f>
        <v>Ok</v>
      </c>
      <c r="T4" s="782">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7"/>
      <c r="N5" s="322"/>
      <c r="O5" s="322"/>
      <c r="P5" s="322"/>
      <c r="Q5" s="322"/>
      <c r="R5" s="164"/>
      <c r="S5" s="165"/>
      <c r="T5" s="782"/>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7"/>
      <c r="N6" s="322"/>
      <c r="O6" s="322"/>
      <c r="P6" s="322"/>
      <c r="Q6" s="322"/>
      <c r="R6" s="164" t="s">
        <v>908</v>
      </c>
      <c r="S6" s="165" t="str">
        <f>IF(VLOOKUP(A1,Summary!Z1:AB17,3,0)="Trust","Ok",IF(ABS(J79-'I - Capital RLM'!C7)&gt;1,"Total CRL on line "&amp;A81&amp;" does not agree to Latest CRL on Table I","Ok"))</f>
        <v>Ok</v>
      </c>
      <c r="T6" s="782">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7"/>
      <c r="N7" s="322"/>
      <c r="O7" s="322"/>
      <c r="P7" s="322"/>
      <c r="Q7" s="322"/>
      <c r="R7" s="856"/>
      <c r="S7" s="856"/>
      <c r="T7" s="785">
        <f>SUM(T3:T6)</f>
        <v>0</v>
      </c>
      <c r="U7" s="320"/>
      <c r="V7" s="320"/>
      <c r="W7" s="320"/>
      <c r="X7" s="320"/>
      <c r="Y7" s="320"/>
      <c r="Z7" s="320"/>
      <c r="AA7" s="320"/>
    </row>
    <row r="8" spans="1:27" ht="16" thickBot="1">
      <c r="A8" s="71"/>
      <c r="B8" s="71"/>
      <c r="C8" s="153"/>
      <c r="D8" s="153"/>
      <c r="E8" s="153"/>
      <c r="F8" s="153"/>
      <c r="G8" s="71"/>
      <c r="H8" s="71"/>
      <c r="I8" s="71"/>
      <c r="J8" s="71"/>
      <c r="K8" s="71"/>
      <c r="L8" s="71"/>
      <c r="M8" s="787"/>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7"/>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2"/>
      <c r="I10" s="23"/>
      <c r="J10" s="23"/>
      <c r="K10" s="23"/>
      <c r="L10" s="71"/>
      <c r="M10" s="787"/>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7"/>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7"/>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7"/>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7"/>
      <c r="N14" s="322"/>
      <c r="O14" s="322"/>
      <c r="P14" s="322"/>
      <c r="Q14" s="322"/>
      <c r="R14" s="320"/>
      <c r="S14" s="320"/>
      <c r="T14" s="320"/>
      <c r="U14" s="320"/>
      <c r="V14" s="320"/>
      <c r="W14" s="320"/>
      <c r="X14" s="320"/>
      <c r="Y14" s="320"/>
      <c r="Z14" s="320"/>
      <c r="AA14" s="320"/>
    </row>
    <row r="15" spans="1:27" ht="25.5" customHeight="1">
      <c r="A15" s="344">
        <v>3</v>
      </c>
      <c r="B15" s="1731" t="s">
        <v>836</v>
      </c>
      <c r="C15" s="24"/>
      <c r="D15" s="24"/>
      <c r="E15" s="24"/>
      <c r="F15" s="24"/>
      <c r="G15" s="345">
        <f>SUM(C15:F15)</f>
        <v>0</v>
      </c>
      <c r="H15" s="1038"/>
      <c r="I15" s="24"/>
      <c r="J15" s="24"/>
      <c r="K15" s="24"/>
      <c r="L15" s="38"/>
      <c r="M15" s="787">
        <f>IF(AND(G15&lt;&gt;0,B15=""),1,0)</f>
        <v>0</v>
      </c>
      <c r="N15" s="322"/>
      <c r="O15" s="322"/>
      <c r="P15" s="322"/>
      <c r="Q15" s="322"/>
      <c r="R15" s="272"/>
      <c r="S15" s="272"/>
      <c r="T15" s="272"/>
      <c r="U15" s="272"/>
      <c r="V15" s="272"/>
      <c r="W15" s="272"/>
      <c r="X15" s="272"/>
      <c r="Y15" s="272"/>
      <c r="Z15" s="272"/>
      <c r="AA15" s="272"/>
    </row>
    <row r="16" spans="1:27" ht="25.5" customHeight="1">
      <c r="A16" s="346">
        <v>4</v>
      </c>
      <c r="B16" s="1732" t="s">
        <v>837</v>
      </c>
      <c r="C16" s="25"/>
      <c r="D16" s="25"/>
      <c r="E16" s="25"/>
      <c r="F16" s="25"/>
      <c r="G16" s="199">
        <f t="shared" ref="G16:G74" si="0">SUM(C16:F16)</f>
        <v>0</v>
      </c>
      <c r="H16" s="1039"/>
      <c r="I16" s="25"/>
      <c r="J16" s="25"/>
      <c r="K16" s="25"/>
      <c r="L16" s="39"/>
      <c r="M16" s="787">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2" t="s">
        <v>838</v>
      </c>
      <c r="C17" s="25"/>
      <c r="D17" s="25"/>
      <c r="E17" s="25"/>
      <c r="F17" s="25"/>
      <c r="G17" s="199">
        <f t="shared" si="0"/>
        <v>0</v>
      </c>
      <c r="H17" s="1039"/>
      <c r="I17" s="25"/>
      <c r="J17" s="25"/>
      <c r="K17" s="25"/>
      <c r="L17" s="39"/>
      <c r="M17" s="787">
        <f t="shared" si="1"/>
        <v>0</v>
      </c>
      <c r="N17" s="322"/>
      <c r="O17" s="322"/>
      <c r="P17" s="322"/>
      <c r="Q17" s="322"/>
      <c r="R17" s="272"/>
      <c r="S17" s="272"/>
      <c r="T17" s="272"/>
      <c r="U17" s="272"/>
      <c r="V17" s="272"/>
      <c r="W17" s="272"/>
      <c r="X17" s="272"/>
      <c r="Y17" s="272"/>
      <c r="Z17" s="272"/>
      <c r="AA17" s="272"/>
    </row>
    <row r="18" spans="1:27" ht="25.5" customHeight="1">
      <c r="A18" s="346">
        <v>6</v>
      </c>
      <c r="B18" s="1732" t="s">
        <v>866</v>
      </c>
      <c r="C18" s="25"/>
      <c r="D18" s="25"/>
      <c r="E18" s="25"/>
      <c r="F18" s="25"/>
      <c r="G18" s="199">
        <f t="shared" si="0"/>
        <v>0</v>
      </c>
      <c r="H18" s="1039"/>
      <c r="I18" s="25"/>
      <c r="J18" s="25"/>
      <c r="K18" s="25"/>
      <c r="L18" s="39"/>
      <c r="M18" s="787">
        <f t="shared" si="1"/>
        <v>0</v>
      </c>
      <c r="N18" s="322"/>
      <c r="O18" s="322"/>
      <c r="P18" s="322"/>
      <c r="Q18" s="322"/>
      <c r="R18" s="272"/>
      <c r="S18" s="272"/>
      <c r="T18" s="272"/>
      <c r="U18" s="272"/>
      <c r="V18" s="272"/>
      <c r="W18" s="272"/>
      <c r="X18" s="272"/>
      <c r="Y18" s="272"/>
      <c r="Z18" s="272"/>
      <c r="AA18" s="272"/>
    </row>
    <row r="19" spans="1:27" ht="25.5" customHeight="1">
      <c r="A19" s="346">
        <v>7</v>
      </c>
      <c r="B19" s="1732" t="s">
        <v>1231</v>
      </c>
      <c r="C19" s="25"/>
      <c r="D19" s="25"/>
      <c r="E19" s="25"/>
      <c r="F19" s="25"/>
      <c r="G19" s="199">
        <f t="shared" si="0"/>
        <v>0</v>
      </c>
      <c r="H19" s="1039"/>
      <c r="I19" s="25"/>
      <c r="J19" s="25"/>
      <c r="K19" s="25"/>
      <c r="L19" s="39"/>
      <c r="M19" s="787">
        <f t="shared" si="1"/>
        <v>0</v>
      </c>
      <c r="N19" s="322"/>
      <c r="O19" s="322"/>
      <c r="P19" s="322"/>
      <c r="Q19" s="322"/>
      <c r="R19" s="272"/>
      <c r="S19" s="272"/>
      <c r="T19" s="272"/>
      <c r="U19" s="272"/>
      <c r="V19" s="272"/>
      <c r="W19" s="272"/>
      <c r="X19" s="272"/>
      <c r="Y19" s="272"/>
      <c r="Z19" s="272"/>
      <c r="AA19" s="272"/>
    </row>
    <row r="20" spans="1:27" ht="25.5" customHeight="1">
      <c r="A20" s="346">
        <v>8</v>
      </c>
      <c r="B20" s="1732" t="s">
        <v>1230</v>
      </c>
      <c r="C20" s="25"/>
      <c r="D20" s="25"/>
      <c r="E20" s="25"/>
      <c r="F20" s="25"/>
      <c r="G20" s="199">
        <f t="shared" si="0"/>
        <v>0</v>
      </c>
      <c r="H20" s="1039"/>
      <c r="I20" s="25"/>
      <c r="J20" s="25"/>
      <c r="K20" s="25"/>
      <c r="L20" s="39"/>
      <c r="M20" s="787">
        <f t="shared" si="1"/>
        <v>0</v>
      </c>
      <c r="N20" s="322"/>
      <c r="O20" s="322"/>
      <c r="P20" s="322"/>
      <c r="Q20" s="322"/>
      <c r="R20" s="272"/>
      <c r="S20" s="272"/>
      <c r="T20" s="272"/>
      <c r="U20" s="272"/>
      <c r="V20" s="272"/>
      <c r="W20" s="272"/>
      <c r="X20" s="272"/>
      <c r="Y20" s="272"/>
      <c r="Z20" s="272"/>
      <c r="AA20" s="272"/>
    </row>
    <row r="21" spans="1:27" ht="25.5" customHeight="1">
      <c r="A21" s="346">
        <v>9</v>
      </c>
      <c r="B21" s="1732" t="s">
        <v>865</v>
      </c>
      <c r="C21" s="25"/>
      <c r="D21" s="25"/>
      <c r="E21" s="25"/>
      <c r="F21" s="25"/>
      <c r="G21" s="199">
        <f t="shared" si="0"/>
        <v>0</v>
      </c>
      <c r="H21" s="1039"/>
      <c r="I21" s="25"/>
      <c r="J21" s="25"/>
      <c r="K21" s="25"/>
      <c r="L21" s="39"/>
      <c r="M21" s="787">
        <f t="shared" si="1"/>
        <v>0</v>
      </c>
      <c r="N21" s="322"/>
      <c r="O21" s="322"/>
      <c r="P21" s="322"/>
      <c r="Q21" s="322"/>
      <c r="R21" s="272"/>
      <c r="S21" s="272"/>
      <c r="T21" s="272"/>
      <c r="U21" s="272"/>
      <c r="V21" s="272"/>
      <c r="W21" s="272"/>
      <c r="X21" s="272"/>
      <c r="Y21" s="272"/>
      <c r="Z21" s="272"/>
      <c r="AA21" s="272"/>
    </row>
    <row r="22" spans="1:27" ht="25.5" customHeight="1">
      <c r="A22" s="346">
        <v>10</v>
      </c>
      <c r="B22" s="1732" t="s">
        <v>867</v>
      </c>
      <c r="C22" s="25"/>
      <c r="D22" s="25"/>
      <c r="E22" s="25"/>
      <c r="F22" s="25"/>
      <c r="G22" s="199">
        <f t="shared" si="0"/>
        <v>0</v>
      </c>
      <c r="H22" s="1039"/>
      <c r="I22" s="25"/>
      <c r="J22" s="25"/>
      <c r="K22" s="25"/>
      <c r="L22" s="39"/>
      <c r="M22" s="787">
        <f t="shared" si="1"/>
        <v>0</v>
      </c>
      <c r="N22" s="322"/>
      <c r="O22" s="322"/>
      <c r="P22" s="322"/>
      <c r="Q22" s="322"/>
      <c r="R22" s="272"/>
      <c r="S22" s="272"/>
      <c r="T22" s="272"/>
      <c r="U22" s="272"/>
      <c r="V22" s="272"/>
      <c r="W22" s="272"/>
      <c r="X22" s="272"/>
      <c r="Y22" s="272"/>
      <c r="Z22" s="272"/>
      <c r="AA22" s="272"/>
    </row>
    <row r="23" spans="1:27" ht="25.5" customHeight="1">
      <c r="A23" s="346">
        <v>11</v>
      </c>
      <c r="B23" s="1732" t="s">
        <v>868</v>
      </c>
      <c r="C23" s="25"/>
      <c r="D23" s="25"/>
      <c r="E23" s="25"/>
      <c r="F23" s="25"/>
      <c r="G23" s="199">
        <f t="shared" si="0"/>
        <v>0</v>
      </c>
      <c r="H23" s="1039"/>
      <c r="I23" s="25"/>
      <c r="J23" s="25"/>
      <c r="K23" s="25"/>
      <c r="L23" s="39"/>
      <c r="M23" s="787">
        <f t="shared" si="1"/>
        <v>0</v>
      </c>
      <c r="N23" s="322"/>
      <c r="O23" s="322"/>
      <c r="P23" s="322"/>
      <c r="Q23" s="322"/>
      <c r="R23" s="272"/>
      <c r="S23" s="272"/>
      <c r="T23" s="272"/>
      <c r="U23" s="272"/>
      <c r="V23" s="272"/>
      <c r="W23" s="272"/>
      <c r="X23" s="272"/>
      <c r="Y23" s="272"/>
      <c r="Z23" s="272"/>
      <c r="AA23" s="272"/>
    </row>
    <row r="24" spans="1:27" ht="25.5" customHeight="1">
      <c r="A24" s="346">
        <v>12</v>
      </c>
      <c r="B24" s="1732" t="s">
        <v>869</v>
      </c>
      <c r="C24" s="25"/>
      <c r="D24" s="25"/>
      <c r="E24" s="25"/>
      <c r="F24" s="25"/>
      <c r="G24" s="199">
        <f t="shared" si="0"/>
        <v>0</v>
      </c>
      <c r="H24" s="1039"/>
      <c r="I24" s="25"/>
      <c r="J24" s="25"/>
      <c r="K24" s="25"/>
      <c r="L24" s="39"/>
      <c r="M24" s="787">
        <f t="shared" si="1"/>
        <v>0</v>
      </c>
      <c r="N24" s="322"/>
      <c r="O24" s="322"/>
      <c r="P24" s="322"/>
      <c r="Q24" s="322"/>
      <c r="R24" s="272"/>
      <c r="S24" s="272"/>
      <c r="T24" s="272"/>
      <c r="U24" s="272"/>
      <c r="V24" s="272"/>
      <c r="W24" s="272"/>
      <c r="X24" s="272"/>
      <c r="Y24" s="272"/>
      <c r="Z24" s="272"/>
      <c r="AA24" s="272"/>
    </row>
    <row r="25" spans="1:27" ht="25.5" customHeight="1">
      <c r="A25" s="346">
        <v>13</v>
      </c>
      <c r="B25" s="2549" t="s">
        <v>1203</v>
      </c>
      <c r="C25" s="2551">
        <f>D118</f>
        <v>0</v>
      </c>
      <c r="D25" s="2551">
        <f t="shared" ref="D25:F25" si="2">E118</f>
        <v>0</v>
      </c>
      <c r="E25" s="2551">
        <f t="shared" si="2"/>
        <v>0</v>
      </c>
      <c r="F25" s="2551">
        <f t="shared" si="2"/>
        <v>0</v>
      </c>
      <c r="G25" s="199">
        <f>SUM(C25:F25)</f>
        <v>0</v>
      </c>
      <c r="H25" s="1039"/>
      <c r="I25" s="25"/>
      <c r="J25" s="25"/>
      <c r="K25" s="25"/>
      <c r="L25" s="2552" t="s">
        <v>1206</v>
      </c>
      <c r="M25" s="787">
        <f t="shared" si="1"/>
        <v>0</v>
      </c>
      <c r="N25" s="322"/>
      <c r="O25" s="322"/>
      <c r="P25" s="322"/>
      <c r="Q25" s="322"/>
      <c r="R25" s="272"/>
      <c r="S25" s="272"/>
      <c r="T25" s="272"/>
      <c r="U25" s="272"/>
      <c r="V25" s="272"/>
      <c r="W25" s="272"/>
      <c r="X25" s="272"/>
      <c r="Y25" s="272"/>
      <c r="Z25" s="272"/>
      <c r="AA25" s="272"/>
    </row>
    <row r="26" spans="1:27" ht="25.5" customHeight="1">
      <c r="A26" s="2610">
        <v>14</v>
      </c>
      <c r="B26" s="1732" t="s">
        <v>1229</v>
      </c>
      <c r="C26" s="25"/>
      <c r="D26" s="25"/>
      <c r="E26" s="25"/>
      <c r="F26" s="25"/>
      <c r="G26" s="199">
        <f t="shared" si="0"/>
        <v>0</v>
      </c>
      <c r="H26" s="1039"/>
      <c r="I26" s="25"/>
      <c r="J26" s="25"/>
      <c r="K26" s="25"/>
      <c r="L26" s="39"/>
      <c r="M26" s="787">
        <f t="shared" si="1"/>
        <v>0</v>
      </c>
      <c r="N26" s="322"/>
      <c r="O26" s="322"/>
      <c r="P26" s="322"/>
      <c r="Q26" s="322"/>
      <c r="R26" s="272"/>
      <c r="S26" s="272"/>
      <c r="T26" s="272"/>
      <c r="U26" s="272"/>
      <c r="V26" s="272"/>
      <c r="W26" s="272"/>
      <c r="X26" s="272"/>
      <c r="Y26" s="272"/>
      <c r="Z26" s="272"/>
      <c r="AA26" s="272"/>
    </row>
    <row r="27" spans="1:27" ht="25.5" customHeight="1">
      <c r="A27" s="346">
        <v>15</v>
      </c>
      <c r="B27" s="1732" t="s">
        <v>1273</v>
      </c>
      <c r="C27" s="25"/>
      <c r="D27" s="25"/>
      <c r="E27" s="25"/>
      <c r="F27" s="25"/>
      <c r="G27" s="199">
        <f t="shared" si="0"/>
        <v>0</v>
      </c>
      <c r="H27" s="1039"/>
      <c r="I27" s="25"/>
      <c r="J27" s="25"/>
      <c r="K27" s="25"/>
      <c r="L27" s="39"/>
      <c r="M27" s="787">
        <f t="shared" si="1"/>
        <v>0</v>
      </c>
      <c r="N27" s="322"/>
      <c r="O27" s="322"/>
      <c r="P27" s="322"/>
      <c r="Q27" s="322"/>
      <c r="R27" s="272"/>
      <c r="S27" s="272"/>
      <c r="T27" s="272"/>
      <c r="U27" s="272"/>
      <c r="V27" s="272"/>
      <c r="W27" s="272"/>
      <c r="X27" s="272"/>
      <c r="Y27" s="272"/>
      <c r="Z27" s="272"/>
      <c r="AA27" s="272"/>
    </row>
    <row r="28" spans="1:27" ht="25.5" customHeight="1">
      <c r="A28" s="346">
        <v>16</v>
      </c>
      <c r="B28" s="2646"/>
      <c r="C28" s="25"/>
      <c r="D28" s="25"/>
      <c r="E28" s="25"/>
      <c r="F28" s="25"/>
      <c r="G28" s="199">
        <f t="shared" si="0"/>
        <v>0</v>
      </c>
      <c r="H28" s="1039"/>
      <c r="I28" s="25"/>
      <c r="J28" s="25"/>
      <c r="K28" s="25"/>
      <c r="L28" s="39"/>
      <c r="M28" s="787">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9"/>
      <c r="I29" s="25"/>
      <c r="J29" s="25"/>
      <c r="K29" s="25"/>
      <c r="L29" s="39"/>
      <c r="M29" s="787">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9"/>
      <c r="I30" s="25"/>
      <c r="J30" s="25"/>
      <c r="K30" s="25"/>
      <c r="L30" s="39"/>
      <c r="M30" s="787">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9"/>
      <c r="I31" s="25"/>
      <c r="J31" s="25"/>
      <c r="K31" s="25"/>
      <c r="L31" s="39"/>
      <c r="M31" s="787">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9"/>
      <c r="I32" s="25"/>
      <c r="J32" s="25"/>
      <c r="K32" s="25"/>
      <c r="L32" s="39"/>
      <c r="M32" s="787">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9"/>
      <c r="I33" s="25"/>
      <c r="J33" s="25"/>
      <c r="K33" s="25"/>
      <c r="L33" s="39"/>
      <c r="M33" s="787">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9"/>
      <c r="I34" s="25"/>
      <c r="J34" s="25"/>
      <c r="K34" s="25"/>
      <c r="L34" s="39"/>
      <c r="M34" s="787">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9"/>
      <c r="I35" s="25"/>
      <c r="J35" s="25"/>
      <c r="K35" s="25"/>
      <c r="L35" s="39"/>
      <c r="M35" s="787">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9"/>
      <c r="I36" s="25"/>
      <c r="J36" s="25"/>
      <c r="K36" s="25"/>
      <c r="L36" s="39"/>
      <c r="M36" s="787">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9"/>
      <c r="I37" s="25"/>
      <c r="J37" s="25"/>
      <c r="K37" s="25"/>
      <c r="L37" s="39"/>
      <c r="M37" s="787">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9"/>
      <c r="I38" s="25"/>
      <c r="J38" s="25"/>
      <c r="K38" s="25"/>
      <c r="L38" s="39"/>
      <c r="M38" s="787">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9"/>
      <c r="I39" s="25"/>
      <c r="J39" s="25"/>
      <c r="K39" s="25"/>
      <c r="L39" s="39"/>
      <c r="M39" s="787">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9"/>
      <c r="I40" s="25"/>
      <c r="J40" s="25"/>
      <c r="K40" s="25"/>
      <c r="L40" s="39"/>
      <c r="M40" s="787">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9"/>
      <c r="I41" s="25"/>
      <c r="J41" s="25"/>
      <c r="K41" s="25"/>
      <c r="L41" s="39"/>
      <c r="M41" s="787">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9"/>
      <c r="I42" s="25"/>
      <c r="J42" s="25"/>
      <c r="K42" s="25"/>
      <c r="L42" s="39"/>
      <c r="M42" s="787">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9"/>
      <c r="I43" s="25"/>
      <c r="J43" s="25"/>
      <c r="K43" s="25"/>
      <c r="L43" s="39"/>
      <c r="M43" s="787">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9"/>
      <c r="I44" s="25"/>
      <c r="J44" s="25"/>
      <c r="K44" s="25"/>
      <c r="L44" s="39"/>
      <c r="M44" s="787">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9"/>
      <c r="I45" s="25"/>
      <c r="J45" s="25"/>
      <c r="K45" s="25"/>
      <c r="L45" s="39"/>
      <c r="M45" s="787">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9"/>
      <c r="I46" s="25"/>
      <c r="J46" s="25"/>
      <c r="K46" s="25"/>
      <c r="L46" s="39"/>
      <c r="M46" s="787">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9"/>
      <c r="I47" s="25"/>
      <c r="J47" s="25"/>
      <c r="K47" s="25"/>
      <c r="L47" s="39"/>
      <c r="M47" s="787">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9"/>
      <c r="I48" s="25"/>
      <c r="J48" s="25"/>
      <c r="K48" s="25"/>
      <c r="L48" s="39"/>
      <c r="M48" s="787">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9"/>
      <c r="I49" s="25"/>
      <c r="J49" s="25"/>
      <c r="K49" s="25"/>
      <c r="L49" s="39"/>
      <c r="M49" s="787">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9"/>
      <c r="I50" s="25"/>
      <c r="J50" s="25"/>
      <c r="K50" s="25"/>
      <c r="L50" s="39"/>
      <c r="M50" s="787">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9"/>
      <c r="I51" s="25"/>
      <c r="J51" s="25"/>
      <c r="K51" s="25"/>
      <c r="L51" s="39"/>
      <c r="M51" s="787">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9"/>
      <c r="I52" s="25"/>
      <c r="J52" s="25"/>
      <c r="K52" s="25"/>
      <c r="L52" s="39"/>
      <c r="M52" s="787">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9"/>
      <c r="I53" s="25"/>
      <c r="J53" s="25"/>
      <c r="K53" s="25"/>
      <c r="L53" s="39"/>
      <c r="M53" s="787">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9"/>
      <c r="I54" s="25"/>
      <c r="J54" s="25"/>
      <c r="K54" s="25"/>
      <c r="L54" s="39"/>
      <c r="M54" s="787">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9"/>
      <c r="I55" s="25"/>
      <c r="J55" s="25"/>
      <c r="K55" s="25"/>
      <c r="L55" s="39"/>
      <c r="M55" s="787">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9"/>
      <c r="I56" s="25"/>
      <c r="J56" s="25"/>
      <c r="K56" s="25"/>
      <c r="L56" s="39"/>
      <c r="M56" s="787">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9"/>
      <c r="I57" s="25"/>
      <c r="J57" s="25"/>
      <c r="K57" s="25"/>
      <c r="L57" s="39"/>
      <c r="M57" s="787">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9"/>
      <c r="I58" s="25"/>
      <c r="J58" s="25"/>
      <c r="K58" s="25"/>
      <c r="L58" s="39"/>
      <c r="M58" s="787">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9"/>
      <c r="I59" s="25"/>
      <c r="J59" s="25"/>
      <c r="K59" s="25"/>
      <c r="L59" s="39"/>
      <c r="M59" s="787">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9"/>
      <c r="I60" s="25"/>
      <c r="J60" s="25"/>
      <c r="K60" s="25"/>
      <c r="L60" s="39"/>
      <c r="M60" s="787">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9"/>
      <c r="I61" s="25"/>
      <c r="J61" s="25"/>
      <c r="K61" s="25"/>
      <c r="L61" s="39"/>
      <c r="M61" s="787">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9"/>
      <c r="I62" s="25"/>
      <c r="J62" s="25"/>
      <c r="K62" s="25"/>
      <c r="L62" s="39"/>
      <c r="M62" s="787">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9"/>
      <c r="I63" s="25"/>
      <c r="J63" s="25"/>
      <c r="K63" s="25"/>
      <c r="L63" s="39"/>
      <c r="M63" s="787">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9"/>
      <c r="I64" s="25"/>
      <c r="J64" s="25"/>
      <c r="K64" s="25"/>
      <c r="L64" s="39"/>
      <c r="M64" s="787">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9"/>
      <c r="I65" s="25"/>
      <c r="J65" s="25"/>
      <c r="K65" s="25"/>
      <c r="L65" s="39"/>
      <c r="M65" s="787">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9"/>
      <c r="I66" s="25"/>
      <c r="J66" s="25"/>
      <c r="K66" s="25"/>
      <c r="L66" s="39"/>
      <c r="M66" s="787">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9"/>
      <c r="I67" s="25"/>
      <c r="J67" s="25"/>
      <c r="K67" s="25"/>
      <c r="L67" s="39"/>
      <c r="M67" s="787">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9"/>
      <c r="I68" s="25"/>
      <c r="J68" s="25"/>
      <c r="K68" s="25"/>
      <c r="L68" s="39"/>
      <c r="M68" s="787">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9"/>
      <c r="I69" s="25"/>
      <c r="J69" s="25"/>
      <c r="K69" s="25"/>
      <c r="L69" s="39"/>
      <c r="M69" s="787">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9"/>
      <c r="I70" s="25"/>
      <c r="J70" s="25"/>
      <c r="K70" s="25"/>
      <c r="L70" s="39"/>
      <c r="M70" s="787">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9"/>
      <c r="I71" s="25"/>
      <c r="J71" s="25"/>
      <c r="K71" s="25"/>
      <c r="L71" s="39"/>
      <c r="M71" s="787">
        <f t="shared" si="1"/>
        <v>0</v>
      </c>
      <c r="N71" s="322"/>
      <c r="O71" s="322"/>
      <c r="P71" s="322"/>
      <c r="Q71" s="322"/>
      <c r="R71" s="272"/>
      <c r="S71" s="272"/>
      <c r="T71" s="272"/>
      <c r="U71" s="272"/>
      <c r="V71" s="272"/>
      <c r="W71" s="272"/>
      <c r="X71" s="272"/>
      <c r="Y71" s="272"/>
      <c r="Z71" s="272"/>
      <c r="AA71" s="272"/>
    </row>
    <row r="72" spans="1:27" ht="25.5" customHeight="1">
      <c r="A72" s="346">
        <v>60</v>
      </c>
      <c r="B72" s="1732" t="s">
        <v>1259</v>
      </c>
      <c r="C72" s="2551"/>
      <c r="D72" s="2551"/>
      <c r="E72" s="2551"/>
      <c r="F72" s="2551"/>
      <c r="G72" s="199">
        <f t="shared" si="0"/>
        <v>0</v>
      </c>
      <c r="H72" s="1039"/>
      <c r="I72" s="25"/>
      <c r="J72" s="25"/>
      <c r="K72" s="25"/>
      <c r="L72" s="39"/>
      <c r="M72" s="787">
        <f t="shared" si="1"/>
        <v>0</v>
      </c>
      <c r="N72" s="322"/>
      <c r="O72" s="322"/>
      <c r="P72" s="322"/>
      <c r="Q72" s="322"/>
      <c r="R72" s="272"/>
      <c r="S72" s="272"/>
      <c r="T72" s="272"/>
      <c r="U72" s="272"/>
      <c r="V72" s="272"/>
      <c r="W72" s="272"/>
      <c r="X72" s="272"/>
      <c r="Y72" s="272"/>
      <c r="Z72" s="272"/>
      <c r="AA72" s="272"/>
    </row>
    <row r="73" spans="1:27" ht="25.5" customHeight="1">
      <c r="A73" s="346">
        <v>61</v>
      </c>
      <c r="B73" s="1732" t="s">
        <v>1260</v>
      </c>
      <c r="C73" s="2551"/>
      <c r="D73" s="2551"/>
      <c r="E73" s="2551"/>
      <c r="F73" s="2551"/>
      <c r="G73" s="199">
        <f t="shared" si="0"/>
        <v>0</v>
      </c>
      <c r="H73" s="1039"/>
      <c r="I73" s="25"/>
      <c r="J73" s="25"/>
      <c r="K73" s="25"/>
      <c r="L73" s="39"/>
      <c r="M73" s="787">
        <f t="shared" si="1"/>
        <v>0</v>
      </c>
      <c r="N73" s="322"/>
      <c r="O73" s="322"/>
      <c r="P73" s="322"/>
      <c r="Q73" s="322"/>
      <c r="R73" s="272"/>
      <c r="S73" s="272"/>
      <c r="T73" s="272"/>
      <c r="U73" s="272"/>
      <c r="V73" s="272"/>
      <c r="W73" s="272"/>
      <c r="X73" s="272"/>
      <c r="Y73" s="272"/>
      <c r="Z73" s="272"/>
      <c r="AA73" s="272"/>
    </row>
    <row r="74" spans="1:27" ht="21" customHeight="1" thickBot="1">
      <c r="A74" s="346">
        <v>62</v>
      </c>
      <c r="B74" s="2525" t="s">
        <v>1419</v>
      </c>
      <c r="C74" s="1037"/>
      <c r="D74" s="1037"/>
      <c r="E74" s="1037"/>
      <c r="F74" s="1037"/>
      <c r="G74" s="199">
        <f t="shared" si="0"/>
        <v>0</v>
      </c>
      <c r="H74" s="1040"/>
      <c r="I74" s="1018"/>
      <c r="J74" s="1018"/>
      <c r="K74" s="1018"/>
      <c r="L74" s="39"/>
      <c r="M74" s="787">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4"/>
      <c r="I75" s="115">
        <f>SUM(I15:I74)</f>
        <v>0</v>
      </c>
      <c r="J75" s="115">
        <f>SUM(J15:J74)</f>
        <v>0</v>
      </c>
      <c r="K75" s="1019">
        <f>SUM(K15:K74)</f>
        <v>0</v>
      </c>
      <c r="L75" s="197"/>
      <c r="M75" s="787"/>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5"/>
      <c r="I76" s="197"/>
      <c r="J76" s="197"/>
      <c r="K76" s="197"/>
      <c r="L76" s="197"/>
      <c r="M76" s="787"/>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5"/>
      <c r="I77" s="197"/>
      <c r="J77" s="197"/>
      <c r="K77" s="197"/>
      <c r="L77" s="197"/>
      <c r="M77" s="787"/>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5"/>
      <c r="I78" s="197"/>
      <c r="J78" s="197"/>
      <c r="K78" s="197"/>
      <c r="L78" s="197"/>
      <c r="M78" s="787"/>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6"/>
      <c r="I79" s="350">
        <f>SUM(I10)</f>
        <v>0</v>
      </c>
      <c r="J79" s="350">
        <f>SUM(J10)</f>
        <v>0</v>
      </c>
      <c r="K79" s="350">
        <f>SUM(K10)</f>
        <v>0</v>
      </c>
      <c r="L79" s="197"/>
      <c r="M79" s="787"/>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7"/>
      <c r="I80" s="352">
        <f t="shared" si="3"/>
        <v>0</v>
      </c>
      <c r="J80" s="352">
        <f t="shared" si="3"/>
        <v>0</v>
      </c>
      <c r="K80" s="352">
        <f t="shared" si="3"/>
        <v>0</v>
      </c>
      <c r="L80" s="197"/>
      <c r="M80" s="787"/>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4"/>
      <c r="I81" s="115">
        <f t="shared" si="4"/>
        <v>0</v>
      </c>
      <c r="J81" s="115">
        <f t="shared" si="4"/>
        <v>0</v>
      </c>
      <c r="K81" s="115">
        <f t="shared" si="4"/>
        <v>0</v>
      </c>
      <c r="L81" s="197"/>
      <c r="M81" s="787"/>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7"/>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7"/>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7"/>
      <c r="N84" s="322"/>
      <c r="O84" s="322"/>
      <c r="P84" s="322"/>
      <c r="Q84" s="322"/>
      <c r="R84" s="272"/>
      <c r="S84" s="272"/>
      <c r="T84" s="272"/>
      <c r="U84" s="272"/>
      <c r="V84" s="272"/>
      <c r="W84" s="272"/>
      <c r="X84" s="272"/>
      <c r="Y84" s="272"/>
      <c r="Z84" s="272"/>
      <c r="AA84" s="272"/>
    </row>
    <row r="85" spans="1:27">
      <c r="A85" s="3116" t="s">
        <v>1114</v>
      </c>
      <c r="B85" s="3117"/>
      <c r="C85" s="337" t="s">
        <v>1110</v>
      </c>
      <c r="D85" s="337" t="s">
        <v>1123</v>
      </c>
      <c r="E85" s="337" t="s">
        <v>1123</v>
      </c>
      <c r="F85" s="337" t="s">
        <v>1123</v>
      </c>
      <c r="G85" s="337" t="s">
        <v>1123</v>
      </c>
      <c r="H85" s="192" t="s">
        <v>78</v>
      </c>
      <c r="I85" s="3120" t="s">
        <v>1204</v>
      </c>
      <c r="J85" s="3121"/>
      <c r="K85" s="3122"/>
      <c r="L85" s="71"/>
      <c r="M85" s="787"/>
      <c r="N85" s="322"/>
      <c r="O85" s="322"/>
      <c r="P85" s="322"/>
      <c r="Q85" s="322"/>
      <c r="R85" s="272"/>
      <c r="S85" s="272"/>
      <c r="T85" s="272"/>
      <c r="U85" s="272"/>
      <c r="V85" s="272"/>
      <c r="W85" s="272"/>
      <c r="X85" s="272"/>
      <c r="Y85" s="272"/>
      <c r="Z85" s="272"/>
      <c r="AA85" s="272"/>
    </row>
    <row r="86" spans="1:27">
      <c r="A86" s="3116"/>
      <c r="B86" s="3117"/>
      <c r="C86" s="2550" t="s">
        <v>78</v>
      </c>
      <c r="D86" s="2550" t="s">
        <v>128</v>
      </c>
      <c r="E86" s="2550" t="s">
        <v>129</v>
      </c>
      <c r="F86" s="2550" t="s">
        <v>130</v>
      </c>
      <c r="G86" s="2550" t="s">
        <v>131</v>
      </c>
      <c r="H86" s="193" t="s">
        <v>1205</v>
      </c>
      <c r="I86" s="3241"/>
      <c r="J86" s="3242"/>
      <c r="K86" s="3243"/>
      <c r="L86" s="71"/>
      <c r="M86" s="787"/>
      <c r="N86" s="322"/>
      <c r="O86" s="322"/>
      <c r="P86" s="322"/>
      <c r="Q86" s="322"/>
      <c r="R86" s="272"/>
      <c r="S86" s="272"/>
      <c r="T86" s="272"/>
      <c r="U86" s="272"/>
      <c r="V86" s="272"/>
      <c r="W86" s="272"/>
      <c r="X86" s="272"/>
      <c r="Y86" s="272"/>
      <c r="Z86" s="272"/>
      <c r="AA86" s="272"/>
    </row>
    <row r="87" spans="1:27" ht="16" thickBot="1">
      <c r="A87" s="3118"/>
      <c r="B87" s="3119"/>
      <c r="C87" s="338" t="s">
        <v>50</v>
      </c>
      <c r="D87" s="338" t="s">
        <v>50</v>
      </c>
      <c r="E87" s="338" t="s">
        <v>50</v>
      </c>
      <c r="F87" s="338" t="s">
        <v>50</v>
      </c>
      <c r="G87" s="338" t="s">
        <v>50</v>
      </c>
      <c r="H87" s="339" t="s">
        <v>50</v>
      </c>
      <c r="I87" s="3123"/>
      <c r="J87" s="3124"/>
      <c r="K87" s="3125"/>
      <c r="L87" s="71"/>
      <c r="M87" s="787"/>
      <c r="N87" s="322"/>
      <c r="O87" s="322"/>
      <c r="P87" s="322"/>
      <c r="Q87" s="322"/>
      <c r="R87" s="272"/>
      <c r="S87" s="272"/>
      <c r="T87" s="272"/>
      <c r="U87" s="272"/>
      <c r="V87" s="272"/>
      <c r="W87" s="272"/>
      <c r="X87" s="272"/>
      <c r="Y87" s="272"/>
      <c r="Z87" s="272"/>
      <c r="AA87" s="272"/>
    </row>
    <row r="88" spans="1:27">
      <c r="A88" s="344">
        <f>A81+1</f>
        <v>67</v>
      </c>
      <c r="B88" s="1731" t="s">
        <v>1414</v>
      </c>
      <c r="C88" s="24"/>
      <c r="D88" s="2526"/>
      <c r="E88" s="2526"/>
      <c r="F88" s="2526"/>
      <c r="G88" s="2526"/>
      <c r="H88" s="2529">
        <f>SUM(C88:G88)</f>
        <v>0</v>
      </c>
      <c r="I88" s="2540"/>
      <c r="J88" s="2541"/>
      <c r="K88" s="2542"/>
      <c r="L88" s="71"/>
      <c r="M88" s="787"/>
      <c r="N88" s="322"/>
      <c r="O88" s="322"/>
      <c r="P88" s="322"/>
      <c r="Q88" s="322"/>
      <c r="R88" s="272"/>
      <c r="S88" s="272"/>
      <c r="T88" s="272"/>
      <c r="U88" s="272"/>
      <c r="V88" s="272"/>
      <c r="W88" s="272"/>
      <c r="X88" s="272"/>
      <c r="Y88" s="272"/>
      <c r="Z88" s="272"/>
      <c r="AA88" s="272"/>
    </row>
    <row r="89" spans="1:27">
      <c r="A89" s="346">
        <f>A88+1</f>
        <v>68</v>
      </c>
      <c r="B89" s="2525" t="s">
        <v>1316</v>
      </c>
      <c r="C89" s="25"/>
      <c r="D89" s="2527"/>
      <c r="E89" s="2527"/>
      <c r="F89" s="2527"/>
      <c r="G89" s="2527"/>
      <c r="H89" s="196">
        <f t="shared" ref="H89:H117" si="5">SUM(C89:G89)</f>
        <v>0</v>
      </c>
      <c r="I89" s="2543"/>
      <c r="J89" s="2539"/>
      <c r="K89" s="2544"/>
      <c r="L89" s="71"/>
      <c r="M89" s="787"/>
      <c r="N89" s="322"/>
      <c r="O89" s="322"/>
      <c r="P89" s="322"/>
      <c r="Q89" s="322"/>
      <c r="R89" s="272"/>
      <c r="S89" s="272"/>
      <c r="T89" s="272"/>
      <c r="U89" s="272"/>
      <c r="V89" s="272"/>
      <c r="W89" s="272"/>
      <c r="X89" s="272"/>
      <c r="Y89" s="272"/>
      <c r="Z89" s="272"/>
      <c r="AA89" s="272"/>
    </row>
    <row r="90" spans="1:27">
      <c r="A90" s="346">
        <f t="shared" ref="A90:A117" si="6">A89+1</f>
        <v>69</v>
      </c>
      <c r="B90" s="2525" t="s">
        <v>1225</v>
      </c>
      <c r="C90" s="25"/>
      <c r="D90" s="2527"/>
      <c r="E90" s="2527"/>
      <c r="F90" s="2527"/>
      <c r="G90" s="2527"/>
      <c r="H90" s="196">
        <f t="shared" si="5"/>
        <v>0</v>
      </c>
      <c r="I90" s="2543"/>
      <c r="J90" s="2539"/>
      <c r="K90" s="2544"/>
      <c r="L90" s="71"/>
      <c r="M90" s="787"/>
      <c r="N90" s="322"/>
      <c r="O90" s="322"/>
      <c r="P90" s="322"/>
      <c r="Q90" s="322"/>
      <c r="R90" s="272"/>
      <c r="S90" s="272"/>
      <c r="T90" s="272"/>
      <c r="U90" s="272"/>
      <c r="V90" s="272"/>
      <c r="W90" s="272"/>
      <c r="X90" s="272"/>
      <c r="Y90" s="272"/>
      <c r="Z90" s="272"/>
      <c r="AA90" s="272"/>
    </row>
    <row r="91" spans="1:27">
      <c r="A91" s="346">
        <f t="shared" si="6"/>
        <v>70</v>
      </c>
      <c r="B91" s="2525" t="s">
        <v>1253</v>
      </c>
      <c r="C91" s="25"/>
      <c r="D91" s="2527"/>
      <c r="E91" s="2527"/>
      <c r="F91" s="2527"/>
      <c r="G91" s="2527"/>
      <c r="H91" s="196">
        <f t="shared" si="5"/>
        <v>0</v>
      </c>
      <c r="I91" s="2543"/>
      <c r="J91" s="2539"/>
      <c r="K91" s="2544"/>
      <c r="L91" s="71"/>
      <c r="M91" s="787"/>
      <c r="N91" s="322"/>
      <c r="O91" s="322"/>
      <c r="P91" s="322"/>
      <c r="Q91" s="322"/>
      <c r="R91" s="272"/>
      <c r="S91" s="272"/>
      <c r="T91" s="272"/>
      <c r="U91" s="272"/>
      <c r="V91" s="272"/>
      <c r="W91" s="272"/>
      <c r="X91" s="272"/>
      <c r="Y91" s="272"/>
      <c r="Z91" s="272"/>
      <c r="AA91" s="272"/>
    </row>
    <row r="92" spans="1:27">
      <c r="A92" s="346">
        <f t="shared" si="6"/>
        <v>71</v>
      </c>
      <c r="B92" s="2525" t="s">
        <v>1308</v>
      </c>
      <c r="C92" s="25"/>
      <c r="D92" s="2527"/>
      <c r="E92" s="2527"/>
      <c r="F92" s="2527"/>
      <c r="G92" s="2527"/>
      <c r="H92" s="196">
        <f t="shared" si="5"/>
        <v>0</v>
      </c>
      <c r="I92" s="2543"/>
      <c r="J92" s="2539"/>
      <c r="K92" s="2544"/>
      <c r="L92" s="71"/>
      <c r="M92" s="787"/>
      <c r="N92" s="322"/>
      <c r="O92" s="322"/>
      <c r="P92" s="322"/>
      <c r="Q92" s="322"/>
      <c r="R92" s="272"/>
      <c r="S92" s="272"/>
      <c r="T92" s="272"/>
      <c r="U92" s="272"/>
      <c r="V92" s="272"/>
      <c r="W92" s="272"/>
      <c r="X92" s="272"/>
      <c r="Y92" s="272"/>
      <c r="Z92" s="272"/>
      <c r="AA92" s="272"/>
    </row>
    <row r="93" spans="1:27">
      <c r="A93" s="346">
        <f t="shared" si="6"/>
        <v>72</v>
      </c>
      <c r="B93" s="2625"/>
      <c r="C93" s="25"/>
      <c r="D93" s="2527"/>
      <c r="E93" s="2527"/>
      <c r="F93" s="2527"/>
      <c r="G93" s="2527"/>
      <c r="H93" s="196">
        <f t="shared" si="5"/>
        <v>0</v>
      </c>
      <c r="I93" s="2543"/>
      <c r="J93" s="2539"/>
      <c r="K93" s="2544"/>
      <c r="L93" s="71"/>
      <c r="M93" s="787"/>
      <c r="N93" s="322"/>
      <c r="O93" s="322"/>
      <c r="P93" s="322"/>
      <c r="Q93" s="322"/>
      <c r="R93" s="272"/>
      <c r="S93" s="272"/>
      <c r="T93" s="272"/>
      <c r="U93" s="272"/>
      <c r="V93" s="272"/>
      <c r="W93" s="272"/>
      <c r="X93" s="272"/>
      <c r="Y93" s="272"/>
      <c r="Z93" s="272"/>
      <c r="AA93" s="272"/>
    </row>
    <row r="94" spans="1:27">
      <c r="A94" s="346">
        <f t="shared" si="6"/>
        <v>73</v>
      </c>
      <c r="B94" s="2625"/>
      <c r="C94" s="25"/>
      <c r="D94" s="2527"/>
      <c r="E94" s="2527"/>
      <c r="F94" s="2527"/>
      <c r="G94" s="2527"/>
      <c r="H94" s="196">
        <f t="shared" si="5"/>
        <v>0</v>
      </c>
      <c r="I94" s="2543"/>
      <c r="J94" s="2539"/>
      <c r="K94" s="2544"/>
      <c r="L94" s="71"/>
      <c r="M94" s="787"/>
      <c r="N94" s="322"/>
      <c r="O94" s="322"/>
      <c r="P94" s="322"/>
      <c r="Q94" s="322"/>
      <c r="R94" s="272"/>
      <c r="S94" s="272"/>
      <c r="T94" s="272"/>
      <c r="U94" s="272"/>
      <c r="V94" s="272"/>
      <c r="W94" s="272"/>
      <c r="X94" s="272"/>
      <c r="Y94" s="272"/>
      <c r="Z94" s="272"/>
      <c r="AA94" s="272"/>
    </row>
    <row r="95" spans="1:27">
      <c r="A95" s="346">
        <f t="shared" si="6"/>
        <v>74</v>
      </c>
      <c r="B95" s="593"/>
      <c r="C95" s="25"/>
      <c r="D95" s="2527"/>
      <c r="E95" s="2527"/>
      <c r="F95" s="2527"/>
      <c r="G95" s="2527"/>
      <c r="H95" s="196">
        <f t="shared" si="5"/>
        <v>0</v>
      </c>
      <c r="I95" s="2543"/>
      <c r="J95" s="2539"/>
      <c r="K95" s="2544"/>
      <c r="L95" s="71"/>
      <c r="M95" s="787"/>
      <c r="N95" s="322"/>
      <c r="O95" s="322"/>
      <c r="P95" s="322"/>
      <c r="Q95" s="322"/>
      <c r="R95" s="272"/>
      <c r="S95" s="272"/>
      <c r="T95" s="272"/>
      <c r="U95" s="272"/>
      <c r="V95" s="272"/>
      <c r="W95" s="272"/>
      <c r="X95" s="272"/>
      <c r="Y95" s="272"/>
      <c r="Z95" s="272"/>
      <c r="AA95" s="272"/>
    </row>
    <row r="96" spans="1:27">
      <c r="A96" s="346">
        <f t="shared" si="6"/>
        <v>75</v>
      </c>
      <c r="B96" s="593"/>
      <c r="C96" s="25"/>
      <c r="D96" s="2527"/>
      <c r="E96" s="2527"/>
      <c r="F96" s="2527"/>
      <c r="G96" s="2527"/>
      <c r="H96" s="196">
        <f t="shared" si="5"/>
        <v>0</v>
      </c>
      <c r="I96" s="2543"/>
      <c r="J96" s="2539"/>
      <c r="K96" s="2544"/>
      <c r="L96" s="71"/>
      <c r="M96" s="787"/>
      <c r="N96" s="322"/>
      <c r="O96" s="322"/>
      <c r="P96" s="322"/>
      <c r="Q96" s="322"/>
      <c r="R96" s="272"/>
      <c r="S96" s="272"/>
      <c r="T96" s="272"/>
      <c r="U96" s="272"/>
      <c r="V96" s="272"/>
      <c r="W96" s="272"/>
      <c r="X96" s="272"/>
      <c r="Y96" s="272"/>
      <c r="Z96" s="272"/>
      <c r="AA96" s="272"/>
    </row>
    <row r="97" spans="1:27">
      <c r="A97" s="346">
        <f t="shared" si="6"/>
        <v>76</v>
      </c>
      <c r="B97" s="593"/>
      <c r="C97" s="25"/>
      <c r="D97" s="2527"/>
      <c r="E97" s="2527"/>
      <c r="F97" s="2527"/>
      <c r="G97" s="2527"/>
      <c r="H97" s="196">
        <f t="shared" si="5"/>
        <v>0</v>
      </c>
      <c r="I97" s="2543"/>
      <c r="J97" s="2539"/>
      <c r="K97" s="2544"/>
      <c r="L97" s="71"/>
      <c r="M97" s="787"/>
      <c r="N97" s="322"/>
      <c r="O97" s="322"/>
      <c r="P97" s="322"/>
      <c r="Q97" s="322"/>
      <c r="R97" s="272"/>
      <c r="S97" s="272"/>
      <c r="T97" s="272"/>
      <c r="U97" s="272"/>
      <c r="V97" s="272"/>
      <c r="W97" s="272"/>
      <c r="X97" s="272"/>
      <c r="Y97" s="272"/>
      <c r="Z97" s="272"/>
      <c r="AA97" s="272"/>
    </row>
    <row r="98" spans="1:27">
      <c r="A98" s="346">
        <f t="shared" si="6"/>
        <v>77</v>
      </c>
      <c r="B98" s="593"/>
      <c r="C98" s="25"/>
      <c r="D98" s="2527"/>
      <c r="E98" s="2527"/>
      <c r="F98" s="2527"/>
      <c r="G98" s="2527"/>
      <c r="H98" s="196">
        <f t="shared" si="5"/>
        <v>0</v>
      </c>
      <c r="I98" s="2543"/>
      <c r="J98" s="2539"/>
      <c r="K98" s="2544"/>
      <c r="L98" s="71"/>
      <c r="M98" s="787"/>
      <c r="N98" s="322"/>
      <c r="O98" s="322"/>
      <c r="P98" s="322"/>
      <c r="Q98" s="322"/>
      <c r="R98" s="272"/>
      <c r="S98" s="272"/>
      <c r="T98" s="272"/>
      <c r="U98" s="272"/>
      <c r="V98" s="272"/>
      <c r="W98" s="272"/>
      <c r="X98" s="272"/>
      <c r="Y98" s="272"/>
      <c r="Z98" s="272"/>
      <c r="AA98" s="272"/>
    </row>
    <row r="99" spans="1:27">
      <c r="A99" s="346">
        <f t="shared" si="6"/>
        <v>78</v>
      </c>
      <c r="B99" s="593"/>
      <c r="C99" s="25"/>
      <c r="D99" s="2527"/>
      <c r="E99" s="2527"/>
      <c r="F99" s="2527"/>
      <c r="G99" s="2527"/>
      <c r="H99" s="196">
        <f t="shared" si="5"/>
        <v>0</v>
      </c>
      <c r="I99" s="2543"/>
      <c r="J99" s="2539"/>
      <c r="K99" s="2544"/>
      <c r="L99" s="71"/>
      <c r="M99" s="787"/>
      <c r="N99" s="322"/>
      <c r="O99" s="322"/>
      <c r="P99" s="322"/>
      <c r="Q99" s="322"/>
      <c r="R99" s="272"/>
      <c r="S99" s="272"/>
      <c r="T99" s="272"/>
      <c r="U99" s="272"/>
      <c r="V99" s="272"/>
      <c r="W99" s="272"/>
      <c r="X99" s="272"/>
      <c r="Y99" s="272"/>
      <c r="Z99" s="272"/>
      <c r="AA99" s="272"/>
    </row>
    <row r="100" spans="1:27">
      <c r="A100" s="346">
        <f t="shared" si="6"/>
        <v>79</v>
      </c>
      <c r="B100" s="593"/>
      <c r="C100" s="25"/>
      <c r="D100" s="2527"/>
      <c r="E100" s="2527"/>
      <c r="F100" s="2527"/>
      <c r="G100" s="2527"/>
      <c r="H100" s="196">
        <f t="shared" si="5"/>
        <v>0</v>
      </c>
      <c r="I100" s="2543"/>
      <c r="J100" s="2539"/>
      <c r="K100" s="2544"/>
      <c r="L100" s="71"/>
      <c r="M100" s="787"/>
      <c r="N100" s="322"/>
      <c r="O100" s="322"/>
      <c r="P100" s="322"/>
      <c r="Q100" s="322"/>
      <c r="R100" s="272"/>
      <c r="S100" s="272"/>
      <c r="T100" s="272"/>
      <c r="U100" s="272"/>
      <c r="V100" s="272"/>
      <c r="W100" s="272"/>
      <c r="X100" s="272"/>
      <c r="Y100" s="272"/>
      <c r="Z100" s="272"/>
      <c r="AA100" s="272"/>
    </row>
    <row r="101" spans="1:27">
      <c r="A101" s="346">
        <f t="shared" si="6"/>
        <v>80</v>
      </c>
      <c r="B101" s="593"/>
      <c r="C101" s="25"/>
      <c r="D101" s="2527"/>
      <c r="E101" s="2527"/>
      <c r="F101" s="2527"/>
      <c r="G101" s="2527"/>
      <c r="H101" s="196">
        <f t="shared" si="5"/>
        <v>0</v>
      </c>
      <c r="I101" s="2543"/>
      <c r="J101" s="2539"/>
      <c r="K101" s="2544"/>
      <c r="L101" s="71"/>
      <c r="M101" s="787"/>
      <c r="N101" s="322"/>
      <c r="O101" s="322"/>
      <c r="P101" s="322"/>
      <c r="Q101" s="322"/>
      <c r="R101" s="272"/>
      <c r="S101" s="272"/>
      <c r="T101" s="272"/>
      <c r="U101" s="272"/>
      <c r="V101" s="272"/>
      <c r="W101" s="272"/>
      <c r="X101" s="272"/>
      <c r="Y101" s="272"/>
      <c r="Z101" s="272"/>
      <c r="AA101" s="272"/>
    </row>
    <row r="102" spans="1:27">
      <c r="A102" s="346">
        <f t="shared" si="6"/>
        <v>81</v>
      </c>
      <c r="B102" s="593"/>
      <c r="C102" s="25"/>
      <c r="D102" s="2527"/>
      <c r="E102" s="2527"/>
      <c r="F102" s="2527"/>
      <c r="G102" s="2527"/>
      <c r="H102" s="196">
        <f t="shared" si="5"/>
        <v>0</v>
      </c>
      <c r="I102" s="2543"/>
      <c r="J102" s="2539"/>
      <c r="K102" s="2544"/>
      <c r="L102" s="71"/>
      <c r="M102" s="787"/>
      <c r="N102" s="322"/>
      <c r="O102" s="322"/>
      <c r="P102" s="322"/>
      <c r="Q102" s="322"/>
      <c r="R102" s="272"/>
      <c r="S102" s="272"/>
      <c r="T102" s="272"/>
      <c r="U102" s="272"/>
      <c r="V102" s="272"/>
      <c r="W102" s="272"/>
      <c r="X102" s="272"/>
      <c r="Y102" s="272"/>
      <c r="Z102" s="272"/>
      <c r="AA102" s="272"/>
    </row>
    <row r="103" spans="1:27">
      <c r="A103" s="346">
        <f t="shared" si="6"/>
        <v>82</v>
      </c>
      <c r="B103" s="593"/>
      <c r="C103" s="25"/>
      <c r="D103" s="2527"/>
      <c r="E103" s="2527"/>
      <c r="F103" s="2527"/>
      <c r="G103" s="2527"/>
      <c r="H103" s="196">
        <f t="shared" si="5"/>
        <v>0</v>
      </c>
      <c r="I103" s="2543"/>
      <c r="J103" s="2539"/>
      <c r="K103" s="2544"/>
      <c r="L103" s="71"/>
      <c r="M103" s="787"/>
      <c r="N103" s="322"/>
      <c r="O103" s="322"/>
      <c r="P103" s="322"/>
      <c r="Q103" s="322"/>
      <c r="R103" s="272"/>
      <c r="S103" s="272"/>
      <c r="T103" s="272"/>
      <c r="U103" s="272"/>
      <c r="V103" s="272"/>
      <c r="W103" s="272"/>
      <c r="X103" s="272"/>
      <c r="Y103" s="272"/>
      <c r="Z103" s="272"/>
      <c r="AA103" s="272"/>
    </row>
    <row r="104" spans="1:27">
      <c r="A104" s="346">
        <f t="shared" si="6"/>
        <v>83</v>
      </c>
      <c r="B104" s="593"/>
      <c r="C104" s="25"/>
      <c r="D104" s="2527"/>
      <c r="E104" s="2527"/>
      <c r="F104" s="2527"/>
      <c r="G104" s="2527"/>
      <c r="H104" s="196">
        <f t="shared" si="5"/>
        <v>0</v>
      </c>
      <c r="I104" s="2543"/>
      <c r="J104" s="2539"/>
      <c r="K104" s="2544"/>
      <c r="L104" s="71"/>
      <c r="M104" s="787"/>
      <c r="N104" s="322"/>
      <c r="O104" s="322"/>
      <c r="P104" s="322"/>
      <c r="Q104" s="322"/>
      <c r="R104" s="272"/>
      <c r="S104" s="272"/>
      <c r="T104" s="272"/>
      <c r="U104" s="272"/>
      <c r="V104" s="272"/>
      <c r="W104" s="272"/>
      <c r="X104" s="272"/>
      <c r="Y104" s="272"/>
      <c r="Z104" s="272"/>
      <c r="AA104" s="272"/>
    </row>
    <row r="105" spans="1:27">
      <c r="A105" s="346">
        <f t="shared" si="6"/>
        <v>84</v>
      </c>
      <c r="B105" s="593"/>
      <c r="C105" s="25"/>
      <c r="D105" s="2527"/>
      <c r="E105" s="2527"/>
      <c r="F105" s="2527"/>
      <c r="G105" s="2527"/>
      <c r="H105" s="196">
        <f t="shared" si="5"/>
        <v>0</v>
      </c>
      <c r="I105" s="2543"/>
      <c r="J105" s="2539"/>
      <c r="K105" s="2544"/>
      <c r="L105" s="71"/>
      <c r="M105" s="787"/>
      <c r="N105" s="322"/>
      <c r="O105" s="322"/>
      <c r="P105" s="322"/>
      <c r="Q105" s="322"/>
      <c r="R105" s="272"/>
      <c r="S105" s="272"/>
      <c r="T105" s="272"/>
      <c r="U105" s="272"/>
      <c r="V105" s="272"/>
      <c r="W105" s="272"/>
      <c r="X105" s="272"/>
      <c r="Y105" s="272"/>
      <c r="Z105" s="272"/>
      <c r="AA105" s="272"/>
    </row>
    <row r="106" spans="1:27">
      <c r="A106" s="346">
        <f t="shared" si="6"/>
        <v>85</v>
      </c>
      <c r="B106" s="593"/>
      <c r="C106" s="25"/>
      <c r="D106" s="2527"/>
      <c r="E106" s="2527"/>
      <c r="F106" s="2527"/>
      <c r="G106" s="2527"/>
      <c r="H106" s="196">
        <f t="shared" si="5"/>
        <v>0</v>
      </c>
      <c r="I106" s="2543"/>
      <c r="J106" s="2539"/>
      <c r="K106" s="2544"/>
      <c r="L106" s="71"/>
      <c r="M106" s="787"/>
      <c r="N106" s="322"/>
      <c r="O106" s="322"/>
      <c r="P106" s="322"/>
      <c r="Q106" s="322"/>
      <c r="R106" s="272"/>
      <c r="S106" s="272"/>
      <c r="T106" s="272"/>
      <c r="U106" s="272"/>
      <c r="V106" s="272"/>
      <c r="W106" s="272"/>
      <c r="X106" s="272"/>
      <c r="Y106" s="272"/>
      <c r="Z106" s="272"/>
      <c r="AA106" s="272"/>
    </row>
    <row r="107" spans="1:27">
      <c r="A107" s="346">
        <f t="shared" si="6"/>
        <v>86</v>
      </c>
      <c r="B107" s="593"/>
      <c r="C107" s="25"/>
      <c r="D107" s="2527"/>
      <c r="E107" s="2527"/>
      <c r="F107" s="2527"/>
      <c r="G107" s="2527"/>
      <c r="H107" s="196">
        <f t="shared" si="5"/>
        <v>0</v>
      </c>
      <c r="I107" s="2543"/>
      <c r="J107" s="2539"/>
      <c r="K107" s="2544"/>
      <c r="L107" s="71"/>
      <c r="M107" s="787"/>
      <c r="N107" s="322"/>
      <c r="O107" s="322"/>
      <c r="P107" s="322"/>
      <c r="Q107" s="322"/>
      <c r="R107" s="272"/>
      <c r="S107" s="272"/>
      <c r="T107" s="272"/>
      <c r="U107" s="272"/>
      <c r="V107" s="272"/>
      <c r="W107" s="272"/>
      <c r="X107" s="272"/>
      <c r="Y107" s="272"/>
      <c r="Z107" s="272"/>
      <c r="AA107" s="272"/>
    </row>
    <row r="108" spans="1:27">
      <c r="A108" s="346">
        <f t="shared" si="6"/>
        <v>87</v>
      </c>
      <c r="B108" s="593"/>
      <c r="C108" s="25"/>
      <c r="D108" s="2527"/>
      <c r="E108" s="2527"/>
      <c r="F108" s="2527"/>
      <c r="G108" s="2527"/>
      <c r="H108" s="196">
        <f t="shared" si="5"/>
        <v>0</v>
      </c>
      <c r="I108" s="2543"/>
      <c r="J108" s="2539"/>
      <c r="K108" s="2544"/>
      <c r="L108" s="71"/>
      <c r="M108" s="787"/>
      <c r="N108" s="322"/>
      <c r="O108" s="322"/>
      <c r="P108" s="322"/>
      <c r="Q108" s="322"/>
      <c r="R108" s="272"/>
      <c r="S108" s="272"/>
      <c r="T108" s="272"/>
      <c r="U108" s="272"/>
      <c r="V108" s="272"/>
      <c r="W108" s="272"/>
      <c r="X108" s="272"/>
      <c r="Y108" s="272"/>
      <c r="Z108" s="272"/>
      <c r="AA108" s="272"/>
    </row>
    <row r="109" spans="1:27">
      <c r="A109" s="346">
        <f t="shared" si="6"/>
        <v>88</v>
      </c>
      <c r="B109" s="593"/>
      <c r="C109" s="25"/>
      <c r="D109" s="2527"/>
      <c r="E109" s="2527"/>
      <c r="F109" s="2527"/>
      <c r="G109" s="2527"/>
      <c r="H109" s="196">
        <f t="shared" si="5"/>
        <v>0</v>
      </c>
      <c r="I109" s="2543"/>
      <c r="J109" s="2539"/>
      <c r="K109" s="2544"/>
      <c r="L109" s="71"/>
      <c r="M109" s="787"/>
      <c r="N109" s="322"/>
      <c r="O109" s="322"/>
      <c r="P109" s="322"/>
      <c r="Q109" s="322"/>
      <c r="R109" s="272"/>
      <c r="S109" s="272"/>
      <c r="T109" s="272"/>
      <c r="U109" s="272"/>
      <c r="V109" s="272"/>
      <c r="W109" s="272"/>
      <c r="X109" s="272"/>
      <c r="Y109" s="272"/>
      <c r="Z109" s="272"/>
      <c r="AA109" s="272"/>
    </row>
    <row r="110" spans="1:27">
      <c r="A110" s="346">
        <f t="shared" si="6"/>
        <v>89</v>
      </c>
      <c r="B110" s="593"/>
      <c r="C110" s="25"/>
      <c r="D110" s="2527"/>
      <c r="E110" s="2527"/>
      <c r="F110" s="2527"/>
      <c r="G110" s="2527"/>
      <c r="H110" s="196">
        <f t="shared" si="5"/>
        <v>0</v>
      </c>
      <c r="I110" s="2543"/>
      <c r="J110" s="2539"/>
      <c r="K110" s="2544"/>
      <c r="L110" s="71"/>
      <c r="M110" s="787"/>
      <c r="N110" s="322"/>
      <c r="O110" s="322"/>
      <c r="P110" s="322"/>
      <c r="Q110" s="322"/>
      <c r="R110" s="272"/>
      <c r="S110" s="272"/>
      <c r="T110" s="272"/>
      <c r="U110" s="272"/>
      <c r="V110" s="272"/>
      <c r="W110" s="272"/>
      <c r="X110" s="272"/>
      <c r="Y110" s="272"/>
      <c r="Z110" s="272"/>
      <c r="AA110" s="272"/>
    </row>
    <row r="111" spans="1:27">
      <c r="A111" s="346">
        <f t="shared" si="6"/>
        <v>90</v>
      </c>
      <c r="B111" s="593"/>
      <c r="C111" s="25"/>
      <c r="D111" s="2527"/>
      <c r="E111" s="2527"/>
      <c r="F111" s="2527"/>
      <c r="G111" s="2527"/>
      <c r="H111" s="196">
        <f t="shared" si="5"/>
        <v>0</v>
      </c>
      <c r="I111" s="2543"/>
      <c r="J111" s="2539"/>
      <c r="K111" s="2544"/>
      <c r="L111" s="71"/>
      <c r="M111" s="787"/>
      <c r="N111" s="322"/>
      <c r="O111" s="322"/>
      <c r="P111" s="322"/>
      <c r="Q111" s="322"/>
      <c r="R111" s="272"/>
      <c r="S111" s="272"/>
      <c r="T111" s="272"/>
      <c r="U111" s="272"/>
      <c r="V111" s="272"/>
      <c r="W111" s="272"/>
      <c r="X111" s="272"/>
      <c r="Y111" s="272"/>
      <c r="Z111" s="272"/>
      <c r="AA111" s="272"/>
    </row>
    <row r="112" spans="1:27">
      <c r="A112" s="346">
        <f t="shared" si="6"/>
        <v>91</v>
      </c>
      <c r="B112" s="593"/>
      <c r="C112" s="25"/>
      <c r="D112" s="2527"/>
      <c r="E112" s="2527"/>
      <c r="F112" s="2527"/>
      <c r="G112" s="2527"/>
      <c r="H112" s="196">
        <f t="shared" si="5"/>
        <v>0</v>
      </c>
      <c r="I112" s="2543"/>
      <c r="J112" s="2539"/>
      <c r="K112" s="2544"/>
      <c r="L112" s="71"/>
      <c r="M112" s="787"/>
      <c r="N112" s="322"/>
      <c r="O112" s="322"/>
      <c r="P112" s="322"/>
      <c r="Q112" s="322"/>
      <c r="R112" s="272"/>
      <c r="S112" s="272"/>
      <c r="T112" s="272"/>
      <c r="U112" s="272"/>
      <c r="V112" s="272"/>
      <c r="W112" s="272"/>
      <c r="X112" s="272"/>
      <c r="Y112" s="272"/>
      <c r="Z112" s="272"/>
      <c r="AA112" s="272"/>
    </row>
    <row r="113" spans="1:27">
      <c r="A113" s="346">
        <f t="shared" si="6"/>
        <v>92</v>
      </c>
      <c r="B113" s="593"/>
      <c r="C113" s="25"/>
      <c r="D113" s="2527"/>
      <c r="E113" s="2527"/>
      <c r="F113" s="2527"/>
      <c r="G113" s="2527"/>
      <c r="H113" s="196">
        <f t="shared" si="5"/>
        <v>0</v>
      </c>
      <c r="I113" s="2543"/>
      <c r="J113" s="2539"/>
      <c r="K113" s="2544"/>
      <c r="L113" s="71"/>
      <c r="M113" s="787"/>
      <c r="N113" s="322"/>
      <c r="O113" s="322"/>
      <c r="P113" s="322"/>
      <c r="Q113" s="322"/>
      <c r="R113" s="272"/>
      <c r="S113" s="272"/>
      <c r="T113" s="272"/>
      <c r="U113" s="272"/>
      <c r="V113" s="272"/>
      <c r="W113" s="272"/>
      <c r="X113" s="272"/>
      <c r="Y113" s="272"/>
      <c r="Z113" s="272"/>
      <c r="AA113" s="272"/>
    </row>
    <row r="114" spans="1:27">
      <c r="A114" s="346">
        <f t="shared" si="6"/>
        <v>93</v>
      </c>
      <c r="B114" s="593"/>
      <c r="C114" s="25"/>
      <c r="D114" s="2527"/>
      <c r="E114" s="2527"/>
      <c r="F114" s="2527"/>
      <c r="G114" s="2527"/>
      <c r="H114" s="196">
        <f t="shared" si="5"/>
        <v>0</v>
      </c>
      <c r="I114" s="2543"/>
      <c r="J114" s="2539"/>
      <c r="K114" s="2544"/>
      <c r="L114" s="71"/>
      <c r="M114" s="787"/>
      <c r="N114" s="322"/>
      <c r="O114" s="322"/>
      <c r="P114" s="322"/>
      <c r="Q114" s="322"/>
      <c r="R114" s="272"/>
      <c r="S114" s="272"/>
      <c r="T114" s="272"/>
      <c r="U114" s="272"/>
      <c r="V114" s="272"/>
      <c r="W114" s="272"/>
      <c r="X114" s="272"/>
      <c r="Y114" s="272"/>
      <c r="Z114" s="272"/>
      <c r="AA114" s="272"/>
    </row>
    <row r="115" spans="1:27">
      <c r="A115" s="346">
        <f t="shared" si="6"/>
        <v>94</v>
      </c>
      <c r="B115" s="593"/>
      <c r="C115" s="25"/>
      <c r="D115" s="2527"/>
      <c r="E115" s="2527"/>
      <c r="F115" s="2527"/>
      <c r="G115" s="2527"/>
      <c r="H115" s="196">
        <f t="shared" si="5"/>
        <v>0</v>
      </c>
      <c r="I115" s="2543"/>
      <c r="J115" s="2539"/>
      <c r="K115" s="2544"/>
      <c r="L115" s="71"/>
      <c r="M115" s="787"/>
      <c r="N115" s="322"/>
      <c r="O115" s="322"/>
      <c r="P115" s="322"/>
      <c r="Q115" s="322"/>
      <c r="R115" s="272"/>
      <c r="S115" s="272"/>
      <c r="T115" s="272"/>
      <c r="U115" s="272"/>
      <c r="V115" s="272"/>
      <c r="W115" s="272"/>
      <c r="X115" s="272"/>
      <c r="Y115" s="272"/>
      <c r="Z115" s="272"/>
      <c r="AA115" s="272"/>
    </row>
    <row r="116" spans="1:27">
      <c r="A116" s="346">
        <f t="shared" si="6"/>
        <v>95</v>
      </c>
      <c r="B116" s="593"/>
      <c r="C116" s="25"/>
      <c r="D116" s="2527"/>
      <c r="E116" s="2527"/>
      <c r="F116" s="2527"/>
      <c r="G116" s="2527"/>
      <c r="H116" s="196">
        <f t="shared" si="5"/>
        <v>0</v>
      </c>
      <c r="I116" s="2543"/>
      <c r="J116" s="2539"/>
      <c r="K116" s="2544"/>
      <c r="L116" s="71"/>
      <c r="M116" s="787"/>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7"/>
      <c r="E117" s="2527"/>
      <c r="F117" s="2527"/>
      <c r="G117" s="2527"/>
      <c r="H117" s="196">
        <f t="shared" si="5"/>
        <v>0</v>
      </c>
      <c r="I117" s="2545"/>
      <c r="J117" s="2546"/>
      <c r="K117" s="2547"/>
      <c r="L117" s="71"/>
      <c r="M117" s="787"/>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7"/>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7"/>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7"/>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7"/>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7"/>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7"/>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7"/>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7"/>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7"/>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7"/>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7"/>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7"/>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7"/>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7"/>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7"/>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7"/>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7"/>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7"/>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7"/>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7"/>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7"/>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7"/>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7"/>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7"/>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7"/>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7"/>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7"/>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7"/>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7"/>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7"/>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7"/>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7"/>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7"/>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8" priority="1" stopIfTrue="1" operator="equal">
      <formula>"OK"</formula>
    </cfRule>
  </conditionalFormatting>
  <conditionalFormatting sqref="B2:C2 C1">
    <cfRule type="cellIs" dxfId="47"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dimension ref="A1:BB111"/>
  <sheetViews>
    <sheetView showGridLines="0" zoomScale="70" zoomScaleNormal="70" zoomScaleSheetLayoutView="55" workbookViewId="0">
      <selection activeCell="D55" sqref="D55"/>
    </sheetView>
  </sheetViews>
  <sheetFormatPr defaultColWidth="8.921875" defaultRowHeight="15.5"/>
  <cols>
    <col min="1" max="1" width="5.61328125" customWidth="1"/>
    <col min="2" max="2" width="60.61328125" customWidth="1"/>
    <col min="3" max="3" width="13.07421875" bestFit="1" customWidth="1"/>
    <col min="4" max="4" width="16.07421875" bestFit="1" customWidth="1"/>
    <col min="5" max="5" width="14.921875" bestFit="1" customWidth="1"/>
    <col min="6" max="6" width="12.53515625" bestFit="1" customWidth="1"/>
    <col min="7" max="7" width="12.15234375" bestFit="1" customWidth="1"/>
    <col min="8" max="8" width="13.61328125" bestFit="1" customWidth="1"/>
    <col min="9" max="9" width="11.07421875" bestFit="1" customWidth="1"/>
    <col min="10" max="10" width="13.53515625" customWidth="1"/>
    <col min="11" max="14" width="11.07421875" customWidth="1"/>
    <col min="15" max="15" width="10.921875" customWidth="1"/>
    <col min="16" max="18" width="11.07421875" customWidth="1"/>
    <col min="19" max="19" width="11.15234375" bestFit="1" customWidth="1"/>
    <col min="21" max="21" width="43.15234375" customWidth="1"/>
    <col min="22" max="23" width="8.921875" style="754"/>
    <col min="24" max="24" width="4.15234375" style="754" customWidth="1"/>
    <col min="25" max="25" width="53.4609375" style="754" customWidth="1"/>
    <col min="26" max="26" width="91" style="754" bestFit="1" customWidth="1"/>
    <col min="27" max="29" width="8.921875" style="754"/>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Apr 23</v>
      </c>
      <c r="T1" s="71"/>
      <c r="U1" s="71"/>
      <c r="V1" s="766"/>
      <c r="W1" s="766"/>
      <c r="X1" s="766"/>
      <c r="Y1" s="254" t="s">
        <v>779</v>
      </c>
      <c r="Z1" s="1640" t="str">
        <f>IF($AA$5&gt;0,"If there are any validation errors, you must include an explanation within your narrative","")</f>
        <v/>
      </c>
      <c r="AA1" s="785"/>
      <c r="AB1" s="766"/>
      <c r="AC1" s="766"/>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6"/>
      <c r="W2" s="766"/>
      <c r="X2" s="766"/>
      <c r="Y2" s="48"/>
      <c r="Z2" s="48"/>
      <c r="AA2" s="785"/>
      <c r="AB2" s="766"/>
      <c r="AC2" s="766"/>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6"/>
      <c r="W3" s="766"/>
      <c r="X3" s="766"/>
      <c r="Y3" s="166" t="s">
        <v>780</v>
      </c>
      <c r="Z3" s="1648" t="str">
        <f>IF('E1 - Invoiced Income'!$V$46&gt;0,"There is a value in one or more columns without supporting narrative in column B","Ok")</f>
        <v>Ok</v>
      </c>
      <c r="AA3" s="782">
        <f>IF(Z3="Ok",0,1)</f>
        <v>0</v>
      </c>
      <c r="AB3" s="766"/>
      <c r="AC3" s="766"/>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9"/>
      <c r="B4" s="1649"/>
      <c r="C4" s="1196"/>
      <c r="D4" s="48"/>
      <c r="E4" s="48"/>
      <c r="F4" s="48"/>
      <c r="G4" s="48"/>
      <c r="H4" s="48"/>
      <c r="I4" s="48"/>
      <c r="J4" s="71"/>
      <c r="K4" s="48"/>
      <c r="L4" s="71"/>
      <c r="M4" s="71"/>
      <c r="N4" s="71"/>
      <c r="O4" s="71"/>
      <c r="P4" s="71"/>
      <c r="Q4" s="71"/>
      <c r="R4" s="71"/>
      <c r="S4" s="71"/>
      <c r="T4" s="71"/>
      <c r="U4" s="71"/>
      <c r="V4" s="766"/>
      <c r="W4" s="766"/>
      <c r="X4" s="766"/>
      <c r="Y4" s="166" t="s">
        <v>781</v>
      </c>
      <c r="Z4" s="1648" t="str">
        <f>IF('E1 - Invoiced Income'!$W$46&gt;0,"There is a value in one or more columns without the WG Contact and Date narrative in column U","Ok")</f>
        <v>Ok</v>
      </c>
      <c r="AA4" s="782">
        <f>IF(Z4="Ok",0,1)</f>
        <v>0</v>
      </c>
      <c r="AB4" s="766"/>
      <c r="AC4" s="766"/>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6" t="str">
        <f>"This Table is currently showing "&amp;$AA$5&amp;" errors"</f>
        <v>This Table is currently showing 0 errors</v>
      </c>
      <c r="D5" s="48"/>
      <c r="E5" s="48"/>
      <c r="F5" s="1196"/>
      <c r="G5" s="48"/>
      <c r="H5" s="48"/>
      <c r="I5" s="48"/>
      <c r="J5" s="71"/>
      <c r="K5" s="48"/>
      <c r="L5" s="71"/>
      <c r="M5" s="71"/>
      <c r="N5" s="71"/>
      <c r="O5" s="71"/>
      <c r="P5" s="71"/>
      <c r="Q5" s="71"/>
      <c r="R5" s="71"/>
      <c r="S5" s="71"/>
      <c r="T5" s="71"/>
      <c r="U5" s="71"/>
      <c r="V5" s="766"/>
      <c r="W5" s="766"/>
      <c r="X5" s="766"/>
      <c r="Y5" s="51"/>
      <c r="Z5" s="257"/>
      <c r="AA5" s="785">
        <f>SUM(AA3:AA4)</f>
        <v>0</v>
      </c>
      <c r="AB5" s="766"/>
      <c r="AC5" s="766"/>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6"/>
      <c r="W6" s="766"/>
      <c r="X6" s="766"/>
      <c r="Y6" s="744"/>
      <c r="Z6" s="744"/>
      <c r="AA6" s="851"/>
      <c r="AB6" s="766"/>
      <c r="AC6" s="766"/>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50"/>
      <c r="D7" s="1650"/>
      <c r="E7" s="1650"/>
      <c r="F7" s="1650"/>
      <c r="G7" s="1650"/>
      <c r="H7" s="1650"/>
      <c r="I7" s="1650"/>
      <c r="J7" s="1651"/>
      <c r="K7" s="1650"/>
      <c r="L7" s="1650"/>
      <c r="M7" s="1650"/>
      <c r="N7" s="1650"/>
      <c r="O7" s="1651"/>
      <c r="P7" s="1651"/>
      <c r="Q7" s="1651"/>
      <c r="R7" s="1651"/>
      <c r="S7" s="1651"/>
      <c r="T7" s="1652"/>
      <c r="U7" s="71"/>
      <c r="V7" s="766"/>
      <c r="W7" s="766"/>
      <c r="X7" s="766"/>
      <c r="Y7" s="766"/>
      <c r="Z7" s="766"/>
      <c r="AA7" s="766"/>
      <c r="AB7" s="766"/>
      <c r="AC7" s="766"/>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2"/>
      <c r="B8" s="1653"/>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4" t="s">
        <v>1202</v>
      </c>
      <c r="V8" s="766"/>
      <c r="W8" s="766"/>
      <c r="X8" s="766"/>
      <c r="Y8" s="766"/>
      <c r="Z8" s="766"/>
      <c r="AA8" s="766"/>
      <c r="AB8" s="766"/>
      <c r="AC8" s="766"/>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5"/>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6"/>
      <c r="V9" s="766"/>
      <c r="W9" s="766"/>
      <c r="X9" s="766"/>
      <c r="Y9" s="766"/>
      <c r="Z9" s="766"/>
      <c r="AA9" s="766"/>
      <c r="AB9" s="766"/>
      <c r="AC9" s="766"/>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7">
        <v>1</v>
      </c>
      <c r="B10" s="1655" t="s">
        <v>786</v>
      </c>
      <c r="C10" s="1658"/>
      <c r="D10" s="1658"/>
      <c r="E10" s="1658"/>
      <c r="F10" s="1658"/>
      <c r="G10" s="1658"/>
      <c r="H10" s="1658"/>
      <c r="I10" s="1658"/>
      <c r="J10" s="1658"/>
      <c r="K10" s="1658"/>
      <c r="L10" s="1658"/>
      <c r="M10" s="1658"/>
      <c r="N10" s="1658"/>
      <c r="O10" s="1658"/>
      <c r="P10" s="1658"/>
      <c r="Q10" s="1658"/>
      <c r="R10" s="1658"/>
      <c r="S10" s="1658"/>
      <c r="T10" s="1659">
        <f>SUM(C10:S10)</f>
        <v>0</v>
      </c>
      <c r="U10" s="157"/>
      <c r="V10" s="766"/>
      <c r="W10" s="766"/>
      <c r="X10" s="766"/>
      <c r="Y10" s="766"/>
      <c r="Z10" s="766"/>
      <c r="AA10" s="766"/>
      <c r="AB10" s="766"/>
      <c r="AC10" s="766"/>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60"/>
      <c r="C11" s="43"/>
      <c r="D11" s="43"/>
      <c r="E11" s="43"/>
      <c r="F11" s="43"/>
      <c r="G11" s="43"/>
      <c r="H11" s="43"/>
      <c r="I11" s="43"/>
      <c r="J11" s="43"/>
      <c r="K11" s="43"/>
      <c r="L11" s="43"/>
      <c r="M11" s="43"/>
      <c r="N11" s="43"/>
      <c r="O11" s="43"/>
      <c r="P11" s="43"/>
      <c r="Q11" s="43"/>
      <c r="R11" s="43"/>
      <c r="S11" s="43"/>
      <c r="T11" s="197"/>
      <c r="U11" s="186"/>
      <c r="V11" s="766"/>
      <c r="W11" s="766"/>
      <c r="X11" s="766"/>
      <c r="Y11" s="766"/>
      <c r="Z11" s="766"/>
      <c r="AA11" s="766"/>
      <c r="AB11" s="766"/>
      <c r="AC11" s="766"/>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60" t="s">
        <v>780</v>
      </c>
      <c r="C12" s="43"/>
      <c r="D12" s="43"/>
      <c r="E12" s="43"/>
      <c r="F12" s="43"/>
      <c r="G12" s="43"/>
      <c r="H12" s="43"/>
      <c r="I12" s="43"/>
      <c r="J12" s="43"/>
      <c r="K12" s="43"/>
      <c r="L12" s="43"/>
      <c r="M12" s="43"/>
      <c r="N12" s="43"/>
      <c r="O12" s="43"/>
      <c r="P12" s="43"/>
      <c r="Q12" s="43"/>
      <c r="R12" s="43"/>
      <c r="S12" s="43"/>
      <c r="T12" s="197"/>
      <c r="U12" s="1661"/>
      <c r="V12" s="766"/>
      <c r="W12" s="766"/>
      <c r="X12" s="766"/>
      <c r="Y12" s="322"/>
      <c r="Z12" s="322"/>
      <c r="AA12" s="766"/>
      <c r="AB12" s="766"/>
      <c r="AC12" s="766"/>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7">
        <v>2</v>
      </c>
      <c r="B13" s="1733" t="s">
        <v>836</v>
      </c>
      <c r="C13" s="1658"/>
      <c r="D13" s="1658"/>
      <c r="E13" s="1658"/>
      <c r="F13" s="1658"/>
      <c r="G13" s="1658"/>
      <c r="H13" s="1658"/>
      <c r="I13" s="1658"/>
      <c r="J13" s="1658"/>
      <c r="K13" s="1658"/>
      <c r="L13" s="1658"/>
      <c r="M13" s="1658"/>
      <c r="N13" s="1658"/>
      <c r="O13" s="1658"/>
      <c r="P13" s="1658"/>
      <c r="Q13" s="1658"/>
      <c r="R13" s="1658"/>
      <c r="S13" s="1658"/>
      <c r="T13" s="1662">
        <f t="shared" ref="T13:T47" si="0">SUM(C13:S13)</f>
        <v>0</v>
      </c>
      <c r="U13" s="1663"/>
      <c r="V13" s="787">
        <f t="shared" ref="V13:V16" si="1">IF(AND(T13&lt;&gt;0,B13=""),1,0)</f>
        <v>0</v>
      </c>
      <c r="W13" s="787">
        <f>IF(AND(T13&lt;&gt;0,U13=""),1,0)</f>
        <v>0</v>
      </c>
      <c r="X13" s="322"/>
      <c r="Y13" s="322"/>
      <c r="Z13" s="322"/>
      <c r="AA13" s="766"/>
      <c r="AB13" s="766"/>
      <c r="AC13" s="766"/>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4" t="s">
        <v>837</v>
      </c>
      <c r="C14" s="1"/>
      <c r="D14" s="1"/>
      <c r="E14" s="1"/>
      <c r="F14" s="1"/>
      <c r="G14" s="1"/>
      <c r="H14" s="1"/>
      <c r="I14" s="1"/>
      <c r="J14" s="1"/>
      <c r="K14" s="1"/>
      <c r="L14" s="1"/>
      <c r="M14" s="1"/>
      <c r="N14" s="1"/>
      <c r="O14" s="1"/>
      <c r="P14" s="1"/>
      <c r="Q14" s="1"/>
      <c r="R14" s="1"/>
      <c r="S14" s="1"/>
      <c r="T14" s="1665">
        <f t="shared" si="0"/>
        <v>0</v>
      </c>
      <c r="U14" s="1666"/>
      <c r="V14" s="787">
        <f t="shared" si="1"/>
        <v>0</v>
      </c>
      <c r="W14" s="787">
        <f t="shared" ref="W14:W16" si="2">IF(AND(T14&lt;&gt;0,U14=""),1,0)</f>
        <v>0</v>
      </c>
      <c r="X14" s="322"/>
      <c r="Y14" s="322"/>
      <c r="Z14" s="322"/>
      <c r="AA14" s="766"/>
      <c r="AB14" s="766"/>
      <c r="AC14" s="766"/>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4" t="s">
        <v>838</v>
      </c>
      <c r="C15" s="1"/>
      <c r="D15" s="1"/>
      <c r="E15" s="1"/>
      <c r="F15" s="1"/>
      <c r="G15" s="1"/>
      <c r="H15" s="1"/>
      <c r="I15" s="1"/>
      <c r="J15" s="1"/>
      <c r="K15" s="1"/>
      <c r="L15" s="1"/>
      <c r="M15" s="1"/>
      <c r="N15" s="1"/>
      <c r="O15" s="1"/>
      <c r="P15" s="1"/>
      <c r="Q15" s="1"/>
      <c r="R15" s="1"/>
      <c r="S15" s="1"/>
      <c r="T15" s="1665">
        <f t="shared" si="0"/>
        <v>0</v>
      </c>
      <c r="U15" s="1666"/>
      <c r="V15" s="787">
        <f t="shared" si="1"/>
        <v>0</v>
      </c>
      <c r="W15" s="787">
        <f t="shared" si="2"/>
        <v>0</v>
      </c>
      <c r="X15" s="322"/>
      <c r="Y15" s="322"/>
      <c r="Z15" s="322"/>
      <c r="AA15" s="766"/>
      <c r="AB15" s="766"/>
      <c r="AC15" s="766"/>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4" t="s">
        <v>866</v>
      </c>
      <c r="C16" s="1"/>
      <c r="D16" s="1"/>
      <c r="E16" s="1"/>
      <c r="F16" s="1"/>
      <c r="G16" s="1"/>
      <c r="H16" s="1"/>
      <c r="I16" s="1"/>
      <c r="J16" s="1"/>
      <c r="K16" s="1"/>
      <c r="L16" s="1"/>
      <c r="M16" s="1"/>
      <c r="N16" s="1"/>
      <c r="O16" s="1"/>
      <c r="P16" s="1"/>
      <c r="Q16" s="1"/>
      <c r="R16" s="1"/>
      <c r="S16" s="1"/>
      <c r="T16" s="1665">
        <f t="shared" si="0"/>
        <v>0</v>
      </c>
      <c r="U16" s="1666"/>
      <c r="V16" s="787">
        <f t="shared" si="1"/>
        <v>0</v>
      </c>
      <c r="W16" s="787">
        <f t="shared" si="2"/>
        <v>0</v>
      </c>
      <c r="X16" s="322"/>
      <c r="Y16" s="322"/>
      <c r="Z16" s="322"/>
      <c r="AA16" s="766"/>
      <c r="AB16" s="766"/>
      <c r="AC16" s="766"/>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4" t="s">
        <v>1231</v>
      </c>
      <c r="C17" s="1"/>
      <c r="D17" s="1"/>
      <c r="E17" s="1"/>
      <c r="F17" s="1"/>
      <c r="G17" s="1"/>
      <c r="H17" s="1"/>
      <c r="I17" s="1"/>
      <c r="J17" s="1"/>
      <c r="K17" s="1"/>
      <c r="L17" s="1"/>
      <c r="M17" s="1"/>
      <c r="N17" s="1"/>
      <c r="O17" s="1"/>
      <c r="P17" s="1"/>
      <c r="Q17" s="1"/>
      <c r="R17" s="1"/>
      <c r="S17" s="1"/>
      <c r="T17" s="1665">
        <f t="shared" si="0"/>
        <v>0</v>
      </c>
      <c r="U17" s="1666"/>
      <c r="V17" s="787">
        <f t="shared" ref="V17:V45" si="3">IF(AND(T19&lt;&gt;0,B19=""),1,0)</f>
        <v>0</v>
      </c>
      <c r="W17" s="787">
        <f t="shared" ref="W17:W45" si="4">IF(AND(T19&lt;&gt;0,U19=""),1,0)</f>
        <v>0</v>
      </c>
      <c r="X17" s="322"/>
      <c r="Y17" s="322"/>
      <c r="Z17" s="322"/>
      <c r="AA17" s="766"/>
      <c r="AB17" s="766"/>
      <c r="AC17" s="766"/>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4" t="s">
        <v>1230</v>
      </c>
      <c r="C18" s="1"/>
      <c r="D18" s="1"/>
      <c r="E18" s="1"/>
      <c r="F18" s="1"/>
      <c r="G18" s="1"/>
      <c r="H18" s="1"/>
      <c r="I18" s="1"/>
      <c r="J18" s="1"/>
      <c r="K18" s="1"/>
      <c r="L18" s="1"/>
      <c r="M18" s="1"/>
      <c r="N18" s="1"/>
      <c r="O18" s="1"/>
      <c r="P18" s="1"/>
      <c r="Q18" s="1"/>
      <c r="R18" s="1"/>
      <c r="S18" s="1"/>
      <c r="T18" s="1665">
        <f t="shared" si="0"/>
        <v>0</v>
      </c>
      <c r="U18" s="1666"/>
      <c r="V18" s="787">
        <f t="shared" si="3"/>
        <v>0</v>
      </c>
      <c r="W18" s="787">
        <f t="shared" si="4"/>
        <v>0</v>
      </c>
      <c r="X18" s="322"/>
      <c r="Y18" s="322"/>
      <c r="Z18" s="322"/>
      <c r="AA18" s="766"/>
      <c r="AB18" s="766"/>
      <c r="AC18" s="766"/>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4" t="s">
        <v>865</v>
      </c>
      <c r="C19" s="1"/>
      <c r="D19" s="1"/>
      <c r="E19" s="1"/>
      <c r="F19" s="1"/>
      <c r="G19" s="1"/>
      <c r="H19" s="1"/>
      <c r="I19" s="1"/>
      <c r="J19" s="1"/>
      <c r="K19" s="1"/>
      <c r="L19" s="1"/>
      <c r="M19" s="1"/>
      <c r="N19" s="1"/>
      <c r="O19" s="1"/>
      <c r="P19" s="1"/>
      <c r="Q19" s="1"/>
      <c r="R19" s="1"/>
      <c r="S19" s="1"/>
      <c r="T19" s="1665">
        <f t="shared" si="0"/>
        <v>0</v>
      </c>
      <c r="U19" s="1666"/>
      <c r="V19" s="787">
        <f t="shared" si="3"/>
        <v>0</v>
      </c>
      <c r="W19" s="787">
        <f t="shared" si="4"/>
        <v>0</v>
      </c>
      <c r="X19" s="322"/>
      <c r="Y19" s="322"/>
      <c r="Z19" s="322"/>
      <c r="AA19" s="766"/>
      <c r="AB19" s="766"/>
      <c r="AC19" s="766"/>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4" t="s">
        <v>867</v>
      </c>
      <c r="C20" s="1"/>
      <c r="D20" s="1"/>
      <c r="E20" s="1"/>
      <c r="F20" s="1"/>
      <c r="G20" s="1"/>
      <c r="H20" s="1"/>
      <c r="I20" s="1"/>
      <c r="J20" s="1"/>
      <c r="K20" s="1"/>
      <c r="L20" s="1"/>
      <c r="M20" s="1"/>
      <c r="N20" s="1"/>
      <c r="O20" s="1"/>
      <c r="P20" s="1"/>
      <c r="Q20" s="1"/>
      <c r="R20" s="1"/>
      <c r="S20" s="1"/>
      <c r="T20" s="1665">
        <f t="shared" si="0"/>
        <v>0</v>
      </c>
      <c r="U20" s="1666"/>
      <c r="V20" s="787">
        <f t="shared" si="3"/>
        <v>0</v>
      </c>
      <c r="W20" s="787">
        <f t="shared" si="4"/>
        <v>0</v>
      </c>
      <c r="X20" s="322"/>
      <c r="Y20" s="322"/>
      <c r="Z20" s="322"/>
      <c r="AA20" s="766"/>
      <c r="AB20" s="766"/>
      <c r="AC20" s="766"/>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4" t="s">
        <v>868</v>
      </c>
      <c r="C21" s="1"/>
      <c r="D21" s="1"/>
      <c r="E21" s="1"/>
      <c r="F21" s="1"/>
      <c r="G21" s="1"/>
      <c r="H21" s="1"/>
      <c r="I21" s="1"/>
      <c r="J21" s="1"/>
      <c r="K21" s="1"/>
      <c r="L21" s="1"/>
      <c r="M21" s="1"/>
      <c r="N21" s="1"/>
      <c r="O21" s="1"/>
      <c r="P21" s="1"/>
      <c r="Q21" s="1"/>
      <c r="R21" s="1"/>
      <c r="S21" s="1"/>
      <c r="T21" s="1665">
        <f t="shared" si="0"/>
        <v>0</v>
      </c>
      <c r="U21" s="1666"/>
      <c r="V21" s="787">
        <f t="shared" si="3"/>
        <v>0</v>
      </c>
      <c r="W21" s="787">
        <f t="shared" si="4"/>
        <v>0</v>
      </c>
      <c r="X21" s="322"/>
      <c r="Y21" s="322"/>
      <c r="Z21" s="322"/>
      <c r="AA21" s="766"/>
      <c r="AB21" s="766"/>
      <c r="AC21" s="766"/>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9" t="s">
        <v>1203</v>
      </c>
      <c r="C22" s="2548"/>
      <c r="D22" s="2548"/>
      <c r="E22" s="2548"/>
      <c r="F22" s="2548"/>
      <c r="G22" s="2548"/>
      <c r="H22" s="2548"/>
      <c r="I22" s="2548"/>
      <c r="J22" s="2548"/>
      <c r="K22" s="2548"/>
      <c r="L22" s="2548"/>
      <c r="M22" s="2548"/>
      <c r="N22" s="2548"/>
      <c r="O22" s="2548"/>
      <c r="P22" s="2548">
        <f>D83</f>
        <v>16930</v>
      </c>
      <c r="Q22" s="2548"/>
      <c r="R22" s="2548"/>
      <c r="S22" s="2548"/>
      <c r="T22" s="1665">
        <f t="shared" si="0"/>
        <v>16930</v>
      </c>
      <c r="U22" s="2553" t="s">
        <v>1206</v>
      </c>
      <c r="V22" s="787">
        <f t="shared" si="3"/>
        <v>0</v>
      </c>
      <c r="W22" s="787">
        <f t="shared" si="4"/>
        <v>0</v>
      </c>
      <c r="X22" s="322"/>
      <c r="Y22" s="322"/>
      <c r="Z22" s="322"/>
      <c r="AA22" s="766"/>
      <c r="AB22" s="766"/>
      <c r="AC22" s="766"/>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4" t="s">
        <v>1229</v>
      </c>
      <c r="C23" s="1"/>
      <c r="D23" s="1"/>
      <c r="E23" s="1"/>
      <c r="F23" s="1"/>
      <c r="G23" s="1"/>
      <c r="H23" s="1"/>
      <c r="I23" s="1"/>
      <c r="J23" s="1"/>
      <c r="K23" s="1"/>
      <c r="L23" s="1"/>
      <c r="M23" s="1"/>
      <c r="N23" s="1"/>
      <c r="O23" s="1"/>
      <c r="P23" s="1"/>
      <c r="Q23" s="1"/>
      <c r="R23" s="1"/>
      <c r="S23" s="1"/>
      <c r="T23" s="1665">
        <f t="shared" si="0"/>
        <v>0</v>
      </c>
      <c r="U23" s="1666"/>
      <c r="V23" s="787">
        <f>IF(AND(T25&lt;&gt;0,B25=""),1,0)</f>
        <v>0</v>
      </c>
      <c r="W23" s="787">
        <f t="shared" si="4"/>
        <v>0</v>
      </c>
      <c r="X23" s="322"/>
      <c r="Y23" s="322"/>
      <c r="Z23" s="322"/>
      <c r="AA23" s="766"/>
      <c r="AB23" s="766"/>
      <c r="AC23" s="766"/>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9" t="s">
        <v>1273</v>
      </c>
      <c r="C24" s="1"/>
      <c r="D24" s="1"/>
      <c r="E24" s="1"/>
      <c r="F24" s="1"/>
      <c r="G24" s="1"/>
      <c r="H24" s="1"/>
      <c r="I24" s="1"/>
      <c r="J24" s="1"/>
      <c r="K24" s="1"/>
      <c r="L24" s="1"/>
      <c r="M24" s="1"/>
      <c r="N24" s="1"/>
      <c r="O24" s="1"/>
      <c r="P24" s="1"/>
      <c r="Q24" s="1"/>
      <c r="R24" s="1"/>
      <c r="S24" s="1"/>
      <c r="T24" s="1665">
        <f t="shared" si="0"/>
        <v>0</v>
      </c>
      <c r="U24" s="1666"/>
      <c r="V24" s="787">
        <f>IF(AND(T26&lt;&gt;0,B26=""),1,0)</f>
        <v>0</v>
      </c>
      <c r="W24" s="787">
        <f t="shared" si="4"/>
        <v>0</v>
      </c>
      <c r="X24" s="322"/>
      <c r="Y24" s="322"/>
      <c r="Z24" s="322"/>
      <c r="AA24" s="766"/>
      <c r="AB24" s="766"/>
      <c r="AC24" s="766"/>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7"/>
      <c r="C25" s="1"/>
      <c r="D25" s="1"/>
      <c r="E25" s="1"/>
      <c r="F25" s="1"/>
      <c r="G25" s="1"/>
      <c r="H25" s="1"/>
      <c r="I25" s="1"/>
      <c r="J25" s="1"/>
      <c r="K25" s="1"/>
      <c r="L25" s="1"/>
      <c r="M25" s="1"/>
      <c r="N25" s="1"/>
      <c r="O25" s="1"/>
      <c r="P25" s="1"/>
      <c r="Q25" s="1"/>
      <c r="R25" s="1"/>
      <c r="S25" s="1"/>
      <c r="T25" s="1665">
        <f t="shared" si="0"/>
        <v>0</v>
      </c>
      <c r="U25" s="1666"/>
      <c r="V25" s="787">
        <f t="shared" si="3"/>
        <v>0</v>
      </c>
      <c r="W25" s="787">
        <f t="shared" si="4"/>
        <v>0</v>
      </c>
      <c r="X25" s="322"/>
      <c r="Y25" s="322"/>
      <c r="Z25" s="322"/>
      <c r="AA25" s="766"/>
      <c r="AB25" s="766"/>
      <c r="AC25" s="766"/>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7"/>
      <c r="C26" s="1"/>
      <c r="D26" s="1"/>
      <c r="E26" s="1"/>
      <c r="F26" s="1"/>
      <c r="G26" s="1"/>
      <c r="H26" s="1"/>
      <c r="I26" s="1"/>
      <c r="J26" s="1"/>
      <c r="K26" s="1"/>
      <c r="L26" s="1"/>
      <c r="M26" s="1"/>
      <c r="N26" s="1"/>
      <c r="O26" s="1"/>
      <c r="P26" s="1"/>
      <c r="Q26" s="1"/>
      <c r="R26" s="1"/>
      <c r="S26" s="1"/>
      <c r="T26" s="1665">
        <f t="shared" si="0"/>
        <v>0</v>
      </c>
      <c r="U26" s="1666"/>
      <c r="V26" s="787">
        <f t="shared" si="3"/>
        <v>0</v>
      </c>
      <c r="W26" s="787">
        <f t="shared" si="4"/>
        <v>0</v>
      </c>
      <c r="X26" s="322"/>
      <c r="Y26" s="322"/>
      <c r="Z26" s="322"/>
      <c r="AA26" s="766"/>
      <c r="AB26" s="766"/>
      <c r="AC26" s="766"/>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4"/>
      <c r="C27" s="1"/>
      <c r="D27" s="1"/>
      <c r="E27" s="1"/>
      <c r="F27" s="1"/>
      <c r="G27" s="1"/>
      <c r="H27" s="1"/>
      <c r="I27" s="1"/>
      <c r="J27" s="1"/>
      <c r="K27" s="1"/>
      <c r="L27" s="1"/>
      <c r="M27" s="1"/>
      <c r="N27" s="1"/>
      <c r="O27" s="1"/>
      <c r="P27" s="1"/>
      <c r="Q27" s="1"/>
      <c r="R27" s="1"/>
      <c r="S27" s="1"/>
      <c r="T27" s="1665">
        <f t="shared" si="0"/>
        <v>0</v>
      </c>
      <c r="U27" s="1666"/>
      <c r="V27" s="787">
        <f t="shared" si="3"/>
        <v>0</v>
      </c>
      <c r="W27" s="787">
        <f t="shared" si="4"/>
        <v>0</v>
      </c>
      <c r="X27" s="322"/>
      <c r="Y27" s="322"/>
      <c r="Z27" s="322"/>
      <c r="AA27" s="766"/>
      <c r="AB27" s="766"/>
      <c r="AC27" s="766"/>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4"/>
      <c r="C28" s="1"/>
      <c r="D28" s="1"/>
      <c r="E28" s="1"/>
      <c r="F28" s="1"/>
      <c r="G28" s="1"/>
      <c r="H28" s="1"/>
      <c r="I28" s="1"/>
      <c r="J28" s="1"/>
      <c r="K28" s="1"/>
      <c r="L28" s="1"/>
      <c r="M28" s="1"/>
      <c r="N28" s="1"/>
      <c r="O28" s="1"/>
      <c r="P28" s="1"/>
      <c r="Q28" s="1"/>
      <c r="R28" s="1"/>
      <c r="S28" s="1"/>
      <c r="T28" s="1665">
        <f t="shared" si="0"/>
        <v>0</v>
      </c>
      <c r="U28" s="1666"/>
      <c r="V28" s="787">
        <f t="shared" si="3"/>
        <v>0</v>
      </c>
      <c r="W28" s="787">
        <f t="shared" si="4"/>
        <v>0</v>
      </c>
      <c r="X28" s="322"/>
      <c r="Y28" s="322"/>
      <c r="Z28" s="322"/>
      <c r="AA28" s="766"/>
      <c r="AB28" s="766"/>
      <c r="AC28" s="766"/>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4"/>
      <c r="C29" s="1"/>
      <c r="D29" s="1"/>
      <c r="E29" s="1"/>
      <c r="F29" s="1"/>
      <c r="G29" s="1"/>
      <c r="H29" s="1"/>
      <c r="I29" s="1"/>
      <c r="J29" s="1"/>
      <c r="K29" s="1"/>
      <c r="L29" s="1"/>
      <c r="M29" s="1"/>
      <c r="N29" s="1"/>
      <c r="O29" s="1"/>
      <c r="P29" s="1"/>
      <c r="Q29" s="1"/>
      <c r="R29" s="1"/>
      <c r="S29" s="1"/>
      <c r="T29" s="1665">
        <f t="shared" si="0"/>
        <v>0</v>
      </c>
      <c r="U29" s="1666"/>
      <c r="V29" s="787">
        <f t="shared" si="3"/>
        <v>0</v>
      </c>
      <c r="W29" s="787">
        <f t="shared" si="4"/>
        <v>0</v>
      </c>
      <c r="X29" s="322"/>
      <c r="Y29" s="322"/>
      <c r="Z29" s="322"/>
      <c r="AA29" s="766"/>
      <c r="AB29" s="766"/>
      <c r="AC29" s="766"/>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4"/>
      <c r="C30" s="1"/>
      <c r="D30" s="1"/>
      <c r="E30" s="1"/>
      <c r="F30" s="1"/>
      <c r="G30" s="1"/>
      <c r="H30" s="1"/>
      <c r="I30" s="1"/>
      <c r="J30" s="1"/>
      <c r="K30" s="1"/>
      <c r="L30" s="1"/>
      <c r="M30" s="1"/>
      <c r="N30" s="1"/>
      <c r="O30" s="1"/>
      <c r="P30" s="1"/>
      <c r="Q30" s="1"/>
      <c r="R30" s="1"/>
      <c r="S30" s="1"/>
      <c r="T30" s="1665">
        <f t="shared" si="0"/>
        <v>0</v>
      </c>
      <c r="U30" s="1666"/>
      <c r="V30" s="787">
        <f t="shared" si="3"/>
        <v>0</v>
      </c>
      <c r="W30" s="787">
        <f t="shared" si="4"/>
        <v>0</v>
      </c>
      <c r="X30" s="322"/>
      <c r="Y30" s="322"/>
      <c r="Z30" s="322"/>
      <c r="AA30" s="766"/>
      <c r="AB30" s="766"/>
      <c r="AC30" s="766"/>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4"/>
      <c r="C31" s="1"/>
      <c r="D31" s="1"/>
      <c r="E31" s="1"/>
      <c r="F31" s="1"/>
      <c r="G31" s="1"/>
      <c r="H31" s="1"/>
      <c r="I31" s="1"/>
      <c r="J31" s="1"/>
      <c r="K31" s="1"/>
      <c r="L31" s="1"/>
      <c r="M31" s="1"/>
      <c r="N31" s="1"/>
      <c r="O31" s="1"/>
      <c r="P31" s="1"/>
      <c r="Q31" s="1"/>
      <c r="R31" s="1"/>
      <c r="S31" s="1"/>
      <c r="T31" s="1665">
        <f t="shared" si="0"/>
        <v>0</v>
      </c>
      <c r="U31" s="1666"/>
      <c r="V31" s="787">
        <f t="shared" si="3"/>
        <v>0</v>
      </c>
      <c r="W31" s="787">
        <f t="shared" si="4"/>
        <v>0</v>
      </c>
      <c r="X31" s="322"/>
      <c r="Y31" s="322"/>
      <c r="Z31" s="322"/>
      <c r="AA31" s="766"/>
      <c r="AB31" s="766"/>
      <c r="AC31" s="766"/>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4"/>
      <c r="C32" s="1"/>
      <c r="D32" s="1"/>
      <c r="E32" s="1"/>
      <c r="F32" s="1"/>
      <c r="G32" s="1"/>
      <c r="H32" s="1"/>
      <c r="I32" s="1"/>
      <c r="J32" s="1"/>
      <c r="K32" s="1"/>
      <c r="L32" s="1"/>
      <c r="M32" s="1"/>
      <c r="N32" s="1"/>
      <c r="O32" s="1"/>
      <c r="P32" s="1"/>
      <c r="Q32" s="1"/>
      <c r="R32" s="1"/>
      <c r="S32" s="1"/>
      <c r="T32" s="1665">
        <f t="shared" si="0"/>
        <v>0</v>
      </c>
      <c r="U32" s="1666"/>
      <c r="V32" s="787">
        <f t="shared" si="3"/>
        <v>0</v>
      </c>
      <c r="W32" s="787">
        <f t="shared" si="4"/>
        <v>0</v>
      </c>
      <c r="X32" s="322"/>
      <c r="Y32" s="322"/>
      <c r="Z32" s="322"/>
      <c r="AA32" s="766"/>
      <c r="AB32" s="766"/>
      <c r="AC32" s="766"/>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4"/>
      <c r="C33" s="1"/>
      <c r="D33" s="1"/>
      <c r="E33" s="1"/>
      <c r="F33" s="1"/>
      <c r="G33" s="1"/>
      <c r="H33" s="1"/>
      <c r="I33" s="1"/>
      <c r="J33" s="1"/>
      <c r="K33" s="1"/>
      <c r="L33" s="1"/>
      <c r="M33" s="1"/>
      <c r="N33" s="1"/>
      <c r="O33" s="1"/>
      <c r="P33" s="1"/>
      <c r="Q33" s="1"/>
      <c r="R33" s="1"/>
      <c r="S33" s="1"/>
      <c r="T33" s="1665">
        <f t="shared" si="0"/>
        <v>0</v>
      </c>
      <c r="U33" s="1666"/>
      <c r="V33" s="787">
        <f t="shared" si="3"/>
        <v>0</v>
      </c>
      <c r="W33" s="787">
        <f t="shared" si="4"/>
        <v>0</v>
      </c>
      <c r="X33" s="322"/>
      <c r="Y33" s="322"/>
      <c r="Z33" s="322"/>
      <c r="AA33" s="766"/>
      <c r="AB33" s="766"/>
      <c r="AC33" s="766"/>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4"/>
      <c r="C34" s="1"/>
      <c r="D34" s="1"/>
      <c r="E34" s="1"/>
      <c r="F34" s="1"/>
      <c r="G34" s="1"/>
      <c r="H34" s="1"/>
      <c r="I34" s="1"/>
      <c r="J34" s="1"/>
      <c r="K34" s="1"/>
      <c r="L34" s="1"/>
      <c r="M34" s="1"/>
      <c r="N34" s="1"/>
      <c r="O34" s="1"/>
      <c r="P34" s="1"/>
      <c r="Q34" s="1"/>
      <c r="R34" s="1"/>
      <c r="S34" s="1"/>
      <c r="T34" s="1665">
        <f t="shared" si="0"/>
        <v>0</v>
      </c>
      <c r="U34" s="1666"/>
      <c r="V34" s="787">
        <f t="shared" si="3"/>
        <v>0</v>
      </c>
      <c r="W34" s="787">
        <f t="shared" si="4"/>
        <v>0</v>
      </c>
      <c r="X34" s="322"/>
      <c r="Y34" s="322"/>
      <c r="Z34" s="322"/>
      <c r="AA34" s="766"/>
      <c r="AB34" s="766"/>
      <c r="AC34" s="766"/>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4"/>
      <c r="C35" s="1"/>
      <c r="D35" s="1"/>
      <c r="E35" s="1"/>
      <c r="F35" s="1"/>
      <c r="G35" s="1"/>
      <c r="H35" s="1"/>
      <c r="I35" s="1"/>
      <c r="J35" s="1"/>
      <c r="K35" s="1"/>
      <c r="L35" s="1"/>
      <c r="M35" s="1"/>
      <c r="N35" s="1"/>
      <c r="O35" s="1"/>
      <c r="P35" s="1"/>
      <c r="Q35" s="1"/>
      <c r="R35" s="1"/>
      <c r="S35" s="1"/>
      <c r="T35" s="1665">
        <f t="shared" si="0"/>
        <v>0</v>
      </c>
      <c r="U35" s="1666"/>
      <c r="V35" s="787">
        <f t="shared" si="3"/>
        <v>0</v>
      </c>
      <c r="W35" s="787">
        <f t="shared" si="4"/>
        <v>0</v>
      </c>
      <c r="X35" s="322"/>
      <c r="Y35" s="322"/>
      <c r="Z35" s="322"/>
      <c r="AA35" s="766"/>
      <c r="AB35" s="766"/>
      <c r="AC35" s="766"/>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4"/>
      <c r="C36" s="1"/>
      <c r="D36" s="1"/>
      <c r="E36" s="1"/>
      <c r="F36" s="1"/>
      <c r="G36" s="1"/>
      <c r="H36" s="1"/>
      <c r="I36" s="1"/>
      <c r="J36" s="1"/>
      <c r="K36" s="1"/>
      <c r="L36" s="1"/>
      <c r="M36" s="1"/>
      <c r="N36" s="1"/>
      <c r="O36" s="1"/>
      <c r="P36" s="1"/>
      <c r="Q36" s="1"/>
      <c r="R36" s="1"/>
      <c r="S36" s="1"/>
      <c r="T36" s="1665">
        <f t="shared" si="0"/>
        <v>0</v>
      </c>
      <c r="U36" s="1666"/>
      <c r="V36" s="787">
        <f t="shared" si="3"/>
        <v>0</v>
      </c>
      <c r="W36" s="787">
        <f t="shared" si="4"/>
        <v>0</v>
      </c>
      <c r="X36" s="322"/>
      <c r="Y36" s="322"/>
      <c r="Z36" s="322"/>
      <c r="AA36" s="766"/>
      <c r="AB36" s="766"/>
      <c r="AC36" s="766"/>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4"/>
      <c r="C37" s="1"/>
      <c r="D37" s="1"/>
      <c r="E37" s="1"/>
      <c r="F37" s="1"/>
      <c r="G37" s="1"/>
      <c r="H37" s="1"/>
      <c r="I37" s="1"/>
      <c r="J37" s="1"/>
      <c r="K37" s="1"/>
      <c r="L37" s="1"/>
      <c r="M37" s="1"/>
      <c r="N37" s="1"/>
      <c r="O37" s="1"/>
      <c r="P37" s="1"/>
      <c r="Q37" s="1"/>
      <c r="R37" s="1"/>
      <c r="S37" s="1"/>
      <c r="T37" s="1665">
        <f t="shared" si="0"/>
        <v>0</v>
      </c>
      <c r="U37" s="1666"/>
      <c r="V37" s="787">
        <f t="shared" si="3"/>
        <v>0</v>
      </c>
      <c r="W37" s="787">
        <f t="shared" si="4"/>
        <v>0</v>
      </c>
      <c r="X37" s="322"/>
      <c r="Y37" s="322"/>
      <c r="Z37" s="322"/>
      <c r="AA37" s="766"/>
      <c r="AB37" s="766"/>
      <c r="AC37" s="766"/>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4"/>
      <c r="C38" s="1"/>
      <c r="D38" s="1"/>
      <c r="E38" s="1"/>
      <c r="F38" s="1"/>
      <c r="G38" s="1"/>
      <c r="H38" s="1"/>
      <c r="I38" s="1"/>
      <c r="J38" s="1"/>
      <c r="K38" s="1"/>
      <c r="L38" s="1"/>
      <c r="M38" s="1"/>
      <c r="N38" s="1"/>
      <c r="O38" s="1"/>
      <c r="P38" s="1"/>
      <c r="Q38" s="1"/>
      <c r="R38" s="1"/>
      <c r="S38" s="1"/>
      <c r="T38" s="1665">
        <f t="shared" si="0"/>
        <v>0</v>
      </c>
      <c r="U38" s="1666"/>
      <c r="V38" s="787">
        <f t="shared" si="3"/>
        <v>0</v>
      </c>
      <c r="W38" s="787">
        <f t="shared" si="4"/>
        <v>0</v>
      </c>
      <c r="X38" s="322"/>
      <c r="Y38" s="322"/>
      <c r="Z38" s="322"/>
      <c r="AA38" s="766"/>
      <c r="AB38" s="766"/>
      <c r="AC38" s="766"/>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4"/>
      <c r="C39" s="1"/>
      <c r="D39" s="1"/>
      <c r="E39" s="1"/>
      <c r="F39" s="1"/>
      <c r="G39" s="1"/>
      <c r="H39" s="1"/>
      <c r="I39" s="1"/>
      <c r="J39" s="1"/>
      <c r="K39" s="1"/>
      <c r="L39" s="1"/>
      <c r="M39" s="1"/>
      <c r="N39" s="1"/>
      <c r="O39" s="1"/>
      <c r="P39" s="1"/>
      <c r="Q39" s="1"/>
      <c r="R39" s="1"/>
      <c r="S39" s="1"/>
      <c r="T39" s="1665">
        <f t="shared" si="0"/>
        <v>0</v>
      </c>
      <c r="U39" s="1666"/>
      <c r="V39" s="787">
        <f t="shared" si="3"/>
        <v>0</v>
      </c>
      <c r="W39" s="787">
        <f t="shared" si="4"/>
        <v>0</v>
      </c>
      <c r="X39" s="322"/>
      <c r="Y39" s="322"/>
      <c r="Z39" s="322"/>
      <c r="AA39" s="766"/>
      <c r="AB39" s="766"/>
      <c r="AC39" s="766"/>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4"/>
      <c r="C40" s="1"/>
      <c r="D40" s="1"/>
      <c r="E40" s="1"/>
      <c r="F40" s="1"/>
      <c r="G40" s="1"/>
      <c r="H40" s="1"/>
      <c r="I40" s="1"/>
      <c r="J40" s="1"/>
      <c r="K40" s="1"/>
      <c r="L40" s="1"/>
      <c r="M40" s="1"/>
      <c r="N40" s="1"/>
      <c r="O40" s="1"/>
      <c r="P40" s="1"/>
      <c r="Q40" s="1"/>
      <c r="R40" s="1"/>
      <c r="S40" s="1"/>
      <c r="T40" s="1665">
        <f t="shared" si="0"/>
        <v>0</v>
      </c>
      <c r="U40" s="1666"/>
      <c r="V40" s="787">
        <f t="shared" si="3"/>
        <v>0</v>
      </c>
      <c r="W40" s="787">
        <f t="shared" si="4"/>
        <v>0</v>
      </c>
      <c r="X40" s="322"/>
      <c r="Y40" s="322"/>
      <c r="Z40" s="322"/>
      <c r="AA40" s="766"/>
      <c r="AB40" s="766"/>
      <c r="AC40" s="766"/>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4"/>
      <c r="C41" s="1"/>
      <c r="D41" s="1"/>
      <c r="E41" s="1"/>
      <c r="F41" s="1"/>
      <c r="G41" s="1"/>
      <c r="H41" s="1"/>
      <c r="I41" s="1"/>
      <c r="J41" s="1"/>
      <c r="K41" s="1"/>
      <c r="L41" s="1"/>
      <c r="M41" s="1"/>
      <c r="N41" s="1"/>
      <c r="O41" s="1"/>
      <c r="P41" s="1"/>
      <c r="Q41" s="1"/>
      <c r="R41" s="1"/>
      <c r="S41" s="1"/>
      <c r="T41" s="1665">
        <f t="shared" si="0"/>
        <v>0</v>
      </c>
      <c r="U41" s="1666"/>
      <c r="V41" s="787">
        <f t="shared" si="3"/>
        <v>0</v>
      </c>
      <c r="W41" s="787">
        <f t="shared" si="4"/>
        <v>0</v>
      </c>
      <c r="X41" s="322"/>
      <c r="Y41" s="322"/>
      <c r="Z41" s="322"/>
      <c r="AA41" s="766"/>
      <c r="AB41" s="766"/>
      <c r="AC41" s="766"/>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4"/>
      <c r="C42" s="1"/>
      <c r="D42" s="1"/>
      <c r="E42" s="1"/>
      <c r="F42" s="1"/>
      <c r="G42" s="1"/>
      <c r="H42" s="1"/>
      <c r="I42" s="1"/>
      <c r="J42" s="1"/>
      <c r="K42" s="1"/>
      <c r="L42" s="1"/>
      <c r="M42" s="1"/>
      <c r="N42" s="1"/>
      <c r="O42" s="1"/>
      <c r="P42" s="1"/>
      <c r="Q42" s="1"/>
      <c r="R42" s="1"/>
      <c r="S42" s="1"/>
      <c r="T42" s="1665">
        <f t="shared" si="0"/>
        <v>0</v>
      </c>
      <c r="U42" s="1666"/>
      <c r="V42" s="787">
        <f t="shared" si="3"/>
        <v>0</v>
      </c>
      <c r="W42" s="787">
        <f t="shared" si="4"/>
        <v>0</v>
      </c>
      <c r="X42" s="322"/>
      <c r="Y42" s="322"/>
      <c r="Z42" s="322"/>
      <c r="AA42" s="766"/>
      <c r="AB42" s="766"/>
      <c r="AC42" s="766"/>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4"/>
      <c r="C43" s="1"/>
      <c r="D43" s="1"/>
      <c r="E43" s="1"/>
      <c r="F43" s="1"/>
      <c r="G43" s="1"/>
      <c r="H43" s="1"/>
      <c r="I43" s="1"/>
      <c r="J43" s="1"/>
      <c r="K43" s="1"/>
      <c r="L43" s="1"/>
      <c r="M43" s="1"/>
      <c r="N43" s="1"/>
      <c r="O43" s="1"/>
      <c r="P43" s="1"/>
      <c r="Q43" s="1"/>
      <c r="R43" s="1"/>
      <c r="S43" s="1"/>
      <c r="T43" s="1665">
        <f t="shared" si="0"/>
        <v>0</v>
      </c>
      <c r="U43" s="1666"/>
      <c r="V43" s="787">
        <f t="shared" si="3"/>
        <v>0</v>
      </c>
      <c r="W43" s="787">
        <f t="shared" si="4"/>
        <v>0</v>
      </c>
      <c r="X43" s="322"/>
      <c r="Y43" s="322"/>
      <c r="Z43" s="322"/>
      <c r="AA43" s="766"/>
      <c r="AB43" s="766"/>
      <c r="AC43" s="766"/>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4"/>
      <c r="C44" s="1"/>
      <c r="D44" s="1"/>
      <c r="E44" s="1"/>
      <c r="F44" s="1"/>
      <c r="G44" s="1"/>
      <c r="H44" s="1"/>
      <c r="I44" s="1"/>
      <c r="J44" s="1"/>
      <c r="K44" s="1"/>
      <c r="L44" s="1"/>
      <c r="M44" s="1"/>
      <c r="N44" s="1"/>
      <c r="O44" s="1"/>
      <c r="P44" s="1"/>
      <c r="Q44" s="1"/>
      <c r="R44" s="1"/>
      <c r="S44" s="1"/>
      <c r="T44" s="1665">
        <f t="shared" si="0"/>
        <v>0</v>
      </c>
      <c r="U44" s="1666"/>
      <c r="V44" s="787">
        <f t="shared" si="3"/>
        <v>0</v>
      </c>
      <c r="W44" s="787">
        <f t="shared" si="4"/>
        <v>0</v>
      </c>
      <c r="X44" s="322"/>
      <c r="Y44" s="322"/>
      <c r="Z44" s="322"/>
      <c r="AA44" s="766"/>
      <c r="AB44" s="766"/>
      <c r="AC44" s="766"/>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4"/>
      <c r="C45" s="1"/>
      <c r="D45" s="1"/>
      <c r="E45" s="1"/>
      <c r="F45" s="1"/>
      <c r="G45" s="1"/>
      <c r="H45" s="1"/>
      <c r="I45" s="1"/>
      <c r="J45" s="1"/>
      <c r="K45" s="1"/>
      <c r="L45" s="1"/>
      <c r="M45" s="1"/>
      <c r="N45" s="1"/>
      <c r="O45" s="1"/>
      <c r="P45" s="1"/>
      <c r="Q45" s="1"/>
      <c r="R45" s="1"/>
      <c r="S45" s="1"/>
      <c r="T45" s="1665">
        <f t="shared" si="0"/>
        <v>0</v>
      </c>
      <c r="U45" s="1666"/>
      <c r="V45" s="787">
        <f t="shared" si="3"/>
        <v>0</v>
      </c>
      <c r="W45" s="787">
        <f t="shared" si="4"/>
        <v>0</v>
      </c>
      <c r="X45" s="322"/>
      <c r="Y45" s="322"/>
      <c r="Z45" s="322"/>
      <c r="AA45" s="766"/>
      <c r="AB45" s="766"/>
      <c r="AC45" s="766"/>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4"/>
      <c r="C46" s="1"/>
      <c r="D46" s="1"/>
      <c r="E46" s="1"/>
      <c r="F46" s="1"/>
      <c r="G46" s="1"/>
      <c r="H46" s="1"/>
      <c r="I46" s="1"/>
      <c r="J46" s="1"/>
      <c r="K46" s="1"/>
      <c r="L46" s="1"/>
      <c r="M46" s="1"/>
      <c r="N46" s="1"/>
      <c r="O46" s="1"/>
      <c r="P46" s="1"/>
      <c r="Q46" s="1"/>
      <c r="R46" s="1"/>
      <c r="S46" s="1"/>
      <c r="T46" s="1665">
        <f t="shared" si="0"/>
        <v>0</v>
      </c>
      <c r="U46" s="1666"/>
      <c r="V46" s="787">
        <f>SUM(V13:V45)</f>
        <v>0</v>
      </c>
      <c r="W46" s="787">
        <f>SUM(W13:W45)</f>
        <v>0</v>
      </c>
      <c r="X46" s="322"/>
      <c r="Y46" s="322"/>
      <c r="Z46" s="322"/>
      <c r="AA46" s="766"/>
      <c r="AB46" s="766"/>
      <c r="AC46" s="766"/>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7"/>
      <c r="C47" s="1668"/>
      <c r="D47" s="1668"/>
      <c r="E47" s="1668"/>
      <c r="F47" s="1668"/>
      <c r="G47" s="1668"/>
      <c r="H47" s="1668"/>
      <c r="I47" s="1668"/>
      <c r="J47" s="1668"/>
      <c r="K47" s="1668"/>
      <c r="L47" s="1668"/>
      <c r="M47" s="1668"/>
      <c r="N47" s="1668"/>
      <c r="O47" s="1668"/>
      <c r="P47" s="1668"/>
      <c r="Q47" s="1668"/>
      <c r="R47" s="1668"/>
      <c r="S47" s="1668"/>
      <c r="T47" s="1665">
        <f t="shared" si="0"/>
        <v>0</v>
      </c>
      <c r="U47" s="1669"/>
      <c r="V47" s="787"/>
      <c r="W47" s="787"/>
      <c r="X47" s="322"/>
      <c r="Y47" s="322"/>
      <c r="Z47" s="322"/>
      <c r="AA47" s="766"/>
      <c r="AB47" s="766"/>
      <c r="AC47" s="766"/>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0</v>
      </c>
      <c r="D48" s="199">
        <f t="shared" si="5"/>
        <v>0</v>
      </c>
      <c r="E48" s="199">
        <f t="shared" si="5"/>
        <v>0</v>
      </c>
      <c r="F48" s="199">
        <f t="shared" si="5"/>
        <v>0</v>
      </c>
      <c r="G48" s="199">
        <f t="shared" si="5"/>
        <v>0</v>
      </c>
      <c r="H48" s="199">
        <f t="shared" si="5"/>
        <v>0</v>
      </c>
      <c r="I48" s="199">
        <f t="shared" si="5"/>
        <v>0</v>
      </c>
      <c r="J48" s="199">
        <f t="shared" si="5"/>
        <v>0</v>
      </c>
      <c r="K48" s="199">
        <f t="shared" si="5"/>
        <v>0</v>
      </c>
      <c r="L48" s="199">
        <f t="shared" si="5"/>
        <v>0</v>
      </c>
      <c r="M48" s="199">
        <f t="shared" si="5"/>
        <v>0</v>
      </c>
      <c r="N48" s="199">
        <f t="shared" si="5"/>
        <v>0</v>
      </c>
      <c r="O48" s="199">
        <f t="shared" si="5"/>
        <v>0</v>
      </c>
      <c r="P48" s="199">
        <f t="shared" si="5"/>
        <v>16930</v>
      </c>
      <c r="Q48" s="199">
        <f t="shared" si="5"/>
        <v>0</v>
      </c>
      <c r="R48" s="199">
        <f t="shared" si="5"/>
        <v>0</v>
      </c>
      <c r="S48" s="199">
        <f t="shared" si="5"/>
        <v>0</v>
      </c>
      <c r="T48" s="199">
        <f t="shared" si="5"/>
        <v>16930</v>
      </c>
      <c r="U48" s="197"/>
      <c r="V48" s="787"/>
      <c r="W48" s="787"/>
      <c r="X48" s="322"/>
      <c r="Y48" s="322"/>
      <c r="Z48" s="322"/>
      <c r="AA48" s="766"/>
      <c r="AB48" s="766"/>
      <c r="AC48" s="766"/>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7"/>
      <c r="W49" s="787"/>
      <c r="X49" s="322"/>
      <c r="Y49" s="322"/>
      <c r="Z49" s="322"/>
      <c r="AA49" s="766"/>
      <c r="AB49" s="766"/>
      <c r="AC49" s="766"/>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7"/>
      <c r="W50" s="787"/>
      <c r="X50" s="322"/>
      <c r="Y50" s="766"/>
      <c r="Z50" s="766"/>
      <c r="AA50" s="766"/>
      <c r="AB50" s="766"/>
      <c r="AC50" s="766"/>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6"/>
      <c r="Y51" s="766"/>
      <c r="Z51" s="766"/>
      <c r="AA51" s="766"/>
      <c r="AB51" s="766"/>
      <c r="AC51" s="766"/>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6"/>
      <c r="Y52" s="766"/>
      <c r="Z52" s="766"/>
      <c r="AA52" s="766"/>
      <c r="AB52" s="766"/>
      <c r="AC52" s="766"/>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1" t="s">
        <v>1414</v>
      </c>
      <c r="C53" s="24">
        <v>0</v>
      </c>
      <c r="D53" s="2526">
        <v>15440</v>
      </c>
      <c r="E53" s="2537">
        <f>C53+D53</f>
        <v>15440</v>
      </c>
      <c r="F53" s="2540"/>
      <c r="G53" s="2541"/>
      <c r="H53" s="2541"/>
      <c r="I53" s="2542"/>
      <c r="J53" s="71"/>
      <c r="K53" s="71"/>
      <c r="L53" s="71"/>
      <c r="M53" s="71"/>
      <c r="N53" s="71"/>
      <c r="O53" s="71"/>
      <c r="P53" s="71"/>
      <c r="Q53" s="71"/>
      <c r="R53" s="71"/>
      <c r="S53" s="71"/>
      <c r="T53" s="71"/>
      <c r="U53" s="71"/>
      <c r="V53" s="155"/>
      <c r="W53" s="155"/>
      <c r="X53" s="766"/>
      <c r="Y53" s="766"/>
      <c r="Z53" s="766"/>
      <c r="AA53" s="766"/>
      <c r="AB53" s="766"/>
      <c r="AC53" s="766"/>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5" t="s">
        <v>1316</v>
      </c>
      <c r="C54" s="25">
        <v>0</v>
      </c>
      <c r="D54" s="2527">
        <v>1490</v>
      </c>
      <c r="E54" s="2538">
        <f t="shared" ref="E54:E82" si="6">C54+D54</f>
        <v>1490</v>
      </c>
      <c r="F54" s="2543"/>
      <c r="G54" s="2539"/>
      <c r="H54" s="2539"/>
      <c r="I54" s="2544"/>
      <c r="J54" s="71"/>
      <c r="K54" s="71"/>
      <c r="L54" s="71"/>
      <c r="M54" s="71"/>
      <c r="N54" s="71"/>
      <c r="O54" s="71"/>
      <c r="P54" s="71"/>
      <c r="Q54" s="71"/>
      <c r="R54" s="71"/>
      <c r="S54" s="71"/>
      <c r="T54" s="71"/>
      <c r="U54" s="71"/>
      <c r="V54" s="155"/>
      <c r="W54" s="155"/>
      <c r="X54" s="766"/>
      <c r="Y54" s="766"/>
      <c r="Z54" s="766"/>
      <c r="AA54" s="766"/>
      <c r="AB54" s="766"/>
      <c r="AC54" s="766"/>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5" t="s">
        <v>1225</v>
      </c>
      <c r="C55" s="25">
        <v>0</v>
      </c>
      <c r="D55" s="2527">
        <v>0</v>
      </c>
      <c r="E55" s="2538">
        <f t="shared" si="6"/>
        <v>0</v>
      </c>
      <c r="F55" s="2543"/>
      <c r="G55" s="2539"/>
      <c r="H55" s="2539"/>
      <c r="I55" s="2544"/>
      <c r="J55" s="71"/>
      <c r="K55" s="71"/>
      <c r="L55" s="71"/>
      <c r="M55" s="71"/>
      <c r="N55" s="71"/>
      <c r="O55" s="71"/>
      <c r="P55" s="71"/>
      <c r="Q55" s="71"/>
      <c r="R55" s="71"/>
      <c r="S55" s="71"/>
      <c r="T55" s="71"/>
      <c r="U55" s="71"/>
      <c r="V55" s="155"/>
      <c r="W55" s="155"/>
      <c r="X55" s="766"/>
      <c r="Y55" s="766"/>
      <c r="Z55" s="766"/>
      <c r="AA55" s="766"/>
      <c r="AB55" s="766"/>
      <c r="AC55" s="766"/>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5" t="s">
        <v>1253</v>
      </c>
      <c r="C56" s="25">
        <v>0</v>
      </c>
      <c r="D56" s="2527">
        <v>0</v>
      </c>
      <c r="E56" s="2538">
        <f t="shared" si="6"/>
        <v>0</v>
      </c>
      <c r="F56" s="2543"/>
      <c r="G56" s="2539"/>
      <c r="H56" s="2539"/>
      <c r="I56" s="2544"/>
      <c r="J56" s="71"/>
      <c r="K56" s="71"/>
      <c r="L56" s="71"/>
      <c r="M56" s="71"/>
      <c r="N56" s="71"/>
      <c r="O56" s="71"/>
      <c r="P56" s="71"/>
      <c r="Q56" s="71"/>
      <c r="R56" s="71"/>
      <c r="S56" s="71"/>
      <c r="T56" s="71"/>
      <c r="U56" s="71"/>
      <c r="V56" s="155"/>
      <c r="W56" s="155"/>
      <c r="X56" s="766"/>
      <c r="Y56" s="766"/>
      <c r="Z56" s="766"/>
      <c r="AA56" s="766"/>
      <c r="AB56" s="766"/>
      <c r="AC56" s="766"/>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6"/>
      <c r="C57" s="25"/>
      <c r="D57" s="2527"/>
      <c r="E57" s="2538">
        <f t="shared" si="6"/>
        <v>0</v>
      </c>
      <c r="F57" s="2543"/>
      <c r="G57" s="2539"/>
      <c r="H57" s="2539"/>
      <c r="I57" s="2544"/>
      <c r="J57" s="71"/>
      <c r="K57" s="71"/>
      <c r="L57" s="71"/>
      <c r="M57" s="71"/>
      <c r="N57" s="71"/>
      <c r="O57" s="71"/>
      <c r="P57" s="71"/>
      <c r="Q57" s="71"/>
      <c r="R57" s="71"/>
      <c r="S57" s="71"/>
      <c r="T57" s="71"/>
      <c r="U57" s="71"/>
      <c r="V57" s="155"/>
      <c r="W57" s="155"/>
      <c r="X57" s="766"/>
      <c r="Y57" s="766"/>
      <c r="Z57" s="766"/>
      <c r="AA57" s="766"/>
      <c r="AB57" s="766"/>
      <c r="AC57" s="766"/>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6"/>
      <c r="C58" s="25"/>
      <c r="D58" s="2527"/>
      <c r="E58" s="2538">
        <f t="shared" si="6"/>
        <v>0</v>
      </c>
      <c r="F58" s="2543"/>
      <c r="G58" s="2539"/>
      <c r="H58" s="2539"/>
      <c r="I58" s="2544"/>
      <c r="J58" s="71"/>
      <c r="K58" s="71"/>
      <c r="L58" s="71"/>
      <c r="M58" s="71"/>
      <c r="N58" s="71"/>
      <c r="O58" s="71"/>
      <c r="P58" s="71"/>
      <c r="Q58" s="71"/>
      <c r="R58" s="71"/>
      <c r="S58" s="71"/>
      <c r="T58" s="71"/>
      <c r="U58" s="71"/>
      <c r="V58" s="155"/>
      <c r="W58" s="155"/>
      <c r="X58" s="766"/>
      <c r="Y58" s="766"/>
      <c r="Z58" s="766"/>
      <c r="AA58" s="766"/>
      <c r="AB58" s="766"/>
      <c r="AC58" s="766"/>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6"/>
      <c r="C59" s="25"/>
      <c r="D59" s="2527"/>
      <c r="E59" s="2538">
        <f t="shared" si="6"/>
        <v>0</v>
      </c>
      <c r="F59" s="2543"/>
      <c r="G59" s="2539"/>
      <c r="H59" s="2539"/>
      <c r="I59" s="2544"/>
      <c r="J59" s="71"/>
      <c r="K59" s="71"/>
      <c r="L59" s="71"/>
      <c r="M59" s="71"/>
      <c r="N59" s="71"/>
      <c r="O59" s="71"/>
      <c r="P59" s="71"/>
      <c r="Q59" s="71"/>
      <c r="R59" s="71"/>
      <c r="S59" s="71"/>
      <c r="T59" s="71"/>
      <c r="U59" s="71"/>
      <c r="V59" s="155"/>
      <c r="W59" s="155"/>
      <c r="X59" s="766"/>
      <c r="Y59" s="766"/>
      <c r="Z59" s="766"/>
      <c r="AA59" s="766"/>
      <c r="AB59" s="766"/>
      <c r="AC59" s="766"/>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7"/>
      <c r="E60" s="2538">
        <f t="shared" si="6"/>
        <v>0</v>
      </c>
      <c r="F60" s="2543"/>
      <c r="G60" s="2539"/>
      <c r="H60" s="2539"/>
      <c r="I60" s="2544"/>
      <c r="J60" s="71"/>
      <c r="K60" s="71"/>
      <c r="L60" s="71"/>
      <c r="M60" s="71"/>
      <c r="N60" s="71"/>
      <c r="O60" s="71"/>
      <c r="P60" s="71"/>
      <c r="Q60" s="71"/>
      <c r="R60" s="71"/>
      <c r="S60" s="71"/>
      <c r="T60" s="71"/>
      <c r="U60" s="71"/>
      <c r="V60" s="155"/>
      <c r="W60" s="155"/>
      <c r="X60" s="766"/>
      <c r="Y60" s="766"/>
      <c r="Z60" s="766"/>
      <c r="AA60" s="766"/>
      <c r="AB60" s="766"/>
      <c r="AC60" s="766"/>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7"/>
      <c r="E61" s="2538">
        <f t="shared" si="6"/>
        <v>0</v>
      </c>
      <c r="F61" s="2543"/>
      <c r="G61" s="2539"/>
      <c r="H61" s="2539"/>
      <c r="I61" s="2544"/>
      <c r="J61" s="71"/>
      <c r="K61" s="71"/>
      <c r="L61" s="71"/>
      <c r="M61" s="71"/>
      <c r="N61" s="71"/>
      <c r="O61" s="71"/>
      <c r="P61" s="71"/>
      <c r="Q61" s="71"/>
      <c r="R61" s="71"/>
      <c r="S61" s="71"/>
      <c r="T61" s="71"/>
      <c r="U61" s="71"/>
      <c r="V61" s="155"/>
      <c r="W61" s="155"/>
      <c r="X61" s="766"/>
      <c r="Y61" s="766"/>
      <c r="Z61" s="766"/>
      <c r="AA61" s="766"/>
      <c r="AB61" s="766"/>
      <c r="AC61" s="766"/>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7"/>
      <c r="E62" s="2538">
        <f t="shared" si="6"/>
        <v>0</v>
      </c>
      <c r="F62" s="2543"/>
      <c r="G62" s="2539"/>
      <c r="H62" s="2539"/>
      <c r="I62" s="2544"/>
      <c r="J62" s="71"/>
      <c r="K62" s="71"/>
      <c r="L62" s="71"/>
      <c r="M62" s="71"/>
      <c r="N62" s="71"/>
      <c r="O62" s="71"/>
      <c r="P62" s="71"/>
      <c r="Q62" s="71"/>
      <c r="R62" s="71"/>
      <c r="S62" s="71"/>
      <c r="T62" s="71"/>
      <c r="U62" s="71"/>
      <c r="V62" s="155"/>
      <c r="W62" s="155"/>
      <c r="X62" s="766"/>
      <c r="Y62" s="766"/>
      <c r="Z62" s="766"/>
      <c r="AA62" s="766"/>
      <c r="AB62" s="766"/>
      <c r="AC62" s="766"/>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7"/>
      <c r="E63" s="2538">
        <f t="shared" ref="E63:E71" si="8">C63+D63</f>
        <v>0</v>
      </c>
      <c r="F63" s="2543"/>
      <c r="G63" s="2539"/>
      <c r="H63" s="2539"/>
      <c r="I63" s="2544"/>
      <c r="J63" s="71"/>
      <c r="K63" s="71"/>
      <c r="L63" s="71"/>
      <c r="M63" s="71"/>
      <c r="N63" s="71"/>
      <c r="O63" s="71"/>
      <c r="P63" s="71"/>
      <c r="Q63" s="71"/>
      <c r="R63" s="71"/>
      <c r="S63" s="71"/>
      <c r="T63" s="71"/>
      <c r="U63" s="71"/>
      <c r="V63" s="155"/>
      <c r="W63" s="155"/>
      <c r="X63" s="766"/>
      <c r="Y63" s="766"/>
      <c r="Z63" s="766"/>
      <c r="AA63" s="766"/>
      <c r="AB63" s="766"/>
      <c r="AC63" s="766"/>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7"/>
      <c r="E64" s="2538">
        <f t="shared" si="8"/>
        <v>0</v>
      </c>
      <c r="F64" s="2543"/>
      <c r="G64" s="2539"/>
      <c r="H64" s="2539"/>
      <c r="I64" s="2544"/>
      <c r="J64" s="71"/>
      <c r="K64" s="71"/>
      <c r="L64" s="71"/>
      <c r="M64" s="71"/>
      <c r="N64" s="71"/>
      <c r="O64" s="71"/>
      <c r="P64" s="71"/>
      <c r="Q64" s="71"/>
      <c r="R64" s="71"/>
      <c r="S64" s="71"/>
      <c r="T64" s="71"/>
      <c r="U64" s="71"/>
      <c r="V64" s="155"/>
      <c r="W64" s="155"/>
      <c r="X64" s="766"/>
      <c r="Y64" s="766"/>
      <c r="Z64" s="766"/>
      <c r="AA64" s="766"/>
      <c r="AB64" s="766"/>
      <c r="AC64" s="766"/>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7"/>
      <c r="E65" s="2538">
        <f t="shared" si="8"/>
        <v>0</v>
      </c>
      <c r="F65" s="2543"/>
      <c r="G65" s="2539"/>
      <c r="H65" s="2539"/>
      <c r="I65" s="2544"/>
      <c r="J65" s="71"/>
      <c r="K65" s="71"/>
      <c r="L65" s="71"/>
      <c r="M65" s="71"/>
      <c r="N65" s="71"/>
      <c r="O65" s="71"/>
      <c r="P65" s="71"/>
      <c r="Q65" s="71"/>
      <c r="R65" s="71"/>
      <c r="S65" s="71"/>
      <c r="T65" s="71"/>
      <c r="U65" s="71"/>
      <c r="V65" s="155"/>
      <c r="W65" s="155"/>
      <c r="X65" s="766"/>
      <c r="Y65" s="766"/>
      <c r="Z65" s="766"/>
      <c r="AA65" s="766"/>
      <c r="AB65" s="766"/>
      <c r="AC65" s="766"/>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7"/>
      <c r="E66" s="2538">
        <f t="shared" si="8"/>
        <v>0</v>
      </c>
      <c r="F66" s="2543"/>
      <c r="G66" s="2539"/>
      <c r="H66" s="2539"/>
      <c r="I66" s="2544"/>
      <c r="J66" s="71"/>
      <c r="K66" s="71"/>
      <c r="L66" s="71"/>
      <c r="M66" s="71"/>
      <c r="N66" s="71"/>
      <c r="O66" s="71"/>
      <c r="P66" s="71"/>
      <c r="Q66" s="71"/>
      <c r="R66" s="71"/>
      <c r="S66" s="71"/>
      <c r="T66" s="71"/>
      <c r="U66" s="71"/>
      <c r="V66" s="766"/>
      <c r="W66" s="766"/>
      <c r="X66" s="766"/>
      <c r="Y66" s="766"/>
      <c r="Z66" s="766"/>
      <c r="AA66" s="766"/>
      <c r="AB66" s="766"/>
      <c r="AC66" s="766"/>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7"/>
      <c r="E67" s="2538">
        <f t="shared" si="8"/>
        <v>0</v>
      </c>
      <c r="F67" s="2543"/>
      <c r="G67" s="2539"/>
      <c r="H67" s="2539"/>
      <c r="I67" s="2544"/>
      <c r="J67" s="71"/>
      <c r="K67" s="71"/>
      <c r="L67" s="71"/>
      <c r="M67" s="71"/>
      <c r="N67" s="71"/>
      <c r="O67" s="71"/>
      <c r="P67" s="71"/>
      <c r="Q67" s="71"/>
      <c r="R67" s="71"/>
      <c r="S67" s="71"/>
      <c r="T67" s="71"/>
      <c r="U67" s="71"/>
      <c r="V67" s="766"/>
      <c r="W67" s="766"/>
      <c r="X67" s="766"/>
      <c r="Y67" s="766"/>
      <c r="Z67" s="766"/>
      <c r="AA67" s="766"/>
      <c r="AB67" s="766"/>
      <c r="AC67" s="766"/>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7"/>
      <c r="E68" s="2538">
        <f t="shared" si="8"/>
        <v>0</v>
      </c>
      <c r="F68" s="2543"/>
      <c r="G68" s="2539"/>
      <c r="H68" s="2539"/>
      <c r="I68" s="2544"/>
      <c r="J68" s="71"/>
      <c r="K68" s="71"/>
      <c r="L68" s="71"/>
      <c r="M68" s="71"/>
      <c r="N68" s="71"/>
      <c r="O68" s="71"/>
      <c r="P68" s="71"/>
      <c r="Q68" s="71"/>
      <c r="R68" s="71"/>
      <c r="S68" s="71"/>
      <c r="T68" s="71"/>
      <c r="U68" s="71"/>
      <c r="V68" s="766"/>
      <c r="W68" s="766"/>
      <c r="X68" s="766"/>
      <c r="Y68" s="766"/>
      <c r="Z68" s="766"/>
      <c r="AA68" s="766"/>
      <c r="AB68" s="766"/>
      <c r="AC68" s="766"/>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7"/>
      <c r="E69" s="2538">
        <f t="shared" si="8"/>
        <v>0</v>
      </c>
      <c r="F69" s="2543"/>
      <c r="G69" s="2539"/>
      <c r="H69" s="2539"/>
      <c r="I69" s="2544"/>
      <c r="J69" s="71"/>
      <c r="K69" s="71"/>
      <c r="L69" s="71"/>
      <c r="M69" s="71"/>
      <c r="N69" s="71"/>
      <c r="O69" s="71"/>
      <c r="P69" s="71"/>
      <c r="Q69" s="71"/>
      <c r="R69" s="71"/>
      <c r="S69" s="71"/>
      <c r="T69" s="71"/>
      <c r="U69" s="71"/>
      <c r="V69" s="766"/>
      <c r="W69" s="766"/>
      <c r="X69" s="766"/>
      <c r="Y69" s="766"/>
      <c r="Z69" s="766"/>
      <c r="AA69" s="766"/>
      <c r="AB69" s="766"/>
      <c r="AC69" s="766"/>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7"/>
      <c r="E70" s="2538">
        <f t="shared" si="8"/>
        <v>0</v>
      </c>
      <c r="F70" s="2543"/>
      <c r="G70" s="2539"/>
      <c r="H70" s="2539"/>
      <c r="I70" s="2544"/>
      <c r="J70" s="71"/>
      <c r="K70" s="71"/>
      <c r="L70" s="71"/>
      <c r="M70" s="71"/>
      <c r="N70" s="71"/>
      <c r="O70" s="71"/>
      <c r="P70" s="71"/>
      <c r="Q70" s="71"/>
      <c r="R70" s="71"/>
      <c r="S70" s="71"/>
      <c r="T70" s="71"/>
      <c r="U70" s="71"/>
      <c r="V70" s="155"/>
      <c r="W70" s="155"/>
      <c r="X70" s="766"/>
      <c r="Y70" s="766"/>
      <c r="Z70" s="766"/>
      <c r="AA70" s="766"/>
      <c r="AB70" s="766"/>
      <c r="AC70" s="766"/>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7"/>
      <c r="E71" s="2538">
        <f t="shared" si="8"/>
        <v>0</v>
      </c>
      <c r="F71" s="2543"/>
      <c r="G71" s="2539"/>
      <c r="H71" s="2539"/>
      <c r="I71" s="2544"/>
      <c r="J71" s="71"/>
      <c r="K71" s="71"/>
      <c r="L71" s="71"/>
      <c r="M71" s="71"/>
      <c r="N71" s="71"/>
      <c r="O71" s="71"/>
      <c r="P71" s="71"/>
      <c r="Q71" s="71"/>
      <c r="R71" s="71"/>
      <c r="S71" s="71"/>
      <c r="T71" s="71"/>
      <c r="U71" s="71"/>
      <c r="V71" s="155"/>
      <c r="W71" s="155"/>
      <c r="X71" s="766"/>
      <c r="Y71" s="766"/>
      <c r="Z71" s="766"/>
      <c r="AA71" s="766"/>
      <c r="AB71" s="766"/>
      <c r="AC71" s="766"/>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7"/>
      <c r="E72" s="2538">
        <f>C72+D72</f>
        <v>0</v>
      </c>
      <c r="F72" s="2543"/>
      <c r="G72" s="2539"/>
      <c r="H72" s="2539"/>
      <c r="I72" s="2544"/>
      <c r="J72" s="71"/>
      <c r="K72" s="71"/>
      <c r="L72" s="71"/>
      <c r="M72" s="71"/>
      <c r="N72" s="71"/>
      <c r="O72" s="71"/>
      <c r="P72" s="71"/>
      <c r="Q72" s="71"/>
      <c r="R72" s="71"/>
      <c r="S72" s="71"/>
      <c r="T72" s="71"/>
      <c r="U72" s="71"/>
      <c r="V72" s="155"/>
      <c r="W72" s="155"/>
      <c r="X72" s="766"/>
      <c r="Y72" s="766"/>
      <c r="Z72" s="766"/>
      <c r="AA72" s="766"/>
      <c r="AB72" s="766"/>
      <c r="AC72" s="766"/>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7"/>
      <c r="E73" s="2538">
        <f t="shared" si="6"/>
        <v>0</v>
      </c>
      <c r="F73" s="2543"/>
      <c r="G73" s="2539"/>
      <c r="H73" s="2539"/>
      <c r="I73" s="2544"/>
      <c r="J73" s="71"/>
      <c r="K73" s="71"/>
      <c r="L73" s="71"/>
      <c r="M73" s="71"/>
      <c r="N73" s="71"/>
      <c r="O73" s="71"/>
      <c r="P73" s="71"/>
      <c r="Q73" s="71"/>
      <c r="R73" s="71"/>
      <c r="S73" s="71"/>
      <c r="T73" s="71"/>
      <c r="U73" s="71"/>
      <c r="V73" s="155"/>
      <c r="W73" s="155"/>
      <c r="X73" s="766"/>
      <c r="Y73" s="766"/>
      <c r="Z73" s="766"/>
      <c r="AA73" s="766"/>
      <c r="AB73" s="766"/>
      <c r="AC73" s="766"/>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7"/>
      <c r="E74" s="2538">
        <f t="shared" si="6"/>
        <v>0</v>
      </c>
      <c r="F74" s="2543"/>
      <c r="G74" s="2539"/>
      <c r="H74" s="2539"/>
      <c r="I74" s="2544"/>
      <c r="J74" s="71"/>
      <c r="K74" s="71"/>
      <c r="L74" s="71"/>
      <c r="M74" s="71"/>
      <c r="N74" s="71"/>
      <c r="O74" s="71"/>
      <c r="P74" s="71"/>
      <c r="Q74" s="71"/>
      <c r="R74" s="71"/>
      <c r="S74" s="71"/>
      <c r="T74" s="71"/>
      <c r="U74" s="71"/>
      <c r="V74" s="155"/>
      <c r="W74" s="155"/>
      <c r="X74" s="766"/>
      <c r="Y74" s="766"/>
      <c r="Z74" s="766"/>
      <c r="AA74" s="766"/>
      <c r="AB74" s="766"/>
      <c r="AC74" s="766"/>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7"/>
      <c r="E75" s="2538">
        <f t="shared" si="6"/>
        <v>0</v>
      </c>
      <c r="F75" s="2543"/>
      <c r="G75" s="2539"/>
      <c r="H75" s="2539"/>
      <c r="I75" s="2544"/>
      <c r="J75" s="71"/>
      <c r="K75" s="71"/>
      <c r="L75" s="71"/>
      <c r="M75" s="71"/>
      <c r="N75" s="71"/>
      <c r="O75" s="71"/>
      <c r="P75" s="71"/>
      <c r="Q75" s="71"/>
      <c r="R75" s="71"/>
      <c r="S75" s="71"/>
      <c r="T75" s="71"/>
      <c r="U75" s="71"/>
      <c r="V75" s="766"/>
      <c r="W75" s="766"/>
      <c r="X75" s="766"/>
      <c r="Y75" s="766"/>
      <c r="Z75" s="766"/>
      <c r="AA75" s="766"/>
      <c r="AB75" s="766"/>
      <c r="AC75" s="766"/>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7"/>
      <c r="E76" s="2538">
        <f t="shared" si="6"/>
        <v>0</v>
      </c>
      <c r="F76" s="2543"/>
      <c r="G76" s="2539"/>
      <c r="H76" s="2539"/>
      <c r="I76" s="2544"/>
      <c r="J76" s="71"/>
      <c r="K76" s="71"/>
      <c r="L76" s="71"/>
      <c r="M76" s="71"/>
      <c r="N76" s="71"/>
      <c r="O76" s="71"/>
      <c r="P76" s="71"/>
      <c r="Q76" s="71"/>
      <c r="R76" s="71"/>
      <c r="S76" s="71"/>
      <c r="T76" s="71"/>
      <c r="U76" s="71"/>
      <c r="V76" s="766"/>
      <c r="W76" s="766"/>
      <c r="X76" s="766"/>
      <c r="Y76" s="766"/>
      <c r="Z76" s="766"/>
      <c r="AA76" s="766"/>
      <c r="AB76" s="766"/>
      <c r="AC76" s="766"/>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7"/>
      <c r="E77" s="2538">
        <f t="shared" si="6"/>
        <v>0</v>
      </c>
      <c r="F77" s="2543"/>
      <c r="G77" s="2539"/>
      <c r="H77" s="2539"/>
      <c r="I77" s="2544"/>
      <c r="J77" s="71"/>
      <c r="K77" s="71"/>
      <c r="L77" s="71"/>
      <c r="M77" s="71"/>
      <c r="N77" s="71"/>
      <c r="O77" s="71"/>
      <c r="P77" s="71"/>
      <c r="Q77" s="71"/>
      <c r="R77" s="71"/>
      <c r="S77" s="71"/>
      <c r="T77" s="71"/>
      <c r="U77" s="71"/>
      <c r="V77" s="766"/>
      <c r="W77" s="766"/>
      <c r="X77" s="766"/>
      <c r="Y77" s="766"/>
      <c r="Z77" s="766"/>
      <c r="AA77" s="766"/>
      <c r="AB77" s="766"/>
      <c r="AC77" s="766"/>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7"/>
      <c r="E78" s="2538">
        <f t="shared" si="6"/>
        <v>0</v>
      </c>
      <c r="F78" s="2543"/>
      <c r="G78" s="2539"/>
      <c r="H78" s="2539"/>
      <c r="I78" s="2544"/>
      <c r="J78" s="71"/>
      <c r="K78" s="71"/>
      <c r="L78" s="71"/>
      <c r="M78" s="71"/>
      <c r="N78" s="71"/>
      <c r="O78" s="71"/>
      <c r="P78" s="71"/>
      <c r="Q78" s="71"/>
      <c r="R78" s="71"/>
      <c r="S78" s="71"/>
      <c r="T78" s="71"/>
      <c r="U78" s="71"/>
      <c r="V78" s="766"/>
      <c r="W78" s="766"/>
      <c r="X78" s="766"/>
      <c r="Y78" s="766"/>
      <c r="Z78" s="766"/>
      <c r="AA78" s="766"/>
      <c r="AB78" s="766"/>
      <c r="AC78" s="766"/>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7"/>
      <c r="E79" s="2538">
        <f t="shared" si="6"/>
        <v>0</v>
      </c>
      <c r="F79" s="2543"/>
      <c r="G79" s="2539"/>
      <c r="H79" s="2539"/>
      <c r="I79" s="2544"/>
      <c r="J79" s="71"/>
      <c r="K79" s="71"/>
      <c r="L79" s="71"/>
      <c r="M79" s="71"/>
      <c r="N79" s="71"/>
      <c r="O79" s="71"/>
      <c r="P79" s="71"/>
      <c r="Q79" s="71"/>
      <c r="R79" s="71"/>
      <c r="S79" s="71"/>
      <c r="T79" s="71"/>
      <c r="U79" s="71"/>
      <c r="V79" s="766"/>
      <c r="W79" s="766"/>
      <c r="X79" s="766"/>
      <c r="Y79" s="766"/>
      <c r="Z79" s="766"/>
      <c r="AA79" s="766"/>
      <c r="AB79" s="766"/>
      <c r="AC79" s="766"/>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7"/>
      <c r="E80" s="2538">
        <f t="shared" si="6"/>
        <v>0</v>
      </c>
      <c r="F80" s="2543"/>
      <c r="G80" s="2539"/>
      <c r="H80" s="2539"/>
      <c r="I80" s="2544"/>
      <c r="J80" s="71"/>
      <c r="K80" s="71"/>
      <c r="L80" s="71"/>
      <c r="M80" s="71"/>
      <c r="N80" s="71"/>
      <c r="O80" s="71"/>
      <c r="P80" s="71"/>
      <c r="Q80" s="71"/>
      <c r="R80" s="71"/>
      <c r="S80" s="71"/>
      <c r="T80" s="71"/>
      <c r="U80" s="71"/>
      <c r="V80" s="766"/>
      <c r="W80" s="766"/>
      <c r="X80" s="766"/>
      <c r="Y80" s="766"/>
      <c r="Z80" s="766"/>
      <c r="AA80" s="766"/>
      <c r="AB80" s="766"/>
      <c r="AC80" s="766"/>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7"/>
      <c r="E81" s="2538">
        <f t="shared" si="6"/>
        <v>0</v>
      </c>
      <c r="F81" s="2543"/>
      <c r="G81" s="2539"/>
      <c r="H81" s="2539"/>
      <c r="I81" s="2544"/>
      <c r="J81" s="71"/>
      <c r="K81" s="71"/>
      <c r="L81" s="71"/>
      <c r="M81" s="71"/>
      <c r="N81" s="71"/>
      <c r="O81" s="71"/>
      <c r="P81" s="71"/>
      <c r="Q81" s="71"/>
      <c r="R81" s="71"/>
      <c r="S81" s="71"/>
      <c r="T81" s="71"/>
      <c r="U81" s="71"/>
      <c r="V81" s="766"/>
      <c r="W81" s="766"/>
      <c r="X81" s="766"/>
      <c r="Y81" s="766"/>
      <c r="Z81" s="766"/>
      <c r="AA81" s="766"/>
      <c r="AB81" s="766"/>
      <c r="AC81" s="766"/>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7"/>
      <c r="E82" s="2538">
        <f t="shared" si="6"/>
        <v>0</v>
      </c>
      <c r="F82" s="2545"/>
      <c r="G82" s="2546"/>
      <c r="H82" s="2546"/>
      <c r="I82" s="2547"/>
      <c r="J82" s="71"/>
      <c r="K82" s="71"/>
      <c r="L82" s="71"/>
      <c r="M82" s="71"/>
      <c r="N82" s="71"/>
      <c r="O82" s="71"/>
      <c r="P82" s="71"/>
      <c r="Q82" s="71"/>
      <c r="R82" s="71"/>
      <c r="S82" s="71"/>
      <c r="T82" s="71"/>
      <c r="U82" s="71"/>
      <c r="V82" s="766"/>
      <c r="W82" s="766"/>
      <c r="X82" s="766"/>
      <c r="Y82" s="766"/>
      <c r="Z82" s="766"/>
      <c r="AA82" s="766"/>
      <c r="AB82" s="766"/>
      <c r="AC82" s="766"/>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0</v>
      </c>
      <c r="D83" s="2528">
        <f t="shared" si="9"/>
        <v>16930</v>
      </c>
      <c r="E83" s="117">
        <f>SUM(E53:E82)</f>
        <v>16930</v>
      </c>
      <c r="F83" s="71"/>
      <c r="G83" s="71"/>
      <c r="H83" s="71"/>
      <c r="I83" s="71"/>
      <c r="J83" s="71"/>
      <c r="K83" s="71"/>
      <c r="L83" s="71"/>
      <c r="M83" s="71"/>
      <c r="N83" s="71"/>
      <c r="O83" s="71"/>
      <c r="P83" s="71"/>
      <c r="Q83" s="71"/>
      <c r="R83" s="71"/>
      <c r="S83" s="71"/>
      <c r="T83" s="71"/>
      <c r="U83" s="71"/>
      <c r="V83" s="766"/>
      <c r="W83" s="766"/>
      <c r="X83" s="766"/>
      <c r="Y83" s="766"/>
      <c r="Z83" s="766"/>
      <c r="AA83" s="766"/>
      <c r="AB83" s="766"/>
      <c r="AC83" s="766"/>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6"/>
      <c r="W84" s="766"/>
      <c r="X84" s="766"/>
      <c r="Y84" s="766"/>
      <c r="Z84" s="766"/>
      <c r="AA84" s="766"/>
      <c r="AB84" s="766"/>
      <c r="AC84" s="766"/>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6"/>
      <c r="W85" s="766"/>
      <c r="X85" s="766"/>
      <c r="Y85" s="766"/>
      <c r="Z85" s="766"/>
      <c r="AA85" s="766"/>
      <c r="AB85" s="766"/>
      <c r="AC85" s="766"/>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6"/>
      <c r="W86" s="766"/>
      <c r="X86" s="766"/>
      <c r="Y86" s="766"/>
      <c r="Z86" s="766"/>
      <c r="AA86" s="766"/>
      <c r="AB86" s="766"/>
      <c r="AC86" s="766"/>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6"/>
      <c r="W87" s="766"/>
      <c r="X87" s="766"/>
      <c r="Y87" s="766"/>
      <c r="Z87" s="766"/>
      <c r="AA87" s="766"/>
      <c r="AB87" s="766"/>
      <c r="AC87" s="766"/>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6"/>
      <c r="W88" s="766"/>
      <c r="X88" s="766"/>
      <c r="Y88" s="766"/>
      <c r="Z88" s="766"/>
      <c r="AA88" s="766"/>
      <c r="AB88" s="766"/>
      <c r="AC88" s="766"/>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6"/>
      <c r="W89" s="766"/>
      <c r="X89" s="766"/>
      <c r="Y89" s="766"/>
      <c r="Z89" s="766"/>
      <c r="AA89" s="766"/>
      <c r="AB89" s="766"/>
      <c r="AC89" s="766"/>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6"/>
      <c r="W90" s="766"/>
      <c r="X90" s="766"/>
      <c r="Y90" s="766"/>
      <c r="Z90" s="766"/>
      <c r="AA90" s="766"/>
      <c r="AB90" s="766"/>
      <c r="AC90" s="766"/>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6"/>
      <c r="W91" s="766"/>
      <c r="X91" s="766"/>
      <c r="Y91" s="766"/>
      <c r="Z91" s="766"/>
      <c r="AA91" s="766"/>
      <c r="AB91" s="766"/>
      <c r="AC91" s="766"/>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6"/>
      <c r="W92" s="766"/>
      <c r="X92" s="766"/>
      <c r="Y92" s="766"/>
      <c r="Z92" s="766"/>
      <c r="AA92" s="766"/>
      <c r="AB92" s="766"/>
      <c r="AC92" s="766"/>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6"/>
      <c r="W93" s="766"/>
      <c r="X93" s="766"/>
      <c r="Y93" s="766"/>
      <c r="Z93" s="766"/>
      <c r="AA93" s="766"/>
      <c r="AB93" s="766"/>
      <c r="AC93" s="766"/>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6"/>
      <c r="W94" s="766"/>
      <c r="X94" s="766"/>
      <c r="Y94" s="766"/>
      <c r="Z94" s="766"/>
      <c r="AA94" s="766"/>
      <c r="AB94" s="766"/>
      <c r="AC94" s="766"/>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6"/>
      <c r="W95" s="766"/>
      <c r="X95" s="766"/>
      <c r="Y95" s="766"/>
      <c r="Z95" s="766"/>
      <c r="AA95" s="766"/>
      <c r="AB95" s="766"/>
      <c r="AC95" s="766"/>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6"/>
      <c r="W96" s="766"/>
      <c r="X96" s="766"/>
      <c r="Y96" s="766"/>
      <c r="Z96" s="766"/>
      <c r="AA96" s="766"/>
      <c r="AB96" s="766"/>
      <c r="AC96" s="766"/>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6"/>
      <c r="W97" s="766"/>
      <c r="X97" s="766"/>
      <c r="Y97" s="766"/>
      <c r="Z97" s="766"/>
      <c r="AA97" s="766"/>
      <c r="AB97" s="766"/>
      <c r="AC97" s="766"/>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6"/>
      <c r="W98" s="766"/>
      <c r="X98" s="766"/>
      <c r="Y98" s="766"/>
      <c r="Z98" s="766"/>
      <c r="AA98" s="766"/>
      <c r="AB98" s="766"/>
      <c r="AC98" s="766"/>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6"/>
      <c r="W99" s="766"/>
      <c r="X99" s="766"/>
      <c r="Y99" s="766"/>
      <c r="Z99" s="766"/>
      <c r="AA99" s="766"/>
      <c r="AB99" s="766"/>
      <c r="AC99" s="766"/>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6"/>
      <c r="W100" s="766"/>
      <c r="X100" s="766"/>
      <c r="Y100" s="766"/>
      <c r="Z100" s="766"/>
      <c r="AA100" s="766"/>
      <c r="AB100" s="766"/>
      <c r="AC100" s="766"/>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6"/>
      <c r="W101" s="766"/>
      <c r="X101" s="766"/>
      <c r="Y101" s="766"/>
      <c r="Z101" s="766"/>
      <c r="AA101" s="766"/>
      <c r="AB101" s="766"/>
      <c r="AC101" s="766"/>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6"/>
      <c r="W102" s="766"/>
      <c r="X102" s="766"/>
      <c r="Y102" s="766"/>
      <c r="Z102" s="766"/>
      <c r="AA102" s="766"/>
      <c r="AB102" s="766"/>
      <c r="AC102" s="766"/>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6"/>
      <c r="W103" s="766"/>
      <c r="X103" s="766"/>
      <c r="Y103" s="766"/>
      <c r="Z103" s="766"/>
      <c r="AA103" s="766"/>
      <c r="AB103" s="766"/>
      <c r="AC103" s="766"/>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6"/>
      <c r="W104" s="766"/>
      <c r="X104" s="766"/>
      <c r="Y104" s="766"/>
      <c r="Z104" s="766"/>
      <c r="AA104" s="766"/>
      <c r="AB104" s="766"/>
      <c r="AC104" s="766"/>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6"/>
      <c r="W105" s="766"/>
      <c r="X105" s="766"/>
      <c r="Y105" s="766"/>
      <c r="Z105" s="766"/>
      <c r="AA105" s="766"/>
      <c r="AB105" s="766"/>
      <c r="AC105" s="766"/>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6"/>
      <c r="W106" s="766"/>
      <c r="X106" s="766"/>
      <c r="Y106" s="766"/>
      <c r="Z106" s="766"/>
      <c r="AA106" s="766"/>
      <c r="AB106" s="766"/>
      <c r="AC106" s="766"/>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6"/>
      <c r="W107" s="766"/>
      <c r="X107" s="766"/>
      <c r="Y107" s="766"/>
      <c r="Z107" s="766"/>
      <c r="AA107" s="766"/>
      <c r="AB107" s="766"/>
      <c r="AC107" s="766"/>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6"/>
      <c r="W108" s="766"/>
      <c r="X108" s="766"/>
      <c r="Y108" s="766"/>
      <c r="Z108" s="766"/>
      <c r="AA108" s="766"/>
      <c r="AB108" s="766"/>
      <c r="AC108" s="766"/>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6"/>
      <c r="W109" s="766"/>
      <c r="X109" s="766"/>
      <c r="AB109" s="766"/>
      <c r="AC109" s="766"/>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6" priority="1" stopIfTrue="1" operator="equal">
      <formula>"This Table is currently showing 0 errors"</formula>
    </cfRule>
  </conditionalFormatting>
  <conditionalFormatting sqref="Z3:Z4">
    <cfRule type="cellIs" dxfId="45"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pageSetUpPr fitToPage="1"/>
  </sheetPr>
  <dimension ref="A1:BK327"/>
  <sheetViews>
    <sheetView zoomScale="80" zoomScaleNormal="80" workbookViewId="0">
      <selection activeCell="D18" sqref="D18"/>
    </sheetView>
  </sheetViews>
  <sheetFormatPr defaultColWidth="8.921875" defaultRowHeight="15.5"/>
  <cols>
    <col min="1" max="1" width="3" customWidth="1"/>
    <col min="2" max="2" width="66" bestFit="1" customWidth="1"/>
    <col min="3" max="3" width="22.15234375" customWidth="1"/>
    <col min="4" max="4" width="20.61328125" customWidth="1"/>
    <col min="5" max="5" width="24.15234375" style="754" customWidth="1"/>
    <col min="6" max="7" width="8.921875" style="754"/>
    <col min="8" max="8" width="52.53515625" customWidth="1"/>
    <col min="9" max="9" width="68.61328125" customWidth="1"/>
  </cols>
  <sheetData>
    <row r="1" spans="1:63" ht="36" customHeight="1">
      <c r="A1" s="149" t="str">
        <f>+Summary!A1</f>
        <v>Public Health Wales Trust</v>
      </c>
      <c r="B1" s="71"/>
      <c r="C1" s="359" t="s">
        <v>51</v>
      </c>
      <c r="D1" s="360" t="str">
        <f>+Summary!H1</f>
        <v>Apr 23</v>
      </c>
      <c r="E1" s="762"/>
      <c r="F1" s="763"/>
      <c r="G1" s="764"/>
      <c r="H1" s="254" t="s">
        <v>932</v>
      </c>
      <c r="I1" s="982" t="str">
        <f>IF($J$15&gt;0," If there are any validation errors, you must include explanation within your narrative","")</f>
        <v/>
      </c>
      <c r="J1" s="746"/>
      <c r="K1" s="766"/>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7" t="s">
        <v>970</v>
      </c>
      <c r="C2" s="844">
        <v>3</v>
      </c>
      <c r="D2" s="48"/>
      <c r="E2" s="764"/>
      <c r="F2" s="764"/>
      <c r="G2" s="764"/>
      <c r="H2" s="48"/>
      <c r="I2" s="48"/>
      <c r="J2" s="746"/>
      <c r="K2" s="766"/>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7" t="str">
        <f>"This Table is currently showing "&amp;$J$21&amp;" errors"</f>
        <v>This Table is currently showing 0 errors</v>
      </c>
      <c r="C3" s="845" t="str">
        <f>IF($J$12&gt;0," Check validations at cell H1","")</f>
        <v/>
      </c>
      <c r="D3" s="48"/>
      <c r="E3" s="764"/>
      <c r="F3" s="764"/>
      <c r="G3" s="764"/>
      <c r="H3" s="166" t="s">
        <v>933</v>
      </c>
      <c r="I3" s="768" t="str">
        <f>IF($C$2&gt;Summary!$K$1,"Ok",IF(ABS($C$40-$C$49)&lt;=2,"Ok","Line "&amp;A40&amp;" does not agree with Line "&amp;A49&amp;""))</f>
        <v>Ok</v>
      </c>
      <c r="J3" s="840">
        <f>IF(I3="Ok",0,1)</f>
        <v>0</v>
      </c>
      <c r="K3" s="766"/>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900"/>
      <c r="C4" s="901" t="str">
        <f>IF($J$21&lt;=0,"","NOTE : Some errors will be resolved when associated tables are completed")</f>
        <v/>
      </c>
      <c r="D4" s="48"/>
      <c r="E4" s="764"/>
      <c r="F4" s="764"/>
      <c r="G4" s="912">
        <f>C28+C37</f>
        <v>0</v>
      </c>
      <c r="H4" s="166" t="s">
        <v>934</v>
      </c>
      <c r="I4" s="768" t="str">
        <f>IF($C$2&gt;Summary!$K$1,"Ok",IF(ABS($D$40-$D$49)&lt;=2,"Ok","Line "&amp;A40&amp;" does not agree with Line "&amp;A49&amp;""))</f>
        <v>Ok</v>
      </c>
      <c r="J4" s="840">
        <f t="shared" ref="J4:J17" si="0">IF(I4="Ok",0,1)</f>
        <v>0</v>
      </c>
      <c r="K4" s="766"/>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4"/>
      <c r="G5" s="912">
        <f>D28+D37</f>
        <v>0</v>
      </c>
      <c r="H5" s="166" t="s">
        <v>935</v>
      </c>
      <c r="I5" s="768" t="str">
        <f>IF($C$2&gt;Summary!$K$1,"Ok",IF(ABS($E$40-$E$49)&lt;=2,"Ok","Line "&amp;A40&amp;" does not agree with Line "&amp;A49&amp;""))</f>
        <v>Ok</v>
      </c>
      <c r="J5" s="840">
        <f t="shared" si="0"/>
        <v>0</v>
      </c>
      <c r="K5" s="766"/>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4"/>
      <c r="G6" s="912">
        <f>E28+E37</f>
        <v>0</v>
      </c>
      <c r="H6" s="166" t="s">
        <v>936</v>
      </c>
      <c r="I6" s="165" t="str">
        <f>IF($C$2&gt;Summary!$K$1,"Ok",IF('F - SoFP'!$F$64&gt;0,"Data has been input without supporting narrative in column B","Ok"))</f>
        <v>Ok</v>
      </c>
      <c r="J6" s="840">
        <f t="shared" si="0"/>
        <v>0</v>
      </c>
      <c r="K6" s="766"/>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9" t="str">
        <f>Summary!$V$1</f>
        <v>Apr 23</v>
      </c>
      <c r="D7" s="361" t="str">
        <f>+D1</f>
        <v>Apr 23</v>
      </c>
      <c r="E7" s="899" t="str">
        <f>Summary!$V$12</f>
        <v>Mar 24</v>
      </c>
      <c r="F7" s="764"/>
      <c r="G7" s="764"/>
      <c r="H7" s="1121" t="s">
        <v>937</v>
      </c>
      <c r="I7" s="165" t="str">
        <f>IF($C$2&gt;Summary!$K$1,"Ok",IF(ABS('F - SoFP'!$G$4-'F - SoFP'!$C$64)&lt;=2,"Ok","Should equal Provisions total in the SoFP"))</f>
        <v>Ok</v>
      </c>
      <c r="J7" s="840">
        <f t="shared" si="0"/>
        <v>0</v>
      </c>
      <c r="K7" s="766"/>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4"/>
      <c r="G8" s="764"/>
      <c r="H8" s="1121" t="s">
        <v>938</v>
      </c>
      <c r="I8" s="165" t="str">
        <f>IF($C$2&gt;Summary!$K$1,"Ok",IF(ABS('F - SoFP'!$G$5-'F - SoFP'!$D$64)&lt;=2,"Ok","Should equal Provisions total in theSoFP"))</f>
        <v>Ok</v>
      </c>
      <c r="J8" s="840">
        <f t="shared" si="0"/>
        <v>0</v>
      </c>
      <c r="K8" s="766"/>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c r="D9" s="27"/>
      <c r="E9" s="27"/>
      <c r="F9" s="764"/>
      <c r="G9" s="764"/>
      <c r="H9" s="166" t="s">
        <v>939</v>
      </c>
      <c r="I9" s="1145" t="str">
        <f>IF($C$2&gt;Summary!$K$1,"Ok",IF(ABS('F - SoFP'!$G$6-'F - SoFP'!$E$64)&lt;=2,"Ok","Should equal Provisions total in the SoFP"))</f>
        <v>Ok</v>
      </c>
      <c r="J9" s="840">
        <f t="shared" si="0"/>
        <v>0</v>
      </c>
      <c r="K9" s="766"/>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c r="D10" s="27"/>
      <c r="E10" s="27"/>
      <c r="F10" s="764"/>
      <c r="G10" s="764"/>
      <c r="H10" s="166" t="s">
        <v>940</v>
      </c>
      <c r="I10" s="1145" t="str">
        <f>IF($C$2&gt;Summary!$K$1,"Ok",IF(ABS('F - SoFP'!$D$18-VLOOKUP('G - Cash Flow'!B38,'G - Cash Flow'!B38:N38,(Summary!$K$1+1),0))&lt;=2,"Ok","Should equal data on the cashflow table to a tolerance of 2k"))</f>
        <v>Ok</v>
      </c>
      <c r="J10" s="840">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c r="D11" s="28"/>
      <c r="E11" s="28"/>
      <c r="F11" s="764"/>
      <c r="G11" s="764"/>
      <c r="H11" s="166" t="s">
        <v>941</v>
      </c>
      <c r="I11" s="1145" t="str">
        <f>IF($C$2&gt;Summary!$K$1,"Ok",IF(ABS('F - SoFP'!$E$18-'G - Cash Flow'!$N$38)&lt;=2,"Ok","Should equal data on the cashflow table to a tolerance of 2k"))</f>
        <v>Ok</v>
      </c>
      <c r="J11" s="840">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c r="D12" s="27"/>
      <c r="E12" s="27"/>
      <c r="F12" s="764"/>
      <c r="G12" s="764"/>
      <c r="H12" s="166" t="s">
        <v>511</v>
      </c>
      <c r="I12" s="1145" t="str">
        <f>IF($C$2&gt;Summary!$K$1,"Ok",IF('F - SoFP'!$E$67&lt;&gt;0,"No data reported here, if you have no actual data to input, zeros will correct this error","Ok"))</f>
        <v>Ok</v>
      </c>
      <c r="J12" s="840">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0</v>
      </c>
      <c r="D13" s="117">
        <f>SUM(D9:D12)</f>
        <v>0</v>
      </c>
      <c r="E13" s="117">
        <f>SUM(E9:E12)</f>
        <v>0</v>
      </c>
      <c r="F13" s="764"/>
      <c r="G13" s="764"/>
      <c r="H13" s="166" t="s">
        <v>512</v>
      </c>
      <c r="I13" s="165" t="str">
        <f>IF($C$2&gt;Summary!$K$1,"Ok",IF('F - SoFP'!$E$68&lt;&gt;0,"No data reported here, if you have no actual data to input, zeros will correct this error","Ok"))</f>
        <v>Ok</v>
      </c>
      <c r="J13" s="840">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4"/>
      <c r="G14" s="764"/>
      <c r="H14" s="166" t="s">
        <v>513</v>
      </c>
      <c r="I14" s="165" t="str">
        <f>IF($C$2&gt;Summary!$K$1,"Ok",IF('F - SoFP'!$E$69&lt;&gt;0,"No data reported here, if you have no actual data to input, zeros will correct this error","Ok"))</f>
        <v>Ok</v>
      </c>
      <c r="J14" s="840">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c r="D15" s="27"/>
      <c r="E15" s="27"/>
      <c r="F15" s="764"/>
      <c r="G15" s="764"/>
      <c r="H15" s="166" t="s">
        <v>942</v>
      </c>
      <c r="I15" s="768" t="str">
        <f>IF($C$2&gt;Summary!$K$1,"Ok",IF(SUM(C25+C34)&lt;&gt;SUM(C72:C73),"Error, cell C25+C34 should equal C72+C73","Ok"))</f>
        <v>Ok</v>
      </c>
      <c r="J15" s="840">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c r="D16" s="27"/>
      <c r="E16" s="27"/>
      <c r="F16" s="764"/>
      <c r="G16" s="764"/>
      <c r="H16" s="166" t="s">
        <v>943</v>
      </c>
      <c r="I16" s="768" t="str">
        <f>IF($C$2&gt;Summary!$K$1,"Ok",IF(SUM(D25+D34)&lt;&gt;SUM(D72:D73),"Error, cell D25+D34 should equal D72+D73","Ok"))</f>
        <v>Ok</v>
      </c>
      <c r="J16" s="840">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c r="D17" s="27"/>
      <c r="E17" s="27"/>
      <c r="F17" s="764"/>
      <c r="G17" s="764"/>
      <c r="H17" s="166" t="s">
        <v>944</v>
      </c>
      <c r="I17" s="768" t="str">
        <f>IF($C$2&gt;Summary!$K$1,"Ok",IF(SUM(E25+E34)&lt;&gt;SUM(E72+E73),"Error, cell E25+E34 should equal E72+E73","Ok"))</f>
        <v>Ok</v>
      </c>
      <c r="J17" s="840">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c r="D18" s="27"/>
      <c r="E18" s="27"/>
      <c r="F18" s="764"/>
      <c r="G18" s="764"/>
      <c r="H18" s="166" t="s">
        <v>945</v>
      </c>
      <c r="I18" s="768" t="str">
        <f>IF($C$2&gt;Summary!$K$1,"Ok",IF(C18&lt;&gt;SUM(C76:C77),"Error, cell C18 should equal C76+C77","Ok"))</f>
        <v>Ok</v>
      </c>
      <c r="J18" s="840">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c r="D19" s="27"/>
      <c r="E19" s="27"/>
      <c r="F19" s="764"/>
      <c r="G19" s="764"/>
      <c r="H19" s="166" t="s">
        <v>946</v>
      </c>
      <c r="I19" s="768" t="str">
        <f>IF($C$2&gt;Summary!$K$1,"Ok",IF(D18&lt;&gt;SUM(D76:D77),"Error, cell D18 should equal D76+D77","Ok"))</f>
        <v>Ok</v>
      </c>
      <c r="J19" s="840">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0</v>
      </c>
      <c r="D20" s="117">
        <f>SUM(D15:D19)</f>
        <v>0</v>
      </c>
      <c r="E20" s="117">
        <f>SUM(E15:E19)</f>
        <v>0</v>
      </c>
      <c r="F20" s="764"/>
      <c r="G20" s="764"/>
      <c r="H20" s="166" t="s">
        <v>947</v>
      </c>
      <c r="I20" s="768" t="str">
        <f>IF($C$2&gt;Summary!$K$1,"Ok",IF(E18&lt;&gt;SUM(E76:E77),"Error, cell E18 should equal E76+E77","Ok"))</f>
        <v>Ok</v>
      </c>
      <c r="J20" s="840">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4"/>
      <c r="G21" s="764"/>
      <c r="H21" s="858"/>
      <c r="I21" s="858"/>
      <c r="J21" s="912">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0</v>
      </c>
      <c r="D22" s="116">
        <f>+D13+D20</f>
        <v>0</v>
      </c>
      <c r="E22" s="116">
        <f>+E13+E20</f>
        <v>0</v>
      </c>
      <c r="F22" s="764"/>
      <c r="G22" s="764"/>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4"/>
      <c r="G23" s="764"/>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4"/>
      <c r="G24" s="764"/>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c r="D25" s="27"/>
      <c r="E25" s="27"/>
      <c r="F25" s="764"/>
      <c r="G25" s="764"/>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c r="D26" s="27"/>
      <c r="E26" s="27"/>
      <c r="F26" s="764"/>
      <c r="G26" s="764"/>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c r="D27" s="27"/>
      <c r="E27" s="27"/>
      <c r="F27" s="764"/>
      <c r="G27" s="764"/>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c r="D28" s="27"/>
      <c r="E28" s="27"/>
      <c r="F28" s="764"/>
      <c r="G28" s="764"/>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0</v>
      </c>
      <c r="D29" s="117">
        <f>SUM(D25:D28)</f>
        <v>0</v>
      </c>
      <c r="E29" s="117">
        <f>SUM(E25:E28)</f>
        <v>0</v>
      </c>
      <c r="F29" s="764"/>
      <c r="G29" s="764"/>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4"/>
      <c r="G30" s="764"/>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0</v>
      </c>
      <c r="D31" s="117">
        <f>SUM(D22-D29)</f>
        <v>0</v>
      </c>
      <c r="E31" s="117">
        <f>SUM(E22-E29)</f>
        <v>0</v>
      </c>
      <c r="F31" s="764"/>
      <c r="G31" s="764"/>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4"/>
      <c r="G32" s="764"/>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4"/>
      <c r="G33" s="764"/>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c r="D34" s="27"/>
      <c r="E34" s="27"/>
      <c r="F34" s="764"/>
      <c r="G34" s="764"/>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c r="D35" s="27"/>
      <c r="E35" s="27"/>
      <c r="F35" s="764"/>
      <c r="G35" s="764"/>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c r="D36" s="27"/>
      <c r="E36" s="27"/>
      <c r="F36" s="764"/>
      <c r="G36" s="764"/>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c r="D37" s="27"/>
      <c r="E37" s="27"/>
      <c r="F37" s="764"/>
      <c r="G37" s="764"/>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0</v>
      </c>
      <c r="D38" s="117">
        <f>SUM(D34:D37)</f>
        <v>0</v>
      </c>
      <c r="E38" s="117">
        <f>SUM(E34:E37)</f>
        <v>0</v>
      </c>
      <c r="F38" s="764"/>
      <c r="G38" s="764"/>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4"/>
      <c r="G39" s="764"/>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0</v>
      </c>
      <c r="D40" s="117">
        <f>SUM(D31-D38)</f>
        <v>0</v>
      </c>
      <c r="E40" s="117">
        <f>SUM(E31-E38)</f>
        <v>0</v>
      </c>
      <c r="F40" s="764"/>
      <c r="G40" s="764"/>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4"/>
      <c r="G41" s="764"/>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4"/>
      <c r="G42" s="764"/>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4"/>
      <c r="G43" s="764"/>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c r="D44" s="27"/>
      <c r="E44" s="27"/>
      <c r="F44" s="764"/>
      <c r="G44" s="764"/>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c r="D45" s="27"/>
      <c r="E45" s="27"/>
      <c r="F45" s="764"/>
      <c r="G45" s="764"/>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c r="D46" s="27"/>
      <c r="E46" s="27"/>
      <c r="F46" s="764"/>
      <c r="G46" s="764"/>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c r="D47" s="27"/>
      <c r="E47" s="27"/>
      <c r="F47" s="764"/>
      <c r="G47" s="764"/>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c r="D48" s="27"/>
      <c r="E48" s="27"/>
      <c r="F48" s="764"/>
      <c r="G48" s="764"/>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0</v>
      </c>
      <c r="D49" s="117">
        <f>SUM(D44:D48)</f>
        <v>0</v>
      </c>
      <c r="E49" s="117">
        <f>SUM(E44:E48)</f>
        <v>0</v>
      </c>
      <c r="F49" s="764"/>
      <c r="G49" s="764"/>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4"/>
      <c r="F50" s="764"/>
      <c r="G50" s="764"/>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4"/>
      <c r="F51" s="764"/>
      <c r="G51" s="764"/>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4"/>
      <c r="G52" s="764"/>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4"/>
      <c r="G53" s="764"/>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Apr 23</v>
      </c>
      <c r="E54" s="990" t="str">
        <f>E7</f>
        <v>Mar 24</v>
      </c>
      <c r="F54" s="764"/>
      <c r="G54" s="764"/>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c r="A55" s="380">
        <f>A49+1</f>
        <v>31</v>
      </c>
      <c r="B55" s="591"/>
      <c r="C55" s="42"/>
      <c r="D55" s="42"/>
      <c r="E55" s="42"/>
      <c r="F55" s="765">
        <f t="shared" ref="F55:F63" si="1">IF(AND(SUM(C55:E55)&gt;0,B55=""),1,0)</f>
        <v>0</v>
      </c>
      <c r="G55" s="764"/>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c r="A56" s="381">
        <f>A55+1</f>
        <v>32</v>
      </c>
      <c r="B56" s="592"/>
      <c r="C56" s="27"/>
      <c r="D56" s="27"/>
      <c r="E56" s="27"/>
      <c r="F56" s="765">
        <f t="shared" si="1"/>
        <v>0</v>
      </c>
      <c r="G56" s="764"/>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c r="A57" s="381">
        <f t="shared" ref="A57:A64" si="2">A56+1</f>
        <v>33</v>
      </c>
      <c r="B57" s="592"/>
      <c r="C57" s="27"/>
      <c r="D57" s="27"/>
      <c r="E57" s="27"/>
      <c r="F57" s="765">
        <f t="shared" si="1"/>
        <v>0</v>
      </c>
      <c r="G57" s="764"/>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c r="A58" s="381">
        <f t="shared" si="2"/>
        <v>34</v>
      </c>
      <c r="B58" s="592"/>
      <c r="C58" s="27"/>
      <c r="D58" s="27"/>
      <c r="E58" s="27"/>
      <c r="F58" s="765">
        <f t="shared" si="1"/>
        <v>0</v>
      </c>
      <c r="G58" s="764"/>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c r="A59" s="381">
        <f t="shared" si="2"/>
        <v>35</v>
      </c>
      <c r="B59" s="1002"/>
      <c r="C59" s="27"/>
      <c r="D59" s="27"/>
      <c r="E59" s="27"/>
      <c r="F59" s="765">
        <f t="shared" si="1"/>
        <v>0</v>
      </c>
      <c r="G59" s="764"/>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c r="A60" s="381">
        <f t="shared" si="2"/>
        <v>36</v>
      </c>
      <c r="B60" s="592"/>
      <c r="C60" s="27"/>
      <c r="D60" s="27"/>
      <c r="E60" s="27"/>
      <c r="F60" s="765">
        <f t="shared" si="1"/>
        <v>0</v>
      </c>
      <c r="G60" s="764"/>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2"/>
        <v>37</v>
      </c>
      <c r="B61" s="592"/>
      <c r="C61" s="27"/>
      <c r="D61" s="27"/>
      <c r="E61" s="27"/>
      <c r="F61" s="765">
        <f t="shared" si="1"/>
        <v>0</v>
      </c>
      <c r="G61" s="764"/>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2"/>
        <v>38</v>
      </c>
      <c r="B62" s="592"/>
      <c r="C62" s="27"/>
      <c r="D62" s="27"/>
      <c r="E62" s="27"/>
      <c r="F62" s="765">
        <f t="shared" si="1"/>
        <v>0</v>
      </c>
      <c r="G62" s="764"/>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20">
        <f t="shared" si="2"/>
        <v>39</v>
      </c>
      <c r="B63" s="1021"/>
      <c r="C63" s="47"/>
      <c r="D63" s="47"/>
      <c r="E63" s="47"/>
      <c r="F63" s="765">
        <f t="shared" si="1"/>
        <v>0</v>
      </c>
      <c r="G63" s="764"/>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2">
        <f t="shared" si="2"/>
        <v>40</v>
      </c>
      <c r="B64" s="1023" t="s">
        <v>410</v>
      </c>
      <c r="C64" s="117">
        <f>SUM(C55:C63)</f>
        <v>0</v>
      </c>
      <c r="D64" s="117">
        <f>SUM(D55:D63)</f>
        <v>0</v>
      </c>
      <c r="E64" s="117">
        <f>SUM(E55:E63)</f>
        <v>0</v>
      </c>
      <c r="F64" s="765">
        <f>SUM(F55:F63)</f>
        <v>0</v>
      </c>
      <c r="G64" s="764"/>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5"/>
      <c r="F65" s="765"/>
      <c r="G65" s="764"/>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1000"/>
      <c r="F66" s="765"/>
      <c r="G66" s="764"/>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0</v>
      </c>
      <c r="E67" s="1001">
        <f>IF(D67="",1,0)</f>
        <v>0</v>
      </c>
      <c r="F67" s="765"/>
      <c r="G67" s="764"/>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0</v>
      </c>
      <c r="E68" s="1001">
        <f>IF(D68="",1,0)</f>
        <v>0</v>
      </c>
      <c r="F68" s="765"/>
      <c r="G68" s="764"/>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0</v>
      </c>
      <c r="E69" s="1001">
        <f>IF(D69="",1,0)</f>
        <v>0</v>
      </c>
      <c r="F69" s="765"/>
      <c r="G69" s="764"/>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4"/>
      <c r="F70" s="764"/>
      <c r="G70" s="764"/>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4"/>
      <c r="G71" s="764"/>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6">
        <f>A69+1</f>
        <v>44</v>
      </c>
      <c r="B72" s="947" t="s">
        <v>326</v>
      </c>
      <c r="C72" s="64">
        <v>0</v>
      </c>
      <c r="D72" s="64">
        <v>0</v>
      </c>
      <c r="E72" s="64">
        <v>0</v>
      </c>
      <c r="F72" s="764"/>
      <c r="G72" s="764"/>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8" t="s">
        <v>296</v>
      </c>
      <c r="C73" s="29">
        <v>0</v>
      </c>
      <c r="D73" s="29">
        <v>0</v>
      </c>
      <c r="E73" s="29">
        <v>0</v>
      </c>
      <c r="F73" s="764"/>
      <c r="G73" s="764"/>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4"/>
      <c r="F74" s="764"/>
      <c r="G74" s="764"/>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4"/>
      <c r="G75" s="764"/>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6">
        <f>A73+1</f>
        <v>46</v>
      </c>
      <c r="B76" s="947" t="s">
        <v>326</v>
      </c>
      <c r="C76" s="64">
        <v>0</v>
      </c>
      <c r="D76" s="64">
        <v>0</v>
      </c>
      <c r="E76" s="64">
        <v>0</v>
      </c>
      <c r="F76" s="764"/>
      <c r="G76" s="764"/>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8" t="s">
        <v>296</v>
      </c>
      <c r="C77" s="29">
        <v>0</v>
      </c>
      <c r="D77" s="29">
        <v>0</v>
      </c>
      <c r="E77" s="29">
        <v>0</v>
      </c>
      <c r="F77" s="764"/>
      <c r="G77" s="764"/>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4"/>
      <c r="F78" s="764"/>
      <c r="G78" s="764"/>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4"/>
      <c r="F79" s="764"/>
      <c r="G79" s="764"/>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4"/>
      <c r="F80" s="764"/>
      <c r="G80" s="764"/>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4"/>
      <c r="F81" s="764"/>
      <c r="G81" s="764"/>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4"/>
      <c r="F82" s="764"/>
      <c r="G82" s="764"/>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4"/>
      <c r="F83" s="764"/>
      <c r="G83" s="764"/>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4"/>
      <c r="F84" s="764"/>
      <c r="G84" s="764"/>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4"/>
      <c r="F85" s="764"/>
      <c r="G85" s="764"/>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4"/>
      <c r="F86" s="764"/>
      <c r="G86" s="764"/>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4"/>
      <c r="F87" s="764"/>
      <c r="G87" s="764"/>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4"/>
      <c r="F88" s="764"/>
      <c r="G88" s="764"/>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4"/>
      <c r="F89" s="764"/>
      <c r="G89" s="764"/>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4"/>
      <c r="F90" s="764"/>
      <c r="G90" s="764"/>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4"/>
      <c r="F91" s="764"/>
      <c r="G91" s="764"/>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4"/>
      <c r="F92" s="764"/>
      <c r="G92" s="764"/>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4"/>
      <c r="F93" s="764"/>
      <c r="G93" s="764"/>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4"/>
      <c r="F94" s="764"/>
      <c r="G94" s="764"/>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4"/>
      <c r="F95" s="764"/>
      <c r="G95" s="764"/>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4"/>
      <c r="F96" s="764"/>
      <c r="G96" s="764"/>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4"/>
      <c r="F97" s="764"/>
      <c r="G97" s="764"/>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4"/>
      <c r="F98" s="764"/>
      <c r="G98" s="764"/>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4"/>
      <c r="F99" s="764"/>
      <c r="G99" s="764"/>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4"/>
      <c r="F100" s="764"/>
      <c r="G100" s="764"/>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4"/>
      <c r="F101" s="764"/>
      <c r="G101" s="764"/>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4"/>
      <c r="F102" s="764"/>
      <c r="G102" s="764"/>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4"/>
      <c r="F103" s="764"/>
      <c r="G103" s="764"/>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4"/>
      <c r="F104" s="764"/>
      <c r="G104" s="764"/>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4"/>
      <c r="F105" s="764"/>
      <c r="G105" s="764"/>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4"/>
      <c r="F106" s="764"/>
      <c r="G106" s="764"/>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4"/>
      <c r="F107" s="764"/>
      <c r="G107" s="764"/>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4"/>
      <c r="F108" s="764"/>
      <c r="G108" s="764"/>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4"/>
      <c r="F109" s="764"/>
      <c r="G109" s="764"/>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4"/>
      <c r="F110" s="764"/>
      <c r="G110" s="764"/>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4"/>
      <c r="F111" s="764"/>
      <c r="G111" s="764"/>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4"/>
      <c r="F112" s="764"/>
      <c r="G112" s="764"/>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4"/>
      <c r="F113" s="764"/>
      <c r="G113" s="764"/>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4"/>
      <c r="F114" s="764"/>
      <c r="G114" s="764"/>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4"/>
      <c r="F115" s="764"/>
      <c r="G115" s="764"/>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4"/>
      <c r="F116" s="764"/>
      <c r="G116" s="764"/>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4"/>
      <c r="F117" s="764"/>
      <c r="G117" s="764"/>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4"/>
      <c r="F118" s="764"/>
      <c r="G118" s="764"/>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4"/>
      <c r="F119" s="764"/>
      <c r="G119" s="764"/>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4"/>
      <c r="F120" s="764"/>
      <c r="G120" s="764"/>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4"/>
      <c r="F121" s="764"/>
      <c r="G121" s="764"/>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4"/>
      <c r="F122" s="764"/>
      <c r="G122" s="764"/>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4"/>
      <c r="F123" s="764"/>
      <c r="G123" s="764"/>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4"/>
      <c r="F124" s="764"/>
      <c r="G124" s="764"/>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4"/>
      <c r="F125" s="764"/>
      <c r="G125" s="764"/>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4"/>
      <c r="F126" s="764"/>
      <c r="G126" s="764"/>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4"/>
      <c r="F127" s="764"/>
      <c r="G127" s="764"/>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4"/>
      <c r="F128" s="764"/>
      <c r="G128" s="764"/>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4"/>
      <c r="F129" s="764"/>
      <c r="G129" s="764"/>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4"/>
      <c r="F130" s="764"/>
      <c r="G130" s="764"/>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4"/>
      <c r="F131" s="764"/>
      <c r="G131" s="764"/>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4"/>
      <c r="F132" s="764"/>
      <c r="G132" s="764"/>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4"/>
      <c r="F133" s="764"/>
      <c r="G133" s="764"/>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4"/>
      <c r="F134" s="764"/>
      <c r="G134" s="764"/>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4"/>
      <c r="F135" s="764"/>
      <c r="G135" s="764"/>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4"/>
      <c r="F136" s="764"/>
      <c r="G136" s="764"/>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4"/>
      <c r="F137" s="764"/>
      <c r="G137" s="764"/>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4"/>
      <c r="F138" s="764"/>
      <c r="G138" s="764"/>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4"/>
      <c r="F139" s="764"/>
      <c r="G139" s="764"/>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4"/>
      <c r="F140" s="764"/>
      <c r="G140" s="764"/>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4"/>
      <c r="F141" s="764"/>
      <c r="G141" s="764"/>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4"/>
      <c r="F142" s="764"/>
      <c r="G142" s="764"/>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4"/>
      <c r="F143" s="764"/>
      <c r="G143" s="764"/>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4"/>
      <c r="F144" s="764"/>
      <c r="G144" s="764"/>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4"/>
      <c r="F145" s="764"/>
      <c r="G145" s="764"/>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4"/>
      <c r="F146" s="764"/>
      <c r="G146" s="764"/>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4"/>
      <c r="F147" s="764"/>
      <c r="G147" s="764"/>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4"/>
      <c r="F148" s="764"/>
      <c r="G148" s="764"/>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4"/>
      <c r="F149" s="764"/>
      <c r="G149" s="764"/>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4"/>
      <c r="F150" s="764"/>
      <c r="G150" s="764"/>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4"/>
      <c r="F151" s="764"/>
      <c r="G151" s="764"/>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4"/>
      <c r="F152" s="764"/>
      <c r="G152" s="764"/>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4"/>
      <c r="F153" s="764"/>
      <c r="G153" s="764"/>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4"/>
      <c r="F154" s="764"/>
      <c r="G154" s="764"/>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4"/>
      <c r="F155" s="764"/>
      <c r="G155" s="764"/>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4"/>
      <c r="F156" s="764"/>
      <c r="G156" s="764"/>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4"/>
      <c r="F157" s="764"/>
      <c r="G157" s="764"/>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4"/>
      <c r="F158" s="764"/>
      <c r="G158" s="764"/>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4"/>
      <c r="F159" s="764"/>
      <c r="G159" s="764"/>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4"/>
      <c r="F160" s="764"/>
      <c r="G160" s="764"/>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4"/>
      <c r="F161" s="764"/>
      <c r="G161" s="764"/>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4"/>
      <c r="F162" s="764"/>
      <c r="G162" s="764"/>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4"/>
      <c r="F163" s="764"/>
      <c r="G163" s="764"/>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4"/>
      <c r="F164" s="764"/>
      <c r="G164" s="764"/>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4"/>
      <c r="F165" s="764"/>
      <c r="G165" s="764"/>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4"/>
      <c r="F166" s="764"/>
      <c r="G166" s="764"/>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4"/>
      <c r="F167" s="764"/>
      <c r="G167" s="764"/>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4"/>
      <c r="F168" s="764"/>
      <c r="G168" s="764"/>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4"/>
      <c r="F169" s="764"/>
      <c r="G169" s="764"/>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4"/>
      <c r="F170" s="764"/>
      <c r="G170" s="764"/>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4"/>
      <c r="F171" s="764"/>
      <c r="G171" s="764"/>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4"/>
      <c r="F172" s="764"/>
      <c r="G172" s="764"/>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4"/>
      <c r="F173" s="764"/>
      <c r="G173" s="764"/>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4"/>
      <c r="F174" s="764"/>
      <c r="G174" s="764"/>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4"/>
      <c r="F175" s="764"/>
      <c r="G175" s="764"/>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4"/>
      <c r="F176" s="764"/>
      <c r="G176" s="764"/>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4"/>
      <c r="F177" s="764"/>
      <c r="G177" s="764"/>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4"/>
      <c r="F178" s="764"/>
      <c r="G178" s="764"/>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4"/>
      <c r="F179" s="764"/>
      <c r="G179" s="764"/>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4"/>
      <c r="F180" s="764"/>
      <c r="G180" s="764"/>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4"/>
      <c r="F181" s="764"/>
      <c r="G181" s="764"/>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4"/>
      <c r="F182" s="764"/>
      <c r="G182" s="764"/>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4"/>
      <c r="F183" s="764"/>
      <c r="G183" s="764"/>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4"/>
      <c r="F184" s="764"/>
      <c r="G184" s="764"/>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4"/>
      <c r="F185" s="764"/>
      <c r="G185" s="764"/>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4"/>
      <c r="F186" s="764"/>
      <c r="G186" s="764"/>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4"/>
      <c r="F187" s="764"/>
      <c r="G187" s="764"/>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4"/>
      <c r="F188" s="764"/>
      <c r="G188" s="764"/>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4"/>
      <c r="F189" s="764"/>
      <c r="G189" s="764"/>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4"/>
      <c r="F190" s="764"/>
      <c r="G190" s="764"/>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4"/>
      <c r="F191" s="764"/>
      <c r="G191" s="764"/>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4"/>
      <c r="F192" s="764"/>
      <c r="G192" s="764"/>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4"/>
      <c r="F193" s="764"/>
      <c r="G193" s="764"/>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4"/>
      <c r="F194" s="764"/>
      <c r="G194" s="764"/>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4"/>
      <c r="F195" s="764"/>
      <c r="G195" s="764"/>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4"/>
      <c r="F196" s="764"/>
      <c r="G196" s="764"/>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4"/>
      <c r="F197" s="764"/>
      <c r="G197" s="764"/>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4"/>
      <c r="F198" s="764"/>
      <c r="G198" s="764"/>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4"/>
      <c r="F199" s="764"/>
      <c r="G199" s="764"/>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4"/>
      <c r="F200" s="764"/>
      <c r="G200" s="764"/>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4"/>
      <c r="F201" s="764"/>
      <c r="G201" s="764"/>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4"/>
      <c r="F202" s="764"/>
      <c r="G202" s="764"/>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4"/>
      <c r="F203" s="764"/>
      <c r="G203" s="764"/>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4"/>
      <c r="F204" s="764"/>
      <c r="G204" s="764"/>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4"/>
      <c r="F205" s="764"/>
      <c r="G205" s="764"/>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4"/>
      <c r="F206" s="764"/>
      <c r="G206" s="764"/>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4"/>
      <c r="F207" s="764"/>
      <c r="G207" s="764"/>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4"/>
      <c r="F208" s="764"/>
      <c r="G208" s="764"/>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4"/>
      <c r="F209" s="764"/>
      <c r="G209" s="764"/>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4"/>
      <c r="F210" s="764"/>
      <c r="G210" s="764"/>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4"/>
      <c r="F211" s="764"/>
      <c r="G211" s="764"/>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4"/>
      <c r="F212" s="764"/>
      <c r="G212" s="764"/>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4"/>
      <c r="F213" s="764"/>
      <c r="G213" s="764"/>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4"/>
      <c r="F214" s="764"/>
      <c r="G214" s="764"/>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4"/>
      <c r="F215" s="764"/>
      <c r="G215" s="764"/>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4"/>
      <c r="F216" s="764"/>
      <c r="G216" s="764"/>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4"/>
      <c r="F217" s="764"/>
      <c r="G217" s="764"/>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4"/>
      <c r="F218" s="764"/>
      <c r="G218" s="764"/>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4"/>
      <c r="F219" s="764"/>
      <c r="G219" s="764"/>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4"/>
      <c r="F220" s="764"/>
      <c r="G220" s="764"/>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4"/>
      <c r="F221" s="764"/>
      <c r="G221" s="764"/>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4"/>
      <c r="F222" s="764"/>
      <c r="G222" s="764"/>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4"/>
      <c r="F223" s="764"/>
      <c r="G223" s="764"/>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4"/>
      <c r="F224" s="764"/>
      <c r="G224" s="764"/>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4"/>
      <c r="F225" s="764"/>
      <c r="G225" s="764"/>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4"/>
      <c r="F226" s="764"/>
      <c r="G226" s="764"/>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4"/>
      <c r="F227" s="764"/>
      <c r="G227" s="764"/>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4"/>
      <c r="F228" s="764"/>
      <c r="G228" s="764"/>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4"/>
      <c r="F229" s="764"/>
      <c r="G229" s="764"/>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4"/>
      <c r="F230" s="764"/>
      <c r="G230" s="764"/>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4"/>
      <c r="F231" s="764"/>
      <c r="G231" s="764"/>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4"/>
      <c r="F232" s="764"/>
      <c r="G232" s="764"/>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4"/>
      <c r="F233" s="764"/>
      <c r="G233" s="764"/>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4"/>
      <c r="F234" s="764"/>
      <c r="G234" s="764"/>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4"/>
      <c r="F235" s="764"/>
      <c r="G235" s="764"/>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4"/>
      <c r="F236" s="764"/>
      <c r="G236" s="764"/>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4"/>
      <c r="F237" s="764"/>
      <c r="G237" s="764"/>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4"/>
      <c r="F238" s="764"/>
      <c r="G238" s="764"/>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4"/>
      <c r="F239" s="764"/>
      <c r="G239" s="764"/>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4"/>
      <c r="F240" s="764"/>
      <c r="G240" s="764"/>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4"/>
      <c r="F241" s="764"/>
      <c r="G241" s="764"/>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4"/>
      <c r="F242" s="764"/>
      <c r="G242" s="764"/>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4"/>
      <c r="F243" s="764"/>
      <c r="G243" s="764"/>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4"/>
      <c r="F244" s="764"/>
      <c r="G244" s="764"/>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4"/>
      <c r="F245" s="764"/>
      <c r="G245" s="764"/>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4"/>
      <c r="F246" s="764"/>
      <c r="G246" s="764"/>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4"/>
      <c r="F247" s="764"/>
      <c r="G247" s="764"/>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4"/>
      <c r="F248" s="764"/>
      <c r="G248" s="764"/>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4"/>
      <c r="F249" s="764"/>
      <c r="G249" s="764"/>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4"/>
      <c r="F250" s="764"/>
      <c r="G250" s="764"/>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4"/>
      <c r="F251" s="764"/>
      <c r="G251" s="764"/>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4"/>
      <c r="F252" s="764"/>
      <c r="G252" s="764"/>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4"/>
      <c r="F253" s="764"/>
      <c r="G253" s="764"/>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4"/>
      <c r="F254" s="764"/>
      <c r="G254" s="764"/>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4"/>
      <c r="F255" s="764"/>
      <c r="G255" s="764"/>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4"/>
      <c r="F256" s="764"/>
      <c r="G256" s="764"/>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4"/>
      <c r="F257" s="764"/>
      <c r="G257" s="764"/>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4"/>
      <c r="F258" s="764"/>
      <c r="G258" s="764"/>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4"/>
      <c r="F259" s="764"/>
      <c r="G259" s="764"/>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4"/>
      <c r="F260" s="764"/>
      <c r="G260" s="764"/>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4"/>
      <c r="F261" s="764"/>
      <c r="G261" s="764"/>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4"/>
      <c r="F262" s="764"/>
      <c r="G262" s="764"/>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4"/>
      <c r="F263" s="764"/>
      <c r="G263" s="764"/>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4"/>
      <c r="F264" s="764"/>
      <c r="G264" s="764"/>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4"/>
      <c r="F265" s="764"/>
      <c r="G265" s="764"/>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4"/>
      <c r="F266" s="764"/>
      <c r="G266" s="764"/>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4"/>
      <c r="F267" s="764"/>
      <c r="G267" s="764"/>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4"/>
      <c r="F268" s="764"/>
      <c r="G268" s="764"/>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4"/>
      <c r="F269" s="764"/>
      <c r="G269" s="764"/>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4"/>
      <c r="F270" s="764"/>
      <c r="G270" s="764"/>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4"/>
      <c r="F271" s="764"/>
      <c r="G271" s="764"/>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4"/>
      <c r="F272" s="764"/>
      <c r="G272" s="764"/>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4"/>
      <c r="F273" s="764"/>
      <c r="G273" s="764"/>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4"/>
      <c r="F274" s="764"/>
      <c r="G274" s="764"/>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4"/>
      <c r="F275" s="764"/>
      <c r="G275" s="764"/>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4"/>
      <c r="F276" s="764"/>
      <c r="G276" s="764"/>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4"/>
      <c r="F277" s="764"/>
      <c r="G277" s="764"/>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4"/>
      <c r="F278" s="764"/>
      <c r="G278" s="764"/>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4"/>
      <c r="F279" s="764"/>
      <c r="G279" s="764"/>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4"/>
      <c r="F280" s="764"/>
      <c r="G280" s="764"/>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4"/>
      <c r="F281" s="764"/>
      <c r="G281" s="764"/>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4"/>
      <c r="F282" s="764"/>
      <c r="G282" s="764"/>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4"/>
      <c r="F283" s="764"/>
      <c r="G283" s="764"/>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4"/>
      <c r="F284" s="764"/>
      <c r="G284" s="764"/>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4"/>
      <c r="F285" s="764"/>
      <c r="G285" s="764"/>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4"/>
      <c r="F286" s="764"/>
      <c r="G286" s="764"/>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4"/>
      <c r="F287" s="764"/>
      <c r="G287" s="764"/>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4"/>
      <c r="F288" s="764"/>
      <c r="G288" s="764"/>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4"/>
      <c r="F289" s="764"/>
      <c r="G289" s="764"/>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4"/>
      <c r="F290" s="764"/>
      <c r="G290" s="764"/>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4"/>
      <c r="F291" s="764"/>
      <c r="G291" s="764"/>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4"/>
      <c r="F292" s="764"/>
      <c r="G292" s="764"/>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4"/>
      <c r="F293" s="764"/>
      <c r="G293" s="764"/>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4"/>
      <c r="F294" s="764"/>
      <c r="G294" s="764"/>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4"/>
      <c r="F295" s="764"/>
      <c r="G295" s="764"/>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4"/>
      <c r="F296" s="764"/>
      <c r="G296" s="764"/>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4"/>
      <c r="F297" s="764"/>
      <c r="G297" s="764"/>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4"/>
      <c r="F298" s="764"/>
      <c r="G298" s="764"/>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4"/>
      <c r="F299" s="764"/>
      <c r="G299" s="764"/>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4"/>
      <c r="F300" s="764"/>
      <c r="G300" s="764"/>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4"/>
      <c r="F301" s="764"/>
      <c r="G301" s="764"/>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4"/>
      <c r="F302" s="764"/>
      <c r="G302" s="764"/>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4"/>
      <c r="F303" s="764"/>
      <c r="G303" s="764"/>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4"/>
      <c r="F304" s="764"/>
      <c r="G304" s="764"/>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4"/>
      <c r="F305" s="764"/>
      <c r="G305" s="764"/>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4"/>
      <c r="F306" s="764"/>
      <c r="G306" s="764"/>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4"/>
      <c r="F307" s="764"/>
      <c r="G307" s="764"/>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4"/>
      <c r="F308" s="764"/>
      <c r="G308" s="764"/>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4"/>
      <c r="F309" s="764"/>
      <c r="G309" s="764"/>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4"/>
      <c r="F310" s="764"/>
      <c r="G310" s="764"/>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4"/>
      <c r="F311" s="764"/>
      <c r="G311" s="764"/>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4"/>
      <c r="G312" s="764"/>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4"/>
      <c r="G313" s="764"/>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4"/>
      <c r="G314" s="764"/>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4"/>
      <c r="G315" s="764"/>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4" priority="5" stopIfTrue="1" operator="equal">
      <formula>"This Table is currently showing 0 errors"</formula>
    </cfRule>
  </conditionalFormatting>
  <conditionalFormatting sqref="I3:I5">
    <cfRule type="cellIs" dxfId="43" priority="2" stopIfTrue="1" operator="equal">
      <formula>"OK"</formula>
    </cfRule>
  </conditionalFormatting>
  <conditionalFormatting sqref="I6:I17">
    <cfRule type="cellIs" dxfId="42" priority="3" stopIfTrue="1" operator="equal">
      <formula>"OK"</formula>
    </cfRule>
  </conditionalFormatting>
  <conditionalFormatting sqref="I18:I20">
    <cfRule type="cellIs" dxfId="41"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zoomScale="70" zoomScaleNormal="70" workbookViewId="0">
      <selection activeCell="G16" sqref="G16"/>
    </sheetView>
  </sheetViews>
  <sheetFormatPr defaultColWidth="8.921875" defaultRowHeight="15.5"/>
  <cols>
    <col min="1" max="1" width="4.15234375" customWidth="1"/>
    <col min="2" max="2" width="69" customWidth="1"/>
    <col min="3" max="3" width="12" customWidth="1"/>
    <col min="4" max="4" width="13.15234375" customWidth="1"/>
    <col min="5" max="14" width="12.15234375" customWidth="1"/>
    <col min="15" max="15" width="13.61328125" style="754" customWidth="1"/>
    <col min="16" max="16" width="5.61328125" style="754" customWidth="1"/>
    <col min="17" max="17" width="32.4609375" customWidth="1"/>
    <col min="18" max="18" width="95.921875" customWidth="1"/>
  </cols>
  <sheetData>
    <row r="1" spans="1:44" ht="30">
      <c r="A1" s="79" t="str">
        <f>+Summary!A1</f>
        <v>Public Health Wales Trust</v>
      </c>
      <c r="B1" s="70"/>
      <c r="C1" s="70"/>
      <c r="D1" s="70"/>
      <c r="E1" s="70"/>
      <c r="F1" s="70"/>
      <c r="G1" s="70"/>
      <c r="H1" s="70"/>
      <c r="I1" s="70"/>
      <c r="J1" s="71"/>
      <c r="K1" s="71"/>
      <c r="L1" s="70"/>
      <c r="M1" s="150" t="s">
        <v>460</v>
      </c>
      <c r="N1" s="72" t="str">
        <f>+Summary!H1</f>
        <v>Apr 23</v>
      </c>
      <c r="O1" s="766"/>
      <c r="P1" s="766"/>
      <c r="Q1" s="254" t="s">
        <v>924</v>
      </c>
      <c r="R1" s="850" t="str">
        <f>IF($S$6&gt;0," If there are any validation errors, you must include an explanation within your narrative","")</f>
        <v/>
      </c>
      <c r="S1" s="746"/>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6"/>
      <c r="P2" s="766"/>
      <c r="Q2" s="48"/>
      <c r="R2" s="48"/>
      <c r="S2" s="746"/>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1"/>
      <c r="C3" s="859" t="str">
        <f>"This Table is currently showing "&amp;$S$6&amp;" errors"</f>
        <v>This Table is currently showing 0 errors</v>
      </c>
      <c r="D3" s="60"/>
      <c r="E3" s="857"/>
      <c r="F3" s="844"/>
      <c r="G3" s="857"/>
      <c r="H3" s="60"/>
      <c r="I3" s="857" t="s">
        <v>970</v>
      </c>
      <c r="J3" s="844">
        <v>2</v>
      </c>
      <c r="K3" s="71"/>
      <c r="L3" s="71"/>
      <c r="M3" s="71"/>
      <c r="N3" s="71"/>
      <c r="O3" s="766"/>
      <c r="P3" s="766"/>
      <c r="Q3" s="255" t="s">
        <v>971</v>
      </c>
      <c r="R3" s="767" t="str">
        <f>IF('F - SoFP'!$C$2&gt;Summary!$K$1,"Ok",IF('G - Cash Flow'!$C$37&lt;&gt;'F - SoFP'!$C$18,"Opening Cash Balance does not agree with value on Opening SoFP","Ok"))</f>
        <v>Ok</v>
      </c>
      <c r="S3" s="782">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5"/>
      <c r="D4" s="60"/>
      <c r="E4" s="60"/>
      <c r="F4" s="60"/>
      <c r="G4" s="60"/>
      <c r="H4" s="60"/>
      <c r="I4" s="60"/>
      <c r="J4" s="70"/>
      <c r="K4" s="71"/>
      <c r="L4" s="71"/>
      <c r="M4" s="71"/>
      <c r="N4" s="71"/>
      <c r="O4" s="766"/>
      <c r="P4" s="766"/>
      <c r="Q4" s="255" t="s">
        <v>405</v>
      </c>
      <c r="R4" s="767" t="str">
        <f>IF($J$3&gt;Summary!$K$1,"Ok",IF('G - Cash Flow'!$O$11&lt;&gt;'E - Resource Limits'!$I$81,"Variance to proposed revenue draw down cash limit on Table E - Explain difference in narrative","Ok"))</f>
        <v>Ok</v>
      </c>
      <c r="S4" s="782">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6"/>
      <c r="P5" s="766"/>
      <c r="Q5" s="255" t="s">
        <v>406</v>
      </c>
      <c r="R5" s="767" t="str">
        <f>IF($J$3&gt;Summary!$K$1,"Ok",IF('G - Cash Flow'!$O$14&lt;&gt;'E - Resource Limits'!$K$81,"Variance to proposed capital draw down cash limit on Table E - Explain difference in narrative","Ok"))</f>
        <v>Ok</v>
      </c>
      <c r="S5" s="782">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6"/>
      <c r="P6" s="766"/>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6"/>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6"/>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6"/>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6"/>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6"/>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6"/>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
      <c r="D13" s="3"/>
      <c r="E13" s="3"/>
      <c r="F13" s="3"/>
      <c r="G13" s="3"/>
      <c r="H13" s="3"/>
      <c r="I13" s="3"/>
      <c r="J13" s="3"/>
      <c r="K13" s="3"/>
      <c r="L13" s="3"/>
      <c r="M13" s="3"/>
      <c r="N13" s="3"/>
      <c r="O13" s="167">
        <f t="shared" si="0"/>
        <v>0</v>
      </c>
      <c r="P13" s="766"/>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
      <c r="D14" s="3"/>
      <c r="E14" s="3"/>
      <c r="F14" s="3"/>
      <c r="G14" s="3"/>
      <c r="H14" s="3"/>
      <c r="I14" s="3"/>
      <c r="J14" s="3"/>
      <c r="K14" s="3"/>
      <c r="L14" s="3"/>
      <c r="M14" s="3"/>
      <c r="N14" s="3"/>
      <c r="O14" s="167">
        <f t="shared" si="0"/>
        <v>0</v>
      </c>
      <c r="P14" s="766"/>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c r="D15" s="3"/>
      <c r="E15" s="3"/>
      <c r="F15" s="3"/>
      <c r="G15" s="3"/>
      <c r="H15" s="3"/>
      <c r="I15" s="3"/>
      <c r="J15" s="3"/>
      <c r="K15" s="3"/>
      <c r="L15" s="3"/>
      <c r="M15" s="3"/>
      <c r="N15" s="3"/>
      <c r="O15" s="167">
        <f>SUM(C15:N15)</f>
        <v>0</v>
      </c>
      <c r="P15" s="766"/>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9"/>
      <c r="Q16" s="759"/>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9"/>
      <c r="Q17" s="759"/>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c r="D18" s="3"/>
      <c r="E18" s="3"/>
      <c r="F18" s="3"/>
      <c r="G18" s="3"/>
      <c r="H18" s="3"/>
      <c r="I18" s="3"/>
      <c r="J18" s="3"/>
      <c r="K18" s="3"/>
      <c r="L18" s="3"/>
      <c r="M18" s="3"/>
      <c r="N18" s="3"/>
      <c r="O18" s="167">
        <f>SUM(C18:N18)</f>
        <v>0</v>
      </c>
      <c r="P18" s="759"/>
      <c r="Q18" s="759"/>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6"/>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c r="D20" s="3"/>
      <c r="E20" s="3"/>
      <c r="F20" s="3"/>
      <c r="G20" s="3"/>
      <c r="H20" s="3"/>
      <c r="I20" s="3"/>
      <c r="J20" s="3"/>
      <c r="K20" s="3"/>
      <c r="L20" s="3"/>
      <c r="M20" s="3"/>
      <c r="N20" s="3"/>
      <c r="O20" s="167">
        <f t="shared" si="0"/>
        <v>0</v>
      </c>
      <c r="P20" s="766"/>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2">SUM(C11:C20)</f>
        <v>0</v>
      </c>
      <c r="D21" s="169">
        <f t="shared" si="2"/>
        <v>0</v>
      </c>
      <c r="E21" s="169">
        <f t="shared" si="2"/>
        <v>0</v>
      </c>
      <c r="F21" s="169">
        <f t="shared" si="2"/>
        <v>0</v>
      </c>
      <c r="G21" s="169">
        <f t="shared" si="2"/>
        <v>0</v>
      </c>
      <c r="H21" s="169">
        <f t="shared" si="2"/>
        <v>0</v>
      </c>
      <c r="I21" s="169">
        <f t="shared" si="2"/>
        <v>0</v>
      </c>
      <c r="J21" s="169">
        <f t="shared" si="2"/>
        <v>0</v>
      </c>
      <c r="K21" s="169">
        <f t="shared" si="2"/>
        <v>0</v>
      </c>
      <c r="L21" s="169">
        <f t="shared" si="2"/>
        <v>0</v>
      </c>
      <c r="M21" s="169">
        <f t="shared" si="2"/>
        <v>0</v>
      </c>
      <c r="N21" s="169">
        <f t="shared" si="2"/>
        <v>0</v>
      </c>
      <c r="O21" s="169">
        <f t="shared" si="2"/>
        <v>0</v>
      </c>
      <c r="P21" s="766"/>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6"/>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4">
        <f t="shared" ref="O23:O33" si="3">SUM(C23:N23)</f>
        <v>0</v>
      </c>
      <c r="P23" s="766"/>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4">
        <f t="shared" si="3"/>
        <v>0</v>
      </c>
      <c r="P24" s="766"/>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4">A24+1</f>
        <v>14</v>
      </c>
      <c r="B25" s="156" t="s">
        <v>158</v>
      </c>
      <c r="C25" s="4"/>
      <c r="D25" s="4"/>
      <c r="E25" s="4"/>
      <c r="F25" s="4"/>
      <c r="G25" s="4"/>
      <c r="H25" s="4"/>
      <c r="I25" s="4"/>
      <c r="J25" s="4"/>
      <c r="K25" s="4"/>
      <c r="L25" s="4"/>
      <c r="M25" s="4"/>
      <c r="N25" s="4"/>
      <c r="O25" s="724">
        <f t="shared" si="3"/>
        <v>0</v>
      </c>
      <c r="P25" s="766"/>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4"/>
        <v>15</v>
      </c>
      <c r="B26" s="156" t="s">
        <v>159</v>
      </c>
      <c r="C26" s="4"/>
      <c r="D26" s="4"/>
      <c r="E26" s="4"/>
      <c r="F26" s="4"/>
      <c r="G26" s="4"/>
      <c r="H26" s="4"/>
      <c r="I26" s="4"/>
      <c r="J26" s="4"/>
      <c r="K26" s="4"/>
      <c r="L26" s="4"/>
      <c r="M26" s="4"/>
      <c r="N26" s="4"/>
      <c r="O26" s="724">
        <f t="shared" si="3"/>
        <v>0</v>
      </c>
      <c r="P26" s="766"/>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4"/>
        <v>16</v>
      </c>
      <c r="B27" s="156" t="s">
        <v>430</v>
      </c>
      <c r="C27" s="4"/>
      <c r="D27" s="4"/>
      <c r="E27" s="4"/>
      <c r="F27" s="4"/>
      <c r="G27" s="4"/>
      <c r="H27" s="4"/>
      <c r="I27" s="4"/>
      <c r="J27" s="4"/>
      <c r="K27" s="4"/>
      <c r="L27" s="4"/>
      <c r="M27" s="4"/>
      <c r="N27" s="4"/>
      <c r="O27" s="724">
        <f t="shared" si="3"/>
        <v>0</v>
      </c>
      <c r="P27" s="766"/>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4"/>
        <v>17</v>
      </c>
      <c r="B28" s="156" t="s">
        <v>301</v>
      </c>
      <c r="C28" s="4"/>
      <c r="D28" s="4"/>
      <c r="E28" s="4"/>
      <c r="F28" s="4"/>
      <c r="G28" s="4"/>
      <c r="H28" s="4"/>
      <c r="I28" s="4"/>
      <c r="J28" s="4"/>
      <c r="K28" s="4"/>
      <c r="L28" s="4"/>
      <c r="M28" s="4"/>
      <c r="N28" s="4"/>
      <c r="O28" s="724">
        <f t="shared" si="3"/>
        <v>0</v>
      </c>
      <c r="P28" s="766"/>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4"/>
        <v>18</v>
      </c>
      <c r="B29" s="156" t="s">
        <v>302</v>
      </c>
      <c r="C29" s="4"/>
      <c r="D29" s="4"/>
      <c r="E29" s="4"/>
      <c r="F29" s="4"/>
      <c r="G29" s="4"/>
      <c r="H29" s="4"/>
      <c r="I29" s="4"/>
      <c r="J29" s="4"/>
      <c r="K29" s="4"/>
      <c r="L29" s="4"/>
      <c r="M29" s="4"/>
      <c r="N29" s="4"/>
      <c r="O29" s="724">
        <f t="shared" si="3"/>
        <v>0</v>
      </c>
      <c r="P29" s="766"/>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4"/>
        <v>19</v>
      </c>
      <c r="B30" s="173" t="s">
        <v>883</v>
      </c>
      <c r="C30" s="4"/>
      <c r="D30" s="4"/>
      <c r="E30" s="4"/>
      <c r="F30" s="4"/>
      <c r="G30" s="4"/>
      <c r="H30" s="4"/>
      <c r="I30" s="4"/>
      <c r="J30" s="3"/>
      <c r="K30" s="3"/>
      <c r="L30" s="3"/>
      <c r="M30" s="3"/>
      <c r="N30" s="3"/>
      <c r="O30" s="167">
        <f t="shared" si="3"/>
        <v>0</v>
      </c>
      <c r="P30" s="759"/>
      <c r="Q30" s="759"/>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4"/>
        <v>20</v>
      </c>
      <c r="B31" s="173" t="s">
        <v>884</v>
      </c>
      <c r="C31" s="4"/>
      <c r="D31" s="4"/>
      <c r="E31" s="4"/>
      <c r="F31" s="4"/>
      <c r="G31" s="4"/>
      <c r="H31" s="4"/>
      <c r="I31" s="4"/>
      <c r="J31" s="3"/>
      <c r="K31" s="3"/>
      <c r="L31" s="3"/>
      <c r="M31" s="3"/>
      <c r="N31" s="3"/>
      <c r="O31" s="167">
        <f t="shared" si="3"/>
        <v>0</v>
      </c>
      <c r="P31" s="759"/>
      <c r="Q31" s="759"/>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4"/>
        <v>21</v>
      </c>
      <c r="B32" s="173" t="s">
        <v>153</v>
      </c>
      <c r="C32" s="4"/>
      <c r="D32" s="4"/>
      <c r="E32" s="4"/>
      <c r="F32" s="4"/>
      <c r="G32" s="4"/>
      <c r="H32" s="4"/>
      <c r="I32" s="4"/>
      <c r="J32" s="4"/>
      <c r="K32" s="4"/>
      <c r="L32" s="4"/>
      <c r="M32" s="4"/>
      <c r="N32" s="4"/>
      <c r="O32" s="724">
        <f t="shared" si="3"/>
        <v>0</v>
      </c>
      <c r="P32" s="766"/>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4"/>
        <v>22</v>
      </c>
      <c r="B33" s="182" t="s">
        <v>394</v>
      </c>
      <c r="C33" s="2"/>
      <c r="D33" s="2"/>
      <c r="E33" s="2"/>
      <c r="F33" s="2"/>
      <c r="G33" s="2"/>
      <c r="H33" s="2"/>
      <c r="I33" s="2"/>
      <c r="J33" s="2"/>
      <c r="K33" s="2"/>
      <c r="L33" s="2"/>
      <c r="M33" s="2"/>
      <c r="N33" s="2"/>
      <c r="O33" s="988">
        <f t="shared" si="3"/>
        <v>0</v>
      </c>
      <c r="P33" s="766"/>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4"/>
        <v>23</v>
      </c>
      <c r="B34" s="184" t="s">
        <v>145</v>
      </c>
      <c r="C34" s="169">
        <f t="shared" ref="C34:O34" si="5">SUM(C23:C33)</f>
        <v>0</v>
      </c>
      <c r="D34" s="169">
        <f t="shared" si="5"/>
        <v>0</v>
      </c>
      <c r="E34" s="169">
        <f t="shared" si="5"/>
        <v>0</v>
      </c>
      <c r="F34" s="169">
        <f t="shared" si="5"/>
        <v>0</v>
      </c>
      <c r="G34" s="169">
        <f t="shared" si="5"/>
        <v>0</v>
      </c>
      <c r="H34" s="169">
        <f t="shared" si="5"/>
        <v>0</v>
      </c>
      <c r="I34" s="169">
        <f t="shared" si="5"/>
        <v>0</v>
      </c>
      <c r="J34" s="169">
        <f t="shared" si="5"/>
        <v>0</v>
      </c>
      <c r="K34" s="169">
        <f t="shared" si="5"/>
        <v>0</v>
      </c>
      <c r="L34" s="169">
        <f t="shared" si="5"/>
        <v>0</v>
      </c>
      <c r="M34" s="169">
        <f t="shared" si="5"/>
        <v>0</v>
      </c>
      <c r="N34" s="169">
        <f t="shared" si="5"/>
        <v>0</v>
      </c>
      <c r="O34" s="169">
        <f t="shared" si="5"/>
        <v>0</v>
      </c>
      <c r="P34" s="766"/>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60">
        <f>IF(C39=C40,1,0)</f>
        <v>1</v>
      </c>
      <c r="D35" s="860">
        <f>IF(D39=D40,1,0)</f>
        <v>0</v>
      </c>
      <c r="E35" s="860">
        <f t="shared" ref="E35:N35" si="6">IF(E39=E40,1,0)</f>
        <v>0</v>
      </c>
      <c r="F35" s="860">
        <f t="shared" si="6"/>
        <v>0</v>
      </c>
      <c r="G35" s="860">
        <f t="shared" si="6"/>
        <v>0</v>
      </c>
      <c r="H35" s="860">
        <f t="shared" si="6"/>
        <v>0</v>
      </c>
      <c r="I35" s="860">
        <f t="shared" si="6"/>
        <v>0</v>
      </c>
      <c r="J35" s="860">
        <f t="shared" si="6"/>
        <v>0</v>
      </c>
      <c r="K35" s="860">
        <f t="shared" si="6"/>
        <v>0</v>
      </c>
      <c r="L35" s="860">
        <f t="shared" si="6"/>
        <v>0</v>
      </c>
      <c r="M35" s="860">
        <f t="shared" si="6"/>
        <v>0</v>
      </c>
      <c r="N35" s="860">
        <f t="shared" si="6"/>
        <v>0</v>
      </c>
      <c r="O35" s="860">
        <f>IF(O39=O40,1,0)</f>
        <v>1</v>
      </c>
      <c r="P35" s="766"/>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7">IF(C21="","",SUM(C21-C34))</f>
        <v>0</v>
      </c>
      <c r="D36" s="167">
        <f t="shared" si="7"/>
        <v>0</v>
      </c>
      <c r="E36" s="167">
        <f t="shared" si="7"/>
        <v>0</v>
      </c>
      <c r="F36" s="167">
        <f t="shared" si="7"/>
        <v>0</v>
      </c>
      <c r="G36" s="167">
        <f t="shared" si="7"/>
        <v>0</v>
      </c>
      <c r="H36" s="167">
        <f t="shared" si="7"/>
        <v>0</v>
      </c>
      <c r="I36" s="167">
        <f t="shared" si="7"/>
        <v>0</v>
      </c>
      <c r="J36" s="167">
        <f t="shared" si="7"/>
        <v>0</v>
      </c>
      <c r="K36" s="167">
        <f t="shared" si="7"/>
        <v>0</v>
      </c>
      <c r="L36" s="167">
        <f t="shared" si="7"/>
        <v>0</v>
      </c>
      <c r="M36" s="167">
        <f t="shared" si="7"/>
        <v>0</v>
      </c>
      <c r="N36" s="167">
        <f t="shared" si="7"/>
        <v>0</v>
      </c>
      <c r="O36" s="330"/>
      <c r="P36" s="766"/>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1"/>
      <c r="D37" s="168">
        <f t="shared" ref="D37:J37" si="8">C38</f>
        <v>0</v>
      </c>
      <c r="E37" s="168">
        <f t="shared" si="8"/>
        <v>0</v>
      </c>
      <c r="F37" s="168">
        <f t="shared" si="8"/>
        <v>0</v>
      </c>
      <c r="G37" s="168">
        <f t="shared" si="8"/>
        <v>0</v>
      </c>
      <c r="H37" s="168">
        <f t="shared" si="8"/>
        <v>0</v>
      </c>
      <c r="I37" s="168">
        <f t="shared" si="8"/>
        <v>0</v>
      </c>
      <c r="J37" s="168">
        <f t="shared" si="8"/>
        <v>0</v>
      </c>
      <c r="K37" s="168">
        <f>J38</f>
        <v>0</v>
      </c>
      <c r="L37" s="168">
        <f>K38</f>
        <v>0</v>
      </c>
      <c r="M37" s="168">
        <f>L38</f>
        <v>0</v>
      </c>
      <c r="N37" s="168">
        <f>M38</f>
        <v>0</v>
      </c>
      <c r="O37" s="43"/>
      <c r="P37" s="766"/>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0</v>
      </c>
      <c r="D38" s="167">
        <f>IF(D36="","",SUM(D36+D37))</f>
        <v>0</v>
      </c>
      <c r="E38" s="167">
        <f t="shared" ref="E38:O38" si="9">IF(E36="","",SUM(E36+E37))</f>
        <v>0</v>
      </c>
      <c r="F38" s="167">
        <f t="shared" si="9"/>
        <v>0</v>
      </c>
      <c r="G38" s="167">
        <f t="shared" si="9"/>
        <v>0</v>
      </c>
      <c r="H38" s="167">
        <f t="shared" si="9"/>
        <v>0</v>
      </c>
      <c r="I38" s="167">
        <f t="shared" si="9"/>
        <v>0</v>
      </c>
      <c r="J38" s="167">
        <f t="shared" si="9"/>
        <v>0</v>
      </c>
      <c r="K38" s="167">
        <f t="shared" si="9"/>
        <v>0</v>
      </c>
      <c r="L38" s="167">
        <f t="shared" si="9"/>
        <v>0</v>
      </c>
      <c r="M38" s="167">
        <f t="shared" si="9"/>
        <v>0</v>
      </c>
      <c r="N38" s="167">
        <f t="shared" si="9"/>
        <v>0</v>
      </c>
      <c r="O38" s="330" t="str">
        <f t="shared" si="9"/>
        <v/>
      </c>
      <c r="P38" s="766"/>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1">
        <v>1</v>
      </c>
      <c r="C39" s="851">
        <v>1</v>
      </c>
      <c r="D39" s="851">
        <v>2</v>
      </c>
      <c r="E39" s="851">
        <v>3</v>
      </c>
      <c r="F39" s="851">
        <v>4</v>
      </c>
      <c r="G39" s="851">
        <v>5</v>
      </c>
      <c r="H39" s="851">
        <v>6</v>
      </c>
      <c r="I39" s="851">
        <v>7</v>
      </c>
      <c r="J39" s="851">
        <v>8</v>
      </c>
      <c r="K39" s="851">
        <v>9</v>
      </c>
      <c r="L39" s="851">
        <v>10</v>
      </c>
      <c r="M39" s="851">
        <v>11</v>
      </c>
      <c r="N39" s="851">
        <v>12</v>
      </c>
      <c r="O39" s="766"/>
      <c r="P39" s="766"/>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1"/>
      <c r="C40" s="851">
        <f>+'B - Monthly Positions'!$C$5</f>
        <v>1</v>
      </c>
      <c r="D40" s="851">
        <f>+'B - Monthly Positions'!$C$5</f>
        <v>1</v>
      </c>
      <c r="E40" s="851">
        <f>+'B - Monthly Positions'!$C$5</f>
        <v>1</v>
      </c>
      <c r="F40" s="851">
        <f>+'B - Monthly Positions'!$C$5</f>
        <v>1</v>
      </c>
      <c r="G40" s="851">
        <f>+'B - Monthly Positions'!$C$5</f>
        <v>1</v>
      </c>
      <c r="H40" s="851">
        <f>+'B - Monthly Positions'!$C$5</f>
        <v>1</v>
      </c>
      <c r="I40" s="851">
        <f>+'B - Monthly Positions'!$C$5</f>
        <v>1</v>
      </c>
      <c r="J40" s="851">
        <f>+'B - Monthly Positions'!$C$5</f>
        <v>1</v>
      </c>
      <c r="K40" s="851">
        <f>+'B - Monthly Positions'!$C$5</f>
        <v>1</v>
      </c>
      <c r="L40" s="851">
        <f>+'B - Monthly Positions'!$C$5</f>
        <v>1</v>
      </c>
      <c r="M40" s="851">
        <f>+'B - Monthly Positions'!$C$5</f>
        <v>1</v>
      </c>
      <c r="N40" s="851">
        <f>+'B - Monthly Positions'!$C$5</f>
        <v>1</v>
      </c>
      <c r="O40" s="766"/>
      <c r="P40" s="766"/>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6"/>
      <c r="P41" s="766"/>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6"/>
      <c r="P42" s="766"/>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6"/>
      <c r="P43" s="766"/>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6"/>
      <c r="P44" s="766"/>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6"/>
      <c r="P45" s="766"/>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6"/>
      <c r="P46" s="766"/>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6"/>
      <c r="P47" s="766"/>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6"/>
      <c r="P48" s="766"/>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6"/>
      <c r="P49" s="766"/>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6"/>
      <c r="P50" s="766"/>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6"/>
      <c r="P51" s="766"/>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6"/>
      <c r="P52" s="766"/>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6"/>
      <c r="P53" s="766"/>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6"/>
      <c r="P54" s="766"/>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6"/>
      <c r="P55" s="766"/>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6"/>
      <c r="P56" s="766"/>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6"/>
      <c r="P57" s="766"/>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6"/>
      <c r="P58" s="766"/>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6"/>
      <c r="P59" s="766"/>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6"/>
      <c r="P60" s="766"/>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6"/>
      <c r="P61" s="766"/>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6"/>
      <c r="P62" s="766"/>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6"/>
      <c r="P63" s="766"/>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6"/>
      <c r="P64" s="766"/>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6"/>
      <c r="P65" s="766"/>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6"/>
      <c r="P66" s="766"/>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6"/>
      <c r="P67" s="766"/>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6"/>
      <c r="P68" s="766"/>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6"/>
      <c r="P69" s="766"/>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6"/>
      <c r="P70" s="766"/>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6"/>
      <c r="P71" s="766"/>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6"/>
      <c r="P72" s="766"/>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6"/>
      <c r="P73" s="766"/>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6"/>
      <c r="P74" s="766"/>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6"/>
      <c r="P75" s="766"/>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6"/>
      <c r="P76" s="766"/>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6"/>
      <c r="P77" s="766"/>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6"/>
      <c r="P78" s="766"/>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6"/>
      <c r="P79" s="766"/>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6"/>
      <c r="P80" s="766"/>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6"/>
      <c r="P81" s="766"/>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6"/>
      <c r="P82" s="766"/>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6"/>
      <c r="P83" s="766"/>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6"/>
      <c r="P84" s="766"/>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6"/>
      <c r="P85" s="766"/>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6"/>
      <c r="P86" s="766"/>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6"/>
      <c r="P87" s="766"/>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6"/>
      <c r="P88" s="766"/>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6"/>
      <c r="P89" s="766"/>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6"/>
      <c r="P90" s="766"/>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6"/>
      <c r="P91" s="766"/>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6"/>
      <c r="P92" s="766"/>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6"/>
      <c r="P93" s="766"/>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6"/>
      <c r="P94" s="766"/>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6"/>
      <c r="P95" s="766"/>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6"/>
      <c r="P96" s="766"/>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6"/>
      <c r="P97" s="766"/>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6"/>
      <c r="P98" s="766"/>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6"/>
      <c r="P99" s="766"/>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6"/>
      <c r="P100" s="766"/>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6"/>
      <c r="P101" s="766"/>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6"/>
      <c r="P102" s="766"/>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6"/>
      <c r="P103" s="766"/>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6"/>
      <c r="P104" s="766"/>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6"/>
      <c r="P105" s="766"/>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6"/>
      <c r="P106" s="766"/>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6"/>
      <c r="P107" s="766"/>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6"/>
      <c r="P108" s="766"/>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6"/>
      <c r="P109" s="766"/>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6"/>
      <c r="P110" s="766"/>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6"/>
      <c r="P111" s="766"/>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6"/>
      <c r="P112" s="766"/>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6"/>
      <c r="P113" s="766"/>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6"/>
      <c r="P114" s="766"/>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6"/>
      <c r="P115" s="766"/>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6"/>
      <c r="P116" s="766"/>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6"/>
      <c r="P117" s="766"/>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6"/>
      <c r="P118" s="766"/>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6"/>
      <c r="P119" s="766"/>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6"/>
      <c r="P120" s="766"/>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6"/>
      <c r="P121" s="766"/>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6"/>
      <c r="P122" s="766"/>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6"/>
      <c r="P123" s="766"/>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6"/>
      <c r="P124" s="766"/>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6"/>
      <c r="P125" s="766"/>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6"/>
      <c r="P126" s="766"/>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6"/>
      <c r="P127" s="766"/>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6"/>
      <c r="P128" s="766"/>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6"/>
      <c r="P129" s="766"/>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6"/>
      <c r="P130" s="766"/>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6"/>
      <c r="P131" s="766"/>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6"/>
      <c r="P132" s="766"/>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6"/>
      <c r="P133" s="766"/>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6"/>
      <c r="P134" s="766"/>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6"/>
      <c r="P135" s="766"/>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6"/>
      <c r="P136" s="766"/>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6"/>
      <c r="P137" s="766"/>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6"/>
      <c r="P138" s="766"/>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6"/>
      <c r="P139" s="766"/>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6"/>
      <c r="P140" s="766"/>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6"/>
      <c r="P141" s="766"/>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6"/>
      <c r="P142" s="766"/>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6"/>
      <c r="P143" s="766"/>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6"/>
      <c r="P144" s="766"/>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6"/>
      <c r="P145" s="766"/>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6"/>
      <c r="P146" s="766"/>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6"/>
      <c r="P147" s="766"/>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6"/>
      <c r="P148" s="766"/>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6"/>
      <c r="P149" s="766"/>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6"/>
      <c r="P150" s="766"/>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6"/>
      <c r="P151" s="766"/>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6"/>
      <c r="P152" s="766"/>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6"/>
      <c r="P153" s="766"/>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6"/>
      <c r="P154" s="766"/>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6"/>
      <c r="P155" s="766"/>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6"/>
      <c r="P156" s="766"/>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6"/>
      <c r="P157" s="766"/>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6"/>
      <c r="P158" s="766"/>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6"/>
      <c r="P159" s="766"/>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6"/>
      <c r="P160" s="766"/>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6"/>
      <c r="P161" s="766"/>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6"/>
      <c r="P162" s="766"/>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6"/>
      <c r="P163" s="766"/>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6"/>
      <c r="P164" s="766"/>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6"/>
      <c r="P165" s="766"/>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6"/>
      <c r="P166" s="766"/>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6"/>
      <c r="P167" s="766"/>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6"/>
      <c r="P168" s="766"/>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6"/>
      <c r="P169" s="766"/>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6"/>
      <c r="P170" s="766"/>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6"/>
      <c r="P171" s="766"/>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6"/>
      <c r="P172" s="766"/>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6"/>
      <c r="P173" s="766"/>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6"/>
      <c r="P174" s="766"/>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6"/>
      <c r="P175" s="766"/>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6"/>
      <c r="P176" s="766"/>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6"/>
      <c r="P177" s="766"/>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6"/>
      <c r="P178" s="766"/>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6"/>
      <c r="P179" s="766"/>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6"/>
      <c r="P180" s="766"/>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6"/>
      <c r="P181" s="766"/>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6"/>
      <c r="P182" s="766"/>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6"/>
      <c r="P183" s="766"/>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6"/>
      <c r="P184" s="766"/>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6"/>
      <c r="P185" s="766"/>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6"/>
      <c r="P186" s="766"/>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6"/>
      <c r="P187" s="766"/>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6"/>
      <c r="P188" s="766"/>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6"/>
      <c r="P189" s="766"/>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6"/>
      <c r="P190" s="766"/>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6"/>
      <c r="P191" s="766"/>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6"/>
      <c r="P192" s="766"/>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6"/>
      <c r="P193" s="766"/>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6"/>
      <c r="P194" s="766"/>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6"/>
      <c r="P195" s="766"/>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6"/>
      <c r="P196" s="766"/>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6"/>
      <c r="P197" s="766"/>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6"/>
      <c r="P198" s="766"/>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6"/>
      <c r="P199" s="766"/>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6"/>
      <c r="P200" s="766"/>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6"/>
      <c r="P201" s="766"/>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6"/>
      <c r="P202" s="766"/>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6"/>
      <c r="P203" s="766"/>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6"/>
      <c r="P204" s="766"/>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6"/>
      <c r="P205" s="766"/>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6"/>
      <c r="P206" s="766"/>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6"/>
      <c r="P207" s="766"/>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6"/>
      <c r="P208" s="766"/>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6"/>
      <c r="P209" s="766"/>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6"/>
      <c r="P210" s="766"/>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6"/>
      <c r="P211" s="766"/>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6"/>
      <c r="P212" s="766"/>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6"/>
    </row>
    <row r="214" spans="1:40">
      <c r="A214" s="71"/>
      <c r="B214" s="71"/>
      <c r="C214" s="71"/>
      <c r="D214" s="71"/>
      <c r="E214" s="71"/>
      <c r="F214" s="71"/>
      <c r="G214" s="71"/>
      <c r="H214" s="71"/>
      <c r="I214" s="71"/>
      <c r="J214" s="71"/>
      <c r="K214" s="71"/>
      <c r="L214" s="71"/>
      <c r="M214" s="71"/>
      <c r="N214" s="71"/>
      <c r="O214" s="766"/>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heetViews>
  <sheetFormatPr defaultColWidth="8.921875" defaultRowHeight="15.5"/>
  <cols>
    <col min="1" max="1" width="4.61328125" customWidth="1"/>
    <col min="2" max="2" width="60.6132812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Apr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1"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4" t="s">
        <v>242</v>
      </c>
      <c r="D3" s="1744"/>
      <c r="E3" s="1744"/>
      <c r="F3" s="1744"/>
      <c r="G3" s="1744"/>
      <c r="H3" s="1744"/>
      <c r="I3" s="1744"/>
      <c r="J3" s="1744"/>
      <c r="K3" s="1744"/>
      <c r="L3" s="1744"/>
      <c r="M3" s="1744"/>
      <c r="N3" s="1744"/>
      <c r="O3" s="1744"/>
      <c r="P3" s="1744"/>
      <c r="Q3" s="1744"/>
      <c r="R3" s="1744"/>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7">
        <v>0.95</v>
      </c>
      <c r="D8" s="958"/>
      <c r="E8" s="959">
        <f>+D8-$C8</f>
        <v>-0.95</v>
      </c>
      <c r="F8" s="958"/>
      <c r="G8" s="959">
        <f>+F8-$C8</f>
        <v>-0.95</v>
      </c>
      <c r="H8" s="958"/>
      <c r="I8" s="959">
        <f>+H8-$C8</f>
        <v>-0.95</v>
      </c>
      <c r="J8" s="958"/>
      <c r="K8" s="959">
        <f>+J8-$C8</f>
        <v>-0.95</v>
      </c>
      <c r="L8" s="958"/>
      <c r="M8" s="959">
        <f>+L8-$C8</f>
        <v>-0.95</v>
      </c>
      <c r="N8" s="958"/>
      <c r="O8" s="959">
        <f>+N8-$C8</f>
        <v>-0.95</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7">
        <v>0.95</v>
      </c>
      <c r="D9" s="958"/>
      <c r="E9" s="959">
        <f t="shared" ref="E9:G11" si="0">+D9-$C9</f>
        <v>-0.95</v>
      </c>
      <c r="F9" s="958"/>
      <c r="G9" s="959">
        <f t="shared" si="0"/>
        <v>-0.95</v>
      </c>
      <c r="H9" s="958"/>
      <c r="I9" s="959">
        <f>+H9-$C9</f>
        <v>-0.95</v>
      </c>
      <c r="J9" s="958"/>
      <c r="K9" s="959">
        <f>+J9-$C9</f>
        <v>-0.95</v>
      </c>
      <c r="L9" s="958"/>
      <c r="M9" s="959">
        <f>+L9-$C9</f>
        <v>-0.95</v>
      </c>
      <c r="N9" s="958"/>
      <c r="O9" s="959">
        <f>+N9-$C9</f>
        <v>-0.95</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7">
        <v>0.95</v>
      </c>
      <c r="D10" s="958"/>
      <c r="E10" s="959">
        <f t="shared" si="0"/>
        <v>-0.95</v>
      </c>
      <c r="F10" s="958"/>
      <c r="G10" s="959">
        <f t="shared" si="0"/>
        <v>-0.95</v>
      </c>
      <c r="H10" s="958"/>
      <c r="I10" s="959">
        <f>+H10-$C10</f>
        <v>-0.95</v>
      </c>
      <c r="J10" s="958"/>
      <c r="K10" s="959">
        <f>+J10-$C10</f>
        <v>-0.95</v>
      </c>
      <c r="L10" s="958"/>
      <c r="M10" s="959">
        <f>+L10-$C10</f>
        <v>-0.95</v>
      </c>
      <c r="N10" s="958"/>
      <c r="O10" s="959">
        <f>+N10-$C10</f>
        <v>-0.95</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7">
        <v>0.95</v>
      </c>
      <c r="D11" s="958"/>
      <c r="E11" s="959">
        <f t="shared" si="0"/>
        <v>-0.95</v>
      </c>
      <c r="F11" s="958"/>
      <c r="G11" s="959">
        <f t="shared" si="0"/>
        <v>-0.95</v>
      </c>
      <c r="H11" s="958"/>
      <c r="I11" s="959">
        <f>+H11-$C11</f>
        <v>-0.95</v>
      </c>
      <c r="J11" s="958"/>
      <c r="K11" s="959">
        <f>+J11-$C11</f>
        <v>-0.95</v>
      </c>
      <c r="L11" s="958"/>
      <c r="M11" s="959">
        <f>+L11-$C11</f>
        <v>-0.95</v>
      </c>
      <c r="N11" s="958"/>
      <c r="O11" s="959">
        <f>+N11-$C11</f>
        <v>-0.95</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7"/>
      <c r="D18" s="958"/>
      <c r="E18" s="960"/>
      <c r="F18" s="958"/>
      <c r="G18" s="960"/>
      <c r="H18" s="958"/>
      <c r="I18" s="960"/>
      <c r="J18" s="958"/>
      <c r="K18" s="960"/>
      <c r="L18" s="958"/>
      <c r="M18" s="960"/>
      <c r="N18" s="958"/>
      <c r="O18" s="960"/>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7"/>
      <c r="D19" s="958"/>
      <c r="E19" s="960"/>
      <c r="F19" s="958"/>
      <c r="G19" s="960"/>
      <c r="H19" s="958"/>
      <c r="I19" s="960"/>
      <c r="J19" s="958"/>
      <c r="K19" s="960"/>
      <c r="L19" s="958"/>
      <c r="M19" s="960"/>
      <c r="N19" s="958"/>
      <c r="O19" s="960"/>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7"/>
      <c r="D20" s="958"/>
      <c r="E20" s="960"/>
      <c r="F20" s="958"/>
      <c r="G20" s="960"/>
      <c r="H20" s="958"/>
      <c r="I20" s="960"/>
      <c r="J20" s="958"/>
      <c r="K20" s="960"/>
      <c r="L20" s="958"/>
      <c r="M20" s="960"/>
      <c r="N20" s="958"/>
      <c r="O20" s="960"/>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7"/>
      <c r="D21" s="958"/>
      <c r="E21" s="961"/>
      <c r="F21" s="958"/>
      <c r="G21" s="961"/>
      <c r="H21" s="958"/>
      <c r="I21" s="961"/>
      <c r="J21" s="958"/>
      <c r="K21" s="961"/>
      <c r="L21" s="958"/>
      <c r="M21" s="961"/>
      <c r="N21" s="958"/>
      <c r="O21" s="961"/>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921875" defaultRowHeight="15.5"/>
  <cols>
    <col min="3" max="3" width="26.15234375" customWidth="1"/>
    <col min="5" max="5" width="43" customWidth="1"/>
    <col min="6" max="6" width="19.61328125" customWidth="1"/>
    <col min="7" max="18" width="6.4609375" customWidth="1"/>
    <col min="19" max="19" width="5.6132812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5" t="str">
        <f>ORG!$S$1</f>
        <v>Apr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6">
        <f>ORG!W11</f>
        <v>0</v>
      </c>
      <c r="H2" s="2896">
        <f>ORG!X11</f>
        <v>0</v>
      </c>
      <c r="I2" s="2896">
        <f>ORG!Y11</f>
        <v>0</v>
      </c>
      <c r="J2" s="2896">
        <f>ORG!Z11</f>
        <v>0</v>
      </c>
      <c r="K2" s="2896">
        <f>ORG!AA11</f>
        <v>0</v>
      </c>
      <c r="L2" s="2896">
        <f>ORG!AB11</f>
        <v>0</v>
      </c>
      <c r="M2" s="2896">
        <f>ORG!AC11</f>
        <v>0</v>
      </c>
      <c r="N2" s="2896">
        <f>ORG!AD11</f>
        <v>0</v>
      </c>
      <c r="O2" s="2896">
        <f>ORG!AE11</f>
        <v>0</v>
      </c>
      <c r="P2" s="2896">
        <f>ORG!AF11</f>
        <v>0</v>
      </c>
      <c r="Q2" s="2896">
        <f>ORG!AG11</f>
        <v>0</v>
      </c>
      <c r="R2" s="2896">
        <f>ORG!AH11</f>
        <v>0</v>
      </c>
      <c r="S2" s="2896">
        <f>ORG!O11</f>
        <v>0</v>
      </c>
      <c r="U2">
        <f t="shared" ref="U2:U60" si="0">S2+T2</f>
        <v>0</v>
      </c>
    </row>
    <row r="3" spans="1:21">
      <c r="A3" s="2895" t="str">
        <f>ORG!$S$1</f>
        <v>Apr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6">
        <f>ORG!W12</f>
        <v>-2801.3333333333335</v>
      </c>
      <c r="H3" s="2896">
        <f>ORG!X12</f>
        <v>-2801.3333333333335</v>
      </c>
      <c r="I3" s="2896">
        <f>ORG!Y12</f>
        <v>-2801.3333333333335</v>
      </c>
      <c r="J3" s="2896">
        <f>ORG!Z12</f>
        <v>-2801.3333333333335</v>
      </c>
      <c r="K3" s="2896">
        <f>ORG!AA12</f>
        <v>-2801.3333333333335</v>
      </c>
      <c r="L3" s="2896">
        <f>ORG!AB12</f>
        <v>-2801.3333333333335</v>
      </c>
      <c r="M3" s="2896">
        <f>ORG!AC12</f>
        <v>-2801.3333333333335</v>
      </c>
      <c r="N3" s="2896">
        <f>ORG!AD12</f>
        <v>-2801.3333333333335</v>
      </c>
      <c r="O3" s="2896">
        <f>ORG!AE12</f>
        <v>-2801.3333333333335</v>
      </c>
      <c r="P3" s="2896">
        <f>ORG!AF12</f>
        <v>-2801.3333333333335</v>
      </c>
      <c r="Q3" s="2896">
        <f>ORG!AG12</f>
        <v>-2801.3333333333335</v>
      </c>
      <c r="R3" s="2896">
        <f>ORG!AH12</f>
        <v>-2801.3333333333335</v>
      </c>
      <c r="S3" s="2896">
        <f>ORG!O12</f>
        <v>-33615.999999999993</v>
      </c>
      <c r="U3">
        <f t="shared" si="0"/>
        <v>-33615.999999999993</v>
      </c>
    </row>
    <row r="4" spans="1:21">
      <c r="A4" s="2895" t="str">
        <f>ORG!$S$1</f>
        <v>Apr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6">
        <f>ORG!W13</f>
        <v>-984.98719000000006</v>
      </c>
      <c r="H4" s="2896">
        <f>ORG!X13</f>
        <v>-1046.9339092508944</v>
      </c>
      <c r="I4" s="2896">
        <f>ORG!Y13</f>
        <v>-1570.2463429260856</v>
      </c>
      <c r="J4" s="2896">
        <f>ORG!Z13</f>
        <v>-1144.7442342508946</v>
      </c>
      <c r="K4" s="2896">
        <f>ORG!AA13</f>
        <v>-1135.2442342508946</v>
      </c>
      <c r="L4" s="2896">
        <f>ORG!AB13</f>
        <v>-1651.787351259419</v>
      </c>
      <c r="M4" s="2896">
        <f>ORG!AC13</f>
        <v>-1438.7479469858174</v>
      </c>
      <c r="N4" s="2896">
        <f>ORG!AD13</f>
        <v>-1383.9683758416022</v>
      </c>
      <c r="O4" s="2896">
        <f>ORG!AE13</f>
        <v>-1908.3053386524839</v>
      </c>
      <c r="P4" s="2896">
        <f>ORG!AF13</f>
        <v>-1416.7479469858174</v>
      </c>
      <c r="Q4" s="2896">
        <f>ORG!AG13</f>
        <v>-1364.7229546973872</v>
      </c>
      <c r="R4" s="2896">
        <f>ORG!AH13</f>
        <v>-1883.5641758747061</v>
      </c>
      <c r="S4" s="2896">
        <f>ORG!O13</f>
        <v>-16930.000000976004</v>
      </c>
      <c r="U4">
        <f t="shared" si="0"/>
        <v>-16930.000000976004</v>
      </c>
    </row>
    <row r="5" spans="1:21">
      <c r="A5" s="2895" t="str">
        <f>ORG!$S$1</f>
        <v>Apr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6">
        <f>ORG!W14</f>
        <v>1556.916666666667</v>
      </c>
      <c r="H5" s="2896">
        <f>ORG!X14</f>
        <v>2625.916666666667</v>
      </c>
      <c r="I5" s="2896">
        <f>ORG!Y14</f>
        <v>2625.916666666667</v>
      </c>
      <c r="J5" s="2896">
        <f>ORG!Z14</f>
        <v>2625.916666666667</v>
      </c>
      <c r="K5" s="2896">
        <f>ORG!AA14</f>
        <v>2625.916666666667</v>
      </c>
      <c r="L5" s="2896">
        <f>ORG!AB14</f>
        <v>2625.916666666667</v>
      </c>
      <c r="M5" s="2896">
        <f>ORG!AC14</f>
        <v>2625.916666666667</v>
      </c>
      <c r="N5" s="2896">
        <f>ORG!AD14</f>
        <v>2625.916666666667</v>
      </c>
      <c r="O5" s="2896">
        <f>ORG!AE14</f>
        <v>2625.916666666667</v>
      </c>
      <c r="P5" s="2896">
        <f>ORG!AF14</f>
        <v>2625.916666666667</v>
      </c>
      <c r="Q5" s="2896">
        <f>ORG!AG14</f>
        <v>2625.916666666667</v>
      </c>
      <c r="R5" s="2896">
        <f>ORG!AH14</f>
        <v>2625.916666666667</v>
      </c>
      <c r="S5" s="2896">
        <f>ORG!O14</f>
        <v>30442.000000000011</v>
      </c>
      <c r="U5">
        <f t="shared" si="0"/>
        <v>30442.000000000011</v>
      </c>
    </row>
    <row r="6" spans="1:21">
      <c r="A6" s="2895" t="str">
        <f>ORG!$S$1</f>
        <v>Apr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6">
        <f>ORG!W15</f>
        <v>984.98699999999997</v>
      </c>
      <c r="H6" s="2896">
        <f>ORG!X15</f>
        <v>1046.9339092508944</v>
      </c>
      <c r="I6" s="2896">
        <f>ORG!Y15</f>
        <v>1570.2463429260856</v>
      </c>
      <c r="J6" s="2896">
        <f>ORG!Z15</f>
        <v>1144.7442342508946</v>
      </c>
      <c r="K6" s="2896">
        <f>ORG!AA15</f>
        <v>1135.2442342508946</v>
      </c>
      <c r="L6" s="2896">
        <f>ORG!AB15</f>
        <v>1651.787351259419</v>
      </c>
      <c r="M6" s="2896">
        <f>ORG!AC15</f>
        <v>1438.7479469858174</v>
      </c>
      <c r="N6" s="2896">
        <f>ORG!AD15</f>
        <v>1383.9683758416022</v>
      </c>
      <c r="O6" s="2896">
        <f>ORG!AE15</f>
        <v>1908.3053386524839</v>
      </c>
      <c r="P6" s="2896">
        <f>ORG!AF15</f>
        <v>1416.7479469858174</v>
      </c>
      <c r="Q6" s="2896">
        <f>ORG!AG15</f>
        <v>1364.7229546973872</v>
      </c>
      <c r="R6" s="2896">
        <f>ORG!AH15</f>
        <v>1883.5641758747061</v>
      </c>
      <c r="S6" s="2896">
        <f>ORG!O15</f>
        <v>16929.999810976002</v>
      </c>
      <c r="U6">
        <f t="shared" si="0"/>
        <v>16929.999810976002</v>
      </c>
    </row>
    <row r="7" spans="1:21">
      <c r="A7" s="2895" t="str">
        <f>ORG!$S$1</f>
        <v>Apr 23</v>
      </c>
      <c r="B7" t="str">
        <f>ORG!$M$1</f>
        <v>Public Health Wales Trust</v>
      </c>
      <c r="C7" t="str">
        <f>ORG!$M$3</f>
        <v>Table A - Movement of Opening Financial Plan to Forecast Outturn</v>
      </c>
      <c r="D7">
        <f>ORG!$M16</f>
        <v>6</v>
      </c>
      <c r="E7" t="str">
        <f>ORG!$O$9</f>
        <v>In Year Effect</v>
      </c>
      <c r="F7" t="str">
        <f>ORG!$N16</f>
        <v>Planned Provider Income (Positive Value)</v>
      </c>
      <c r="G7" s="2896">
        <f>ORG!W16</f>
        <v>0</v>
      </c>
      <c r="H7" s="2896">
        <f>ORG!X16</f>
        <v>0</v>
      </c>
      <c r="I7" s="2896">
        <f>ORG!Y16</f>
        <v>0</v>
      </c>
      <c r="J7" s="2896">
        <f>ORG!Z16</f>
        <v>0</v>
      </c>
      <c r="K7" s="2896">
        <f>ORG!AA16</f>
        <v>0</v>
      </c>
      <c r="L7" s="2896">
        <f>ORG!AB16</f>
        <v>0</v>
      </c>
      <c r="M7" s="2896">
        <f>ORG!AC16</f>
        <v>0</v>
      </c>
      <c r="N7" s="2896">
        <f>ORG!AD16</f>
        <v>0</v>
      </c>
      <c r="O7" s="2896">
        <f>ORG!AE16</f>
        <v>0</v>
      </c>
      <c r="P7" s="2896">
        <f>ORG!AF16</f>
        <v>0</v>
      </c>
      <c r="Q7" s="2896">
        <f>ORG!AG16</f>
        <v>0</v>
      </c>
      <c r="R7" s="2896">
        <f>ORG!AH16</f>
        <v>0</v>
      </c>
      <c r="S7" s="2896">
        <f>ORG!O16</f>
        <v>0</v>
      </c>
      <c r="U7">
        <f t="shared" si="0"/>
        <v>0</v>
      </c>
    </row>
    <row r="8" spans="1:21">
      <c r="A8" s="2895" t="str">
        <f>ORG!$S$1</f>
        <v>Apr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6">
        <f>ORG!W17</f>
        <v>0</v>
      </c>
      <c r="H8" s="2896">
        <f>ORG!X17</f>
        <v>0</v>
      </c>
      <c r="I8" s="2896">
        <f>ORG!Y17</f>
        <v>0</v>
      </c>
      <c r="J8" s="2896">
        <f>ORG!Z17</f>
        <v>0</v>
      </c>
      <c r="K8" s="2896">
        <f>ORG!AA17</f>
        <v>0</v>
      </c>
      <c r="L8" s="2896">
        <f>ORG!AB17</f>
        <v>0</v>
      </c>
      <c r="M8" s="2896">
        <f>ORG!AC17</f>
        <v>0</v>
      </c>
      <c r="N8" s="2896">
        <f>ORG!AD17</f>
        <v>0</v>
      </c>
      <c r="O8" s="2896">
        <f>ORG!AE17</f>
        <v>0</v>
      </c>
      <c r="P8" s="2896">
        <f>ORG!AF17</f>
        <v>0</v>
      </c>
      <c r="Q8" s="2896">
        <f>ORG!AG17</f>
        <v>0</v>
      </c>
      <c r="R8" s="2896">
        <f>ORG!AH17</f>
        <v>0</v>
      </c>
      <c r="S8" s="2896">
        <f>ORG!O17</f>
        <v>0</v>
      </c>
      <c r="U8">
        <f t="shared" si="0"/>
        <v>0</v>
      </c>
    </row>
    <row r="9" spans="1:21">
      <c r="A9" s="2895" t="str">
        <f>ORG!$S$1</f>
        <v>Apr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6">
        <f>ORG!W18</f>
        <v>1244.4166666666665</v>
      </c>
      <c r="H9" s="2896">
        <f>ORG!X18</f>
        <v>175.41666666666666</v>
      </c>
      <c r="I9" s="2896">
        <f>ORG!Y18</f>
        <v>175.41666666666666</v>
      </c>
      <c r="J9" s="2896">
        <f>ORG!Z18</f>
        <v>175.41666666666666</v>
      </c>
      <c r="K9" s="2896">
        <f>ORG!AA18</f>
        <v>175.41666666666666</v>
      </c>
      <c r="L9" s="2896">
        <f>ORG!AB18</f>
        <v>175.41666666666666</v>
      </c>
      <c r="M9" s="2896">
        <f>ORG!AC18</f>
        <v>175.41666666666666</v>
      </c>
      <c r="N9" s="2896">
        <f>ORG!AD18</f>
        <v>175.41666666666666</v>
      </c>
      <c r="O9" s="2896">
        <f>ORG!AE18</f>
        <v>175.41666666666666</v>
      </c>
      <c r="P9" s="2896">
        <f>ORG!AF18</f>
        <v>175.41666666666666</v>
      </c>
      <c r="Q9" s="2896">
        <f>ORG!AG18</f>
        <v>175.41666666666666</v>
      </c>
      <c r="R9" s="2896">
        <f>ORG!AH18</f>
        <v>175.41666666666666</v>
      </c>
      <c r="S9" s="2896">
        <f>ORG!O18</f>
        <v>3174</v>
      </c>
      <c r="U9">
        <f t="shared" si="0"/>
        <v>3174</v>
      </c>
    </row>
    <row r="10" spans="1:21">
      <c r="A10" s="2895" t="str">
        <f>ORG!$S$1</f>
        <v>Apr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6">
        <f>ORG!W19</f>
        <v>0</v>
      </c>
      <c r="H10" s="2896">
        <f>ORG!X19</f>
        <v>0</v>
      </c>
      <c r="I10" s="2896">
        <f>ORG!Y19</f>
        <v>0</v>
      </c>
      <c r="J10" s="2896">
        <f>ORG!Z19</f>
        <v>0</v>
      </c>
      <c r="K10" s="2896">
        <f>ORG!AA19</f>
        <v>0</v>
      </c>
      <c r="L10" s="2896">
        <f>ORG!AB19</f>
        <v>0</v>
      </c>
      <c r="M10" s="2896">
        <f>ORG!AC19</f>
        <v>0</v>
      </c>
      <c r="N10" s="2896">
        <f>ORG!AD19</f>
        <v>0</v>
      </c>
      <c r="O10" s="2896">
        <f>ORG!AE19</f>
        <v>0</v>
      </c>
      <c r="P10" s="2896">
        <f>ORG!AF19</f>
        <v>0</v>
      </c>
      <c r="Q10" s="2896">
        <f>ORG!AG19</f>
        <v>0</v>
      </c>
      <c r="R10" s="2896">
        <f>ORG!AH19</f>
        <v>0</v>
      </c>
      <c r="S10" s="2896">
        <f>ORG!O19</f>
        <v>0</v>
      </c>
      <c r="U10">
        <f t="shared" si="0"/>
        <v>0</v>
      </c>
    </row>
    <row r="11" spans="1:21">
      <c r="A11" s="2895" t="str">
        <f>ORG!$S$1</f>
        <v>Apr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6">
        <f>ORG!W20</f>
        <v>0</v>
      </c>
      <c r="H11" s="2896">
        <f>ORG!X20</f>
        <v>0</v>
      </c>
      <c r="I11" s="2896">
        <f>ORG!Y20</f>
        <v>0</v>
      </c>
      <c r="J11" s="2896">
        <f>ORG!Z20</f>
        <v>0</v>
      </c>
      <c r="K11" s="2896">
        <f>ORG!AA20</f>
        <v>0</v>
      </c>
      <c r="L11" s="2896">
        <f>ORG!AB20</f>
        <v>0</v>
      </c>
      <c r="M11" s="2896">
        <f>ORG!AC20</f>
        <v>0</v>
      </c>
      <c r="N11" s="2896">
        <f>ORG!AD20</f>
        <v>0</v>
      </c>
      <c r="O11" s="2896">
        <f>ORG!AE20</f>
        <v>0</v>
      </c>
      <c r="P11" s="2896">
        <f>ORG!AF20</f>
        <v>0</v>
      </c>
      <c r="Q11" s="2896">
        <f>ORG!AG20</f>
        <v>0</v>
      </c>
      <c r="R11" s="2896">
        <f>ORG!AH20</f>
        <v>0</v>
      </c>
      <c r="S11" s="2896">
        <f>ORG!O20</f>
        <v>0</v>
      </c>
      <c r="U11">
        <f t="shared" si="0"/>
        <v>0</v>
      </c>
    </row>
    <row r="12" spans="1:21">
      <c r="A12" s="2895" t="str">
        <f>ORG!$S$1</f>
        <v>Apr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6">
        <f>ORG!W21</f>
        <v>0</v>
      </c>
      <c r="H12" s="2896">
        <f>ORG!X21</f>
        <v>0</v>
      </c>
      <c r="I12" s="2896">
        <f>ORG!Y21</f>
        <v>0</v>
      </c>
      <c r="J12" s="2896">
        <f>ORG!Z21</f>
        <v>0</v>
      </c>
      <c r="K12" s="2896">
        <f>ORG!AA21</f>
        <v>0</v>
      </c>
      <c r="L12" s="2896">
        <f>ORG!AB21</f>
        <v>0</v>
      </c>
      <c r="M12" s="2896">
        <f>ORG!AC21</f>
        <v>0</v>
      </c>
      <c r="N12" s="2896">
        <f>ORG!AD21</f>
        <v>0</v>
      </c>
      <c r="O12" s="2896">
        <f>ORG!AE21</f>
        <v>0</v>
      </c>
      <c r="P12" s="2896">
        <f>ORG!AF21</f>
        <v>0</v>
      </c>
      <c r="Q12" s="2896">
        <f>ORG!AG21</f>
        <v>0</v>
      </c>
      <c r="R12" s="2896">
        <f>ORG!AH21</f>
        <v>0</v>
      </c>
      <c r="S12" s="2896">
        <f>ORG!O21</f>
        <v>0</v>
      </c>
      <c r="U12">
        <f t="shared" si="0"/>
        <v>0</v>
      </c>
    </row>
    <row r="13" spans="1:21">
      <c r="A13" s="2895" t="str">
        <f>ORG!$S$1</f>
        <v>Apr 23</v>
      </c>
      <c r="B13" t="str">
        <f>ORG!$M$1</f>
        <v>Public Health Wales Trust</v>
      </c>
      <c r="C13" t="str">
        <f>ORG!$M$3</f>
        <v>Table A - Movement of Opening Financial Plan to Forecast Outturn</v>
      </c>
      <c r="D13">
        <f>ORG!$M22</f>
        <v>12</v>
      </c>
      <c r="E13" t="str">
        <f>ORG!$O$9</f>
        <v>In Year Effect</v>
      </c>
      <c r="F13">
        <f>ORG!$N22</f>
        <v>0</v>
      </c>
      <c r="G13" s="2896">
        <f>ORG!W22</f>
        <v>0</v>
      </c>
      <c r="H13" s="2896">
        <f>ORG!X22</f>
        <v>0</v>
      </c>
      <c r="I13" s="2896">
        <f>ORG!Y22</f>
        <v>0</v>
      </c>
      <c r="J13" s="2896">
        <f>ORG!Z22</f>
        <v>0</v>
      </c>
      <c r="K13" s="2896">
        <f>ORG!AA22</f>
        <v>0</v>
      </c>
      <c r="L13" s="2896">
        <f>ORG!AB22</f>
        <v>0</v>
      </c>
      <c r="M13" s="2896">
        <f>ORG!AC22</f>
        <v>0</v>
      </c>
      <c r="N13" s="2896">
        <f>ORG!AD22</f>
        <v>0</v>
      </c>
      <c r="O13" s="2896">
        <f>ORG!AE22</f>
        <v>0</v>
      </c>
      <c r="P13" s="2896">
        <f>ORG!AF22</f>
        <v>0</v>
      </c>
      <c r="Q13" s="2896">
        <f>ORG!AG22</f>
        <v>0</v>
      </c>
      <c r="R13" s="2896">
        <f>ORG!AH22</f>
        <v>0</v>
      </c>
      <c r="S13" s="2896">
        <f>ORG!O22</f>
        <v>0</v>
      </c>
      <c r="U13">
        <f t="shared" si="0"/>
        <v>0</v>
      </c>
    </row>
    <row r="14" spans="1:21">
      <c r="A14" s="2895" t="str">
        <f>ORG!$S$1</f>
        <v>Apr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6">
        <f>ORG!W23</f>
        <v>0</v>
      </c>
      <c r="H14" s="2896">
        <f>ORG!X23</f>
        <v>0</v>
      </c>
      <c r="I14" s="2896">
        <f>ORG!Y23</f>
        <v>0</v>
      </c>
      <c r="J14" s="2896">
        <f>ORG!Z23</f>
        <v>0</v>
      </c>
      <c r="K14" s="2896">
        <f>ORG!AA23</f>
        <v>0</v>
      </c>
      <c r="L14" s="2896">
        <f>ORG!AB23</f>
        <v>0</v>
      </c>
      <c r="M14" s="2896">
        <f>ORG!AC23</f>
        <v>0</v>
      </c>
      <c r="N14" s="2896">
        <f>ORG!AD23</f>
        <v>0</v>
      </c>
      <c r="O14" s="2896">
        <f>ORG!AE23</f>
        <v>0</v>
      </c>
      <c r="P14" s="2896">
        <f>ORG!AF23</f>
        <v>0</v>
      </c>
      <c r="Q14" s="2896">
        <f>ORG!AG23</f>
        <v>0</v>
      </c>
      <c r="R14" s="2896">
        <f>ORG!AH23</f>
        <v>0</v>
      </c>
      <c r="S14" s="2896">
        <f>ORG!O23</f>
        <v>0</v>
      </c>
      <c r="U14">
        <f t="shared" si="0"/>
        <v>0</v>
      </c>
    </row>
    <row r="15" spans="1:21">
      <c r="A15" s="2895" t="str">
        <f>ORG!$S$1</f>
        <v>Apr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6">
        <f>ORG!W24</f>
        <v>-1.9000000020241714E-4</v>
      </c>
      <c r="H15" s="2896">
        <f>ORG!X24</f>
        <v>1.4210854715202004E-13</v>
      </c>
      <c r="I15" s="2896">
        <f>ORG!Y24</f>
        <v>1.4210854715202004E-13</v>
      </c>
      <c r="J15" s="2896">
        <f>ORG!Z24</f>
        <v>3.694822225952521E-13</v>
      </c>
      <c r="K15" s="2896">
        <f>ORG!AA24</f>
        <v>3.694822225952521E-13</v>
      </c>
      <c r="L15" s="2896">
        <f>ORG!AB24</f>
        <v>-8.5265128291212022E-14</v>
      </c>
      <c r="M15" s="2896">
        <f>ORG!AC24</f>
        <v>-8.5265128291212022E-14</v>
      </c>
      <c r="N15" s="2896">
        <f>ORG!AD24</f>
        <v>5.9685589803848416E-13</v>
      </c>
      <c r="O15" s="2896">
        <f>ORG!AE24</f>
        <v>1.4210854715202004E-13</v>
      </c>
      <c r="P15" s="2896">
        <f>ORG!AF24</f>
        <v>-8.5265128291212022E-14</v>
      </c>
      <c r="Q15" s="2896">
        <f>ORG!AG24</f>
        <v>1.4210854715202004E-13</v>
      </c>
      <c r="R15" s="2896">
        <f>ORG!AH24</f>
        <v>-3.1263880373444408E-13</v>
      </c>
      <c r="S15" s="2896">
        <f>ORG!O24</f>
        <v>-1.8999998428625986E-4</v>
      </c>
      <c r="U15">
        <f t="shared" si="0"/>
        <v>-1.8999998428625986E-4</v>
      </c>
    </row>
    <row r="16" spans="1:21">
      <c r="A16" s="2895" t="str">
        <f>ORG!$S$1</f>
        <v>Apr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6">
        <f>ORG!W25</f>
        <v>0</v>
      </c>
      <c r="H16" s="2896">
        <f>ORG!X25</f>
        <v>0</v>
      </c>
      <c r="I16" s="2896">
        <f>ORG!Y25</f>
        <v>0</v>
      </c>
      <c r="J16" s="2896">
        <f>ORG!Z25</f>
        <v>0</v>
      </c>
      <c r="K16" s="2896">
        <f>ORG!AA25</f>
        <v>0</v>
      </c>
      <c r="L16" s="2896">
        <f>ORG!AB25</f>
        <v>0</v>
      </c>
      <c r="M16" s="2896">
        <f>ORG!AC25</f>
        <v>0</v>
      </c>
      <c r="N16" s="2896">
        <f>ORG!AD25</f>
        <v>0</v>
      </c>
      <c r="O16" s="2896">
        <f>ORG!AE25</f>
        <v>0</v>
      </c>
      <c r="P16" s="2896">
        <f>ORG!AF25</f>
        <v>0</v>
      </c>
      <c r="Q16" s="2896">
        <f>ORG!AG25</f>
        <v>0</v>
      </c>
      <c r="R16" s="2896">
        <f>ORG!AH25</f>
        <v>0</v>
      </c>
      <c r="S16" s="2896">
        <f>ORG!O25</f>
        <v>0</v>
      </c>
      <c r="U16">
        <f t="shared" si="0"/>
        <v>0</v>
      </c>
    </row>
    <row r="17" spans="1:21">
      <c r="A17" s="2895" t="str">
        <f>ORG!$S$1</f>
        <v>Apr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6">
        <f>ORG!W26</f>
        <v>0</v>
      </c>
      <c r="H17" s="2896">
        <f>ORG!X26</f>
        <v>0</v>
      </c>
      <c r="I17" s="2896">
        <f>ORG!Y26</f>
        <v>0</v>
      </c>
      <c r="J17" s="2896">
        <f>ORG!Z26</f>
        <v>0</v>
      </c>
      <c r="K17" s="2896">
        <f>ORG!AA26</f>
        <v>0</v>
      </c>
      <c r="L17" s="2896">
        <f>ORG!AB26</f>
        <v>0</v>
      </c>
      <c r="M17" s="2896">
        <f>ORG!AC26</f>
        <v>0</v>
      </c>
      <c r="N17" s="2896">
        <f>ORG!AD26</f>
        <v>0</v>
      </c>
      <c r="O17" s="2896">
        <f>ORG!AE26</f>
        <v>0</v>
      </c>
      <c r="P17" s="2896">
        <f>ORG!AF26</f>
        <v>0</v>
      </c>
      <c r="Q17" s="2896">
        <f>ORG!AG26</f>
        <v>0</v>
      </c>
      <c r="R17" s="2896">
        <f>ORG!AH26</f>
        <v>0</v>
      </c>
      <c r="S17" s="2896">
        <f>ORG!O26</f>
        <v>0</v>
      </c>
      <c r="U17">
        <f t="shared" si="0"/>
        <v>0</v>
      </c>
    </row>
    <row r="18" spans="1:21">
      <c r="A18" s="2895" t="str">
        <f>ORG!$S$1</f>
        <v>Apr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6">
        <f>ORG!W27</f>
        <v>0</v>
      </c>
      <c r="H18" s="2896">
        <f>ORG!X27</f>
        <v>0</v>
      </c>
      <c r="I18" s="2896">
        <f>ORG!Y27</f>
        <v>0</v>
      </c>
      <c r="J18" s="2896">
        <f>ORG!Z27</f>
        <v>0</v>
      </c>
      <c r="K18" s="2896">
        <f>ORG!AA27</f>
        <v>0</v>
      </c>
      <c r="L18" s="2896">
        <f>ORG!AB27</f>
        <v>0</v>
      </c>
      <c r="M18" s="2896">
        <f>ORG!AC27</f>
        <v>0</v>
      </c>
      <c r="N18" s="2896">
        <f>ORG!AD27</f>
        <v>0</v>
      </c>
      <c r="O18" s="2896">
        <f>ORG!AE27</f>
        <v>0</v>
      </c>
      <c r="P18" s="2896">
        <f>ORG!AF27</f>
        <v>0</v>
      </c>
      <c r="Q18" s="2896">
        <f>ORG!AG27</f>
        <v>0</v>
      </c>
      <c r="R18" s="2896">
        <f>ORG!AH27</f>
        <v>0</v>
      </c>
      <c r="S18" s="2896">
        <f>ORG!O27</f>
        <v>0</v>
      </c>
      <c r="U18">
        <f t="shared" si="0"/>
        <v>0</v>
      </c>
    </row>
    <row r="19" spans="1:21">
      <c r="A19" s="2895" t="str">
        <f>ORG!$S$1</f>
        <v>Apr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6">
        <f>ORG!W28</f>
        <v>0</v>
      </c>
      <c r="H19" s="2896">
        <f>ORG!X28</f>
        <v>0</v>
      </c>
      <c r="I19" s="2896">
        <f>ORG!Y28</f>
        <v>0</v>
      </c>
      <c r="J19" s="2896">
        <f>ORG!Z28</f>
        <v>0</v>
      </c>
      <c r="K19" s="2896">
        <f>ORG!AA28</f>
        <v>0</v>
      </c>
      <c r="L19" s="2896">
        <f>ORG!AB28</f>
        <v>0</v>
      </c>
      <c r="M19" s="2896">
        <f>ORG!AC28</f>
        <v>0</v>
      </c>
      <c r="N19" s="2896">
        <f>ORG!AD28</f>
        <v>0</v>
      </c>
      <c r="O19" s="2896">
        <f>ORG!AE28</f>
        <v>0</v>
      </c>
      <c r="P19" s="2896">
        <f>ORG!AF28</f>
        <v>0</v>
      </c>
      <c r="Q19" s="2896">
        <f>ORG!AG28</f>
        <v>0</v>
      </c>
      <c r="R19" s="2896">
        <f>ORG!AH28</f>
        <v>0</v>
      </c>
      <c r="S19" s="2896">
        <f>ORG!O28</f>
        <v>0</v>
      </c>
      <c r="U19">
        <f t="shared" si="0"/>
        <v>0</v>
      </c>
    </row>
    <row r="20" spans="1:21">
      <c r="A20" s="2895" t="str">
        <f>ORG!$S$1</f>
        <v>Apr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6">
        <f>ORG!W29</f>
        <v>0</v>
      </c>
      <c r="H20" s="2896">
        <f>ORG!X29</f>
        <v>0</v>
      </c>
      <c r="I20" s="2896">
        <f>ORG!Y29</f>
        <v>0</v>
      </c>
      <c r="J20" s="2896">
        <f>ORG!Z29</f>
        <v>0</v>
      </c>
      <c r="K20" s="2896">
        <f>ORG!AA29</f>
        <v>0</v>
      </c>
      <c r="L20" s="2896">
        <f>ORG!AB29</f>
        <v>0</v>
      </c>
      <c r="M20" s="2896">
        <f>ORG!AC29</f>
        <v>0</v>
      </c>
      <c r="N20" s="2896">
        <f>ORG!AD29</f>
        <v>0</v>
      </c>
      <c r="O20" s="2896">
        <f>ORG!AE29</f>
        <v>0</v>
      </c>
      <c r="P20" s="2896">
        <f>ORG!AF29</f>
        <v>0</v>
      </c>
      <c r="Q20" s="2896">
        <f>ORG!AG29</f>
        <v>0</v>
      </c>
      <c r="R20" s="2896">
        <f>ORG!AH29</f>
        <v>0</v>
      </c>
      <c r="S20" s="2896">
        <f>ORG!O29</f>
        <v>0</v>
      </c>
      <c r="U20">
        <f t="shared" si="0"/>
        <v>0</v>
      </c>
    </row>
    <row r="21" spans="1:21">
      <c r="A21" s="2895" t="str">
        <f>ORG!$S$1</f>
        <v>Apr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6">
        <f>ORG!W30</f>
        <v>0</v>
      </c>
      <c r="H21" s="2896">
        <f>ORG!X30</f>
        <v>0</v>
      </c>
      <c r="I21" s="2896">
        <f>ORG!Y30</f>
        <v>0</v>
      </c>
      <c r="J21" s="2896">
        <f>ORG!Z30</f>
        <v>0</v>
      </c>
      <c r="K21" s="2896">
        <f>ORG!AA30</f>
        <v>0</v>
      </c>
      <c r="L21" s="2896">
        <f>ORG!AB30</f>
        <v>0</v>
      </c>
      <c r="M21" s="2896">
        <f>ORG!AC30</f>
        <v>0</v>
      </c>
      <c r="N21" s="2896">
        <f>ORG!AD30</f>
        <v>0</v>
      </c>
      <c r="O21" s="2896">
        <f>ORG!AE30</f>
        <v>0</v>
      </c>
      <c r="P21" s="2896">
        <f>ORG!AF30</f>
        <v>0</v>
      </c>
      <c r="Q21" s="2896">
        <f>ORG!AG30</f>
        <v>0</v>
      </c>
      <c r="R21" s="2896">
        <f>ORG!AH30</f>
        <v>0</v>
      </c>
      <c r="S21" s="2896">
        <f>ORG!O30</f>
        <v>0</v>
      </c>
      <c r="U21">
        <f t="shared" si="0"/>
        <v>0</v>
      </c>
    </row>
    <row r="22" spans="1:21">
      <c r="A22" s="2895" t="str">
        <f>ORG!$S$1</f>
        <v>Apr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6">
        <f>ORG!W31</f>
        <v>0</v>
      </c>
      <c r="H22" s="2896">
        <f>ORG!X31</f>
        <v>0</v>
      </c>
      <c r="I22" s="2896">
        <f>ORG!Y31</f>
        <v>0</v>
      </c>
      <c r="J22" s="2896">
        <f>ORG!Z31</f>
        <v>0</v>
      </c>
      <c r="K22" s="2896">
        <f>ORG!AA31</f>
        <v>0</v>
      </c>
      <c r="L22" s="2896">
        <f>ORG!AB31</f>
        <v>0</v>
      </c>
      <c r="M22" s="2896">
        <f>ORG!AC31</f>
        <v>0</v>
      </c>
      <c r="N22" s="2896">
        <f>ORG!AD31</f>
        <v>0</v>
      </c>
      <c r="O22" s="2896">
        <f>ORG!AE31</f>
        <v>0</v>
      </c>
      <c r="P22" s="2896">
        <f>ORG!AF31</f>
        <v>0</v>
      </c>
      <c r="Q22" s="2896">
        <f>ORG!AG31</f>
        <v>0</v>
      </c>
      <c r="R22" s="2896">
        <f>ORG!AH31</f>
        <v>0</v>
      </c>
      <c r="S22" s="2896">
        <f>ORG!O31</f>
        <v>0</v>
      </c>
      <c r="U22">
        <f t="shared" si="0"/>
        <v>0</v>
      </c>
    </row>
    <row r="23" spans="1:21">
      <c r="A23" s="2895" t="str">
        <f>ORG!$S$1</f>
        <v>Apr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6">
        <f>ORG!W32</f>
        <v>0</v>
      </c>
      <c r="H23" s="2896">
        <f>ORG!X32</f>
        <v>0</v>
      </c>
      <c r="I23" s="2896">
        <f>ORG!Y32</f>
        <v>0</v>
      </c>
      <c r="J23" s="2896">
        <f>ORG!Z32</f>
        <v>0</v>
      </c>
      <c r="K23" s="2896">
        <f>ORG!AA32</f>
        <v>0</v>
      </c>
      <c r="L23" s="2896">
        <f>ORG!AB32</f>
        <v>0</v>
      </c>
      <c r="M23" s="2896">
        <f>ORG!AC32</f>
        <v>0</v>
      </c>
      <c r="N23" s="2896">
        <f>ORG!AD32</f>
        <v>0</v>
      </c>
      <c r="O23" s="2896">
        <f>ORG!AE32</f>
        <v>0</v>
      </c>
      <c r="P23" s="2896">
        <f>ORG!AF32</f>
        <v>0</v>
      </c>
      <c r="Q23" s="2896">
        <f>ORG!AG32</f>
        <v>0</v>
      </c>
      <c r="R23" s="2896">
        <f>ORG!AH32</f>
        <v>0</v>
      </c>
      <c r="S23" s="2896">
        <f>ORG!O32</f>
        <v>0</v>
      </c>
      <c r="U23">
        <f t="shared" si="0"/>
        <v>0</v>
      </c>
    </row>
    <row r="24" spans="1:21">
      <c r="A24" s="2895" t="str">
        <f>ORG!$S$1</f>
        <v>Apr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6">
        <f>ORG!W33</f>
        <v>0</v>
      </c>
      <c r="H24" s="2896">
        <f>ORG!X33</f>
        <v>0</v>
      </c>
      <c r="I24" s="2896">
        <f>ORG!Y33</f>
        <v>0</v>
      </c>
      <c r="J24" s="2896">
        <f>ORG!Z33</f>
        <v>0</v>
      </c>
      <c r="K24" s="2896">
        <f>ORG!AA33</f>
        <v>0</v>
      </c>
      <c r="L24" s="2896">
        <f>ORG!AB33</f>
        <v>0</v>
      </c>
      <c r="M24" s="2896">
        <f>ORG!AC33</f>
        <v>0</v>
      </c>
      <c r="N24" s="2896">
        <f>ORG!AD33</f>
        <v>0</v>
      </c>
      <c r="O24" s="2896">
        <f>ORG!AE33</f>
        <v>0</v>
      </c>
      <c r="P24" s="2896">
        <f>ORG!AF33</f>
        <v>0</v>
      </c>
      <c r="Q24" s="2896">
        <f>ORG!AG33</f>
        <v>0</v>
      </c>
      <c r="R24" s="2896">
        <f>ORG!AH33</f>
        <v>0</v>
      </c>
      <c r="S24" s="2896">
        <f>ORG!O33</f>
        <v>0</v>
      </c>
      <c r="U24">
        <f t="shared" si="0"/>
        <v>0</v>
      </c>
    </row>
    <row r="25" spans="1:21">
      <c r="A25" s="2895" t="str">
        <f>ORG!$S$1</f>
        <v>Apr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6">
        <f>ORG!W34</f>
        <v>0</v>
      </c>
      <c r="H25" s="2896">
        <f>ORG!X34</f>
        <v>0</v>
      </c>
      <c r="I25" s="2896">
        <f>ORG!Y34</f>
        <v>0</v>
      </c>
      <c r="J25" s="2896">
        <f>ORG!Z34</f>
        <v>0</v>
      </c>
      <c r="K25" s="2896">
        <f>ORG!AA34</f>
        <v>0</v>
      </c>
      <c r="L25" s="2896">
        <f>ORG!AB34</f>
        <v>0</v>
      </c>
      <c r="M25" s="2896">
        <f>ORG!AC34</f>
        <v>0</v>
      </c>
      <c r="N25" s="2896">
        <f>ORG!AD34</f>
        <v>0</v>
      </c>
      <c r="O25" s="2896">
        <f>ORG!AE34</f>
        <v>0</v>
      </c>
      <c r="P25" s="2896">
        <f>ORG!AF34</f>
        <v>0</v>
      </c>
      <c r="Q25" s="2896">
        <f>ORG!AG34</f>
        <v>0</v>
      </c>
      <c r="R25" s="2896">
        <f>ORG!AH34</f>
        <v>0</v>
      </c>
      <c r="S25" s="2896">
        <f>ORG!O34</f>
        <v>0</v>
      </c>
      <c r="U25">
        <f t="shared" si="0"/>
        <v>0</v>
      </c>
    </row>
    <row r="26" spans="1:21">
      <c r="A26" s="2895" t="str">
        <f>ORG!$S$1</f>
        <v>Apr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6">
        <f>ORG!W35</f>
        <v>0</v>
      </c>
      <c r="H26" s="2896">
        <f>ORG!X35</f>
        <v>0</v>
      </c>
      <c r="I26" s="2896">
        <f>ORG!Y35</f>
        <v>0</v>
      </c>
      <c r="J26" s="2896">
        <f>ORG!Z35</f>
        <v>0</v>
      </c>
      <c r="K26" s="2896">
        <f>ORG!AA35</f>
        <v>0</v>
      </c>
      <c r="L26" s="2896">
        <f>ORG!AB35</f>
        <v>0</v>
      </c>
      <c r="M26" s="2896">
        <f>ORG!AC35</f>
        <v>0</v>
      </c>
      <c r="N26" s="2896">
        <f>ORG!AD35</f>
        <v>0</v>
      </c>
      <c r="O26" s="2896">
        <f>ORG!AE35</f>
        <v>0</v>
      </c>
      <c r="P26" s="2896">
        <f>ORG!AF35</f>
        <v>0</v>
      </c>
      <c r="Q26" s="2896">
        <f>ORG!AG35</f>
        <v>0</v>
      </c>
      <c r="R26" s="2896">
        <f>ORG!AH35</f>
        <v>0</v>
      </c>
      <c r="S26" s="2896">
        <f>ORG!O35</f>
        <v>0</v>
      </c>
      <c r="U26">
        <f t="shared" si="0"/>
        <v>0</v>
      </c>
    </row>
    <row r="27" spans="1:21">
      <c r="A27" s="2895" t="str">
        <f>ORG!$S$1</f>
        <v>Apr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6">
        <f>ORG!W36</f>
        <v>50</v>
      </c>
      <c r="H27" s="2896">
        <f>ORG!X36</f>
        <v>0</v>
      </c>
      <c r="I27" s="2896">
        <f>ORG!Y36</f>
        <v>0</v>
      </c>
      <c r="J27" s="2896">
        <f>ORG!Z36</f>
        <v>0</v>
      </c>
      <c r="K27" s="2896">
        <f>ORG!AA36</f>
        <v>0</v>
      </c>
      <c r="L27" s="2896">
        <f>ORG!AB36</f>
        <v>0</v>
      </c>
      <c r="M27" s="2896">
        <f>ORG!AC36</f>
        <v>0</v>
      </c>
      <c r="N27" s="2896">
        <f>ORG!AD36</f>
        <v>0</v>
      </c>
      <c r="O27" s="2896">
        <f>ORG!AE36</f>
        <v>0</v>
      </c>
      <c r="P27" s="2896">
        <f>ORG!AF36</f>
        <v>0</v>
      </c>
      <c r="Q27" s="2896">
        <f>ORG!AG36</f>
        <v>0</v>
      </c>
      <c r="R27" s="2896">
        <f>ORG!AH36</f>
        <v>-50</v>
      </c>
      <c r="S27" s="2896">
        <f>ORG!O36</f>
        <v>0</v>
      </c>
      <c r="U27">
        <f t="shared" si="0"/>
        <v>0</v>
      </c>
    </row>
    <row r="28" spans="1:21">
      <c r="A28" s="2895" t="str">
        <f>ORG!$S$1</f>
        <v>Apr 23</v>
      </c>
      <c r="B28" t="str">
        <f>ORG!$M$1</f>
        <v>Public Health Wales Trust</v>
      </c>
      <c r="C28" t="str">
        <f>ORG!$M$3</f>
        <v>Table A - Movement of Opening Financial Plan to Forecast Outturn</v>
      </c>
      <c r="D28">
        <f>ORG!$M37</f>
        <v>27</v>
      </c>
      <c r="E28" t="str">
        <f>ORG!$O$9</f>
        <v>In Year Effect</v>
      </c>
      <c r="F28">
        <f>ORG!$N37</f>
        <v>0</v>
      </c>
      <c r="G28" s="2896">
        <f>ORG!W37</f>
        <v>0</v>
      </c>
      <c r="H28" s="2896">
        <f>ORG!X37</f>
        <v>0</v>
      </c>
      <c r="I28" s="2896">
        <f>ORG!Y37</f>
        <v>0</v>
      </c>
      <c r="J28" s="2896">
        <f>ORG!Z37</f>
        <v>0</v>
      </c>
      <c r="K28" s="2896">
        <f>ORG!AA37</f>
        <v>0</v>
      </c>
      <c r="L28" s="2896">
        <f>ORG!AB37</f>
        <v>0</v>
      </c>
      <c r="M28" s="2896">
        <f>ORG!AC37</f>
        <v>0</v>
      </c>
      <c r="N28" s="2896">
        <f>ORG!AD37</f>
        <v>0</v>
      </c>
      <c r="O28" s="2896">
        <f>ORG!AE37</f>
        <v>0</v>
      </c>
      <c r="P28" s="2896">
        <f>ORG!AF37</f>
        <v>0</v>
      </c>
      <c r="Q28" s="2896">
        <f>ORG!AG37</f>
        <v>0</v>
      </c>
      <c r="R28" s="2896">
        <f>ORG!AH37</f>
        <v>0</v>
      </c>
      <c r="S28" s="2896">
        <f>ORG!O37</f>
        <v>0</v>
      </c>
      <c r="U28">
        <f t="shared" ref="U28:U42" si="1">S28+T28</f>
        <v>0</v>
      </c>
    </row>
    <row r="29" spans="1:21">
      <c r="A29" s="2895" t="str">
        <f>ORG!$S$1</f>
        <v>Apr 23</v>
      </c>
      <c r="B29" t="str">
        <f>ORG!$M$1</f>
        <v>Public Health Wales Trust</v>
      </c>
      <c r="C29" t="str">
        <f>ORG!$M$3</f>
        <v>Table A - Movement of Opening Financial Plan to Forecast Outturn</v>
      </c>
      <c r="D29">
        <f>ORG!$M38</f>
        <v>28</v>
      </c>
      <c r="E29" t="str">
        <f>ORG!$O$9</f>
        <v>In Year Effect</v>
      </c>
      <c r="F29">
        <f>ORG!$N38</f>
        <v>0</v>
      </c>
      <c r="G29" s="2896">
        <f>ORG!W38</f>
        <v>0</v>
      </c>
      <c r="H29" s="2896">
        <f>ORG!X38</f>
        <v>0</v>
      </c>
      <c r="I29" s="2896">
        <f>ORG!Y38</f>
        <v>0</v>
      </c>
      <c r="J29" s="2896">
        <f>ORG!Z38</f>
        <v>0</v>
      </c>
      <c r="K29" s="2896">
        <f>ORG!AA38</f>
        <v>0</v>
      </c>
      <c r="L29" s="2896">
        <f>ORG!AB38</f>
        <v>0</v>
      </c>
      <c r="M29" s="2896">
        <f>ORG!AC38</f>
        <v>0</v>
      </c>
      <c r="N29" s="2896">
        <f>ORG!AD38</f>
        <v>0</v>
      </c>
      <c r="O29" s="2896">
        <f>ORG!AE38</f>
        <v>0</v>
      </c>
      <c r="P29" s="2896">
        <f>ORG!AF38</f>
        <v>0</v>
      </c>
      <c r="Q29" s="2896">
        <f>ORG!AG38</f>
        <v>0</v>
      </c>
      <c r="R29" s="2896">
        <f>ORG!AH38</f>
        <v>0</v>
      </c>
      <c r="S29" s="2896">
        <f>ORG!O38</f>
        <v>0</v>
      </c>
      <c r="U29">
        <f t="shared" si="1"/>
        <v>0</v>
      </c>
    </row>
    <row r="30" spans="1:21">
      <c r="A30" s="2895" t="str">
        <f>ORG!$S$1</f>
        <v>Apr 23</v>
      </c>
      <c r="B30" t="str">
        <f>ORG!$M$1</f>
        <v>Public Health Wales Trust</v>
      </c>
      <c r="C30" t="str">
        <f>ORG!$M$3</f>
        <v>Table A - Movement of Opening Financial Plan to Forecast Outturn</v>
      </c>
      <c r="D30">
        <f>ORG!$M39</f>
        <v>29</v>
      </c>
      <c r="E30" t="str">
        <f>ORG!$O$9</f>
        <v>In Year Effect</v>
      </c>
      <c r="F30">
        <f>ORG!$N39</f>
        <v>0</v>
      </c>
      <c r="G30" s="2896">
        <f>ORG!W39</f>
        <v>0</v>
      </c>
      <c r="H30" s="2896">
        <f>ORG!X39</f>
        <v>0</v>
      </c>
      <c r="I30" s="2896">
        <f>ORG!Y39</f>
        <v>0</v>
      </c>
      <c r="J30" s="2896">
        <f>ORG!Z39</f>
        <v>0</v>
      </c>
      <c r="K30" s="2896">
        <f>ORG!AA39</f>
        <v>0</v>
      </c>
      <c r="L30" s="2896">
        <f>ORG!AB39</f>
        <v>0</v>
      </c>
      <c r="M30" s="2896">
        <f>ORG!AC39</f>
        <v>0</v>
      </c>
      <c r="N30" s="2896">
        <f>ORG!AD39</f>
        <v>0</v>
      </c>
      <c r="O30" s="2896">
        <f>ORG!AE39</f>
        <v>0</v>
      </c>
      <c r="P30" s="2896">
        <f>ORG!AF39</f>
        <v>0</v>
      </c>
      <c r="Q30" s="2896">
        <f>ORG!AG39</f>
        <v>0</v>
      </c>
      <c r="R30" s="2896">
        <f>ORG!AH39</f>
        <v>0</v>
      </c>
      <c r="S30" s="2896">
        <f>ORG!O39</f>
        <v>0</v>
      </c>
      <c r="U30">
        <f t="shared" si="1"/>
        <v>0</v>
      </c>
    </row>
    <row r="31" spans="1:21">
      <c r="A31" s="2895" t="str">
        <f>ORG!$S$1</f>
        <v>Apr 23</v>
      </c>
      <c r="B31" t="str">
        <f>ORG!$M$1</f>
        <v>Public Health Wales Trust</v>
      </c>
      <c r="C31" t="str">
        <f>ORG!$M$3</f>
        <v>Table A - Movement of Opening Financial Plan to Forecast Outturn</v>
      </c>
      <c r="D31">
        <f>ORG!$M40</f>
        <v>30</v>
      </c>
      <c r="E31" t="str">
        <f>ORG!$O$9</f>
        <v>In Year Effect</v>
      </c>
      <c r="F31">
        <f>ORG!$N40</f>
        <v>0</v>
      </c>
      <c r="G31" s="2896">
        <f>ORG!W40</f>
        <v>0</v>
      </c>
      <c r="H31" s="2896">
        <f>ORG!X40</f>
        <v>0</v>
      </c>
      <c r="I31" s="2896">
        <f>ORG!Y40</f>
        <v>0</v>
      </c>
      <c r="J31" s="2896">
        <f>ORG!Z40</f>
        <v>0</v>
      </c>
      <c r="K31" s="2896">
        <f>ORG!AA40</f>
        <v>0</v>
      </c>
      <c r="L31" s="2896">
        <f>ORG!AB40</f>
        <v>0</v>
      </c>
      <c r="M31" s="2896">
        <f>ORG!AC40</f>
        <v>0</v>
      </c>
      <c r="N31" s="2896">
        <f>ORG!AD40</f>
        <v>0</v>
      </c>
      <c r="O31" s="2896">
        <f>ORG!AE40</f>
        <v>0</v>
      </c>
      <c r="P31" s="2896">
        <f>ORG!AF40</f>
        <v>0</v>
      </c>
      <c r="Q31" s="2896">
        <f>ORG!AG40</f>
        <v>0</v>
      </c>
      <c r="R31" s="2896">
        <f>ORG!AH40</f>
        <v>0</v>
      </c>
      <c r="S31" s="2896">
        <f>ORG!O40</f>
        <v>0</v>
      </c>
      <c r="U31">
        <f t="shared" si="1"/>
        <v>0</v>
      </c>
    </row>
    <row r="32" spans="1:21">
      <c r="A32" s="2895" t="str">
        <f>ORG!$S$1</f>
        <v>Apr 23</v>
      </c>
      <c r="B32" t="str">
        <f>ORG!$M$1</f>
        <v>Public Health Wales Trust</v>
      </c>
      <c r="C32" t="str">
        <f>ORG!$M$3</f>
        <v>Table A - Movement of Opening Financial Plan to Forecast Outturn</v>
      </c>
      <c r="D32">
        <f>ORG!$M41</f>
        <v>31</v>
      </c>
      <c r="E32" t="str">
        <f>ORG!$O$9</f>
        <v>In Year Effect</v>
      </c>
      <c r="F32">
        <f>ORG!$N41</f>
        <v>0</v>
      </c>
      <c r="G32" s="2896">
        <f>ORG!W41</f>
        <v>0</v>
      </c>
      <c r="H32" s="2896">
        <f>ORG!X41</f>
        <v>0</v>
      </c>
      <c r="I32" s="2896">
        <f>ORG!Y41</f>
        <v>0</v>
      </c>
      <c r="J32" s="2896">
        <f>ORG!Z41</f>
        <v>0</v>
      </c>
      <c r="K32" s="2896">
        <f>ORG!AA41</f>
        <v>0</v>
      </c>
      <c r="L32" s="2896">
        <f>ORG!AB41</f>
        <v>0</v>
      </c>
      <c r="M32" s="2896">
        <f>ORG!AC41</f>
        <v>0</v>
      </c>
      <c r="N32" s="2896">
        <f>ORG!AD41</f>
        <v>0</v>
      </c>
      <c r="O32" s="2896">
        <f>ORG!AE41</f>
        <v>0</v>
      </c>
      <c r="P32" s="2896">
        <f>ORG!AF41</f>
        <v>0</v>
      </c>
      <c r="Q32" s="2896">
        <f>ORG!AG41</f>
        <v>0</v>
      </c>
      <c r="R32" s="2896">
        <f>ORG!AH41</f>
        <v>0</v>
      </c>
      <c r="S32" s="2896">
        <f>ORG!O41</f>
        <v>0</v>
      </c>
      <c r="U32">
        <f t="shared" ref="U32:U35" si="2">S32+T32</f>
        <v>0</v>
      </c>
    </row>
    <row r="33" spans="1:21">
      <c r="A33" s="2895" t="str">
        <f>ORG!$S$1</f>
        <v>Apr 23</v>
      </c>
      <c r="B33" t="str">
        <f>ORG!$M$1</f>
        <v>Public Health Wales Trust</v>
      </c>
      <c r="C33" t="str">
        <f>ORG!$M$3</f>
        <v>Table A - Movement of Opening Financial Plan to Forecast Outturn</v>
      </c>
      <c r="D33">
        <f>ORG!$M42</f>
        <v>32</v>
      </c>
      <c r="E33" t="str">
        <f>ORG!$O$9</f>
        <v>In Year Effect</v>
      </c>
      <c r="F33">
        <f>ORG!$N42</f>
        <v>0</v>
      </c>
      <c r="G33" s="2896">
        <f>ORG!W42</f>
        <v>0</v>
      </c>
      <c r="H33" s="2896">
        <f>ORG!X42</f>
        <v>0</v>
      </c>
      <c r="I33" s="2896">
        <f>ORG!Y42</f>
        <v>0</v>
      </c>
      <c r="J33" s="2896">
        <f>ORG!Z42</f>
        <v>0</v>
      </c>
      <c r="K33" s="2896">
        <f>ORG!AA42</f>
        <v>0</v>
      </c>
      <c r="L33" s="2896">
        <f>ORG!AB42</f>
        <v>0</v>
      </c>
      <c r="M33" s="2896">
        <f>ORG!AC42</f>
        <v>0</v>
      </c>
      <c r="N33" s="2896">
        <f>ORG!AD42</f>
        <v>0</v>
      </c>
      <c r="O33" s="2896">
        <f>ORG!AE42</f>
        <v>0</v>
      </c>
      <c r="P33" s="2896">
        <f>ORG!AF42</f>
        <v>0</v>
      </c>
      <c r="Q33" s="2896">
        <f>ORG!AG42</f>
        <v>0</v>
      </c>
      <c r="R33" s="2896">
        <f>ORG!AH42</f>
        <v>0</v>
      </c>
      <c r="S33" s="2896">
        <f>ORG!O42</f>
        <v>0</v>
      </c>
      <c r="U33">
        <f t="shared" si="2"/>
        <v>0</v>
      </c>
    </row>
    <row r="34" spans="1:21">
      <c r="A34" s="2895" t="str">
        <f>ORG!$S$1</f>
        <v>Apr 23</v>
      </c>
      <c r="B34" t="str">
        <f>ORG!$M$1</f>
        <v>Public Health Wales Trust</v>
      </c>
      <c r="C34" t="str">
        <f>ORG!$M$3</f>
        <v>Table A - Movement of Opening Financial Plan to Forecast Outturn</v>
      </c>
      <c r="D34">
        <f>ORG!$M43</f>
        <v>33</v>
      </c>
      <c r="E34" t="str">
        <f>ORG!$O$9</f>
        <v>In Year Effect</v>
      </c>
      <c r="F34">
        <f>ORG!$N43</f>
        <v>0</v>
      </c>
      <c r="G34" s="2896">
        <f>ORG!W43</f>
        <v>0</v>
      </c>
      <c r="H34" s="2896">
        <f>ORG!X43</f>
        <v>0</v>
      </c>
      <c r="I34" s="2896">
        <f>ORG!Y43</f>
        <v>0</v>
      </c>
      <c r="J34" s="2896">
        <f>ORG!Z43</f>
        <v>0</v>
      </c>
      <c r="K34" s="2896">
        <f>ORG!AA43</f>
        <v>0</v>
      </c>
      <c r="L34" s="2896">
        <f>ORG!AB43</f>
        <v>0</v>
      </c>
      <c r="M34" s="2896">
        <f>ORG!AC43</f>
        <v>0</v>
      </c>
      <c r="N34" s="2896">
        <f>ORG!AD43</f>
        <v>0</v>
      </c>
      <c r="O34" s="2896">
        <f>ORG!AE43</f>
        <v>0</v>
      </c>
      <c r="P34" s="2896">
        <f>ORG!AF43</f>
        <v>0</v>
      </c>
      <c r="Q34" s="2896">
        <f>ORG!AG43</f>
        <v>0</v>
      </c>
      <c r="R34" s="2896">
        <f>ORG!AH43</f>
        <v>0</v>
      </c>
      <c r="S34" s="2896">
        <f>ORG!O43</f>
        <v>0</v>
      </c>
      <c r="U34">
        <f t="shared" si="2"/>
        <v>0</v>
      </c>
    </row>
    <row r="35" spans="1:21">
      <c r="A35" s="2895" t="str">
        <f>ORG!$S$1</f>
        <v>Apr 23</v>
      </c>
      <c r="B35" t="str">
        <f>ORG!$M$1</f>
        <v>Public Health Wales Trust</v>
      </c>
      <c r="C35" t="str">
        <f>ORG!$M$3</f>
        <v>Table A - Movement of Opening Financial Plan to Forecast Outturn</v>
      </c>
      <c r="D35">
        <f>ORG!$M44</f>
        <v>34</v>
      </c>
      <c r="E35" t="str">
        <f>ORG!$O$9</f>
        <v>In Year Effect</v>
      </c>
      <c r="F35">
        <f>ORG!$N44</f>
        <v>0</v>
      </c>
      <c r="G35" s="2896">
        <f>ORG!W44</f>
        <v>0</v>
      </c>
      <c r="H35" s="2896">
        <f>ORG!X44</f>
        <v>0</v>
      </c>
      <c r="I35" s="2896">
        <f>ORG!Y44</f>
        <v>0</v>
      </c>
      <c r="J35" s="2896">
        <f>ORG!Z44</f>
        <v>0</v>
      </c>
      <c r="K35" s="2896">
        <f>ORG!AA44</f>
        <v>0</v>
      </c>
      <c r="L35" s="2896">
        <f>ORG!AB44</f>
        <v>0</v>
      </c>
      <c r="M35" s="2896">
        <f>ORG!AC44</f>
        <v>0</v>
      </c>
      <c r="N35" s="2896">
        <f>ORG!AD44</f>
        <v>0</v>
      </c>
      <c r="O35" s="2896">
        <f>ORG!AE44</f>
        <v>0</v>
      </c>
      <c r="P35" s="2896">
        <f>ORG!AF44</f>
        <v>0</v>
      </c>
      <c r="Q35" s="2896">
        <f>ORG!AG44</f>
        <v>0</v>
      </c>
      <c r="R35" s="2896">
        <f>ORG!AH44</f>
        <v>0</v>
      </c>
      <c r="S35" s="2896">
        <f>ORG!O44</f>
        <v>0</v>
      </c>
      <c r="U35">
        <f t="shared" si="2"/>
        <v>0</v>
      </c>
    </row>
    <row r="36" spans="1:21">
      <c r="A36" s="2895" t="str">
        <f>ORG!$S$1</f>
        <v>Apr 23</v>
      </c>
      <c r="B36" t="str">
        <f>ORG!$M$1</f>
        <v>Public Health Wales Trust</v>
      </c>
      <c r="C36" t="str">
        <f>ORG!$M$3</f>
        <v>Table A - Movement of Opening Financial Plan to Forecast Outturn</v>
      </c>
      <c r="D36">
        <f>ORG!$M45</f>
        <v>35</v>
      </c>
      <c r="E36" t="str">
        <f>ORG!$O$9</f>
        <v>In Year Effect</v>
      </c>
      <c r="F36">
        <f>ORG!$N45</f>
        <v>0</v>
      </c>
      <c r="G36" s="2896">
        <f>ORG!W45</f>
        <v>0</v>
      </c>
      <c r="H36" s="2896">
        <f>ORG!X45</f>
        <v>0</v>
      </c>
      <c r="I36" s="2896">
        <f>ORG!Y45</f>
        <v>0</v>
      </c>
      <c r="J36" s="2896">
        <f>ORG!Z45</f>
        <v>0</v>
      </c>
      <c r="K36" s="2896">
        <f>ORG!AA45</f>
        <v>0</v>
      </c>
      <c r="L36" s="2896">
        <f>ORG!AB45</f>
        <v>0</v>
      </c>
      <c r="M36" s="2896">
        <f>ORG!AC45</f>
        <v>0</v>
      </c>
      <c r="N36" s="2896">
        <f>ORG!AD45</f>
        <v>0</v>
      </c>
      <c r="O36" s="2896">
        <f>ORG!AE45</f>
        <v>0</v>
      </c>
      <c r="P36" s="2896">
        <f>ORG!AF45</f>
        <v>0</v>
      </c>
      <c r="Q36" s="2896">
        <f>ORG!AG45</f>
        <v>0</v>
      </c>
      <c r="R36" s="2896">
        <f>ORG!AH45</f>
        <v>0</v>
      </c>
      <c r="S36" s="2896">
        <f>ORG!O45</f>
        <v>0</v>
      </c>
      <c r="U36">
        <f t="shared" si="1"/>
        <v>0</v>
      </c>
    </row>
    <row r="37" spans="1:21">
      <c r="A37" s="2895" t="str">
        <f>ORG!$S$1</f>
        <v>Apr 23</v>
      </c>
      <c r="B37" t="str">
        <f>ORG!$M$1</f>
        <v>Public Health Wales Trust</v>
      </c>
      <c r="C37" t="str">
        <f>ORG!$M$3</f>
        <v>Table A - Movement of Opening Financial Plan to Forecast Outturn</v>
      </c>
      <c r="D37">
        <f>ORG!$M46</f>
        <v>36</v>
      </c>
      <c r="E37" t="str">
        <f>ORG!$O$9</f>
        <v>In Year Effect</v>
      </c>
      <c r="F37">
        <f>ORG!$N46</f>
        <v>0</v>
      </c>
      <c r="G37" s="2896">
        <f>ORG!W46</f>
        <v>0</v>
      </c>
      <c r="H37" s="2896">
        <f>ORG!X46</f>
        <v>0</v>
      </c>
      <c r="I37" s="2896">
        <f>ORG!Y46</f>
        <v>0</v>
      </c>
      <c r="J37" s="2896">
        <f>ORG!Z46</f>
        <v>0</v>
      </c>
      <c r="K37" s="2896">
        <f>ORG!AA46</f>
        <v>0</v>
      </c>
      <c r="L37" s="2896">
        <f>ORG!AB46</f>
        <v>0</v>
      </c>
      <c r="M37" s="2896">
        <f>ORG!AC46</f>
        <v>0</v>
      </c>
      <c r="N37" s="2896">
        <f>ORG!AD46</f>
        <v>0</v>
      </c>
      <c r="O37" s="2896">
        <f>ORG!AE46</f>
        <v>0</v>
      </c>
      <c r="P37" s="2896">
        <f>ORG!AF46</f>
        <v>0</v>
      </c>
      <c r="Q37" s="2896">
        <f>ORG!AG46</f>
        <v>0</v>
      </c>
      <c r="R37" s="2896">
        <f>ORG!AH46</f>
        <v>0</v>
      </c>
      <c r="S37" s="2896">
        <f>ORG!O46</f>
        <v>0</v>
      </c>
      <c r="U37">
        <f t="shared" si="1"/>
        <v>0</v>
      </c>
    </row>
    <row r="38" spans="1:21">
      <c r="A38" s="2895" t="str">
        <f>ORG!$S$1</f>
        <v>Apr 23</v>
      </c>
      <c r="B38" t="str">
        <f>ORG!$M$1</f>
        <v>Public Health Wales Trust</v>
      </c>
      <c r="C38" t="str">
        <f>ORG!$M$3</f>
        <v>Table A - Movement of Opening Financial Plan to Forecast Outturn</v>
      </c>
      <c r="D38">
        <f>ORG!$M47</f>
        <v>37</v>
      </c>
      <c r="E38" t="str">
        <f>ORG!$O$9</f>
        <v>In Year Effect</v>
      </c>
      <c r="F38">
        <f>ORG!$N47</f>
        <v>0</v>
      </c>
      <c r="G38" s="2896">
        <f>ORG!W47</f>
        <v>0</v>
      </c>
      <c r="H38" s="2896">
        <f>ORG!X47</f>
        <v>0</v>
      </c>
      <c r="I38" s="2896">
        <f>ORG!Y47</f>
        <v>0</v>
      </c>
      <c r="J38" s="2896">
        <f>ORG!Z47</f>
        <v>0</v>
      </c>
      <c r="K38" s="2896">
        <f>ORG!AA47</f>
        <v>0</v>
      </c>
      <c r="L38" s="2896">
        <f>ORG!AB47</f>
        <v>0</v>
      </c>
      <c r="M38" s="2896">
        <f>ORG!AC47</f>
        <v>0</v>
      </c>
      <c r="N38" s="2896">
        <f>ORG!AD47</f>
        <v>0</v>
      </c>
      <c r="O38" s="2896">
        <f>ORG!AE47</f>
        <v>0</v>
      </c>
      <c r="P38" s="2896">
        <f>ORG!AF47</f>
        <v>0</v>
      </c>
      <c r="Q38" s="2896">
        <f>ORG!AG47</f>
        <v>0</v>
      </c>
      <c r="R38" s="2896">
        <f>ORG!AH47</f>
        <v>0</v>
      </c>
      <c r="S38" s="2896">
        <f>ORG!O47</f>
        <v>0</v>
      </c>
      <c r="U38">
        <f t="shared" si="1"/>
        <v>0</v>
      </c>
    </row>
    <row r="39" spans="1:21">
      <c r="A39" s="2895" t="str">
        <f>ORG!$S$1</f>
        <v>Apr 23</v>
      </c>
      <c r="B39" t="str">
        <f>ORG!$M$1</f>
        <v>Public Health Wales Trust</v>
      </c>
      <c r="C39" t="str">
        <f>ORG!$M$3</f>
        <v>Table A - Movement of Opening Financial Plan to Forecast Outturn</v>
      </c>
      <c r="D39">
        <f>ORG!$M48</f>
        <v>38</v>
      </c>
      <c r="E39" t="str">
        <f>ORG!$O$9</f>
        <v>In Year Effect</v>
      </c>
      <c r="F39">
        <f>ORG!$N48</f>
        <v>0</v>
      </c>
      <c r="G39" s="2896">
        <f>ORG!W48</f>
        <v>0</v>
      </c>
      <c r="H39" s="2896">
        <f>ORG!X48</f>
        <v>0</v>
      </c>
      <c r="I39" s="2896">
        <f>ORG!Y48</f>
        <v>0</v>
      </c>
      <c r="J39" s="2896">
        <f>ORG!Z48</f>
        <v>0</v>
      </c>
      <c r="K39" s="2896">
        <f>ORG!AA48</f>
        <v>0</v>
      </c>
      <c r="L39" s="2896">
        <f>ORG!AB48</f>
        <v>0</v>
      </c>
      <c r="M39" s="2896">
        <f>ORG!AC48</f>
        <v>0</v>
      </c>
      <c r="N39" s="2896">
        <f>ORG!AD48</f>
        <v>0</v>
      </c>
      <c r="O39" s="2896">
        <f>ORG!AE48</f>
        <v>0</v>
      </c>
      <c r="P39" s="2896">
        <f>ORG!AF48</f>
        <v>0</v>
      </c>
      <c r="Q39" s="2896">
        <f>ORG!AG48</f>
        <v>0</v>
      </c>
      <c r="R39" s="2896">
        <f>ORG!AH48</f>
        <v>0</v>
      </c>
      <c r="S39" s="2896">
        <f>ORG!O48</f>
        <v>0</v>
      </c>
      <c r="U39">
        <f t="shared" si="1"/>
        <v>0</v>
      </c>
    </row>
    <row r="40" spans="1:21">
      <c r="A40" s="2895" t="str">
        <f>ORG!$S$1</f>
        <v>Apr 23</v>
      </c>
      <c r="B40" t="str">
        <f>ORG!$M$1</f>
        <v>Public Health Wales Trust</v>
      </c>
      <c r="C40" t="str">
        <f>ORG!$M$3</f>
        <v>Table A - Movement of Opening Financial Plan to Forecast Outturn</v>
      </c>
      <c r="D40">
        <f>ORG!$M49</f>
        <v>39</v>
      </c>
      <c r="E40" t="str">
        <f>ORG!$O$9</f>
        <v>In Year Effect</v>
      </c>
      <c r="F40">
        <f>ORG!$N49</f>
        <v>0</v>
      </c>
      <c r="G40" s="2896">
        <f>ORG!W49</f>
        <v>0</v>
      </c>
      <c r="H40" s="2896">
        <f>ORG!X49</f>
        <v>0</v>
      </c>
      <c r="I40" s="2896">
        <f>ORG!Y49</f>
        <v>0</v>
      </c>
      <c r="J40" s="2896">
        <f>ORG!Z49</f>
        <v>0</v>
      </c>
      <c r="K40" s="2896">
        <f>ORG!AA49</f>
        <v>0</v>
      </c>
      <c r="L40" s="2896">
        <f>ORG!AB49</f>
        <v>0</v>
      </c>
      <c r="M40" s="2896">
        <f>ORG!AC49</f>
        <v>0</v>
      </c>
      <c r="N40" s="2896">
        <f>ORG!AD49</f>
        <v>0</v>
      </c>
      <c r="O40" s="2896">
        <f>ORG!AE49</f>
        <v>0</v>
      </c>
      <c r="P40" s="2896">
        <f>ORG!AF49</f>
        <v>0</v>
      </c>
      <c r="Q40" s="2896">
        <f>ORG!AG49</f>
        <v>0</v>
      </c>
      <c r="R40" s="2896">
        <f>ORG!AH49</f>
        <v>0</v>
      </c>
      <c r="S40" s="2896">
        <f>ORG!O49</f>
        <v>0</v>
      </c>
      <c r="U40">
        <f t="shared" si="1"/>
        <v>0</v>
      </c>
    </row>
    <row r="41" spans="1:21">
      <c r="A41" s="2895" t="str">
        <f>ORG!$S$1</f>
        <v>Apr 23</v>
      </c>
      <c r="B41" t="str">
        <f>ORG!$M$1</f>
        <v>Public Health Wales Trust</v>
      </c>
      <c r="C41" t="str">
        <f>ORG!$M$3</f>
        <v>Table A - Movement of Opening Financial Plan to Forecast Outturn</v>
      </c>
      <c r="D41">
        <f>ORG!$M50</f>
        <v>40</v>
      </c>
      <c r="E41" t="str">
        <f>ORG!$O$9</f>
        <v>In Year Effect</v>
      </c>
      <c r="F41" t="str">
        <f>ORG!$N50</f>
        <v>Forecast Outturn (- Deficit / + Surplus)</v>
      </c>
      <c r="G41" s="2896">
        <f>ORG!W50</f>
        <v>49.999809999999798</v>
      </c>
      <c r="H41" s="2896">
        <f>ORG!X50</f>
        <v>1.4210854715202004E-13</v>
      </c>
      <c r="I41" s="2896">
        <f>ORG!Y50</f>
        <v>1.4210854715202004E-13</v>
      </c>
      <c r="J41" s="2896">
        <f>ORG!Z50</f>
        <v>3.694822225952521E-13</v>
      </c>
      <c r="K41" s="2896">
        <f>ORG!AA50</f>
        <v>3.694822225952521E-13</v>
      </c>
      <c r="L41" s="2896">
        <f>ORG!AB50</f>
        <v>-8.5265128291212022E-14</v>
      </c>
      <c r="M41" s="2896">
        <f>ORG!AC50</f>
        <v>-8.5265128291212022E-14</v>
      </c>
      <c r="N41" s="2896">
        <f>ORG!AD50</f>
        <v>5.9685589803848416E-13</v>
      </c>
      <c r="O41" s="2896">
        <f>ORG!AE50</f>
        <v>1.4210854715202004E-13</v>
      </c>
      <c r="P41" s="2896">
        <f>ORG!AF50</f>
        <v>-8.5265128291212022E-14</v>
      </c>
      <c r="Q41" s="2896">
        <f>ORG!AG50</f>
        <v>1.4210854715202004E-13</v>
      </c>
      <c r="R41" s="2896">
        <f>ORG!AH50</f>
        <v>-50.000000000000313</v>
      </c>
      <c r="S41" s="2896">
        <f>ORG!O50</f>
        <v>-1.8999998428625986E-4</v>
      </c>
      <c r="U41">
        <f t="shared" si="1"/>
        <v>-1.8999998428625986E-4</v>
      </c>
    </row>
    <row r="42" spans="1:21">
      <c r="A42" s="2895" t="str">
        <f>ORG!$S$1</f>
        <v>Apr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6">
        <f>ORG!W52</f>
        <v>-1.900000000887303E-4</v>
      </c>
      <c r="H42" s="2896">
        <f>ORG!X52</f>
        <v>0</v>
      </c>
      <c r="I42" s="2896">
        <f>ORG!Y52</f>
        <v>0</v>
      </c>
      <c r="J42" s="2896">
        <f>ORG!Z52</f>
        <v>0</v>
      </c>
      <c r="K42" s="2896">
        <f>ORG!AA52</f>
        <v>0</v>
      </c>
      <c r="L42" s="2896">
        <f>ORG!AB52</f>
        <v>0</v>
      </c>
      <c r="M42" s="2896">
        <f>ORG!AC52</f>
        <v>0</v>
      </c>
      <c r="N42" s="2896">
        <f>ORG!AD52</f>
        <v>0</v>
      </c>
      <c r="O42" s="2896">
        <f>ORG!AE52</f>
        <v>0</v>
      </c>
      <c r="P42" s="2896">
        <f>ORG!AF52</f>
        <v>0</v>
      </c>
      <c r="Q42" s="2896">
        <f>ORG!AG52</f>
        <v>0</v>
      </c>
      <c r="R42" s="2896">
        <f>ORG!AH52</f>
        <v>0</v>
      </c>
      <c r="S42" s="2896">
        <f>ORG!O52</f>
        <v>-1.900000000887303E-4</v>
      </c>
      <c r="U42">
        <f t="shared" si="1"/>
        <v>-1.900000000887303E-4</v>
      </c>
    </row>
    <row r="43" spans="1:21">
      <c r="A43" s="2895" t="str">
        <f>ORG!$S$1</f>
        <v>Apr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6">
        <f>ORG!W54</f>
        <v>49.999999999999886</v>
      </c>
      <c r="H43" s="2896">
        <f>ORG!X54</f>
        <v>1.4210854715202004E-13</v>
      </c>
      <c r="I43" s="2896">
        <f>ORG!Y54</f>
        <v>1.4210854715202004E-13</v>
      </c>
      <c r="J43" s="2896">
        <f>ORG!Z54</f>
        <v>3.694822225952521E-13</v>
      </c>
      <c r="K43" s="2896">
        <f>ORG!AA54</f>
        <v>3.694822225952521E-13</v>
      </c>
      <c r="L43" s="2896">
        <f>ORG!AB54</f>
        <v>-8.5265128291212022E-14</v>
      </c>
      <c r="M43" s="2896">
        <f>ORG!AC54</f>
        <v>-8.5265128291212022E-14</v>
      </c>
      <c r="N43" s="2896">
        <f>ORG!AD54</f>
        <v>5.9685589803848416E-13</v>
      </c>
      <c r="O43" s="2896">
        <f>ORG!AE54</f>
        <v>1.4210854715202004E-13</v>
      </c>
      <c r="P43" s="2896">
        <f>ORG!AF54</f>
        <v>-8.5265128291212022E-14</v>
      </c>
      <c r="Q43" s="2896">
        <f>ORG!AG54</f>
        <v>1.4210854715202004E-13</v>
      </c>
      <c r="R43" s="2896">
        <f>ORG!AH54</f>
        <v>-50.000000000000313</v>
      </c>
      <c r="S43" s="2896">
        <f>ORG!O54</f>
        <v>1.5802470443304628E-11</v>
      </c>
      <c r="U43">
        <f>S43+T43</f>
        <v>1.5802470443304628E-11</v>
      </c>
    </row>
    <row r="44" spans="1:21">
      <c r="A44" s="2895" t="str">
        <f>ORG!$S$1</f>
        <v>Apr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6">
        <f>ORG!P11</f>
        <v>0</v>
      </c>
      <c r="U44">
        <f t="shared" si="0"/>
        <v>0</v>
      </c>
    </row>
    <row r="45" spans="1:21">
      <c r="A45" s="2895" t="str">
        <f>ORG!$S$1</f>
        <v>Apr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6">
        <f>ORG!P12</f>
        <v>-3060.9999999999927</v>
      </c>
      <c r="U45">
        <f t="shared" si="0"/>
        <v>-3060.9999999999927</v>
      </c>
    </row>
    <row r="46" spans="1:21">
      <c r="A46" s="2895" t="str">
        <f>ORG!$S$1</f>
        <v>Apr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6">
        <f>ORG!P13</f>
        <v>-16930.000000976004</v>
      </c>
      <c r="U46">
        <f t="shared" si="0"/>
        <v>-16930.000000976004</v>
      </c>
    </row>
    <row r="47" spans="1:21">
      <c r="A47" s="2895" t="str">
        <f>ORG!$S$1</f>
        <v>Apr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6">
        <f>ORG!P14</f>
        <v>2400.0000000000109</v>
      </c>
      <c r="U47">
        <f t="shared" si="0"/>
        <v>2400.0000000000109</v>
      </c>
    </row>
    <row r="48" spans="1:21">
      <c r="A48" s="2895" t="str">
        <f>ORG!$S$1</f>
        <v>Apr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6">
        <f>ORG!P15</f>
        <v>16929.999810976002</v>
      </c>
      <c r="U48">
        <f t="shared" si="0"/>
        <v>16929.999810976002</v>
      </c>
    </row>
    <row r="49" spans="1:21">
      <c r="A49" s="2895" t="str">
        <f>ORG!$S$1</f>
        <v>Apr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6">
        <f>ORG!P16</f>
        <v>0</v>
      </c>
      <c r="U49">
        <f t="shared" si="0"/>
        <v>0</v>
      </c>
    </row>
    <row r="50" spans="1:21">
      <c r="A50" s="2895" t="str">
        <f>ORG!$S$1</f>
        <v>Apr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6">
        <f>ORG!P17</f>
        <v>0</v>
      </c>
      <c r="U50">
        <f t="shared" si="0"/>
        <v>0</v>
      </c>
    </row>
    <row r="51" spans="1:21">
      <c r="A51" s="2895" t="str">
        <f>ORG!$S$1</f>
        <v>Apr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6">
        <f>ORG!P18</f>
        <v>661</v>
      </c>
      <c r="U51">
        <f t="shared" si="0"/>
        <v>661</v>
      </c>
    </row>
    <row r="52" spans="1:21">
      <c r="A52" s="2895" t="str">
        <f>ORG!$S$1</f>
        <v>Apr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6">
        <f>ORG!P19</f>
        <v>0</v>
      </c>
      <c r="U52">
        <f t="shared" si="0"/>
        <v>0</v>
      </c>
    </row>
    <row r="53" spans="1:21">
      <c r="A53" s="2895" t="str">
        <f>ORG!$S$1</f>
        <v>Apr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6">
        <f>ORG!P20</f>
        <v>0</v>
      </c>
      <c r="U53">
        <f t="shared" si="0"/>
        <v>0</v>
      </c>
    </row>
    <row r="54" spans="1:21">
      <c r="A54" s="2895" t="str">
        <f>ORG!$S$1</f>
        <v>Apr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6">
        <f>ORG!P21</f>
        <v>0</v>
      </c>
      <c r="U54">
        <f t="shared" si="0"/>
        <v>0</v>
      </c>
    </row>
    <row r="55" spans="1:21">
      <c r="A55" s="2895" t="str">
        <f>ORG!$S$1</f>
        <v>Apr 23</v>
      </c>
      <c r="B55" t="str">
        <f>ORG!$M$1</f>
        <v>Public Health Wales Trust</v>
      </c>
      <c r="C55" t="str">
        <f>ORG!$M$3</f>
        <v>Table A - Movement of Opening Financial Plan to Forecast Outturn</v>
      </c>
      <c r="D55">
        <f>ORG!$M22</f>
        <v>12</v>
      </c>
      <c r="E55" t="str">
        <f>ORG!$P$9</f>
        <v>Non Recurring</v>
      </c>
      <c r="F55">
        <f>ORG!$N22</f>
        <v>0</v>
      </c>
      <c r="S55" s="2896">
        <f>ORG!P22</f>
        <v>0</v>
      </c>
      <c r="U55">
        <f t="shared" si="0"/>
        <v>0</v>
      </c>
    </row>
    <row r="56" spans="1:21">
      <c r="A56" s="2895" t="str">
        <f>ORG!$S$1</f>
        <v>Apr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6">
        <f>ORG!P23</f>
        <v>0</v>
      </c>
      <c r="U56">
        <f t="shared" si="0"/>
        <v>0</v>
      </c>
    </row>
    <row r="57" spans="1:21">
      <c r="A57" s="2895" t="str">
        <f>ORG!$S$1</f>
        <v>Apr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6">
        <f>ORG!P24</f>
        <v>-1.8999998428625986E-4</v>
      </c>
      <c r="U57">
        <f t="shared" si="0"/>
        <v>-1.8999998428625986E-4</v>
      </c>
    </row>
    <row r="58" spans="1:21">
      <c r="A58" s="2895" t="str">
        <f>ORG!$S$1</f>
        <v>Apr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6">
        <f>ORG!P25</f>
        <v>0</v>
      </c>
      <c r="U58">
        <f t="shared" si="0"/>
        <v>0</v>
      </c>
    </row>
    <row r="59" spans="1:21">
      <c r="A59" s="2895" t="str">
        <f>ORG!$S$1</f>
        <v>Apr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6">
        <f>ORG!P26</f>
        <v>0</v>
      </c>
      <c r="U59">
        <f t="shared" si="0"/>
        <v>0</v>
      </c>
    </row>
    <row r="60" spans="1:21">
      <c r="A60" s="2895" t="str">
        <f>ORG!$S$1</f>
        <v>Apr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6">
        <f>ORG!P27</f>
        <v>0</v>
      </c>
      <c r="U60">
        <f t="shared" si="0"/>
        <v>0</v>
      </c>
    </row>
    <row r="61" spans="1:21">
      <c r="A61" s="2895" t="str">
        <f>ORG!$S$1</f>
        <v>Apr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6">
        <f>ORG!P28</f>
        <v>0</v>
      </c>
      <c r="U61">
        <f t="shared" ref="U61:U131" si="3">S61+T61</f>
        <v>0</v>
      </c>
    </row>
    <row r="62" spans="1:21">
      <c r="A62" s="2895" t="str">
        <f>ORG!$S$1</f>
        <v>Apr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6">
        <f>ORG!P29</f>
        <v>0</v>
      </c>
      <c r="U62">
        <f t="shared" si="3"/>
        <v>0</v>
      </c>
    </row>
    <row r="63" spans="1:21">
      <c r="A63" s="2895" t="str">
        <f>ORG!$S$1</f>
        <v>Apr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6">
        <f>ORG!P30</f>
        <v>0</v>
      </c>
      <c r="U63">
        <f t="shared" si="3"/>
        <v>0</v>
      </c>
    </row>
    <row r="64" spans="1:21">
      <c r="A64" s="2895" t="str">
        <f>ORG!$S$1</f>
        <v>Apr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6">
        <f>ORG!P31</f>
        <v>0</v>
      </c>
      <c r="U64">
        <f t="shared" si="3"/>
        <v>0</v>
      </c>
    </row>
    <row r="65" spans="1:21">
      <c r="A65" s="2895" t="str">
        <f>ORG!$S$1</f>
        <v>Apr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6">
        <f>ORG!P32</f>
        <v>0</v>
      </c>
      <c r="U65">
        <f t="shared" si="3"/>
        <v>0</v>
      </c>
    </row>
    <row r="66" spans="1:21">
      <c r="A66" s="2895" t="str">
        <f>ORG!$S$1</f>
        <v>Apr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6">
        <f>ORG!P33</f>
        <v>0</v>
      </c>
      <c r="U66">
        <f t="shared" si="3"/>
        <v>0</v>
      </c>
    </row>
    <row r="67" spans="1:21">
      <c r="A67" s="2895" t="str">
        <f>ORG!$S$1</f>
        <v>Apr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6">
        <f>ORG!P34</f>
        <v>0</v>
      </c>
      <c r="U67">
        <f t="shared" si="3"/>
        <v>0</v>
      </c>
    </row>
    <row r="68" spans="1:21">
      <c r="A68" s="2895" t="str">
        <f>ORG!$S$1</f>
        <v>Apr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6">
        <f>ORG!P35</f>
        <v>0</v>
      </c>
      <c r="U68">
        <f t="shared" si="3"/>
        <v>0</v>
      </c>
    </row>
    <row r="69" spans="1:21">
      <c r="A69" s="2895" t="str">
        <f>ORG!$S$1</f>
        <v>Apr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6">
        <f>ORG!P36</f>
        <v>0</v>
      </c>
      <c r="U69">
        <f t="shared" si="3"/>
        <v>0</v>
      </c>
    </row>
    <row r="70" spans="1:21">
      <c r="A70" s="2895" t="str">
        <f>ORG!$S$1</f>
        <v>Apr 23</v>
      </c>
      <c r="B70" t="str">
        <f>ORG!$M$1</f>
        <v>Public Health Wales Trust</v>
      </c>
      <c r="C70" t="str">
        <f>ORG!$M$3</f>
        <v>Table A - Movement of Opening Financial Plan to Forecast Outturn</v>
      </c>
      <c r="D70">
        <f>ORG!$M37</f>
        <v>27</v>
      </c>
      <c r="E70" t="str">
        <f>ORG!$P$9</f>
        <v>Non Recurring</v>
      </c>
      <c r="F70">
        <f>ORG!$N37</f>
        <v>0</v>
      </c>
      <c r="S70" s="2896">
        <f>ORG!P37</f>
        <v>0</v>
      </c>
      <c r="U70">
        <f t="shared" ref="U70:U83" si="4">S70+T70</f>
        <v>0</v>
      </c>
    </row>
    <row r="71" spans="1:21">
      <c r="A71" s="2895" t="str">
        <f>ORG!$S$1</f>
        <v>Apr 23</v>
      </c>
      <c r="B71" t="str">
        <f>ORG!$M$1</f>
        <v>Public Health Wales Trust</v>
      </c>
      <c r="C71" t="str">
        <f>ORG!$M$3</f>
        <v>Table A - Movement of Opening Financial Plan to Forecast Outturn</v>
      </c>
      <c r="D71">
        <f>ORG!$M38</f>
        <v>28</v>
      </c>
      <c r="E71" t="str">
        <f>ORG!$P$9</f>
        <v>Non Recurring</v>
      </c>
      <c r="F71">
        <f>ORG!$N38</f>
        <v>0</v>
      </c>
      <c r="S71" s="2896">
        <f>ORG!P38</f>
        <v>0</v>
      </c>
      <c r="U71">
        <f t="shared" si="4"/>
        <v>0</v>
      </c>
    </row>
    <row r="72" spans="1:21">
      <c r="A72" s="2895" t="str">
        <f>ORG!$S$1</f>
        <v>Apr 23</v>
      </c>
      <c r="B72" t="str">
        <f>ORG!$M$1</f>
        <v>Public Health Wales Trust</v>
      </c>
      <c r="C72" t="str">
        <f>ORG!$M$3</f>
        <v>Table A - Movement of Opening Financial Plan to Forecast Outturn</v>
      </c>
      <c r="D72">
        <f>ORG!$M39</f>
        <v>29</v>
      </c>
      <c r="E72" t="str">
        <f>ORG!$P$9</f>
        <v>Non Recurring</v>
      </c>
      <c r="F72">
        <f>ORG!$N39</f>
        <v>0</v>
      </c>
      <c r="S72" s="2896">
        <f>ORG!P39</f>
        <v>0</v>
      </c>
      <c r="U72">
        <f t="shared" si="4"/>
        <v>0</v>
      </c>
    </row>
    <row r="73" spans="1:21">
      <c r="A73" s="2895" t="str">
        <f>ORG!$S$1</f>
        <v>Apr 23</v>
      </c>
      <c r="B73" t="str">
        <f>ORG!$M$1</f>
        <v>Public Health Wales Trust</v>
      </c>
      <c r="C73" t="str">
        <f>ORG!$M$3</f>
        <v>Table A - Movement of Opening Financial Plan to Forecast Outturn</v>
      </c>
      <c r="D73">
        <f>ORG!$M40</f>
        <v>30</v>
      </c>
      <c r="E73" t="str">
        <f>ORG!$P$9</f>
        <v>Non Recurring</v>
      </c>
      <c r="F73">
        <f>ORG!$N40</f>
        <v>0</v>
      </c>
      <c r="S73" s="2896">
        <f>ORG!P40</f>
        <v>0</v>
      </c>
      <c r="U73">
        <f t="shared" si="4"/>
        <v>0</v>
      </c>
    </row>
    <row r="74" spans="1:21">
      <c r="A74" s="2895" t="str">
        <f>ORG!$S$1</f>
        <v>Apr 23</v>
      </c>
      <c r="B74" t="str">
        <f>ORG!$M$1</f>
        <v>Public Health Wales Trust</v>
      </c>
      <c r="C74" t="str">
        <f>ORG!$M$3</f>
        <v>Table A - Movement of Opening Financial Plan to Forecast Outturn</v>
      </c>
      <c r="D74">
        <f>ORG!$M41</f>
        <v>31</v>
      </c>
      <c r="E74" t="str">
        <f>ORG!$P$9</f>
        <v>Non Recurring</v>
      </c>
      <c r="F74">
        <f>ORG!$N41</f>
        <v>0</v>
      </c>
      <c r="S74" s="2896">
        <f>ORG!P41</f>
        <v>0</v>
      </c>
      <c r="U74">
        <f t="shared" ref="U74:U77" si="5">S74+T74</f>
        <v>0</v>
      </c>
    </row>
    <row r="75" spans="1:21">
      <c r="A75" s="2895" t="str">
        <f>ORG!$S$1</f>
        <v>Apr 23</v>
      </c>
      <c r="B75" t="str">
        <f>ORG!$M$1</f>
        <v>Public Health Wales Trust</v>
      </c>
      <c r="C75" t="str">
        <f>ORG!$M$3</f>
        <v>Table A - Movement of Opening Financial Plan to Forecast Outturn</v>
      </c>
      <c r="D75">
        <f>ORG!$M42</f>
        <v>32</v>
      </c>
      <c r="E75" t="str">
        <f>ORG!$P$9</f>
        <v>Non Recurring</v>
      </c>
      <c r="F75">
        <f>ORG!$N42</f>
        <v>0</v>
      </c>
      <c r="S75" s="2896">
        <f>ORG!P42</f>
        <v>0</v>
      </c>
      <c r="U75">
        <f t="shared" si="5"/>
        <v>0</v>
      </c>
    </row>
    <row r="76" spans="1:21">
      <c r="A76" s="2895" t="str">
        <f>ORG!$S$1</f>
        <v>Apr 23</v>
      </c>
      <c r="B76" t="str">
        <f>ORG!$M$1</f>
        <v>Public Health Wales Trust</v>
      </c>
      <c r="C76" t="str">
        <f>ORG!$M$3</f>
        <v>Table A - Movement of Opening Financial Plan to Forecast Outturn</v>
      </c>
      <c r="D76">
        <f>ORG!$M43</f>
        <v>33</v>
      </c>
      <c r="E76" t="str">
        <f>ORG!$P$9</f>
        <v>Non Recurring</v>
      </c>
      <c r="F76">
        <f>ORG!$N43</f>
        <v>0</v>
      </c>
      <c r="S76" s="2896">
        <f>ORG!P43</f>
        <v>0</v>
      </c>
      <c r="U76">
        <f t="shared" si="5"/>
        <v>0</v>
      </c>
    </row>
    <row r="77" spans="1:21">
      <c r="A77" s="2895" t="str">
        <f>ORG!$S$1</f>
        <v>Apr 23</v>
      </c>
      <c r="B77" t="str">
        <f>ORG!$M$1</f>
        <v>Public Health Wales Trust</v>
      </c>
      <c r="C77" t="str">
        <f>ORG!$M$3</f>
        <v>Table A - Movement of Opening Financial Plan to Forecast Outturn</v>
      </c>
      <c r="D77">
        <f>ORG!$M44</f>
        <v>34</v>
      </c>
      <c r="E77" t="str">
        <f>ORG!$P$9</f>
        <v>Non Recurring</v>
      </c>
      <c r="F77">
        <f>ORG!$N44</f>
        <v>0</v>
      </c>
      <c r="S77" s="2896">
        <f>ORG!P44</f>
        <v>0</v>
      </c>
      <c r="U77">
        <f t="shared" si="5"/>
        <v>0</v>
      </c>
    </row>
    <row r="78" spans="1:21">
      <c r="A78" s="2895" t="str">
        <f>ORG!$S$1</f>
        <v>Apr 23</v>
      </c>
      <c r="B78" t="str">
        <f>ORG!$M$1</f>
        <v>Public Health Wales Trust</v>
      </c>
      <c r="C78" t="str">
        <f>ORG!$M$3</f>
        <v>Table A - Movement of Opening Financial Plan to Forecast Outturn</v>
      </c>
      <c r="D78">
        <f>ORG!$M45</f>
        <v>35</v>
      </c>
      <c r="E78" t="str">
        <f>ORG!$P$9</f>
        <v>Non Recurring</v>
      </c>
      <c r="F78">
        <f>ORG!$N45</f>
        <v>0</v>
      </c>
      <c r="S78" s="2896">
        <f>ORG!P45</f>
        <v>0</v>
      </c>
      <c r="U78">
        <f t="shared" si="4"/>
        <v>0</v>
      </c>
    </row>
    <row r="79" spans="1:21">
      <c r="A79" s="2895" t="str">
        <f>ORG!$S$1</f>
        <v>Apr 23</v>
      </c>
      <c r="B79" t="str">
        <f>ORG!$M$1</f>
        <v>Public Health Wales Trust</v>
      </c>
      <c r="C79" t="str">
        <f>ORG!$M$3</f>
        <v>Table A - Movement of Opening Financial Plan to Forecast Outturn</v>
      </c>
      <c r="D79">
        <f>ORG!$M46</f>
        <v>36</v>
      </c>
      <c r="E79" t="str">
        <f>ORG!$P$9</f>
        <v>Non Recurring</v>
      </c>
      <c r="F79">
        <f>ORG!$N46</f>
        <v>0</v>
      </c>
      <c r="S79" s="2896">
        <f>ORG!P46</f>
        <v>0</v>
      </c>
      <c r="U79">
        <f t="shared" si="4"/>
        <v>0</v>
      </c>
    </row>
    <row r="80" spans="1:21">
      <c r="A80" s="2895" t="str">
        <f>ORG!$S$1</f>
        <v>Apr 23</v>
      </c>
      <c r="B80" t="str">
        <f>ORG!$M$1</f>
        <v>Public Health Wales Trust</v>
      </c>
      <c r="C80" t="str">
        <f>ORG!$M$3</f>
        <v>Table A - Movement of Opening Financial Plan to Forecast Outturn</v>
      </c>
      <c r="D80">
        <f>ORG!$M47</f>
        <v>37</v>
      </c>
      <c r="E80" t="str">
        <f>ORG!$P$9</f>
        <v>Non Recurring</v>
      </c>
      <c r="F80">
        <f>ORG!$N47</f>
        <v>0</v>
      </c>
      <c r="S80" s="2896">
        <f>ORG!P47</f>
        <v>0</v>
      </c>
      <c r="U80">
        <f t="shared" si="4"/>
        <v>0</v>
      </c>
    </row>
    <row r="81" spans="1:21">
      <c r="A81" s="2895" t="str">
        <f>ORG!$S$1</f>
        <v>Apr 23</v>
      </c>
      <c r="B81" t="str">
        <f>ORG!$M$1</f>
        <v>Public Health Wales Trust</v>
      </c>
      <c r="C81" t="str">
        <f>ORG!$M$3</f>
        <v>Table A - Movement of Opening Financial Plan to Forecast Outturn</v>
      </c>
      <c r="D81">
        <f>ORG!$M48</f>
        <v>38</v>
      </c>
      <c r="E81" t="str">
        <f>ORG!$P$9</f>
        <v>Non Recurring</v>
      </c>
      <c r="F81">
        <f>ORG!$N48</f>
        <v>0</v>
      </c>
      <c r="S81" s="2896">
        <f>ORG!P48</f>
        <v>0</v>
      </c>
      <c r="U81">
        <f t="shared" si="4"/>
        <v>0</v>
      </c>
    </row>
    <row r="82" spans="1:21">
      <c r="A82" s="2895" t="str">
        <f>ORG!$S$1</f>
        <v>Apr 23</v>
      </c>
      <c r="B82" t="str">
        <f>ORG!$M$1</f>
        <v>Public Health Wales Trust</v>
      </c>
      <c r="C82" t="str">
        <f>ORG!$M$3</f>
        <v>Table A - Movement of Opening Financial Plan to Forecast Outturn</v>
      </c>
      <c r="D82">
        <f>ORG!$M49</f>
        <v>39</v>
      </c>
      <c r="E82" t="str">
        <f>ORG!$P$9</f>
        <v>Non Recurring</v>
      </c>
      <c r="F82">
        <f>ORG!$N49</f>
        <v>0</v>
      </c>
      <c r="S82" s="2896">
        <f>ORG!P49</f>
        <v>0</v>
      </c>
      <c r="U82">
        <f t="shared" si="4"/>
        <v>0</v>
      </c>
    </row>
    <row r="83" spans="1:21">
      <c r="A83" s="2895" t="str">
        <f>ORG!$S$1</f>
        <v>Apr 23</v>
      </c>
      <c r="B83" t="str">
        <f>ORG!$M$1</f>
        <v>Public Health Wales Trust</v>
      </c>
      <c r="C83" t="str">
        <f>ORG!$M$3</f>
        <v>Table A - Movement of Opening Financial Plan to Forecast Outturn</v>
      </c>
      <c r="D83">
        <f>ORG!$M50</f>
        <v>40</v>
      </c>
      <c r="E83" t="str">
        <f>ORG!$P$9</f>
        <v>Non Recurring</v>
      </c>
      <c r="F83" t="str">
        <f>ORG!$N50</f>
        <v>Forecast Outturn (- Deficit / + Surplus)</v>
      </c>
      <c r="S83" s="2896">
        <f>ORG!P50</f>
        <v>-1.8999998428625986E-4</v>
      </c>
      <c r="U83">
        <f t="shared" si="4"/>
        <v>-1.8999998428625986E-4</v>
      </c>
    </row>
    <row r="84" spans="1:21">
      <c r="A84" s="2895" t="str">
        <f>ORG!$S$1</f>
        <v>Apr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6">
        <f>ORG!Q11</f>
        <v>0</v>
      </c>
      <c r="U84">
        <f t="shared" si="3"/>
        <v>0</v>
      </c>
    </row>
    <row r="85" spans="1:21">
      <c r="A85" s="2895" t="str">
        <f>ORG!$S$1</f>
        <v>Apr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6">
        <f>ORG!Q12</f>
        <v>-30555</v>
      </c>
      <c r="U85">
        <f t="shared" si="3"/>
        <v>-30555</v>
      </c>
    </row>
    <row r="86" spans="1:21">
      <c r="A86" s="2895" t="str">
        <f>ORG!$S$1</f>
        <v>Apr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6">
        <f>ORG!Q13</f>
        <v>0</v>
      </c>
      <c r="U86">
        <f t="shared" si="3"/>
        <v>0</v>
      </c>
    </row>
    <row r="87" spans="1:21">
      <c r="A87" s="2895" t="str">
        <f>ORG!$S$1</f>
        <v>Apr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6">
        <f>ORG!Q14</f>
        <v>28042</v>
      </c>
      <c r="U87">
        <f t="shared" si="3"/>
        <v>28042</v>
      </c>
    </row>
    <row r="88" spans="1:21">
      <c r="A88" s="2895" t="str">
        <f>ORG!$S$1</f>
        <v>Apr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6">
        <f>ORG!Q15</f>
        <v>0</v>
      </c>
      <c r="U88">
        <f t="shared" si="3"/>
        <v>0</v>
      </c>
    </row>
    <row r="89" spans="1:21">
      <c r="A89" s="2895" t="str">
        <f>ORG!$S$1</f>
        <v>Apr 23</v>
      </c>
      <c r="B89" t="str">
        <f>ORG!$M$1</f>
        <v>Public Health Wales Trust</v>
      </c>
      <c r="C89" t="str">
        <f>ORG!$M$3</f>
        <v>Table A - Movement of Opening Financial Plan to Forecast Outturn</v>
      </c>
      <c r="D89">
        <f>ORG!$M16</f>
        <v>6</v>
      </c>
      <c r="E89" t="str">
        <f>ORG!$Q$9</f>
        <v>Recurring</v>
      </c>
      <c r="F89" t="str">
        <f>ORG!$N16</f>
        <v>Planned Provider Income (Positive Value)</v>
      </c>
      <c r="S89" s="2896">
        <f>ORG!Q16</f>
        <v>0</v>
      </c>
      <c r="U89">
        <f t="shared" si="3"/>
        <v>0</v>
      </c>
    </row>
    <row r="90" spans="1:21">
      <c r="A90" s="2895" t="str">
        <f>ORG!$S$1</f>
        <v>Apr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6">
        <f>ORG!Q17</f>
        <v>0</v>
      </c>
      <c r="U90">
        <f t="shared" si="3"/>
        <v>0</v>
      </c>
    </row>
    <row r="91" spans="1:21">
      <c r="A91" s="2895" t="str">
        <f>ORG!$S$1</f>
        <v>Apr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6">
        <f>ORG!Q18</f>
        <v>2513</v>
      </c>
      <c r="U91">
        <f t="shared" si="3"/>
        <v>2513</v>
      </c>
    </row>
    <row r="92" spans="1:21">
      <c r="A92" s="2895" t="str">
        <f>ORG!$S$1</f>
        <v>Apr 23</v>
      </c>
      <c r="B92" t="str">
        <f>ORG!$M$1</f>
        <v>Public Health Wales Trust</v>
      </c>
      <c r="C92" t="str">
        <f>ORG!$M$3</f>
        <v>Table A - Movement of Opening Financial Plan to Forecast Outturn</v>
      </c>
      <c r="D92">
        <f>ORG!$M19</f>
        <v>9</v>
      </c>
      <c r="E92" t="str">
        <f>ORG!$Q$9</f>
        <v>Recurring</v>
      </c>
      <c r="F92" t="str">
        <f>ORG!$N19</f>
        <v>Planned (Finalised) Net Income Generation</v>
      </c>
      <c r="S92" s="2896">
        <f>ORG!Q19</f>
        <v>0</v>
      </c>
      <c r="U92">
        <f t="shared" si="3"/>
        <v>0</v>
      </c>
    </row>
    <row r="93" spans="1:21">
      <c r="A93" s="2895" t="str">
        <f>ORG!$S$1</f>
        <v>Apr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6">
        <f>ORG!Q20</f>
        <v>0</v>
      </c>
      <c r="U93">
        <f t="shared" si="3"/>
        <v>0</v>
      </c>
    </row>
    <row r="94" spans="1:21">
      <c r="A94" s="2895" t="str">
        <f>ORG!$S$1</f>
        <v>Apr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6">
        <f>ORG!Q21</f>
        <v>0</v>
      </c>
      <c r="U94">
        <f t="shared" si="3"/>
        <v>0</v>
      </c>
    </row>
    <row r="95" spans="1:21">
      <c r="A95" s="2895" t="str">
        <f>ORG!$S$1</f>
        <v>Apr 23</v>
      </c>
      <c r="B95" t="str">
        <f>ORG!$M$1</f>
        <v>Public Health Wales Trust</v>
      </c>
      <c r="C95" t="str">
        <f>ORG!$M$3</f>
        <v>Table A - Movement of Opening Financial Plan to Forecast Outturn</v>
      </c>
      <c r="D95">
        <f>ORG!$M22</f>
        <v>12</v>
      </c>
      <c r="E95" t="str">
        <f>ORG!$Q$9</f>
        <v>Recurring</v>
      </c>
      <c r="F95">
        <f>ORG!$N22</f>
        <v>0</v>
      </c>
      <c r="S95" s="2896">
        <f>ORG!Q22</f>
        <v>0</v>
      </c>
      <c r="U95">
        <f t="shared" si="3"/>
        <v>0</v>
      </c>
    </row>
    <row r="96" spans="1:21">
      <c r="A96" s="2895" t="str">
        <f>ORG!$S$1</f>
        <v>Apr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6">
        <f>ORG!Q23</f>
        <v>0</v>
      </c>
      <c r="U96">
        <f t="shared" si="3"/>
        <v>0</v>
      </c>
    </row>
    <row r="97" spans="1:21">
      <c r="A97" s="2895" t="str">
        <f>ORG!$S$1</f>
        <v>Apr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6">
        <f>ORG!Q24</f>
        <v>0</v>
      </c>
      <c r="U97">
        <f t="shared" si="3"/>
        <v>0</v>
      </c>
    </row>
    <row r="98" spans="1:21">
      <c r="A98" s="2895" t="str">
        <f>ORG!$S$1</f>
        <v>Apr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6">
        <f>ORG!Q25</f>
        <v>0</v>
      </c>
      <c r="U98">
        <f t="shared" si="3"/>
        <v>0</v>
      </c>
    </row>
    <row r="99" spans="1:21">
      <c r="A99" s="2895" t="str">
        <f>ORG!$S$1</f>
        <v>Apr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6">
        <f>ORG!Q26</f>
        <v>0</v>
      </c>
      <c r="U99">
        <f t="shared" si="3"/>
        <v>0</v>
      </c>
    </row>
    <row r="100" spans="1:21">
      <c r="A100" s="2895" t="str">
        <f>ORG!$S$1</f>
        <v>Apr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6">
        <f>ORG!Q27</f>
        <v>0</v>
      </c>
      <c r="U100">
        <f t="shared" si="3"/>
        <v>0</v>
      </c>
    </row>
    <row r="101" spans="1:21">
      <c r="A101" s="2895" t="str">
        <f>ORG!$S$1</f>
        <v>Apr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6">
        <f>ORG!Q28</f>
        <v>0</v>
      </c>
      <c r="U101">
        <f t="shared" si="3"/>
        <v>0</v>
      </c>
    </row>
    <row r="102" spans="1:21">
      <c r="A102" s="2895" t="str">
        <f>ORG!$S$1</f>
        <v>Apr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6">
        <f>ORG!Q29</f>
        <v>0</v>
      </c>
      <c r="U102">
        <f t="shared" si="3"/>
        <v>0</v>
      </c>
    </row>
    <row r="103" spans="1:21">
      <c r="A103" s="2895" t="str">
        <f>ORG!$S$1</f>
        <v>Apr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6">
        <f>ORG!Q30</f>
        <v>0</v>
      </c>
      <c r="U103">
        <f t="shared" si="3"/>
        <v>0</v>
      </c>
    </row>
    <row r="104" spans="1:21">
      <c r="A104" s="2895" t="str">
        <f>ORG!$S$1</f>
        <v>Apr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6">
        <f>ORG!Q31</f>
        <v>0</v>
      </c>
      <c r="U104">
        <f t="shared" si="3"/>
        <v>0</v>
      </c>
    </row>
    <row r="105" spans="1:21">
      <c r="A105" s="2895" t="str">
        <f>ORG!$S$1</f>
        <v>Apr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6">
        <f>ORG!Q32</f>
        <v>0</v>
      </c>
      <c r="U105">
        <f t="shared" si="3"/>
        <v>0</v>
      </c>
    </row>
    <row r="106" spans="1:21">
      <c r="A106" s="2895" t="str">
        <f>ORG!$S$1</f>
        <v>Apr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6">
        <f>ORG!Q33</f>
        <v>0</v>
      </c>
      <c r="U106">
        <f t="shared" si="3"/>
        <v>0</v>
      </c>
    </row>
    <row r="107" spans="1:21">
      <c r="A107" s="2895" t="str">
        <f>ORG!$S$1</f>
        <v>Apr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6">
        <f>ORG!Q34</f>
        <v>0</v>
      </c>
      <c r="U107">
        <f t="shared" si="3"/>
        <v>0</v>
      </c>
    </row>
    <row r="108" spans="1:21">
      <c r="A108" s="2895" t="str">
        <f>ORG!$S$1</f>
        <v>Apr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6">
        <f>ORG!Q35</f>
        <v>0</v>
      </c>
      <c r="U108">
        <f t="shared" si="3"/>
        <v>0</v>
      </c>
    </row>
    <row r="109" spans="1:21">
      <c r="A109" s="2895" t="str">
        <f>ORG!$S$1</f>
        <v>Apr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6">
        <f>ORG!Q36</f>
        <v>0</v>
      </c>
      <c r="U109">
        <f t="shared" si="3"/>
        <v>0</v>
      </c>
    </row>
    <row r="110" spans="1:21">
      <c r="A110" s="2895" t="str">
        <f>ORG!$S$1</f>
        <v>Apr 23</v>
      </c>
      <c r="B110" t="str">
        <f>ORG!$M$1</f>
        <v>Public Health Wales Trust</v>
      </c>
      <c r="C110" t="str">
        <f>ORG!$M$3</f>
        <v>Table A - Movement of Opening Financial Plan to Forecast Outturn</v>
      </c>
      <c r="D110">
        <f>ORG!$M37</f>
        <v>27</v>
      </c>
      <c r="E110" t="str">
        <f>ORG!$Q$9</f>
        <v>Recurring</v>
      </c>
      <c r="F110">
        <f>ORG!$N37</f>
        <v>0</v>
      </c>
      <c r="S110" s="2896">
        <f>ORG!Q37</f>
        <v>0</v>
      </c>
      <c r="U110">
        <f t="shared" ref="U110:U123" si="6">S110+T110</f>
        <v>0</v>
      </c>
    </row>
    <row r="111" spans="1:21">
      <c r="A111" s="2895" t="str">
        <f>ORG!$S$1</f>
        <v>Apr 23</v>
      </c>
      <c r="B111" t="str">
        <f>ORG!$M$1</f>
        <v>Public Health Wales Trust</v>
      </c>
      <c r="C111" t="str">
        <f>ORG!$M$3</f>
        <v>Table A - Movement of Opening Financial Plan to Forecast Outturn</v>
      </c>
      <c r="D111">
        <f>ORG!$M38</f>
        <v>28</v>
      </c>
      <c r="E111" t="str">
        <f>ORG!$Q$9</f>
        <v>Recurring</v>
      </c>
      <c r="F111">
        <f>ORG!$N38</f>
        <v>0</v>
      </c>
      <c r="S111" s="2896">
        <f>ORG!Q38</f>
        <v>0</v>
      </c>
      <c r="U111">
        <f t="shared" si="6"/>
        <v>0</v>
      </c>
    </row>
    <row r="112" spans="1:21">
      <c r="A112" s="2895" t="str">
        <f>ORG!$S$1</f>
        <v>Apr 23</v>
      </c>
      <c r="B112" t="str">
        <f>ORG!$M$1</f>
        <v>Public Health Wales Trust</v>
      </c>
      <c r="C112" t="str">
        <f>ORG!$M$3</f>
        <v>Table A - Movement of Opening Financial Plan to Forecast Outturn</v>
      </c>
      <c r="D112">
        <f>ORG!$M39</f>
        <v>29</v>
      </c>
      <c r="E112" t="str">
        <f>ORG!$Q$9</f>
        <v>Recurring</v>
      </c>
      <c r="F112">
        <f>ORG!$N39</f>
        <v>0</v>
      </c>
      <c r="S112" s="2896">
        <f>ORG!Q39</f>
        <v>0</v>
      </c>
      <c r="U112">
        <f t="shared" si="6"/>
        <v>0</v>
      </c>
    </row>
    <row r="113" spans="1:21">
      <c r="A113" s="2895" t="str">
        <f>ORG!$S$1</f>
        <v>Apr 23</v>
      </c>
      <c r="B113" t="str">
        <f>ORG!$M$1</f>
        <v>Public Health Wales Trust</v>
      </c>
      <c r="C113" t="str">
        <f>ORG!$M$3</f>
        <v>Table A - Movement of Opening Financial Plan to Forecast Outturn</v>
      </c>
      <c r="D113">
        <f>ORG!$M40</f>
        <v>30</v>
      </c>
      <c r="E113" t="str">
        <f>ORG!$Q$9</f>
        <v>Recurring</v>
      </c>
      <c r="F113">
        <f>ORG!$N40</f>
        <v>0</v>
      </c>
      <c r="S113" s="2896">
        <f>ORG!Q40</f>
        <v>0</v>
      </c>
      <c r="U113">
        <f t="shared" si="6"/>
        <v>0</v>
      </c>
    </row>
    <row r="114" spans="1:21">
      <c r="A114" s="2895" t="str">
        <f>ORG!$S$1</f>
        <v>Apr 23</v>
      </c>
      <c r="B114" t="str">
        <f>ORG!$M$1</f>
        <v>Public Health Wales Trust</v>
      </c>
      <c r="C114" t="str">
        <f>ORG!$M$3</f>
        <v>Table A - Movement of Opening Financial Plan to Forecast Outturn</v>
      </c>
      <c r="D114">
        <f>ORG!$M41</f>
        <v>31</v>
      </c>
      <c r="E114" t="str">
        <f>ORG!$Q$9</f>
        <v>Recurring</v>
      </c>
      <c r="F114">
        <f>ORG!$N41</f>
        <v>0</v>
      </c>
      <c r="S114" s="2896">
        <f>ORG!Q41</f>
        <v>0</v>
      </c>
      <c r="U114">
        <f t="shared" ref="U114:U117" si="7">S114+T114</f>
        <v>0</v>
      </c>
    </row>
    <row r="115" spans="1:21">
      <c r="A115" s="2895" t="str">
        <f>ORG!$S$1</f>
        <v>Apr 23</v>
      </c>
      <c r="B115" t="str">
        <f>ORG!$M$1</f>
        <v>Public Health Wales Trust</v>
      </c>
      <c r="C115" t="str">
        <f>ORG!$M$3</f>
        <v>Table A - Movement of Opening Financial Plan to Forecast Outturn</v>
      </c>
      <c r="D115">
        <f>ORG!$M42</f>
        <v>32</v>
      </c>
      <c r="E115" t="str">
        <f>ORG!$Q$9</f>
        <v>Recurring</v>
      </c>
      <c r="F115">
        <f>ORG!$N42</f>
        <v>0</v>
      </c>
      <c r="S115" s="2896">
        <f>ORG!Q42</f>
        <v>0</v>
      </c>
      <c r="U115">
        <f t="shared" si="7"/>
        <v>0</v>
      </c>
    </row>
    <row r="116" spans="1:21">
      <c r="A116" s="2895" t="str">
        <f>ORG!$S$1</f>
        <v>Apr 23</v>
      </c>
      <c r="B116" t="str">
        <f>ORG!$M$1</f>
        <v>Public Health Wales Trust</v>
      </c>
      <c r="C116" t="str">
        <f>ORG!$M$3</f>
        <v>Table A - Movement of Opening Financial Plan to Forecast Outturn</v>
      </c>
      <c r="D116">
        <f>ORG!$M43</f>
        <v>33</v>
      </c>
      <c r="E116" t="str">
        <f>ORG!$Q$9</f>
        <v>Recurring</v>
      </c>
      <c r="F116">
        <f>ORG!$N43</f>
        <v>0</v>
      </c>
      <c r="S116" s="2896">
        <f>ORG!Q43</f>
        <v>0</v>
      </c>
      <c r="U116">
        <f t="shared" si="7"/>
        <v>0</v>
      </c>
    </row>
    <row r="117" spans="1:21">
      <c r="A117" s="2895" t="str">
        <f>ORG!$S$1</f>
        <v>Apr 23</v>
      </c>
      <c r="B117" t="str">
        <f>ORG!$M$1</f>
        <v>Public Health Wales Trust</v>
      </c>
      <c r="C117" t="str">
        <f>ORG!$M$3</f>
        <v>Table A - Movement of Opening Financial Plan to Forecast Outturn</v>
      </c>
      <c r="D117">
        <f>ORG!$M44</f>
        <v>34</v>
      </c>
      <c r="E117" t="str">
        <f>ORG!$Q$9</f>
        <v>Recurring</v>
      </c>
      <c r="F117">
        <f>ORG!$N44</f>
        <v>0</v>
      </c>
      <c r="S117" s="2896">
        <f>ORG!Q44</f>
        <v>0</v>
      </c>
      <c r="U117">
        <f t="shared" si="7"/>
        <v>0</v>
      </c>
    </row>
    <row r="118" spans="1:21">
      <c r="A118" s="2895" t="str">
        <f>ORG!$S$1</f>
        <v>Apr 23</v>
      </c>
      <c r="B118" t="str">
        <f>ORG!$M$1</f>
        <v>Public Health Wales Trust</v>
      </c>
      <c r="C118" t="str">
        <f>ORG!$M$3</f>
        <v>Table A - Movement of Opening Financial Plan to Forecast Outturn</v>
      </c>
      <c r="D118">
        <f>ORG!$M45</f>
        <v>35</v>
      </c>
      <c r="E118" t="str">
        <f>ORG!$Q$9</f>
        <v>Recurring</v>
      </c>
      <c r="F118">
        <f>ORG!$N45</f>
        <v>0</v>
      </c>
      <c r="S118" s="2896">
        <f>ORG!Q45</f>
        <v>0</v>
      </c>
      <c r="U118">
        <f t="shared" si="6"/>
        <v>0</v>
      </c>
    </row>
    <row r="119" spans="1:21">
      <c r="A119" s="2895" t="str">
        <f>ORG!$S$1</f>
        <v>Apr 23</v>
      </c>
      <c r="B119" t="str">
        <f>ORG!$M$1</f>
        <v>Public Health Wales Trust</v>
      </c>
      <c r="C119" t="str">
        <f>ORG!$M$3</f>
        <v>Table A - Movement of Opening Financial Plan to Forecast Outturn</v>
      </c>
      <c r="D119">
        <f>ORG!$M46</f>
        <v>36</v>
      </c>
      <c r="E119" t="str">
        <f>ORG!$Q$9</f>
        <v>Recurring</v>
      </c>
      <c r="F119">
        <f>ORG!$N46</f>
        <v>0</v>
      </c>
      <c r="S119" s="2896">
        <f>ORG!Q46</f>
        <v>0</v>
      </c>
      <c r="U119">
        <f t="shared" si="6"/>
        <v>0</v>
      </c>
    </row>
    <row r="120" spans="1:21">
      <c r="A120" s="2895" t="str">
        <f>ORG!$S$1</f>
        <v>Apr 23</v>
      </c>
      <c r="B120" t="str">
        <f>ORG!$M$1</f>
        <v>Public Health Wales Trust</v>
      </c>
      <c r="C120" t="str">
        <f>ORG!$M$3</f>
        <v>Table A - Movement of Opening Financial Plan to Forecast Outturn</v>
      </c>
      <c r="D120">
        <f>ORG!$M47</f>
        <v>37</v>
      </c>
      <c r="E120" t="str">
        <f>ORG!$Q$9</f>
        <v>Recurring</v>
      </c>
      <c r="F120">
        <f>ORG!$N47</f>
        <v>0</v>
      </c>
      <c r="S120" s="2896">
        <f>ORG!Q47</f>
        <v>0</v>
      </c>
      <c r="U120">
        <f t="shared" si="6"/>
        <v>0</v>
      </c>
    </row>
    <row r="121" spans="1:21">
      <c r="A121" s="2895" t="str">
        <f>ORG!$S$1</f>
        <v>Apr 23</v>
      </c>
      <c r="B121" t="str">
        <f>ORG!$M$1</f>
        <v>Public Health Wales Trust</v>
      </c>
      <c r="C121" t="str">
        <f>ORG!$M$3</f>
        <v>Table A - Movement of Opening Financial Plan to Forecast Outturn</v>
      </c>
      <c r="D121">
        <f>ORG!$M48</f>
        <v>38</v>
      </c>
      <c r="E121" t="str">
        <f>ORG!$Q$9</f>
        <v>Recurring</v>
      </c>
      <c r="F121">
        <f>ORG!$N48</f>
        <v>0</v>
      </c>
      <c r="S121" s="2896">
        <f>ORG!Q48</f>
        <v>0</v>
      </c>
      <c r="U121">
        <f t="shared" si="6"/>
        <v>0</v>
      </c>
    </row>
    <row r="122" spans="1:21">
      <c r="A122" s="2895" t="str">
        <f>ORG!$S$1</f>
        <v>Apr 23</v>
      </c>
      <c r="B122" t="str">
        <f>ORG!$M$1</f>
        <v>Public Health Wales Trust</v>
      </c>
      <c r="C122" t="str">
        <f>ORG!$M$3</f>
        <v>Table A - Movement of Opening Financial Plan to Forecast Outturn</v>
      </c>
      <c r="D122">
        <f>ORG!$M49</f>
        <v>39</v>
      </c>
      <c r="E122" t="str">
        <f>ORG!$Q$9</f>
        <v>Recurring</v>
      </c>
      <c r="F122">
        <f>ORG!$N49</f>
        <v>0</v>
      </c>
      <c r="S122" s="2896">
        <f>ORG!Q49</f>
        <v>0</v>
      </c>
      <c r="U122">
        <f t="shared" si="6"/>
        <v>0</v>
      </c>
    </row>
    <row r="123" spans="1:21">
      <c r="A123" s="2895" t="str">
        <f>ORG!$S$1</f>
        <v>Apr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6">
        <f>ORG!Q50</f>
        <v>0</v>
      </c>
      <c r="U123">
        <f t="shared" si="6"/>
        <v>0</v>
      </c>
    </row>
    <row r="124" spans="1:21">
      <c r="A124" s="2895" t="str">
        <f>ORG!$S$1</f>
        <v>Apr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6">
        <f>ORG!R11</f>
        <v>0</v>
      </c>
      <c r="U124">
        <f t="shared" si="3"/>
        <v>0</v>
      </c>
    </row>
    <row r="125" spans="1:21">
      <c r="A125" s="2895" t="str">
        <f>ORG!$S$1</f>
        <v>Apr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6">
        <f>ORG!R12</f>
        <v>-30555</v>
      </c>
      <c r="U125">
        <f t="shared" si="3"/>
        <v>-30555</v>
      </c>
    </row>
    <row r="126" spans="1:21">
      <c r="A126" s="2895" t="str">
        <f>ORG!$S$1</f>
        <v>Apr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6">
        <f>ORG!R13</f>
        <v>0</v>
      </c>
      <c r="U126">
        <f t="shared" si="3"/>
        <v>0</v>
      </c>
    </row>
    <row r="127" spans="1:21">
      <c r="A127" s="2895" t="str">
        <f>ORG!$S$1</f>
        <v>Apr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6">
        <f>ORG!R14</f>
        <v>28042</v>
      </c>
      <c r="U127">
        <f t="shared" si="3"/>
        <v>28042</v>
      </c>
    </row>
    <row r="128" spans="1:21">
      <c r="A128" s="2895" t="str">
        <f>ORG!$S$1</f>
        <v>Apr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6">
        <f>ORG!R15</f>
        <v>0</v>
      </c>
      <c r="U128">
        <f t="shared" si="3"/>
        <v>0</v>
      </c>
    </row>
    <row r="129" spans="1:21">
      <c r="A129" s="2895" t="str">
        <f>ORG!$S$1</f>
        <v>Apr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6">
        <f>ORG!R16</f>
        <v>0</v>
      </c>
      <c r="U129">
        <f t="shared" si="3"/>
        <v>0</v>
      </c>
    </row>
    <row r="130" spans="1:21">
      <c r="A130" s="2895" t="str">
        <f>ORG!$S$1</f>
        <v>Apr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6">
        <f>ORG!R17</f>
        <v>0</v>
      </c>
      <c r="U130">
        <f t="shared" si="3"/>
        <v>0</v>
      </c>
    </row>
    <row r="131" spans="1:21">
      <c r="A131" s="2895" t="str">
        <f>ORG!$S$1</f>
        <v>Apr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6">
        <f>ORG!R18</f>
        <v>2513</v>
      </c>
      <c r="U131">
        <f t="shared" si="3"/>
        <v>2513</v>
      </c>
    </row>
    <row r="132" spans="1:21">
      <c r="A132" s="2895" t="str">
        <f>ORG!$S$1</f>
        <v>Apr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6">
        <f>ORG!R19</f>
        <v>0</v>
      </c>
      <c r="U132">
        <f t="shared" ref="U132:U195" si="8">S132+T132</f>
        <v>0</v>
      </c>
    </row>
    <row r="133" spans="1:21">
      <c r="A133" s="2895" t="str">
        <f>ORG!$S$1</f>
        <v>Apr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6">
        <f>ORG!R20</f>
        <v>0</v>
      </c>
      <c r="U133">
        <f t="shared" si="8"/>
        <v>0</v>
      </c>
    </row>
    <row r="134" spans="1:21">
      <c r="A134" s="2895" t="str">
        <f>ORG!$S$1</f>
        <v>Apr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6">
        <f>ORG!R21</f>
        <v>0</v>
      </c>
      <c r="U134">
        <f t="shared" si="8"/>
        <v>0</v>
      </c>
    </row>
    <row r="135" spans="1:21">
      <c r="A135" s="2895" t="str">
        <f>ORG!$S$1</f>
        <v>Apr 23</v>
      </c>
      <c r="B135" t="str">
        <f>ORG!$M$1</f>
        <v>Public Health Wales Trust</v>
      </c>
      <c r="C135" t="str">
        <f>ORG!$M$3</f>
        <v>Table A - Movement of Opening Financial Plan to Forecast Outturn</v>
      </c>
      <c r="D135">
        <f>ORG!$M22</f>
        <v>12</v>
      </c>
      <c r="E135" t="str">
        <f>ORG!$R$9</f>
        <v>FYE of Recurring</v>
      </c>
      <c r="F135">
        <f>ORG!$N22</f>
        <v>0</v>
      </c>
      <c r="S135" s="2896">
        <f>ORG!R22</f>
        <v>0</v>
      </c>
      <c r="U135">
        <f t="shared" si="8"/>
        <v>0</v>
      </c>
    </row>
    <row r="136" spans="1:21">
      <c r="A136" s="2895" t="str">
        <f>ORG!$S$1</f>
        <v>Apr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6">
        <f>ORG!R23</f>
        <v>0</v>
      </c>
      <c r="U136">
        <f t="shared" si="8"/>
        <v>0</v>
      </c>
    </row>
    <row r="137" spans="1:21">
      <c r="A137" s="2895" t="str">
        <f>ORG!$S$1</f>
        <v>Apr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6">
        <f>ORG!R24</f>
        <v>0</v>
      </c>
      <c r="U137">
        <f t="shared" si="8"/>
        <v>0</v>
      </c>
    </row>
    <row r="138" spans="1:21">
      <c r="A138" s="2895" t="str">
        <f>ORG!$S$1</f>
        <v>Apr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6">
        <f>ORG!R25</f>
        <v>0</v>
      </c>
      <c r="U138">
        <f t="shared" si="8"/>
        <v>0</v>
      </c>
    </row>
    <row r="139" spans="1:21">
      <c r="A139" s="2895" t="str">
        <f>ORG!$S$1</f>
        <v>Apr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6">
        <f>ORG!R26</f>
        <v>0</v>
      </c>
      <c r="U139">
        <f t="shared" si="8"/>
        <v>0</v>
      </c>
    </row>
    <row r="140" spans="1:21">
      <c r="A140" s="2895" t="str">
        <f>ORG!$S$1</f>
        <v>Apr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6">
        <f>ORG!R27</f>
        <v>0</v>
      </c>
      <c r="U140">
        <f t="shared" si="8"/>
        <v>0</v>
      </c>
    </row>
    <row r="141" spans="1:21">
      <c r="A141" s="2895" t="str">
        <f>ORG!$S$1</f>
        <v>Apr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6">
        <f>ORG!R28</f>
        <v>0</v>
      </c>
      <c r="U141">
        <f t="shared" si="8"/>
        <v>0</v>
      </c>
    </row>
    <row r="142" spans="1:21">
      <c r="A142" s="2895" t="str">
        <f>ORG!$S$1</f>
        <v>Apr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6">
        <f>ORG!R29</f>
        <v>0</v>
      </c>
      <c r="U142">
        <f t="shared" si="8"/>
        <v>0</v>
      </c>
    </row>
    <row r="143" spans="1:21">
      <c r="A143" s="2895" t="str">
        <f>ORG!$S$1</f>
        <v>Apr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6">
        <f>ORG!R30</f>
        <v>0</v>
      </c>
      <c r="U143">
        <f t="shared" si="8"/>
        <v>0</v>
      </c>
    </row>
    <row r="144" spans="1:21">
      <c r="A144" s="2895" t="str">
        <f>ORG!$S$1</f>
        <v>Apr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6">
        <f>ORG!R31</f>
        <v>0</v>
      </c>
      <c r="U144">
        <f t="shared" si="8"/>
        <v>0</v>
      </c>
    </row>
    <row r="145" spans="1:21">
      <c r="A145" s="2895" t="str">
        <f>ORG!$S$1</f>
        <v>Apr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6">
        <f>ORG!R32</f>
        <v>0</v>
      </c>
      <c r="U145">
        <f t="shared" si="8"/>
        <v>0</v>
      </c>
    </row>
    <row r="146" spans="1:21">
      <c r="A146" s="2895" t="str">
        <f>ORG!$S$1</f>
        <v>Apr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6">
        <f>ORG!R33</f>
        <v>0</v>
      </c>
      <c r="U146">
        <f t="shared" si="8"/>
        <v>0</v>
      </c>
    </row>
    <row r="147" spans="1:21">
      <c r="A147" s="2895" t="str">
        <f>ORG!$S$1</f>
        <v>Apr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6">
        <f>ORG!R34</f>
        <v>0</v>
      </c>
      <c r="U147">
        <f t="shared" si="8"/>
        <v>0</v>
      </c>
    </row>
    <row r="148" spans="1:21">
      <c r="A148" s="2895" t="str">
        <f>ORG!$S$1</f>
        <v>Apr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6">
        <f>ORG!R35</f>
        <v>0</v>
      </c>
      <c r="U148">
        <f t="shared" si="8"/>
        <v>0</v>
      </c>
    </row>
    <row r="149" spans="1:21">
      <c r="A149" s="2895" t="str">
        <f>ORG!$S$1</f>
        <v>Apr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6">
        <f>ORG!R36</f>
        <v>0</v>
      </c>
      <c r="U149">
        <f t="shared" si="8"/>
        <v>0</v>
      </c>
    </row>
    <row r="150" spans="1:21">
      <c r="A150" s="2895" t="str">
        <f>ORG!$S$1</f>
        <v>Apr 23</v>
      </c>
      <c r="B150" t="str">
        <f>ORG!$M$1</f>
        <v>Public Health Wales Trust</v>
      </c>
      <c r="C150" t="str">
        <f>ORG!$M$3</f>
        <v>Table A - Movement of Opening Financial Plan to Forecast Outturn</v>
      </c>
      <c r="D150">
        <f>ORG!$M37</f>
        <v>27</v>
      </c>
      <c r="E150" t="str">
        <f>ORG!$R$9</f>
        <v>FYE of Recurring</v>
      </c>
      <c r="F150">
        <f>ORG!$N37</f>
        <v>0</v>
      </c>
      <c r="S150" s="2896">
        <f>ORG!R37</f>
        <v>0</v>
      </c>
      <c r="U150">
        <f t="shared" ref="U150:U163" si="9">S150+T150</f>
        <v>0</v>
      </c>
    </row>
    <row r="151" spans="1:21">
      <c r="A151" s="2895" t="str">
        <f>ORG!$S$1</f>
        <v>Apr 23</v>
      </c>
      <c r="B151" t="str">
        <f>ORG!$M$1</f>
        <v>Public Health Wales Trust</v>
      </c>
      <c r="C151" t="str">
        <f>ORG!$M$3</f>
        <v>Table A - Movement of Opening Financial Plan to Forecast Outturn</v>
      </c>
      <c r="D151">
        <f>ORG!$M38</f>
        <v>28</v>
      </c>
      <c r="E151" t="str">
        <f>ORG!$R$9</f>
        <v>FYE of Recurring</v>
      </c>
      <c r="F151">
        <f>ORG!$N38</f>
        <v>0</v>
      </c>
      <c r="S151" s="2896">
        <f>ORG!R38</f>
        <v>0</v>
      </c>
      <c r="U151">
        <f t="shared" si="9"/>
        <v>0</v>
      </c>
    </row>
    <row r="152" spans="1:21">
      <c r="A152" s="2895" t="str">
        <f>ORG!$S$1</f>
        <v>Apr 23</v>
      </c>
      <c r="B152" t="str">
        <f>ORG!$M$1</f>
        <v>Public Health Wales Trust</v>
      </c>
      <c r="C152" t="str">
        <f>ORG!$M$3</f>
        <v>Table A - Movement of Opening Financial Plan to Forecast Outturn</v>
      </c>
      <c r="D152">
        <f>ORG!$M39</f>
        <v>29</v>
      </c>
      <c r="E152" t="str">
        <f>ORG!$R$9</f>
        <v>FYE of Recurring</v>
      </c>
      <c r="F152">
        <f>ORG!$N39</f>
        <v>0</v>
      </c>
      <c r="S152" s="2896">
        <f>ORG!R39</f>
        <v>0</v>
      </c>
      <c r="U152">
        <f t="shared" si="9"/>
        <v>0</v>
      </c>
    </row>
    <row r="153" spans="1:21">
      <c r="A153" s="2895" t="str">
        <f>ORG!$S$1</f>
        <v>Apr 23</v>
      </c>
      <c r="B153" t="str">
        <f>ORG!$M$1</f>
        <v>Public Health Wales Trust</v>
      </c>
      <c r="C153" t="str">
        <f>ORG!$M$3</f>
        <v>Table A - Movement of Opening Financial Plan to Forecast Outturn</v>
      </c>
      <c r="D153">
        <f>ORG!$M40</f>
        <v>30</v>
      </c>
      <c r="E153" t="str">
        <f>ORG!$R$9</f>
        <v>FYE of Recurring</v>
      </c>
      <c r="F153">
        <f>ORG!$N40</f>
        <v>0</v>
      </c>
      <c r="S153" s="2896">
        <f>ORG!R40</f>
        <v>0</v>
      </c>
      <c r="U153">
        <f t="shared" si="9"/>
        <v>0</v>
      </c>
    </row>
    <row r="154" spans="1:21">
      <c r="A154" s="2895" t="str">
        <f>ORG!$S$1</f>
        <v>Apr 23</v>
      </c>
      <c r="B154" t="str">
        <f>ORG!$M$1</f>
        <v>Public Health Wales Trust</v>
      </c>
      <c r="C154" t="str">
        <f>ORG!$M$3</f>
        <v>Table A - Movement of Opening Financial Plan to Forecast Outturn</v>
      </c>
      <c r="D154">
        <f>ORG!$M41</f>
        <v>31</v>
      </c>
      <c r="E154" t="str">
        <f>ORG!$R$9</f>
        <v>FYE of Recurring</v>
      </c>
      <c r="F154">
        <f>ORG!$N41</f>
        <v>0</v>
      </c>
      <c r="S154" s="2896">
        <f>ORG!R41</f>
        <v>0</v>
      </c>
      <c r="U154">
        <f t="shared" ref="U154:U157" si="10">S154+T154</f>
        <v>0</v>
      </c>
    </row>
    <row r="155" spans="1:21">
      <c r="A155" s="2895" t="str">
        <f>ORG!$S$1</f>
        <v>Apr 23</v>
      </c>
      <c r="B155" t="str">
        <f>ORG!$M$1</f>
        <v>Public Health Wales Trust</v>
      </c>
      <c r="C155" t="str">
        <f>ORG!$M$3</f>
        <v>Table A - Movement of Opening Financial Plan to Forecast Outturn</v>
      </c>
      <c r="D155">
        <f>ORG!$M42</f>
        <v>32</v>
      </c>
      <c r="E155" t="str">
        <f>ORG!$R$9</f>
        <v>FYE of Recurring</v>
      </c>
      <c r="F155">
        <f>ORG!$N42</f>
        <v>0</v>
      </c>
      <c r="S155" s="2896">
        <f>ORG!R42</f>
        <v>0</v>
      </c>
      <c r="U155">
        <f t="shared" si="10"/>
        <v>0</v>
      </c>
    </row>
    <row r="156" spans="1:21">
      <c r="A156" s="2895" t="str">
        <f>ORG!$S$1</f>
        <v>Apr 23</v>
      </c>
      <c r="B156" t="str">
        <f>ORG!$M$1</f>
        <v>Public Health Wales Trust</v>
      </c>
      <c r="C156" t="str">
        <f>ORG!$M$3</f>
        <v>Table A - Movement of Opening Financial Plan to Forecast Outturn</v>
      </c>
      <c r="D156">
        <f>ORG!$M43</f>
        <v>33</v>
      </c>
      <c r="E156" t="str">
        <f>ORG!$R$9</f>
        <v>FYE of Recurring</v>
      </c>
      <c r="F156">
        <f>ORG!$N43</f>
        <v>0</v>
      </c>
      <c r="S156" s="2896">
        <f>ORG!R43</f>
        <v>0</v>
      </c>
      <c r="U156">
        <f t="shared" si="10"/>
        <v>0</v>
      </c>
    </row>
    <row r="157" spans="1:21">
      <c r="A157" s="2895" t="str">
        <f>ORG!$S$1</f>
        <v>Apr 23</v>
      </c>
      <c r="B157" t="str">
        <f>ORG!$M$1</f>
        <v>Public Health Wales Trust</v>
      </c>
      <c r="C157" t="str">
        <f>ORG!$M$3</f>
        <v>Table A - Movement of Opening Financial Plan to Forecast Outturn</v>
      </c>
      <c r="D157">
        <f>ORG!$M44</f>
        <v>34</v>
      </c>
      <c r="E157" t="str">
        <f>ORG!$R$9</f>
        <v>FYE of Recurring</v>
      </c>
      <c r="F157">
        <f>ORG!$N44</f>
        <v>0</v>
      </c>
      <c r="S157" s="2896">
        <f>ORG!R44</f>
        <v>0</v>
      </c>
      <c r="U157">
        <f t="shared" si="10"/>
        <v>0</v>
      </c>
    </row>
    <row r="158" spans="1:21">
      <c r="A158" s="2895" t="str">
        <f>ORG!$S$1</f>
        <v>Apr 23</v>
      </c>
      <c r="B158" t="str">
        <f>ORG!$M$1</f>
        <v>Public Health Wales Trust</v>
      </c>
      <c r="C158" t="str">
        <f>ORG!$M$3</f>
        <v>Table A - Movement of Opening Financial Plan to Forecast Outturn</v>
      </c>
      <c r="D158">
        <f>ORG!$M45</f>
        <v>35</v>
      </c>
      <c r="E158" t="str">
        <f>ORG!$R$9</f>
        <v>FYE of Recurring</v>
      </c>
      <c r="F158">
        <f>ORG!$N45</f>
        <v>0</v>
      </c>
      <c r="S158" s="2896">
        <f>ORG!R45</f>
        <v>0</v>
      </c>
      <c r="U158">
        <f t="shared" si="9"/>
        <v>0</v>
      </c>
    </row>
    <row r="159" spans="1:21">
      <c r="A159" s="2895" t="str">
        <f>ORG!$S$1</f>
        <v>Apr 23</v>
      </c>
      <c r="B159" t="str">
        <f>ORG!$M$1</f>
        <v>Public Health Wales Trust</v>
      </c>
      <c r="C159" t="str">
        <f>ORG!$M$3</f>
        <v>Table A - Movement of Opening Financial Plan to Forecast Outturn</v>
      </c>
      <c r="D159">
        <f>ORG!$M46</f>
        <v>36</v>
      </c>
      <c r="E159" t="str">
        <f>ORG!$R$9</f>
        <v>FYE of Recurring</v>
      </c>
      <c r="F159">
        <f>ORG!$N46</f>
        <v>0</v>
      </c>
      <c r="S159" s="2896">
        <f>ORG!R46</f>
        <v>0</v>
      </c>
      <c r="U159">
        <f t="shared" si="9"/>
        <v>0</v>
      </c>
    </row>
    <row r="160" spans="1:21">
      <c r="A160" s="2895" t="str">
        <f>ORG!$S$1</f>
        <v>Apr 23</v>
      </c>
      <c r="B160" t="str">
        <f>ORG!$M$1</f>
        <v>Public Health Wales Trust</v>
      </c>
      <c r="C160" t="str">
        <f>ORG!$M$3</f>
        <v>Table A - Movement of Opening Financial Plan to Forecast Outturn</v>
      </c>
      <c r="D160">
        <f>ORG!$M47</f>
        <v>37</v>
      </c>
      <c r="E160" t="str">
        <f>ORG!$R$9</f>
        <v>FYE of Recurring</v>
      </c>
      <c r="F160">
        <f>ORG!$N47</f>
        <v>0</v>
      </c>
      <c r="S160" s="2896">
        <f>ORG!R47</f>
        <v>0</v>
      </c>
      <c r="U160">
        <f t="shared" si="9"/>
        <v>0</v>
      </c>
    </row>
    <row r="161" spans="1:21">
      <c r="A161" s="2895" t="str">
        <f>ORG!$S$1</f>
        <v>Apr 23</v>
      </c>
      <c r="B161" t="str">
        <f>ORG!$M$1</f>
        <v>Public Health Wales Trust</v>
      </c>
      <c r="C161" t="str">
        <f>ORG!$M$3</f>
        <v>Table A - Movement of Opening Financial Plan to Forecast Outturn</v>
      </c>
      <c r="D161">
        <f>ORG!$M48</f>
        <v>38</v>
      </c>
      <c r="E161" t="str">
        <f>ORG!$R$9</f>
        <v>FYE of Recurring</v>
      </c>
      <c r="F161">
        <f>ORG!$N48</f>
        <v>0</v>
      </c>
      <c r="S161" s="2896">
        <f>ORG!R48</f>
        <v>0</v>
      </c>
      <c r="U161">
        <f t="shared" si="9"/>
        <v>0</v>
      </c>
    </row>
    <row r="162" spans="1:21">
      <c r="A162" s="2895" t="str">
        <f>ORG!$S$1</f>
        <v>Apr 23</v>
      </c>
      <c r="B162" t="str">
        <f>ORG!$M$1</f>
        <v>Public Health Wales Trust</v>
      </c>
      <c r="C162" t="str">
        <f>ORG!$M$3</f>
        <v>Table A - Movement of Opening Financial Plan to Forecast Outturn</v>
      </c>
      <c r="D162">
        <f>ORG!$M49</f>
        <v>39</v>
      </c>
      <c r="E162" t="str">
        <f>ORG!$R$9</f>
        <v>FYE of Recurring</v>
      </c>
      <c r="F162">
        <f>ORG!$N49</f>
        <v>0</v>
      </c>
      <c r="S162" s="2896">
        <f>ORG!R49</f>
        <v>0</v>
      </c>
      <c r="U162">
        <f t="shared" si="9"/>
        <v>0</v>
      </c>
    </row>
    <row r="163" spans="1:21">
      <c r="A163" s="2895" t="str">
        <f>ORG!$S$1</f>
        <v>Apr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6">
        <f>ORG!R50</f>
        <v>0</v>
      </c>
      <c r="U163">
        <f t="shared" si="9"/>
        <v>0</v>
      </c>
    </row>
    <row r="164" spans="1:21">
      <c r="A164" s="2895" t="str">
        <f>ORG!$S$1</f>
        <v>Apr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6">
        <f>ORG!AR11</f>
        <v>0</v>
      </c>
      <c r="U164">
        <f t="shared" si="8"/>
        <v>0</v>
      </c>
    </row>
    <row r="165" spans="1:21">
      <c r="A165" s="2895" t="str">
        <f>ORG!$S$1</f>
        <v>Apr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6">
        <f>ORG!AR12</f>
        <v>0</v>
      </c>
      <c r="U165">
        <f t="shared" si="8"/>
        <v>0</v>
      </c>
    </row>
    <row r="166" spans="1:21">
      <c r="A166" s="2895" t="str">
        <f>ORG!$S$1</f>
        <v>Apr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6">
        <f>ORG!AR13</f>
        <v>0</v>
      </c>
      <c r="U166">
        <f t="shared" si="8"/>
        <v>0</v>
      </c>
    </row>
    <row r="167" spans="1:21">
      <c r="A167" s="2895" t="str">
        <f>ORG!$S$1</f>
        <v>Apr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6">
        <f>ORG!AR14</f>
        <v>0</v>
      </c>
      <c r="U167">
        <f t="shared" si="8"/>
        <v>0</v>
      </c>
    </row>
    <row r="168" spans="1:21">
      <c r="A168" s="2895" t="str">
        <f>ORG!$S$1</f>
        <v>Apr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6">
        <f>ORG!AR15</f>
        <v>0</v>
      </c>
      <c r="U168">
        <f t="shared" si="8"/>
        <v>0</v>
      </c>
    </row>
    <row r="169" spans="1:21">
      <c r="A169" s="2895" t="str">
        <f>ORG!$S$1</f>
        <v>Apr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6">
        <f>ORG!AR16</f>
        <v>0</v>
      </c>
      <c r="U169">
        <f t="shared" si="8"/>
        <v>0</v>
      </c>
    </row>
    <row r="170" spans="1:21">
      <c r="A170" s="2895" t="str">
        <f>ORG!$S$1</f>
        <v>Apr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6">
        <f>ORG!AR17</f>
        <v>0</v>
      </c>
      <c r="U170">
        <f t="shared" si="8"/>
        <v>0</v>
      </c>
    </row>
    <row r="171" spans="1:21">
      <c r="A171" s="2895" t="str">
        <f>ORG!$S$1</f>
        <v>Apr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6">
        <f>ORG!AR18</f>
        <v>0</v>
      </c>
      <c r="U171">
        <f t="shared" si="8"/>
        <v>0</v>
      </c>
    </row>
    <row r="172" spans="1:21">
      <c r="A172" s="2895" t="str">
        <f>ORG!$S$1</f>
        <v>Apr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6">
        <f>ORG!AR19</f>
        <v>0</v>
      </c>
      <c r="U172">
        <f t="shared" si="8"/>
        <v>0</v>
      </c>
    </row>
    <row r="173" spans="1:21">
      <c r="A173" s="2895" t="str">
        <f>ORG!$S$1</f>
        <v>Apr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6">
        <f>ORG!AR20</f>
        <v>0</v>
      </c>
      <c r="U173">
        <f t="shared" si="8"/>
        <v>0</v>
      </c>
    </row>
    <row r="174" spans="1:21">
      <c r="A174" s="2895" t="str">
        <f>ORG!$S$1</f>
        <v>Apr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6">
        <f>ORG!AR21</f>
        <v>0</v>
      </c>
      <c r="U174">
        <f t="shared" si="8"/>
        <v>0</v>
      </c>
    </row>
    <row r="175" spans="1:21">
      <c r="A175" s="2895" t="str">
        <f>ORG!$S$1</f>
        <v>Apr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6">
        <f>ORG!AR22</f>
        <v>0</v>
      </c>
      <c r="U175">
        <f t="shared" si="8"/>
        <v>0</v>
      </c>
    </row>
    <row r="176" spans="1:21">
      <c r="A176" s="2895" t="str">
        <f>ORG!$S$1</f>
        <v>Apr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6">
        <f>ORG!AR23</f>
        <v>0</v>
      </c>
      <c r="U176">
        <f t="shared" si="8"/>
        <v>0</v>
      </c>
    </row>
    <row r="177" spans="1:21">
      <c r="A177" s="2895" t="str">
        <f>ORG!$S$1</f>
        <v>Apr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6">
        <f>ORG!AR24</f>
        <v>0</v>
      </c>
      <c r="U177">
        <f t="shared" si="8"/>
        <v>0</v>
      </c>
    </row>
    <row r="178" spans="1:21">
      <c r="A178" s="2895" t="str">
        <f>ORG!$S$1</f>
        <v>Apr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6">
        <f>ORG!AR25</f>
        <v>0</v>
      </c>
      <c r="U178">
        <f t="shared" si="8"/>
        <v>0</v>
      </c>
    </row>
    <row r="179" spans="1:21">
      <c r="A179" s="2895" t="str">
        <f>ORG!$S$1</f>
        <v>Apr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6">
        <f>ORG!AR26</f>
        <v>0</v>
      </c>
      <c r="U179">
        <f t="shared" si="8"/>
        <v>0</v>
      </c>
    </row>
    <row r="180" spans="1:21">
      <c r="A180" s="2895" t="str">
        <f>ORG!$S$1</f>
        <v>Apr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6">
        <f>ORG!AR27</f>
        <v>0</v>
      </c>
      <c r="U180">
        <f t="shared" si="8"/>
        <v>0</v>
      </c>
    </row>
    <row r="181" spans="1:21">
      <c r="A181" s="2895" t="str">
        <f>ORG!$S$1</f>
        <v>Apr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6">
        <f>ORG!AR28</f>
        <v>0</v>
      </c>
      <c r="U181">
        <f t="shared" si="8"/>
        <v>0</v>
      </c>
    </row>
    <row r="182" spans="1:21">
      <c r="A182" s="2895" t="str">
        <f>ORG!$S$1</f>
        <v>Apr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6">
        <f>ORG!AR29</f>
        <v>0</v>
      </c>
      <c r="U182">
        <f t="shared" si="8"/>
        <v>0</v>
      </c>
    </row>
    <row r="183" spans="1:21">
      <c r="A183" s="2895" t="str">
        <f>ORG!$S$1</f>
        <v>Apr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6">
        <f>ORG!AR30</f>
        <v>0</v>
      </c>
      <c r="U183">
        <f t="shared" si="8"/>
        <v>0</v>
      </c>
    </row>
    <row r="184" spans="1:21">
      <c r="A184" s="2895" t="str">
        <f>ORG!$S$1</f>
        <v>Apr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6">
        <f>ORG!AR31</f>
        <v>0</v>
      </c>
      <c r="U184">
        <f t="shared" si="8"/>
        <v>0</v>
      </c>
    </row>
    <row r="185" spans="1:21">
      <c r="A185" s="2895" t="str">
        <f>ORG!$S$1</f>
        <v>Apr 23</v>
      </c>
      <c r="B185" t="str">
        <f>ORG!$M$1</f>
        <v>Public Health Wales Trust</v>
      </c>
      <c r="C185" t="str">
        <f>CONCATENATE(ORG!$AP$3," - ",ORG!$AQ$9)</f>
        <v>Table A1 - Underlying Position - Section A - By Spend Area</v>
      </c>
      <c r="D185">
        <f>ORG!AP32</f>
        <v>22</v>
      </c>
      <c r="E185" t="str">
        <f>ORG!$AR$9</f>
        <v>Underlying Position b/f</v>
      </c>
      <c r="F185" t="str">
        <f>ORG!AQ32</f>
        <v>Total</v>
      </c>
      <c r="S185" s="2896">
        <f>ORG!AR32</f>
        <v>0</v>
      </c>
      <c r="U185">
        <f t="shared" si="8"/>
        <v>0</v>
      </c>
    </row>
    <row r="186" spans="1:21">
      <c r="A186" s="2895" t="str">
        <f>ORG!$S$1</f>
        <v>Apr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6">
        <f>ORG!AW11</f>
        <v>0</v>
      </c>
      <c r="U186">
        <f t="shared" si="8"/>
        <v>0</v>
      </c>
    </row>
    <row r="187" spans="1:21">
      <c r="A187" s="2895" t="str">
        <f>ORG!$S$1</f>
        <v>Apr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6">
        <f>ORG!AW12</f>
        <v>0</v>
      </c>
      <c r="U187">
        <f t="shared" si="8"/>
        <v>0</v>
      </c>
    </row>
    <row r="188" spans="1:21">
      <c r="A188" s="2895" t="str">
        <f>ORG!$S$1</f>
        <v>Apr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6">
        <f>ORG!AW13</f>
        <v>0</v>
      </c>
      <c r="U188">
        <f t="shared" si="8"/>
        <v>0</v>
      </c>
    </row>
    <row r="189" spans="1:21">
      <c r="A189" s="2895" t="str">
        <f>ORG!$S$1</f>
        <v>Apr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6">
        <f>ORG!AW14</f>
        <v>0</v>
      </c>
      <c r="U189">
        <f t="shared" si="8"/>
        <v>0</v>
      </c>
    </row>
    <row r="190" spans="1:21">
      <c r="A190" s="2895" t="str">
        <f>ORG!$S$1</f>
        <v>Apr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6">
        <f>ORG!AW15</f>
        <v>0</v>
      </c>
      <c r="U190">
        <f t="shared" si="8"/>
        <v>0</v>
      </c>
    </row>
    <row r="191" spans="1:21">
      <c r="A191" s="2895" t="str">
        <f>ORG!$S$1</f>
        <v>Apr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6">
        <f>ORG!AW16</f>
        <v>0</v>
      </c>
      <c r="U191">
        <f t="shared" si="8"/>
        <v>0</v>
      </c>
    </row>
    <row r="192" spans="1:21">
      <c r="A192" s="2895" t="str">
        <f>ORG!$S$1</f>
        <v>Apr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6">
        <f>ORG!AW17</f>
        <v>0</v>
      </c>
      <c r="U192">
        <f t="shared" si="8"/>
        <v>0</v>
      </c>
    </row>
    <row r="193" spans="1:21">
      <c r="A193" s="2895" t="str">
        <f>ORG!$S$1</f>
        <v>Apr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6">
        <f>ORG!AW18</f>
        <v>0</v>
      </c>
      <c r="U193">
        <f t="shared" si="8"/>
        <v>0</v>
      </c>
    </row>
    <row r="194" spans="1:21">
      <c r="A194" s="2895" t="str">
        <f>ORG!$S$1</f>
        <v>Apr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6">
        <f>ORG!AW19</f>
        <v>0</v>
      </c>
      <c r="U194">
        <f t="shared" si="8"/>
        <v>0</v>
      </c>
    </row>
    <row r="195" spans="1:21">
      <c r="A195" s="2895" t="str">
        <f>ORG!$S$1</f>
        <v>Apr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6">
        <f>ORG!AW20</f>
        <v>0</v>
      </c>
      <c r="U195">
        <f t="shared" si="8"/>
        <v>0</v>
      </c>
    </row>
    <row r="196" spans="1:21">
      <c r="A196" s="2895" t="str">
        <f>ORG!$S$1</f>
        <v>Apr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6">
        <f>ORG!AW21</f>
        <v>0</v>
      </c>
      <c r="U196">
        <f t="shared" ref="U196:U259" si="11">S196+T196</f>
        <v>0</v>
      </c>
    </row>
    <row r="197" spans="1:21">
      <c r="A197" s="2895" t="str">
        <f>ORG!$S$1</f>
        <v>Apr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6">
        <f>ORG!AW22</f>
        <v>0</v>
      </c>
      <c r="U197">
        <f t="shared" si="11"/>
        <v>0</v>
      </c>
    </row>
    <row r="198" spans="1:21">
      <c r="A198" s="2895" t="str">
        <f>ORG!$S$1</f>
        <v>Apr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6">
        <f>ORG!AW23</f>
        <v>0</v>
      </c>
      <c r="U198">
        <f t="shared" si="11"/>
        <v>0</v>
      </c>
    </row>
    <row r="199" spans="1:21">
      <c r="A199" s="2895" t="str">
        <f>ORG!$S$1</f>
        <v>Apr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6">
        <f>ORG!AW24</f>
        <v>0</v>
      </c>
      <c r="U199">
        <f t="shared" si="11"/>
        <v>0</v>
      </c>
    </row>
    <row r="200" spans="1:21">
      <c r="A200" s="2895" t="str">
        <f>ORG!$S$1</f>
        <v>Apr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6">
        <f>ORG!AW25</f>
        <v>0</v>
      </c>
      <c r="U200">
        <f t="shared" si="11"/>
        <v>0</v>
      </c>
    </row>
    <row r="201" spans="1:21">
      <c r="A201" s="2895" t="str">
        <f>ORG!$S$1</f>
        <v>Apr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6">
        <f>ORG!AW26</f>
        <v>0</v>
      </c>
      <c r="U201">
        <f t="shared" si="11"/>
        <v>0</v>
      </c>
    </row>
    <row r="202" spans="1:21">
      <c r="A202" s="2895" t="str">
        <f>ORG!$S$1</f>
        <v>Apr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6">
        <f>ORG!AW27</f>
        <v>0</v>
      </c>
      <c r="U202">
        <f t="shared" si="11"/>
        <v>0</v>
      </c>
    </row>
    <row r="203" spans="1:21">
      <c r="A203" s="2895" t="str">
        <f>ORG!$S$1</f>
        <v>Apr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6">
        <f>ORG!AW28</f>
        <v>0</v>
      </c>
      <c r="U203">
        <f t="shared" si="11"/>
        <v>0</v>
      </c>
    </row>
    <row r="204" spans="1:21">
      <c r="A204" s="2895" t="str">
        <f>ORG!$S$1</f>
        <v>Apr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6">
        <f>ORG!AW29</f>
        <v>0</v>
      </c>
      <c r="U204">
        <f t="shared" si="11"/>
        <v>0</v>
      </c>
    </row>
    <row r="205" spans="1:21">
      <c r="A205" s="2895" t="str">
        <f>ORG!$S$1</f>
        <v>Apr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6">
        <f>ORG!AW30</f>
        <v>0</v>
      </c>
      <c r="U205">
        <f t="shared" si="11"/>
        <v>0</v>
      </c>
    </row>
    <row r="206" spans="1:21">
      <c r="A206" s="2895" t="str">
        <f>ORG!$S$1</f>
        <v>Apr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6">
        <f>ORG!AW31</f>
        <v>0</v>
      </c>
      <c r="U206">
        <f t="shared" si="11"/>
        <v>0</v>
      </c>
    </row>
    <row r="207" spans="1:21">
      <c r="A207" s="2895" t="str">
        <f>ORG!$S$1</f>
        <v>Apr 23</v>
      </c>
      <c r="B207" t="str">
        <f>ORG!$M$1</f>
        <v>Public Health Wales Trust</v>
      </c>
      <c r="C207" t="str">
        <f>CONCATENATE(ORG!$AP$3," - ",ORG!$AQ$9)</f>
        <v>Table A1 - Underlying Position - Section A - By Spend Area</v>
      </c>
      <c r="D207">
        <f>ORG!AP32</f>
        <v>22</v>
      </c>
      <c r="E207" t="str">
        <f>ORG!$AW$9</f>
        <v>Underlying Position c/f</v>
      </c>
      <c r="F207" t="str">
        <f>ORG!AQ32</f>
        <v>Total</v>
      </c>
      <c r="S207" s="2896">
        <f>ORG!AW32</f>
        <v>0</v>
      </c>
      <c r="U207">
        <f t="shared" si="11"/>
        <v>0</v>
      </c>
    </row>
    <row r="208" spans="1:21">
      <c r="A208" s="2895" t="str">
        <f>ORG!$S$1</f>
        <v>Apr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6">
        <f>ORG!AR39</f>
        <v>0</v>
      </c>
      <c r="U208">
        <f t="shared" si="11"/>
        <v>0</v>
      </c>
    </row>
    <row r="209" spans="1:21">
      <c r="A209" s="2895" t="str">
        <f>ORG!$S$1</f>
        <v>Apr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6">
        <f>ORG!AR40</f>
        <v>0</v>
      </c>
      <c r="U209">
        <f t="shared" si="11"/>
        <v>0</v>
      </c>
    </row>
    <row r="210" spans="1:21">
      <c r="A210" s="2895" t="str">
        <f>ORG!$S$1</f>
        <v>Apr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6">
        <f>ORG!AR41</f>
        <v>0</v>
      </c>
      <c r="U210">
        <f t="shared" si="11"/>
        <v>0</v>
      </c>
    </row>
    <row r="211" spans="1:21">
      <c r="A211" s="2895" t="str">
        <f>ORG!$S$1</f>
        <v>Apr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6">
        <f>ORG!AR42</f>
        <v>0</v>
      </c>
      <c r="U211">
        <f t="shared" si="11"/>
        <v>0</v>
      </c>
    </row>
    <row r="212" spans="1:21">
      <c r="A212" s="2895" t="str">
        <f>ORG!$S$1</f>
        <v>Apr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6">
        <f>ORG!AR43</f>
        <v>0</v>
      </c>
      <c r="U212">
        <f t="shared" si="11"/>
        <v>0</v>
      </c>
    </row>
    <row r="213" spans="1:21">
      <c r="A213" s="2895" t="str">
        <f>ORG!$S$1</f>
        <v>Apr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6">
        <f>ORG!AR44</f>
        <v>0</v>
      </c>
      <c r="U213">
        <f t="shared" si="11"/>
        <v>0</v>
      </c>
    </row>
    <row r="214" spans="1:21">
      <c r="A214" s="2895" t="str">
        <f>ORG!$S$1</f>
        <v>Apr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6">
        <f>ORG!AR45</f>
        <v>0</v>
      </c>
      <c r="U214">
        <f t="shared" si="11"/>
        <v>0</v>
      </c>
    </row>
    <row r="215" spans="1:21">
      <c r="A215" s="2895" t="str">
        <f>ORG!$S$1</f>
        <v>Apr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6">
        <f>ORG!AR46</f>
        <v>0</v>
      </c>
      <c r="U215">
        <f t="shared" si="11"/>
        <v>0</v>
      </c>
    </row>
    <row r="216" spans="1:21">
      <c r="A216" s="2895" t="str">
        <f>ORG!$S$1</f>
        <v>Apr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6">
        <f>ORG!AR47</f>
        <v>0</v>
      </c>
      <c r="U216">
        <f t="shared" si="11"/>
        <v>0</v>
      </c>
    </row>
    <row r="217" spans="1:21">
      <c r="A217" s="2895" t="str">
        <f>ORG!$S$1</f>
        <v>Apr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6">
        <f>ORG!AR48</f>
        <v>0</v>
      </c>
      <c r="U217">
        <f t="shared" si="11"/>
        <v>0</v>
      </c>
    </row>
    <row r="218" spans="1:21">
      <c r="A218" s="2895" t="str">
        <f>ORG!$S$1</f>
        <v>Apr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6">
        <f>ORG!AR49</f>
        <v>0</v>
      </c>
      <c r="U218">
        <f t="shared" si="11"/>
        <v>0</v>
      </c>
    </row>
    <row r="219" spans="1:21">
      <c r="A219" s="2895" t="str">
        <f>ORG!$S$1</f>
        <v>Apr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6">
        <f>ORG!AR50</f>
        <v>0</v>
      </c>
      <c r="U219">
        <f t="shared" si="11"/>
        <v>0</v>
      </c>
    </row>
    <row r="220" spans="1:21">
      <c r="A220" s="2895" t="str">
        <f>ORG!$S$1</f>
        <v>Apr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6">
        <f>ORG!AW39</f>
        <v>0</v>
      </c>
      <c r="U220">
        <f t="shared" si="11"/>
        <v>0</v>
      </c>
    </row>
    <row r="221" spans="1:21">
      <c r="A221" s="2895" t="str">
        <f>ORG!$S$1</f>
        <v>Apr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6">
        <f>ORG!AW40</f>
        <v>0</v>
      </c>
      <c r="U221">
        <f t="shared" si="11"/>
        <v>0</v>
      </c>
    </row>
    <row r="222" spans="1:21">
      <c r="A222" s="2895" t="str">
        <f>ORG!$S$1</f>
        <v>Apr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6">
        <f>ORG!AW41</f>
        <v>0</v>
      </c>
      <c r="U222">
        <f t="shared" si="11"/>
        <v>0</v>
      </c>
    </row>
    <row r="223" spans="1:21">
      <c r="A223" s="2895" t="str">
        <f>ORG!$S$1</f>
        <v>Apr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6">
        <f>ORG!AW42</f>
        <v>0</v>
      </c>
      <c r="U223">
        <f t="shared" si="11"/>
        <v>0</v>
      </c>
    </row>
    <row r="224" spans="1:21">
      <c r="A224" s="2895" t="str">
        <f>ORG!$S$1</f>
        <v>Apr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6">
        <f>ORG!AW43</f>
        <v>0</v>
      </c>
      <c r="U224">
        <f t="shared" si="11"/>
        <v>0</v>
      </c>
    </row>
    <row r="225" spans="1:21">
      <c r="A225" s="2895" t="str">
        <f>ORG!$S$1</f>
        <v>Apr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6">
        <f>ORG!AW44</f>
        <v>0</v>
      </c>
      <c r="U225">
        <f t="shared" si="11"/>
        <v>0</v>
      </c>
    </row>
    <row r="226" spans="1:21">
      <c r="A226" s="2895" t="str">
        <f>ORG!$S$1</f>
        <v>Apr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6">
        <f>ORG!AW45</f>
        <v>0</v>
      </c>
      <c r="U226">
        <f t="shared" si="11"/>
        <v>0</v>
      </c>
    </row>
    <row r="227" spans="1:21">
      <c r="A227" s="2895" t="str">
        <f>ORG!$S$1</f>
        <v>Apr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6">
        <f>ORG!AW46</f>
        <v>0</v>
      </c>
      <c r="U227">
        <f t="shared" si="11"/>
        <v>0</v>
      </c>
    </row>
    <row r="228" spans="1:21">
      <c r="A228" s="2895" t="str">
        <f>ORG!$S$1</f>
        <v>Apr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6">
        <f>ORG!AW47</f>
        <v>0</v>
      </c>
      <c r="U228">
        <f t="shared" si="11"/>
        <v>0</v>
      </c>
    </row>
    <row r="229" spans="1:21">
      <c r="A229" s="2895" t="str">
        <f>ORG!$S$1</f>
        <v>Apr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6">
        <f>ORG!AW48</f>
        <v>0</v>
      </c>
      <c r="U229">
        <f t="shared" si="11"/>
        <v>0</v>
      </c>
    </row>
    <row r="230" spans="1:21">
      <c r="A230" s="2895" t="str">
        <f>ORG!$S$1</f>
        <v>Apr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6">
        <f>ORG!AW49</f>
        <v>0</v>
      </c>
      <c r="U230">
        <f t="shared" si="11"/>
        <v>0</v>
      </c>
    </row>
    <row r="231" spans="1:21">
      <c r="A231" s="2895" t="str">
        <f>ORG!$S$1</f>
        <v>Apr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6">
        <f>ORG!AW50</f>
        <v>0</v>
      </c>
      <c r="U231">
        <f t="shared" si="11"/>
        <v>0</v>
      </c>
    </row>
    <row r="232" spans="1:21">
      <c r="A232" s="2895" t="str">
        <f>ORG!$S$1</f>
        <v>Apr 23</v>
      </c>
      <c r="B232" t="str">
        <f>ORG!$M$1</f>
        <v>Public Health Wales Trust</v>
      </c>
      <c r="C232" t="str">
        <f>ORG!$AZ$5</f>
        <v xml:space="preserve">Table A2 - Overview Of Key Risks &amp; Opportunities </v>
      </c>
      <c r="D232">
        <f>ORG!AZ8</f>
        <v>1</v>
      </c>
      <c r="E232">
        <f>ORG!BC8</f>
        <v>0</v>
      </c>
      <c r="F232" t="str">
        <f>ORG!BA8</f>
        <v>Red Pipeline schemes (inc AG &amp; IG)</v>
      </c>
      <c r="S232" s="2896">
        <f>ORG!BB8</f>
        <v>0</v>
      </c>
      <c r="U232">
        <f t="shared" si="11"/>
        <v>0</v>
      </c>
    </row>
    <row r="233" spans="1:21">
      <c r="A233" s="2895" t="str">
        <f>ORG!$S$1</f>
        <v>Apr 23</v>
      </c>
      <c r="B233" t="str">
        <f>ORG!$M$1</f>
        <v>Public Health Wales Trust</v>
      </c>
      <c r="C233" t="str">
        <f>ORG!$AZ$5</f>
        <v xml:space="preserve">Table A2 - Overview Of Key Risks &amp; Opportunities </v>
      </c>
      <c r="D233">
        <f>ORG!AZ9</f>
        <v>2</v>
      </c>
      <c r="E233">
        <f>ORG!BC9</f>
        <v>0</v>
      </c>
      <c r="F233" t="str">
        <f>ORG!BA9</f>
        <v>Potential Cost Reduction</v>
      </c>
      <c r="S233" s="2896">
        <f>ORG!BB9</f>
        <v>0</v>
      </c>
      <c r="U233">
        <f t="shared" si="11"/>
        <v>0</v>
      </c>
    </row>
    <row r="234" spans="1:21">
      <c r="A234" s="2895" t="str">
        <f>ORG!$S$1</f>
        <v>Apr 23</v>
      </c>
      <c r="B234" t="str">
        <f>ORG!$M$1</f>
        <v>Public Health Wales Trust</v>
      </c>
      <c r="C234" t="str">
        <f>ORG!$AZ$5</f>
        <v xml:space="preserve">Table A2 - Overview Of Key Risks &amp; Opportunities </v>
      </c>
      <c r="D234">
        <f>ORG!AZ10</f>
        <v>3</v>
      </c>
      <c r="E234">
        <f>ORG!BC10</f>
        <v>0</v>
      </c>
      <c r="F234" t="str">
        <f>ORG!BA10</f>
        <v>Total Opportunities to achieve IMTP/AOP</v>
      </c>
      <c r="S234" s="2896">
        <f>ORG!BB10</f>
        <v>0</v>
      </c>
      <c r="U234">
        <f t="shared" si="11"/>
        <v>0</v>
      </c>
    </row>
    <row r="235" spans="1:21">
      <c r="A235" s="2895" t="str">
        <f>ORG!$S$1</f>
        <v>Apr 23</v>
      </c>
      <c r="B235" t="str">
        <f>ORG!$M$1</f>
        <v>Public Health Wales Trust</v>
      </c>
      <c r="C235" t="str">
        <f>ORG!$AZ$5</f>
        <v xml:space="preserve">Table A2 - Overview Of Key Risks &amp; Opportunities </v>
      </c>
      <c r="D235">
        <f>ORG!AZ11</f>
        <v>0</v>
      </c>
      <c r="E235">
        <f>ORG!BC11</f>
        <v>0</v>
      </c>
      <c r="F235" t="str">
        <f>ORG!BA11</f>
        <v>Risks (negative values)</v>
      </c>
      <c r="S235" s="2896">
        <f>ORG!BB11</f>
        <v>0</v>
      </c>
      <c r="U235">
        <f t="shared" si="11"/>
        <v>0</v>
      </c>
    </row>
    <row r="236" spans="1:21">
      <c r="A236" s="2895" t="str">
        <f>ORG!$S$1</f>
        <v>Apr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6"/>
      <c r="U236" s="2896">
        <f>S236+T236</f>
        <v>0</v>
      </c>
    </row>
    <row r="237" spans="1:21">
      <c r="A237" s="2895" t="str">
        <f>ORG!$S$1</f>
        <v>Apr 23</v>
      </c>
      <c r="B237" t="str">
        <f>ORG!$M$1</f>
        <v>Public Health Wales Trust</v>
      </c>
      <c r="C237" t="str">
        <f>ORG!$AZ$5</f>
        <v xml:space="preserve">Table A2 - Overview Of Key Risks &amp; Opportunities </v>
      </c>
      <c r="D237">
        <f>ORG!AZ13</f>
        <v>5</v>
      </c>
      <c r="E237">
        <f>ORG!BC13</f>
        <v>0</v>
      </c>
      <c r="F237" t="str">
        <f>ORG!BA13</f>
        <v>Continuing Healthcare</v>
      </c>
      <c r="S237" s="2896">
        <f>ORG!BB13</f>
        <v>0</v>
      </c>
      <c r="U237">
        <f t="shared" si="11"/>
        <v>0</v>
      </c>
    </row>
    <row r="238" spans="1:21">
      <c r="A238" s="2895" t="str">
        <f>ORG!$S$1</f>
        <v>Apr 23</v>
      </c>
      <c r="B238" t="str">
        <f>ORG!$M$1</f>
        <v>Public Health Wales Trust</v>
      </c>
      <c r="C238" t="str">
        <f>ORG!$AZ$5</f>
        <v xml:space="preserve">Table A2 - Overview Of Key Risks &amp; Opportunities </v>
      </c>
      <c r="D238">
        <f>ORG!AZ14</f>
        <v>6</v>
      </c>
      <c r="E238">
        <f>ORG!BC14</f>
        <v>0</v>
      </c>
      <c r="F238" t="str">
        <f>ORG!BA14</f>
        <v>Prescribing</v>
      </c>
      <c r="S238" s="2896">
        <f>ORG!BB14</f>
        <v>0</v>
      </c>
      <c r="U238">
        <f t="shared" si="11"/>
        <v>0</v>
      </c>
    </row>
    <row r="239" spans="1:21">
      <c r="A239" s="2895" t="str">
        <f>ORG!$S$1</f>
        <v>Apr 23</v>
      </c>
      <c r="B239" t="str">
        <f>ORG!$M$1</f>
        <v>Public Health Wales Trust</v>
      </c>
      <c r="C239" t="str">
        <f>ORG!$AZ$5</f>
        <v xml:space="preserve">Table A2 - Overview Of Key Risks &amp; Opportunities </v>
      </c>
      <c r="D239">
        <f>ORG!AZ15</f>
        <v>7</v>
      </c>
      <c r="E239">
        <f>ORG!BC15</f>
        <v>0</v>
      </c>
      <c r="F239" t="str">
        <f>ORG!BA15</f>
        <v>Pharmacy Contract</v>
      </c>
      <c r="S239" s="2896">
        <f>ORG!BB15</f>
        <v>0</v>
      </c>
      <c r="U239">
        <f t="shared" si="11"/>
        <v>0</v>
      </c>
    </row>
    <row r="240" spans="1:21">
      <c r="A240" s="2895" t="str">
        <f>ORG!$S$1</f>
        <v>Apr 23</v>
      </c>
      <c r="B240" t="str">
        <f>ORG!$M$1</f>
        <v>Public Health Wales Trust</v>
      </c>
      <c r="C240" t="str">
        <f>ORG!$AZ$5</f>
        <v xml:space="preserve">Table A2 - Overview Of Key Risks &amp; Opportunities </v>
      </c>
      <c r="D240">
        <f>ORG!AZ16</f>
        <v>8</v>
      </c>
      <c r="E240">
        <f>ORG!BC16</f>
        <v>0</v>
      </c>
      <c r="F240" s="2897" t="str">
        <f>ORG!BA16</f>
        <v>WHSSC Performance</v>
      </c>
      <c r="S240" s="2896">
        <f>ORG!BB16</f>
        <v>0</v>
      </c>
      <c r="U240">
        <f t="shared" si="11"/>
        <v>0</v>
      </c>
    </row>
    <row r="241" spans="1:21">
      <c r="A241" s="2895" t="str">
        <f>ORG!$S$1</f>
        <v>Apr 23</v>
      </c>
      <c r="B241" t="str">
        <f>ORG!$M$1</f>
        <v>Public Health Wales Trust</v>
      </c>
      <c r="C241" t="str">
        <f>ORG!$AZ$5</f>
        <v xml:space="preserve">Table A2 - Overview Of Key Risks &amp; Opportunities </v>
      </c>
      <c r="D241">
        <f>ORG!AZ17</f>
        <v>9</v>
      </c>
      <c r="E241">
        <f>ORG!BC17</f>
        <v>0</v>
      </c>
      <c r="F241" s="2897" t="str">
        <f>ORG!BA17</f>
        <v>Other Contract Performance</v>
      </c>
      <c r="S241" s="2896">
        <f>ORG!BB17</f>
        <v>0</v>
      </c>
      <c r="U241">
        <f t="shared" si="11"/>
        <v>0</v>
      </c>
    </row>
    <row r="242" spans="1:21">
      <c r="A242" s="2895" t="str">
        <f>ORG!$S$1</f>
        <v>Apr 23</v>
      </c>
      <c r="B242" t="str">
        <f>ORG!$M$1</f>
        <v>Public Health Wales Trust</v>
      </c>
      <c r="C242" t="str">
        <f>ORG!$AZ$5</f>
        <v xml:space="preserve">Table A2 - Overview Of Key Risks &amp; Opportunities </v>
      </c>
      <c r="D242">
        <f>ORG!AZ18</f>
        <v>10</v>
      </c>
      <c r="E242">
        <f>ORG!BC18</f>
        <v>0</v>
      </c>
      <c r="F242" s="2897" t="str">
        <f>ORG!BA18</f>
        <v>GMS Ring Fenced Allocation Underspend Potential Claw back</v>
      </c>
      <c r="S242" s="2896">
        <f>ORG!BB18</f>
        <v>0</v>
      </c>
      <c r="U242">
        <f t="shared" si="11"/>
        <v>0</v>
      </c>
    </row>
    <row r="243" spans="1:21">
      <c r="A243" s="2895" t="str">
        <f>ORG!$S$1</f>
        <v>Apr 23</v>
      </c>
      <c r="B243" t="str">
        <f>ORG!$M$1</f>
        <v>Public Health Wales Trust</v>
      </c>
      <c r="C243" t="str">
        <f>ORG!$AZ$5</f>
        <v xml:space="preserve">Table A2 - Overview Of Key Risks &amp; Opportunities </v>
      </c>
      <c r="D243">
        <f>ORG!AZ19</f>
        <v>11</v>
      </c>
      <c r="E243">
        <f>ORG!BC19</f>
        <v>0</v>
      </c>
      <c r="F243" s="2897" t="str">
        <f>ORG!BA19</f>
        <v>Dental Ring Fenced Allocation Underspend Potential Claw back</v>
      </c>
      <c r="S243" s="2896">
        <f>ORG!BB19</f>
        <v>0</v>
      </c>
      <c r="U243">
        <f t="shared" si="11"/>
        <v>0</v>
      </c>
    </row>
    <row r="244" spans="1:21">
      <c r="A244" s="2895" t="str">
        <f>ORG!$S$1</f>
        <v>Apr 23</v>
      </c>
      <c r="B244" t="str">
        <f>ORG!$M$1</f>
        <v>Public Health Wales Trust</v>
      </c>
      <c r="C244" t="str">
        <f>ORG!$AZ$5</f>
        <v xml:space="preserve">Table A2 - Overview Of Key Risks &amp; Opportunities </v>
      </c>
      <c r="D244">
        <f>ORG!AZ20</f>
        <v>12</v>
      </c>
      <c r="E244">
        <f>ORG!BC20</f>
        <v>0</v>
      </c>
      <c r="F244" s="2897">
        <f>ORG!BA20</f>
        <v>0</v>
      </c>
      <c r="S244" s="2896">
        <f>ORG!BB20</f>
        <v>0</v>
      </c>
      <c r="U244">
        <f t="shared" si="11"/>
        <v>0</v>
      </c>
    </row>
    <row r="245" spans="1:21">
      <c r="A245" s="2895" t="str">
        <f>ORG!$S$1</f>
        <v>Apr 23</v>
      </c>
      <c r="B245" t="str">
        <f>ORG!$M$1</f>
        <v>Public Health Wales Trust</v>
      </c>
      <c r="C245" t="str">
        <f>ORG!$AZ$5</f>
        <v xml:space="preserve">Table A2 - Overview Of Key Risks &amp; Opportunities </v>
      </c>
      <c r="D245">
        <f>ORG!AZ21</f>
        <v>13</v>
      </c>
      <c r="E245" t="str">
        <f>ORG!BC21</f>
        <v>Low</v>
      </c>
      <c r="F245" s="2897" t="str">
        <f>ORG!BA21</f>
        <v>WG funding not yet confirmed - Screening Recovery Funding</v>
      </c>
      <c r="S245" s="2896">
        <f>ORG!BB21</f>
        <v>-979</v>
      </c>
      <c r="U245">
        <f t="shared" si="11"/>
        <v>-979</v>
      </c>
    </row>
    <row r="246" spans="1:21">
      <c r="A246" s="2895" t="str">
        <f>ORG!$S$1</f>
        <v>Apr 23</v>
      </c>
      <c r="B246" t="str">
        <f>ORG!$M$1</f>
        <v>Public Health Wales Trust</v>
      </c>
      <c r="C246" t="str">
        <f>ORG!$AZ$5</f>
        <v xml:space="preserve">Table A2 - Overview Of Key Risks &amp; Opportunities </v>
      </c>
      <c r="D246">
        <f>ORG!AZ22</f>
        <v>14</v>
      </c>
      <c r="E246" t="str">
        <f>ORG!BC22</f>
        <v>High</v>
      </c>
      <c r="F246" s="2897" t="str">
        <f>ORG!BA22</f>
        <v>Availability of strategic capital funding to support the replacement of digital firewalls and other strategic capital priorities</v>
      </c>
      <c r="S246" s="2896">
        <f>ORG!BB22</f>
        <v>-400</v>
      </c>
      <c r="U246">
        <f t="shared" si="11"/>
        <v>-400</v>
      </c>
    </row>
    <row r="247" spans="1:21">
      <c r="A247" s="2895" t="str">
        <f>ORG!$S$1</f>
        <v>Apr 23</v>
      </c>
      <c r="B247" t="str">
        <f>ORG!$M$1</f>
        <v>Public Health Wales Trust</v>
      </c>
      <c r="C247" t="str">
        <f>ORG!$AZ$5</f>
        <v xml:space="preserve">Table A2 - Overview Of Key Risks &amp; Opportunities </v>
      </c>
      <c r="D247">
        <f>ORG!AZ23</f>
        <v>15</v>
      </c>
      <c r="E247">
        <f>ORG!BC23</f>
        <v>0</v>
      </c>
      <c r="F247" s="2897">
        <f>ORG!BA23</f>
        <v>0</v>
      </c>
      <c r="S247" s="2896">
        <f>ORG!BB23</f>
        <v>0</v>
      </c>
      <c r="U247">
        <f t="shared" si="11"/>
        <v>0</v>
      </c>
    </row>
    <row r="248" spans="1:21">
      <c r="A248" s="2895" t="str">
        <f>ORG!$S$1</f>
        <v>Apr 23</v>
      </c>
      <c r="B248" t="str">
        <f>ORG!$M$1</f>
        <v>Public Health Wales Trust</v>
      </c>
      <c r="C248" t="str">
        <f>ORG!$AZ$5</f>
        <v xml:space="preserve">Table A2 - Overview Of Key Risks &amp; Opportunities </v>
      </c>
      <c r="D248">
        <f>ORG!AZ24</f>
        <v>16</v>
      </c>
      <c r="E248">
        <f>ORG!BC24</f>
        <v>0</v>
      </c>
      <c r="F248" s="2897">
        <f>ORG!BA24</f>
        <v>0</v>
      </c>
      <c r="S248" s="2896">
        <f>ORG!BB24</f>
        <v>0</v>
      </c>
      <c r="U248">
        <f t="shared" si="11"/>
        <v>0</v>
      </c>
    </row>
    <row r="249" spans="1:21">
      <c r="A249" s="2895" t="str">
        <f>ORG!$S$1</f>
        <v>Apr 23</v>
      </c>
      <c r="B249" t="str">
        <f>ORG!$M$1</f>
        <v>Public Health Wales Trust</v>
      </c>
      <c r="C249" t="str">
        <f>ORG!$AZ$5</f>
        <v xml:space="preserve">Table A2 - Overview Of Key Risks &amp; Opportunities </v>
      </c>
      <c r="D249">
        <f>ORG!AZ25</f>
        <v>17</v>
      </c>
      <c r="E249">
        <f>ORG!BC25</f>
        <v>0</v>
      </c>
      <c r="F249" s="2897">
        <f>ORG!BA25</f>
        <v>0</v>
      </c>
      <c r="S249" s="2896">
        <f>ORG!BB25</f>
        <v>0</v>
      </c>
      <c r="U249">
        <f t="shared" si="11"/>
        <v>0</v>
      </c>
    </row>
    <row r="250" spans="1:21">
      <c r="A250" s="2895" t="str">
        <f>ORG!$S$1</f>
        <v>Apr 23</v>
      </c>
      <c r="B250" t="str">
        <f>ORG!$M$1</f>
        <v>Public Health Wales Trust</v>
      </c>
      <c r="C250" t="str">
        <f>ORG!$AZ$5</f>
        <v xml:space="preserve">Table A2 - Overview Of Key Risks &amp; Opportunities </v>
      </c>
      <c r="D250">
        <f>ORG!AZ26</f>
        <v>18</v>
      </c>
      <c r="E250">
        <f>ORG!BC26</f>
        <v>0</v>
      </c>
      <c r="F250" s="2897">
        <f>ORG!BA26</f>
        <v>0</v>
      </c>
      <c r="S250" s="2896">
        <f>ORG!BB26</f>
        <v>0</v>
      </c>
      <c r="U250">
        <f t="shared" si="11"/>
        <v>0</v>
      </c>
    </row>
    <row r="251" spans="1:21">
      <c r="A251" s="2895" t="str">
        <f>ORG!$S$1</f>
        <v>Apr 23</v>
      </c>
      <c r="B251" t="str">
        <f>ORG!$M$1</f>
        <v>Public Health Wales Trust</v>
      </c>
      <c r="C251" t="str">
        <f>ORG!$AZ$5</f>
        <v xml:space="preserve">Table A2 - Overview Of Key Risks &amp; Opportunities </v>
      </c>
      <c r="D251">
        <f>ORG!AZ27</f>
        <v>19</v>
      </c>
      <c r="E251">
        <f>ORG!BC27</f>
        <v>0</v>
      </c>
      <c r="F251" s="2897">
        <f>ORG!BA27</f>
        <v>0</v>
      </c>
      <c r="S251" s="2896">
        <f>ORG!BB27</f>
        <v>0</v>
      </c>
      <c r="U251">
        <f t="shared" si="11"/>
        <v>0</v>
      </c>
    </row>
    <row r="252" spans="1:21">
      <c r="A252" s="2895" t="str">
        <f>ORG!$S$1</f>
        <v>Apr 23</v>
      </c>
      <c r="B252" t="str">
        <f>ORG!$M$1</f>
        <v>Public Health Wales Trust</v>
      </c>
      <c r="C252" t="str">
        <f>ORG!$AZ$5</f>
        <v xml:space="preserve">Table A2 - Overview Of Key Risks &amp; Opportunities </v>
      </c>
      <c r="D252">
        <f>ORG!AZ28</f>
        <v>20</v>
      </c>
      <c r="E252">
        <f>ORG!BC28</f>
        <v>0</v>
      </c>
      <c r="F252" s="2897">
        <f>ORG!BA28</f>
        <v>0</v>
      </c>
      <c r="S252" s="2896">
        <f>ORG!BB28</f>
        <v>0</v>
      </c>
      <c r="U252">
        <f t="shared" si="11"/>
        <v>0</v>
      </c>
    </row>
    <row r="253" spans="1:21">
      <c r="A253" s="2895" t="str">
        <f>ORG!$S$1</f>
        <v>Apr 23</v>
      </c>
      <c r="B253" t="str">
        <f>ORG!$M$1</f>
        <v>Public Health Wales Trust</v>
      </c>
      <c r="C253" t="str">
        <f>ORG!$AZ$5</f>
        <v xml:space="preserve">Table A2 - Overview Of Key Risks &amp; Opportunities </v>
      </c>
      <c r="D253">
        <f>ORG!AZ29</f>
        <v>21</v>
      </c>
      <c r="E253">
        <f>ORG!BC29</f>
        <v>0</v>
      </c>
      <c r="F253" s="2897">
        <f>ORG!BA29</f>
        <v>0</v>
      </c>
      <c r="S253" s="2896">
        <f>ORG!BB29</f>
        <v>0</v>
      </c>
      <c r="U253">
        <f t="shared" si="11"/>
        <v>0</v>
      </c>
    </row>
    <row r="254" spans="1:21">
      <c r="A254" s="2895" t="str">
        <f>ORG!$S$1</f>
        <v>Apr 23</v>
      </c>
      <c r="B254" t="str">
        <f>ORG!$M$1</f>
        <v>Public Health Wales Trust</v>
      </c>
      <c r="C254" t="str">
        <f>ORG!$AZ$5</f>
        <v xml:space="preserve">Table A2 - Overview Of Key Risks &amp; Opportunities </v>
      </c>
      <c r="D254">
        <f>ORG!AZ30</f>
        <v>22</v>
      </c>
      <c r="E254">
        <f>ORG!BC30</f>
        <v>0</v>
      </c>
      <c r="F254" s="2897">
        <f>ORG!BA30</f>
        <v>0</v>
      </c>
      <c r="S254" s="2896">
        <f>ORG!BB30</f>
        <v>0</v>
      </c>
      <c r="U254">
        <f t="shared" si="11"/>
        <v>0</v>
      </c>
    </row>
    <row r="255" spans="1:21">
      <c r="A255" s="2895" t="str">
        <f>ORG!$S$1</f>
        <v>Apr 23</v>
      </c>
      <c r="B255" t="str">
        <f>ORG!$M$1</f>
        <v>Public Health Wales Trust</v>
      </c>
      <c r="C255" t="str">
        <f>ORG!$AZ$5</f>
        <v xml:space="preserve">Table A2 - Overview Of Key Risks &amp; Opportunities </v>
      </c>
      <c r="D255">
        <f>ORG!AZ31</f>
        <v>23</v>
      </c>
      <c r="E255">
        <f>ORG!BC31</f>
        <v>0</v>
      </c>
      <c r="F255" s="2897">
        <f>ORG!BA31</f>
        <v>0</v>
      </c>
      <c r="S255" s="2896">
        <f>ORG!BB31</f>
        <v>0</v>
      </c>
      <c r="U255">
        <f t="shared" si="11"/>
        <v>0</v>
      </c>
    </row>
    <row r="256" spans="1:21">
      <c r="A256" s="2895" t="str">
        <f>ORG!$S$1</f>
        <v>Apr 23</v>
      </c>
      <c r="B256" t="str">
        <f>ORG!$M$1</f>
        <v>Public Health Wales Trust</v>
      </c>
      <c r="C256" t="str">
        <f>ORG!$AZ$5</f>
        <v xml:space="preserve">Table A2 - Overview Of Key Risks &amp; Opportunities </v>
      </c>
      <c r="D256">
        <f>ORG!AZ32</f>
        <v>24</v>
      </c>
      <c r="E256">
        <f>ORG!BC32</f>
        <v>0</v>
      </c>
      <c r="F256" s="2897">
        <f>ORG!BA32</f>
        <v>0</v>
      </c>
      <c r="S256" s="2896">
        <f>ORG!BB32</f>
        <v>0</v>
      </c>
      <c r="U256">
        <f t="shared" si="11"/>
        <v>0</v>
      </c>
    </row>
    <row r="257" spans="1:21">
      <c r="A257" s="2895" t="str">
        <f>ORG!$S$1</f>
        <v>Apr 23</v>
      </c>
      <c r="B257" t="str">
        <f>ORG!$M$1</f>
        <v>Public Health Wales Trust</v>
      </c>
      <c r="C257" t="str">
        <f>ORG!$AZ$5</f>
        <v xml:space="preserve">Table A2 - Overview Of Key Risks &amp; Opportunities </v>
      </c>
      <c r="D257">
        <f>ORG!AZ33</f>
        <v>25</v>
      </c>
      <c r="E257">
        <f>ORG!BC33</f>
        <v>0</v>
      </c>
      <c r="F257" s="2897">
        <f>ORG!BA33</f>
        <v>0</v>
      </c>
      <c r="S257" s="2896">
        <f>ORG!BB33</f>
        <v>0</v>
      </c>
      <c r="U257">
        <f t="shared" si="11"/>
        <v>0</v>
      </c>
    </row>
    <row r="258" spans="1:21">
      <c r="A258" s="2895" t="str">
        <f>ORG!$S$1</f>
        <v>Apr 23</v>
      </c>
      <c r="B258" t="str">
        <f>ORG!$M$1</f>
        <v>Public Health Wales Trust</v>
      </c>
      <c r="C258" t="str">
        <f>ORG!$AZ$5</f>
        <v xml:space="preserve">Table A2 - Overview Of Key Risks &amp; Opportunities </v>
      </c>
      <c r="D258">
        <f>ORG!AZ34</f>
        <v>26</v>
      </c>
      <c r="E258">
        <f>ORG!BC34</f>
        <v>0</v>
      </c>
      <c r="F258" t="str">
        <f>ORG!BA34</f>
        <v>Total Risks</v>
      </c>
      <c r="S258" s="2896">
        <f>ORG!BB34</f>
        <v>-1379</v>
      </c>
      <c r="U258">
        <f t="shared" si="11"/>
        <v>-1379</v>
      </c>
    </row>
    <row r="259" spans="1:21">
      <c r="A259" s="2895" t="str">
        <f>ORG!$S$1</f>
        <v>Apr 23</v>
      </c>
      <c r="B259" t="str">
        <f>ORG!$M$1</f>
        <v>Public Health Wales Trust</v>
      </c>
      <c r="C259" t="str">
        <f>ORG!$AZ$5</f>
        <v xml:space="preserve">Table A2 - Overview Of Key Risks &amp; Opportunities </v>
      </c>
      <c r="D259">
        <f>ORG!AZ36</f>
        <v>27</v>
      </c>
      <c r="E259">
        <f>ORG!BC36</f>
        <v>0</v>
      </c>
      <c r="F259" s="2897">
        <f>ORG!BA36</f>
        <v>0</v>
      </c>
      <c r="S259" s="2896">
        <f>ORG!BB36</f>
        <v>0</v>
      </c>
      <c r="U259">
        <f t="shared" si="11"/>
        <v>0</v>
      </c>
    </row>
    <row r="260" spans="1:21">
      <c r="A260" s="2895" t="str">
        <f>ORG!$S$1</f>
        <v>Apr 23</v>
      </c>
      <c r="B260" t="str">
        <f>ORG!$M$1</f>
        <v>Public Health Wales Trust</v>
      </c>
      <c r="C260" t="str">
        <f>ORG!$AZ$5</f>
        <v xml:space="preserve">Table A2 - Overview Of Key Risks &amp; Opportunities </v>
      </c>
      <c r="D260">
        <f>ORG!AZ37</f>
        <v>28</v>
      </c>
      <c r="E260">
        <f>ORG!BC37</f>
        <v>0</v>
      </c>
      <c r="F260" s="2897">
        <f>ORG!BA37</f>
        <v>0</v>
      </c>
      <c r="S260" s="2896">
        <f>ORG!BB37</f>
        <v>0</v>
      </c>
      <c r="U260">
        <f t="shared" ref="U260:U330" si="12">S260+T260</f>
        <v>0</v>
      </c>
    </row>
    <row r="261" spans="1:21">
      <c r="A261" s="2895" t="str">
        <f>ORG!$S$1</f>
        <v>Apr 23</v>
      </c>
      <c r="B261" t="str">
        <f>ORG!$M$1</f>
        <v>Public Health Wales Trust</v>
      </c>
      <c r="C261" t="str">
        <f>ORG!$AZ$5</f>
        <v xml:space="preserve">Table A2 - Overview Of Key Risks &amp; Opportunities </v>
      </c>
      <c r="D261">
        <f>ORG!AZ38</f>
        <v>29</v>
      </c>
      <c r="E261">
        <f>ORG!BC38</f>
        <v>0</v>
      </c>
      <c r="F261" s="2897">
        <f>ORG!BA38</f>
        <v>0</v>
      </c>
      <c r="S261" s="2896">
        <f>ORG!BB38</f>
        <v>0</v>
      </c>
      <c r="U261">
        <f t="shared" si="12"/>
        <v>0</v>
      </c>
    </row>
    <row r="262" spans="1:21">
      <c r="A262" s="2895" t="str">
        <f>ORG!$S$1</f>
        <v>Apr 23</v>
      </c>
      <c r="B262" t="str">
        <f>ORG!$M$1</f>
        <v>Public Health Wales Trust</v>
      </c>
      <c r="C262" t="str">
        <f>ORG!$AZ$5</f>
        <v xml:space="preserve">Table A2 - Overview Of Key Risks &amp; Opportunities </v>
      </c>
      <c r="D262">
        <f>ORG!AZ39</f>
        <v>30</v>
      </c>
      <c r="E262">
        <f>ORG!BC39</f>
        <v>0</v>
      </c>
      <c r="F262" s="2897">
        <f>ORG!BA39</f>
        <v>0</v>
      </c>
      <c r="S262" s="2896">
        <f>ORG!BB39</f>
        <v>0</v>
      </c>
      <c r="U262">
        <f t="shared" si="12"/>
        <v>0</v>
      </c>
    </row>
    <row r="263" spans="1:21">
      <c r="A263" s="2895" t="str">
        <f>ORG!$S$1</f>
        <v>Apr 23</v>
      </c>
      <c r="B263" t="str">
        <f>ORG!$M$1</f>
        <v>Public Health Wales Trust</v>
      </c>
      <c r="C263" t="str">
        <f>ORG!$AZ$5</f>
        <v xml:space="preserve">Table A2 - Overview Of Key Risks &amp; Opportunities </v>
      </c>
      <c r="D263">
        <f>ORG!AZ40</f>
        <v>31</v>
      </c>
      <c r="E263">
        <f>ORG!BC40</f>
        <v>0</v>
      </c>
      <c r="F263" s="2897">
        <f>ORG!BA40</f>
        <v>0</v>
      </c>
      <c r="S263" s="2896">
        <f>ORG!BB40</f>
        <v>0</v>
      </c>
      <c r="U263">
        <f t="shared" si="12"/>
        <v>0</v>
      </c>
    </row>
    <row r="264" spans="1:21">
      <c r="A264" s="2895" t="str">
        <f>ORG!$S$1</f>
        <v>Apr 23</v>
      </c>
      <c r="B264" t="str">
        <f>ORG!$M$1</f>
        <v>Public Health Wales Trust</v>
      </c>
      <c r="C264" t="str">
        <f>ORG!$AZ$5</f>
        <v xml:space="preserve">Table A2 - Overview Of Key Risks &amp; Opportunities </v>
      </c>
      <c r="D264">
        <f>ORG!AZ41</f>
        <v>32</v>
      </c>
      <c r="E264">
        <f>ORG!BC41</f>
        <v>0</v>
      </c>
      <c r="F264" s="2897">
        <f>ORG!BA41</f>
        <v>0</v>
      </c>
      <c r="S264" s="2896">
        <f>ORG!BB41</f>
        <v>0</v>
      </c>
      <c r="U264">
        <f t="shared" si="12"/>
        <v>0</v>
      </c>
    </row>
    <row r="265" spans="1:21">
      <c r="A265" s="2895" t="str">
        <f>ORG!$S$1</f>
        <v>Apr 23</v>
      </c>
      <c r="B265" t="str">
        <f>ORG!$M$1</f>
        <v>Public Health Wales Trust</v>
      </c>
      <c r="C265" t="str">
        <f>ORG!$AZ$5</f>
        <v xml:space="preserve">Table A2 - Overview Of Key Risks &amp; Opportunities </v>
      </c>
      <c r="D265">
        <f>ORG!AZ42</f>
        <v>33</v>
      </c>
      <c r="E265">
        <f>ORG!BC42</f>
        <v>0</v>
      </c>
      <c r="F265" s="2897">
        <f>ORG!BA42</f>
        <v>0</v>
      </c>
      <c r="S265" s="2896">
        <f>ORG!BB42</f>
        <v>0</v>
      </c>
      <c r="U265">
        <f t="shared" si="12"/>
        <v>0</v>
      </c>
    </row>
    <row r="266" spans="1:21">
      <c r="A266" s="2895" t="str">
        <f>ORG!$S$1</f>
        <v>Apr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6">
        <f>ORG!BB43</f>
        <v>0</v>
      </c>
      <c r="U266">
        <f t="shared" si="12"/>
        <v>0</v>
      </c>
    </row>
    <row r="267" spans="1:21">
      <c r="A267" s="2895" t="str">
        <f>ORG!$S$1</f>
        <v>Apr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6">
        <f>ORG!BB45</f>
        <v>-1.8999998428625986E-4</v>
      </c>
      <c r="U267">
        <f t="shared" si="12"/>
        <v>-1.8999998428625986E-4</v>
      </c>
    </row>
    <row r="268" spans="1:21">
      <c r="A268" s="2895" t="str">
        <f>ORG!$S$1</f>
        <v>Apr 23</v>
      </c>
      <c r="B268" t="str">
        <f>ORG!$M$1</f>
        <v>Public Health Wales Trust</v>
      </c>
      <c r="C268" t="str">
        <f>ORG!$AZ$5</f>
        <v xml:space="preserve">Table A2 - Overview Of Key Risks &amp; Opportunities </v>
      </c>
      <c r="D268">
        <f>ORG!AZ47</f>
        <v>36</v>
      </c>
      <c r="E268">
        <f>ORG!BC47</f>
        <v>0</v>
      </c>
      <c r="F268" t="str">
        <f>ORG!BA47</f>
        <v>IMTP / AOP Outturn Scenario</v>
      </c>
      <c r="S268" s="2896">
        <f>ORG!BB47</f>
        <v>-1.8999998428625986E-4</v>
      </c>
      <c r="U268">
        <f t="shared" si="12"/>
        <v>-1.8999998428625986E-4</v>
      </c>
    </row>
    <row r="269" spans="1:21">
      <c r="A269" s="2895" t="str">
        <f>ORG!$S$1</f>
        <v>Apr 23</v>
      </c>
      <c r="B269" t="str">
        <f>ORG!$M$1</f>
        <v>Public Health Wales Trust</v>
      </c>
      <c r="C269" t="str">
        <f>ORG!$AZ$5</f>
        <v xml:space="preserve">Table A2 - Overview Of Key Risks &amp; Opportunities </v>
      </c>
      <c r="D269">
        <f>ORG!AZ49</f>
        <v>37</v>
      </c>
      <c r="E269">
        <f>ORG!BC49</f>
        <v>0</v>
      </c>
      <c r="F269" t="str">
        <f>ORG!BA49</f>
        <v>Worst Case Outturn Scenario</v>
      </c>
      <c r="S269" s="2896">
        <f>ORG!BB49</f>
        <v>-1379.0001899999843</v>
      </c>
      <c r="U269">
        <f t="shared" si="12"/>
        <v>-1379.0001899999843</v>
      </c>
    </row>
    <row r="270" spans="1:21">
      <c r="A270" s="2895" t="str">
        <f>ORG!$S$1</f>
        <v>Apr 23</v>
      </c>
      <c r="B270" t="str">
        <f>ORG!$M$1</f>
        <v>Public Health Wales Trust</v>
      </c>
      <c r="C270" t="str">
        <f>ORG!$AZ$5</f>
        <v xml:space="preserve">Table A2 - Overview Of Key Risks &amp; Opportunities </v>
      </c>
      <c r="D270">
        <f>ORG!AZ51</f>
        <v>38</v>
      </c>
      <c r="E270">
        <f>ORG!BC51</f>
        <v>0</v>
      </c>
      <c r="F270" t="str">
        <f>ORG!BA51</f>
        <v>Best Case Outturn Scenario</v>
      </c>
      <c r="S270" s="2896">
        <f>ORG!BB51</f>
        <v>-1.8999998428625986E-4</v>
      </c>
      <c r="U270">
        <f t="shared" si="12"/>
        <v>-1.8999998428625986E-4</v>
      </c>
    </row>
    <row r="271" spans="1:21">
      <c r="A271" s="2895" t="str">
        <f>ORG!$S$1</f>
        <v>Apr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5" t="str">
        <f>ORG!$S$1</f>
        <v>Apr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5" t="str">
        <f>ORG!$S$1</f>
        <v>Apr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1887</v>
      </c>
      <c r="I273">
        <f>'B - Monthly Positions'!F13</f>
        <v>1887</v>
      </c>
      <c r="J273">
        <f>'B - Monthly Positions'!G13</f>
        <v>1887</v>
      </c>
      <c r="K273">
        <f>'B - Monthly Positions'!H13</f>
        <v>1887</v>
      </c>
      <c r="L273">
        <f>'B - Monthly Positions'!I13</f>
        <v>1887</v>
      </c>
      <c r="M273">
        <f>'B - Monthly Positions'!J13</f>
        <v>1887</v>
      </c>
      <c r="N273">
        <f>'B - Monthly Positions'!K13</f>
        <v>1887</v>
      </c>
      <c r="O273">
        <f>'B - Monthly Positions'!L13</f>
        <v>1887</v>
      </c>
      <c r="P273">
        <f>'B - Monthly Positions'!M13</f>
        <v>1887</v>
      </c>
      <c r="Q273">
        <f>'B - Monthly Positions'!N13</f>
        <v>1887</v>
      </c>
      <c r="R273">
        <f>'B - Monthly Positions'!O13</f>
        <v>1888</v>
      </c>
      <c r="S273">
        <f>'B - Monthly Positions'!Q13</f>
        <v>22680</v>
      </c>
      <c r="U273">
        <f t="shared" si="12"/>
        <v>22680</v>
      </c>
    </row>
    <row r="274" spans="1:21">
      <c r="A274" s="2895" t="str">
        <f>ORG!$S$1</f>
        <v>Apr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0</v>
      </c>
      <c r="I274">
        <f>'B - Monthly Positions'!F14</f>
        <v>0</v>
      </c>
      <c r="J274">
        <f>'B - Monthly Positions'!G14</f>
        <v>0</v>
      </c>
      <c r="K274">
        <f>'B - Monthly Positions'!H14</f>
        <v>0</v>
      </c>
      <c r="L274">
        <f>'B - Monthly Positions'!I14</f>
        <v>0</v>
      </c>
      <c r="M274">
        <f>'B - Monthly Positions'!J14</f>
        <v>0</v>
      </c>
      <c r="N274">
        <f>'B - Monthly Positions'!K14</f>
        <v>0</v>
      </c>
      <c r="O274">
        <f>'B - Monthly Positions'!L14</f>
        <v>0</v>
      </c>
      <c r="P274">
        <f>'B - Monthly Positions'!M14</f>
        <v>0</v>
      </c>
      <c r="Q274">
        <f>'B - Monthly Positions'!N14</f>
        <v>0</v>
      </c>
      <c r="R274">
        <f>'B - Monthly Positions'!O14</f>
        <v>0</v>
      </c>
      <c r="S274">
        <f>'B - Monthly Positions'!Q14</f>
        <v>16</v>
      </c>
      <c r="U274">
        <f t="shared" si="12"/>
        <v>16</v>
      </c>
    </row>
    <row r="275" spans="1:21">
      <c r="A275" s="2895" t="str">
        <f>ORG!$S$1</f>
        <v>Apr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15815.933909250894</v>
      </c>
      <c r="I275">
        <f>'B - Monthly Positions'!F15</f>
        <v>16204.246342926086</v>
      </c>
      <c r="J275">
        <f>'B - Monthly Positions'!G15</f>
        <v>15856.744234250895</v>
      </c>
      <c r="K275">
        <f>'B - Monthly Positions'!H15</f>
        <v>15826.244234250895</v>
      </c>
      <c r="L275">
        <f>'B - Monthly Positions'!I15</f>
        <v>16365.78735125942</v>
      </c>
      <c r="M275">
        <f>'B - Monthly Positions'!J15</f>
        <v>16125.747946985817</v>
      </c>
      <c r="N275">
        <f>'B - Monthly Positions'!K15</f>
        <v>16041.968375841603</v>
      </c>
      <c r="O275">
        <f>'B - Monthly Positions'!L15</f>
        <v>16553.305338652484</v>
      </c>
      <c r="P275">
        <f>'B - Monthly Positions'!M15</f>
        <v>16074.747946985817</v>
      </c>
      <c r="Q275">
        <f>'B - Monthly Positions'!N15</f>
        <v>16042.722954697387</v>
      </c>
      <c r="R275">
        <f>'B - Monthly Positions'!O15</f>
        <v>17098.564175874708</v>
      </c>
      <c r="S275">
        <f>'B - Monthly Positions'!Q15</f>
        <v>193784.01281097601</v>
      </c>
      <c r="U275">
        <f t="shared" si="12"/>
        <v>193784.01281097601</v>
      </c>
    </row>
    <row r="276" spans="1:21">
      <c r="A276" s="2895" t="str">
        <f>ORG!$S$1</f>
        <v>Apr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309</v>
      </c>
      <c r="I276">
        <f>'B - Monthly Positions'!F16</f>
        <v>309</v>
      </c>
      <c r="J276">
        <f>'B - Monthly Positions'!G16</f>
        <v>309</v>
      </c>
      <c r="K276">
        <f>'B - Monthly Positions'!H16</f>
        <v>301</v>
      </c>
      <c r="L276">
        <f>'B - Monthly Positions'!I16</f>
        <v>301</v>
      </c>
      <c r="M276">
        <f>'B - Monthly Positions'!J16</f>
        <v>301</v>
      </c>
      <c r="N276">
        <f>'B - Monthly Positions'!K16</f>
        <v>301</v>
      </c>
      <c r="O276">
        <f>'B - Monthly Positions'!L16</f>
        <v>301</v>
      </c>
      <c r="P276">
        <f>'B - Monthly Positions'!M16</f>
        <v>301</v>
      </c>
      <c r="Q276">
        <f>'B - Monthly Positions'!N16</f>
        <v>301</v>
      </c>
      <c r="R276">
        <f>'B - Monthly Positions'!O16</f>
        <v>302</v>
      </c>
      <c r="S276">
        <f>'B - Monthly Positions'!Q16</f>
        <v>3817</v>
      </c>
      <c r="U276">
        <f t="shared" si="12"/>
        <v>3817</v>
      </c>
    </row>
    <row r="277" spans="1:21">
      <c r="A277" s="2895" t="str">
        <f>ORG!$S$1</f>
        <v>Apr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18011.933909250896</v>
      </c>
      <c r="I277">
        <f>'B - Monthly Positions'!F17</f>
        <v>18400.246342926086</v>
      </c>
      <c r="J277">
        <f>'B - Monthly Positions'!G17</f>
        <v>18052.744234250895</v>
      </c>
      <c r="K277">
        <f>'B - Monthly Positions'!H17</f>
        <v>18014.244234250895</v>
      </c>
      <c r="L277">
        <f>'B - Monthly Positions'!I17</f>
        <v>18553.78735125942</v>
      </c>
      <c r="M277">
        <f>'B - Monthly Positions'!J17</f>
        <v>18313.747946985815</v>
      </c>
      <c r="N277">
        <f>'B - Monthly Positions'!K17</f>
        <v>18229.968375841603</v>
      </c>
      <c r="O277">
        <f>'B - Monthly Positions'!L17</f>
        <v>18741.305338652484</v>
      </c>
      <c r="P277">
        <f>'B - Monthly Positions'!M17</f>
        <v>18262.747946985815</v>
      </c>
      <c r="Q277">
        <f>'B - Monthly Positions'!N17</f>
        <v>18230.722954697387</v>
      </c>
      <c r="R277">
        <f>'B - Monthly Positions'!O17</f>
        <v>19288.564175874708</v>
      </c>
      <c r="S277">
        <f>'B - Monthly Positions'!Q17</f>
        <v>220297.01281097601</v>
      </c>
      <c r="U277">
        <f t="shared" si="12"/>
        <v>220297.01281097601</v>
      </c>
    </row>
    <row r="278" spans="1:21">
      <c r="A278" s="2895" t="str">
        <f>ORG!$S$1</f>
        <v>Apr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5" t="str">
        <f>ORG!$S$1</f>
        <v>Apr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5" t="str">
        <f>ORG!$S$1</f>
        <v>Apr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9831.948833333332</v>
      </c>
      <c r="I280">
        <f>'B - Monthly Positions'!F20</f>
        <v>9872.6593499999999</v>
      </c>
      <c r="J280">
        <f>'B - Monthly Positions'!G20</f>
        <v>9902.2591583333324</v>
      </c>
      <c r="K280">
        <f>'B - Monthly Positions'!H20</f>
        <v>9895.2591583333324</v>
      </c>
      <c r="L280">
        <f>'B - Monthly Positions'!I20</f>
        <v>9904.7003583333335</v>
      </c>
      <c r="M280">
        <f>'B - Monthly Positions'!J20</f>
        <v>9899.5761133333326</v>
      </c>
      <c r="N280">
        <f>'B - Monthly Positions'!K20</f>
        <v>9899.5761133333326</v>
      </c>
      <c r="O280">
        <f>'B - Monthly Positions'!L20</f>
        <v>9888.6128800000006</v>
      </c>
      <c r="P280">
        <f>'B - Monthly Positions'!M20</f>
        <v>9886.5761133333326</v>
      </c>
      <c r="Q280">
        <f>'B - Monthly Positions'!N20</f>
        <v>9867.2591583333324</v>
      </c>
      <c r="R280">
        <f>'B - Monthly Positions'!O20</f>
        <v>9878.2622222222217</v>
      </c>
      <c r="S280">
        <f>'B - Monthly Positions'!Q20</f>
        <v>118877.68945888888</v>
      </c>
      <c r="U280">
        <f t="shared" si="12"/>
        <v>118877.68945888888</v>
      </c>
    </row>
    <row r="281" spans="1:21">
      <c r="A281" s="2895" t="str">
        <f>ORG!$S$1</f>
        <v>Apr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7896.1640759175616</v>
      </c>
      <c r="I281">
        <f>'B - Monthly Positions'!F21</f>
        <v>8243.7659929260863</v>
      </c>
      <c r="J281">
        <f>'B - Monthly Positions'!G21</f>
        <v>7866.6640759175616</v>
      </c>
      <c r="K281">
        <f>'B - Monthly Positions'!H21</f>
        <v>7835.1640759175616</v>
      </c>
      <c r="L281">
        <f>'B - Monthly Positions'!I21</f>
        <v>8365.2659929260863</v>
      </c>
      <c r="M281">
        <f>'B - Monthly Positions'!J21</f>
        <v>8130.3508336524837</v>
      </c>
      <c r="N281">
        <f>'B - Monthly Positions'!K21</f>
        <v>8046.5712625082688</v>
      </c>
      <c r="O281">
        <f>'B - Monthly Positions'!L21</f>
        <v>8568.8714586524839</v>
      </c>
      <c r="P281">
        <f>'B - Monthly Positions'!M21</f>
        <v>8092.3508336524837</v>
      </c>
      <c r="Q281">
        <f>'B - Monthly Positions'!N21</f>
        <v>8079.6427963640544</v>
      </c>
      <c r="R281">
        <f>'B - Monthly Positions'!O21</f>
        <v>9176.4809536524845</v>
      </c>
      <c r="S281">
        <f>'B - Monthly Positions'!Q21</f>
        <v>98013.471352087116</v>
      </c>
      <c r="U281">
        <f t="shared" si="12"/>
        <v>98013.471352087116</v>
      </c>
    </row>
    <row r="282" spans="1:21">
      <c r="A282" s="2895" t="str">
        <f>ORG!$S$1</f>
        <v>Apr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5" t="str">
        <f>ORG!$S$1</f>
        <v>Apr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5" t="str">
        <f>ORG!$S$1</f>
        <v>Apr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5" t="str">
        <f>ORG!$S$1</f>
        <v>Apr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5" t="str">
        <f>ORG!$S$1</f>
        <v>Apr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5" t="str">
        <f>ORG!$S$1</f>
        <v>Apr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5" t="str">
        <f>ORG!$S$1</f>
        <v>Apr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5" t="str">
        <f>ORG!$S$1</f>
        <v>Apr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5" t="str">
        <f>ORG!$S$1</f>
        <v>Apr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5" t="str">
        <f>ORG!$S$1</f>
        <v>Apr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5" t="str">
        <f>ORG!$S$1</f>
        <v>Apr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283.82100000000003</v>
      </c>
      <c r="I292">
        <f>'B - Monthly Positions'!F32</f>
        <v>283.82100000000003</v>
      </c>
      <c r="J292">
        <f>'B - Monthly Positions'!G32</f>
        <v>283.82100000000003</v>
      </c>
      <c r="K292">
        <f>'B - Monthly Positions'!H32</f>
        <v>283.82100000000003</v>
      </c>
      <c r="L292">
        <f>'B - Monthly Positions'!I32</f>
        <v>283.82100000000003</v>
      </c>
      <c r="M292">
        <f>'B - Monthly Positions'!J32</f>
        <v>283.82100000000003</v>
      </c>
      <c r="N292">
        <f>'B - Monthly Positions'!K32</f>
        <v>283.82100000000003</v>
      </c>
      <c r="O292">
        <f>'B - Monthly Positions'!L32</f>
        <v>283.82100000000003</v>
      </c>
      <c r="P292">
        <f>'B - Monthly Positions'!M32</f>
        <v>283.82100000000003</v>
      </c>
      <c r="Q292">
        <f>'B - Monthly Positions'!N32</f>
        <v>283.82100000000003</v>
      </c>
      <c r="R292">
        <f>'B - Monthly Positions'!O32</f>
        <v>283.82100000000003</v>
      </c>
      <c r="S292">
        <f>'B - Monthly Positions'!Q32</f>
        <v>3405.8519999999994</v>
      </c>
      <c r="U292">
        <f t="shared" si="12"/>
        <v>3405.8519999999994</v>
      </c>
    </row>
    <row r="293" spans="1:21">
      <c r="A293" s="2895" t="str">
        <f>ORG!$S$1</f>
        <v>Apr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0</v>
      </c>
      <c r="I293">
        <f>'B - Monthly Positions'!F33</f>
        <v>0</v>
      </c>
      <c r="J293">
        <f>'B - Monthly Positions'!G33</f>
        <v>0</v>
      </c>
      <c r="K293">
        <f>'B - Monthly Positions'!H33</f>
        <v>0</v>
      </c>
      <c r="L293">
        <f>'B - Monthly Positions'!I33</f>
        <v>0</v>
      </c>
      <c r="M293">
        <f>'B - Monthly Positions'!J33</f>
        <v>0</v>
      </c>
      <c r="N293">
        <f>'B - Monthly Positions'!K33</f>
        <v>0</v>
      </c>
      <c r="O293">
        <f>'B - Monthly Positions'!L33</f>
        <v>0</v>
      </c>
      <c r="P293">
        <f>'B - Monthly Positions'!M33</f>
        <v>0</v>
      </c>
      <c r="Q293">
        <f>'B - Monthly Positions'!N33</f>
        <v>0</v>
      </c>
      <c r="R293">
        <f>'B - Monthly Positions'!O33</f>
        <v>0</v>
      </c>
      <c r="S293">
        <f>'B - Monthly Positions'!Q33</f>
        <v>0</v>
      </c>
      <c r="U293">
        <f t="shared" si="12"/>
        <v>0</v>
      </c>
    </row>
    <row r="294" spans="1:21">
      <c r="A294" s="2895" t="str">
        <f>ORG!$S$1</f>
        <v>Apr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5" t="str">
        <f>ORG!$S$1</f>
        <v>Apr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0</v>
      </c>
      <c r="O295">
        <f>'B - Monthly Positions'!L35</f>
        <v>0</v>
      </c>
      <c r="P295">
        <f>'B - Monthly Positions'!M35</f>
        <v>0</v>
      </c>
      <c r="Q295">
        <f>'B - Monthly Positions'!N35</f>
        <v>0</v>
      </c>
      <c r="R295">
        <f>'B - Monthly Positions'!O35</f>
        <v>0</v>
      </c>
      <c r="S295">
        <f>'B - Monthly Positions'!Q35</f>
        <v>0</v>
      </c>
      <c r="U295">
        <f t="shared" si="12"/>
        <v>0</v>
      </c>
    </row>
    <row r="296" spans="1:21">
      <c r="A296" s="2895" t="str">
        <f>ORG!$S$1</f>
        <v>Apr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18011.933909250893</v>
      </c>
      <c r="I296">
        <f>'B - Monthly Positions'!F36</f>
        <v>18400.246342926086</v>
      </c>
      <c r="J296">
        <f>'B - Monthly Positions'!G36</f>
        <v>18052.744234250895</v>
      </c>
      <c r="K296">
        <f>'B - Monthly Positions'!H36</f>
        <v>18014.244234250895</v>
      </c>
      <c r="L296">
        <f>'B - Monthly Positions'!I36</f>
        <v>18553.78735125942</v>
      </c>
      <c r="M296">
        <f>'B - Monthly Positions'!J36</f>
        <v>18313.747946985815</v>
      </c>
      <c r="N296">
        <f>'B - Monthly Positions'!K36</f>
        <v>18229.968375841603</v>
      </c>
      <c r="O296">
        <f>'B - Monthly Positions'!L36</f>
        <v>18741.305338652484</v>
      </c>
      <c r="P296">
        <f>'B - Monthly Positions'!M36</f>
        <v>18262.747946985815</v>
      </c>
      <c r="Q296">
        <f>'B - Monthly Positions'!N36</f>
        <v>18230.722954697387</v>
      </c>
      <c r="R296">
        <f>'B - Monthly Positions'!O36</f>
        <v>19338.564175874704</v>
      </c>
      <c r="S296">
        <f>'B - Monthly Positions'!Q36</f>
        <v>220297.01281097601</v>
      </c>
      <c r="U296">
        <f t="shared" si="12"/>
        <v>220297.01281097601</v>
      </c>
    </row>
    <row r="297" spans="1:21">
      <c r="A297" s="2895" t="str">
        <f>ORG!$S$1</f>
        <v>Apr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3.637978807091713E-12</v>
      </c>
      <c r="I297">
        <f>'B - Monthly Positions'!F37</f>
        <v>0</v>
      </c>
      <c r="J297">
        <f>'B - Monthly Positions'!G37</f>
        <v>0</v>
      </c>
      <c r="K297">
        <f>'B - Monthly Positions'!H37</f>
        <v>0</v>
      </c>
      <c r="L297">
        <f>'B - Monthly Positions'!I37</f>
        <v>0</v>
      </c>
      <c r="M297">
        <f>'B - Monthly Positions'!J37</f>
        <v>0</v>
      </c>
      <c r="N297">
        <f>'B - Monthly Positions'!K37</f>
        <v>0</v>
      </c>
      <c r="O297">
        <f>'B - Monthly Positions'!L37</f>
        <v>0</v>
      </c>
      <c r="P297">
        <f>'B - Monthly Positions'!M37</f>
        <v>0</v>
      </c>
      <c r="Q297">
        <f>'B - Monthly Positions'!N37</f>
        <v>0</v>
      </c>
      <c r="R297">
        <f>'B - Monthly Positions'!O37</f>
        <v>-49.999999999996362</v>
      </c>
      <c r="S297">
        <f>'B - Monthly Positions'!Q37</f>
        <v>0</v>
      </c>
      <c r="U297">
        <f t="shared" si="12"/>
        <v>0</v>
      </c>
    </row>
    <row r="298" spans="1:21">
      <c r="A298" s="2895" t="str">
        <f>ORG!$S$1</f>
        <v>Apr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5" t="str">
        <f>ORG!$S$1</f>
        <v>Apr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5" t="str">
        <f>ORG!$S$1</f>
        <v>Apr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5" t="str">
        <f>ORG!$S$1</f>
        <v>Apr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5" t="str">
        <f>ORG!$S$1</f>
        <v>Apr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5" t="str">
        <f>ORG!$S$1</f>
        <v>Apr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5" t="str">
        <f>ORG!$S$1</f>
        <v>Apr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5" t="str">
        <f>ORG!$S$1</f>
        <v>Apr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5" t="str">
        <f>ORG!$S$1</f>
        <v>Apr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201591.160810976</v>
      </c>
      <c r="U306">
        <f t="shared" si="12"/>
        <v>201591.160810976</v>
      </c>
    </row>
    <row r="307" spans="1:21">
      <c r="A307" s="2895" t="str">
        <f>ORG!$S$1</f>
        <v>Apr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2256</v>
      </c>
      <c r="U307">
        <f t="shared" si="12"/>
        <v>2256</v>
      </c>
    </row>
    <row r="308" spans="1:21">
      <c r="A308" s="2895" t="str">
        <f>ORG!$S$1</f>
        <v>Apr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13044</v>
      </c>
      <c r="U308">
        <f t="shared" si="12"/>
        <v>13044</v>
      </c>
    </row>
    <row r="309" spans="1:21">
      <c r="A309" s="2895" t="str">
        <f>ORG!$S$1</f>
        <v>Apr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5" t="str">
        <f>ORG!$S$1</f>
        <v>Apr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216891.160810976</v>
      </c>
      <c r="U310">
        <f t="shared" si="12"/>
        <v>216891.160810976</v>
      </c>
    </row>
    <row r="311" spans="1:21">
      <c r="A311" s="2895" t="str">
        <f>ORG!$S$1</f>
        <v>Apr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283.82100000000003</v>
      </c>
      <c r="I311">
        <f>'B - Monthly Positions'!F72</f>
        <v>283.82100000000003</v>
      </c>
      <c r="J311">
        <f>'B - Monthly Positions'!G72</f>
        <v>283.82100000000003</v>
      </c>
      <c r="K311">
        <f>'B - Monthly Positions'!H72</f>
        <v>283.82100000000003</v>
      </c>
      <c r="L311">
        <f>'B - Monthly Positions'!I72</f>
        <v>283.82100000000003</v>
      </c>
      <c r="M311">
        <f>'B - Monthly Positions'!J72</f>
        <v>283.82100000000003</v>
      </c>
      <c r="N311">
        <f>'B - Monthly Positions'!K72</f>
        <v>283.82100000000003</v>
      </c>
      <c r="O311">
        <f>'B - Monthly Positions'!L72</f>
        <v>283.82100000000003</v>
      </c>
      <c r="P311">
        <f>'B - Monthly Positions'!M72</f>
        <v>283.82100000000003</v>
      </c>
      <c r="Q311">
        <f>'B - Monthly Positions'!N72</f>
        <v>283.82100000000003</v>
      </c>
      <c r="R311">
        <f>'B - Monthly Positions'!O72</f>
        <v>283.82100000000003</v>
      </c>
      <c r="S311">
        <f>'B - Monthly Positions'!Q72</f>
        <v>3405.8519999999994</v>
      </c>
      <c r="U311">
        <f t="shared" si="12"/>
        <v>3405.8519999999994</v>
      </c>
    </row>
    <row r="312" spans="1:21">
      <c r="A312" s="2895" t="str">
        <f>ORG!$S$1</f>
        <v>Apr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0</v>
      </c>
      <c r="I312">
        <f>'B - Monthly Positions'!F73</f>
        <v>0</v>
      </c>
      <c r="J312">
        <f>'B - Monthly Positions'!G73</f>
        <v>0</v>
      </c>
      <c r="K312">
        <f>'B - Monthly Positions'!H73</f>
        <v>0</v>
      </c>
      <c r="L312">
        <f>'B - Monthly Positions'!I73</f>
        <v>0</v>
      </c>
      <c r="M312">
        <f>'B - Monthly Positions'!J73</f>
        <v>0</v>
      </c>
      <c r="N312">
        <f>'B - Monthly Positions'!K73</f>
        <v>0</v>
      </c>
      <c r="O312">
        <f>'B - Monthly Positions'!L73</f>
        <v>0</v>
      </c>
      <c r="P312">
        <f>'B - Monthly Positions'!M73</f>
        <v>0</v>
      </c>
      <c r="Q312">
        <f>'B - Monthly Positions'!N73</f>
        <v>0</v>
      </c>
      <c r="R312">
        <f>'B - Monthly Positions'!O73</f>
        <v>0</v>
      </c>
      <c r="S312">
        <f>'B - Monthly Positions'!Q73</f>
        <v>0</v>
      </c>
      <c r="U312">
        <f t="shared" si="12"/>
        <v>0</v>
      </c>
    </row>
    <row r="313" spans="1:21">
      <c r="A313" s="2895" t="str">
        <f>ORG!$S$1</f>
        <v>Apr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5" t="str">
        <f>ORG!$S$1</f>
        <v>Apr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5" t="str">
        <f>ORG!$S$1</f>
        <v>Apr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0</v>
      </c>
      <c r="I315">
        <f>'B - Monthly Positions'!F76</f>
        <v>0</v>
      </c>
      <c r="J315">
        <f>'B - Monthly Positions'!G76</f>
        <v>0</v>
      </c>
      <c r="K315">
        <f>'B - Monthly Positions'!H76</f>
        <v>0</v>
      </c>
      <c r="L315">
        <f>'B - Monthly Positions'!I76</f>
        <v>0</v>
      </c>
      <c r="M315">
        <f>'B - Monthly Positions'!J76</f>
        <v>0</v>
      </c>
      <c r="N315">
        <f>'B - Monthly Positions'!K76</f>
        <v>0</v>
      </c>
      <c r="O315">
        <f>'B - Monthly Positions'!L76</f>
        <v>0</v>
      </c>
      <c r="P315">
        <f>'B - Monthly Positions'!M76</f>
        <v>0</v>
      </c>
      <c r="Q315">
        <f>'B - Monthly Positions'!N76</f>
        <v>0</v>
      </c>
      <c r="R315">
        <f>'B - Monthly Positions'!O76</f>
        <v>0</v>
      </c>
      <c r="S315">
        <f>'B - Monthly Positions'!Q76</f>
        <v>0</v>
      </c>
      <c r="U315">
        <f t="shared" si="12"/>
        <v>0</v>
      </c>
    </row>
    <row r="316" spans="1:21">
      <c r="A316" s="2895" t="str">
        <f>ORG!$S$1</f>
        <v>Apr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283.82100000000003</v>
      </c>
      <c r="I316">
        <f>'B - Monthly Positions'!F77</f>
        <v>283.82100000000003</v>
      </c>
      <c r="J316">
        <f>'B - Monthly Positions'!G77</f>
        <v>283.82100000000003</v>
      </c>
      <c r="K316">
        <f>'B - Monthly Positions'!H77</f>
        <v>283.82100000000003</v>
      </c>
      <c r="L316">
        <f>'B - Monthly Positions'!I77</f>
        <v>283.82100000000003</v>
      </c>
      <c r="M316">
        <f>'B - Monthly Positions'!J77</f>
        <v>283.82100000000003</v>
      </c>
      <c r="N316">
        <f>'B - Monthly Positions'!K77</f>
        <v>283.82100000000003</v>
      </c>
      <c r="O316">
        <f>'B - Monthly Positions'!L77</f>
        <v>283.82100000000003</v>
      </c>
      <c r="P316">
        <f>'B - Monthly Positions'!M77</f>
        <v>283.82100000000003</v>
      </c>
      <c r="Q316">
        <f>'B - Monthly Positions'!N77</f>
        <v>283.82100000000003</v>
      </c>
      <c r="R316">
        <f>'B - Monthly Positions'!O77</f>
        <v>283.82100000000003</v>
      </c>
      <c r="S316">
        <f>'B - Monthly Positions'!Q77</f>
        <v>3405.8519999999994</v>
      </c>
      <c r="U316">
        <f t="shared" si="12"/>
        <v>3405.8519999999994</v>
      </c>
    </row>
    <row r="317" spans="1:21">
      <c r="A317" s="2895" t="str">
        <f>ORG!$S$1</f>
        <v>Apr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0</v>
      </c>
      <c r="I317">
        <f>'B - Monthly Positions'!F79</f>
        <v>0</v>
      </c>
      <c r="J317">
        <f>'B - Monthly Positions'!G79</f>
        <v>0</v>
      </c>
      <c r="K317">
        <f>'B - Monthly Positions'!H79</f>
        <v>0</v>
      </c>
      <c r="L317">
        <f>'B - Monthly Positions'!I79</f>
        <v>0</v>
      </c>
      <c r="M317">
        <f>'B - Monthly Positions'!J79</f>
        <v>0</v>
      </c>
      <c r="N317">
        <f>'B - Monthly Positions'!K79</f>
        <v>0</v>
      </c>
      <c r="O317">
        <f>'B - Monthly Positions'!L79</f>
        <v>0</v>
      </c>
      <c r="P317">
        <f>'B - Monthly Positions'!M79</f>
        <v>0</v>
      </c>
      <c r="Q317">
        <f>'B - Monthly Positions'!N79</f>
        <v>0</v>
      </c>
      <c r="R317">
        <f>'B - Monthly Positions'!O79</f>
        <v>0</v>
      </c>
      <c r="S317">
        <f>'B - Monthly Positions'!Q79</f>
        <v>0</v>
      </c>
      <c r="U317">
        <f t="shared" si="12"/>
        <v>0</v>
      </c>
    </row>
    <row r="318" spans="1:21">
      <c r="A318" s="2895" t="str">
        <f>ORG!$S$1</f>
        <v>Apr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5" t="str">
        <f>ORG!$S$1</f>
        <v>Apr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0</v>
      </c>
      <c r="I319">
        <f>'B - Monthly Positions'!F81</f>
        <v>0</v>
      </c>
      <c r="J319">
        <f>'B - Monthly Positions'!G81</f>
        <v>0</v>
      </c>
      <c r="K319">
        <f>'B - Monthly Positions'!H81</f>
        <v>0</v>
      </c>
      <c r="L319">
        <f>'B - Monthly Positions'!I81</f>
        <v>0</v>
      </c>
      <c r="M319">
        <f>'B - Monthly Positions'!J81</f>
        <v>0</v>
      </c>
      <c r="N319">
        <f>'B - Monthly Positions'!K81</f>
        <v>0</v>
      </c>
      <c r="O319">
        <f>'B - Monthly Positions'!L81</f>
        <v>0</v>
      </c>
      <c r="P319">
        <f>'B - Monthly Positions'!M81</f>
        <v>0</v>
      </c>
      <c r="Q319">
        <f>'B - Monthly Positions'!N81</f>
        <v>0</v>
      </c>
      <c r="R319">
        <f>'B - Monthly Positions'!O81</f>
        <v>0</v>
      </c>
      <c r="S319">
        <f>'B - Monthly Positions'!Q81</f>
        <v>0</v>
      </c>
      <c r="U319">
        <f t="shared" si="12"/>
        <v>0</v>
      </c>
    </row>
    <row r="320" spans="1:21">
      <c r="A320" s="2895" t="str">
        <f>ORG!$S$1</f>
        <v>Apr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0</v>
      </c>
      <c r="I320">
        <f>'B - Monthly Positions'!F82</f>
        <v>0</v>
      </c>
      <c r="J320">
        <f>'B - Monthly Positions'!G82</f>
        <v>0</v>
      </c>
      <c r="K320">
        <f>'B - Monthly Positions'!H82</f>
        <v>0</v>
      </c>
      <c r="L320">
        <f>'B - Monthly Positions'!I82</f>
        <v>0</v>
      </c>
      <c r="M320">
        <f>'B - Monthly Positions'!J82</f>
        <v>0</v>
      </c>
      <c r="N320">
        <f>'B - Monthly Positions'!K82</f>
        <v>0</v>
      </c>
      <c r="O320">
        <f>'B - Monthly Positions'!L82</f>
        <v>0</v>
      </c>
      <c r="P320">
        <f>'B - Monthly Positions'!M82</f>
        <v>0</v>
      </c>
      <c r="Q320">
        <f>'B - Monthly Positions'!N82</f>
        <v>0</v>
      </c>
      <c r="R320">
        <f>'B - Monthly Positions'!O82</f>
        <v>0</v>
      </c>
      <c r="S320">
        <f>'B - Monthly Positions'!Q82</f>
        <v>0</v>
      </c>
      <c r="U320">
        <f t="shared" si="12"/>
        <v>0</v>
      </c>
    </row>
    <row r="321" spans="1:21">
      <c r="A321" s="2895" t="str">
        <f>ORG!$S$1</f>
        <v>Apr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5" t="str">
        <f>ORG!$S$1</f>
        <v>Apr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5" t="str">
        <f>ORG!$S$1</f>
        <v>Apr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5" t="str">
        <f>ORG!$S$1</f>
        <v>Apr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5" t="str">
        <f>ORG!$S$1</f>
        <v>Apr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5" t="str">
        <f>ORG!$S$1</f>
        <v>Apr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5" t="str">
        <f>ORG!$S$1</f>
        <v>Apr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5" t="str">
        <f>ORG!$S$1</f>
        <v>Apr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5" t="str">
        <f>ORG!$S$1</f>
        <v>Apr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5" t="str">
        <f>ORG!$S$1</f>
        <v>Apr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5" t="str">
        <f>ORG!$S$1</f>
        <v>Apr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5" t="str">
        <f>ORG!$S$1</f>
        <v>Apr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5" t="str">
        <f>ORG!$S$1</f>
        <v>Apr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5" t="str">
        <f>ORG!$S$1</f>
        <v>Apr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5" t="str">
        <f>ORG!$S$1</f>
        <v>Apr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5" t="str">
        <f>ORG!$S$1</f>
        <v>Apr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5" t="str">
        <f>ORG!$S$1</f>
        <v>Apr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5" t="str">
        <f>ORG!$S$1</f>
        <v>Apr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5" t="str">
        <f>ORG!$S$1</f>
        <v>Apr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5" t="str">
        <f>ORG!$S$1</f>
        <v>Apr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5" t="str">
        <f>ORG!$S$1</f>
        <v>Apr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5" t="str">
        <f>ORG!$S$1</f>
        <v>Apr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5" t="str">
        <f>ORG!$S$1</f>
        <v>Apr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5" t="str">
        <f>ORG!$S$1</f>
        <v>Apr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5" t="str">
        <f>ORG!$S$1</f>
        <v>Apr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5" t="str">
        <f>ORG!$S$1</f>
        <v>Apr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5" t="str">
        <f>ORG!$S$1</f>
        <v>Apr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5" t="str">
        <f>ORG!$S$1</f>
        <v>Apr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5" t="str">
        <f>ORG!$S$1</f>
        <v>Apr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5" t="str">
        <f>ORG!$S$1</f>
        <v>Apr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5" t="str">
        <f>ORG!$S$1</f>
        <v>Apr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5" t="str">
        <f>ORG!$S$1</f>
        <v>Apr 23</v>
      </c>
      <c r="B352" t="str">
        <f>ORG!$M$1</f>
        <v>Public Health Wales Trust</v>
      </c>
      <c r="C352" t="str">
        <f>'B2 - Pay &amp; Agency'!$A$5</f>
        <v>Table B2 - Pay Expenditure Analysis</v>
      </c>
      <c r="D352" s="2898">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5119.1366666666663</v>
      </c>
      <c r="I352">
        <f>'B2 - Pay &amp; Agency'!E10</f>
        <v>5146.5910333333331</v>
      </c>
      <c r="J352">
        <f>'B2 - Pay &amp; Agency'!F10</f>
        <v>5163.2390333333333</v>
      </c>
      <c r="K352">
        <f>'B2 - Pay &amp; Agency'!G10</f>
        <v>5156.2390333333333</v>
      </c>
      <c r="L352">
        <f>'B2 - Pay &amp; Agency'!H10</f>
        <v>5160.2390333333333</v>
      </c>
      <c r="M352">
        <f>'B2 - Pay &amp; Agency'!I10</f>
        <v>5160.5559883333335</v>
      </c>
      <c r="N352">
        <f>'B2 - Pay &amp; Agency'!J10</f>
        <v>5160.5559883333335</v>
      </c>
      <c r="O352">
        <f>'B2 - Pay &amp; Agency'!K10</f>
        <v>5149.5559883333335</v>
      </c>
      <c r="P352">
        <f>'B2 - Pay &amp; Agency'!L10</f>
        <v>5147.5559883333335</v>
      </c>
      <c r="Q352">
        <f>'B2 - Pay &amp; Agency'!M10</f>
        <v>5128.2390333333333</v>
      </c>
      <c r="R352">
        <f>'B2 - Pay &amp; Agency'!N10</f>
        <v>5135.2390333333333</v>
      </c>
      <c r="S352">
        <f>'B2 - Pay &amp; Agency'!P10</f>
        <v>62221.146819999994</v>
      </c>
      <c r="U352">
        <f t="shared" ref="U352:U382" si="14">S352+T352</f>
        <v>62221.146819999994</v>
      </c>
    </row>
    <row r="353" spans="1:21">
      <c r="A353" s="2895" t="str">
        <f>ORG!$S$1</f>
        <v>Apr 23</v>
      </c>
      <c r="B353" t="str">
        <f>ORG!$M$1</f>
        <v>Public Health Wales Trust</v>
      </c>
      <c r="C353" t="str">
        <f>'B2 - Pay &amp; Agency'!$A$5</f>
        <v>Table B2 - Pay Expenditure Analysis</v>
      </c>
      <c r="D353" s="2898">
        <f>'B2 - Pay &amp; Agency'!A11</f>
        <v>2</v>
      </c>
      <c r="E353" t="str">
        <f>'B2 - Pay &amp; Agency'!$A$7</f>
        <v xml:space="preserve">A - Pay Expenditure </v>
      </c>
      <c r="F353" t="str">
        <f>'B2 - Pay &amp; Agency'!B11</f>
        <v xml:space="preserve">Medical &amp; Dental </v>
      </c>
      <c r="G353">
        <f>'B2 - Pay &amp; Agency'!C11</f>
        <v>1225</v>
      </c>
      <c r="H353">
        <f>'B2 - Pay &amp; Agency'!D11</f>
        <v>1261</v>
      </c>
      <c r="I353">
        <f>'B2 - Pay &amp; Agency'!E11</f>
        <v>1261</v>
      </c>
      <c r="J353">
        <f>'B2 - Pay &amp; Agency'!F11</f>
        <v>1261</v>
      </c>
      <c r="K353">
        <f>'B2 - Pay &amp; Agency'!G11</f>
        <v>1261</v>
      </c>
      <c r="L353">
        <f>'B2 - Pay &amp; Agency'!H11</f>
        <v>1266</v>
      </c>
      <c r="M353">
        <f>'B2 - Pay &amp; Agency'!I11</f>
        <v>1261</v>
      </c>
      <c r="N353">
        <f>'B2 - Pay &amp; Agency'!J11</f>
        <v>1261</v>
      </c>
      <c r="O353">
        <f>'B2 - Pay &amp; Agency'!K11</f>
        <v>1261</v>
      </c>
      <c r="P353">
        <f>'B2 - Pay &amp; Agency'!L11</f>
        <v>1261</v>
      </c>
      <c r="Q353">
        <f>'B2 - Pay &amp; Agency'!M11</f>
        <v>1261</v>
      </c>
      <c r="R353">
        <f>'B2 - Pay &amp; Agency'!N11</f>
        <v>1261</v>
      </c>
      <c r="S353">
        <f>'B2 - Pay &amp; Agency'!P11</f>
        <v>15101</v>
      </c>
      <c r="U353">
        <f t="shared" si="14"/>
        <v>15101</v>
      </c>
    </row>
    <row r="354" spans="1:21">
      <c r="A354" s="2895" t="str">
        <f>ORG!$S$1</f>
        <v>Apr 23</v>
      </c>
      <c r="B354" t="str">
        <f>ORG!$M$1</f>
        <v>Public Health Wales Trust</v>
      </c>
      <c r="C354" t="str">
        <f>'B2 - Pay &amp; Agency'!$A$5</f>
        <v>Table B2 - Pay Expenditure Analysis</v>
      </c>
      <c r="D354" s="2898">
        <f>'B2 - Pay &amp; Agency'!A12</f>
        <v>3</v>
      </c>
      <c r="E354" t="str">
        <f>'B2 - Pay &amp; Agency'!$A$7</f>
        <v xml:space="preserve">A - Pay Expenditure </v>
      </c>
      <c r="F354" t="str">
        <f>'B2 - Pay &amp; Agency'!B12</f>
        <v xml:space="preserve">Nursing &amp; Midwifery Registered </v>
      </c>
      <c r="G354">
        <f>'B2 - Pay &amp; Agency'!C12</f>
        <v>479</v>
      </c>
      <c r="H354">
        <f>'B2 - Pay &amp; Agency'!D12</f>
        <v>443</v>
      </c>
      <c r="I354">
        <f>'B2 - Pay &amp; Agency'!E12</f>
        <v>443</v>
      </c>
      <c r="J354">
        <f>'B2 - Pay &amp; Agency'!F12</f>
        <v>443</v>
      </c>
      <c r="K354">
        <f>'B2 - Pay &amp; Agency'!G12</f>
        <v>443</v>
      </c>
      <c r="L354">
        <f>'B2 - Pay &amp; Agency'!H12</f>
        <v>443</v>
      </c>
      <c r="M354">
        <f>'B2 - Pay &amp; Agency'!I12</f>
        <v>443</v>
      </c>
      <c r="N354">
        <f>'B2 - Pay &amp; Agency'!J12</f>
        <v>443</v>
      </c>
      <c r="O354">
        <f>'B2 - Pay &amp; Agency'!K12</f>
        <v>443</v>
      </c>
      <c r="P354">
        <f>'B2 - Pay &amp; Agency'!L12</f>
        <v>443</v>
      </c>
      <c r="Q354">
        <f>'B2 - Pay &amp; Agency'!M12</f>
        <v>443</v>
      </c>
      <c r="R354">
        <f>'B2 - Pay &amp; Agency'!N12</f>
        <v>445</v>
      </c>
      <c r="S354">
        <f>'B2 - Pay &amp; Agency'!P12</f>
        <v>5354</v>
      </c>
      <c r="U354">
        <f t="shared" si="14"/>
        <v>5354</v>
      </c>
    </row>
    <row r="355" spans="1:21">
      <c r="A355" s="2895" t="str">
        <f>ORG!$S$1</f>
        <v>Apr 23</v>
      </c>
      <c r="B355" t="str">
        <f>ORG!$M$1</f>
        <v>Public Health Wales Trust</v>
      </c>
      <c r="C355" t="str">
        <f>'B2 - Pay &amp; Agency'!$A$5</f>
        <v>Table B2 - Pay Expenditure Analysis</v>
      </c>
      <c r="D355" s="2898">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5" t="str">
        <f>ORG!$S$1</f>
        <v>Apr 23</v>
      </c>
      <c r="B356" t="str">
        <f>ORG!$M$1</f>
        <v>Public Health Wales Trust</v>
      </c>
      <c r="C356" t="str">
        <f>'B2 - Pay &amp; Agency'!$A$5</f>
        <v>Table B2 - Pay Expenditure Analysis</v>
      </c>
      <c r="D356" s="2898">
        <f>'B2 - Pay &amp; Agency'!A14</f>
        <v>5</v>
      </c>
      <c r="E356" t="str">
        <f>'B2 - Pay &amp; Agency'!$A$7</f>
        <v xml:space="preserve">A - Pay Expenditure </v>
      </c>
      <c r="F356" t="str">
        <f>'B2 - Pay &amp; Agency'!B14</f>
        <v xml:space="preserve">Additional Clinical Services </v>
      </c>
      <c r="G356">
        <f>'B2 - Pay &amp; Agency'!C14</f>
        <v>290</v>
      </c>
      <c r="H356">
        <f>'B2 - Pay &amp; Agency'!D14</f>
        <v>270.49183333333332</v>
      </c>
      <c r="I356">
        <f>'B2 - Pay &amp; Agency'!E14</f>
        <v>270.49183333333332</v>
      </c>
      <c r="J356">
        <f>'B2 - Pay &amp; Agency'!F14</f>
        <v>270.49183333333332</v>
      </c>
      <c r="K356">
        <f>'B2 - Pay &amp; Agency'!G14</f>
        <v>270.49183333333332</v>
      </c>
      <c r="L356">
        <f>'B2 - Pay &amp; Agency'!H14</f>
        <v>270.49183333333332</v>
      </c>
      <c r="M356">
        <f>'B2 - Pay &amp; Agency'!I14</f>
        <v>270.49183333333332</v>
      </c>
      <c r="N356">
        <f>'B2 - Pay &amp; Agency'!J14</f>
        <v>270.49183333333332</v>
      </c>
      <c r="O356">
        <f>'B2 - Pay &amp; Agency'!K14</f>
        <v>270.49183333333332</v>
      </c>
      <c r="P356">
        <f>'B2 - Pay &amp; Agency'!L14</f>
        <v>270.49183333333332</v>
      </c>
      <c r="Q356">
        <f>'B2 - Pay &amp; Agency'!M14</f>
        <v>270.49183333333332</v>
      </c>
      <c r="R356">
        <f>'B2 - Pay &amp; Agency'!N14</f>
        <v>270.49183333333332</v>
      </c>
      <c r="S356">
        <f>'B2 - Pay &amp; Agency'!P14</f>
        <v>3265.410166666667</v>
      </c>
      <c r="U356">
        <f t="shared" si="14"/>
        <v>3265.410166666667</v>
      </c>
    </row>
    <row r="357" spans="1:21">
      <c r="A357" s="2895" t="str">
        <f>ORG!$S$1</f>
        <v>Apr 23</v>
      </c>
      <c r="B357" t="str">
        <f>ORG!$M$1</f>
        <v>Public Health Wales Trust</v>
      </c>
      <c r="C357" t="str">
        <f>'B2 - Pay &amp; Agency'!$A$5</f>
        <v>Table B2 - Pay Expenditure Analysis</v>
      </c>
      <c r="D357" s="2898">
        <f>'B2 - Pay &amp; Agency'!A15</f>
        <v>6</v>
      </c>
      <c r="E357" t="str">
        <f>'B2 - Pay &amp; Agency'!$A$7</f>
        <v xml:space="preserve">A - Pay Expenditure </v>
      </c>
      <c r="F357" t="str">
        <f>'B2 - Pay &amp; Agency'!B15</f>
        <v>Allied Health Professionals</v>
      </c>
      <c r="G357">
        <f>'B2 - Pay &amp; Agency'!C15</f>
        <v>968</v>
      </c>
      <c r="H357">
        <f>'B2 - Pay &amp; Agency'!D15</f>
        <v>1170</v>
      </c>
      <c r="I357">
        <f>'B2 - Pay &amp; Agency'!E15</f>
        <v>1170</v>
      </c>
      <c r="J357">
        <f>'B2 - Pay &amp; Agency'!F15</f>
        <v>1170</v>
      </c>
      <c r="K357">
        <f>'B2 - Pay &amp; Agency'!G15</f>
        <v>1170</v>
      </c>
      <c r="L357">
        <f>'B2 - Pay &amp; Agency'!H15</f>
        <v>1170</v>
      </c>
      <c r="M357">
        <f>'B2 - Pay &amp; Agency'!I15</f>
        <v>1170</v>
      </c>
      <c r="N357">
        <f>'B2 - Pay &amp; Agency'!J15</f>
        <v>1170</v>
      </c>
      <c r="O357">
        <f>'B2 - Pay &amp; Agency'!K15</f>
        <v>1170</v>
      </c>
      <c r="P357">
        <f>'B2 - Pay &amp; Agency'!L15</f>
        <v>1170</v>
      </c>
      <c r="Q357">
        <f>'B2 - Pay &amp; Agency'!M15</f>
        <v>1170</v>
      </c>
      <c r="R357">
        <f>'B2 - Pay &amp; Agency'!N15</f>
        <v>1171</v>
      </c>
      <c r="S357">
        <f>'B2 - Pay &amp; Agency'!P15</f>
        <v>13839</v>
      </c>
      <c r="U357">
        <f t="shared" si="14"/>
        <v>13839</v>
      </c>
    </row>
    <row r="358" spans="1:21">
      <c r="A358" s="2895" t="str">
        <f>ORG!$S$1</f>
        <v>Apr 23</v>
      </c>
      <c r="B358" t="str">
        <f>ORG!$M$1</f>
        <v>Public Health Wales Trust</v>
      </c>
      <c r="C358" t="str">
        <f>'B2 - Pay &amp; Agency'!$A$5</f>
        <v>Table B2 - Pay Expenditure Analysis</v>
      </c>
      <c r="D358" s="2898">
        <f>'B2 - Pay &amp; Agency'!A16</f>
        <v>7</v>
      </c>
      <c r="E358" t="str">
        <f>'B2 - Pay &amp; Agency'!$A$7</f>
        <v xml:space="preserve">A - Pay Expenditure </v>
      </c>
      <c r="F358" t="str">
        <f>'B2 - Pay &amp; Agency'!B16</f>
        <v xml:space="preserve">Healthcare Scientists </v>
      </c>
      <c r="G358">
        <f>'B2 - Pay &amp; Agency'!C16</f>
        <v>1591</v>
      </c>
      <c r="H358">
        <f>'B2 - Pay &amp; Agency'!D16</f>
        <v>1567.3203333333333</v>
      </c>
      <c r="I358">
        <f>'B2 - Pay &amp; Agency'!E16</f>
        <v>1580.5764833333333</v>
      </c>
      <c r="J358">
        <f>'B2 - Pay &amp; Agency'!F16</f>
        <v>1593.5282916666667</v>
      </c>
      <c r="K358">
        <f>'B2 - Pay &amp; Agency'!G16</f>
        <v>1593.5282916666667</v>
      </c>
      <c r="L358">
        <f>'B2 - Pay &amp; Agency'!H16</f>
        <v>1593.9694916666667</v>
      </c>
      <c r="M358">
        <f>'B2 - Pay &amp; Agency'!I16</f>
        <v>1593.5282916666667</v>
      </c>
      <c r="N358">
        <f>'B2 - Pay &amp; Agency'!J16</f>
        <v>1593.5282916666667</v>
      </c>
      <c r="O358">
        <f>'B2 - Pay &amp; Agency'!K16</f>
        <v>1593.5650583333334</v>
      </c>
      <c r="P358">
        <f>'B2 - Pay &amp; Agency'!L16</f>
        <v>1593.5282916666667</v>
      </c>
      <c r="Q358">
        <f>'B2 - Pay &amp; Agency'!M16</f>
        <v>1593.5282916666667</v>
      </c>
      <c r="R358">
        <f>'B2 - Pay &amp; Agency'!N16</f>
        <v>1594.5313555555556</v>
      </c>
      <c r="S358">
        <f>'B2 - Pay &amp; Agency'!P16</f>
        <v>19082.132472222223</v>
      </c>
      <c r="U358">
        <f t="shared" si="14"/>
        <v>19082.132472222223</v>
      </c>
    </row>
    <row r="359" spans="1:21">
      <c r="A359" s="2895" t="str">
        <f>ORG!$S$1</f>
        <v>Apr 23</v>
      </c>
      <c r="B359" t="str">
        <f>ORG!$M$1</f>
        <v>Public Health Wales Trust</v>
      </c>
      <c r="C359" t="str">
        <f>'B2 - Pay &amp; Agency'!$A$5</f>
        <v>Table B2 - Pay Expenditure Analysis</v>
      </c>
      <c r="D359" s="2898">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1</v>
      </c>
      <c r="J359">
        <f>'B2 - Pay &amp; Agency'!F17</f>
        <v>1</v>
      </c>
      <c r="K359">
        <f>'B2 - Pay &amp; Agency'!G17</f>
        <v>1</v>
      </c>
      <c r="L359">
        <f>'B2 - Pay &amp; Agency'!H17</f>
        <v>1</v>
      </c>
      <c r="M359">
        <f>'B2 - Pay &amp; Agency'!I17</f>
        <v>1</v>
      </c>
      <c r="N359">
        <f>'B2 - Pay &amp; Agency'!J17</f>
        <v>1</v>
      </c>
      <c r="O359">
        <f>'B2 - Pay &amp; Agency'!K17</f>
        <v>1</v>
      </c>
      <c r="P359">
        <f>'B2 - Pay &amp; Agency'!L17</f>
        <v>1</v>
      </c>
      <c r="Q359">
        <f>'B2 - Pay &amp; Agency'!M17</f>
        <v>1</v>
      </c>
      <c r="R359">
        <f>'B2 - Pay &amp; Agency'!N17</f>
        <v>1</v>
      </c>
      <c r="S359">
        <f>'B2 - Pay &amp; Agency'!P17</f>
        <v>15</v>
      </c>
      <c r="U359">
        <f t="shared" si="14"/>
        <v>15</v>
      </c>
    </row>
    <row r="360" spans="1:21">
      <c r="A360" s="2895" t="str">
        <f>ORG!$S$1</f>
        <v>Apr 23</v>
      </c>
      <c r="B360" t="str">
        <f>ORG!$M$1</f>
        <v>Public Health Wales Trust</v>
      </c>
      <c r="C360" t="str">
        <f>'B2 - Pay &amp; Agency'!$A$5</f>
        <v>Table B2 - Pay Expenditure Analysis</v>
      </c>
      <c r="D360" s="2898">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5" t="str">
        <f>ORG!$S$1</f>
        <v>Apr 23</v>
      </c>
      <c r="B361" t="str">
        <f>ORG!$M$1</f>
        <v>Public Health Wales Trust</v>
      </c>
      <c r="C361" t="str">
        <f>'B2 - Pay &amp; Agency'!$A$5</f>
        <v>Table B2 - Pay Expenditure Analysis</v>
      </c>
      <c r="D361" s="2898">
        <f>'B2 - Pay &amp; Agency'!A19</f>
        <v>10</v>
      </c>
      <c r="E361" t="str">
        <f>'B2 - Pay &amp; Agency'!$A$7</f>
        <v xml:space="preserve">A - Pay Expenditure </v>
      </c>
      <c r="F361" t="str">
        <f>'B2 - Pay &amp; Agency'!B19</f>
        <v>TOTAL PAY EXPENDITURE</v>
      </c>
      <c r="G361">
        <f>'B2 - Pay &amp; Agency'!C19</f>
        <v>10151</v>
      </c>
      <c r="H361">
        <f>'B2 - Pay &amp; Agency'!D19</f>
        <v>9831.948833333332</v>
      </c>
      <c r="I361">
        <f>'B2 - Pay &amp; Agency'!E19</f>
        <v>9872.6593500000017</v>
      </c>
      <c r="J361">
        <f>'B2 - Pay &amp; Agency'!F19</f>
        <v>9902.2591583333342</v>
      </c>
      <c r="K361">
        <f>'B2 - Pay &amp; Agency'!G19</f>
        <v>9895.2591583333342</v>
      </c>
      <c r="L361">
        <f>'B2 - Pay &amp; Agency'!H19</f>
        <v>9904.7003583333335</v>
      </c>
      <c r="M361">
        <f>'B2 - Pay &amp; Agency'!I19</f>
        <v>9899.5761133333344</v>
      </c>
      <c r="N361">
        <f>'B2 - Pay &amp; Agency'!J19</f>
        <v>9899.5761133333344</v>
      </c>
      <c r="O361">
        <f>'B2 - Pay &amp; Agency'!K19</f>
        <v>9888.6128800000006</v>
      </c>
      <c r="P361">
        <f>'B2 - Pay &amp; Agency'!L19</f>
        <v>9886.5761133333344</v>
      </c>
      <c r="Q361">
        <f>'B2 - Pay &amp; Agency'!M19</f>
        <v>9867.2591583333342</v>
      </c>
      <c r="R361">
        <f>'B2 - Pay &amp; Agency'!N19</f>
        <v>9878.2622222222217</v>
      </c>
      <c r="S361">
        <f>'B2 - Pay &amp; Agency'!P19</f>
        <v>118877.68945888888</v>
      </c>
      <c r="U361">
        <f t="shared" si="14"/>
        <v>118877.68945888888</v>
      </c>
    </row>
    <row r="362" spans="1:21">
      <c r="A362" s="2895" t="str">
        <f>ORG!$S$1</f>
        <v>Apr 23</v>
      </c>
      <c r="B362" t="str">
        <f>ORG!$M$1</f>
        <v>Public Health Wales Trust</v>
      </c>
      <c r="C362" t="str">
        <f>'B2 - Pay &amp; Agency'!$A$5</f>
        <v>Table B2 - Pay Expenditure Analysis</v>
      </c>
      <c r="D362" s="2898">
        <f>'B2 - Pay &amp; Agency'!A24</f>
        <v>11</v>
      </c>
      <c r="E362" t="str">
        <f>'B2 - Pay &amp; Agency'!$A$7</f>
        <v xml:space="preserve">A - Pay Expenditure </v>
      </c>
      <c r="F362" t="str">
        <f>'B2 - Pay &amp; Agency'!B24</f>
        <v xml:space="preserve">LHB Provided Services - Pay </v>
      </c>
      <c r="G362">
        <f>'B2 - Pay &amp; Agency'!C24</f>
        <v>10151</v>
      </c>
      <c r="H362">
        <f>'B2 - Pay &amp; Agency'!D24</f>
        <v>9831.948833333332</v>
      </c>
      <c r="I362">
        <f>'B2 - Pay &amp; Agency'!E24</f>
        <v>9872.6593499999999</v>
      </c>
      <c r="J362">
        <f>'B2 - Pay &amp; Agency'!F24</f>
        <v>9902.2591583333324</v>
      </c>
      <c r="K362">
        <f>'B2 - Pay &amp; Agency'!G24</f>
        <v>9895.2591583333324</v>
      </c>
      <c r="L362">
        <f>'B2 - Pay &amp; Agency'!H24</f>
        <v>9904.7003583333335</v>
      </c>
      <c r="M362">
        <f>'B2 - Pay &amp; Agency'!I24</f>
        <v>9899.5761133333326</v>
      </c>
      <c r="N362">
        <f>'B2 - Pay &amp; Agency'!J24</f>
        <v>9899.5761133333326</v>
      </c>
      <c r="O362">
        <f>'B2 - Pay &amp; Agency'!K24</f>
        <v>9888.6128800000006</v>
      </c>
      <c r="P362">
        <f>'B2 - Pay &amp; Agency'!L24</f>
        <v>9886.5761133333326</v>
      </c>
      <c r="Q362">
        <f>'B2 - Pay &amp; Agency'!M24</f>
        <v>9867.2591583333324</v>
      </c>
      <c r="R362">
        <f>'B2 - Pay &amp; Agency'!N24</f>
        <v>9878.2622222222217</v>
      </c>
      <c r="S362">
        <f>'B2 - Pay &amp; Agency'!P24</f>
        <v>118877.68945888888</v>
      </c>
      <c r="U362">
        <f t="shared" si="14"/>
        <v>118877.68945888888</v>
      </c>
    </row>
    <row r="363" spans="1:21">
      <c r="A363" s="2895" t="str">
        <f>ORG!$S$1</f>
        <v>Apr 23</v>
      </c>
      <c r="B363" t="str">
        <f>ORG!$M$1</f>
        <v>Public Health Wales Trust</v>
      </c>
      <c r="C363" t="str">
        <f>'B2 - Pay &amp; Agency'!$A$5</f>
        <v>Table B2 - Pay Expenditure Analysis</v>
      </c>
      <c r="D363" s="2898">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5" t="str">
        <f>ORG!$S$1</f>
        <v>Apr 23</v>
      </c>
      <c r="B364" t="str">
        <f>ORG!$M$1</f>
        <v>Public Health Wales Trust</v>
      </c>
      <c r="C364" t="str">
        <f>'B2 - Pay &amp; Agency'!$A$5</f>
        <v>Table B2 - Pay Expenditure Analysis</v>
      </c>
      <c r="D364" s="2898">
        <f>'B2 - Pay &amp; Agency'!A26</f>
        <v>13</v>
      </c>
      <c r="E364" t="str">
        <f>'B2 - Pay &amp; Agency'!$A$7</f>
        <v xml:space="preserve">A - Pay Expenditure </v>
      </c>
      <c r="F364" t="str">
        <f>'B2 - Pay &amp; Agency'!B26</f>
        <v>Total - Pay</v>
      </c>
      <c r="G364">
        <f>'B2 - Pay &amp; Agency'!C26</f>
        <v>10151</v>
      </c>
      <c r="H364">
        <f>'B2 - Pay &amp; Agency'!D26</f>
        <v>9831.948833333332</v>
      </c>
      <c r="I364">
        <f>'B2 - Pay &amp; Agency'!E26</f>
        <v>9872.6593499999999</v>
      </c>
      <c r="J364">
        <f>'B2 - Pay &amp; Agency'!F26</f>
        <v>9902.2591583333324</v>
      </c>
      <c r="K364">
        <f>'B2 - Pay &amp; Agency'!G26</f>
        <v>9895.2591583333324</v>
      </c>
      <c r="L364">
        <f>'B2 - Pay &amp; Agency'!H26</f>
        <v>9904.7003583333335</v>
      </c>
      <c r="M364">
        <f>'B2 - Pay &amp; Agency'!I26</f>
        <v>9899.5761133333326</v>
      </c>
      <c r="N364">
        <f>'B2 - Pay &amp; Agency'!J26</f>
        <v>9899.5761133333326</v>
      </c>
      <c r="O364">
        <f>'B2 - Pay &amp; Agency'!K26</f>
        <v>9888.6128800000006</v>
      </c>
      <c r="P364">
        <f>'B2 - Pay &amp; Agency'!L26</f>
        <v>9886.5761133333326</v>
      </c>
      <c r="Q364">
        <f>'B2 - Pay &amp; Agency'!M26</f>
        <v>9867.2591583333324</v>
      </c>
      <c r="R364">
        <f>'B2 - Pay &amp; Agency'!N26</f>
        <v>9878.2622222222217</v>
      </c>
      <c r="S364">
        <f>'B2 - Pay &amp; Agency'!P26</f>
        <v>118877.68945888888</v>
      </c>
      <c r="U364">
        <f t="shared" si="14"/>
        <v>118877.68945888888</v>
      </c>
    </row>
    <row r="365" spans="1:21">
      <c r="A365" s="2895" t="str">
        <f>ORG!$S$1</f>
        <v>Apr 23</v>
      </c>
      <c r="B365" t="str">
        <f>ORG!$M$1</f>
        <v>Public Health Wales Trust</v>
      </c>
      <c r="C365" t="str">
        <f>'B2 - Pay &amp; Agency'!$A$5</f>
        <v>Table B2 - Pay Expenditure Analysis</v>
      </c>
      <c r="D365" s="2898">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149</v>
      </c>
      <c r="I365">
        <f>'B2 - Pay &amp; Agency'!E33</f>
        <v>149</v>
      </c>
      <c r="J365">
        <f>'B2 - Pay &amp; Agency'!F33</f>
        <v>149</v>
      </c>
      <c r="K365">
        <f>'B2 - Pay &amp; Agency'!G33</f>
        <v>149</v>
      </c>
      <c r="L365">
        <f>'B2 - Pay &amp; Agency'!H33</f>
        <v>149</v>
      </c>
      <c r="M365">
        <f>'B2 - Pay &amp; Agency'!I33</f>
        <v>149</v>
      </c>
      <c r="N365">
        <f>'B2 - Pay &amp; Agency'!J33</f>
        <v>149</v>
      </c>
      <c r="O365">
        <f>'B2 - Pay &amp; Agency'!K33</f>
        <v>149</v>
      </c>
      <c r="P365">
        <f>'B2 - Pay &amp; Agency'!L33</f>
        <v>149</v>
      </c>
      <c r="Q365">
        <f>'B2 - Pay &amp; Agency'!M33</f>
        <v>149</v>
      </c>
      <c r="R365">
        <f>'B2 - Pay &amp; Agency'!N33</f>
        <v>149</v>
      </c>
      <c r="S365">
        <f>'B2 - Pay &amp; Agency'!P33</f>
        <v>1788</v>
      </c>
      <c r="U365">
        <f t="shared" si="14"/>
        <v>1788</v>
      </c>
    </row>
    <row r="366" spans="1:21">
      <c r="A366" s="2895" t="str">
        <f>ORG!$S$1</f>
        <v>Apr 23</v>
      </c>
      <c r="B366" t="str">
        <f>ORG!$M$1</f>
        <v>Public Health Wales Trust</v>
      </c>
      <c r="C366" t="str">
        <f>'B2 - Pay &amp; Agency'!$A$5</f>
        <v>Table B2 - Pay Expenditure Analysis</v>
      </c>
      <c r="D366" s="2898">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16</v>
      </c>
      <c r="I366">
        <f>'B2 - Pay &amp; Agency'!E34</f>
        <v>16</v>
      </c>
      <c r="J366">
        <f>'B2 - Pay &amp; Agency'!F34</f>
        <v>16</v>
      </c>
      <c r="K366">
        <f>'B2 - Pay &amp; Agency'!G34</f>
        <v>16</v>
      </c>
      <c r="L366">
        <f>'B2 - Pay &amp; Agency'!H34</f>
        <v>16</v>
      </c>
      <c r="M366">
        <f>'B2 - Pay &amp; Agency'!I34</f>
        <v>16</v>
      </c>
      <c r="N366">
        <f>'B2 - Pay &amp; Agency'!J34</f>
        <v>16</v>
      </c>
      <c r="O366">
        <f>'B2 - Pay &amp; Agency'!K34</f>
        <v>16</v>
      </c>
      <c r="P366">
        <f>'B2 - Pay &amp; Agency'!L34</f>
        <v>16</v>
      </c>
      <c r="Q366">
        <f>'B2 - Pay &amp; Agency'!M34</f>
        <v>16</v>
      </c>
      <c r="R366">
        <f>'B2 - Pay &amp; Agency'!N34</f>
        <v>16</v>
      </c>
      <c r="S366">
        <f>'B2 - Pay &amp; Agency'!P34</f>
        <v>192</v>
      </c>
      <c r="U366">
        <f t="shared" si="14"/>
        <v>192</v>
      </c>
    </row>
    <row r="367" spans="1:21">
      <c r="A367" s="2895" t="str">
        <f>ORG!$S$1</f>
        <v>Apr 23</v>
      </c>
      <c r="B367" t="str">
        <f>ORG!$M$1</f>
        <v>Public Health Wales Trust</v>
      </c>
      <c r="C367" t="str">
        <f>'B2 - Pay &amp; Agency'!$A$5</f>
        <v>Table B2 - Pay Expenditure Analysis</v>
      </c>
      <c r="D367" s="2898">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3</v>
      </c>
      <c r="I367">
        <f>'B2 - Pay &amp; Agency'!E35</f>
        <v>3</v>
      </c>
      <c r="J367">
        <f>'B2 - Pay &amp; Agency'!F35</f>
        <v>3</v>
      </c>
      <c r="K367">
        <f>'B2 - Pay &amp; Agency'!G35</f>
        <v>3</v>
      </c>
      <c r="L367">
        <f>'B2 - Pay &amp; Agency'!H35</f>
        <v>3</v>
      </c>
      <c r="M367">
        <f>'B2 - Pay &amp; Agency'!I35</f>
        <v>3</v>
      </c>
      <c r="N367">
        <f>'B2 - Pay &amp; Agency'!J35</f>
        <v>3</v>
      </c>
      <c r="O367">
        <f>'B2 - Pay &amp; Agency'!K35</f>
        <v>3</v>
      </c>
      <c r="P367">
        <f>'B2 - Pay &amp; Agency'!L35</f>
        <v>3</v>
      </c>
      <c r="Q367">
        <f>'B2 - Pay &amp; Agency'!M35</f>
        <v>3</v>
      </c>
      <c r="R367">
        <f>'B2 - Pay &amp; Agency'!N35</f>
        <v>3</v>
      </c>
      <c r="S367">
        <f>'B2 - Pay &amp; Agency'!P35</f>
        <v>36</v>
      </c>
      <c r="U367">
        <f t="shared" si="14"/>
        <v>36</v>
      </c>
    </row>
    <row r="368" spans="1:21">
      <c r="A368" s="2895" t="str">
        <f>ORG!$S$1</f>
        <v>Apr 23</v>
      </c>
      <c r="B368" t="str">
        <f>ORG!$M$1</f>
        <v>Public Health Wales Trust</v>
      </c>
      <c r="C368" t="str">
        <f>'B2 - Pay &amp; Agency'!$A$5</f>
        <v>Table B2 - Pay Expenditure Analysis</v>
      </c>
      <c r="D368" s="2898">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5" t="str">
        <f>ORG!$S$1</f>
        <v>Apr 23</v>
      </c>
      <c r="B369" t="str">
        <f>ORG!$M$1</f>
        <v>Public Health Wales Trust</v>
      </c>
      <c r="C369" t="str">
        <f>'B2 - Pay &amp; Agency'!$A$5</f>
        <v>Table B2 - Pay Expenditure Analysis</v>
      </c>
      <c r="D369" s="2898">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17</v>
      </c>
      <c r="I369">
        <f>'B2 - Pay &amp; Agency'!E37</f>
        <v>17</v>
      </c>
      <c r="J369">
        <f>'B2 - Pay &amp; Agency'!F37</f>
        <v>17</v>
      </c>
      <c r="K369">
        <f>'B2 - Pay &amp; Agency'!G37</f>
        <v>17</v>
      </c>
      <c r="L369">
        <f>'B2 - Pay &amp; Agency'!H37</f>
        <v>17</v>
      </c>
      <c r="M369">
        <f>'B2 - Pay &amp; Agency'!I37</f>
        <v>17</v>
      </c>
      <c r="N369">
        <f>'B2 - Pay &amp; Agency'!J37</f>
        <v>17</v>
      </c>
      <c r="O369">
        <f>'B2 - Pay &amp; Agency'!K37</f>
        <v>17</v>
      </c>
      <c r="P369">
        <f>'B2 - Pay &amp; Agency'!L37</f>
        <v>17</v>
      </c>
      <c r="Q369">
        <f>'B2 - Pay &amp; Agency'!M37</f>
        <v>17</v>
      </c>
      <c r="R369">
        <f>'B2 - Pay &amp; Agency'!N37</f>
        <v>17</v>
      </c>
      <c r="S369">
        <f>'B2 - Pay &amp; Agency'!P37</f>
        <v>204</v>
      </c>
      <c r="U369">
        <f t="shared" si="14"/>
        <v>204</v>
      </c>
    </row>
    <row r="370" spans="1:21">
      <c r="A370" s="2895" t="str">
        <f>ORG!$S$1</f>
        <v>Apr 23</v>
      </c>
      <c r="B370" t="str">
        <f>ORG!$M$1</f>
        <v>Public Health Wales Trust</v>
      </c>
      <c r="C370" t="str">
        <f>'B2 - Pay &amp; Agency'!$A$5</f>
        <v>Table B2 - Pay Expenditure Analysis</v>
      </c>
      <c r="D370" s="2898">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0</v>
      </c>
      <c r="J370">
        <f>'B2 - Pay &amp; Agency'!F38</f>
        <v>0</v>
      </c>
      <c r="K370">
        <f>'B2 - Pay &amp; Agency'!G38</f>
        <v>0</v>
      </c>
      <c r="L370">
        <f>'B2 - Pay &amp; Agency'!H38</f>
        <v>0</v>
      </c>
      <c r="M370">
        <f>'B2 - Pay &amp; Agency'!I38</f>
        <v>0</v>
      </c>
      <c r="N370">
        <f>'B2 - Pay &amp; Agency'!J38</f>
        <v>0</v>
      </c>
      <c r="O370">
        <f>'B2 - Pay &amp; Agency'!K38</f>
        <v>0</v>
      </c>
      <c r="P370">
        <f>'B2 - Pay &amp; Agency'!L38</f>
        <v>0</v>
      </c>
      <c r="Q370">
        <f>'B2 - Pay &amp; Agency'!M38</f>
        <v>0</v>
      </c>
      <c r="R370">
        <f>'B2 - Pay &amp; Agency'!N38</f>
        <v>0</v>
      </c>
      <c r="S370">
        <f>'B2 - Pay &amp; Agency'!P38</f>
        <v>0</v>
      </c>
      <c r="U370">
        <f t="shared" si="14"/>
        <v>0</v>
      </c>
    </row>
    <row r="371" spans="1:21">
      <c r="A371" s="2895" t="str">
        <f>ORG!$S$1</f>
        <v>Apr 23</v>
      </c>
      <c r="B371" t="str">
        <f>ORG!$M$1</f>
        <v>Public Health Wales Trust</v>
      </c>
      <c r="C371" t="str">
        <f>'B2 - Pay &amp; Agency'!$A$5</f>
        <v>Table B2 - Pay Expenditure Analysis</v>
      </c>
      <c r="D371" s="2898">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90</v>
      </c>
      <c r="J371">
        <f>'B2 - Pay &amp; Agency'!F39</f>
        <v>90</v>
      </c>
      <c r="K371">
        <f>'B2 - Pay &amp; Agency'!G39</f>
        <v>90</v>
      </c>
      <c r="L371">
        <f>'B2 - Pay &amp; Agency'!H39</f>
        <v>90</v>
      </c>
      <c r="M371">
        <f>'B2 - Pay &amp; Agency'!I39</f>
        <v>90</v>
      </c>
      <c r="N371">
        <f>'B2 - Pay &amp; Agency'!J39</f>
        <v>90</v>
      </c>
      <c r="O371">
        <f>'B2 - Pay &amp; Agency'!K39</f>
        <v>90</v>
      </c>
      <c r="P371">
        <f>'B2 - Pay &amp; Agency'!L39</f>
        <v>90</v>
      </c>
      <c r="Q371">
        <f>'B2 - Pay &amp; Agency'!M39</f>
        <v>90</v>
      </c>
      <c r="R371">
        <f>'B2 - Pay &amp; Agency'!N39</f>
        <v>90</v>
      </c>
      <c r="S371">
        <f>'B2 - Pay &amp; Agency'!P39</f>
        <v>1080</v>
      </c>
      <c r="U371">
        <f t="shared" si="14"/>
        <v>1080</v>
      </c>
    </row>
    <row r="372" spans="1:21">
      <c r="A372" s="2895" t="str">
        <f>ORG!$S$1</f>
        <v>Apr 23</v>
      </c>
      <c r="B372" t="str">
        <f>ORG!$M$1</f>
        <v>Public Health Wales Trust</v>
      </c>
      <c r="C372" t="str">
        <f>'B2 - Pay &amp; Agency'!$A$5</f>
        <v>Table B2 - Pay Expenditure Analysis</v>
      </c>
      <c r="D372" s="2898">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3</v>
      </c>
      <c r="I372">
        <f>'B2 - Pay &amp; Agency'!E40</f>
        <v>3</v>
      </c>
      <c r="J372">
        <f>'B2 - Pay &amp; Agency'!F40</f>
        <v>3</v>
      </c>
      <c r="K372">
        <f>'B2 - Pay &amp; Agency'!G40</f>
        <v>3</v>
      </c>
      <c r="L372">
        <f>'B2 - Pay &amp; Agency'!H40</f>
        <v>3</v>
      </c>
      <c r="M372">
        <f>'B2 - Pay &amp; Agency'!I40</f>
        <v>3</v>
      </c>
      <c r="N372">
        <f>'B2 - Pay &amp; Agency'!J40</f>
        <v>3</v>
      </c>
      <c r="O372">
        <f>'B2 - Pay &amp; Agency'!K40</f>
        <v>3</v>
      </c>
      <c r="P372">
        <f>'B2 - Pay &amp; Agency'!L40</f>
        <v>3</v>
      </c>
      <c r="Q372">
        <f>'B2 - Pay &amp; Agency'!M40</f>
        <v>3</v>
      </c>
      <c r="R372">
        <f>'B2 - Pay &amp; Agency'!N40</f>
        <v>3</v>
      </c>
      <c r="S372">
        <f>'B2 - Pay &amp; Agency'!P40</f>
        <v>36</v>
      </c>
      <c r="U372">
        <f t="shared" si="14"/>
        <v>36</v>
      </c>
    </row>
    <row r="373" spans="1:21">
      <c r="A373" s="2895" t="str">
        <f>ORG!$S$1</f>
        <v>Apr 23</v>
      </c>
      <c r="B373" t="str">
        <f>ORG!$M$1</f>
        <v>Public Health Wales Trust</v>
      </c>
      <c r="C373" t="str">
        <f>'B2 - Pay &amp; Agency'!$A$5</f>
        <v>Table B2 - Pay Expenditure Analysis</v>
      </c>
      <c r="D373" s="2898">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5" t="str">
        <f>ORG!$S$1</f>
        <v>Apr 23</v>
      </c>
      <c r="B374" t="str">
        <f>ORG!$M$1</f>
        <v>Public Health Wales Trust</v>
      </c>
      <c r="C374" t="str">
        <f>'B2 - Pay &amp; Agency'!$A$5</f>
        <v>Table B2 - Pay Expenditure Analysis</v>
      </c>
      <c r="D374" s="2898">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278</v>
      </c>
      <c r="I374">
        <f>'B2 - Pay &amp; Agency'!E42</f>
        <v>278</v>
      </c>
      <c r="J374">
        <f>'B2 - Pay &amp; Agency'!F42</f>
        <v>278</v>
      </c>
      <c r="K374">
        <f>'B2 - Pay &amp; Agency'!G42</f>
        <v>278</v>
      </c>
      <c r="L374">
        <f>'B2 - Pay &amp; Agency'!H42</f>
        <v>278</v>
      </c>
      <c r="M374">
        <f>'B2 - Pay &amp; Agency'!I42</f>
        <v>278</v>
      </c>
      <c r="N374">
        <f>'B2 - Pay &amp; Agency'!J42</f>
        <v>278</v>
      </c>
      <c r="O374">
        <f>'B2 - Pay &amp; Agency'!K42</f>
        <v>278</v>
      </c>
      <c r="P374">
        <f>'B2 - Pay &amp; Agency'!L42</f>
        <v>278</v>
      </c>
      <c r="Q374">
        <f>'B2 - Pay &amp; Agency'!M42</f>
        <v>278</v>
      </c>
      <c r="R374">
        <f>'B2 - Pay &amp; Agency'!N42</f>
        <v>278</v>
      </c>
      <c r="S374">
        <f>'B2 - Pay &amp; Agency'!P42</f>
        <v>3336</v>
      </c>
      <c r="U374">
        <f t="shared" si="14"/>
        <v>3336</v>
      </c>
    </row>
    <row r="375" spans="1:21">
      <c r="A375" s="2895" t="str">
        <f>ORG!$S$1</f>
        <v>Apr 23</v>
      </c>
      <c r="B375" t="str">
        <f>ORG!$M$1</f>
        <v>Public Health Wales Trust</v>
      </c>
      <c r="C375" t="str">
        <f>'B2 - Pay &amp; Agency'!$A$5</f>
        <v>Table B2 - Pay Expenditure Analysis</v>
      </c>
      <c r="D375" s="2898">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2.8275167488412314E-2</v>
      </c>
      <c r="I375">
        <f>IFERROR('B2 - Pay &amp; Agency'!E44,0)</f>
        <v>2.8158573100164744E-2</v>
      </c>
      <c r="J375">
        <f>IFERROR('B2 - Pay &amp; Agency'!F44,0)</f>
        <v>2.8074401563813509E-2</v>
      </c>
      <c r="K375">
        <f>IFERROR('B2 - Pay &amp; Agency'!G44,0)</f>
        <v>2.8094261661240183E-2</v>
      </c>
      <c r="L375">
        <f>IFERROR('B2 - Pay &amp; Agency'!H44,0)</f>
        <v>2.8067482098648681E-2</v>
      </c>
      <c r="M375">
        <f>IFERROR('B2 - Pay &amp; Agency'!I44,0)</f>
        <v>2.8082010463617038E-2</v>
      </c>
      <c r="N375">
        <f>IFERROR('B2 - Pay &amp; Agency'!J44,0)</f>
        <v>2.8082010463617038E-2</v>
      </c>
      <c r="O375">
        <f>IFERROR('B2 - Pay &amp; Agency'!K44,0)</f>
        <v>2.8113144216845909E-2</v>
      </c>
      <c r="P375">
        <f>IFERROR('B2 - Pay &amp; Agency'!L44,0)</f>
        <v>2.8118935899869402E-2</v>
      </c>
      <c r="Q375">
        <f>IFERROR('B2 - Pay &amp; Agency'!M44,0)</f>
        <v>2.8173983832705637E-2</v>
      </c>
      <c r="R375">
        <f>IFERROR('B2 - Pay &amp; Agency'!N44,0)</f>
        <v>2.8142601780160165E-2</v>
      </c>
      <c r="S375">
        <f>IFERROR('B2 - Pay &amp; Agency'!O44,0)</f>
        <v>2.7386464387745051E-2</v>
      </c>
      <c r="U375">
        <f t="shared" si="14"/>
        <v>2.7386464387745051E-2</v>
      </c>
    </row>
    <row r="376" spans="1:21">
      <c r="A376" s="2895" t="str">
        <f>ORG!$S$1</f>
        <v>Apr 23</v>
      </c>
      <c r="B376" t="str">
        <f>ORG!$M$1</f>
        <v>Public Health Wales Trust</v>
      </c>
      <c r="C376" t="str">
        <f>'B2 - Pay &amp; Agency'!$A$5</f>
        <v>Table B2 - Pay Expenditure Analysis</v>
      </c>
      <c r="D376" s="2898">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271</v>
      </c>
      <c r="I376">
        <f>'B2 - Pay &amp; Agency'!E52</f>
        <v>271</v>
      </c>
      <c r="J376">
        <f>'B2 - Pay &amp; Agency'!F52</f>
        <v>271</v>
      </c>
      <c r="K376">
        <f>'B2 - Pay &amp; Agency'!G52</f>
        <v>271</v>
      </c>
      <c r="L376">
        <f>'B2 - Pay &amp; Agency'!H52</f>
        <v>271</v>
      </c>
      <c r="M376">
        <f>'B2 - Pay &amp; Agency'!I52</f>
        <v>271</v>
      </c>
      <c r="N376">
        <f>'B2 - Pay &amp; Agency'!J52</f>
        <v>271</v>
      </c>
      <c r="O376">
        <f>'B2 - Pay &amp; Agency'!K52</f>
        <v>271</v>
      </c>
      <c r="P376">
        <f>'B2 - Pay &amp; Agency'!L52</f>
        <v>271</v>
      </c>
      <c r="Q376">
        <f>'B2 - Pay &amp; Agency'!M52</f>
        <v>271</v>
      </c>
      <c r="R376">
        <f>'B2 - Pay &amp; Agency'!N52</f>
        <v>271</v>
      </c>
      <c r="S376">
        <f>'B2 - Pay &amp; Agency'!P52</f>
        <v>3252</v>
      </c>
      <c r="U376">
        <f t="shared" si="14"/>
        <v>3252</v>
      </c>
    </row>
    <row r="377" spans="1:21">
      <c r="A377" s="2895" t="str">
        <f>ORG!$S$1</f>
        <v>Apr 23</v>
      </c>
      <c r="B377" t="str">
        <f>ORG!$M$1</f>
        <v>Public Health Wales Trust</v>
      </c>
      <c r="C377" t="str">
        <f>'B2 - Pay &amp; Agency'!$A$5</f>
        <v>Table B2 - Pay Expenditure Analysis</v>
      </c>
      <c r="D377" s="2898">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7</v>
      </c>
      <c r="L377">
        <f>'B2 - Pay &amp; Agency'!H53</f>
        <v>7</v>
      </c>
      <c r="M377">
        <f>'B2 - Pay &amp; Agency'!I53</f>
        <v>7</v>
      </c>
      <c r="N377">
        <f>'B2 - Pay &amp; Agency'!J53</f>
        <v>7</v>
      </c>
      <c r="O377">
        <f>'B2 - Pay &amp; Agency'!K53</f>
        <v>7</v>
      </c>
      <c r="P377">
        <f>'B2 - Pay &amp; Agency'!L53</f>
        <v>7</v>
      </c>
      <c r="Q377">
        <f>'B2 - Pay &amp; Agency'!M53</f>
        <v>7</v>
      </c>
      <c r="R377">
        <f>'B2 - Pay &amp; Agency'!N53</f>
        <v>7</v>
      </c>
      <c r="S377">
        <f>'B2 - Pay &amp; Agency'!P53</f>
        <v>84</v>
      </c>
      <c r="U377">
        <f t="shared" si="14"/>
        <v>84</v>
      </c>
    </row>
    <row r="378" spans="1:21">
      <c r="A378" s="2895" t="str">
        <f>ORG!$S$1</f>
        <v>Apr 23</v>
      </c>
      <c r="B378" t="str">
        <f>ORG!$M$1</f>
        <v>Public Health Wales Trust</v>
      </c>
      <c r="C378" t="str">
        <f>'B2 - Pay &amp; Agency'!$A$5</f>
        <v>Table B2 - Pay Expenditure Analysis</v>
      </c>
      <c r="D378" s="2898">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5" t="str">
        <f>ORG!$S$1</f>
        <v>Apr 23</v>
      </c>
      <c r="B379" t="str">
        <f>ORG!$M$1</f>
        <v>Public Health Wales Trust</v>
      </c>
      <c r="C379" t="str">
        <f>'B2 - Pay &amp; Agency'!$A$5</f>
        <v>Table B2 - Pay Expenditure Analysis</v>
      </c>
      <c r="D379" s="2898">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5" t="str">
        <f>ORG!$S$1</f>
        <v>Apr 23</v>
      </c>
      <c r="B380" t="str">
        <f>ORG!$M$1</f>
        <v>Public Health Wales Trust</v>
      </c>
      <c r="C380" t="str">
        <f>'B2 - Pay &amp; Agency'!$A$5</f>
        <v>Table B2 - Pay Expenditure Analysis</v>
      </c>
      <c r="D380" s="2898">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5" t="str">
        <f>ORG!$S$1</f>
        <v>Apr 23</v>
      </c>
      <c r="B381" t="str">
        <f>ORG!$M$1</f>
        <v>Public Health Wales Trust</v>
      </c>
      <c r="C381" t="str">
        <f>'B2 - Pay &amp; Agency'!$A$5</f>
        <v>Table B2 - Pay Expenditure Analysis</v>
      </c>
      <c r="D381" s="2898">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5" t="str">
        <f>ORG!$S$1</f>
        <v>Apr 23</v>
      </c>
      <c r="B382" t="str">
        <f>ORG!$M$1</f>
        <v>Public Health Wales Trust</v>
      </c>
      <c r="C382" t="str">
        <f>'B2 - Pay &amp; Agency'!$A$5</f>
        <v>Table B2 - Pay Expenditure Analysis</v>
      </c>
      <c r="D382" s="2898">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5" t="str">
        <f>ORG!$S$1</f>
        <v>Apr 23</v>
      </c>
      <c r="B383" t="str">
        <f>ORG!$M$1</f>
        <v>Public Health Wales Trust</v>
      </c>
      <c r="C383" t="str">
        <f>'B2 - Pay &amp; Agency'!$A$5</f>
        <v>Table B2 - Pay Expenditure Analysis</v>
      </c>
      <c r="D383" s="2898">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5" t="str">
        <f>ORG!$S$1</f>
        <v>Apr 23</v>
      </c>
      <c r="B384" t="str">
        <f>ORG!$M$1</f>
        <v>Public Health Wales Trust</v>
      </c>
      <c r="C384" t="str">
        <f>'B2 - Pay &amp; Agency'!$A$5</f>
        <v>Table B2 - Pay Expenditure Analysis</v>
      </c>
      <c r="D384" s="2898">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5" t="str">
        <f>ORG!$S$1</f>
        <v>Apr 23</v>
      </c>
      <c r="B385" t="str">
        <f>ORG!$M$1</f>
        <v>Public Health Wales Trust</v>
      </c>
      <c r="C385" t="str">
        <f>'B2 - Pay &amp; Agency'!$A$5</f>
        <v>Table B2 - Pay Expenditure Analysis</v>
      </c>
      <c r="D385" s="2898">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5" t="str">
        <f>ORG!$S$1</f>
        <v>Apr 23</v>
      </c>
      <c r="B386" t="str">
        <f>ORG!$M$1</f>
        <v>Public Health Wales Trust</v>
      </c>
      <c r="C386" t="str">
        <f>'B2 - Pay &amp; Agency'!$A$5</f>
        <v>Table B2 - Pay Expenditure Analysis</v>
      </c>
      <c r="D386" s="2898">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5" t="str">
        <f>ORG!$S$1</f>
        <v>Apr 23</v>
      </c>
      <c r="B387" t="str">
        <f>ORG!$M$1</f>
        <v>Public Health Wales Trust</v>
      </c>
      <c r="C387" t="str">
        <f>'B2 - Pay &amp; Agency'!$A$5</f>
        <v>Table B2 - Pay Expenditure Analysis</v>
      </c>
      <c r="D387" s="2898">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5" t="str">
        <f>ORG!$S$1</f>
        <v>Apr 23</v>
      </c>
      <c r="B388" t="str">
        <f>ORG!$M$1</f>
        <v>Public Health Wales Trust</v>
      </c>
      <c r="C388" t="str">
        <f>'B2 - Pay &amp; Agency'!$A$5</f>
        <v>Table B2 - Pay Expenditure Analysis</v>
      </c>
      <c r="D388" s="2898">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5" t="str">
        <f>ORG!$S$1</f>
        <v>Apr 23</v>
      </c>
      <c r="B389" t="str">
        <f>ORG!$M$1</f>
        <v>Public Health Wales Trust</v>
      </c>
      <c r="C389" t="str">
        <f>'B2 - Pay &amp; Agency'!$A$5</f>
        <v>Table B2 - Pay Expenditure Analysis</v>
      </c>
      <c r="D389" s="2898">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278</v>
      </c>
      <c r="I389">
        <f>'B2 - Pay &amp; Agency'!E65</f>
        <v>278</v>
      </c>
      <c r="J389">
        <f>'B2 - Pay &amp; Agency'!F65</f>
        <v>278</v>
      </c>
      <c r="K389">
        <f>'B2 - Pay &amp; Agency'!G65</f>
        <v>278</v>
      </c>
      <c r="L389">
        <f>'B2 - Pay &amp; Agency'!H65</f>
        <v>278</v>
      </c>
      <c r="M389">
        <f>'B2 - Pay &amp; Agency'!I65</f>
        <v>278</v>
      </c>
      <c r="N389">
        <f>'B2 - Pay &amp; Agency'!J65</f>
        <v>278</v>
      </c>
      <c r="O389">
        <f>'B2 - Pay &amp; Agency'!K65</f>
        <v>278</v>
      </c>
      <c r="P389">
        <f>'B2 - Pay &amp; Agency'!L65</f>
        <v>278</v>
      </c>
      <c r="Q389">
        <f>'B2 - Pay &amp; Agency'!M65</f>
        <v>278</v>
      </c>
      <c r="R389">
        <f>'B2 - Pay &amp; Agency'!N65</f>
        <v>278</v>
      </c>
      <c r="S389">
        <f>'B2 - Pay &amp; Agency'!P65</f>
        <v>3336</v>
      </c>
      <c r="U389">
        <f t="shared" si="15"/>
        <v>3336</v>
      </c>
    </row>
    <row r="390" spans="1:21">
      <c r="A390" s="2895" t="str">
        <f>ORG!$S$1</f>
        <v>Apr 23</v>
      </c>
      <c r="B390" t="str">
        <f>ORG!$M$1</f>
        <v>Public Health Wales Trust</v>
      </c>
      <c r="C390" t="str">
        <f>'B3 - COVID-19'!$A$3</f>
        <v>Table B3 - COVID-19 Analysis</v>
      </c>
      <c r="D390" s="2898">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5" t="str">
        <f>ORG!$S$1</f>
        <v>Apr 23</v>
      </c>
      <c r="B391" t="str">
        <f>ORG!$M$1</f>
        <v>Public Health Wales Trust</v>
      </c>
      <c r="C391" t="str">
        <f>'B3 - COVID-19'!$A$3</f>
        <v>Table B3 - COVID-19 Analysis</v>
      </c>
      <c r="D391" s="2898">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5" t="str">
        <f>ORG!$S$1</f>
        <v>Apr 23</v>
      </c>
      <c r="B392" t="str">
        <f>ORG!$M$1</f>
        <v>Public Health Wales Trust</v>
      </c>
      <c r="C392" t="str">
        <f>'B3 - COVID-19'!$A$3</f>
        <v>Table B3 - COVID-19 Analysis</v>
      </c>
      <c r="D392" s="2898">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12.571000000000002</v>
      </c>
      <c r="I392">
        <f>'B3 - COVID-19'!E10</f>
        <v>42.212166666666654</v>
      </c>
      <c r="J392">
        <f>'B3 - COVID-19'!F10</f>
        <v>59.860166666666657</v>
      </c>
      <c r="K392">
        <f>'B3 - COVID-19'!G10</f>
        <v>59.860166666666657</v>
      </c>
      <c r="L392">
        <f>'B3 - COVID-19'!H10</f>
        <v>59.860166666666657</v>
      </c>
      <c r="M392">
        <f>'B3 - COVID-19'!I10</f>
        <v>79.177121666666665</v>
      </c>
      <c r="N392">
        <f>'B3 - COVID-19'!J10</f>
        <v>79.177121666666665</v>
      </c>
      <c r="O392">
        <f>'B3 - COVID-19'!K10</f>
        <v>79.177121666666665</v>
      </c>
      <c r="P392">
        <f>'B3 - COVID-19'!L10</f>
        <v>79.177121666666665</v>
      </c>
      <c r="Q392">
        <f>'B3 - COVID-19'!M10</f>
        <v>59.860166666666657</v>
      </c>
      <c r="R392">
        <f>'B3 - COVID-19'!N10</f>
        <v>59.860166666666657</v>
      </c>
      <c r="S392">
        <f>'B3 - COVID-19'!P10</f>
        <v>685.25387666666643</v>
      </c>
      <c r="U392">
        <f t="shared" si="17"/>
        <v>685.25387666666643</v>
      </c>
    </row>
    <row r="393" spans="1:21">
      <c r="A393" s="2895" t="str">
        <f>ORG!$S$1</f>
        <v>Apr 23</v>
      </c>
      <c r="B393" t="str">
        <f>ORG!$M$1</f>
        <v>Public Health Wales Trust</v>
      </c>
      <c r="C393" t="str">
        <f>'B3 - COVID-19'!$A$3</f>
        <v>Table B3 - COVID-19 Analysis</v>
      </c>
      <c r="D393" s="2898">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5" t="str">
        <f>ORG!$S$1</f>
        <v>Apr 23</v>
      </c>
      <c r="B394" t="str">
        <f>ORG!$M$1</f>
        <v>Public Health Wales Trust</v>
      </c>
      <c r="C394" t="str">
        <f>'B3 - COVID-19'!$A$3</f>
        <v>Table B3 - COVID-19 Analysis</v>
      </c>
      <c r="D394" s="2898">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5" t="str">
        <f>ORG!$S$1</f>
        <v>Apr 23</v>
      </c>
      <c r="B395" t="str">
        <f>ORG!$M$1</f>
        <v>Public Health Wales Trust</v>
      </c>
      <c r="C395" t="str">
        <f>'B3 - COVID-19'!$A$3</f>
        <v>Table B3 - COVID-19 Analysis</v>
      </c>
      <c r="D395" s="2898">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5" t="str">
        <f>ORG!$S$1</f>
        <v>Apr 23</v>
      </c>
      <c r="B396" t="str">
        <f>ORG!$M$1</f>
        <v>Public Health Wales Trust</v>
      </c>
      <c r="C396" t="str">
        <f>'B3 - COVID-19'!$A$3</f>
        <v>Table B3 - COVID-19 Analysis</v>
      </c>
      <c r="D396" s="2898">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2.4918333333333336</v>
      </c>
      <c r="I396">
        <f>'B3 - COVID-19'!E14</f>
        <v>2.4918333333333336</v>
      </c>
      <c r="J396">
        <f>'B3 - COVID-19'!F14</f>
        <v>2.4918333333333336</v>
      </c>
      <c r="K396">
        <f>'B3 - COVID-19'!G14</f>
        <v>2.4918333333333336</v>
      </c>
      <c r="L396">
        <f>'B3 - COVID-19'!H14</f>
        <v>2.4918333333333336</v>
      </c>
      <c r="M396">
        <f>'B3 - COVID-19'!I14</f>
        <v>2.4918333333333336</v>
      </c>
      <c r="N396">
        <f>'B3 - COVID-19'!J14</f>
        <v>2.4918333333333336</v>
      </c>
      <c r="O396">
        <f>'B3 - COVID-19'!K14</f>
        <v>2.4918333333333336</v>
      </c>
      <c r="P396">
        <f>'B3 - COVID-19'!L14</f>
        <v>2.4918333333333336</v>
      </c>
      <c r="Q396">
        <f>'B3 - COVID-19'!M14</f>
        <v>2.4918333333333336</v>
      </c>
      <c r="R396">
        <f>'B3 - COVID-19'!N14</f>
        <v>2.4918333333333336</v>
      </c>
      <c r="S396">
        <f>'B3 - COVID-19'!P14</f>
        <v>29.865076666666663</v>
      </c>
      <c r="U396">
        <f t="shared" si="17"/>
        <v>29.865076666666663</v>
      </c>
    </row>
    <row r="397" spans="1:21">
      <c r="A397" s="2895" t="str">
        <f>ORG!$S$1</f>
        <v>Apr 23</v>
      </c>
      <c r="B397" t="str">
        <f>ORG!$M$1</f>
        <v>Public Health Wales Trust</v>
      </c>
      <c r="C397" t="str">
        <f>'B3 - COVID-19'!$A$3</f>
        <v>Table B3 - COVID-19 Analysis</v>
      </c>
      <c r="D397" s="2898">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5" t="str">
        <f>ORG!$S$1</f>
        <v>Apr 23</v>
      </c>
      <c r="B398" t="str">
        <f>ORG!$M$1</f>
        <v>Public Health Wales Trust</v>
      </c>
      <c r="C398" t="str">
        <f>'B3 - COVID-19'!$A$3</f>
        <v>Table B3 - COVID-19 Analysis</v>
      </c>
      <c r="D398" s="2898">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34.353833333333327</v>
      </c>
      <c r="I398">
        <f>'B3 - COVID-19'!E16</f>
        <v>47.609983333333332</v>
      </c>
      <c r="J398">
        <f>'B3 - COVID-19'!F16</f>
        <v>60.561791666666657</v>
      </c>
      <c r="K398">
        <f>'B3 - COVID-19'!G16</f>
        <v>60.561791666666657</v>
      </c>
      <c r="L398">
        <f>'B3 - COVID-19'!H16</f>
        <v>61.002991666666659</v>
      </c>
      <c r="M398">
        <f>'B3 - COVID-19'!I16</f>
        <v>60.561791666666657</v>
      </c>
      <c r="N398">
        <f>'B3 - COVID-19'!J16</f>
        <v>60.561791666666657</v>
      </c>
      <c r="O398">
        <f>'B3 - COVID-19'!K16</f>
        <v>60.59855833333333</v>
      </c>
      <c r="P398">
        <f>'B3 - COVID-19'!L16</f>
        <v>60.561791666666657</v>
      </c>
      <c r="Q398">
        <f>'B3 - COVID-19'!M16</f>
        <v>60.561791666666657</v>
      </c>
      <c r="R398">
        <f>'B3 - COVID-19'!N16</f>
        <v>60.564855555555553</v>
      </c>
      <c r="S398">
        <f>'B3 - COVID-19'!P16</f>
        <v>657.61147222222212</v>
      </c>
      <c r="U398">
        <f t="shared" si="17"/>
        <v>657.61147222222212</v>
      </c>
    </row>
    <row r="399" spans="1:21">
      <c r="A399" s="2895" t="str">
        <f>ORG!$S$1</f>
        <v>Apr 23</v>
      </c>
      <c r="B399" t="str">
        <f>ORG!$M$1</f>
        <v>Public Health Wales Trust</v>
      </c>
      <c r="C399" t="str">
        <f>'B3 - COVID-19'!$A$3</f>
        <v>Table B3 - COVID-19 Analysis</v>
      </c>
      <c r="D399" s="2898">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5" t="str">
        <f>ORG!$S$1</f>
        <v>Apr 23</v>
      </c>
      <c r="B400" t="str">
        <f>ORG!$M$1</f>
        <v>Public Health Wales Trust</v>
      </c>
      <c r="C400" t="str">
        <f>'B3 - COVID-19'!$A$3</f>
        <v>Table B3 - COVID-19 Analysis</v>
      </c>
      <c r="D400" s="2898">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5" t="str">
        <f>ORG!$S$1</f>
        <v>Apr 23</v>
      </c>
      <c r="B401" t="str">
        <f>ORG!$M$1</f>
        <v>Public Health Wales Trust</v>
      </c>
      <c r="C401" t="str">
        <f>'B3 - COVID-19'!$A$3</f>
        <v>Table B3 - COVID-19 Analysis</v>
      </c>
      <c r="D401" s="2898">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49.416666666666664</v>
      </c>
      <c r="I401">
        <f>'B3 - COVID-19'!E19</f>
        <v>92.313983333333312</v>
      </c>
      <c r="J401">
        <f>'B3 - COVID-19'!F19</f>
        <v>122.91379166666664</v>
      </c>
      <c r="K401">
        <f>'B3 - COVID-19'!G19</f>
        <v>122.91379166666664</v>
      </c>
      <c r="L401">
        <f>'B3 - COVID-19'!H19</f>
        <v>123.35499166666665</v>
      </c>
      <c r="M401">
        <f>'B3 - COVID-19'!I19</f>
        <v>142.23074666666665</v>
      </c>
      <c r="N401">
        <f>'B3 - COVID-19'!J19</f>
        <v>142.23074666666665</v>
      </c>
      <c r="O401">
        <f>'B3 - COVID-19'!K19</f>
        <v>142.26751333333334</v>
      </c>
      <c r="P401">
        <f>'B3 - COVID-19'!L19</f>
        <v>142.23074666666665</v>
      </c>
      <c r="Q401">
        <f>'B3 - COVID-19'!M19</f>
        <v>122.91379166666664</v>
      </c>
      <c r="R401">
        <f>'B3 - COVID-19'!N19</f>
        <v>122.91685555555554</v>
      </c>
      <c r="S401">
        <f>'B3 - COVID-19'!P19</f>
        <v>1372.7304255555553</v>
      </c>
      <c r="U401">
        <f t="shared" si="17"/>
        <v>1372.7304255555553</v>
      </c>
    </row>
    <row r="402" spans="1:21">
      <c r="A402" s="2895" t="str">
        <f>ORG!$S$1</f>
        <v>Apr 23</v>
      </c>
      <c r="B402" t="str">
        <f>ORG!$M$1</f>
        <v>Public Health Wales Trust</v>
      </c>
      <c r="C402" t="str">
        <f>'B3 - COVID-19'!$A$3</f>
        <v>Table B3 - COVID-19 Analysis</v>
      </c>
      <c r="D402" s="2898">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5" t="str">
        <f>ORG!$S$1</f>
        <v>Apr 23</v>
      </c>
      <c r="B403" t="str">
        <f>ORG!$M$1</f>
        <v>Public Health Wales Trust</v>
      </c>
      <c r="C403" t="str">
        <f>'B3 - COVID-19'!$A$3</f>
        <v>Table B3 - COVID-19 Analysis</v>
      </c>
      <c r="D403" s="2898">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5" t="str">
        <f>ORG!$S$1</f>
        <v>Apr 23</v>
      </c>
      <c r="B404" t="str">
        <f>ORG!$M$1</f>
        <v>Public Health Wales Trust</v>
      </c>
      <c r="C404" t="str">
        <f>'B3 - COVID-19'!$A$3</f>
        <v>Table B3 - COVID-19 Analysis</v>
      </c>
      <c r="D404" s="2898">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5" t="str">
        <f>ORG!$S$1</f>
        <v>Apr 23</v>
      </c>
      <c r="B405" t="str">
        <f>ORG!$M$1</f>
        <v>Public Health Wales Trust</v>
      </c>
      <c r="C405" t="str">
        <f>'B3 - COVID-19'!$A$3</f>
        <v>Table B3 - COVID-19 Analysis</v>
      </c>
      <c r="D405" s="2898">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893.20325773574302</v>
      </c>
      <c r="I405">
        <f>'B3 - COVID-19'!E23</f>
        <v>1300.8051747442678</v>
      </c>
      <c r="J405">
        <f>'B3 - COVID-19'!F23</f>
        <v>883.70325773574302</v>
      </c>
      <c r="K405">
        <f>'B3 - COVID-19'!G23</f>
        <v>874.20325773574302</v>
      </c>
      <c r="L405">
        <f>'B3 - COVID-19'!H23</f>
        <v>1291.3051747442678</v>
      </c>
      <c r="M405">
        <f>'B3 - COVID-19'!I23</f>
        <v>1110.8900154706657</v>
      </c>
      <c r="N405">
        <f>'B3 - COVID-19'!J23</f>
        <v>1116.1104443264508</v>
      </c>
      <c r="O405">
        <f>'B3 - COVID-19'!K23</f>
        <v>1601.4106404706658</v>
      </c>
      <c r="P405">
        <f>'B3 - COVID-19'!L23</f>
        <v>1148.8900154706657</v>
      </c>
      <c r="Q405">
        <f>'B3 - COVID-19'!M23</f>
        <v>1064.3308731822358</v>
      </c>
      <c r="R405">
        <f>'B3 - COVID-19'!N23</f>
        <v>1544.1690304706658</v>
      </c>
      <c r="S405">
        <f>'B3 - COVID-19'!P23</f>
        <v>13688.069572087115</v>
      </c>
      <c r="U405">
        <f t="shared" si="17"/>
        <v>13688.069572087115</v>
      </c>
    </row>
    <row r="406" spans="1:21">
      <c r="A406" s="2895" t="str">
        <f>ORG!$S$1</f>
        <v>Apr 23</v>
      </c>
      <c r="B406" t="str">
        <f>ORG!$M$1</f>
        <v>Public Health Wales Trust</v>
      </c>
      <c r="C406" t="str">
        <f>'B3 - COVID-19'!$A$3</f>
        <v>Table B3 - COVID-19 Analysis</v>
      </c>
      <c r="D406" s="2898">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57.6</v>
      </c>
      <c r="J406">
        <f>'B3 - COVID-19'!F24</f>
        <v>18.600000000000001</v>
      </c>
      <c r="K406">
        <f>'B3 - COVID-19'!G24</f>
        <v>18.600000000000001</v>
      </c>
      <c r="L406">
        <f>'B3 - COVID-19'!H24</f>
        <v>57.6</v>
      </c>
      <c r="M406">
        <f>'B3 - COVID-19'!I24</f>
        <v>18.600000000000001</v>
      </c>
      <c r="N406">
        <f>'B3 - COVID-19'!J24</f>
        <v>18.600000000000001</v>
      </c>
      <c r="O406">
        <f>'B3 - COVID-19'!K24</f>
        <v>57.6</v>
      </c>
      <c r="P406">
        <f>'B3 - COVID-19'!L24</f>
        <v>18.600000000000001</v>
      </c>
      <c r="Q406">
        <f>'B3 - COVID-19'!M24</f>
        <v>18.600000000000001</v>
      </c>
      <c r="R406">
        <f>'B3 - COVID-19'!N24</f>
        <v>57.6</v>
      </c>
      <c r="S406">
        <f>'B3 - COVID-19'!P24</f>
        <v>379.20000000000005</v>
      </c>
      <c r="U406">
        <f t="shared" si="17"/>
        <v>379.20000000000005</v>
      </c>
    </row>
    <row r="407" spans="1:21">
      <c r="A407" s="2895" t="str">
        <f>ORG!$S$1</f>
        <v>Apr 23</v>
      </c>
      <c r="B407" t="str">
        <f>ORG!$M$1</f>
        <v>Public Health Wales Trust</v>
      </c>
      <c r="C407" t="str">
        <f>'B3 - COVID-19'!$A$3</f>
        <v>Table B3 - COVID-19 Analysis</v>
      </c>
      <c r="D407" s="2898">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0</v>
      </c>
      <c r="N407">
        <f>'B3 - COVID-19'!J25</f>
        <v>0</v>
      </c>
      <c r="O407">
        <f>'B3 - COVID-19'!K25</f>
        <v>0</v>
      </c>
      <c r="P407">
        <f>'B3 - COVID-19'!L25</f>
        <v>0</v>
      </c>
      <c r="Q407">
        <f>'B3 - COVID-19'!M25</f>
        <v>0</v>
      </c>
      <c r="R407">
        <f>'B3 - COVID-19'!N25</f>
        <v>0</v>
      </c>
      <c r="S407">
        <f>'B3 - COVID-19'!P25</f>
        <v>0</v>
      </c>
      <c r="U407">
        <f t="shared" si="17"/>
        <v>0</v>
      </c>
    </row>
    <row r="408" spans="1:21">
      <c r="A408" s="2895" t="str">
        <f>ORG!$S$1</f>
        <v>Apr 23</v>
      </c>
      <c r="B408" t="str">
        <f>ORG!$M$1</f>
        <v>Public Health Wales Trust</v>
      </c>
      <c r="C408" t="str">
        <f>'B3 - COVID-19'!$A$3</f>
        <v>Table B3 - COVID-19 Analysis</v>
      </c>
      <c r="D408" s="2898">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5" t="str">
        <f>ORG!$S$1</f>
        <v>Apr 23</v>
      </c>
      <c r="B409" t="str">
        <f>ORG!$M$1</f>
        <v>Public Health Wales Trust</v>
      </c>
      <c r="C409" t="str">
        <f>'B3 - COVID-19'!$A$3</f>
        <v>Table B3 - COVID-19 Analysis</v>
      </c>
      <c r="D409" s="2898">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5" t="str">
        <f>ORG!$S$1</f>
        <v>Apr 23</v>
      </c>
      <c r="B410" t="str">
        <f>ORG!$M$1</f>
        <v>Public Health Wales Trust</v>
      </c>
      <c r="C410" t="str">
        <f>'B3 - COVID-19'!$A$3</f>
        <v>Table B3 - COVID-19 Analysis</v>
      </c>
      <c r="D410" s="2898">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5" t="str">
        <f>ORG!$S$1</f>
        <v>Apr 23</v>
      </c>
      <c r="B411" t="str">
        <f>ORG!$M$1</f>
        <v>Public Health Wales Trust</v>
      </c>
      <c r="C411" t="str">
        <f>'B3 - COVID-19'!$A$3</f>
        <v>Table B3 - COVID-19 Analysis</v>
      </c>
      <c r="D411" s="2898">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5" t="str">
        <f>ORG!$S$1</f>
        <v>Apr 23</v>
      </c>
      <c r="B412" t="str">
        <f>ORG!$M$1</f>
        <v>Public Health Wales Trust</v>
      </c>
      <c r="C412" t="str">
        <f>'B3 - COVID-19'!$A$3</f>
        <v>Table B3 - COVID-19 Analysis</v>
      </c>
      <c r="D412" s="2898">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5" t="str">
        <f>ORG!$S$1</f>
        <v>Apr 23</v>
      </c>
      <c r="B413" t="str">
        <f>ORG!$M$1</f>
        <v>Public Health Wales Trust</v>
      </c>
      <c r="C413" t="str">
        <f>'B3 - COVID-19'!$A$3</f>
        <v>Table B3 - COVID-19 Analysis</v>
      </c>
      <c r="D413" s="2898">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5" t="str">
        <f>ORG!$S$1</f>
        <v>Apr 23</v>
      </c>
      <c r="B414" t="str">
        <f>ORG!$M$1</f>
        <v>Public Health Wales Trust</v>
      </c>
      <c r="C414" t="str">
        <f>'B3 - COVID-19'!$A$3</f>
        <v>Table B3 - COVID-19 Analysis</v>
      </c>
      <c r="D414" s="2898">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5" t="str">
        <f>ORG!$S$1</f>
        <v>Apr 23</v>
      </c>
      <c r="B415" t="str">
        <f>ORG!$M$1</f>
        <v>Public Health Wales Trust</v>
      </c>
      <c r="C415" t="str">
        <f>'B3 - COVID-19'!$A$3</f>
        <v>Table B3 - COVID-19 Analysis</v>
      </c>
      <c r="D415" s="2898">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911.80325773574305</v>
      </c>
      <c r="I415">
        <f>'B3 - COVID-19'!E33</f>
        <v>1358.4051747442677</v>
      </c>
      <c r="J415">
        <f>'B3 - COVID-19'!F33</f>
        <v>902.30325773574305</v>
      </c>
      <c r="K415">
        <f>'B3 - COVID-19'!G33</f>
        <v>892.80325773574305</v>
      </c>
      <c r="L415">
        <f>'B3 - COVID-19'!H33</f>
        <v>1348.9051747442677</v>
      </c>
      <c r="M415">
        <f>'B3 - COVID-19'!I33</f>
        <v>1129.4900154706656</v>
      </c>
      <c r="N415">
        <f>'B3 - COVID-19'!J33</f>
        <v>1134.7104443264507</v>
      </c>
      <c r="O415">
        <f>'B3 - COVID-19'!K33</f>
        <v>1659.0106404706657</v>
      </c>
      <c r="P415">
        <f>'B3 - COVID-19'!L33</f>
        <v>1167.4900154706656</v>
      </c>
      <c r="Q415">
        <f>'B3 - COVID-19'!M33</f>
        <v>1082.9308731822357</v>
      </c>
      <c r="R415">
        <f>'B3 - COVID-19'!N33</f>
        <v>1601.7690304706657</v>
      </c>
      <c r="S415">
        <f>'B3 - COVID-19'!P33</f>
        <v>14067.269572087116</v>
      </c>
      <c r="U415">
        <f t="shared" si="17"/>
        <v>14067.269572087116</v>
      </c>
    </row>
    <row r="416" spans="1:21">
      <c r="A416" s="2895" t="str">
        <f>ORG!$S$1</f>
        <v>Apr 23</v>
      </c>
      <c r="B416" t="str">
        <f>ORG!$M$1</f>
        <v>Public Health Wales Trust</v>
      </c>
      <c r="C416" t="str">
        <f>'B3 - COVID-19'!$A$3</f>
        <v>Table B3 - COVID-19 Analysis</v>
      </c>
      <c r="D416" s="2898">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961.21992440240967</v>
      </c>
      <c r="I416">
        <f>'B3 - COVID-19'!E34</f>
        <v>1450.7191580776009</v>
      </c>
      <c r="J416">
        <f>'B3 - COVID-19'!F34</f>
        <v>1025.2170494024097</v>
      </c>
      <c r="K416">
        <f>'B3 - COVID-19'!G34</f>
        <v>1015.7170494024097</v>
      </c>
      <c r="L416">
        <f>'B3 - COVID-19'!H34</f>
        <v>1472.2601664109343</v>
      </c>
      <c r="M416">
        <f>'B3 - COVID-19'!I34</f>
        <v>1271.7207621373323</v>
      </c>
      <c r="N416">
        <f>'B3 - COVID-19'!J34</f>
        <v>1276.9411909931173</v>
      </c>
      <c r="O416">
        <f>'B3 - COVID-19'!K34</f>
        <v>1801.278153803999</v>
      </c>
      <c r="P416">
        <f>'B3 - COVID-19'!L34</f>
        <v>1309.7207621373323</v>
      </c>
      <c r="Q416">
        <f>'B3 - COVID-19'!M34</f>
        <v>1205.8446648489023</v>
      </c>
      <c r="R416">
        <f>'B3 - COVID-19'!N34</f>
        <v>1724.6858860262212</v>
      </c>
      <c r="S416">
        <f>'B3 - COVID-19'!P34</f>
        <v>15439.999997642672</v>
      </c>
      <c r="U416">
        <f t="shared" si="17"/>
        <v>15439.999997642672</v>
      </c>
    </row>
    <row r="417" spans="1:21">
      <c r="A417" s="2895" t="str">
        <f>ORG!$S$1</f>
        <v>Apr 23</v>
      </c>
      <c r="B417" t="str">
        <f>ORG!$M$1</f>
        <v>Public Health Wales Trust</v>
      </c>
      <c r="C417" t="str">
        <f>'B3 - COVID-19'!$A$3</f>
        <v>Table B3 - COVID-19 Analysis</v>
      </c>
      <c r="D417" s="2898">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5" t="str">
        <f>ORG!$S$1</f>
        <v>Apr 23</v>
      </c>
      <c r="B418" t="str">
        <f>ORG!$M$1</f>
        <v>Public Health Wales Trust</v>
      </c>
      <c r="C418" t="str">
        <f>'B3 - COVID-19'!$A$3</f>
        <v>Table B3 - COVID-19 Analysis</v>
      </c>
      <c r="D418" s="2898">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0</v>
      </c>
      <c r="I418">
        <f>'B3 - COVID-19'!E37</f>
        <v>0</v>
      </c>
      <c r="J418">
        <f>'B3 - COVID-19'!F37</f>
        <v>0</v>
      </c>
      <c r="K418">
        <f>'B3 - COVID-19'!G37</f>
        <v>0</v>
      </c>
      <c r="L418">
        <f>'B3 - COVID-19'!H37</f>
        <v>0</v>
      </c>
      <c r="M418">
        <f>'B3 - COVID-19'!I37</f>
        <v>0</v>
      </c>
      <c r="N418">
        <f>'B3 - COVID-19'!J37</f>
        <v>0</v>
      </c>
      <c r="O418">
        <f>'B3 - COVID-19'!K37</f>
        <v>0</v>
      </c>
      <c r="P418">
        <f>'B3 - COVID-19'!L37</f>
        <v>0</v>
      </c>
      <c r="Q418">
        <f>'B3 - COVID-19'!M37</f>
        <v>0</v>
      </c>
      <c r="R418">
        <f>'B3 - COVID-19'!N37</f>
        <v>0</v>
      </c>
      <c r="S418">
        <f>'B3 - COVID-19'!P37</f>
        <v>0</v>
      </c>
      <c r="U418">
        <f t="shared" si="17"/>
        <v>0</v>
      </c>
    </row>
    <row r="419" spans="1:21">
      <c r="A419" s="2895" t="str">
        <f>ORG!$S$1</f>
        <v>Apr 23</v>
      </c>
      <c r="B419" t="str">
        <f>ORG!$M$1</f>
        <v>Public Health Wales Trust</v>
      </c>
      <c r="C419" t="str">
        <f>'B3 - COVID-19'!$A$3</f>
        <v>Table B3 - COVID-19 Analysis</v>
      </c>
      <c r="D419" s="2898">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5" t="str">
        <f>ORG!$S$1</f>
        <v>Apr 23</v>
      </c>
      <c r="B420" t="str">
        <f>ORG!$M$1</f>
        <v>Public Health Wales Trust</v>
      </c>
      <c r="C420" t="str">
        <f>'B3 - COVID-19'!$A$3</f>
        <v>Table B3 - COVID-19 Analysis</v>
      </c>
      <c r="D420" s="2898">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924.67499999999995</v>
      </c>
      <c r="H420">
        <f>'B3 - COVID-19'!D42</f>
        <v>961.21992440240967</v>
      </c>
      <c r="I420">
        <f>'B3 - COVID-19'!E42</f>
        <v>1450.7191580776007</v>
      </c>
      <c r="J420">
        <f>'B3 - COVID-19'!F42</f>
        <v>1025.2170494024097</v>
      </c>
      <c r="K420">
        <f>'B3 - COVID-19'!G42</f>
        <v>1015.7170494024097</v>
      </c>
      <c r="L420">
        <f>'B3 - COVID-19'!H42</f>
        <v>1472.2601664109341</v>
      </c>
      <c r="M420">
        <f>'B3 - COVID-19'!I42</f>
        <v>1271.7207621373325</v>
      </c>
      <c r="N420">
        <f>'B3 - COVID-19'!J42</f>
        <v>1276.9411909931173</v>
      </c>
      <c r="O420">
        <f>'B3 - COVID-19'!K42</f>
        <v>1801.278153803999</v>
      </c>
      <c r="P420">
        <f>'B3 - COVID-19'!L42</f>
        <v>1309.7207621373325</v>
      </c>
      <c r="Q420">
        <f>'B3 - COVID-19'!M42</f>
        <v>1205.8446648489023</v>
      </c>
      <c r="R420">
        <f>'B3 - COVID-19'!N42</f>
        <v>1724.6858860262212</v>
      </c>
      <c r="S420">
        <f>'B3 - COVID-19'!P42</f>
        <v>15439.999767642668</v>
      </c>
      <c r="U420">
        <f t="shared" si="18"/>
        <v>15439.999767642668</v>
      </c>
    </row>
    <row r="421" spans="1:21">
      <c r="A421" s="2895" t="str">
        <f>ORG!$S$1</f>
        <v>Apr 23</v>
      </c>
      <c r="B421" t="str">
        <f>ORG!$M$1</f>
        <v>Public Health Wales Trust</v>
      </c>
      <c r="C421" t="str">
        <f>'B3 - COVID-19'!$A$3</f>
        <v>Table B3 - COVID-19 Analysis</v>
      </c>
      <c r="D421" s="2898">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5" t="str">
        <f>ORG!$S$1</f>
        <v>Apr 23</v>
      </c>
      <c r="B422" t="str">
        <f>ORG!$M$1</f>
        <v>Public Health Wales Trust</v>
      </c>
      <c r="C422" t="str">
        <f>'B3 - COVID-19'!$A$3</f>
        <v>Table B3 - COVID-19 Analysis</v>
      </c>
      <c r="D422" s="2898">
        <f>'B3 - COVID-19'!A44</f>
        <v>33</v>
      </c>
      <c r="E422" t="str">
        <f>CONCATENATE('B3 - COVID-19'!$A$5," - ",'B3 - COVID-19'!$A$7)</f>
        <v>Health Promotion (including Testing, Tracing and Surveillance) - Additional costs due to C19 - A1</v>
      </c>
      <c r="F422" t="str">
        <f>'B3 - COVID-19'!B44</f>
        <v>Total Actual/Forecast Funding</v>
      </c>
      <c r="G422">
        <f>'B3 - COVID-19'!C44</f>
        <v>924.67499999999995</v>
      </c>
      <c r="H422">
        <f>'B3 - COVID-19'!D44</f>
        <v>961.21992440240967</v>
      </c>
      <c r="I422">
        <f>'B3 - COVID-19'!E44</f>
        <v>1450.7191580776007</v>
      </c>
      <c r="J422">
        <f>'B3 - COVID-19'!F44</f>
        <v>1025.2170494024097</v>
      </c>
      <c r="K422">
        <f>'B3 - COVID-19'!G44</f>
        <v>1015.7170494024097</v>
      </c>
      <c r="L422">
        <f>'B3 - COVID-19'!H44</f>
        <v>1472.2601664109341</v>
      </c>
      <c r="M422">
        <f>'B3 - COVID-19'!I44</f>
        <v>1271.7207621373325</v>
      </c>
      <c r="N422">
        <f>'B3 - COVID-19'!J44</f>
        <v>1276.9411909931173</v>
      </c>
      <c r="O422">
        <f>'B3 - COVID-19'!K44</f>
        <v>1801.278153803999</v>
      </c>
      <c r="P422">
        <f>'B3 - COVID-19'!L44</f>
        <v>1309.7207621373325</v>
      </c>
      <c r="Q422">
        <f>'B3 - COVID-19'!M44</f>
        <v>1205.8446648489023</v>
      </c>
      <c r="R422">
        <f>'B3 - COVID-19'!N44</f>
        <v>1724.6858860262212</v>
      </c>
      <c r="S422">
        <f>'B3 - COVID-19'!P44</f>
        <v>15439.999767642668</v>
      </c>
      <c r="U422">
        <f t="shared" si="18"/>
        <v>15439.999767642668</v>
      </c>
    </row>
    <row r="423" spans="1:21">
      <c r="A423" s="2895" t="str">
        <f>ORG!$S$1</f>
        <v>Apr 23</v>
      </c>
      <c r="B423" t="str">
        <f>ORG!$M$1</f>
        <v>Public Health Wales Trust</v>
      </c>
      <c r="C423" t="str">
        <f>'B3 - COVID-19'!$A$3</f>
        <v>Table B3 - COVID-19 Analysis</v>
      </c>
      <c r="D423" s="2898">
        <f>'B3 - COVID-19'!A45</f>
        <v>34</v>
      </c>
      <c r="E423" t="str">
        <f>CONCATENATE('B3 - COVID-19'!$A$5," - ",'B3 - COVID-19'!$A$7)</f>
        <v>Health Promotion (including Testing, Tracing and Surveillance) - Additional costs due to C19 - A1</v>
      </c>
      <c r="F423" t="str">
        <f>'B3 - COVID-19'!B45</f>
        <v>Movement from Plan</v>
      </c>
      <c r="G423">
        <f>'B3 - COVID-19'!C45</f>
        <v>0</v>
      </c>
      <c r="H423">
        <f>'B3 - COVID-19'!D45</f>
        <v>0</v>
      </c>
      <c r="I423">
        <f>'B3 - COVID-19'!E45</f>
        <v>0</v>
      </c>
      <c r="J423">
        <f>'B3 - COVID-19'!F45</f>
        <v>0</v>
      </c>
      <c r="K423">
        <f>'B3 - COVID-19'!G45</f>
        <v>0</v>
      </c>
      <c r="L423">
        <f>'B3 - COVID-19'!H45</f>
        <v>0</v>
      </c>
      <c r="M423">
        <f>'B3 - COVID-19'!I45</f>
        <v>0</v>
      </c>
      <c r="N423">
        <f>'B3 - COVID-19'!J45</f>
        <v>0</v>
      </c>
      <c r="O423">
        <f>'B3 - COVID-19'!K45</f>
        <v>0</v>
      </c>
      <c r="P423">
        <f>'B3 - COVID-19'!L45</f>
        <v>0</v>
      </c>
      <c r="Q423">
        <f>'B3 - COVID-19'!M45</f>
        <v>0</v>
      </c>
      <c r="R423">
        <f>'B3 - COVID-19'!N45</f>
        <v>0</v>
      </c>
      <c r="S423">
        <f>'B3 - COVID-19'!P45</f>
        <v>0</v>
      </c>
      <c r="U423">
        <f t="shared" si="18"/>
        <v>0</v>
      </c>
    </row>
    <row r="424" spans="1:21">
      <c r="A424" s="2895" t="str">
        <f>ORG!$S$1</f>
        <v>Apr 23</v>
      </c>
      <c r="B424" t="str">
        <f>ORG!$M$1</f>
        <v>Public Health Wales Trust</v>
      </c>
      <c r="C424" t="str">
        <f>'B3 - COVID-19'!$A$3</f>
        <v>Table B3 - COVID-19 Analysis</v>
      </c>
      <c r="D424" s="2898">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-2.3000000010142685E-4</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-2.3000000328465831E-4</v>
      </c>
      <c r="U424">
        <f t="shared" si="18"/>
        <v>-2.3000000328465831E-4</v>
      </c>
    </row>
    <row r="425" spans="1:21">
      <c r="A425" s="2895" t="str">
        <f>ORG!$S$1</f>
        <v>Apr 23</v>
      </c>
      <c r="B425" t="str">
        <f>ORG!$M$1</f>
        <v>Public Health Wales Trust</v>
      </c>
      <c r="C425" t="str">
        <f>'B3 - COVID-19'!$A$3</f>
        <v>Table B3 - COVID-19 Analysis</v>
      </c>
      <c r="D425" s="2898">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5" t="str">
        <f>ORG!$S$1</f>
        <v>Apr 23</v>
      </c>
      <c r="B426" t="str">
        <f>ORG!$M$1</f>
        <v>Public Health Wales Trust</v>
      </c>
      <c r="C426" t="str">
        <f>'B3 - COVID-19'!$A$3</f>
        <v>Table B3 - COVID-19 Analysis</v>
      </c>
      <c r="D426" s="2898">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50.565666666666665</v>
      </c>
      <c r="I426">
        <f>'B3 - COVID-19'!E53</f>
        <v>59.37886666666666</v>
      </c>
      <c r="J426">
        <f>'B3 - COVID-19'!F53</f>
        <v>59.37886666666666</v>
      </c>
      <c r="K426">
        <f>'B3 - COVID-19'!G53</f>
        <v>59.37886666666666</v>
      </c>
      <c r="L426">
        <f>'B3 - COVID-19'!H53</f>
        <v>59.37886666666666</v>
      </c>
      <c r="M426">
        <f>'B3 - COVID-19'!I53</f>
        <v>59.37886666666666</v>
      </c>
      <c r="N426">
        <f>'B3 - COVID-19'!J53</f>
        <v>59.37886666666666</v>
      </c>
      <c r="O426">
        <f>'B3 - COVID-19'!K53</f>
        <v>59.37886666666666</v>
      </c>
      <c r="P426">
        <f>'B3 - COVID-19'!L53</f>
        <v>59.37886666666666</v>
      </c>
      <c r="Q426">
        <f>'B3 - COVID-19'!M53</f>
        <v>59.37886666666666</v>
      </c>
      <c r="R426">
        <f>'B3 - COVID-19'!N53</f>
        <v>59.37886666666666</v>
      </c>
      <c r="S426">
        <f>'B3 - COVID-19'!P53</f>
        <v>680.67861333333337</v>
      </c>
      <c r="U426">
        <f t="shared" si="17"/>
        <v>680.67861333333337</v>
      </c>
    </row>
    <row r="427" spans="1:21">
      <c r="A427" s="2895" t="str">
        <f>ORG!$S$1</f>
        <v>Apr 23</v>
      </c>
      <c r="B427" t="str">
        <f>ORG!$M$1</f>
        <v>Public Health Wales Trust</v>
      </c>
      <c r="C427" t="str">
        <f>'B3 - COVID-19'!$A$3</f>
        <v>Table B3 - COVID-19 Analysis</v>
      </c>
      <c r="D427" s="2898">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5" t="str">
        <f>ORG!$S$1</f>
        <v>Apr 23</v>
      </c>
      <c r="B428" t="str">
        <f>ORG!$M$1</f>
        <v>Public Health Wales Trust</v>
      </c>
      <c r="C428" t="str">
        <f>'B3 - COVID-19'!$A$3</f>
        <v>Table B3 - COVID-19 Analysis</v>
      </c>
      <c r="D428" s="2898">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0</v>
      </c>
      <c r="L428">
        <f>'B3 - COVID-19'!H55</f>
        <v>0</v>
      </c>
      <c r="M428">
        <f>'B3 - COVID-19'!I55</f>
        <v>0</v>
      </c>
      <c r="N428">
        <f>'B3 - COVID-19'!J55</f>
        <v>0</v>
      </c>
      <c r="O428">
        <f>'B3 - COVID-19'!K55</f>
        <v>0</v>
      </c>
      <c r="P428">
        <f>'B3 - COVID-19'!L55</f>
        <v>0</v>
      </c>
      <c r="Q428">
        <f>'B3 - COVID-19'!M55</f>
        <v>0</v>
      </c>
      <c r="R428">
        <f>'B3 - COVID-19'!N55</f>
        <v>0</v>
      </c>
      <c r="S428">
        <f>'B3 - COVID-19'!P55</f>
        <v>0</v>
      </c>
      <c r="U428">
        <f t="shared" si="19"/>
        <v>0</v>
      </c>
    </row>
    <row r="429" spans="1:21">
      <c r="A429" s="2895" t="str">
        <f>ORG!$S$1</f>
        <v>Apr 23</v>
      </c>
      <c r="B429" t="str">
        <f>ORG!$M$1</f>
        <v>Public Health Wales Trust</v>
      </c>
      <c r="C429" t="str">
        <f>'B3 - COVID-19'!$A$3</f>
        <v>Table B3 - COVID-19 Analysis</v>
      </c>
      <c r="D429" s="2898">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5" t="str">
        <f>ORG!$S$1</f>
        <v>Apr 23</v>
      </c>
      <c r="B430" t="str">
        <f>ORG!$M$1</f>
        <v>Public Health Wales Trust</v>
      </c>
      <c r="C430" t="str">
        <f>'B3 - COVID-19'!$A$3</f>
        <v>Table B3 - COVID-19 Analysis</v>
      </c>
      <c r="D430" s="2898">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5" t="str">
        <f>ORG!$S$1</f>
        <v>Apr 23</v>
      </c>
      <c r="B431" t="str">
        <f>ORG!$M$1</f>
        <v>Public Health Wales Trust</v>
      </c>
      <c r="C431" t="str">
        <f>'B3 - COVID-19'!$A$3</f>
        <v>Table B3 - COVID-19 Analysis</v>
      </c>
      <c r="D431" s="2898">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5" t="str">
        <f>ORG!$S$1</f>
        <v>Apr 23</v>
      </c>
      <c r="B432" t="str">
        <f>ORG!$M$1</f>
        <v>Public Health Wales Trust</v>
      </c>
      <c r="C432" t="str">
        <f>'B3 - COVID-19'!$A$3</f>
        <v>Table B3 - COVID-19 Analysis</v>
      </c>
      <c r="D432" s="2898">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16.9665</v>
      </c>
      <c r="I432">
        <f>'B3 - COVID-19'!E59</f>
        <v>16.9665</v>
      </c>
      <c r="J432">
        <f>'B3 - COVID-19'!F59</f>
        <v>16.9665</v>
      </c>
      <c r="K432">
        <f>'B3 - COVID-19'!G59</f>
        <v>16.9665</v>
      </c>
      <c r="L432">
        <f>'B3 - COVID-19'!H59</f>
        <v>16.9665</v>
      </c>
      <c r="M432">
        <f>'B3 - COVID-19'!I59</f>
        <v>16.9665</v>
      </c>
      <c r="N432">
        <f>'B3 - COVID-19'!J59</f>
        <v>16.9665</v>
      </c>
      <c r="O432">
        <f>'B3 - COVID-19'!K59</f>
        <v>16.9665</v>
      </c>
      <c r="P432">
        <f>'B3 - COVID-19'!L59</f>
        <v>16.9665</v>
      </c>
      <c r="Q432">
        <f>'B3 - COVID-19'!M59</f>
        <v>16.9665</v>
      </c>
      <c r="R432">
        <f>'B3 - COVID-19'!N59</f>
        <v>16.9665</v>
      </c>
      <c r="S432">
        <f>'B3 - COVID-19'!P59</f>
        <v>203.34381999999997</v>
      </c>
      <c r="U432">
        <f t="shared" si="19"/>
        <v>203.34381999999997</v>
      </c>
    </row>
    <row r="433" spans="1:21">
      <c r="A433" s="2895" t="str">
        <f>ORG!$S$1</f>
        <v>Apr 23</v>
      </c>
      <c r="B433" t="str">
        <f>ORG!$M$1</f>
        <v>Public Health Wales Trust</v>
      </c>
      <c r="C433" t="str">
        <f>'B3 - COVID-19'!$A$3</f>
        <v>Table B3 - COVID-19 Analysis</v>
      </c>
      <c r="D433" s="2898">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5" t="str">
        <f>ORG!$S$1</f>
        <v>Apr 23</v>
      </c>
      <c r="B434" t="str">
        <f>ORG!$M$1</f>
        <v>Public Health Wales Trust</v>
      </c>
      <c r="C434" t="str">
        <f>'B3 - COVID-19'!$A$3</f>
        <v>Table B3 - COVID-19 Analysis</v>
      </c>
      <c r="D434" s="2898">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5" t="str">
        <f>ORG!$S$1</f>
        <v>Apr 23</v>
      </c>
      <c r="B435" t="str">
        <f>ORG!$M$1</f>
        <v>Public Health Wales Trust</v>
      </c>
      <c r="C435" t="str">
        <f>'B3 - COVID-19'!$A$3</f>
        <v>Table B3 - COVID-19 Analysis</v>
      </c>
      <c r="D435" s="2898">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67.532166666666669</v>
      </c>
      <c r="I435">
        <f>'B3 - COVID-19'!E62</f>
        <v>76.345366666666663</v>
      </c>
      <c r="J435">
        <f>'B3 - COVID-19'!F62</f>
        <v>76.345366666666663</v>
      </c>
      <c r="K435">
        <f>'B3 - COVID-19'!G62</f>
        <v>76.345366666666663</v>
      </c>
      <c r="L435">
        <f>'B3 - COVID-19'!H62</f>
        <v>76.345366666666663</v>
      </c>
      <c r="M435">
        <f>'B3 - COVID-19'!I62</f>
        <v>76.345366666666663</v>
      </c>
      <c r="N435">
        <f>'B3 - COVID-19'!J62</f>
        <v>76.345366666666663</v>
      </c>
      <c r="O435">
        <f>'B3 - COVID-19'!K62</f>
        <v>76.345366666666663</v>
      </c>
      <c r="P435">
        <f>'B3 - COVID-19'!L62</f>
        <v>76.345366666666663</v>
      </c>
      <c r="Q435">
        <f>'B3 - COVID-19'!M62</f>
        <v>76.345366666666663</v>
      </c>
      <c r="R435">
        <f>'B3 - COVID-19'!N62</f>
        <v>76.345366666666663</v>
      </c>
      <c r="S435">
        <f>'B3 - COVID-19'!P62</f>
        <v>884.02243333333331</v>
      </c>
      <c r="U435">
        <f t="shared" si="19"/>
        <v>884.02243333333331</v>
      </c>
    </row>
    <row r="436" spans="1:21">
      <c r="A436" s="2895" t="str">
        <f>ORG!$S$1</f>
        <v>Apr 23</v>
      </c>
      <c r="B436" t="str">
        <f>ORG!$M$1</f>
        <v>Public Health Wales Trust</v>
      </c>
      <c r="C436" t="str">
        <f>'B3 - COVID-19'!$A$3</f>
        <v>Table B3 - COVID-19 Analysis</v>
      </c>
      <c r="D436" s="2898">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5" t="str">
        <f>ORG!$S$1</f>
        <v>Apr 23</v>
      </c>
      <c r="B437" t="str">
        <f>ORG!$M$1</f>
        <v>Public Health Wales Trust</v>
      </c>
      <c r="C437" t="str">
        <f>'B3 - COVID-19'!$A$3</f>
        <v>Table B3 - COVID-19 Analysis</v>
      </c>
      <c r="D437" s="2898">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5" t="str">
        <f>ORG!$S$1</f>
        <v>Apr 23</v>
      </c>
      <c r="B438" t="str">
        <f>ORG!$M$1</f>
        <v>Public Health Wales Trust</v>
      </c>
      <c r="C438" t="str">
        <f>'B3 - COVID-19'!$A$3</f>
        <v>Table B3 - COVID-19 Analysis</v>
      </c>
      <c r="D438" s="2898">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5" t="str">
        <f>ORG!$S$1</f>
        <v>Apr 23</v>
      </c>
      <c r="B439" t="str">
        <f>ORG!$M$1</f>
        <v>Public Health Wales Trust</v>
      </c>
      <c r="C439" t="str">
        <f>'B3 - COVID-19'!$A$3</f>
        <v>Table B3 - COVID-19 Analysis</v>
      </c>
      <c r="D439" s="2898">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18.18181818181818</v>
      </c>
      <c r="I439">
        <f>'B3 - COVID-19'!E66</f>
        <v>43.18181818181818</v>
      </c>
      <c r="J439">
        <f>'B3 - COVID-19'!F66</f>
        <v>43.18181818181818</v>
      </c>
      <c r="K439">
        <f>'B3 - COVID-19'!G66</f>
        <v>43.18181818181818</v>
      </c>
      <c r="L439">
        <f>'B3 - COVID-19'!H66</f>
        <v>103.18181818181817</v>
      </c>
      <c r="M439">
        <f>'B3 - COVID-19'!I66</f>
        <v>90.681818181818173</v>
      </c>
      <c r="N439">
        <f>'B3 - COVID-19'!J66</f>
        <v>30.68181818181818</v>
      </c>
      <c r="O439">
        <f>'B3 - COVID-19'!K66</f>
        <v>30.68181818181818</v>
      </c>
      <c r="P439">
        <f>'B3 - COVID-19'!L66</f>
        <v>30.68181818181818</v>
      </c>
      <c r="Q439">
        <f>'B3 - COVID-19'!M66</f>
        <v>82.532923181818191</v>
      </c>
      <c r="R439">
        <f>'B3 - COVID-19'!N66</f>
        <v>82.532923181818191</v>
      </c>
      <c r="S439">
        <f>'B3 - COVID-19'!P66</f>
        <v>605.97757000000001</v>
      </c>
      <c r="U439">
        <f t="shared" si="19"/>
        <v>605.97757000000001</v>
      </c>
    </row>
    <row r="440" spans="1:21">
      <c r="A440" s="2895" t="str">
        <f>ORG!$S$1</f>
        <v>Apr 23</v>
      </c>
      <c r="B440" t="str">
        <f>ORG!$M$1</f>
        <v>Public Health Wales Trust</v>
      </c>
      <c r="C440" t="str">
        <f>'B3 - COVID-19'!$A$3</f>
        <v>Table B3 - COVID-19 Analysis</v>
      </c>
      <c r="D440" s="2898">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5" t="str">
        <f>ORG!$S$1</f>
        <v>Apr 23</v>
      </c>
      <c r="B441" t="str">
        <f>ORG!$M$1</f>
        <v>Public Health Wales Trust</v>
      </c>
      <c r="C441" t="str">
        <f>'B3 - COVID-19'!$A$3</f>
        <v>Table B3 - COVID-19 Analysis</v>
      </c>
      <c r="D441" s="2898">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5" t="str">
        <f>ORG!$S$1</f>
        <v>Apr 23</v>
      </c>
      <c r="B442" t="str">
        <f>ORG!$M$1</f>
        <v>Public Health Wales Trust</v>
      </c>
      <c r="C442" t="str">
        <f>'B3 - COVID-19'!$A$3</f>
        <v>Table B3 - COVID-19 Analysis</v>
      </c>
      <c r="D442" s="2898">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5" t="str">
        <f>ORG!$S$1</f>
        <v>Apr 23</v>
      </c>
      <c r="B443" t="str">
        <f>ORG!$M$1</f>
        <v>Public Health Wales Trust</v>
      </c>
      <c r="C443" t="str">
        <f>'B3 - COVID-19'!$A$3</f>
        <v>Table B3 - COVID-19 Analysis</v>
      </c>
      <c r="D443" s="2898">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5" t="str">
        <f>ORG!$S$1</f>
        <v>Apr 23</v>
      </c>
      <c r="B444" t="str">
        <f>ORG!$M$1</f>
        <v>Public Health Wales Trust</v>
      </c>
      <c r="C444" t="str">
        <f>'B3 - COVID-19'!$A$3</f>
        <v>Table B3 - COVID-19 Analysis</v>
      </c>
      <c r="D444" s="2898">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5" t="str">
        <f>ORG!$S$1</f>
        <v>Apr 23</v>
      </c>
      <c r="B445" t="str">
        <f>ORG!$M$1</f>
        <v>Public Health Wales Trust</v>
      </c>
      <c r="C445" t="str">
        <f>'B3 - COVID-19'!$A$3</f>
        <v>Table B3 - COVID-19 Analysis</v>
      </c>
      <c r="D445" s="2898">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5" t="str">
        <f>ORG!$S$1</f>
        <v>Apr 23</v>
      </c>
      <c r="B446" t="str">
        <f>ORG!$M$1</f>
        <v>Public Health Wales Trust</v>
      </c>
      <c r="C446" t="str">
        <f>'B3 - COVID-19'!$A$3</f>
        <v>Table B3 - COVID-19 Analysis</v>
      </c>
      <c r="D446" s="2898">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5" t="str">
        <f>ORG!$S$1</f>
        <v>Apr 23</v>
      </c>
      <c r="B447" t="str">
        <f>ORG!$M$1</f>
        <v>Public Health Wales Trust</v>
      </c>
      <c r="C447" t="str">
        <f>'B3 - COVID-19'!$A$3</f>
        <v>Table B3 - COVID-19 Analysis</v>
      </c>
      <c r="D447" s="2898">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5" t="str">
        <f>ORG!$S$1</f>
        <v>Apr 23</v>
      </c>
      <c r="B448" t="str">
        <f>ORG!$M$1</f>
        <v>Public Health Wales Trust</v>
      </c>
      <c r="C448" t="str">
        <f>'B3 - COVID-19'!$A$3</f>
        <v>Table B3 - COVID-19 Analysis</v>
      </c>
      <c r="D448" s="2898">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5" t="str">
        <f>ORG!$S$1</f>
        <v>Apr 23</v>
      </c>
      <c r="B449" t="str">
        <f>ORG!$M$1</f>
        <v>Public Health Wales Trust</v>
      </c>
      <c r="C449" t="str">
        <f>'B3 - COVID-19'!$A$3</f>
        <v>Table B3 - COVID-19 Analysis</v>
      </c>
      <c r="D449" s="2898">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18.18181818181818</v>
      </c>
      <c r="I449">
        <f>'B3 - COVID-19'!E76</f>
        <v>43.18181818181818</v>
      </c>
      <c r="J449">
        <f>'B3 - COVID-19'!F76</f>
        <v>43.18181818181818</v>
      </c>
      <c r="K449">
        <f>'B3 - COVID-19'!G76</f>
        <v>43.18181818181818</v>
      </c>
      <c r="L449">
        <f>'B3 - COVID-19'!H76</f>
        <v>103.18181818181817</v>
      </c>
      <c r="M449">
        <f>'B3 - COVID-19'!I76</f>
        <v>90.681818181818173</v>
      </c>
      <c r="N449">
        <f>'B3 - COVID-19'!J76</f>
        <v>30.68181818181818</v>
      </c>
      <c r="O449">
        <f>'B3 - COVID-19'!K76</f>
        <v>30.68181818181818</v>
      </c>
      <c r="P449">
        <f>'B3 - COVID-19'!L76</f>
        <v>30.68181818181818</v>
      </c>
      <c r="Q449">
        <f>'B3 - COVID-19'!M76</f>
        <v>82.532923181818191</v>
      </c>
      <c r="R449">
        <f>'B3 - COVID-19'!N76</f>
        <v>82.532923181818191</v>
      </c>
      <c r="S449">
        <f>'B3 - COVID-19'!P76</f>
        <v>605.97757000000001</v>
      </c>
      <c r="U449">
        <f t="shared" si="19"/>
        <v>605.97757000000001</v>
      </c>
    </row>
    <row r="450" spans="1:21">
      <c r="A450" s="2895" t="str">
        <f>ORG!$S$1</f>
        <v>Apr 23</v>
      </c>
      <c r="B450" t="str">
        <f>ORG!$M$1</f>
        <v>Public Health Wales Trust</v>
      </c>
      <c r="C450" t="str">
        <f>'B3 - COVID-19'!$A$3</f>
        <v>Table B3 - COVID-19 Analysis</v>
      </c>
      <c r="D450" s="2898">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85.713984848484841</v>
      </c>
      <c r="I450">
        <f>'B3 - COVID-19'!E77</f>
        <v>119.52718484848484</v>
      </c>
      <c r="J450">
        <f>'B3 - COVID-19'!F77</f>
        <v>119.52718484848484</v>
      </c>
      <c r="K450">
        <f>'B3 - COVID-19'!G77</f>
        <v>119.52718484848484</v>
      </c>
      <c r="L450">
        <f>'B3 - COVID-19'!H77</f>
        <v>179.52718484848484</v>
      </c>
      <c r="M450">
        <f>'B3 - COVID-19'!I77</f>
        <v>167.02718484848484</v>
      </c>
      <c r="N450">
        <f>'B3 - COVID-19'!J77</f>
        <v>107.02718484848484</v>
      </c>
      <c r="O450">
        <f>'B3 - COVID-19'!K77</f>
        <v>107.02718484848484</v>
      </c>
      <c r="P450">
        <f>'B3 - COVID-19'!L77</f>
        <v>107.02718484848484</v>
      </c>
      <c r="Q450">
        <f>'B3 - COVID-19'!M77</f>
        <v>158.87828984848485</v>
      </c>
      <c r="R450">
        <f>'B3 - COVID-19'!N77</f>
        <v>158.87828984848485</v>
      </c>
      <c r="S450">
        <f>'B3 - COVID-19'!P77</f>
        <v>1490.0000033333333</v>
      </c>
      <c r="U450">
        <f t="shared" si="19"/>
        <v>1490.0000033333333</v>
      </c>
    </row>
    <row r="451" spans="1:21">
      <c r="A451" s="2895" t="str">
        <f>ORG!$S$1</f>
        <v>Apr 23</v>
      </c>
      <c r="B451" t="str">
        <f>ORG!$M$1</f>
        <v>Public Health Wales Trust</v>
      </c>
      <c r="C451" t="str">
        <f>'B3 - COVID-19'!$A$3</f>
        <v>Table B3 - COVID-19 Analysis</v>
      </c>
      <c r="D451" s="2898">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5" t="str">
        <f>ORG!$S$1</f>
        <v>Apr 23</v>
      </c>
      <c r="B452" t="str">
        <f>ORG!$M$1</f>
        <v>Public Health Wales Trust</v>
      </c>
      <c r="C452" t="str">
        <f>'B3 - COVID-19'!$A$3</f>
        <v>Table B3 - COVID-19 Analysis</v>
      </c>
      <c r="D452" s="2898">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0</v>
      </c>
      <c r="I452">
        <f>'B3 - COVID-19'!E80</f>
        <v>0</v>
      </c>
      <c r="J452">
        <f>'B3 - COVID-19'!F80</f>
        <v>0</v>
      </c>
      <c r="K452">
        <f>'B3 - COVID-19'!G80</f>
        <v>0</v>
      </c>
      <c r="L452">
        <f>'B3 - COVID-19'!H80</f>
        <v>0</v>
      </c>
      <c r="M452">
        <f>'B3 - COVID-19'!I80</f>
        <v>0</v>
      </c>
      <c r="N452">
        <f>'B3 - COVID-19'!J80</f>
        <v>0</v>
      </c>
      <c r="O452">
        <f>'B3 - COVID-19'!K80</f>
        <v>0</v>
      </c>
      <c r="P452">
        <f>'B3 - COVID-19'!L80</f>
        <v>0</v>
      </c>
      <c r="Q452">
        <f>'B3 - COVID-19'!M80</f>
        <v>0</v>
      </c>
      <c r="R452">
        <f>'B3 - COVID-19'!N80</f>
        <v>0</v>
      </c>
      <c r="S452">
        <f>'B3 - COVID-19'!P80</f>
        <v>0</v>
      </c>
      <c r="U452">
        <f t="shared" si="19"/>
        <v>0</v>
      </c>
    </row>
    <row r="453" spans="1:21">
      <c r="A453" s="2895" t="str">
        <f>ORG!$S$1</f>
        <v>Apr 23</v>
      </c>
      <c r="B453" t="str">
        <f>ORG!$M$1</f>
        <v>Public Health Wales Trust</v>
      </c>
      <c r="C453" t="str">
        <f>'B3 - COVID-19'!$A$3</f>
        <v>Table B3 - COVID-19 Analysis</v>
      </c>
      <c r="D453" s="2898">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5" t="str">
        <f>ORG!$S$1</f>
        <v>Apr 23</v>
      </c>
      <c r="B454" t="str">
        <f>ORG!$M$1</f>
        <v>Public Health Wales Trust</v>
      </c>
      <c r="C454" t="str">
        <f>'B3 - COVID-19'!$A$3</f>
        <v>Table B3 - COVID-19 Analysis</v>
      </c>
      <c r="D454" s="2898">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60.311999999999998</v>
      </c>
      <c r="H454">
        <f>'B3 - COVID-19'!D85</f>
        <v>85.713984848484841</v>
      </c>
      <c r="I454">
        <f>'B3 - COVID-19'!E85</f>
        <v>119.52718484848484</v>
      </c>
      <c r="J454">
        <f>'B3 - COVID-19'!F85</f>
        <v>119.52718484848484</v>
      </c>
      <c r="K454">
        <f>'B3 - COVID-19'!G85</f>
        <v>119.52718484848484</v>
      </c>
      <c r="L454">
        <f>'B3 - COVID-19'!H85</f>
        <v>179.52718484848484</v>
      </c>
      <c r="M454">
        <f>'B3 - COVID-19'!I85</f>
        <v>167.02718484848484</v>
      </c>
      <c r="N454">
        <f>'B3 - COVID-19'!J85</f>
        <v>107.02718484848484</v>
      </c>
      <c r="O454">
        <f>'B3 - COVID-19'!K85</f>
        <v>107.02718484848484</v>
      </c>
      <c r="P454">
        <f>'B3 - COVID-19'!L85</f>
        <v>107.02718484848484</v>
      </c>
      <c r="Q454">
        <f>'B3 - COVID-19'!M85</f>
        <v>158.87828984848485</v>
      </c>
      <c r="R454">
        <f>'B3 - COVID-19'!N85</f>
        <v>158.87828984848485</v>
      </c>
      <c r="S454">
        <f>'B3 - COVID-19'!P85</f>
        <v>1490.0000433333332</v>
      </c>
      <c r="U454">
        <f t="shared" si="20"/>
        <v>1490.0000433333332</v>
      </c>
    </row>
    <row r="455" spans="1:21">
      <c r="A455" s="2895" t="str">
        <f>ORG!$S$1</f>
        <v>Apr 23</v>
      </c>
      <c r="B455" t="str">
        <f>ORG!$M$1</f>
        <v>Public Health Wales Trust</v>
      </c>
      <c r="C455" t="str">
        <f>'B3 - COVID-19'!$A$3</f>
        <v>Table B3 - COVID-19 Analysis</v>
      </c>
      <c r="D455" s="2898">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5" t="str">
        <f>ORG!$S$1</f>
        <v>Apr 23</v>
      </c>
      <c r="B456" t="str">
        <f>ORG!$M$1</f>
        <v>Public Health Wales Trust</v>
      </c>
      <c r="C456" t="str">
        <f>'B3 - COVID-19'!$A$3</f>
        <v>Table B3 - COVID-19 Analysis</v>
      </c>
      <c r="D456" s="2898">
        <f>'B3 - COVID-19'!A87</f>
        <v>61</v>
      </c>
      <c r="E456" t="str">
        <f>CONCATENATE('B3 - COVID-19'!$A$5," - ",'B3 - COVID-19'!$A$51)</f>
        <v>Health Promotion (including Testing, Tracing and Surveillance) - Additional costs due to C19 - A2</v>
      </c>
      <c r="F456" t="str">
        <f>'B3 - COVID-19'!B87</f>
        <v>Total Actual/Forecast Funding</v>
      </c>
      <c r="G456">
        <f>'B3 - COVID-19'!C87</f>
        <v>60.311999999999998</v>
      </c>
      <c r="H456">
        <f>'B3 - COVID-19'!D87</f>
        <v>85.713984848484841</v>
      </c>
      <c r="I456">
        <f>'B3 - COVID-19'!E87</f>
        <v>119.52718484848484</v>
      </c>
      <c r="J456">
        <f>'B3 - COVID-19'!F87</f>
        <v>119.52718484848484</v>
      </c>
      <c r="K456">
        <f>'B3 - COVID-19'!G87</f>
        <v>119.52718484848484</v>
      </c>
      <c r="L456">
        <f>'B3 - COVID-19'!H87</f>
        <v>179.52718484848484</v>
      </c>
      <c r="M456">
        <f>'B3 - COVID-19'!I87</f>
        <v>167.02718484848484</v>
      </c>
      <c r="N456">
        <f>'B3 - COVID-19'!J87</f>
        <v>107.02718484848484</v>
      </c>
      <c r="O456">
        <f>'B3 - COVID-19'!K87</f>
        <v>107.02718484848484</v>
      </c>
      <c r="P456">
        <f>'B3 - COVID-19'!L87</f>
        <v>107.02718484848484</v>
      </c>
      <c r="Q456">
        <f>'B3 - COVID-19'!M87</f>
        <v>158.87828984848485</v>
      </c>
      <c r="R456">
        <f>'B3 - COVID-19'!N87</f>
        <v>158.87828984848485</v>
      </c>
      <c r="S456">
        <f>'B3 - COVID-19'!P87</f>
        <v>1490.0000433333332</v>
      </c>
      <c r="U456">
        <f t="shared" si="20"/>
        <v>1490.0000433333332</v>
      </c>
    </row>
    <row r="457" spans="1:21">
      <c r="A457" s="2895" t="str">
        <f>ORG!$S$1</f>
        <v>Apr 23</v>
      </c>
      <c r="B457" t="str">
        <f>ORG!$M$1</f>
        <v>Public Health Wales Trust</v>
      </c>
      <c r="C457" t="str">
        <f>'B3 - COVID-19'!$A$3</f>
        <v>Table B3 - COVID-19 Analysis</v>
      </c>
      <c r="D457" s="2898">
        <f>'B3 - COVID-19'!A88</f>
        <v>62</v>
      </c>
      <c r="E457" t="str">
        <f>CONCATENATE('B3 - COVID-19'!$A$5," - ",'B3 - COVID-19'!$A$51)</f>
        <v>Health Promotion (including Testing, Tracing and Surveillance) - Additional costs due to C19 - A2</v>
      </c>
      <c r="F457" t="str">
        <f>'B3 - COVID-19'!B88</f>
        <v>Movement from Plan</v>
      </c>
      <c r="G457">
        <f>'B3 - COVID-19'!C88</f>
        <v>0</v>
      </c>
      <c r="H457">
        <f>'B3 - COVID-19'!D88</f>
        <v>0</v>
      </c>
      <c r="I457">
        <f>'B3 - COVID-19'!E88</f>
        <v>0</v>
      </c>
      <c r="J457">
        <f>'B3 - COVID-19'!F88</f>
        <v>0</v>
      </c>
      <c r="K457">
        <f>'B3 - COVID-19'!G88</f>
        <v>0</v>
      </c>
      <c r="L457">
        <f>'B3 - COVID-19'!H88</f>
        <v>0</v>
      </c>
      <c r="M457">
        <f>'B3 - COVID-19'!I88</f>
        <v>0</v>
      </c>
      <c r="N457">
        <f>'B3 - COVID-19'!J88</f>
        <v>0</v>
      </c>
      <c r="O457">
        <f>'B3 - COVID-19'!K88</f>
        <v>0</v>
      </c>
      <c r="P457">
        <f>'B3 - COVID-19'!L88</f>
        <v>0</v>
      </c>
      <c r="Q457">
        <f>'B3 - COVID-19'!M88</f>
        <v>0</v>
      </c>
      <c r="R457">
        <f>'B3 - COVID-19'!N88</f>
        <v>0</v>
      </c>
      <c r="S457">
        <f>'B3 - COVID-19'!P88</f>
        <v>0</v>
      </c>
      <c r="U457">
        <f t="shared" si="20"/>
        <v>0</v>
      </c>
    </row>
    <row r="458" spans="1:21">
      <c r="A458" s="2895" t="str">
        <f>ORG!$S$1</f>
        <v>Apr 23</v>
      </c>
      <c r="B458" t="str">
        <f>ORG!$M$1</f>
        <v>Public Health Wales Trust</v>
      </c>
      <c r="C458" t="str">
        <f>'B3 - COVID-19'!$A$3</f>
        <v>Table B3 - COVID-19 Analysis</v>
      </c>
      <c r="D458" s="2898">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3.9999999998485691E-5</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3.9999999899009708E-5</v>
      </c>
      <c r="U458">
        <f t="shared" ref="U458" si="21">S458+T458</f>
        <v>3.9999999899009708E-5</v>
      </c>
    </row>
    <row r="459" spans="1:21">
      <c r="A459" s="2895" t="str">
        <f>ORG!$S$1</f>
        <v>Apr 23</v>
      </c>
      <c r="B459" t="str">
        <f>ORG!$M$1</f>
        <v>Public Health Wales Trust</v>
      </c>
      <c r="C459" t="str">
        <f>'B3 - COVID-19'!$A$3</f>
        <v>Table B3 - COVID-19 Analysis</v>
      </c>
      <c r="D459" s="2898">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5" t="str">
        <f>ORG!$S$1</f>
        <v>Apr 23</v>
      </c>
      <c r="B460" t="str">
        <f>ORG!$M$1</f>
        <v>Public Health Wales Trust</v>
      </c>
      <c r="C460" t="str">
        <f>'B3 - COVID-19'!$A$3</f>
        <v>Table B3 - COVID-19 Analysis</v>
      </c>
      <c r="D460" s="2898">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5" t="str">
        <f>ORG!$S$1</f>
        <v>Apr 23</v>
      </c>
      <c r="B461" t="str">
        <f>ORG!$M$1</f>
        <v>Public Health Wales Trust</v>
      </c>
      <c r="C461" t="str">
        <f>'B3 - COVID-19'!$A$3</f>
        <v>Table B3 - COVID-19 Analysis</v>
      </c>
      <c r="D461" s="2898">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5" t="str">
        <f>ORG!$S$1</f>
        <v>Apr 23</v>
      </c>
      <c r="B462" t="str">
        <f>ORG!$M$1</f>
        <v>Public Health Wales Trust</v>
      </c>
      <c r="C462" t="str">
        <f>'B3 - COVID-19'!$A$3</f>
        <v>Table B3 - COVID-19 Analysis</v>
      </c>
      <c r="D462" s="2898">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5" t="str">
        <f>ORG!$S$1</f>
        <v>Apr 23</v>
      </c>
      <c r="B463" t="str">
        <f>ORG!$M$1</f>
        <v>Public Health Wales Trust</v>
      </c>
      <c r="C463" t="str">
        <f>'B3 - COVID-19'!$A$3</f>
        <v>Table B3 - COVID-19 Analysis</v>
      </c>
      <c r="D463" s="2898">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5" t="str">
        <f>ORG!$S$1</f>
        <v>Apr 23</v>
      </c>
      <c r="B464" t="str">
        <f>ORG!$M$1</f>
        <v>Public Health Wales Trust</v>
      </c>
      <c r="C464" t="str">
        <f>'B3 - COVID-19'!$A$3</f>
        <v>Table B3 - COVID-19 Analysis</v>
      </c>
      <c r="D464" s="2898">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5" t="str">
        <f>ORG!$S$1</f>
        <v>Apr 23</v>
      </c>
      <c r="B465" t="str">
        <f>ORG!$M$1</f>
        <v>Public Health Wales Trust</v>
      </c>
      <c r="C465" t="str">
        <f>'B3 - COVID-19'!$A$3</f>
        <v>Table B3 - COVID-19 Analysis</v>
      </c>
      <c r="D465" s="2898">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5" t="str">
        <f>ORG!$S$1</f>
        <v>Apr 23</v>
      </c>
      <c r="B466" t="str">
        <f>ORG!$M$1</f>
        <v>Public Health Wales Trust</v>
      </c>
      <c r="C466" t="str">
        <f>'B3 - COVID-19'!$A$3</f>
        <v>Table B3 - COVID-19 Analysis</v>
      </c>
      <c r="D466" s="2898">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5" t="str">
        <f>ORG!$S$1</f>
        <v>Apr 23</v>
      </c>
      <c r="B467" t="str">
        <f>ORG!$M$1</f>
        <v>Public Health Wales Trust</v>
      </c>
      <c r="C467" t="str">
        <f>'B3 - COVID-19'!$A$3</f>
        <v>Table B3 - COVID-19 Analysis</v>
      </c>
      <c r="D467" s="2898">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5" t="str">
        <f>ORG!$S$1</f>
        <v>Apr 23</v>
      </c>
      <c r="B468" t="str">
        <f>ORG!$M$1</f>
        <v>Public Health Wales Trust</v>
      </c>
      <c r="C468" t="str">
        <f>'B3 - COVID-19'!$A$3</f>
        <v>Table B3 - COVID-19 Analysis</v>
      </c>
      <c r="D468" s="2898">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5" t="str">
        <f>ORG!$S$1</f>
        <v>Apr 23</v>
      </c>
      <c r="B469" t="str">
        <f>ORG!$M$1</f>
        <v>Public Health Wales Trust</v>
      </c>
      <c r="C469" t="str">
        <f>'B3 - COVID-19'!$A$3</f>
        <v>Table B3 - COVID-19 Analysis</v>
      </c>
      <c r="D469" s="2898">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5" t="str">
        <f>ORG!$S$1</f>
        <v>Apr 23</v>
      </c>
      <c r="B470" t="str">
        <f>ORG!$M$1</f>
        <v>Public Health Wales Trust</v>
      </c>
      <c r="C470" t="str">
        <f>'B3 - COVID-19'!$A$3</f>
        <v>Table B3 - COVID-19 Analysis</v>
      </c>
      <c r="D470" s="2898">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5" t="str">
        <f>ORG!$S$1</f>
        <v>Apr 23</v>
      </c>
      <c r="B471" t="str">
        <f>ORG!$M$1</f>
        <v>Public Health Wales Trust</v>
      </c>
      <c r="C471" t="str">
        <f>'B3 - COVID-19'!$A$3</f>
        <v>Table B3 - COVID-19 Analysis</v>
      </c>
      <c r="D471" s="2898">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5" t="str">
        <f>ORG!$S$1</f>
        <v>Apr 23</v>
      </c>
      <c r="B472" t="str">
        <f>ORG!$M$1</f>
        <v>Public Health Wales Trust</v>
      </c>
      <c r="C472" t="str">
        <f>'B3 - COVID-19'!$A$3</f>
        <v>Table B3 - COVID-19 Analysis</v>
      </c>
      <c r="D472" s="2898">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5" t="str">
        <f>ORG!$S$1</f>
        <v>Apr 23</v>
      </c>
      <c r="B473" t="str">
        <f>ORG!$M$1</f>
        <v>Public Health Wales Trust</v>
      </c>
      <c r="C473" t="str">
        <f>'B3 - COVID-19'!$A$3</f>
        <v>Table B3 - COVID-19 Analysis</v>
      </c>
      <c r="D473" s="2898">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5" t="str">
        <f>ORG!$S$1</f>
        <v>Apr 23</v>
      </c>
      <c r="B474" t="str">
        <f>ORG!$M$1</f>
        <v>Public Health Wales Trust</v>
      </c>
      <c r="C474" t="str">
        <f>'B3 - COVID-19'!$A$3</f>
        <v>Table B3 - COVID-19 Analysis</v>
      </c>
      <c r="D474" s="2898">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5" t="str">
        <f>ORG!$S$1</f>
        <v>Apr 23</v>
      </c>
      <c r="B475" t="str">
        <f>ORG!$M$1</f>
        <v>Public Health Wales Trust</v>
      </c>
      <c r="C475" t="str">
        <f>'B3 - COVID-19'!$A$3</f>
        <v>Table B3 - COVID-19 Analysis</v>
      </c>
      <c r="D475" s="2898">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5" t="str">
        <f>ORG!$S$1</f>
        <v>Apr 23</v>
      </c>
      <c r="B476" t="str">
        <f>ORG!$M$1</f>
        <v>Public Health Wales Trust</v>
      </c>
      <c r="C476" t="str">
        <f>'B3 - COVID-19'!$A$3</f>
        <v>Table B3 - COVID-19 Analysis</v>
      </c>
      <c r="D476" s="2898">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5" t="str">
        <f>ORG!$S$1</f>
        <v>Apr 23</v>
      </c>
      <c r="B477" t="str">
        <f>ORG!$M$1</f>
        <v>Public Health Wales Trust</v>
      </c>
      <c r="C477" t="str">
        <f>'B3 - COVID-19'!$A$3</f>
        <v>Table B3 - COVID-19 Analysis</v>
      </c>
      <c r="D477" s="2898">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5" t="str">
        <f>ORG!$S$1</f>
        <v>Apr 23</v>
      </c>
      <c r="B478" t="str">
        <f>ORG!$M$1</f>
        <v>Public Health Wales Trust</v>
      </c>
      <c r="C478" t="str">
        <f>'B3 - COVID-19'!$A$3</f>
        <v>Table B3 - COVID-19 Analysis</v>
      </c>
      <c r="D478" s="2898">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5" t="str">
        <f>ORG!$S$1</f>
        <v>Apr 23</v>
      </c>
      <c r="B479" t="str">
        <f>ORG!$M$1</f>
        <v>Public Health Wales Trust</v>
      </c>
      <c r="C479" t="str">
        <f>'B3 - COVID-19'!$A$3</f>
        <v>Table B3 - COVID-19 Analysis</v>
      </c>
      <c r="D479" s="2898">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5" t="str">
        <f>ORG!$S$1</f>
        <v>Apr 23</v>
      </c>
      <c r="B480" t="str">
        <f>ORG!$M$1</f>
        <v>Public Health Wales Trust</v>
      </c>
      <c r="C480" t="str">
        <f>'B3 - COVID-19'!$A$3</f>
        <v>Table B3 - COVID-19 Analysis</v>
      </c>
      <c r="D480" s="2898">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5" t="str">
        <f>ORG!$S$1</f>
        <v>Apr 23</v>
      </c>
      <c r="B481" t="str">
        <f>ORG!$M$1</f>
        <v>Public Health Wales Trust</v>
      </c>
      <c r="C481" t="str">
        <f>'B3 - COVID-19'!$A$3</f>
        <v>Table B3 - COVID-19 Analysis</v>
      </c>
      <c r="D481" s="2898">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5" t="str">
        <f>ORG!$S$1</f>
        <v>Apr 23</v>
      </c>
      <c r="B482" t="str">
        <f>ORG!$M$1</f>
        <v>Public Health Wales Trust</v>
      </c>
      <c r="C482" t="str">
        <f>'B3 - COVID-19'!$A$3</f>
        <v>Table B3 - COVID-19 Analysis</v>
      </c>
      <c r="D482" s="2898">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5" t="str">
        <f>ORG!$S$1</f>
        <v>Apr 23</v>
      </c>
      <c r="B483" t="str">
        <f>ORG!$M$1</f>
        <v>Public Health Wales Trust</v>
      </c>
      <c r="C483" t="str">
        <f>'B3 - COVID-19'!$A$3</f>
        <v>Table B3 - COVID-19 Analysis</v>
      </c>
      <c r="D483" s="2898">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5" t="str">
        <f>ORG!$S$1</f>
        <v>Apr 23</v>
      </c>
      <c r="B484" t="str">
        <f>ORG!$M$1</f>
        <v>Public Health Wales Trust</v>
      </c>
      <c r="C484" t="str">
        <f>'B3 - COVID-19'!$A$3</f>
        <v>Table B3 - COVID-19 Analysis</v>
      </c>
      <c r="D484" s="2898">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5" t="str">
        <f>ORG!$S$1</f>
        <v>Apr 23</v>
      </c>
      <c r="B485" t="str">
        <f>ORG!$M$1</f>
        <v>Public Health Wales Trust</v>
      </c>
      <c r="C485" t="str">
        <f>'B3 - COVID-19'!$A$3</f>
        <v>Table B3 - COVID-19 Analysis</v>
      </c>
      <c r="D485" s="2898">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5" t="str">
        <f>ORG!$S$1</f>
        <v>Apr 23</v>
      </c>
      <c r="B486" t="str">
        <f>ORG!$M$1</f>
        <v>Public Health Wales Trust</v>
      </c>
      <c r="C486" t="str">
        <f>'B3 - COVID-19'!$A$3</f>
        <v>Table B3 - COVID-19 Analysis</v>
      </c>
      <c r="D486" s="2898">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5" t="str">
        <f>ORG!$S$1</f>
        <v>Apr 23</v>
      </c>
      <c r="B487" t="str">
        <f>ORG!$M$1</f>
        <v>Public Health Wales Trust</v>
      </c>
      <c r="C487" t="str">
        <f>'B3 - COVID-19'!$A$3</f>
        <v>Table B3 - COVID-19 Analysis</v>
      </c>
      <c r="D487" s="2898">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5" t="str">
        <f>ORG!$S$1</f>
        <v>Apr 23</v>
      </c>
      <c r="B488" t="str">
        <f>ORG!$M$1</f>
        <v>Public Health Wales Trust</v>
      </c>
      <c r="C488" t="str">
        <f>'B3 - COVID-19'!$A$3</f>
        <v>Table B3 - COVID-19 Analysis</v>
      </c>
      <c r="D488" s="2898">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5" t="str">
        <f>ORG!$S$1</f>
        <v>Apr 23</v>
      </c>
      <c r="B489" t="str">
        <f>ORG!$M$1</f>
        <v>Public Health Wales Trust</v>
      </c>
      <c r="C489" t="str">
        <f>'B3 - COVID-19'!$A$3</f>
        <v>Table B3 - COVID-19 Analysis</v>
      </c>
      <c r="D489" s="2898">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5" t="str">
        <f>ORG!$S$1</f>
        <v>Apr 23</v>
      </c>
      <c r="B490" t="str">
        <f>ORG!$M$1</f>
        <v>Public Health Wales Trust</v>
      </c>
      <c r="C490" t="str">
        <f>'B3 - COVID-19'!$A$3</f>
        <v>Table B3 - COVID-19 Analysis</v>
      </c>
      <c r="D490" s="2898">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5" t="str">
        <f>ORG!$S$1</f>
        <v>Apr 23</v>
      </c>
      <c r="B491" t="str">
        <f>ORG!$M$1</f>
        <v>Public Health Wales Trust</v>
      </c>
      <c r="C491" t="str">
        <f>'B3 - COVID-19'!$A$3</f>
        <v>Table B3 - COVID-19 Analysis</v>
      </c>
      <c r="D491" s="2898">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5" t="str">
        <f>ORG!$S$1</f>
        <v>Apr 23</v>
      </c>
      <c r="B492" t="str">
        <f>ORG!$M$1</f>
        <v>Public Health Wales Trust</v>
      </c>
      <c r="C492" t="str">
        <f>'B3 - COVID-19'!$A$3</f>
        <v>Table B3 - COVID-19 Analysis</v>
      </c>
      <c r="D492" s="2898">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5" t="str">
        <f>ORG!$S$1</f>
        <v>Apr 23</v>
      </c>
      <c r="B493" t="str">
        <f>ORG!$M$1</f>
        <v>Public Health Wales Trust</v>
      </c>
      <c r="C493" t="str">
        <f>'B3 - COVID-19'!$A$3</f>
        <v>Table B3 - COVID-19 Analysis</v>
      </c>
      <c r="D493" s="2898">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5" t="str">
        <f>ORG!$S$1</f>
        <v>Apr 23</v>
      </c>
      <c r="B494" t="str">
        <f>ORG!$M$1</f>
        <v>Public Health Wales Trust</v>
      </c>
      <c r="C494" t="str">
        <f>'B3 - COVID-19'!$A$3</f>
        <v>Table B3 - COVID-19 Analysis</v>
      </c>
      <c r="D494" s="2898">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5" t="str">
        <f>ORG!$S$1</f>
        <v>Apr 23</v>
      </c>
      <c r="B495" t="str">
        <f>ORG!$M$1</f>
        <v>Public Health Wales Trust</v>
      </c>
      <c r="C495" t="str">
        <f>'B3 - COVID-19'!$A$3</f>
        <v>Table B3 - COVID-19 Analysis</v>
      </c>
      <c r="D495" s="2898">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5" t="str">
        <f>ORG!$S$1</f>
        <v>Apr 23</v>
      </c>
      <c r="B496" t="str">
        <f>ORG!$M$1</f>
        <v>Public Health Wales Trust</v>
      </c>
      <c r="C496" t="str">
        <f>'B3 - COVID-19'!$A$3</f>
        <v>Table B3 - COVID-19 Analysis</v>
      </c>
      <c r="D496" s="2898">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5" t="str">
        <f>ORG!$S$1</f>
        <v>Apr 23</v>
      </c>
      <c r="B497" t="str">
        <f>ORG!$M$1</f>
        <v>Public Health Wales Trust</v>
      </c>
      <c r="C497" t="str">
        <f>'B3 - COVID-19'!$A$3</f>
        <v>Table B3 - COVID-19 Analysis</v>
      </c>
      <c r="D497" s="2898">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5" t="str">
        <f>ORG!$S$1</f>
        <v>Apr 23</v>
      </c>
      <c r="B498" t="str">
        <f>ORG!$M$1</f>
        <v>Public Health Wales Trust</v>
      </c>
      <c r="C498" t="str">
        <f>'B3 - COVID-19'!$A$3</f>
        <v>Table B3 - COVID-19 Analysis</v>
      </c>
      <c r="D498" s="2898">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5" t="str">
        <f>ORG!$S$1</f>
        <v>Apr 23</v>
      </c>
      <c r="B499" t="str">
        <f>ORG!$M$1</f>
        <v>Public Health Wales Trust</v>
      </c>
      <c r="C499" t="str">
        <f>'B3 - COVID-19'!$A$3</f>
        <v>Table B3 - COVID-19 Analysis</v>
      </c>
      <c r="D499" s="2898">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5" t="str">
        <f>ORG!$S$1</f>
        <v>Apr 23</v>
      </c>
      <c r="B500" t="str">
        <f>ORG!$M$1</f>
        <v>Public Health Wales Trust</v>
      </c>
      <c r="C500" t="str">
        <f>'B3 - COVID-19'!$A$3</f>
        <v>Table B3 - COVID-19 Analysis</v>
      </c>
      <c r="D500" s="2898">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5" t="str">
        <f>ORG!$S$1</f>
        <v>Apr 23</v>
      </c>
      <c r="B501" t="str">
        <f>ORG!$M$1</f>
        <v>Public Health Wales Trust</v>
      </c>
      <c r="C501" t="str">
        <f>'B3 - COVID-19'!$A$3</f>
        <v>Table B3 - COVID-19 Analysis</v>
      </c>
      <c r="D501" s="2898">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5" t="str">
        <f>ORG!$S$1</f>
        <v>Apr 23</v>
      </c>
      <c r="B502" t="str">
        <f>ORG!$M$1</f>
        <v>Public Health Wales Trust</v>
      </c>
      <c r="C502" t="str">
        <f>'B3 - COVID-19'!$A$3</f>
        <v>Table B3 - COVID-19 Analysis</v>
      </c>
      <c r="D502" s="2898">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5" t="str">
        <f>ORG!$S$1</f>
        <v>Apr 23</v>
      </c>
      <c r="B503" t="str">
        <f>ORG!$M$1</f>
        <v>Public Health Wales Trust</v>
      </c>
      <c r="C503" t="str">
        <f>'B3 - COVID-19'!$A$3</f>
        <v>Table B3 - COVID-19 Analysis</v>
      </c>
      <c r="D503" s="2898">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5" t="str">
        <f>ORG!$S$1</f>
        <v>Apr 23</v>
      </c>
      <c r="B504" t="str">
        <f>ORG!$M$1</f>
        <v>Public Health Wales Trust</v>
      </c>
      <c r="C504" t="str">
        <f>'B3 - COVID-19'!$A$3</f>
        <v>Table B3 - COVID-19 Analysis</v>
      </c>
      <c r="D504" s="2898">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1046.9339092508944</v>
      </c>
      <c r="I504">
        <f>'B3 - COVID-19'!E148</f>
        <v>1570.2463429260858</v>
      </c>
      <c r="J504">
        <f>'B3 - COVID-19'!F148</f>
        <v>1144.7442342508946</v>
      </c>
      <c r="K504">
        <f>'B3 - COVID-19'!G148</f>
        <v>1135.2442342508946</v>
      </c>
      <c r="L504">
        <f>'B3 - COVID-19'!H148</f>
        <v>1651.7873512594192</v>
      </c>
      <c r="M504">
        <f>'B3 - COVID-19'!I148</f>
        <v>1438.7479469858172</v>
      </c>
      <c r="N504">
        <f>'B3 - COVID-19'!J148</f>
        <v>1383.9683758416022</v>
      </c>
      <c r="O504">
        <f>'B3 - COVID-19'!K148</f>
        <v>1908.3053386524839</v>
      </c>
      <c r="P504">
        <f>'B3 - COVID-19'!L148</f>
        <v>1416.7479469858172</v>
      </c>
      <c r="Q504">
        <f>'B3 - COVID-19'!M148</f>
        <v>1364.7229546973872</v>
      </c>
      <c r="R504">
        <f>'B3 - COVID-19'!N148</f>
        <v>1883.5641758747061</v>
      </c>
      <c r="S504">
        <f>'B3 - COVID-19'!P148</f>
        <v>16930.000000976004</v>
      </c>
      <c r="U504">
        <f t="shared" si="24"/>
        <v>16930.000000976004</v>
      </c>
    </row>
    <row r="505" spans="1:21">
      <c r="A505" s="2895" t="str">
        <f>ORG!$S$1</f>
        <v>Apr 23</v>
      </c>
      <c r="B505" t="str">
        <f>ORG!$M$1</f>
        <v>Public Health Wales Trust</v>
      </c>
      <c r="C505" t="str">
        <f>'B3 - COVID-19'!$A$3</f>
        <v>Table B3 - COVID-19 Analysis</v>
      </c>
      <c r="D505" s="2898">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0</v>
      </c>
      <c r="I505">
        <f>'B3 - COVID-19'!E149</f>
        <v>0</v>
      </c>
      <c r="J505">
        <f>'B3 - COVID-19'!F149</f>
        <v>0</v>
      </c>
      <c r="K505">
        <f>'B3 - COVID-19'!G149</f>
        <v>0</v>
      </c>
      <c r="L505">
        <f>'B3 - COVID-19'!H149</f>
        <v>0</v>
      </c>
      <c r="M505">
        <f>'B3 - COVID-19'!I149</f>
        <v>0</v>
      </c>
      <c r="N505">
        <f>'B3 - COVID-19'!J149</f>
        <v>0</v>
      </c>
      <c r="O505">
        <f>'B3 - COVID-19'!K149</f>
        <v>0</v>
      </c>
      <c r="P505">
        <f>'B3 - COVID-19'!L149</f>
        <v>0</v>
      </c>
      <c r="Q505">
        <f>'B3 - COVID-19'!M149</f>
        <v>0</v>
      </c>
      <c r="R505">
        <f>'B3 - COVID-19'!N149</f>
        <v>0</v>
      </c>
      <c r="S505">
        <f>'B3 - COVID-19'!P149</f>
        <v>0</v>
      </c>
      <c r="U505">
        <f t="shared" si="24"/>
        <v>0</v>
      </c>
    </row>
    <row r="506" spans="1:21">
      <c r="A506" s="2895" t="str">
        <f>ORG!$S$1</f>
        <v>Apr 23</v>
      </c>
      <c r="B506" t="str">
        <f>ORG!$M$1</f>
        <v>Public Health Wales Trust</v>
      </c>
      <c r="C506" t="str">
        <f>'B3 - COVID-19'!$A$3</f>
        <v>Table B3 - COVID-19 Analysis</v>
      </c>
      <c r="D506" s="2898">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5" t="str">
        <f>ORG!$S$1</f>
        <v>Apr 23</v>
      </c>
      <c r="B507" t="str">
        <f>ORG!$M$1</f>
        <v>Public Health Wales Trust</v>
      </c>
      <c r="C507" t="str">
        <f>'B3 - COVID-19'!$A$3</f>
        <v>Table B3 - COVID-19 Analysis</v>
      </c>
      <c r="D507" s="2898">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984.98699999999997</v>
      </c>
      <c r="H507">
        <f>'B3 - COVID-19'!D152</f>
        <v>1046.9339092508944</v>
      </c>
      <c r="I507">
        <f>'B3 - COVID-19'!E152</f>
        <v>1570.2463429260856</v>
      </c>
      <c r="J507">
        <f>'B3 - COVID-19'!F152</f>
        <v>1144.7442342508946</v>
      </c>
      <c r="K507">
        <f>'B3 - COVID-19'!G152</f>
        <v>1135.2442342508946</v>
      </c>
      <c r="L507">
        <f>'B3 - COVID-19'!H152</f>
        <v>1651.787351259419</v>
      </c>
      <c r="M507">
        <f>'B3 - COVID-19'!I152</f>
        <v>1438.7479469858174</v>
      </c>
      <c r="N507">
        <f>'B3 - COVID-19'!J152</f>
        <v>1383.9683758416022</v>
      </c>
      <c r="O507">
        <f>'B3 - COVID-19'!K152</f>
        <v>1908.3053386524839</v>
      </c>
      <c r="P507">
        <f>'B3 - COVID-19'!L152</f>
        <v>1416.7479469858174</v>
      </c>
      <c r="Q507">
        <f>'B3 - COVID-19'!M152</f>
        <v>1364.7229546973872</v>
      </c>
      <c r="R507">
        <f>'B3 - COVID-19'!N152</f>
        <v>1883.5641758747061</v>
      </c>
      <c r="S507">
        <f>'B3 - COVID-19'!P152</f>
        <v>16929.999810976002</v>
      </c>
      <c r="U507">
        <f t="shared" si="24"/>
        <v>16929.999810976002</v>
      </c>
    </row>
    <row r="508" spans="1:21">
      <c r="A508" s="2895" t="str">
        <f>ORG!$S$1</f>
        <v>Apr 23</v>
      </c>
      <c r="B508" t="str">
        <f>ORG!$M$1</f>
        <v>Public Health Wales Trust</v>
      </c>
      <c r="C508" t="str">
        <f>'B3 - COVID-19'!$A$3</f>
        <v>Table B3 - COVID-19 Analysis</v>
      </c>
      <c r="D508" s="2898">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5" t="str">
        <f>ORG!$S$1</f>
        <v>Apr 23</v>
      </c>
      <c r="B509" t="str">
        <f>ORG!$M$1</f>
        <v>Public Health Wales Trust</v>
      </c>
      <c r="C509" t="str">
        <f>'B3 - COVID-19'!$A$3</f>
        <v>Table B3 - COVID-19 Analysis</v>
      </c>
      <c r="D509" s="2898">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984.98699999999997</v>
      </c>
      <c r="H509">
        <f>'B3 - COVID-19'!D154</f>
        <v>1046.9339092508944</v>
      </c>
      <c r="I509">
        <f>'B3 - COVID-19'!E154</f>
        <v>1570.2463429260856</v>
      </c>
      <c r="J509">
        <f>'B3 - COVID-19'!F154</f>
        <v>1144.7442342508946</v>
      </c>
      <c r="K509">
        <f>'B3 - COVID-19'!G154</f>
        <v>1135.2442342508946</v>
      </c>
      <c r="L509">
        <f>'B3 - COVID-19'!H154</f>
        <v>1651.787351259419</v>
      </c>
      <c r="M509">
        <f>'B3 - COVID-19'!I154</f>
        <v>1438.7479469858174</v>
      </c>
      <c r="N509">
        <f>'B3 - COVID-19'!J154</f>
        <v>1383.9683758416022</v>
      </c>
      <c r="O509">
        <f>'B3 - COVID-19'!K154</f>
        <v>1908.3053386524839</v>
      </c>
      <c r="P509">
        <f>'B3 - COVID-19'!L154</f>
        <v>1416.7479469858174</v>
      </c>
      <c r="Q509">
        <f>'B3 - COVID-19'!M154</f>
        <v>1364.7229546973872</v>
      </c>
      <c r="R509">
        <f>'B3 - COVID-19'!N154</f>
        <v>1883.5641758747061</v>
      </c>
      <c r="S509">
        <f>'B3 - COVID-19'!P154</f>
        <v>16929.999810976002</v>
      </c>
      <c r="U509">
        <f t="shared" si="24"/>
        <v>16929.999810976002</v>
      </c>
    </row>
    <row r="510" spans="1:21">
      <c r="A510" s="2895" t="str">
        <f>ORG!$S$1</f>
        <v>Apr 23</v>
      </c>
      <c r="B510" t="str">
        <f>ORG!$M$1</f>
        <v>Public Health Wales Trust</v>
      </c>
      <c r="C510" t="str">
        <f>'B3 - COVID-19'!$A$3</f>
        <v>Table B3 - COVID-19 Analysis</v>
      </c>
      <c r="D510" s="2898">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0</v>
      </c>
      <c r="H510">
        <f>'B3 - COVID-19'!D155</f>
        <v>0</v>
      </c>
      <c r="I510">
        <f>'B3 - COVID-19'!E155</f>
        <v>0</v>
      </c>
      <c r="J510">
        <f>'B3 - COVID-19'!F155</f>
        <v>0</v>
      </c>
      <c r="K510">
        <f>'B3 - COVID-19'!G155</f>
        <v>0</v>
      </c>
      <c r="L510">
        <f>'B3 - COVID-19'!H155</f>
        <v>0</v>
      </c>
      <c r="M510">
        <f>'B3 - COVID-19'!I155</f>
        <v>0</v>
      </c>
      <c r="N510">
        <f>'B3 - COVID-19'!J155</f>
        <v>0</v>
      </c>
      <c r="O510">
        <f>'B3 - COVID-19'!K155</f>
        <v>0</v>
      </c>
      <c r="P510">
        <f>'B3 - COVID-19'!L155</f>
        <v>0</v>
      </c>
      <c r="Q510">
        <f>'B3 - COVID-19'!M155</f>
        <v>0</v>
      </c>
      <c r="R510">
        <f>'B3 - COVID-19'!N155</f>
        <v>0</v>
      </c>
      <c r="S510">
        <f>'B3 - COVID-19'!P155</f>
        <v>0</v>
      </c>
      <c r="U510">
        <f t="shared" si="24"/>
        <v>0</v>
      </c>
    </row>
    <row r="511" spans="1:21">
      <c r="A511" s="2895" t="str">
        <f>ORG!$S$1</f>
        <v>Apr 23</v>
      </c>
      <c r="B511" t="str">
        <f>ORG!$M$1</f>
        <v>Public Health Wales Trust</v>
      </c>
      <c r="C511" t="str">
        <f>'B3 - COVID-19'!$A$3</f>
        <v>Table B3 - COVID-19 Analysis</v>
      </c>
      <c r="D511" s="2898">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5" t="str">
        <f>ORG!$S$1</f>
        <v>Apr 23</v>
      </c>
      <c r="B512" t="str">
        <f>ORG!$M$1</f>
        <v>Public Health Wales Trust</v>
      </c>
      <c r="C512" t="str">
        <f>'B3 - COVID-19'!$A$3</f>
        <v>Table B3 - COVID-19 Analysis</v>
      </c>
      <c r="D512" s="2898">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-1.900000000887303E-4</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-1.900000000887303E-4</v>
      </c>
      <c r="U512">
        <f t="shared" ref="U512:U513" si="25">S512+T512</f>
        <v>-1.900000000887303E-4</v>
      </c>
    </row>
    <row r="513" spans="1:21">
      <c r="A513" s="2895" t="str">
        <f>ORG!$S$1</f>
        <v>Apr 23</v>
      </c>
      <c r="B513" t="str">
        <f>ORG!$M$1</f>
        <v>Public Health Wales Trust</v>
      </c>
      <c r="C513" t="str">
        <f>'B3 - COVID-19'!$A$3</f>
        <v>Table B3 - COVID-19 Analysis</v>
      </c>
      <c r="D513" s="2898">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0</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0</v>
      </c>
      <c r="U513">
        <f t="shared" si="25"/>
        <v>0</v>
      </c>
    </row>
    <row r="514" spans="1:21">
      <c r="A514" s="2895" t="str">
        <f>ORG!$S$1</f>
        <v>Apr 23</v>
      </c>
      <c r="B514" t="str">
        <f>ORG!$M$1</f>
        <v>Public Health Wales Trust</v>
      </c>
      <c r="C514" t="str">
        <f>'B3 - COVID-19'!$A$3</f>
        <v>Table B3 - COVID-19 Analysis</v>
      </c>
      <c r="D514" s="2898">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5" t="str">
        <f>ORG!$S$1</f>
        <v>Apr 23</v>
      </c>
      <c r="B515" t="str">
        <f>ORG!$M$1</f>
        <v>Public Health Wales Trust</v>
      </c>
      <c r="C515" t="str">
        <f>'B3 - COVID-19'!$A$3</f>
        <v>Table B3 - COVID-19 Analysis</v>
      </c>
      <c r="D515" s="2898">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5" t="str">
        <f>ORG!$S$1</f>
        <v>Apr 23</v>
      </c>
      <c r="B516" t="str">
        <f>ORG!$M$1</f>
        <v>Public Health Wales Trust</v>
      </c>
      <c r="C516" t="str">
        <f>'B3 - COVID-19'!$A$3</f>
        <v>Table B3 - COVID-19 Analysis</v>
      </c>
      <c r="D516" s="2898">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41.723309999999998</v>
      </c>
      <c r="J516">
        <f>'B3 - COVID-19'!V23</f>
        <v>41.723309999999998</v>
      </c>
      <c r="K516">
        <f>'B3 - COVID-19'!W23</f>
        <v>41.723309999999998</v>
      </c>
      <c r="L516">
        <f>'B3 - COVID-19'!X23</f>
        <v>41.723309999999998</v>
      </c>
      <c r="M516">
        <f>'B3 - COVID-19'!Y23</f>
        <v>41.723309999999998</v>
      </c>
      <c r="N516">
        <f>'B3 - COVID-19'!Z23</f>
        <v>41.723309999999998</v>
      </c>
      <c r="O516">
        <f>'B3 - COVID-19'!AA23</f>
        <v>41.723309999999998</v>
      </c>
      <c r="P516">
        <f>'B3 - COVID-19'!AB23</f>
        <v>41.723309999999998</v>
      </c>
      <c r="Q516">
        <f>'B3 - COVID-19'!AC23</f>
        <v>41.723309999999998</v>
      </c>
      <c r="R516">
        <f>'B3 - COVID-19'!AD23</f>
        <v>41.723309999999998</v>
      </c>
      <c r="S516">
        <f>'B3 - COVID-19'!AF23</f>
        <v>500.67970999999989</v>
      </c>
      <c r="U516">
        <f t="shared" si="23"/>
        <v>500.67970999999989</v>
      </c>
    </row>
    <row r="517" spans="1:21">
      <c r="A517" s="2895" t="str">
        <f>ORG!$S$1</f>
        <v>Apr 23</v>
      </c>
      <c r="B517" t="str">
        <f>ORG!$M$1</f>
        <v>Public Health Wales Trust</v>
      </c>
      <c r="C517" t="str">
        <f>'B3 - COVID-19'!$A$3</f>
        <v>Table B3 - COVID-19 Analysis</v>
      </c>
      <c r="D517" s="2898">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569.81143162841522</v>
      </c>
      <c r="I517">
        <f>'B3 - COVID-19'!U24</f>
        <v>551.43041770491811</v>
      </c>
      <c r="J517">
        <f>'B3 - COVID-19'!V24</f>
        <v>569.81143162841522</v>
      </c>
      <c r="K517">
        <f>'B3 - COVID-19'!W24</f>
        <v>569.81143162841522</v>
      </c>
      <c r="L517">
        <f>'B3 - COVID-19'!X24</f>
        <v>551.43041770491811</v>
      </c>
      <c r="M517">
        <f>'B3 - COVID-19'!Y24</f>
        <v>782.2788301530054</v>
      </c>
      <c r="N517">
        <f>'B3 - COVID-19'!Z24</f>
        <v>757.04402918032781</v>
      </c>
      <c r="O517">
        <f>'B3 - COVID-19'!AA24</f>
        <v>782.2788301530054</v>
      </c>
      <c r="P517">
        <f>'B3 - COVID-19'!AB24</f>
        <v>782.2788301530054</v>
      </c>
      <c r="Q517">
        <f>'B3 - COVID-19'!AC24</f>
        <v>731.80922820765022</v>
      </c>
      <c r="R517">
        <f>'B3 - COVID-19'!AD24</f>
        <v>782.2788301530054</v>
      </c>
      <c r="S517">
        <f>'B3 - COVID-19'!AF24</f>
        <v>8133.5196082950815</v>
      </c>
      <c r="U517">
        <f t="shared" si="23"/>
        <v>8133.5196082950815</v>
      </c>
    </row>
    <row r="518" spans="1:21">
      <c r="A518" s="2895" t="str">
        <f>ORG!$S$1</f>
        <v>Apr 23</v>
      </c>
      <c r="B518" t="str">
        <f>ORG!$M$1</f>
        <v>Public Health Wales Trust</v>
      </c>
      <c r="C518" t="str">
        <f>'B3 - COVID-19'!$A$3</f>
        <v>Table B3 - COVID-19 Analysis</v>
      </c>
      <c r="D518" s="2898">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10</v>
      </c>
      <c r="I518">
        <f>'B3 - COVID-19'!U25</f>
        <v>10</v>
      </c>
      <c r="J518">
        <f>'B3 - COVID-19'!V25</f>
        <v>10</v>
      </c>
      <c r="K518">
        <f>'B3 - COVID-19'!W25</f>
        <v>10</v>
      </c>
      <c r="L518">
        <f>'B3 - COVID-19'!X25</f>
        <v>10</v>
      </c>
      <c r="M518">
        <f>'B3 - COVID-19'!Y25</f>
        <v>15</v>
      </c>
      <c r="N518">
        <f>'B3 - COVID-19'!Z25</f>
        <v>15</v>
      </c>
      <c r="O518">
        <f>'B3 - COVID-19'!AA25</f>
        <v>15</v>
      </c>
      <c r="P518">
        <f>'B3 - COVID-19'!AB25</f>
        <v>15</v>
      </c>
      <c r="Q518">
        <f>'B3 - COVID-19'!AC25</f>
        <v>15</v>
      </c>
      <c r="R518">
        <f>'B3 - COVID-19'!AD25</f>
        <v>14.758389999999999</v>
      </c>
      <c r="S518">
        <f>'B3 - COVID-19'!AF25</f>
        <v>145.26420999999999</v>
      </c>
      <c r="U518">
        <f t="shared" si="23"/>
        <v>145.26420999999999</v>
      </c>
    </row>
    <row r="519" spans="1:21">
      <c r="A519" s="2895" t="str">
        <f>ORG!$S$1</f>
        <v>Apr 23</v>
      </c>
      <c r="B519" t="str">
        <f>ORG!$M$1</f>
        <v>Public Health Wales Trust</v>
      </c>
      <c r="C519" t="str">
        <f>'B3 - COVID-19'!$A$3</f>
        <v>Table B3 - COVID-19 Analysis</v>
      </c>
      <c r="D519" s="2898">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0.58990730732785679</v>
      </c>
      <c r="I519">
        <f>'B3 - COVID-19'!U26</f>
        <v>0.57087803934953885</v>
      </c>
      <c r="J519">
        <f>'B3 - COVID-19'!V26</f>
        <v>0.58990730732785679</v>
      </c>
      <c r="K519">
        <f>'B3 - COVID-19'!W26</f>
        <v>0.58990730732785679</v>
      </c>
      <c r="L519">
        <f>'B3 - COVID-19'!X26</f>
        <v>0.57087803934953885</v>
      </c>
      <c r="M519">
        <f>'B3 - COVID-19'!Y26</f>
        <v>0.80926651766035362</v>
      </c>
      <c r="N519">
        <f>'B3 - COVID-19'!Z26</f>
        <v>0.78316114612292287</v>
      </c>
      <c r="O519">
        <f>'B3 - COVID-19'!AA26</f>
        <v>0.80926651766035362</v>
      </c>
      <c r="P519">
        <f>'B3 - COVID-19'!AB26</f>
        <v>0.80926651766035362</v>
      </c>
      <c r="Q519">
        <f>'B3 - COVID-19'!AC26</f>
        <v>0.75705577458549211</v>
      </c>
      <c r="R519">
        <f>'B3 - COVID-19'!AD26</f>
        <v>0.80926651766035362</v>
      </c>
      <c r="S519">
        <f>'B3 - COVID-19'!AF26</f>
        <v>14.171510992032477</v>
      </c>
      <c r="U519">
        <f t="shared" si="23"/>
        <v>14.171510992032477</v>
      </c>
    </row>
    <row r="520" spans="1:21">
      <c r="A520" s="2895" t="str">
        <f>ORG!$S$1</f>
        <v>Apr 23</v>
      </c>
      <c r="B520" t="str">
        <f>ORG!$M$1</f>
        <v>Public Health Wales Trust</v>
      </c>
      <c r="C520" t="str">
        <f>'B3 - COVID-19'!$A$3</f>
        <v>Table B3 - COVID-19 Analysis</v>
      </c>
      <c r="D520" s="2898">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233.07860880000001</v>
      </c>
      <c r="I520">
        <f>'B3 - COVID-19'!U27</f>
        <v>225.55994400000003</v>
      </c>
      <c r="J520">
        <f>'B3 - COVID-19'!V27</f>
        <v>233.07860880000001</v>
      </c>
      <c r="K520">
        <f>'B3 - COVID-19'!W27</f>
        <v>233.07860880000001</v>
      </c>
      <c r="L520">
        <f>'B3 - COVID-19'!X27</f>
        <v>225.55994400000003</v>
      </c>
      <c r="M520">
        <f>'B3 - COVID-19'!Y27</f>
        <v>233.07860880000001</v>
      </c>
      <c r="N520">
        <f>'B3 - COVID-19'!Z27</f>
        <v>225.55994400000003</v>
      </c>
      <c r="O520">
        <f>'B3 - COVID-19'!AA27</f>
        <v>233.07860880000001</v>
      </c>
      <c r="P520">
        <f>'B3 - COVID-19'!AB27</f>
        <v>233.07860880000001</v>
      </c>
      <c r="Q520">
        <f>'B3 - COVID-19'!AC27</f>
        <v>218.04127919999996</v>
      </c>
      <c r="R520">
        <f>'B3 - COVID-19'!AD27</f>
        <v>233.07860880000001</v>
      </c>
      <c r="S520">
        <f>'B3 - COVID-19'!AF27</f>
        <v>2600.0030327999998</v>
      </c>
      <c r="U520">
        <f t="shared" si="23"/>
        <v>2600.0030327999998</v>
      </c>
    </row>
    <row r="521" spans="1:21">
      <c r="A521" s="2895" t="str">
        <f>ORG!$S$1</f>
        <v>Apr 23</v>
      </c>
      <c r="B521" t="str">
        <f>ORG!$M$1</f>
        <v>Public Health Wales Trust</v>
      </c>
      <c r="C521" t="str">
        <f>'B3 - COVID-19'!$A$3</f>
        <v>Table B3 - COVID-19 Analysis</v>
      </c>
      <c r="D521" s="2898">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38</v>
      </c>
      <c r="I521">
        <f>'B3 - COVID-19'!U28</f>
        <v>38</v>
      </c>
      <c r="J521">
        <f>'B3 - COVID-19'!V28</f>
        <v>28.5</v>
      </c>
      <c r="K521">
        <f>'B3 - COVID-19'!W28</f>
        <v>19</v>
      </c>
      <c r="L521">
        <f>'B3 - COVID-19'!X28</f>
        <v>28.5</v>
      </c>
      <c r="M521">
        <f>'B3 - COVID-19'!Y28</f>
        <v>38</v>
      </c>
      <c r="N521">
        <f>'B3 - COVID-19'!Z28</f>
        <v>76</v>
      </c>
      <c r="O521">
        <f>'B3 - COVID-19'!AA28</f>
        <v>95</v>
      </c>
      <c r="P521">
        <f>'B3 - COVID-19'!AB28</f>
        <v>76</v>
      </c>
      <c r="Q521">
        <f>'B3 - COVID-19'!AC28</f>
        <v>57</v>
      </c>
      <c r="R521">
        <f>'B3 - COVID-19'!AD28</f>
        <v>38</v>
      </c>
      <c r="S521">
        <f>'B3 - COVID-19'!AF28</f>
        <v>560.34899999999993</v>
      </c>
      <c r="U521">
        <f t="shared" si="23"/>
        <v>560.34899999999993</v>
      </c>
    </row>
    <row r="522" spans="1:21">
      <c r="A522" s="2895" t="str">
        <f>ORG!$S$1</f>
        <v>Apr 23</v>
      </c>
      <c r="B522" t="str">
        <f>ORG!$M$1</f>
        <v>Public Health Wales Trust</v>
      </c>
      <c r="C522" t="str">
        <f>'B3 - COVID-19'!$A$3</f>
        <v>Table B3 - COVID-19 Analysis</v>
      </c>
      <c r="D522" s="2898">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v>
      </c>
      <c r="I522">
        <f>'B3 - COVID-19'!U29</f>
        <v>433.520625</v>
      </c>
      <c r="J522">
        <f>'B3 - COVID-19'!V29</f>
        <v>0</v>
      </c>
      <c r="K522">
        <f>'B3 - COVID-19'!W29</f>
        <v>0</v>
      </c>
      <c r="L522">
        <f>'B3 - COVID-19'!X29</f>
        <v>433.520625</v>
      </c>
      <c r="M522">
        <f>'B3 - COVID-19'!Y29</f>
        <v>0</v>
      </c>
      <c r="N522">
        <f>'B3 - COVID-19'!Z29</f>
        <v>0</v>
      </c>
      <c r="O522">
        <f>'B3 - COVID-19'!AA29</f>
        <v>433.520625</v>
      </c>
      <c r="P522">
        <f>'B3 - COVID-19'!AB29</f>
        <v>0</v>
      </c>
      <c r="Q522">
        <f>'B3 - COVID-19'!AC29</f>
        <v>0</v>
      </c>
      <c r="R522">
        <f>'B3 - COVID-19'!AD29</f>
        <v>433.520625</v>
      </c>
      <c r="S522">
        <f>'B3 - COVID-19'!AF29</f>
        <v>1734.0825</v>
      </c>
      <c r="U522">
        <f t="shared" si="23"/>
        <v>1734.0825</v>
      </c>
    </row>
    <row r="523" spans="1:21">
      <c r="A523" s="2895" t="str">
        <f>ORG!$S$1</f>
        <v>Apr 23</v>
      </c>
      <c r="B523" t="str">
        <f>ORG!$M$1</f>
        <v>Public Health Wales Trust</v>
      </c>
      <c r="C523" t="str">
        <f>'B3 - COVID-19'!$A$3</f>
        <v>Table B3 - COVID-19 Analysis</v>
      </c>
      <c r="D523" s="2898">
        <f t="shared" si="26"/>
        <v>23</v>
      </c>
      <c r="E523" t="str">
        <f>CONCATENATE('B3 - COVID-19'!$A$5," - ",'B3 - COVID-19'!$A$7)</f>
        <v>Health Promotion (including Testing, Tracing and Surveillance) - Additional costs due to C19 - A1</v>
      </c>
      <c r="F523" t="str">
        <f>"Non Pay_"&amp;'B3 - COVID-19'!R30</f>
        <v>Non Pay_</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0</v>
      </c>
      <c r="Q523">
        <f>'B3 - COVID-19'!AC30</f>
        <v>0</v>
      </c>
      <c r="R523">
        <f>'B3 - COVID-19'!AD30</f>
        <v>0</v>
      </c>
      <c r="S523">
        <f>'B3 - COVID-19'!AF30</f>
        <v>0</v>
      </c>
      <c r="U523">
        <f t="shared" si="23"/>
        <v>0</v>
      </c>
    </row>
    <row r="524" spans="1:21">
      <c r="A524" s="2895" t="str">
        <f>ORG!$S$1</f>
        <v>Apr 23</v>
      </c>
      <c r="B524" t="str">
        <f>ORG!$M$1</f>
        <v>Public Health Wales Trust</v>
      </c>
      <c r="C524" t="str">
        <f>'B3 - COVID-19'!$A$3</f>
        <v>Table B3 - COVID-19 Analysis</v>
      </c>
      <c r="D524" s="2898">
        <f t="shared" si="26"/>
        <v>24</v>
      </c>
      <c r="E524" t="str">
        <f>CONCATENATE('B3 - COVID-19'!$A$5," - ",'B3 - COVID-19'!$A$7)</f>
        <v>Health Promotion (including Testing, Tracing and Surveillance) - Additional costs due to C19 - A1</v>
      </c>
      <c r="F524" t="str">
        <f>"Non Pay_"&amp;'B3 - COVID-19'!R31</f>
        <v>Non Pay_</v>
      </c>
      <c r="G524">
        <f>'B3 - COVID-19'!S31</f>
        <v>0</v>
      </c>
      <c r="H524">
        <f>'B3 - COVID-19'!T31</f>
        <v>0</v>
      </c>
      <c r="I524">
        <f>'B3 - COVID-19'!U31</f>
        <v>0</v>
      </c>
      <c r="J524">
        <f>'B3 - COVID-19'!V31</f>
        <v>0</v>
      </c>
      <c r="K524">
        <f>'B3 - COVID-19'!W31</f>
        <v>0</v>
      </c>
      <c r="L524">
        <f>'B3 - COVID-19'!X31</f>
        <v>0</v>
      </c>
      <c r="M524">
        <f>'B3 - COVID-19'!Y31</f>
        <v>0</v>
      </c>
      <c r="N524">
        <f>'B3 - COVID-19'!Z31</f>
        <v>0</v>
      </c>
      <c r="O524">
        <f>'B3 - COVID-19'!AA31</f>
        <v>0</v>
      </c>
      <c r="P524">
        <f>'B3 - COVID-19'!AB31</f>
        <v>0</v>
      </c>
      <c r="Q524">
        <f>'B3 - COVID-19'!AC31</f>
        <v>0</v>
      </c>
      <c r="R524">
        <f>'B3 - COVID-19'!AD31</f>
        <v>0</v>
      </c>
      <c r="S524">
        <f>'B3 - COVID-19'!AF31</f>
        <v>0</v>
      </c>
      <c r="U524">
        <f t="shared" si="23"/>
        <v>0</v>
      </c>
    </row>
    <row r="525" spans="1:21">
      <c r="A525" s="2895" t="str">
        <f>ORG!$S$1</f>
        <v>Apr 23</v>
      </c>
      <c r="B525" t="str">
        <f>ORG!$M$1</f>
        <v>Public Health Wales Trust</v>
      </c>
      <c r="C525" t="str">
        <f>'B3 - COVID-19'!$A$3</f>
        <v>Table B3 - COVID-19 Analysis</v>
      </c>
      <c r="D525" s="2898">
        <f t="shared" si="26"/>
        <v>25</v>
      </c>
      <c r="E525" t="str">
        <f>CONCATENATE('B3 - COVID-19'!$A$5," - ",'B3 - COVID-19'!$A$7)</f>
        <v>Health Promotion (including Testing, Tracing and Surveillance) - Additional costs due to C19 - A1</v>
      </c>
      <c r="F525" t="str">
        <f>"Non Pay_"&amp;'B3 - COVID-19'!R32</f>
        <v>Non Pay_</v>
      </c>
      <c r="G525">
        <f>'B3 - COVID-19'!S32</f>
        <v>0</v>
      </c>
      <c r="H525">
        <f>'B3 - COVID-19'!T32</f>
        <v>0</v>
      </c>
      <c r="I525">
        <f>'B3 - COVID-19'!U32</f>
        <v>0</v>
      </c>
      <c r="J525">
        <f>'B3 - COVID-19'!V32</f>
        <v>0</v>
      </c>
      <c r="K525">
        <f>'B3 - COVID-19'!W32</f>
        <v>0</v>
      </c>
      <c r="L525">
        <f>'B3 - COVID-19'!X32</f>
        <v>0</v>
      </c>
      <c r="M525">
        <f>'B3 - COVID-19'!Y32</f>
        <v>0</v>
      </c>
      <c r="N525">
        <f>'B3 - COVID-19'!Z32</f>
        <v>0</v>
      </c>
      <c r="O525">
        <f>'B3 - COVID-19'!AA32</f>
        <v>0</v>
      </c>
      <c r="P525">
        <f>'B3 - COVID-19'!AB32</f>
        <v>0</v>
      </c>
      <c r="Q525">
        <f>'B3 - COVID-19'!AC32</f>
        <v>0</v>
      </c>
      <c r="R525">
        <f>'B3 - COVID-19'!AD32</f>
        <v>0</v>
      </c>
      <c r="S525">
        <f>'B3 - COVID-19'!AF32</f>
        <v>0</v>
      </c>
      <c r="U525">
        <f t="shared" si="23"/>
        <v>0</v>
      </c>
    </row>
    <row r="526" spans="1:21">
      <c r="A526" s="2895" t="str">
        <f>ORG!$S$1</f>
        <v>Apr 23</v>
      </c>
      <c r="B526" t="str">
        <f>ORG!$M$1</f>
        <v>Public Health Wales Trust</v>
      </c>
      <c r="C526" t="str">
        <f>'B3 - COVID-19'!$A$3</f>
        <v>Table B3 - COVID-19 Analysis</v>
      </c>
      <c r="D526" s="2898">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5" t="str">
        <f>ORG!$S$1</f>
        <v>Apr 23</v>
      </c>
      <c r="B527" t="str">
        <f>ORG!$M$1</f>
        <v>Public Health Wales Trust</v>
      </c>
      <c r="C527" t="str">
        <f>'B3 - COVID-19'!$A$3</f>
        <v>Table B3 - COVID-19 Analysis</v>
      </c>
      <c r="D527" s="2898">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893.20325773574302</v>
      </c>
      <c r="I527">
        <f>'B3 - COVID-19'!U34</f>
        <v>1300.8051747442678</v>
      </c>
      <c r="J527">
        <f>'B3 - COVID-19'!V34</f>
        <v>883.70325773574302</v>
      </c>
      <c r="K527">
        <f>'B3 - COVID-19'!W34</f>
        <v>874.20325773574302</v>
      </c>
      <c r="L527">
        <f>'B3 - COVID-19'!X34</f>
        <v>1291.3051747442678</v>
      </c>
      <c r="M527">
        <f>'B3 - COVID-19'!Y34</f>
        <v>1110.8900154706657</v>
      </c>
      <c r="N527">
        <f>'B3 - COVID-19'!Z34</f>
        <v>1116.1104443264508</v>
      </c>
      <c r="O527">
        <f>'B3 - COVID-19'!AA34</f>
        <v>1601.4106404706658</v>
      </c>
      <c r="P527">
        <f>'B3 - COVID-19'!AB34</f>
        <v>1148.8900154706657</v>
      </c>
      <c r="Q527">
        <f>'B3 - COVID-19'!AC34</f>
        <v>1064.3308731822358</v>
      </c>
      <c r="R527">
        <f>'B3 - COVID-19'!AD34</f>
        <v>1544.1690304706658</v>
      </c>
      <c r="S527">
        <f>'B3 - COVID-19'!AF34</f>
        <v>13688.069572087114</v>
      </c>
      <c r="U527">
        <f t="shared" si="23"/>
        <v>13688.069572087114</v>
      </c>
    </row>
    <row r="528" spans="1:21">
      <c r="A528" s="2895" t="str">
        <f>ORG!$S$1</f>
        <v>Apr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5" t="str">
        <f>ORG!$S$1</f>
        <v>Apr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5" t="str">
        <f>ORG!$S$1</f>
        <v>Apr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5" t="str">
        <f>ORG!$S$1</f>
        <v>Apr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5" t="str">
        <f>ORG!$S$1</f>
        <v>Apr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5" t="str">
        <f>ORG!$S$1</f>
        <v>Apr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5" t="str">
        <f>ORG!$S$1</f>
        <v>Apr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5" t="str">
        <f>ORG!$S$1</f>
        <v>Apr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5" t="str">
        <f>ORG!$S$1</f>
        <v>Apr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5" t="str">
        <f>ORG!$S$1</f>
        <v>Apr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5" t="str">
        <f>ORG!$S$1</f>
        <v>Apr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5" t="str">
        <f>ORG!$S$1</f>
        <v>Apr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5" t="str">
        <f>ORG!$S$1</f>
        <v>Apr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5" t="str">
        <f>ORG!$S$1</f>
        <v>Apr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5" t="str">
        <f>ORG!$S$1</f>
        <v>Apr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5" t="str">
        <f>ORG!$S$1</f>
        <v>Apr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5" t="str">
        <f>ORG!$S$1</f>
        <v>Apr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5" t="str">
        <f>ORG!$S$1</f>
        <v>Apr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5" t="str">
        <f>ORG!$S$1</f>
        <v>Apr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5" t="str">
        <f>ORG!$S$1</f>
        <v>Apr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5" t="str">
        <f>ORG!$S$1</f>
        <v>Apr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5" t="str">
        <f>ORG!$S$1</f>
        <v>Apr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5" t="str">
        <f>ORG!$S$1</f>
        <v>Apr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5" t="str">
        <f>ORG!$S$1</f>
        <v>Apr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5" t="str">
        <f>ORG!$S$1</f>
        <v>Apr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5" t="str">
        <f>ORG!$S$1</f>
        <v>Apr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5" t="str">
        <f>ORG!$S$1</f>
        <v>Apr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5" t="str">
        <f>ORG!$S$1</f>
        <v>Apr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5" t="str">
        <f>ORG!$S$1</f>
        <v>Apr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5" t="str">
        <f>ORG!$S$1</f>
        <v>Apr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5" t="str">
        <f>ORG!$S$1</f>
        <v>Apr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5" t="str">
        <f>ORG!$S$1</f>
        <v>Apr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5" t="str">
        <f>ORG!$S$1</f>
        <v>Apr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5" t="str">
        <f>ORG!$S$1</f>
        <v>Apr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5" t="str">
        <f>ORG!$S$1</f>
        <v>Apr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5" t="str">
        <f>ORG!$S$1</f>
        <v>Apr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5" t="str">
        <f>ORG!$S$1</f>
        <v>Apr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5" t="str">
        <f>ORG!$S$1</f>
        <v>Apr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5" t="str">
        <f>ORG!$S$1</f>
        <v>Apr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5" t="str">
        <f>ORG!$S$1</f>
        <v>Apr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5" t="str">
        <f>ORG!$S$1</f>
        <v>Apr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5" t="str">
        <f>ORG!$S$1</f>
        <v>Apr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5" t="str">
        <f>ORG!$S$1</f>
        <v>Apr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5" t="str">
        <f>ORG!$S$1</f>
        <v>Apr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5" t="str">
        <f>ORG!$S$1</f>
        <v>Apr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5" t="str">
        <f>ORG!$S$1</f>
        <v>Apr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5" t="str">
        <f>ORG!$S$1</f>
        <v>Apr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5" t="str">
        <f>ORG!$S$1</f>
        <v>Apr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5" t="str">
        <f>ORG!$S$1</f>
        <v>Apr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5" t="str">
        <f>ORG!$S$1</f>
        <v>Apr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5" t="str">
        <f>ORG!$S$1</f>
        <v>Apr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5" t="str">
        <f>ORG!$S$1</f>
        <v>Apr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5" t="str">
        <f>ORG!$S$1</f>
        <v>Apr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5" t="str">
        <f>ORG!$S$1</f>
        <v>Apr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5" t="str">
        <f>ORG!$S$1</f>
        <v>Apr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5" t="str">
        <f>ORG!$S$1</f>
        <v>Apr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5" t="str">
        <f>ORG!$S$1</f>
        <v>Apr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5" t="str">
        <f>ORG!$S$1</f>
        <v>Apr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5" t="str">
        <f>ORG!$S$1</f>
        <v>Apr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5" t="str">
        <f>ORG!$S$1</f>
        <v>Apr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5" t="str">
        <f>ORG!$S$1</f>
        <v>Apr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5" t="str">
        <f>ORG!$S$1</f>
        <v>Apr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5" t="str">
        <f>ORG!$S$1</f>
        <v>Apr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5" t="str">
        <f>ORG!$S$1</f>
        <v>Apr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5" t="str">
        <f>ORG!$S$1</f>
        <v>Apr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5" t="str">
        <f>ORG!$S$1</f>
        <v>Apr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5" t="str">
        <f>ORG!$S$1</f>
        <v>Apr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5" t="str">
        <f>ORG!$S$1</f>
        <v>Apr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5" t="str">
        <f>ORG!$S$1</f>
        <v>Apr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5" t="str">
        <f>ORG!$S$1</f>
        <v>Apr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5" t="str">
        <f>ORG!$S$1</f>
        <v>Apr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5" t="str">
        <f>ORG!$S$1</f>
        <v>Apr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5" t="str">
        <f>ORG!$S$1</f>
        <v>Apr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5" t="str">
        <f>ORG!$S$1</f>
        <v>Apr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5" t="str">
        <f>ORG!$S$1</f>
        <v>Apr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5" t="str">
        <f>ORG!$S$1</f>
        <v>Apr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5" t="str">
        <f>ORG!$S$1</f>
        <v>Apr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5" t="str">
        <f>ORG!$S$1</f>
        <v>Apr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5" t="str">
        <f>ORG!$S$1</f>
        <v>Apr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1244.4166666666665</v>
      </c>
      <c r="U606">
        <f t="shared" si="29"/>
        <v>1244.4166666666665</v>
      </c>
    </row>
    <row r="607" spans="1:21">
      <c r="A607" s="2895" t="str">
        <f>ORG!$S$1</f>
        <v>Apr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1244.4166666666665</v>
      </c>
      <c r="U607">
        <f t="shared" si="29"/>
        <v>1244.4166666666665</v>
      </c>
    </row>
    <row r="608" spans="1:21">
      <c r="A608" s="2895" t="str">
        <f>ORG!$S$1</f>
        <v>Apr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5" t="str">
        <f>ORG!$S$1</f>
        <v>Apr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5" t="str">
        <f>ORG!$S$1</f>
        <v>Apr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5" t="str">
        <f>ORG!$S$1</f>
        <v>Apr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5" t="str">
        <f>ORG!$S$1</f>
        <v>Apr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1244.4166666666665</v>
      </c>
      <c r="U612">
        <f t="shared" si="29"/>
        <v>1244.4166666666665</v>
      </c>
    </row>
    <row r="613" spans="1:21">
      <c r="A613" s="2895" t="str">
        <f>ORG!$S$1</f>
        <v>Apr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1244.4166666666665</v>
      </c>
      <c r="U613">
        <f t="shared" si="29"/>
        <v>1244.4166666666665</v>
      </c>
    </row>
    <row r="614" spans="1:21">
      <c r="A614" s="2895" t="str">
        <f>ORG!$S$1</f>
        <v>Apr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5" t="str">
        <f>ORG!$S$1</f>
        <v>Apr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5" t="str">
        <f>ORG!$S$1</f>
        <v>Apr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5" t="str">
        <f>ORG!$S$1</f>
        <v>Apr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5" t="str">
        <f>ORG!$S$1</f>
        <v>Apr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5" t="str">
        <f>ORG!$S$1</f>
        <v>Apr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5" t="str">
        <f>ORG!$S$1</f>
        <v>Apr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5" t="str">
        <f>ORG!$S$1</f>
        <v>Apr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5" t="str">
        <f>ORG!$S$1</f>
        <v>Apr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5" t="str">
        <f>ORG!$S$1</f>
        <v>Apr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5" t="str">
        <f>ORG!$S$1</f>
        <v>Apr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5" t="str">
        <f>ORG!$S$1</f>
        <v>Apr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4180</v>
      </c>
      <c r="U625">
        <f t="shared" si="29"/>
        <v>4180</v>
      </c>
    </row>
    <row r="626" spans="1:21">
      <c r="A626" s="2895" t="str">
        <f>ORG!$S$1</f>
        <v>Apr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34</v>
      </c>
      <c r="U626">
        <f t="shared" si="29"/>
        <v>34</v>
      </c>
    </row>
    <row r="627" spans="1:21">
      <c r="A627" s="2895" t="str">
        <f>ORG!$S$1</f>
        <v>Apr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5" t="str">
        <f>ORG!$S$1</f>
        <v>Apr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5" t="str">
        <f>ORG!$S$1</f>
        <v>Apr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1699</v>
      </c>
      <c r="U629">
        <f t="shared" si="29"/>
        <v>1699</v>
      </c>
    </row>
    <row r="630" spans="1:21">
      <c r="A630" s="2895" t="str">
        <f>ORG!$S$1</f>
        <v>Apr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5" t="str">
        <f>ORG!$S$1</f>
        <v>Apr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32198</v>
      </c>
      <c r="U631">
        <f t="shared" si="29"/>
        <v>32198</v>
      </c>
    </row>
    <row r="632" spans="1:21">
      <c r="A632" s="2895" t="str">
        <f>ORG!$S$1</f>
        <v>Apr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5" t="str">
        <f>ORG!$S$1</f>
        <v>Apr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5" t="str">
        <f>ORG!$S$1</f>
        <v>Apr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5" t="str">
        <f>ORG!$S$1</f>
        <v>Apr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5" t="str">
        <f>ORG!$S$1</f>
        <v>Apr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5" t="str">
        <f>ORG!$S$1</f>
        <v>Apr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5" t="str">
        <f>ORG!$S$1</f>
        <v>Apr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5" t="str">
        <f>ORG!$S$1</f>
        <v>Apr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5" t="str">
        <f>ORG!$S$1</f>
        <v>Apr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5" t="str">
        <f>ORG!$S$1</f>
        <v>Apr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5" t="str">
        <f>ORG!$S$1</f>
        <v>Apr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3017</v>
      </c>
      <c r="U642">
        <f t="shared" si="29"/>
        <v>3017</v>
      </c>
    </row>
    <row r="643" spans="1:21">
      <c r="A643" s="2895" t="str">
        <f>ORG!$S$1</f>
        <v>Apr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49</v>
      </c>
      <c r="U643">
        <f t="shared" si="29"/>
        <v>49</v>
      </c>
    </row>
    <row r="644" spans="1:21">
      <c r="A644" s="2895" t="str">
        <f>ORG!$S$1</f>
        <v>Apr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144</v>
      </c>
      <c r="U644">
        <f t="shared" si="29"/>
        <v>144</v>
      </c>
    </row>
    <row r="645" spans="1:21">
      <c r="A645" s="2895" t="str">
        <f>ORG!$S$1</f>
        <v>Apr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5" t="str">
        <f>ORG!$S$1</f>
        <v>Apr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157</v>
      </c>
      <c r="U646">
        <f t="shared" si="29"/>
        <v>157</v>
      </c>
    </row>
    <row r="647" spans="1:21">
      <c r="A647" s="2895" t="str">
        <f>ORG!$S$1</f>
        <v>Apr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5" t="str">
        <f>ORG!$S$1</f>
        <v>Apr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40917</v>
      </c>
      <c r="U648">
        <f t="shared" si="29"/>
        <v>40917</v>
      </c>
    </row>
    <row r="649" spans="1:21">
      <c r="A649" s="2895" t="str">
        <f>ORG!$S$1</f>
        <v>Apr 23</v>
      </c>
      <c r="B649" t="str">
        <f>ORG!$M$1</f>
        <v>Public Health Wales Trust</v>
      </c>
      <c r="C649" t="str">
        <f>'E - Resource Limits'!$A$5</f>
        <v>Table E - Resource Limits</v>
      </c>
      <c r="D649" s="2898">
        <f>'E - Resource Limits'!$A$79</f>
        <v>64</v>
      </c>
      <c r="E649" t="str">
        <f>'E - Resource Limits'!$B$79</f>
        <v>Confirmed Resources Per 1. above</v>
      </c>
      <c r="F649" t="str">
        <f>'E - Resource Limits'!C6</f>
        <v>HCHS</v>
      </c>
      <c r="S649">
        <f>'E - Resource Limits'!C79</f>
        <v>0</v>
      </c>
      <c r="U649">
        <f t="shared" si="29"/>
        <v>0</v>
      </c>
    </row>
    <row r="650" spans="1:21">
      <c r="A650" s="2895" t="str">
        <f>ORG!$S$1</f>
        <v>Apr 23</v>
      </c>
      <c r="B650" t="str">
        <f>ORG!$M$1</f>
        <v>Public Health Wales Trust</v>
      </c>
      <c r="C650" t="str">
        <f>'E - Resource Limits'!$A$5</f>
        <v>Table E - Resource Limits</v>
      </c>
      <c r="D650" s="2898">
        <f>'E - Resource Limits'!$A$80</f>
        <v>65</v>
      </c>
      <c r="E650" t="str">
        <f>'E - Resource Limits'!$B$80</f>
        <v>Anticipated Resources Per 2. above</v>
      </c>
      <c r="F650" t="str">
        <f>'E - Resource Limits'!C6</f>
        <v>HCHS</v>
      </c>
      <c r="S650">
        <f>'E - Resource Limits'!C80</f>
        <v>0</v>
      </c>
      <c r="U650">
        <f t="shared" si="29"/>
        <v>0</v>
      </c>
    </row>
    <row r="651" spans="1:21">
      <c r="A651" s="2895" t="str">
        <f>ORG!$S$1</f>
        <v>Apr 23</v>
      </c>
      <c r="B651" t="str">
        <f>ORG!$M$1</f>
        <v>Public Health Wales Trust</v>
      </c>
      <c r="C651" t="str">
        <f>'E - Resource Limits'!$A$5</f>
        <v>Table E - Resource Limits</v>
      </c>
      <c r="D651" s="2898">
        <f>'E - Resource Limits'!$A$81</f>
        <v>66</v>
      </c>
      <c r="E651" t="str">
        <f>'E - Resource Limits'!$B$81</f>
        <v>Total Resources</v>
      </c>
      <c r="F651" t="str">
        <f>F650</f>
        <v>HCHS</v>
      </c>
      <c r="S651">
        <f>'E - Resource Limits'!C81</f>
        <v>0</v>
      </c>
      <c r="U651">
        <f t="shared" si="29"/>
        <v>0</v>
      </c>
    </row>
    <row r="652" spans="1:21">
      <c r="A652" s="2895" t="str">
        <f>ORG!$S$1</f>
        <v>Apr 23</v>
      </c>
      <c r="B652" t="str">
        <f>ORG!$M$1</f>
        <v>Public Health Wales Trust</v>
      </c>
      <c r="C652" t="str">
        <f>'E - Resource Limits'!$A$5</f>
        <v>Table E - Resource Limits</v>
      </c>
      <c r="D652" s="2898">
        <f>'E - Resource Limits'!$A$79</f>
        <v>64</v>
      </c>
      <c r="E652" t="str">
        <f>'E - Resource Limits'!$B$79</f>
        <v>Confirmed Resources Per 1. above</v>
      </c>
      <c r="F652" t="str">
        <f>'E - Resource Limits'!D6</f>
        <v>Pharmacy</v>
      </c>
      <c r="S652">
        <f>'E - Resource Limits'!D79</f>
        <v>0</v>
      </c>
      <c r="U652">
        <f t="shared" si="29"/>
        <v>0</v>
      </c>
    </row>
    <row r="653" spans="1:21">
      <c r="A653" s="2895" t="str">
        <f>ORG!$S$1</f>
        <v>Apr 23</v>
      </c>
      <c r="B653" t="str">
        <f>ORG!$M$1</f>
        <v>Public Health Wales Trust</v>
      </c>
      <c r="C653" t="str">
        <f>'E - Resource Limits'!$A$5</f>
        <v>Table E - Resource Limits</v>
      </c>
      <c r="D653" s="2898">
        <f>'E - Resource Limits'!$A$80</f>
        <v>65</v>
      </c>
      <c r="E653" t="str">
        <f>'E - Resource Limits'!$B$80</f>
        <v>Anticipated Resources Per 2. above</v>
      </c>
      <c r="F653" t="str">
        <f>F652</f>
        <v>Pharmacy</v>
      </c>
      <c r="S653">
        <f>'E - Resource Limits'!D80</f>
        <v>0</v>
      </c>
      <c r="U653">
        <f t="shared" si="29"/>
        <v>0</v>
      </c>
    </row>
    <row r="654" spans="1:21">
      <c r="A654" s="2895" t="str">
        <f>ORG!$S$1</f>
        <v>Apr 23</v>
      </c>
      <c r="B654" t="str">
        <f>ORG!$M$1</f>
        <v>Public Health Wales Trust</v>
      </c>
      <c r="C654" t="str">
        <f>'E - Resource Limits'!$A$5</f>
        <v>Table E - Resource Limits</v>
      </c>
      <c r="D654" s="2898">
        <f>'E - Resource Limits'!$A$81</f>
        <v>66</v>
      </c>
      <c r="E654" t="str">
        <f>'E - Resource Limits'!$B$81</f>
        <v>Total Resources</v>
      </c>
      <c r="F654" t="str">
        <f>F653</f>
        <v>Pharmacy</v>
      </c>
      <c r="S654">
        <f>'E - Resource Limits'!D81</f>
        <v>0</v>
      </c>
      <c r="U654">
        <f t="shared" si="29"/>
        <v>0</v>
      </c>
    </row>
    <row r="655" spans="1:21">
      <c r="A655" s="2895" t="str">
        <f>ORG!$S$1</f>
        <v>Apr 23</v>
      </c>
      <c r="B655" t="str">
        <f>ORG!$M$1</f>
        <v>Public Health Wales Trust</v>
      </c>
      <c r="C655" t="str">
        <f>'E - Resource Limits'!$A$5</f>
        <v>Table E - Resource Limits</v>
      </c>
      <c r="D655" s="2898">
        <f>'E - Resource Limits'!$A$79</f>
        <v>64</v>
      </c>
      <c r="E655" t="str">
        <f>'E - Resource Limits'!$B$79</f>
        <v>Confirmed Resources Per 1. above</v>
      </c>
      <c r="F655" t="str">
        <f>'E - Resource Limits'!E6</f>
        <v>Dental</v>
      </c>
      <c r="S655">
        <f>'E - Resource Limits'!E79</f>
        <v>0</v>
      </c>
      <c r="U655">
        <f t="shared" si="29"/>
        <v>0</v>
      </c>
    </row>
    <row r="656" spans="1:21">
      <c r="A656" s="2895" t="str">
        <f>ORG!$S$1</f>
        <v>Apr 23</v>
      </c>
      <c r="B656" t="str">
        <f>ORG!$M$1</f>
        <v>Public Health Wales Trust</v>
      </c>
      <c r="C656" t="str">
        <f>'E - Resource Limits'!$A$5</f>
        <v>Table E - Resource Limits</v>
      </c>
      <c r="D656" s="2898">
        <f>'E - Resource Limits'!$A$80</f>
        <v>65</v>
      </c>
      <c r="E656" t="str">
        <f>'E - Resource Limits'!$B$80</f>
        <v>Anticipated Resources Per 2. above</v>
      </c>
      <c r="F656" t="str">
        <f>F655</f>
        <v>Dental</v>
      </c>
      <c r="S656">
        <f>'E - Resource Limits'!E80</f>
        <v>0</v>
      </c>
      <c r="U656">
        <f t="shared" si="29"/>
        <v>0</v>
      </c>
    </row>
    <row r="657" spans="1:21">
      <c r="A657" s="2895" t="str">
        <f>ORG!$S$1</f>
        <v>Apr 23</v>
      </c>
      <c r="B657" t="str">
        <f>ORG!$M$1</f>
        <v>Public Health Wales Trust</v>
      </c>
      <c r="C657" t="str">
        <f>'E - Resource Limits'!$A$5</f>
        <v>Table E - Resource Limits</v>
      </c>
      <c r="D657" s="2898">
        <f>'E - Resource Limits'!$A$81</f>
        <v>66</v>
      </c>
      <c r="E657" t="str">
        <f>'E - Resource Limits'!$B$81</f>
        <v>Total Resources</v>
      </c>
      <c r="F657" t="str">
        <f>F656</f>
        <v>Dental</v>
      </c>
      <c r="S657">
        <f>'E - Resource Limits'!E81</f>
        <v>0</v>
      </c>
      <c r="U657">
        <f t="shared" ref="U657:U734" si="30">S657+T657</f>
        <v>0</v>
      </c>
    </row>
    <row r="658" spans="1:21">
      <c r="A658" s="2895" t="str">
        <f>ORG!$S$1</f>
        <v>Apr 23</v>
      </c>
      <c r="B658" t="str">
        <f>ORG!$M$1</f>
        <v>Public Health Wales Trust</v>
      </c>
      <c r="C658" t="str">
        <f>'E - Resource Limits'!$A$5</f>
        <v>Table E - Resource Limits</v>
      </c>
      <c r="D658" s="2898">
        <f>'E - Resource Limits'!$A$79</f>
        <v>64</v>
      </c>
      <c r="E658" t="str">
        <f>'E - Resource Limits'!$B$79</f>
        <v>Confirmed Resources Per 1. above</v>
      </c>
      <c r="F658" t="str">
        <f>'E - Resource Limits'!F6</f>
        <v>GMS</v>
      </c>
      <c r="S658">
        <f>'E - Resource Limits'!F79</f>
        <v>0</v>
      </c>
      <c r="U658">
        <f t="shared" si="30"/>
        <v>0</v>
      </c>
    </row>
    <row r="659" spans="1:21">
      <c r="A659" s="2895" t="str">
        <f>ORG!$S$1</f>
        <v>Apr 23</v>
      </c>
      <c r="B659" t="str">
        <f>ORG!$M$1</f>
        <v>Public Health Wales Trust</v>
      </c>
      <c r="C659" t="str">
        <f>'E - Resource Limits'!$A$5</f>
        <v>Table E - Resource Limits</v>
      </c>
      <c r="D659" s="2898">
        <f>'E - Resource Limits'!$A$80</f>
        <v>65</v>
      </c>
      <c r="E659" t="str">
        <f>'E - Resource Limits'!$B$80</f>
        <v>Anticipated Resources Per 2. above</v>
      </c>
      <c r="F659" t="str">
        <f>F658</f>
        <v>GMS</v>
      </c>
      <c r="S659">
        <f>'E - Resource Limits'!F80</f>
        <v>0</v>
      </c>
      <c r="U659">
        <f t="shared" si="30"/>
        <v>0</v>
      </c>
    </row>
    <row r="660" spans="1:21">
      <c r="A660" s="2895" t="str">
        <f>ORG!$S$1</f>
        <v>Apr 23</v>
      </c>
      <c r="B660" t="str">
        <f>ORG!$M$1</f>
        <v>Public Health Wales Trust</v>
      </c>
      <c r="C660" t="str">
        <f>'E - Resource Limits'!$A$5</f>
        <v>Table E - Resource Limits</v>
      </c>
      <c r="D660" s="2898">
        <f>'E - Resource Limits'!$A$81</f>
        <v>66</v>
      </c>
      <c r="E660" t="str">
        <f>'E - Resource Limits'!$B$81</f>
        <v>Total Resources</v>
      </c>
      <c r="F660" t="str">
        <f>F659</f>
        <v>GMS</v>
      </c>
      <c r="S660">
        <f>'E - Resource Limits'!F81</f>
        <v>0</v>
      </c>
      <c r="U660">
        <f t="shared" si="30"/>
        <v>0</v>
      </c>
    </row>
    <row r="661" spans="1:21">
      <c r="A661" s="2895" t="str">
        <f>ORG!$S$1</f>
        <v>Apr 23</v>
      </c>
      <c r="B661" t="str">
        <f>ORG!$M$1</f>
        <v>Public Health Wales Trust</v>
      </c>
      <c r="C661" t="str">
        <f>'E - Resource Limits'!$A$5</f>
        <v>Table E - Resource Limits</v>
      </c>
      <c r="D661" s="2898">
        <f>'E - Resource Limits'!$A$79</f>
        <v>64</v>
      </c>
      <c r="E661" t="str">
        <f>'E - Resource Limits'!$B$79</f>
        <v>Confirmed Resources Per 1. above</v>
      </c>
      <c r="F661" t="str">
        <f>'E - Resource Limits'!G4</f>
        <v>Total Revenue</v>
      </c>
      <c r="S661">
        <f>'E - Resource Limits'!G79</f>
        <v>0</v>
      </c>
      <c r="U661">
        <f t="shared" si="30"/>
        <v>0</v>
      </c>
    </row>
    <row r="662" spans="1:21">
      <c r="A662" s="2895" t="str">
        <f>ORG!$S$1</f>
        <v>Apr 23</v>
      </c>
      <c r="B662" t="str">
        <f>ORG!$M$1</f>
        <v>Public Health Wales Trust</v>
      </c>
      <c r="C662" t="str">
        <f>'E - Resource Limits'!$A$5</f>
        <v>Table E - Resource Limits</v>
      </c>
      <c r="D662" s="2898">
        <f>'E - Resource Limits'!$A$80</f>
        <v>65</v>
      </c>
      <c r="E662" t="str">
        <f>'E - Resource Limits'!$B$80</f>
        <v>Anticipated Resources Per 2. above</v>
      </c>
      <c r="F662" t="str">
        <f>F661</f>
        <v>Total Revenue</v>
      </c>
      <c r="S662">
        <f>'E - Resource Limits'!G80</f>
        <v>0</v>
      </c>
      <c r="U662">
        <f t="shared" si="30"/>
        <v>0</v>
      </c>
    </row>
    <row r="663" spans="1:21">
      <c r="A663" s="2895" t="str">
        <f>ORG!$S$1</f>
        <v>Apr 23</v>
      </c>
      <c r="B663" t="str">
        <f>ORG!$M$1</f>
        <v>Public Health Wales Trust</v>
      </c>
      <c r="C663" t="str">
        <f>'E - Resource Limits'!$A$5</f>
        <v>Table E - Resource Limits</v>
      </c>
      <c r="D663" s="2898">
        <f>'E - Resource Limits'!$A$81</f>
        <v>66</v>
      </c>
      <c r="E663" t="str">
        <f>'E - Resource Limits'!$B$81</f>
        <v>Total Resources</v>
      </c>
      <c r="F663" t="str">
        <f>F662</f>
        <v>Total Revenue</v>
      </c>
      <c r="S663">
        <f>'E - Resource Limits'!G81</f>
        <v>0</v>
      </c>
      <c r="U663">
        <f t="shared" si="30"/>
        <v>0</v>
      </c>
    </row>
    <row r="664" spans="1:21">
      <c r="A664" s="2895" t="str">
        <f>ORG!$S$1</f>
        <v>Apr 23</v>
      </c>
      <c r="B664" t="str">
        <f>ORG!$M$1</f>
        <v>Public Health Wales Trust</v>
      </c>
      <c r="C664" t="str">
        <f>'E - Resource Limits'!$A$5</f>
        <v>Table E - Resource Limits</v>
      </c>
      <c r="D664" s="2898">
        <f>'E - Resource Limits'!$A$79</f>
        <v>64</v>
      </c>
      <c r="E664" t="str">
        <f>'E - Resource Limits'!$B$79</f>
        <v>Confirmed Resources Per 1. above</v>
      </c>
      <c r="F664" t="str">
        <f>'E - Resource Limits'!I5</f>
        <v>Revenue Drawing</v>
      </c>
      <c r="S664">
        <f>'E - Resource Limits'!I79</f>
        <v>0</v>
      </c>
      <c r="U664">
        <f t="shared" si="30"/>
        <v>0</v>
      </c>
    </row>
    <row r="665" spans="1:21">
      <c r="A665" s="2895" t="str">
        <f>ORG!$S$1</f>
        <v>Apr 23</v>
      </c>
      <c r="B665" t="str">
        <f>ORG!$M$1</f>
        <v>Public Health Wales Trust</v>
      </c>
      <c r="C665" t="str">
        <f>'E - Resource Limits'!$A$5</f>
        <v>Table E - Resource Limits</v>
      </c>
      <c r="D665" s="2898">
        <f>'E - Resource Limits'!$A$80</f>
        <v>65</v>
      </c>
      <c r="E665" t="str">
        <f>'E - Resource Limits'!$B$80</f>
        <v>Anticipated Resources Per 2. above</v>
      </c>
      <c r="F665" t="str">
        <f>F664</f>
        <v>Revenue Drawing</v>
      </c>
      <c r="S665">
        <f>'E - Resource Limits'!I80</f>
        <v>0</v>
      </c>
      <c r="U665">
        <f t="shared" si="30"/>
        <v>0</v>
      </c>
    </row>
    <row r="666" spans="1:21">
      <c r="A666" s="2895" t="str">
        <f>ORG!$S$1</f>
        <v>Apr 23</v>
      </c>
      <c r="B666" t="str">
        <f>ORG!$M$1</f>
        <v>Public Health Wales Trust</v>
      </c>
      <c r="C666" t="str">
        <f>'E - Resource Limits'!$A$5</f>
        <v>Table E - Resource Limits</v>
      </c>
      <c r="D666" s="2898">
        <f>'E - Resource Limits'!$A$81</f>
        <v>66</v>
      </c>
      <c r="E666" t="str">
        <f>'E - Resource Limits'!$B$81</f>
        <v>Total Resources</v>
      </c>
      <c r="F666" t="str">
        <f>F665</f>
        <v>Revenue Drawing</v>
      </c>
      <c r="S666">
        <f>'E - Resource Limits'!I81</f>
        <v>0</v>
      </c>
      <c r="U666">
        <f t="shared" si="30"/>
        <v>0</v>
      </c>
    </row>
    <row r="667" spans="1:21">
      <c r="A667" s="2895" t="str">
        <f>ORG!$S$1</f>
        <v>Apr 23</v>
      </c>
      <c r="B667" t="str">
        <f>ORG!$M$1</f>
        <v>Public Health Wales Trust</v>
      </c>
      <c r="C667" t="str">
        <f>'E - Resource Limits'!$A$5</f>
        <v>Table E - Resource Limits</v>
      </c>
      <c r="D667" s="2898">
        <f>'E - Resource Limits'!$A$79</f>
        <v>64</v>
      </c>
      <c r="E667" t="str">
        <f>'E - Resource Limits'!$B$79</f>
        <v>Confirmed Resources Per 1. above</v>
      </c>
      <c r="F667" t="str">
        <f>'E - Resource Limits'!J5</f>
        <v>Capital Resource</v>
      </c>
      <c r="S667">
        <f>'E - Resource Limits'!J79</f>
        <v>0</v>
      </c>
      <c r="U667">
        <f t="shared" si="30"/>
        <v>0</v>
      </c>
    </row>
    <row r="668" spans="1:21">
      <c r="A668" s="2895" t="str">
        <f>ORG!$S$1</f>
        <v>Apr 23</v>
      </c>
      <c r="B668" t="str">
        <f>ORG!$M$1</f>
        <v>Public Health Wales Trust</v>
      </c>
      <c r="C668" t="str">
        <f>'E - Resource Limits'!$A$5</f>
        <v>Table E - Resource Limits</v>
      </c>
      <c r="D668" s="2898">
        <f>'E - Resource Limits'!$A$80</f>
        <v>65</v>
      </c>
      <c r="E668" t="str">
        <f>'E - Resource Limits'!$B$80</f>
        <v>Anticipated Resources Per 2. above</v>
      </c>
      <c r="F668" t="str">
        <f>F667</f>
        <v>Capital Resource</v>
      </c>
      <c r="S668">
        <f>'E - Resource Limits'!J80</f>
        <v>0</v>
      </c>
      <c r="U668">
        <f t="shared" si="30"/>
        <v>0</v>
      </c>
    </row>
    <row r="669" spans="1:21">
      <c r="A669" s="2895" t="str">
        <f>ORG!$S$1</f>
        <v>Apr 23</v>
      </c>
      <c r="B669" t="str">
        <f>ORG!$M$1</f>
        <v>Public Health Wales Trust</v>
      </c>
      <c r="C669" t="str">
        <f>'E - Resource Limits'!$A$5</f>
        <v>Table E - Resource Limits</v>
      </c>
      <c r="D669" s="2898">
        <f>'E - Resource Limits'!$A$81</f>
        <v>66</v>
      </c>
      <c r="E669" t="str">
        <f>'E - Resource Limits'!$B$81</f>
        <v>Total Resources</v>
      </c>
      <c r="F669" t="str">
        <f>F668</f>
        <v>Capital Resource</v>
      </c>
      <c r="S669">
        <f>'E - Resource Limits'!J81</f>
        <v>0</v>
      </c>
      <c r="U669">
        <f t="shared" si="30"/>
        <v>0</v>
      </c>
    </row>
    <row r="670" spans="1:21">
      <c r="A670" s="2895" t="str">
        <f>ORG!$S$1</f>
        <v>Apr 23</v>
      </c>
      <c r="B670" t="str">
        <f>ORG!$M$1</f>
        <v>Public Health Wales Trust</v>
      </c>
      <c r="C670" t="str">
        <f>'E - Resource Limits'!$A$5</f>
        <v>Table E - Resource Limits</v>
      </c>
      <c r="D670" s="2898">
        <f>'E - Resource Limits'!$A$79</f>
        <v>64</v>
      </c>
      <c r="E670" t="str">
        <f>'E - Resource Limits'!$B$79</f>
        <v>Confirmed Resources Per 1. above</v>
      </c>
      <c r="F670" t="str">
        <f>'E - Resource Limits'!K5</f>
        <v>Capital Drawing</v>
      </c>
      <c r="S670">
        <f>'E - Resource Limits'!K79</f>
        <v>0</v>
      </c>
      <c r="U670">
        <f t="shared" si="30"/>
        <v>0</v>
      </c>
    </row>
    <row r="671" spans="1:21">
      <c r="A671" s="2895" t="str">
        <f>ORG!$S$1</f>
        <v>Apr 23</v>
      </c>
      <c r="B671" t="str">
        <f>ORG!$M$1</f>
        <v>Public Health Wales Trust</v>
      </c>
      <c r="C671" t="str">
        <f>'E - Resource Limits'!$A$5</f>
        <v>Table E - Resource Limits</v>
      </c>
      <c r="D671" s="2898">
        <f>'E - Resource Limits'!$A$80</f>
        <v>65</v>
      </c>
      <c r="E671" t="str">
        <f>'E - Resource Limits'!$B$80</f>
        <v>Anticipated Resources Per 2. above</v>
      </c>
      <c r="F671" t="str">
        <f>F670</f>
        <v>Capital Drawing</v>
      </c>
      <c r="S671">
        <f>'E - Resource Limits'!K80</f>
        <v>0</v>
      </c>
      <c r="U671">
        <f t="shared" si="30"/>
        <v>0</v>
      </c>
    </row>
    <row r="672" spans="1:21">
      <c r="A672" s="2895" t="str">
        <f>ORG!$S$1</f>
        <v>Apr 23</v>
      </c>
      <c r="B672" t="str">
        <f>ORG!$M$1</f>
        <v>Public Health Wales Trust</v>
      </c>
      <c r="C672" t="str">
        <f>'E - Resource Limits'!$A$5</f>
        <v>Table E - Resource Limits</v>
      </c>
      <c r="D672" s="2898">
        <f>'E - Resource Limits'!$A$81</f>
        <v>66</v>
      </c>
      <c r="E672" t="str">
        <f>'E - Resource Limits'!$B$81</f>
        <v>Total Resources</v>
      </c>
      <c r="F672" t="str">
        <f>F671</f>
        <v>Capital Drawing</v>
      </c>
      <c r="S672">
        <f>'E - Resource Limits'!K81</f>
        <v>0</v>
      </c>
      <c r="U672">
        <f t="shared" si="30"/>
        <v>0</v>
      </c>
    </row>
    <row r="673" spans="1:21">
      <c r="A673" s="2895" t="str">
        <f>ORG!$S$1</f>
        <v>Apr 23</v>
      </c>
      <c r="B673" t="str">
        <f>ORG!$M$1</f>
        <v>Public Health Wales Trust</v>
      </c>
      <c r="C673" t="str">
        <f>'E - Resource Limits'!$A$5</f>
        <v>Table E - Resource Limits</v>
      </c>
      <c r="D673" s="2898">
        <f>'E - Resource Limits'!$A$9</f>
        <v>1</v>
      </c>
      <c r="E673" s="2896" t="str">
        <f>'E - Resource Limits'!$B$9</f>
        <v>LATEST ALLOCATION LETTER/SCHEDULE REF:</v>
      </c>
      <c r="F673" t="str">
        <f>'E - Resource Limits'!$C$6</f>
        <v>HCHS</v>
      </c>
      <c r="S673">
        <f>'E - Resource Limits'!C9</f>
        <v>0</v>
      </c>
      <c r="U673">
        <f t="shared" si="30"/>
        <v>0</v>
      </c>
    </row>
    <row r="674" spans="1:21">
      <c r="A674" s="2895" t="str">
        <f>ORG!$S$1</f>
        <v>Apr 23</v>
      </c>
      <c r="B674" t="str">
        <f>ORG!$M$1</f>
        <v>Public Health Wales Trust</v>
      </c>
      <c r="C674" t="str">
        <f>'E - Resource Limits'!$A$5</f>
        <v>Table E - Resource Limits</v>
      </c>
      <c r="D674" s="2898">
        <f>'E - Resource Limits'!$A$10</f>
        <v>2</v>
      </c>
      <c r="E674" s="2896" t="str">
        <f>'E - Resource Limits'!$B$10</f>
        <v>Total Confirmed Funding</v>
      </c>
      <c r="F674" t="str">
        <f>'E - Resource Limits'!$C$6</f>
        <v>HCHS</v>
      </c>
      <c r="S674">
        <f>'E - Resource Limits'!C10</f>
        <v>0</v>
      </c>
      <c r="U674">
        <f t="shared" si="30"/>
        <v>0</v>
      </c>
    </row>
    <row r="675" spans="1:21">
      <c r="A675" s="2895" t="str">
        <f>ORG!$S$1</f>
        <v>Apr 23</v>
      </c>
      <c r="B675" t="str">
        <f>ORG!$M$1</f>
        <v>Public Health Wales Trust</v>
      </c>
      <c r="C675" t="str">
        <f>'E - Resource Limits'!$A$5</f>
        <v>Table E - Resource Limits</v>
      </c>
      <c r="D675" s="2898">
        <f>'E - Resource Limits'!$A$9</f>
        <v>1</v>
      </c>
      <c r="E675" s="2896" t="str">
        <f>'E - Resource Limits'!$B$9</f>
        <v>LATEST ALLOCATION LETTER/SCHEDULE REF:</v>
      </c>
      <c r="F675" t="str">
        <f>'E - Resource Limits'!$D$6</f>
        <v>Pharmacy</v>
      </c>
      <c r="S675">
        <f>'E - Resource Limits'!D9</f>
        <v>0</v>
      </c>
      <c r="U675">
        <f t="shared" si="30"/>
        <v>0</v>
      </c>
    </row>
    <row r="676" spans="1:21">
      <c r="A676" s="2895" t="str">
        <f>ORG!$S$1</f>
        <v>Apr 23</v>
      </c>
      <c r="B676" t="str">
        <f>ORG!$M$1</f>
        <v>Public Health Wales Trust</v>
      </c>
      <c r="C676" t="str">
        <f>'E - Resource Limits'!$A$5</f>
        <v>Table E - Resource Limits</v>
      </c>
      <c r="D676" s="2898">
        <f>'E - Resource Limits'!$A$10</f>
        <v>2</v>
      </c>
      <c r="E676" s="2896" t="str">
        <f>'E - Resource Limits'!$B$10</f>
        <v>Total Confirmed Funding</v>
      </c>
      <c r="F676" t="str">
        <f>'E - Resource Limits'!$D$6</f>
        <v>Pharmacy</v>
      </c>
      <c r="S676">
        <f>'E - Resource Limits'!D10</f>
        <v>0</v>
      </c>
      <c r="U676">
        <f t="shared" si="30"/>
        <v>0</v>
      </c>
    </row>
    <row r="677" spans="1:21">
      <c r="A677" s="2895" t="str">
        <f>ORG!$S$1</f>
        <v>Apr 23</v>
      </c>
      <c r="B677" t="str">
        <f>ORG!$M$1</f>
        <v>Public Health Wales Trust</v>
      </c>
      <c r="C677" t="str">
        <f>'E - Resource Limits'!$A$5</f>
        <v>Table E - Resource Limits</v>
      </c>
      <c r="D677" s="2898">
        <f>'E - Resource Limits'!$A$9</f>
        <v>1</v>
      </c>
      <c r="E677" s="2896" t="str">
        <f>'E - Resource Limits'!$B$9</f>
        <v>LATEST ALLOCATION LETTER/SCHEDULE REF:</v>
      </c>
      <c r="F677" t="str">
        <f>'E - Resource Limits'!$E$6</f>
        <v>Dental</v>
      </c>
      <c r="S677">
        <f>'E - Resource Limits'!E9</f>
        <v>0</v>
      </c>
      <c r="U677">
        <f t="shared" si="30"/>
        <v>0</v>
      </c>
    </row>
    <row r="678" spans="1:21">
      <c r="A678" s="2895" t="str">
        <f>ORG!$S$1</f>
        <v>Apr 23</v>
      </c>
      <c r="B678" t="str">
        <f>ORG!$M$1</f>
        <v>Public Health Wales Trust</v>
      </c>
      <c r="C678" t="str">
        <f>'E - Resource Limits'!$A$5</f>
        <v>Table E - Resource Limits</v>
      </c>
      <c r="D678" s="2898">
        <f>'E - Resource Limits'!$A$10</f>
        <v>2</v>
      </c>
      <c r="E678" s="2896" t="str">
        <f>'E - Resource Limits'!$B$10</f>
        <v>Total Confirmed Funding</v>
      </c>
      <c r="F678" t="str">
        <f>'E - Resource Limits'!$E$6</f>
        <v>Dental</v>
      </c>
      <c r="S678">
        <f>'E - Resource Limits'!E10</f>
        <v>0</v>
      </c>
      <c r="U678">
        <f t="shared" si="30"/>
        <v>0</v>
      </c>
    </row>
    <row r="679" spans="1:21">
      <c r="A679" s="2895" t="str">
        <f>ORG!$S$1</f>
        <v>Apr 23</v>
      </c>
      <c r="B679" t="str">
        <f>ORG!$M$1</f>
        <v>Public Health Wales Trust</v>
      </c>
      <c r="C679" t="str">
        <f>'E - Resource Limits'!$A$5</f>
        <v>Table E - Resource Limits</v>
      </c>
      <c r="D679" s="2898">
        <f>'E - Resource Limits'!$A$9</f>
        <v>1</v>
      </c>
      <c r="E679" s="2896" t="str">
        <f>'E - Resource Limits'!$B$9</f>
        <v>LATEST ALLOCATION LETTER/SCHEDULE REF:</v>
      </c>
      <c r="F679" t="str">
        <f>'E - Resource Limits'!$F$6</f>
        <v>GMS</v>
      </c>
      <c r="S679">
        <f>'E - Resource Limits'!F9</f>
        <v>0</v>
      </c>
      <c r="U679">
        <f t="shared" si="30"/>
        <v>0</v>
      </c>
    </row>
    <row r="680" spans="1:21">
      <c r="A680" s="2895" t="str">
        <f>ORG!$S$1</f>
        <v>Apr 23</v>
      </c>
      <c r="B680" t="str">
        <f>ORG!$M$1</f>
        <v>Public Health Wales Trust</v>
      </c>
      <c r="C680" t="str">
        <f>'E - Resource Limits'!$A$5</f>
        <v>Table E - Resource Limits</v>
      </c>
      <c r="D680" s="2898">
        <f>'E - Resource Limits'!$A$10</f>
        <v>2</v>
      </c>
      <c r="E680" s="2896" t="str">
        <f>'E - Resource Limits'!$B$10</f>
        <v>Total Confirmed Funding</v>
      </c>
      <c r="F680" t="str">
        <f>'E - Resource Limits'!$F$6</f>
        <v>GMS</v>
      </c>
      <c r="S680">
        <f>'E - Resource Limits'!F10</f>
        <v>0</v>
      </c>
      <c r="U680">
        <f t="shared" si="30"/>
        <v>0</v>
      </c>
    </row>
    <row r="681" spans="1:21">
      <c r="A681" s="2895" t="str">
        <f>ORG!$S$1</f>
        <v>Apr 23</v>
      </c>
      <c r="B681" t="str">
        <f>ORG!$M$1</f>
        <v>Public Health Wales Trust</v>
      </c>
      <c r="C681" t="str">
        <f>'E - Resource Limits'!$A$5</f>
        <v>Table E - Resource Limits</v>
      </c>
      <c r="D681" s="2898">
        <f>'E - Resource Limits'!$A$10</f>
        <v>2</v>
      </c>
      <c r="E681" s="2896" t="str">
        <f>'E - Resource Limits'!$B$10</f>
        <v>Total Confirmed Funding</v>
      </c>
      <c r="F681" s="1453" t="s">
        <v>1255</v>
      </c>
      <c r="S681">
        <f>'E - Resource Limits'!G10</f>
        <v>0</v>
      </c>
      <c r="U681">
        <f t="shared" si="30"/>
        <v>0</v>
      </c>
    </row>
    <row r="682" spans="1:21">
      <c r="A682" s="2895" t="str">
        <f>ORG!$S$1</f>
        <v>Apr 23</v>
      </c>
      <c r="B682" t="str">
        <f>ORG!$M$1</f>
        <v>Public Health Wales Trust</v>
      </c>
      <c r="C682" t="str">
        <f>'E - Resource Limits'!$A$5</f>
        <v>Table E - Resource Limits</v>
      </c>
      <c r="D682" s="2898">
        <f>'E - Resource Limits'!$A$10</f>
        <v>2</v>
      </c>
      <c r="E682" s="2896" t="str">
        <f>'E - Resource Limits'!$B$10</f>
        <v>Total Confirmed Funding</v>
      </c>
      <c r="F682" s="1453" t="s">
        <v>1256</v>
      </c>
      <c r="S682">
        <f>'E - Resource Limits'!I10</f>
        <v>0</v>
      </c>
      <c r="U682">
        <f t="shared" si="30"/>
        <v>0</v>
      </c>
    </row>
    <row r="683" spans="1:21">
      <c r="A683" s="2895" t="str">
        <f>ORG!$S$1</f>
        <v>Apr 23</v>
      </c>
      <c r="B683" t="str">
        <f>ORG!$M$1</f>
        <v>Public Health Wales Trust</v>
      </c>
      <c r="C683" t="str">
        <f>'E - Resource Limits'!$A$5</f>
        <v>Table E - Resource Limits</v>
      </c>
      <c r="D683" s="2898">
        <f>'E - Resource Limits'!$A$10</f>
        <v>2</v>
      </c>
      <c r="E683" s="2896" t="str">
        <f>'E - Resource Limits'!$B$10</f>
        <v>Total Confirmed Funding</v>
      </c>
      <c r="F683" s="1453" t="s">
        <v>1258</v>
      </c>
      <c r="S683">
        <f>'E - Resource Limits'!J10</f>
        <v>0</v>
      </c>
      <c r="U683">
        <f t="shared" si="30"/>
        <v>0</v>
      </c>
    </row>
    <row r="684" spans="1:21">
      <c r="A684" s="2895" t="str">
        <f>ORG!$S$1</f>
        <v>Apr 23</v>
      </c>
      <c r="B684" t="str">
        <f>ORG!$M$1</f>
        <v>Public Health Wales Trust</v>
      </c>
      <c r="C684" t="str">
        <f>'E - Resource Limits'!$A$5</f>
        <v>Table E - Resource Limits</v>
      </c>
      <c r="D684" s="2898">
        <f>'E - Resource Limits'!$A$10</f>
        <v>2</v>
      </c>
      <c r="E684" s="2896" t="str">
        <f>'E - Resource Limits'!$B$10</f>
        <v>Total Confirmed Funding</v>
      </c>
      <c r="F684" s="1453" t="s">
        <v>1257</v>
      </c>
      <c r="S684">
        <f>'E - Resource Limits'!K10</f>
        <v>0</v>
      </c>
      <c r="U684">
        <f t="shared" si="30"/>
        <v>0</v>
      </c>
    </row>
    <row r="685" spans="1:21">
      <c r="A685" s="2895" t="str">
        <f>ORG!$S$1</f>
        <v>Apr 23</v>
      </c>
      <c r="B685" t="str">
        <f>ORG!$M$1</f>
        <v>Public Health Wales Trust</v>
      </c>
      <c r="C685" t="str">
        <f>'E - Resource Limits'!$A$5</f>
        <v>Table E - Resource Limits</v>
      </c>
      <c r="D685" s="2898">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5" t="str">
        <f>ORG!$S$1</f>
        <v>Apr 23</v>
      </c>
      <c r="B686" t="str">
        <f>ORG!$M$1</f>
        <v>Public Health Wales Trust</v>
      </c>
      <c r="C686" t="str">
        <f>'E - Resource Limits'!$A$5</f>
        <v>Table E - Resource Limits</v>
      </c>
      <c r="D686" s="2898">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5" t="str">
        <f>ORG!$S$1</f>
        <v>Apr 23</v>
      </c>
      <c r="B687" t="str">
        <f>ORG!$M$1</f>
        <v>Public Health Wales Trust</v>
      </c>
      <c r="C687" t="str">
        <f>'E - Resource Limits'!$A$5</f>
        <v>Table E - Resource Limits</v>
      </c>
      <c r="D687" s="2898">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5" t="str">
        <f>ORG!$S$1</f>
        <v>Apr 23</v>
      </c>
      <c r="B688" t="str">
        <f>ORG!$M$1</f>
        <v>Public Health Wales Trust</v>
      </c>
      <c r="C688" t="str">
        <f>'E - Resource Limits'!$A$5</f>
        <v>Table E - Resource Limits</v>
      </c>
      <c r="D688" s="2898">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5" t="str">
        <f>ORG!$S$1</f>
        <v>Apr 23</v>
      </c>
      <c r="B689" t="str">
        <f>ORG!$M$1</f>
        <v>Public Health Wales Trust</v>
      </c>
      <c r="C689" t="str">
        <f>'E - Resource Limits'!$A$5</f>
        <v>Table E - Resource Limits</v>
      </c>
      <c r="D689" s="2898">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5" t="str">
        <f>ORG!$S$1</f>
        <v>Apr 23</v>
      </c>
      <c r="B690" t="str">
        <f>ORG!$M$1</f>
        <v>Public Health Wales Trust</v>
      </c>
      <c r="C690" t="str">
        <f>'E - Resource Limits'!$A$5</f>
        <v>Table E - Resource Limits</v>
      </c>
      <c r="D690" s="2898">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5" t="str">
        <f>ORG!$S$1</f>
        <v>Apr 23</v>
      </c>
      <c r="B691" t="str">
        <f>ORG!$M$1</f>
        <v>Public Health Wales Trust</v>
      </c>
      <c r="C691" t="str">
        <f>'E - Resource Limits'!$A$5</f>
        <v>Table E - Resource Limits</v>
      </c>
      <c r="D691" s="2898">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5" t="str">
        <f>ORG!$S$1</f>
        <v>Apr 23</v>
      </c>
      <c r="B692" t="str">
        <f>ORG!$M$1</f>
        <v>Public Health Wales Trust</v>
      </c>
      <c r="C692" t="str">
        <f>'E - Resource Limits'!$A$5</f>
        <v>Table E - Resource Limits</v>
      </c>
      <c r="D692" s="2898">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5" t="str">
        <f>ORG!$S$1</f>
        <v>Apr 23</v>
      </c>
      <c r="B693" t="str">
        <f>ORG!$M$1</f>
        <v>Public Health Wales Trust</v>
      </c>
      <c r="C693" t="str">
        <f>'E - Resource Limits'!$A$5</f>
        <v>Table E - Resource Limits</v>
      </c>
      <c r="D693" s="2898">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5" t="str">
        <f>ORG!$S$1</f>
        <v>Apr 23</v>
      </c>
      <c r="B694" t="str">
        <f>ORG!$M$1</f>
        <v>Public Health Wales Trust</v>
      </c>
      <c r="C694" t="str">
        <f>'E - Resource Limits'!$A$5</f>
        <v>Table E - Resource Limits</v>
      </c>
      <c r="D694" s="2898">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5" t="str">
        <f>ORG!$S$1</f>
        <v>Apr 23</v>
      </c>
      <c r="B695" t="str">
        <f>ORG!$M$1</f>
        <v>Public Health Wales Trust</v>
      </c>
      <c r="C695" t="str">
        <f>'E - Resource Limits'!$A$5</f>
        <v>Table E - Resource Limits</v>
      </c>
      <c r="D695" s="2898">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5" t="str">
        <f>ORG!$S$1</f>
        <v>Apr 23</v>
      </c>
      <c r="B696" t="str">
        <f>ORG!$M$1</f>
        <v>Public Health Wales Trust</v>
      </c>
      <c r="C696" t="str">
        <f>'E - Resource Limits'!$A$5</f>
        <v>Table E - Resource Limits</v>
      </c>
      <c r="D696" s="2898">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5" t="str">
        <f>ORG!$S$1</f>
        <v>Apr 23</v>
      </c>
      <c r="B697" t="str">
        <f>ORG!$M$1</f>
        <v>Public Health Wales Trust</v>
      </c>
      <c r="C697" t="str">
        <f>'E - Resource Limits'!$A$5</f>
        <v>Table E - Resource Limits</v>
      </c>
      <c r="D697" s="2898">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5" t="str">
        <f>ORG!$S$1</f>
        <v>Apr 23</v>
      </c>
      <c r="B698" t="str">
        <f>ORG!$M$1</f>
        <v>Public Health Wales Trust</v>
      </c>
      <c r="C698" t="str">
        <f>'E - Resource Limits'!$A$5</f>
        <v>Table E - Resource Limits</v>
      </c>
      <c r="D698" s="2898">
        <f>'E - Resource Limits'!A28</f>
        <v>16</v>
      </c>
      <c r="E698" t="str">
        <f>'E - Resource Limits'!B28&amp;" "&amp;'E - Resource Limits'!H28</f>
        <v xml:space="preserve"> </v>
      </c>
      <c r="F698" t="str">
        <f>'E - Resource Limits'!$C$6</f>
        <v>HCHS</v>
      </c>
      <c r="S698">
        <f>'E - Resource Limits'!C28</f>
        <v>0</v>
      </c>
      <c r="U698">
        <f t="shared" si="30"/>
        <v>0</v>
      </c>
    </row>
    <row r="699" spans="1:21">
      <c r="A699" s="2895" t="str">
        <f>ORG!$S$1</f>
        <v>Apr 23</v>
      </c>
      <c r="B699" t="str">
        <f>ORG!$M$1</f>
        <v>Public Health Wales Trust</v>
      </c>
      <c r="C699" t="str">
        <f>'E - Resource Limits'!$A$5</f>
        <v>Table E - Resource Limits</v>
      </c>
      <c r="D699" s="2898">
        <f>'E - Resource Limits'!A29</f>
        <v>17</v>
      </c>
      <c r="E699" t="str">
        <f>'E - Resource Limits'!B29&amp;" "&amp;'E - Resource Limits'!H29</f>
        <v xml:space="preserve"> </v>
      </c>
      <c r="F699" t="str">
        <f>'E - Resource Limits'!$C$6</f>
        <v>HCHS</v>
      </c>
      <c r="S699">
        <f>'E - Resource Limits'!C29</f>
        <v>0</v>
      </c>
      <c r="U699">
        <f t="shared" si="30"/>
        <v>0</v>
      </c>
    </row>
    <row r="700" spans="1:21">
      <c r="A700" s="2895" t="str">
        <f>ORG!$S$1</f>
        <v>Apr 23</v>
      </c>
      <c r="B700" t="str">
        <f>ORG!$M$1</f>
        <v>Public Health Wales Trust</v>
      </c>
      <c r="C700" t="str">
        <f>'E - Resource Limits'!$A$5</f>
        <v>Table E - Resource Limits</v>
      </c>
      <c r="D700" s="2898">
        <f>'E - Resource Limits'!A30</f>
        <v>18</v>
      </c>
      <c r="E700" t="str">
        <f>'E - Resource Limits'!B30&amp;" "&amp;'E - Resource Limits'!H30</f>
        <v xml:space="preserve"> </v>
      </c>
      <c r="F700" t="str">
        <f>'E - Resource Limits'!$C$6</f>
        <v>HCHS</v>
      </c>
      <c r="S700">
        <f>'E - Resource Limits'!C30</f>
        <v>0</v>
      </c>
      <c r="U700">
        <f t="shared" si="30"/>
        <v>0</v>
      </c>
    </row>
    <row r="701" spans="1:21">
      <c r="A701" s="2895" t="str">
        <f>ORG!$S$1</f>
        <v>Apr 23</v>
      </c>
      <c r="B701" t="str">
        <f>ORG!$M$1</f>
        <v>Public Health Wales Trust</v>
      </c>
      <c r="C701" t="str">
        <f>'E - Resource Limits'!$A$5</f>
        <v>Table E - Resource Limits</v>
      </c>
      <c r="D701" s="2898">
        <f>'E - Resource Limits'!A31</f>
        <v>19</v>
      </c>
      <c r="E701" t="str">
        <f>'E - Resource Limits'!B31&amp;" "&amp;'E - Resource Limits'!H31</f>
        <v xml:space="preserve"> </v>
      </c>
      <c r="F701" t="str">
        <f>'E - Resource Limits'!$C$6</f>
        <v>HCHS</v>
      </c>
      <c r="S701">
        <f>'E - Resource Limits'!C31</f>
        <v>0</v>
      </c>
      <c r="U701">
        <f t="shared" si="30"/>
        <v>0</v>
      </c>
    </row>
    <row r="702" spans="1:21">
      <c r="A702" s="2895" t="str">
        <f>ORG!$S$1</f>
        <v>Apr 23</v>
      </c>
      <c r="B702" t="str">
        <f>ORG!$M$1</f>
        <v>Public Health Wales Trust</v>
      </c>
      <c r="C702" t="str">
        <f>'E - Resource Limits'!$A$5</f>
        <v>Table E - Resource Limits</v>
      </c>
      <c r="D702" s="2898">
        <f>'E - Resource Limits'!A32</f>
        <v>20</v>
      </c>
      <c r="E702" t="str">
        <f>'E - Resource Limits'!B32&amp;" "&amp;'E - Resource Limits'!H32</f>
        <v xml:space="preserve"> </v>
      </c>
      <c r="F702" t="str">
        <f>'E - Resource Limits'!$C$6</f>
        <v>HCHS</v>
      </c>
      <c r="S702">
        <f>'E - Resource Limits'!C32</f>
        <v>0</v>
      </c>
      <c r="U702">
        <f t="shared" si="30"/>
        <v>0</v>
      </c>
    </row>
    <row r="703" spans="1:21">
      <c r="A703" s="2895" t="str">
        <f>ORG!$S$1</f>
        <v>Apr 23</v>
      </c>
      <c r="B703" t="str">
        <f>ORG!$M$1</f>
        <v>Public Health Wales Trust</v>
      </c>
      <c r="C703" t="str">
        <f>'E - Resource Limits'!$A$5</f>
        <v>Table E - Resource Limits</v>
      </c>
      <c r="D703" s="2898">
        <f>'E - Resource Limits'!A33</f>
        <v>21</v>
      </c>
      <c r="E703" t="str">
        <f>'E - Resource Limits'!B33&amp;" "&amp;'E - Resource Limits'!H33</f>
        <v xml:space="preserve"> </v>
      </c>
      <c r="F703" t="str">
        <f>'E - Resource Limits'!$C$6</f>
        <v>HCHS</v>
      </c>
      <c r="S703">
        <f>'E - Resource Limits'!C33</f>
        <v>0</v>
      </c>
      <c r="U703">
        <f t="shared" si="30"/>
        <v>0</v>
      </c>
    </row>
    <row r="704" spans="1:21">
      <c r="A704" s="2895" t="str">
        <f>ORG!$S$1</f>
        <v>Apr 23</v>
      </c>
      <c r="B704" t="str">
        <f>ORG!$M$1</f>
        <v>Public Health Wales Trust</v>
      </c>
      <c r="C704" t="str">
        <f>'E - Resource Limits'!$A$5</f>
        <v>Table E - Resource Limits</v>
      </c>
      <c r="D704" s="2898">
        <f>'E - Resource Limits'!A34</f>
        <v>22</v>
      </c>
      <c r="E704" t="str">
        <f>'E - Resource Limits'!B34&amp;" "&amp;'E - Resource Limits'!H34</f>
        <v xml:space="preserve"> </v>
      </c>
      <c r="F704" t="str">
        <f>'E - Resource Limits'!$C$6</f>
        <v>HCHS</v>
      </c>
      <c r="S704">
        <f>'E - Resource Limits'!C34</f>
        <v>0</v>
      </c>
      <c r="U704">
        <f t="shared" si="30"/>
        <v>0</v>
      </c>
    </row>
    <row r="705" spans="1:21">
      <c r="A705" s="2895" t="str">
        <f>ORG!$S$1</f>
        <v>Apr 23</v>
      </c>
      <c r="B705" t="str">
        <f>ORG!$M$1</f>
        <v>Public Health Wales Trust</v>
      </c>
      <c r="C705" t="str">
        <f>'E - Resource Limits'!$A$5</f>
        <v>Table E - Resource Limits</v>
      </c>
      <c r="D705" s="2898">
        <f>'E - Resource Limits'!A35</f>
        <v>23</v>
      </c>
      <c r="E705" t="str">
        <f>'E - Resource Limits'!B35&amp;" "&amp;'E - Resource Limits'!H35</f>
        <v xml:space="preserve"> </v>
      </c>
      <c r="F705" t="str">
        <f>'E - Resource Limits'!$C$6</f>
        <v>HCHS</v>
      </c>
      <c r="S705">
        <f>'E - Resource Limits'!C35</f>
        <v>0</v>
      </c>
      <c r="U705">
        <f t="shared" si="30"/>
        <v>0</v>
      </c>
    </row>
    <row r="706" spans="1:21">
      <c r="A706" s="2895" t="str">
        <f>ORG!$S$1</f>
        <v>Apr 23</v>
      </c>
      <c r="B706" t="str">
        <f>ORG!$M$1</f>
        <v>Public Health Wales Trust</v>
      </c>
      <c r="C706" t="str">
        <f>'E - Resource Limits'!$A$5</f>
        <v>Table E - Resource Limits</v>
      </c>
      <c r="D706" s="2898">
        <f>'E - Resource Limits'!A36</f>
        <v>24</v>
      </c>
      <c r="E706" t="str">
        <f>'E - Resource Limits'!B36&amp;" "&amp;'E - Resource Limits'!H36</f>
        <v xml:space="preserve"> </v>
      </c>
      <c r="F706" t="str">
        <f>'E - Resource Limits'!$C$6</f>
        <v>HCHS</v>
      </c>
      <c r="S706">
        <f>'E - Resource Limits'!C36</f>
        <v>0</v>
      </c>
      <c r="U706">
        <f t="shared" si="30"/>
        <v>0</v>
      </c>
    </row>
    <row r="707" spans="1:21">
      <c r="A707" s="2895" t="str">
        <f>ORG!$S$1</f>
        <v>Apr 23</v>
      </c>
      <c r="B707" t="str">
        <f>ORG!$M$1</f>
        <v>Public Health Wales Trust</v>
      </c>
      <c r="C707" t="str">
        <f>'E - Resource Limits'!$A$5</f>
        <v>Table E - Resource Limits</v>
      </c>
      <c r="D707" s="2898">
        <f>'E - Resource Limits'!A37</f>
        <v>25</v>
      </c>
      <c r="E707" t="str">
        <f>'E - Resource Limits'!B37&amp;" "&amp;'E - Resource Limits'!H37</f>
        <v xml:space="preserve"> </v>
      </c>
      <c r="F707" t="str">
        <f>'E - Resource Limits'!$C$6</f>
        <v>HCHS</v>
      </c>
      <c r="S707">
        <f>'E - Resource Limits'!C37</f>
        <v>0</v>
      </c>
      <c r="U707">
        <f t="shared" si="30"/>
        <v>0</v>
      </c>
    </row>
    <row r="708" spans="1:21">
      <c r="A708" s="2895" t="str">
        <f>ORG!$S$1</f>
        <v>Apr 23</v>
      </c>
      <c r="B708" t="str">
        <f>ORG!$M$1</f>
        <v>Public Health Wales Trust</v>
      </c>
      <c r="C708" t="str">
        <f>'E - Resource Limits'!$A$5</f>
        <v>Table E - Resource Limits</v>
      </c>
      <c r="D708" s="2898">
        <f>'E - Resource Limits'!A38</f>
        <v>26</v>
      </c>
      <c r="E708" t="str">
        <f>'E - Resource Limits'!B38&amp;" "&amp;'E - Resource Limits'!H38</f>
        <v xml:space="preserve"> </v>
      </c>
      <c r="F708" t="str">
        <f>'E - Resource Limits'!$C$6</f>
        <v>HCHS</v>
      </c>
      <c r="S708">
        <f>'E - Resource Limits'!C38</f>
        <v>0</v>
      </c>
      <c r="U708">
        <f t="shared" si="30"/>
        <v>0</v>
      </c>
    </row>
    <row r="709" spans="1:21">
      <c r="A709" s="2895" t="str">
        <f>ORG!$S$1</f>
        <v>Apr 23</v>
      </c>
      <c r="B709" t="str">
        <f>ORG!$M$1</f>
        <v>Public Health Wales Trust</v>
      </c>
      <c r="C709" t="str">
        <f>'E - Resource Limits'!$A$5</f>
        <v>Table E - Resource Limits</v>
      </c>
      <c r="D709" s="2898">
        <f>'E - Resource Limits'!A39</f>
        <v>27</v>
      </c>
      <c r="E709" t="str">
        <f>'E - Resource Limits'!B39&amp;" "&amp;'E - Resource Limits'!H39</f>
        <v xml:space="preserve"> </v>
      </c>
      <c r="F709" t="str">
        <f>'E - Resource Limits'!$C$6</f>
        <v>HCHS</v>
      </c>
      <c r="S709">
        <f>'E - Resource Limits'!C39</f>
        <v>0</v>
      </c>
      <c r="U709">
        <f t="shared" si="30"/>
        <v>0</v>
      </c>
    </row>
    <row r="710" spans="1:21">
      <c r="A710" s="2895" t="str">
        <f>ORG!$S$1</f>
        <v>Apr 23</v>
      </c>
      <c r="B710" t="str">
        <f>ORG!$M$1</f>
        <v>Public Health Wales Trust</v>
      </c>
      <c r="C710" t="str">
        <f>'E - Resource Limits'!$A$5</f>
        <v>Table E - Resource Limits</v>
      </c>
      <c r="D710" s="2898">
        <f>'E - Resource Limits'!A40</f>
        <v>28</v>
      </c>
      <c r="E710" t="str">
        <f>'E - Resource Limits'!B40&amp;" "&amp;'E - Resource Limits'!H40</f>
        <v xml:space="preserve"> </v>
      </c>
      <c r="F710" t="str">
        <f>'E - Resource Limits'!$C$6</f>
        <v>HCHS</v>
      </c>
      <c r="S710">
        <f>'E - Resource Limits'!C40</f>
        <v>0</v>
      </c>
      <c r="U710">
        <f t="shared" si="30"/>
        <v>0</v>
      </c>
    </row>
    <row r="711" spans="1:21">
      <c r="A711" s="2895" t="str">
        <f>ORG!$S$1</f>
        <v>Apr 23</v>
      </c>
      <c r="B711" t="str">
        <f>ORG!$M$1</f>
        <v>Public Health Wales Trust</v>
      </c>
      <c r="C711" t="str">
        <f>'E - Resource Limits'!$A$5</f>
        <v>Table E - Resource Limits</v>
      </c>
      <c r="D711" s="2898">
        <f>'E - Resource Limits'!A41</f>
        <v>29</v>
      </c>
      <c r="E711" t="str">
        <f>'E - Resource Limits'!B41&amp;" "&amp;'E - Resource Limits'!H41</f>
        <v xml:space="preserve"> </v>
      </c>
      <c r="F711" t="str">
        <f>'E - Resource Limits'!$C$6</f>
        <v>HCHS</v>
      </c>
      <c r="S711">
        <f>'E - Resource Limits'!C41</f>
        <v>0</v>
      </c>
      <c r="U711">
        <f t="shared" si="30"/>
        <v>0</v>
      </c>
    </row>
    <row r="712" spans="1:21">
      <c r="A712" s="2895" t="str">
        <f>ORG!$S$1</f>
        <v>Apr 23</v>
      </c>
      <c r="B712" t="str">
        <f>ORG!$M$1</f>
        <v>Public Health Wales Trust</v>
      </c>
      <c r="C712" t="str">
        <f>'E - Resource Limits'!$A$5</f>
        <v>Table E - Resource Limits</v>
      </c>
      <c r="D712" s="2898">
        <f>'E - Resource Limits'!A42</f>
        <v>30</v>
      </c>
      <c r="E712" t="str">
        <f>'E - Resource Limits'!B42&amp;" "&amp;'E - Resource Limits'!H42</f>
        <v xml:space="preserve"> </v>
      </c>
      <c r="F712" t="str">
        <f>'E - Resource Limits'!$C$6</f>
        <v>HCHS</v>
      </c>
      <c r="S712">
        <f>'E - Resource Limits'!C42</f>
        <v>0</v>
      </c>
      <c r="U712">
        <f t="shared" si="30"/>
        <v>0</v>
      </c>
    </row>
    <row r="713" spans="1:21">
      <c r="A713" s="2895" t="str">
        <f>ORG!$S$1</f>
        <v>Apr 23</v>
      </c>
      <c r="B713" t="str">
        <f>ORG!$M$1</f>
        <v>Public Health Wales Trust</v>
      </c>
      <c r="C713" t="str">
        <f>'E - Resource Limits'!$A$5</f>
        <v>Table E - Resource Limits</v>
      </c>
      <c r="D713" s="2898">
        <f>'E - Resource Limits'!A43</f>
        <v>31</v>
      </c>
      <c r="E713" t="str">
        <f>'E - Resource Limits'!B43&amp;" "&amp;'E - Resource Limits'!H43</f>
        <v xml:space="preserve"> </v>
      </c>
      <c r="F713" t="str">
        <f>'E - Resource Limits'!$C$6</f>
        <v>HCHS</v>
      </c>
      <c r="S713">
        <f>'E - Resource Limits'!C43</f>
        <v>0</v>
      </c>
      <c r="U713">
        <f t="shared" si="30"/>
        <v>0</v>
      </c>
    </row>
    <row r="714" spans="1:21">
      <c r="A714" s="2895" t="str">
        <f>ORG!$S$1</f>
        <v>Apr 23</v>
      </c>
      <c r="B714" t="str">
        <f>ORG!$M$1</f>
        <v>Public Health Wales Trust</v>
      </c>
      <c r="C714" t="str">
        <f>'E - Resource Limits'!$A$5</f>
        <v>Table E - Resource Limits</v>
      </c>
      <c r="D714" s="2898">
        <f>'E - Resource Limits'!A44</f>
        <v>32</v>
      </c>
      <c r="E714" t="str">
        <f>'E - Resource Limits'!B44&amp;" "&amp;'E - Resource Limits'!H44</f>
        <v xml:space="preserve"> </v>
      </c>
      <c r="F714" t="str">
        <f>'E - Resource Limits'!$C$6</f>
        <v>HCHS</v>
      </c>
      <c r="S714">
        <f>'E - Resource Limits'!C44</f>
        <v>0</v>
      </c>
      <c r="U714">
        <f t="shared" si="30"/>
        <v>0</v>
      </c>
    </row>
    <row r="715" spans="1:21">
      <c r="A715" s="2895" t="str">
        <f>ORG!$S$1</f>
        <v>Apr 23</v>
      </c>
      <c r="B715" t="str">
        <f>ORG!$M$1</f>
        <v>Public Health Wales Trust</v>
      </c>
      <c r="C715" t="str">
        <f>'E - Resource Limits'!$A$5</f>
        <v>Table E - Resource Limits</v>
      </c>
      <c r="D715" s="2898">
        <f>'E - Resource Limits'!A45</f>
        <v>33</v>
      </c>
      <c r="E715" t="str">
        <f>'E - Resource Limits'!B45&amp;" "&amp;'E - Resource Limits'!H45</f>
        <v xml:space="preserve"> </v>
      </c>
      <c r="F715" t="str">
        <f>'E - Resource Limits'!$C$6</f>
        <v>HCHS</v>
      </c>
      <c r="S715">
        <f>'E - Resource Limits'!C45</f>
        <v>0</v>
      </c>
      <c r="U715">
        <f t="shared" si="30"/>
        <v>0</v>
      </c>
    </row>
    <row r="716" spans="1:21">
      <c r="A716" s="2895" t="str">
        <f>ORG!$S$1</f>
        <v>Apr 23</v>
      </c>
      <c r="B716" t="str">
        <f>ORG!$M$1</f>
        <v>Public Health Wales Trust</v>
      </c>
      <c r="C716" t="str">
        <f>'E - Resource Limits'!$A$5</f>
        <v>Table E - Resource Limits</v>
      </c>
      <c r="D716" s="2898">
        <f>'E - Resource Limits'!A46</f>
        <v>34</v>
      </c>
      <c r="E716" t="str">
        <f>'E - Resource Limits'!B46&amp;" "&amp;'E - Resource Limits'!H46</f>
        <v xml:space="preserve"> </v>
      </c>
      <c r="F716" t="str">
        <f>'E - Resource Limits'!$C$6</f>
        <v>HCHS</v>
      </c>
      <c r="S716">
        <f>'E - Resource Limits'!C46</f>
        <v>0</v>
      </c>
      <c r="U716">
        <f t="shared" si="30"/>
        <v>0</v>
      </c>
    </row>
    <row r="717" spans="1:21">
      <c r="A717" s="2895" t="str">
        <f>ORG!$S$1</f>
        <v>Apr 23</v>
      </c>
      <c r="B717" t="str">
        <f>ORG!$M$1</f>
        <v>Public Health Wales Trust</v>
      </c>
      <c r="C717" t="str">
        <f>'E - Resource Limits'!$A$5</f>
        <v>Table E - Resource Limits</v>
      </c>
      <c r="D717" s="2898">
        <f>'E - Resource Limits'!A47</f>
        <v>35</v>
      </c>
      <c r="E717" t="str">
        <f>'E - Resource Limits'!B47&amp;" "&amp;'E - Resource Limits'!H47</f>
        <v xml:space="preserve"> </v>
      </c>
      <c r="F717" t="str">
        <f>'E - Resource Limits'!$C$6</f>
        <v>HCHS</v>
      </c>
      <c r="S717">
        <f>'E - Resource Limits'!C47</f>
        <v>0</v>
      </c>
      <c r="U717">
        <f t="shared" si="30"/>
        <v>0</v>
      </c>
    </row>
    <row r="718" spans="1:21">
      <c r="A718" s="2895" t="str">
        <f>ORG!$S$1</f>
        <v>Apr 23</v>
      </c>
      <c r="B718" t="str">
        <f>ORG!$M$1</f>
        <v>Public Health Wales Trust</v>
      </c>
      <c r="C718" t="str">
        <f>'E - Resource Limits'!$A$5</f>
        <v>Table E - Resource Limits</v>
      </c>
      <c r="D718" s="2898">
        <f>'E - Resource Limits'!A48</f>
        <v>36</v>
      </c>
      <c r="E718" t="str">
        <f>'E - Resource Limits'!B48&amp;" "&amp;'E - Resource Limits'!H48</f>
        <v xml:space="preserve"> </v>
      </c>
      <c r="F718" t="str">
        <f>'E - Resource Limits'!$C$6</f>
        <v>HCHS</v>
      </c>
      <c r="S718">
        <f>'E - Resource Limits'!C48</f>
        <v>0</v>
      </c>
      <c r="U718">
        <f t="shared" si="30"/>
        <v>0</v>
      </c>
    </row>
    <row r="719" spans="1:21">
      <c r="A719" s="2895" t="str">
        <f>ORG!$S$1</f>
        <v>Apr 23</v>
      </c>
      <c r="B719" t="str">
        <f>ORG!$M$1</f>
        <v>Public Health Wales Trust</v>
      </c>
      <c r="C719" t="str">
        <f>'E - Resource Limits'!$A$5</f>
        <v>Table E - Resource Limits</v>
      </c>
      <c r="D719" s="2898">
        <f>'E - Resource Limits'!A49</f>
        <v>37</v>
      </c>
      <c r="E719" t="str">
        <f>'E - Resource Limits'!B49&amp;" "&amp;'E - Resource Limits'!H49</f>
        <v xml:space="preserve"> </v>
      </c>
      <c r="F719" t="str">
        <f>'E - Resource Limits'!$C$6</f>
        <v>HCHS</v>
      </c>
      <c r="S719">
        <f>'E - Resource Limits'!C49</f>
        <v>0</v>
      </c>
      <c r="U719">
        <f t="shared" si="30"/>
        <v>0</v>
      </c>
    </row>
    <row r="720" spans="1:21">
      <c r="A720" s="2895" t="str">
        <f>ORG!$S$1</f>
        <v>Apr 23</v>
      </c>
      <c r="B720" t="str">
        <f>ORG!$M$1</f>
        <v>Public Health Wales Trust</v>
      </c>
      <c r="C720" t="str">
        <f>'E - Resource Limits'!$A$5</f>
        <v>Table E - Resource Limits</v>
      </c>
      <c r="D720" s="2898">
        <f>'E - Resource Limits'!A50</f>
        <v>38</v>
      </c>
      <c r="E720" t="str">
        <f>'E - Resource Limits'!B50&amp;" "&amp;'E - Resource Limits'!H50</f>
        <v xml:space="preserve"> </v>
      </c>
      <c r="F720" t="str">
        <f>'E - Resource Limits'!$C$6</f>
        <v>HCHS</v>
      </c>
      <c r="S720">
        <f>'E - Resource Limits'!C50</f>
        <v>0</v>
      </c>
      <c r="U720">
        <f t="shared" si="30"/>
        <v>0</v>
      </c>
    </row>
    <row r="721" spans="1:21">
      <c r="A721" s="2895" t="str">
        <f>ORG!$S$1</f>
        <v>Apr 23</v>
      </c>
      <c r="B721" t="str">
        <f>ORG!$M$1</f>
        <v>Public Health Wales Trust</v>
      </c>
      <c r="C721" t="str">
        <f>'E - Resource Limits'!$A$5</f>
        <v>Table E - Resource Limits</v>
      </c>
      <c r="D721" s="2898">
        <f>'E - Resource Limits'!A51</f>
        <v>39</v>
      </c>
      <c r="E721" t="str">
        <f>'E - Resource Limits'!B51&amp;" "&amp;'E - Resource Limits'!H51</f>
        <v xml:space="preserve"> </v>
      </c>
      <c r="F721" t="str">
        <f>'E - Resource Limits'!$C$6</f>
        <v>HCHS</v>
      </c>
      <c r="S721">
        <f>'E - Resource Limits'!C51</f>
        <v>0</v>
      </c>
      <c r="U721">
        <f t="shared" si="30"/>
        <v>0</v>
      </c>
    </row>
    <row r="722" spans="1:21">
      <c r="A722" s="2895" t="str">
        <f>ORG!$S$1</f>
        <v>Apr 23</v>
      </c>
      <c r="B722" t="str">
        <f>ORG!$M$1</f>
        <v>Public Health Wales Trust</v>
      </c>
      <c r="C722" t="str">
        <f>'E - Resource Limits'!$A$5</f>
        <v>Table E - Resource Limits</v>
      </c>
      <c r="D722" s="2898">
        <f>'E - Resource Limits'!A52</f>
        <v>40</v>
      </c>
      <c r="E722" t="str">
        <f>'E - Resource Limits'!B52&amp;" "&amp;'E - Resource Limits'!H52</f>
        <v xml:space="preserve"> </v>
      </c>
      <c r="F722" t="str">
        <f>'E - Resource Limits'!$C$6</f>
        <v>HCHS</v>
      </c>
      <c r="S722">
        <f>'E - Resource Limits'!C52</f>
        <v>0</v>
      </c>
      <c r="U722">
        <f t="shared" si="30"/>
        <v>0</v>
      </c>
    </row>
    <row r="723" spans="1:21">
      <c r="A723" s="2895" t="str">
        <f>ORG!$S$1</f>
        <v>Apr 23</v>
      </c>
      <c r="B723" t="str">
        <f>ORG!$M$1</f>
        <v>Public Health Wales Trust</v>
      </c>
      <c r="C723" t="str">
        <f>'E - Resource Limits'!$A$5</f>
        <v>Table E - Resource Limits</v>
      </c>
      <c r="D723" s="2898">
        <f>'E - Resource Limits'!A53</f>
        <v>41</v>
      </c>
      <c r="E723" t="str">
        <f>'E - Resource Limits'!B53&amp;" "&amp;'E - Resource Limits'!H53</f>
        <v xml:space="preserve"> </v>
      </c>
      <c r="F723" t="str">
        <f>'E - Resource Limits'!$C$6</f>
        <v>HCHS</v>
      </c>
      <c r="S723">
        <f>'E - Resource Limits'!C53</f>
        <v>0</v>
      </c>
      <c r="U723">
        <f t="shared" si="30"/>
        <v>0</v>
      </c>
    </row>
    <row r="724" spans="1:21">
      <c r="A724" s="2895" t="str">
        <f>ORG!$S$1</f>
        <v>Apr 23</v>
      </c>
      <c r="B724" t="str">
        <f>ORG!$M$1</f>
        <v>Public Health Wales Trust</v>
      </c>
      <c r="C724" t="str">
        <f>'E - Resource Limits'!$A$5</f>
        <v>Table E - Resource Limits</v>
      </c>
      <c r="D724" s="2898">
        <f>'E - Resource Limits'!A54</f>
        <v>42</v>
      </c>
      <c r="E724" t="str">
        <f>'E - Resource Limits'!B54&amp;" "&amp;'E - Resource Limits'!H54</f>
        <v xml:space="preserve"> </v>
      </c>
      <c r="F724" t="str">
        <f>'E - Resource Limits'!$C$6</f>
        <v>HCHS</v>
      </c>
      <c r="S724">
        <f>'E - Resource Limits'!C54</f>
        <v>0</v>
      </c>
      <c r="U724">
        <f t="shared" si="30"/>
        <v>0</v>
      </c>
    </row>
    <row r="725" spans="1:21">
      <c r="A725" s="2895" t="str">
        <f>ORG!$S$1</f>
        <v>Apr 23</v>
      </c>
      <c r="B725" t="str">
        <f>ORG!$M$1</f>
        <v>Public Health Wales Trust</v>
      </c>
      <c r="C725" t="str">
        <f>'E - Resource Limits'!$A$5</f>
        <v>Table E - Resource Limits</v>
      </c>
      <c r="D725" s="2898">
        <f>'E - Resource Limits'!A55</f>
        <v>43</v>
      </c>
      <c r="E725" t="str">
        <f>'E - Resource Limits'!B55&amp;" "&amp;'E - Resource Limits'!H55</f>
        <v xml:space="preserve"> </v>
      </c>
      <c r="F725" t="str">
        <f>'E - Resource Limits'!$C$6</f>
        <v>HCHS</v>
      </c>
      <c r="S725">
        <f>'E - Resource Limits'!C55</f>
        <v>0</v>
      </c>
      <c r="U725">
        <f t="shared" si="30"/>
        <v>0</v>
      </c>
    </row>
    <row r="726" spans="1:21">
      <c r="A726" s="2895" t="str">
        <f>ORG!$S$1</f>
        <v>Apr 23</v>
      </c>
      <c r="B726" t="str">
        <f>ORG!$M$1</f>
        <v>Public Health Wales Trust</v>
      </c>
      <c r="C726" t="str">
        <f>'E - Resource Limits'!$A$5</f>
        <v>Table E - Resource Limits</v>
      </c>
      <c r="D726" s="2898">
        <f>'E - Resource Limits'!A56</f>
        <v>44</v>
      </c>
      <c r="E726" t="str">
        <f>'E - Resource Limits'!B56&amp;" "&amp;'E - Resource Limits'!H56</f>
        <v xml:space="preserve"> </v>
      </c>
      <c r="F726" t="str">
        <f>'E - Resource Limits'!$C$6</f>
        <v>HCHS</v>
      </c>
      <c r="S726">
        <f>'E - Resource Limits'!C56</f>
        <v>0</v>
      </c>
      <c r="U726">
        <f t="shared" si="30"/>
        <v>0</v>
      </c>
    </row>
    <row r="727" spans="1:21">
      <c r="A727" s="2895" t="str">
        <f>ORG!$S$1</f>
        <v>Apr 23</v>
      </c>
      <c r="B727" t="str">
        <f>ORG!$M$1</f>
        <v>Public Health Wales Trust</v>
      </c>
      <c r="C727" t="str">
        <f>'E - Resource Limits'!$A$5</f>
        <v>Table E - Resource Limits</v>
      </c>
      <c r="D727" s="2898">
        <f>'E - Resource Limits'!A57</f>
        <v>45</v>
      </c>
      <c r="E727" t="str">
        <f>'E - Resource Limits'!B57&amp;" "&amp;'E - Resource Limits'!H57</f>
        <v xml:space="preserve"> </v>
      </c>
      <c r="F727" t="str">
        <f>'E - Resource Limits'!$C$6</f>
        <v>HCHS</v>
      </c>
      <c r="S727">
        <f>'E - Resource Limits'!C57</f>
        <v>0</v>
      </c>
      <c r="U727">
        <f t="shared" si="30"/>
        <v>0</v>
      </c>
    </row>
    <row r="728" spans="1:21">
      <c r="A728" s="2895" t="str">
        <f>ORG!$S$1</f>
        <v>Apr 23</v>
      </c>
      <c r="B728" t="str">
        <f>ORG!$M$1</f>
        <v>Public Health Wales Trust</v>
      </c>
      <c r="C728" t="str">
        <f>'E - Resource Limits'!$A$5</f>
        <v>Table E - Resource Limits</v>
      </c>
      <c r="D728" s="2898">
        <f>'E - Resource Limits'!A58</f>
        <v>46</v>
      </c>
      <c r="E728" t="str">
        <f>'E - Resource Limits'!B58&amp;" "&amp;'E - Resource Limits'!H58</f>
        <v xml:space="preserve"> </v>
      </c>
      <c r="F728" t="str">
        <f>'E - Resource Limits'!$C$6</f>
        <v>HCHS</v>
      </c>
      <c r="S728">
        <f>'E - Resource Limits'!C58</f>
        <v>0</v>
      </c>
      <c r="U728">
        <f t="shared" si="30"/>
        <v>0</v>
      </c>
    </row>
    <row r="729" spans="1:21">
      <c r="A729" s="2895" t="str">
        <f>ORG!$S$1</f>
        <v>Apr 23</v>
      </c>
      <c r="B729" t="str">
        <f>ORG!$M$1</f>
        <v>Public Health Wales Trust</v>
      </c>
      <c r="C729" t="str">
        <f>'E - Resource Limits'!$A$5</f>
        <v>Table E - Resource Limits</v>
      </c>
      <c r="D729" s="2898">
        <f>'E - Resource Limits'!A59</f>
        <v>47</v>
      </c>
      <c r="E729" t="str">
        <f>'E - Resource Limits'!B59&amp;" "&amp;'E - Resource Limits'!H59</f>
        <v xml:space="preserve"> </v>
      </c>
      <c r="F729" t="str">
        <f>'E - Resource Limits'!$C$6</f>
        <v>HCHS</v>
      </c>
      <c r="S729">
        <f>'E - Resource Limits'!C59</f>
        <v>0</v>
      </c>
      <c r="U729">
        <f t="shared" si="30"/>
        <v>0</v>
      </c>
    </row>
    <row r="730" spans="1:21">
      <c r="A730" s="2895" t="str">
        <f>ORG!$S$1</f>
        <v>Apr 23</v>
      </c>
      <c r="B730" t="str">
        <f>ORG!$M$1</f>
        <v>Public Health Wales Trust</v>
      </c>
      <c r="C730" t="str">
        <f>'E - Resource Limits'!$A$5</f>
        <v>Table E - Resource Limits</v>
      </c>
      <c r="D730" s="2898">
        <f>'E - Resource Limits'!A60</f>
        <v>48</v>
      </c>
      <c r="E730" t="str">
        <f>'E - Resource Limits'!B60&amp;" "&amp;'E - Resource Limits'!H60</f>
        <v xml:space="preserve"> </v>
      </c>
      <c r="F730" t="str">
        <f>'E - Resource Limits'!$C$6</f>
        <v>HCHS</v>
      </c>
      <c r="S730">
        <f>'E - Resource Limits'!C60</f>
        <v>0</v>
      </c>
      <c r="U730">
        <f t="shared" si="30"/>
        <v>0</v>
      </c>
    </row>
    <row r="731" spans="1:21">
      <c r="A731" s="2895" t="str">
        <f>ORG!$S$1</f>
        <v>Apr 23</v>
      </c>
      <c r="B731" t="str">
        <f>ORG!$M$1</f>
        <v>Public Health Wales Trust</v>
      </c>
      <c r="C731" t="str">
        <f>'E - Resource Limits'!$A$5</f>
        <v>Table E - Resource Limits</v>
      </c>
      <c r="D731" s="2898">
        <f>'E - Resource Limits'!A61</f>
        <v>49</v>
      </c>
      <c r="E731" t="str">
        <f>'E - Resource Limits'!B61&amp;" "&amp;'E - Resource Limits'!H61</f>
        <v xml:space="preserve"> </v>
      </c>
      <c r="F731" t="str">
        <f>'E - Resource Limits'!$C$6</f>
        <v>HCHS</v>
      </c>
      <c r="S731">
        <f>'E - Resource Limits'!C61</f>
        <v>0</v>
      </c>
      <c r="U731">
        <f t="shared" si="30"/>
        <v>0</v>
      </c>
    </row>
    <row r="732" spans="1:21">
      <c r="A732" s="2895" t="str">
        <f>ORG!$S$1</f>
        <v>Apr 23</v>
      </c>
      <c r="B732" t="str">
        <f>ORG!$M$1</f>
        <v>Public Health Wales Trust</v>
      </c>
      <c r="C732" t="str">
        <f>'E - Resource Limits'!$A$5</f>
        <v>Table E - Resource Limits</v>
      </c>
      <c r="D732" s="2898">
        <f>'E - Resource Limits'!A62</f>
        <v>50</v>
      </c>
      <c r="E732" t="str">
        <f>'E - Resource Limits'!B62&amp;" "&amp;'E - Resource Limits'!H62</f>
        <v xml:space="preserve"> </v>
      </c>
      <c r="F732" t="str">
        <f>'E - Resource Limits'!$C$6</f>
        <v>HCHS</v>
      </c>
      <c r="S732">
        <f>'E - Resource Limits'!C62</f>
        <v>0</v>
      </c>
      <c r="U732">
        <f t="shared" si="30"/>
        <v>0</v>
      </c>
    </row>
    <row r="733" spans="1:21">
      <c r="A733" s="2895" t="str">
        <f>ORG!$S$1</f>
        <v>Apr 23</v>
      </c>
      <c r="B733" t="str">
        <f>ORG!$M$1</f>
        <v>Public Health Wales Trust</v>
      </c>
      <c r="C733" t="str">
        <f>'E - Resource Limits'!$A$5</f>
        <v>Table E - Resource Limits</v>
      </c>
      <c r="D733" s="2898">
        <f>'E - Resource Limits'!A63</f>
        <v>51</v>
      </c>
      <c r="E733" t="str">
        <f>'E - Resource Limits'!B63&amp;" "&amp;'E - Resource Limits'!H63</f>
        <v xml:space="preserve"> </v>
      </c>
      <c r="F733" t="str">
        <f>'E - Resource Limits'!$C$6</f>
        <v>HCHS</v>
      </c>
      <c r="S733">
        <f>'E - Resource Limits'!C63</f>
        <v>0</v>
      </c>
      <c r="U733">
        <f t="shared" si="30"/>
        <v>0</v>
      </c>
    </row>
    <row r="734" spans="1:21">
      <c r="A734" s="2895" t="str">
        <f>ORG!$S$1</f>
        <v>Apr 23</v>
      </c>
      <c r="B734" t="str">
        <f>ORG!$M$1</f>
        <v>Public Health Wales Trust</v>
      </c>
      <c r="C734" t="str">
        <f>'E - Resource Limits'!$A$5</f>
        <v>Table E - Resource Limits</v>
      </c>
      <c r="D734" s="2898">
        <f>'E - Resource Limits'!A64</f>
        <v>52</v>
      </c>
      <c r="E734" t="str">
        <f>'E - Resource Limits'!B64&amp;" "&amp;'E - Resource Limits'!H64</f>
        <v xml:space="preserve"> </v>
      </c>
      <c r="F734" t="str">
        <f>'E - Resource Limits'!$C$6</f>
        <v>HCHS</v>
      </c>
      <c r="S734">
        <f>'E - Resource Limits'!C64</f>
        <v>0</v>
      </c>
      <c r="U734">
        <f t="shared" si="30"/>
        <v>0</v>
      </c>
    </row>
    <row r="735" spans="1:21">
      <c r="A735" s="2895" t="str">
        <f>ORG!$S$1</f>
        <v>Apr 23</v>
      </c>
      <c r="B735" t="str">
        <f>ORG!$M$1</f>
        <v>Public Health Wales Trust</v>
      </c>
      <c r="C735" t="str">
        <f>'E - Resource Limits'!$A$5</f>
        <v>Table E - Resource Limits</v>
      </c>
      <c r="D735" s="2898">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5" t="str">
        <f>ORG!$S$1</f>
        <v>Apr 23</v>
      </c>
      <c r="B736" t="str">
        <f>ORG!$M$1</f>
        <v>Public Health Wales Trust</v>
      </c>
      <c r="C736" t="str">
        <f>'E - Resource Limits'!$A$5</f>
        <v>Table E - Resource Limits</v>
      </c>
      <c r="D736" s="2898">
        <f>'E - Resource Limits'!A66</f>
        <v>54</v>
      </c>
      <c r="E736" t="str">
        <f>'E - Resource Limits'!B66&amp;" "&amp;'E - Resource Limits'!H66</f>
        <v xml:space="preserve"> </v>
      </c>
      <c r="F736" t="str">
        <f>'E - Resource Limits'!$C$6</f>
        <v>HCHS</v>
      </c>
      <c r="S736">
        <f>'E - Resource Limits'!C66</f>
        <v>0</v>
      </c>
      <c r="U736">
        <f t="shared" si="32"/>
        <v>0</v>
      </c>
    </row>
    <row r="737" spans="1:21">
      <c r="A737" s="2895" t="str">
        <f>ORG!$S$1</f>
        <v>Apr 23</v>
      </c>
      <c r="B737" t="str">
        <f>ORG!$M$1</f>
        <v>Public Health Wales Trust</v>
      </c>
      <c r="C737" t="str">
        <f>'E - Resource Limits'!$A$5</f>
        <v>Table E - Resource Limits</v>
      </c>
      <c r="D737" s="2898">
        <f>'E - Resource Limits'!A67</f>
        <v>55</v>
      </c>
      <c r="E737" t="str">
        <f>'E - Resource Limits'!B67&amp;" "&amp;'E - Resource Limits'!H67</f>
        <v xml:space="preserve"> </v>
      </c>
      <c r="F737" t="str">
        <f>'E - Resource Limits'!$C$6</f>
        <v>HCHS</v>
      </c>
      <c r="S737">
        <f>'E - Resource Limits'!C67</f>
        <v>0</v>
      </c>
      <c r="U737">
        <f t="shared" si="32"/>
        <v>0</v>
      </c>
    </row>
    <row r="738" spans="1:21">
      <c r="A738" s="2895" t="str">
        <f>ORG!$S$1</f>
        <v>Apr 23</v>
      </c>
      <c r="B738" t="str">
        <f>ORG!$M$1</f>
        <v>Public Health Wales Trust</v>
      </c>
      <c r="C738" t="str">
        <f>'E - Resource Limits'!$A$5</f>
        <v>Table E - Resource Limits</v>
      </c>
      <c r="D738" s="2898">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5" t="str">
        <f>ORG!$S$1</f>
        <v>Apr 23</v>
      </c>
      <c r="B739" t="str">
        <f>ORG!$M$1</f>
        <v>Public Health Wales Trust</v>
      </c>
      <c r="C739" t="str">
        <f>'E - Resource Limits'!$A$5</f>
        <v>Table E - Resource Limits</v>
      </c>
      <c r="D739" s="2898">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5" t="str">
        <f>ORG!$S$1</f>
        <v>Apr 23</v>
      </c>
      <c r="B740" t="str">
        <f>ORG!$M$1</f>
        <v>Public Health Wales Trust</v>
      </c>
      <c r="C740" t="str">
        <f>'E - Resource Limits'!$A$5</f>
        <v>Table E - Resource Limits</v>
      </c>
      <c r="D740" s="2898">
        <f>'E - Resource Limits'!A75</f>
        <v>63</v>
      </c>
      <c r="E740" s="2897" t="str">
        <f>'E - Resource Limits'!B75</f>
        <v>Total Anticipated Funding</v>
      </c>
      <c r="F740" t="str">
        <f>'E - Resource Limits'!$C$6</f>
        <v>HCHS</v>
      </c>
      <c r="S740">
        <f>'E - Resource Limits'!C75</f>
        <v>0</v>
      </c>
      <c r="U740">
        <f t="shared" si="32"/>
        <v>0</v>
      </c>
    </row>
    <row r="741" spans="1:21">
      <c r="A741" s="2895" t="str">
        <f>ORG!$S$1</f>
        <v>Apr 23</v>
      </c>
      <c r="B741" t="str">
        <f>ORG!$M$1</f>
        <v>Public Health Wales Trust</v>
      </c>
      <c r="C741" t="str">
        <f>'E - Resource Limits'!$A$5</f>
        <v>Table E - Resource Limits</v>
      </c>
      <c r="D741" s="2898">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5" t="str">
        <f>ORG!$S$1</f>
        <v>Apr 23</v>
      </c>
      <c r="B742" t="str">
        <f>ORG!$M$1</f>
        <v>Public Health Wales Trust</v>
      </c>
      <c r="C742" t="str">
        <f>'E - Resource Limits'!$A$5</f>
        <v>Table E - Resource Limits</v>
      </c>
      <c r="D742" s="2898">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5" t="str">
        <f>ORG!$S$1</f>
        <v>Apr 23</v>
      </c>
      <c r="B743" t="str">
        <f>ORG!$M$1</f>
        <v>Public Health Wales Trust</v>
      </c>
      <c r="C743" t="str">
        <f>'E - Resource Limits'!$A$5</f>
        <v>Table E - Resource Limits</v>
      </c>
      <c r="D743" s="2898">
        <f>'E - Resource Limits'!A17</f>
        <v>5</v>
      </c>
      <c r="E743" t="str">
        <f t="shared" si="34"/>
        <v xml:space="preserve">DEL Non Cash Depreciation - Accelerated </v>
      </c>
      <c r="F743" t="str">
        <f>'E - Resource Limits'!$D$6</f>
        <v>Pharmacy</v>
      </c>
      <c r="S743">
        <f>'E - Resource Limits'!D17</f>
        <v>0</v>
      </c>
      <c r="U743">
        <f t="shared" si="33"/>
        <v>0</v>
      </c>
    </row>
    <row r="744" spans="1:21">
      <c r="A744" s="2895" t="str">
        <f>ORG!$S$1</f>
        <v>Apr 23</v>
      </c>
      <c r="B744" t="str">
        <f>ORG!$M$1</f>
        <v>Public Health Wales Trust</v>
      </c>
      <c r="C744" t="str">
        <f>'E - Resource Limits'!$A$5</f>
        <v>Table E - Resource Limits</v>
      </c>
      <c r="D744" s="2898">
        <f>'E - Resource Limits'!A18</f>
        <v>6</v>
      </c>
      <c r="E744" t="str">
        <f t="shared" si="34"/>
        <v xml:space="preserve">DEL Non Cash Depreciation - Impairment </v>
      </c>
      <c r="F744" t="str">
        <f>'E - Resource Limits'!$D$6</f>
        <v>Pharmacy</v>
      </c>
      <c r="S744">
        <f>'E - Resource Limits'!D18</f>
        <v>0</v>
      </c>
      <c r="U744">
        <f t="shared" si="33"/>
        <v>0</v>
      </c>
    </row>
    <row r="745" spans="1:21">
      <c r="A745" s="2895" t="str">
        <f>ORG!$S$1</f>
        <v>Apr 23</v>
      </c>
      <c r="B745" t="str">
        <f>ORG!$M$1</f>
        <v>Public Health Wales Trust</v>
      </c>
      <c r="C745" t="str">
        <f>'E - Resource Limits'!$A$5</f>
        <v>Table E - Resource Limits</v>
      </c>
      <c r="D745" s="2898">
        <f>'E - Resource Limits'!A19</f>
        <v>7</v>
      </c>
      <c r="E745" t="str">
        <f t="shared" si="34"/>
        <v xml:space="preserve">DEL Non Cash Depreciation - IFRS 16 Leases </v>
      </c>
      <c r="F745" t="str">
        <f>'E - Resource Limits'!$D$6</f>
        <v>Pharmacy</v>
      </c>
      <c r="S745">
        <f>'E - Resource Limits'!D19</f>
        <v>0</v>
      </c>
      <c r="U745">
        <f t="shared" si="33"/>
        <v>0</v>
      </c>
    </row>
    <row r="746" spans="1:21">
      <c r="A746" s="2895" t="str">
        <f>ORG!$S$1</f>
        <v>Apr 23</v>
      </c>
      <c r="B746" t="str">
        <f>ORG!$M$1</f>
        <v>Public Health Wales Trust</v>
      </c>
      <c r="C746" t="str">
        <f>'E - Resource Limits'!$A$5</f>
        <v>Table E - Resource Limits</v>
      </c>
      <c r="D746" s="2898">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5" t="str">
        <f>ORG!$S$1</f>
        <v>Apr 23</v>
      </c>
      <c r="B747" t="str">
        <f>ORG!$M$1</f>
        <v>Public Health Wales Trust</v>
      </c>
      <c r="C747" t="str">
        <f>'E - Resource Limits'!$A$5</f>
        <v>Table E - Resource Limits</v>
      </c>
      <c r="D747" s="2898">
        <f>'E - Resource Limits'!A21</f>
        <v>9</v>
      </c>
      <c r="E747" t="str">
        <f t="shared" si="34"/>
        <v xml:space="preserve">AME Non Cash Depreciation - Donated Assets </v>
      </c>
      <c r="F747" t="str">
        <f>'E - Resource Limits'!$D$6</f>
        <v>Pharmacy</v>
      </c>
      <c r="S747">
        <f>'E - Resource Limits'!D21</f>
        <v>0</v>
      </c>
      <c r="U747">
        <f t="shared" si="33"/>
        <v>0</v>
      </c>
    </row>
    <row r="748" spans="1:21">
      <c r="A748" s="2895" t="str">
        <f>ORG!$S$1</f>
        <v>Apr 23</v>
      </c>
      <c r="B748" t="str">
        <f>ORG!$M$1</f>
        <v>Public Health Wales Trust</v>
      </c>
      <c r="C748" t="str">
        <f>'E - Resource Limits'!$A$5</f>
        <v>Table E - Resource Limits</v>
      </c>
      <c r="D748" s="2898">
        <f>'E - Resource Limits'!A22</f>
        <v>10</v>
      </c>
      <c r="E748" t="str">
        <f t="shared" si="34"/>
        <v xml:space="preserve">AME Non Cash Depreciation - Impairment </v>
      </c>
      <c r="F748" t="str">
        <f>'E - Resource Limits'!$D$6</f>
        <v>Pharmacy</v>
      </c>
      <c r="S748">
        <f>'E - Resource Limits'!D22</f>
        <v>0</v>
      </c>
      <c r="U748">
        <f t="shared" si="33"/>
        <v>0</v>
      </c>
    </row>
    <row r="749" spans="1:21">
      <c r="A749" s="2895" t="str">
        <f>ORG!$S$1</f>
        <v>Apr 23</v>
      </c>
      <c r="B749" t="str">
        <f>ORG!$M$1</f>
        <v>Public Health Wales Trust</v>
      </c>
      <c r="C749" t="str">
        <f>'E - Resource Limits'!$A$5</f>
        <v>Table E - Resource Limits</v>
      </c>
      <c r="D749" s="2898">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5" t="str">
        <f>ORG!$S$1</f>
        <v>Apr 23</v>
      </c>
      <c r="B750" t="str">
        <f>ORG!$M$1</f>
        <v>Public Health Wales Trust</v>
      </c>
      <c r="C750" t="str">
        <f>'E - Resource Limits'!$A$5</f>
        <v>Table E - Resource Limits</v>
      </c>
      <c r="D750" s="2898">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5" t="str">
        <f>ORG!$S$1</f>
        <v>Apr 23</v>
      </c>
      <c r="B751" t="str">
        <f>ORG!$M$1</f>
        <v>Public Health Wales Trust</v>
      </c>
      <c r="C751" t="str">
        <f>'E - Resource Limits'!$A$5</f>
        <v>Table E - Resource Limits</v>
      </c>
      <c r="D751" s="2898">
        <f>'E - Resource Limits'!A25</f>
        <v>13</v>
      </c>
      <c r="E751" t="str">
        <f t="shared" si="34"/>
        <v xml:space="preserve">Total COVID-19 (see below analysis) </v>
      </c>
      <c r="F751" t="str">
        <f>'E - Resource Limits'!$D$6</f>
        <v>Pharmacy</v>
      </c>
      <c r="S751">
        <f>'E - Resource Limits'!D25</f>
        <v>0</v>
      </c>
      <c r="U751">
        <f t="shared" si="33"/>
        <v>0</v>
      </c>
    </row>
    <row r="752" spans="1:21">
      <c r="A752" s="2895" t="str">
        <f>ORG!$S$1</f>
        <v>Apr 23</v>
      </c>
      <c r="B752" t="str">
        <f>ORG!$M$1</f>
        <v>Public Health Wales Trust</v>
      </c>
      <c r="C752" t="str">
        <f>'E - Resource Limits'!$A$5</f>
        <v>Table E - Resource Limits</v>
      </c>
      <c r="D752" s="2898">
        <f>'E - Resource Limits'!A26</f>
        <v>14</v>
      </c>
      <c r="E752" t="str">
        <f t="shared" si="34"/>
        <v xml:space="preserve">Removal of IFRS-16 Leases (Revenue) </v>
      </c>
      <c r="F752" t="str">
        <f>'E - Resource Limits'!$D$6</f>
        <v>Pharmacy</v>
      </c>
      <c r="S752">
        <f>'E - Resource Limits'!D26</f>
        <v>0</v>
      </c>
      <c r="U752">
        <f t="shared" si="33"/>
        <v>0</v>
      </c>
    </row>
    <row r="753" spans="1:21">
      <c r="A753" s="2895" t="str">
        <f>ORG!$S$1</f>
        <v>Apr 23</v>
      </c>
      <c r="B753" t="str">
        <f>ORG!$M$1</f>
        <v>Public Health Wales Trust</v>
      </c>
      <c r="C753" t="str">
        <f>'E - Resource Limits'!$A$5</f>
        <v>Table E - Resource Limits</v>
      </c>
      <c r="D753" s="2898">
        <f>'E - Resource Limits'!A27</f>
        <v>15</v>
      </c>
      <c r="E753" t="str">
        <f t="shared" si="34"/>
        <v xml:space="preserve">Real Living Wage (Care Homes) </v>
      </c>
      <c r="F753" t="str">
        <f>'E - Resource Limits'!$D$6</f>
        <v>Pharmacy</v>
      </c>
      <c r="S753">
        <f>'E - Resource Limits'!D27</f>
        <v>0</v>
      </c>
      <c r="U753">
        <f t="shared" si="33"/>
        <v>0</v>
      </c>
    </row>
    <row r="754" spans="1:21">
      <c r="A754" s="2895" t="str">
        <f>ORG!$S$1</f>
        <v>Apr 23</v>
      </c>
      <c r="B754" t="str">
        <f>ORG!$M$1</f>
        <v>Public Health Wales Trust</v>
      </c>
      <c r="C754" t="str">
        <f>'E - Resource Limits'!$A$5</f>
        <v>Table E - Resource Limits</v>
      </c>
      <c r="D754" s="2898">
        <f>'E - Resource Limits'!A28</f>
        <v>16</v>
      </c>
      <c r="E754" t="str">
        <f t="shared" si="34"/>
        <v xml:space="preserve"> </v>
      </c>
      <c r="F754" t="str">
        <f>'E - Resource Limits'!$D$6</f>
        <v>Pharmacy</v>
      </c>
      <c r="S754">
        <f>'E - Resource Limits'!D28</f>
        <v>0</v>
      </c>
      <c r="U754">
        <f t="shared" si="33"/>
        <v>0</v>
      </c>
    </row>
    <row r="755" spans="1:21">
      <c r="A755" s="2895" t="str">
        <f>ORG!$S$1</f>
        <v>Apr 23</v>
      </c>
      <c r="B755" t="str">
        <f>ORG!$M$1</f>
        <v>Public Health Wales Trust</v>
      </c>
      <c r="C755" t="str">
        <f>'E - Resource Limits'!$A$5</f>
        <v>Table E - Resource Limits</v>
      </c>
      <c r="D755" s="2898">
        <f>'E - Resource Limits'!A29</f>
        <v>17</v>
      </c>
      <c r="E755" t="str">
        <f t="shared" si="34"/>
        <v xml:space="preserve"> </v>
      </c>
      <c r="F755" t="str">
        <f>'E - Resource Limits'!$D$6</f>
        <v>Pharmacy</v>
      </c>
      <c r="S755">
        <f>'E - Resource Limits'!D29</f>
        <v>0</v>
      </c>
      <c r="U755">
        <f t="shared" si="33"/>
        <v>0</v>
      </c>
    </row>
    <row r="756" spans="1:21">
      <c r="A756" s="2895" t="str">
        <f>ORG!$S$1</f>
        <v>Apr 23</v>
      </c>
      <c r="B756" t="str">
        <f>ORG!$M$1</f>
        <v>Public Health Wales Trust</v>
      </c>
      <c r="C756" t="str">
        <f>'E - Resource Limits'!$A$5</f>
        <v>Table E - Resource Limits</v>
      </c>
      <c r="D756" s="2898">
        <f>'E - Resource Limits'!A30</f>
        <v>18</v>
      </c>
      <c r="E756" t="str">
        <f t="shared" si="34"/>
        <v xml:space="preserve"> </v>
      </c>
      <c r="F756" t="str">
        <f>'E - Resource Limits'!$D$6</f>
        <v>Pharmacy</v>
      </c>
      <c r="S756">
        <f>'E - Resource Limits'!D30</f>
        <v>0</v>
      </c>
      <c r="U756">
        <f t="shared" si="33"/>
        <v>0</v>
      </c>
    </row>
    <row r="757" spans="1:21">
      <c r="A757" s="2895" t="str">
        <f>ORG!$S$1</f>
        <v>Apr 23</v>
      </c>
      <c r="B757" t="str">
        <f>ORG!$M$1</f>
        <v>Public Health Wales Trust</v>
      </c>
      <c r="C757" t="str">
        <f>'E - Resource Limits'!$A$5</f>
        <v>Table E - Resource Limits</v>
      </c>
      <c r="D757" s="2898">
        <f>'E - Resource Limits'!A31</f>
        <v>19</v>
      </c>
      <c r="E757" t="str">
        <f t="shared" si="34"/>
        <v xml:space="preserve"> </v>
      </c>
      <c r="F757" t="str">
        <f>'E - Resource Limits'!$D$6</f>
        <v>Pharmacy</v>
      </c>
      <c r="S757">
        <f>'E - Resource Limits'!D31</f>
        <v>0</v>
      </c>
      <c r="U757">
        <f t="shared" si="33"/>
        <v>0</v>
      </c>
    </row>
    <row r="758" spans="1:21">
      <c r="A758" s="2895" t="str">
        <f>ORG!$S$1</f>
        <v>Apr 23</v>
      </c>
      <c r="B758" t="str">
        <f>ORG!$M$1</f>
        <v>Public Health Wales Trust</v>
      </c>
      <c r="C758" t="str">
        <f>'E - Resource Limits'!$A$5</f>
        <v>Table E - Resource Limits</v>
      </c>
      <c r="D758" s="2898">
        <f>'E - Resource Limits'!A32</f>
        <v>20</v>
      </c>
      <c r="E758" t="str">
        <f t="shared" si="34"/>
        <v xml:space="preserve"> </v>
      </c>
      <c r="F758" t="str">
        <f>'E - Resource Limits'!$D$6</f>
        <v>Pharmacy</v>
      </c>
      <c r="S758">
        <f>'E - Resource Limits'!D32</f>
        <v>0</v>
      </c>
      <c r="U758">
        <f t="shared" si="33"/>
        <v>0</v>
      </c>
    </row>
    <row r="759" spans="1:21">
      <c r="A759" s="2895" t="str">
        <f>ORG!$S$1</f>
        <v>Apr 23</v>
      </c>
      <c r="B759" t="str">
        <f>ORG!$M$1</f>
        <v>Public Health Wales Trust</v>
      </c>
      <c r="C759" t="str">
        <f>'E - Resource Limits'!$A$5</f>
        <v>Table E - Resource Limits</v>
      </c>
      <c r="D759" s="2898">
        <f>'E - Resource Limits'!A33</f>
        <v>21</v>
      </c>
      <c r="E759" t="str">
        <f t="shared" si="34"/>
        <v xml:space="preserve"> </v>
      </c>
      <c r="F759" t="str">
        <f>'E - Resource Limits'!$D$6</f>
        <v>Pharmacy</v>
      </c>
      <c r="S759">
        <f>'E - Resource Limits'!D33</f>
        <v>0</v>
      </c>
      <c r="U759">
        <f t="shared" si="33"/>
        <v>0</v>
      </c>
    </row>
    <row r="760" spans="1:21">
      <c r="A760" s="2895" t="str">
        <f>ORG!$S$1</f>
        <v>Apr 23</v>
      </c>
      <c r="B760" t="str">
        <f>ORG!$M$1</f>
        <v>Public Health Wales Trust</v>
      </c>
      <c r="C760" t="str">
        <f>'E - Resource Limits'!$A$5</f>
        <v>Table E - Resource Limits</v>
      </c>
      <c r="D760" s="2898">
        <f>'E - Resource Limits'!A34</f>
        <v>22</v>
      </c>
      <c r="E760" t="str">
        <f t="shared" si="34"/>
        <v xml:space="preserve"> </v>
      </c>
      <c r="F760" t="str">
        <f>'E - Resource Limits'!$D$6</f>
        <v>Pharmacy</v>
      </c>
      <c r="S760">
        <f>'E - Resource Limits'!D34</f>
        <v>0</v>
      </c>
      <c r="U760">
        <f t="shared" si="33"/>
        <v>0</v>
      </c>
    </row>
    <row r="761" spans="1:21">
      <c r="A761" s="2895" t="str">
        <f>ORG!$S$1</f>
        <v>Apr 23</v>
      </c>
      <c r="B761" t="str">
        <f>ORG!$M$1</f>
        <v>Public Health Wales Trust</v>
      </c>
      <c r="C761" t="str">
        <f>'E - Resource Limits'!$A$5</f>
        <v>Table E - Resource Limits</v>
      </c>
      <c r="D761" s="2898">
        <f>'E - Resource Limits'!A35</f>
        <v>23</v>
      </c>
      <c r="E761" t="str">
        <f t="shared" si="34"/>
        <v xml:space="preserve"> </v>
      </c>
      <c r="F761" t="str">
        <f>'E - Resource Limits'!$D$6</f>
        <v>Pharmacy</v>
      </c>
      <c r="S761">
        <f>'E - Resource Limits'!D35</f>
        <v>0</v>
      </c>
      <c r="U761">
        <f t="shared" si="33"/>
        <v>0</v>
      </c>
    </row>
    <row r="762" spans="1:21">
      <c r="A762" s="2895" t="str">
        <f>ORG!$S$1</f>
        <v>Apr 23</v>
      </c>
      <c r="B762" t="str">
        <f>ORG!$M$1</f>
        <v>Public Health Wales Trust</v>
      </c>
      <c r="C762" t="str">
        <f>'E - Resource Limits'!$A$5</f>
        <v>Table E - Resource Limits</v>
      </c>
      <c r="D762" s="2898">
        <f>'E - Resource Limits'!A36</f>
        <v>24</v>
      </c>
      <c r="E762" t="str">
        <f t="shared" si="34"/>
        <v xml:space="preserve"> </v>
      </c>
      <c r="F762" t="str">
        <f>'E - Resource Limits'!$D$6</f>
        <v>Pharmacy</v>
      </c>
      <c r="S762">
        <f>'E - Resource Limits'!D36</f>
        <v>0</v>
      </c>
      <c r="U762">
        <f t="shared" si="33"/>
        <v>0</v>
      </c>
    </row>
    <row r="763" spans="1:21">
      <c r="A763" s="2895" t="str">
        <f>ORG!$S$1</f>
        <v>Apr 23</v>
      </c>
      <c r="B763" t="str">
        <f>ORG!$M$1</f>
        <v>Public Health Wales Trust</v>
      </c>
      <c r="C763" t="str">
        <f>'E - Resource Limits'!$A$5</f>
        <v>Table E - Resource Limits</v>
      </c>
      <c r="D763" s="2898">
        <f>'E - Resource Limits'!A37</f>
        <v>25</v>
      </c>
      <c r="E763" t="str">
        <f t="shared" si="34"/>
        <v xml:space="preserve"> </v>
      </c>
      <c r="F763" t="str">
        <f>'E - Resource Limits'!$D$6</f>
        <v>Pharmacy</v>
      </c>
      <c r="S763">
        <f>'E - Resource Limits'!D37</f>
        <v>0</v>
      </c>
      <c r="U763">
        <f t="shared" si="33"/>
        <v>0</v>
      </c>
    </row>
    <row r="764" spans="1:21">
      <c r="A764" s="2895" t="str">
        <f>ORG!$S$1</f>
        <v>Apr 23</v>
      </c>
      <c r="B764" t="str">
        <f>ORG!$M$1</f>
        <v>Public Health Wales Trust</v>
      </c>
      <c r="C764" t="str">
        <f>'E - Resource Limits'!$A$5</f>
        <v>Table E - Resource Limits</v>
      </c>
      <c r="D764" s="2898">
        <f>'E - Resource Limits'!A38</f>
        <v>26</v>
      </c>
      <c r="E764" t="str">
        <f t="shared" si="34"/>
        <v xml:space="preserve"> </v>
      </c>
      <c r="F764" t="str">
        <f>'E - Resource Limits'!$D$6</f>
        <v>Pharmacy</v>
      </c>
      <c r="S764">
        <f>'E - Resource Limits'!D38</f>
        <v>0</v>
      </c>
      <c r="U764">
        <f t="shared" si="33"/>
        <v>0</v>
      </c>
    </row>
    <row r="765" spans="1:21">
      <c r="A765" s="2895" t="str">
        <f>ORG!$S$1</f>
        <v>Apr 23</v>
      </c>
      <c r="B765" t="str">
        <f>ORG!$M$1</f>
        <v>Public Health Wales Trust</v>
      </c>
      <c r="C765" t="str">
        <f>'E - Resource Limits'!$A$5</f>
        <v>Table E - Resource Limits</v>
      </c>
      <c r="D765" s="2898">
        <f>'E - Resource Limits'!A39</f>
        <v>27</v>
      </c>
      <c r="E765" t="str">
        <f t="shared" si="34"/>
        <v xml:space="preserve"> </v>
      </c>
      <c r="F765" t="str">
        <f>'E - Resource Limits'!$D$6</f>
        <v>Pharmacy</v>
      </c>
      <c r="S765">
        <f>'E - Resource Limits'!D39</f>
        <v>0</v>
      </c>
      <c r="U765">
        <f t="shared" si="33"/>
        <v>0</v>
      </c>
    </row>
    <row r="766" spans="1:21">
      <c r="A766" s="2895" t="str">
        <f>ORG!$S$1</f>
        <v>Apr 23</v>
      </c>
      <c r="B766" t="str">
        <f>ORG!$M$1</f>
        <v>Public Health Wales Trust</v>
      </c>
      <c r="C766" t="str">
        <f>'E - Resource Limits'!$A$5</f>
        <v>Table E - Resource Limits</v>
      </c>
      <c r="D766" s="2898">
        <f>'E - Resource Limits'!A40</f>
        <v>28</v>
      </c>
      <c r="E766" t="str">
        <f t="shared" si="34"/>
        <v xml:space="preserve"> </v>
      </c>
      <c r="F766" t="str">
        <f>'E - Resource Limits'!$D$6</f>
        <v>Pharmacy</v>
      </c>
      <c r="S766">
        <f>'E - Resource Limits'!D40</f>
        <v>0</v>
      </c>
      <c r="U766">
        <f t="shared" si="33"/>
        <v>0</v>
      </c>
    </row>
    <row r="767" spans="1:21">
      <c r="A767" s="2895" t="str">
        <f>ORG!$S$1</f>
        <v>Apr 23</v>
      </c>
      <c r="B767" t="str">
        <f>ORG!$M$1</f>
        <v>Public Health Wales Trust</v>
      </c>
      <c r="C767" t="str">
        <f>'E - Resource Limits'!$A$5</f>
        <v>Table E - Resource Limits</v>
      </c>
      <c r="D767" s="2898">
        <f>'E - Resource Limits'!A41</f>
        <v>29</v>
      </c>
      <c r="E767" t="str">
        <f t="shared" si="34"/>
        <v xml:space="preserve"> </v>
      </c>
      <c r="F767" t="str">
        <f>'E - Resource Limits'!$D$6</f>
        <v>Pharmacy</v>
      </c>
      <c r="S767">
        <f>'E - Resource Limits'!D41</f>
        <v>0</v>
      </c>
      <c r="U767">
        <f t="shared" si="33"/>
        <v>0</v>
      </c>
    </row>
    <row r="768" spans="1:21">
      <c r="A768" s="2895" t="str">
        <f>ORG!$S$1</f>
        <v>Apr 23</v>
      </c>
      <c r="B768" t="str">
        <f>ORG!$M$1</f>
        <v>Public Health Wales Trust</v>
      </c>
      <c r="C768" t="str">
        <f>'E - Resource Limits'!$A$5</f>
        <v>Table E - Resource Limits</v>
      </c>
      <c r="D768" s="2898">
        <f>'E - Resource Limits'!A42</f>
        <v>30</v>
      </c>
      <c r="E768" t="str">
        <f t="shared" si="34"/>
        <v xml:space="preserve"> </v>
      </c>
      <c r="F768" t="str">
        <f>'E - Resource Limits'!$D$6</f>
        <v>Pharmacy</v>
      </c>
      <c r="S768">
        <f>'E - Resource Limits'!D42</f>
        <v>0</v>
      </c>
      <c r="U768">
        <f t="shared" si="33"/>
        <v>0</v>
      </c>
    </row>
    <row r="769" spans="1:21">
      <c r="A769" s="2895" t="str">
        <f>ORG!$S$1</f>
        <v>Apr 23</v>
      </c>
      <c r="B769" t="str">
        <f>ORG!$M$1</f>
        <v>Public Health Wales Trust</v>
      </c>
      <c r="C769" t="str">
        <f>'E - Resource Limits'!$A$5</f>
        <v>Table E - Resource Limits</v>
      </c>
      <c r="D769" s="2898">
        <f>'E - Resource Limits'!A43</f>
        <v>31</v>
      </c>
      <c r="E769" t="str">
        <f t="shared" si="34"/>
        <v xml:space="preserve"> </v>
      </c>
      <c r="F769" t="str">
        <f>'E - Resource Limits'!$D$6</f>
        <v>Pharmacy</v>
      </c>
      <c r="S769">
        <f>'E - Resource Limits'!D43</f>
        <v>0</v>
      </c>
      <c r="U769">
        <f t="shared" si="33"/>
        <v>0</v>
      </c>
    </row>
    <row r="770" spans="1:21">
      <c r="A770" s="2895" t="str">
        <f>ORG!$S$1</f>
        <v>Apr 23</v>
      </c>
      <c r="B770" t="str">
        <f>ORG!$M$1</f>
        <v>Public Health Wales Trust</v>
      </c>
      <c r="C770" t="str">
        <f>'E - Resource Limits'!$A$5</f>
        <v>Table E - Resource Limits</v>
      </c>
      <c r="D770" s="2898">
        <f>'E - Resource Limits'!A44</f>
        <v>32</v>
      </c>
      <c r="E770" t="str">
        <f t="shared" si="34"/>
        <v xml:space="preserve"> </v>
      </c>
      <c r="F770" t="str">
        <f>'E - Resource Limits'!$D$6</f>
        <v>Pharmacy</v>
      </c>
      <c r="S770">
        <f>'E - Resource Limits'!D44</f>
        <v>0</v>
      </c>
      <c r="U770">
        <f t="shared" si="33"/>
        <v>0</v>
      </c>
    </row>
    <row r="771" spans="1:21">
      <c r="A771" s="2895" t="str">
        <f>ORG!$S$1</f>
        <v>Apr 23</v>
      </c>
      <c r="B771" t="str">
        <f>ORG!$M$1</f>
        <v>Public Health Wales Trust</v>
      </c>
      <c r="C771" t="str">
        <f>'E - Resource Limits'!$A$5</f>
        <v>Table E - Resource Limits</v>
      </c>
      <c r="D771" s="2898">
        <f>'E - Resource Limits'!A45</f>
        <v>33</v>
      </c>
      <c r="E771" t="str">
        <f t="shared" si="34"/>
        <v xml:space="preserve"> </v>
      </c>
      <c r="F771" t="str">
        <f>'E - Resource Limits'!$D$6</f>
        <v>Pharmacy</v>
      </c>
      <c r="S771">
        <f>'E - Resource Limits'!D45</f>
        <v>0</v>
      </c>
      <c r="U771">
        <f t="shared" si="33"/>
        <v>0</v>
      </c>
    </row>
    <row r="772" spans="1:21">
      <c r="A772" s="2895" t="str">
        <f>ORG!$S$1</f>
        <v>Apr 23</v>
      </c>
      <c r="B772" t="str">
        <f>ORG!$M$1</f>
        <v>Public Health Wales Trust</v>
      </c>
      <c r="C772" t="str">
        <f>'E - Resource Limits'!$A$5</f>
        <v>Table E - Resource Limits</v>
      </c>
      <c r="D772" s="2898">
        <f>'E - Resource Limits'!A46</f>
        <v>34</v>
      </c>
      <c r="E772" t="str">
        <f t="shared" si="34"/>
        <v xml:space="preserve"> </v>
      </c>
      <c r="F772" t="str">
        <f>'E - Resource Limits'!$D$6</f>
        <v>Pharmacy</v>
      </c>
      <c r="S772">
        <f>'E - Resource Limits'!D46</f>
        <v>0</v>
      </c>
      <c r="U772">
        <f t="shared" si="33"/>
        <v>0</v>
      </c>
    </row>
    <row r="773" spans="1:21">
      <c r="A773" s="2895" t="str">
        <f>ORG!$S$1</f>
        <v>Apr 23</v>
      </c>
      <c r="B773" t="str">
        <f>ORG!$M$1</f>
        <v>Public Health Wales Trust</v>
      </c>
      <c r="C773" t="str">
        <f>'E - Resource Limits'!$A$5</f>
        <v>Table E - Resource Limits</v>
      </c>
      <c r="D773" s="2898">
        <f>'E - Resource Limits'!A47</f>
        <v>35</v>
      </c>
      <c r="E773" t="str">
        <f t="shared" si="34"/>
        <v xml:space="preserve"> </v>
      </c>
      <c r="F773" t="str">
        <f>'E - Resource Limits'!$D$6</f>
        <v>Pharmacy</v>
      </c>
      <c r="S773">
        <f>'E - Resource Limits'!D47</f>
        <v>0</v>
      </c>
      <c r="U773">
        <f t="shared" si="33"/>
        <v>0</v>
      </c>
    </row>
    <row r="774" spans="1:21">
      <c r="A774" s="2895" t="str">
        <f>ORG!$S$1</f>
        <v>Apr 23</v>
      </c>
      <c r="B774" t="str">
        <f>ORG!$M$1</f>
        <v>Public Health Wales Trust</v>
      </c>
      <c r="C774" t="str">
        <f>'E - Resource Limits'!$A$5</f>
        <v>Table E - Resource Limits</v>
      </c>
      <c r="D774" s="2898">
        <f>'E - Resource Limits'!A48</f>
        <v>36</v>
      </c>
      <c r="E774" t="str">
        <f t="shared" si="34"/>
        <v xml:space="preserve"> </v>
      </c>
      <c r="F774" t="str">
        <f>'E - Resource Limits'!$D$6</f>
        <v>Pharmacy</v>
      </c>
      <c r="S774">
        <f>'E - Resource Limits'!D48</f>
        <v>0</v>
      </c>
      <c r="U774">
        <f t="shared" si="33"/>
        <v>0</v>
      </c>
    </row>
    <row r="775" spans="1:21">
      <c r="A775" s="2895" t="str">
        <f>ORG!$S$1</f>
        <v>Apr 23</v>
      </c>
      <c r="B775" t="str">
        <f>ORG!$M$1</f>
        <v>Public Health Wales Trust</v>
      </c>
      <c r="C775" t="str">
        <f>'E - Resource Limits'!$A$5</f>
        <v>Table E - Resource Limits</v>
      </c>
      <c r="D775" s="2898">
        <f>'E - Resource Limits'!A49</f>
        <v>37</v>
      </c>
      <c r="E775" t="str">
        <f t="shared" si="34"/>
        <v xml:space="preserve"> </v>
      </c>
      <c r="F775" t="str">
        <f>'E - Resource Limits'!$D$6</f>
        <v>Pharmacy</v>
      </c>
      <c r="S775">
        <f>'E - Resource Limits'!D49</f>
        <v>0</v>
      </c>
      <c r="U775">
        <f t="shared" si="33"/>
        <v>0</v>
      </c>
    </row>
    <row r="776" spans="1:21">
      <c r="A776" s="2895" t="str">
        <f>ORG!$S$1</f>
        <v>Apr 23</v>
      </c>
      <c r="B776" t="str">
        <f>ORG!$M$1</f>
        <v>Public Health Wales Trust</v>
      </c>
      <c r="C776" t="str">
        <f>'E - Resource Limits'!$A$5</f>
        <v>Table E - Resource Limits</v>
      </c>
      <c r="D776" s="2898">
        <f>'E - Resource Limits'!A50</f>
        <v>38</v>
      </c>
      <c r="E776" t="str">
        <f t="shared" si="34"/>
        <v xml:space="preserve"> </v>
      </c>
      <c r="F776" t="str">
        <f>'E - Resource Limits'!$D$6</f>
        <v>Pharmacy</v>
      </c>
      <c r="S776">
        <f>'E - Resource Limits'!D50</f>
        <v>0</v>
      </c>
      <c r="U776">
        <f t="shared" si="33"/>
        <v>0</v>
      </c>
    </row>
    <row r="777" spans="1:21">
      <c r="A777" s="2895" t="str">
        <f>ORG!$S$1</f>
        <v>Apr 23</v>
      </c>
      <c r="B777" t="str">
        <f>ORG!$M$1</f>
        <v>Public Health Wales Trust</v>
      </c>
      <c r="C777" t="str">
        <f>'E - Resource Limits'!$A$5</f>
        <v>Table E - Resource Limits</v>
      </c>
      <c r="D777" s="2898">
        <f>'E - Resource Limits'!A51</f>
        <v>39</v>
      </c>
      <c r="E777" t="str">
        <f t="shared" si="34"/>
        <v xml:space="preserve"> </v>
      </c>
      <c r="F777" t="str">
        <f>'E - Resource Limits'!$D$6</f>
        <v>Pharmacy</v>
      </c>
      <c r="S777">
        <f>'E - Resource Limits'!D51</f>
        <v>0</v>
      </c>
      <c r="U777">
        <f t="shared" si="33"/>
        <v>0</v>
      </c>
    </row>
    <row r="778" spans="1:21">
      <c r="A778" s="2895" t="str">
        <f>ORG!$S$1</f>
        <v>Apr 23</v>
      </c>
      <c r="B778" t="str">
        <f>ORG!$M$1</f>
        <v>Public Health Wales Trust</v>
      </c>
      <c r="C778" t="str">
        <f>'E - Resource Limits'!$A$5</f>
        <v>Table E - Resource Limits</v>
      </c>
      <c r="D778" s="2898">
        <f>'E - Resource Limits'!A52</f>
        <v>40</v>
      </c>
      <c r="E778" t="str">
        <f t="shared" si="34"/>
        <v xml:space="preserve"> </v>
      </c>
      <c r="F778" t="str">
        <f>'E - Resource Limits'!$D$6</f>
        <v>Pharmacy</v>
      </c>
      <c r="S778">
        <f>'E - Resource Limits'!D52</f>
        <v>0</v>
      </c>
      <c r="U778">
        <f t="shared" si="33"/>
        <v>0</v>
      </c>
    </row>
    <row r="779" spans="1:21">
      <c r="A779" s="2895" t="str">
        <f>ORG!$S$1</f>
        <v>Apr 23</v>
      </c>
      <c r="B779" t="str">
        <f>ORG!$M$1</f>
        <v>Public Health Wales Trust</v>
      </c>
      <c r="C779" t="str">
        <f>'E - Resource Limits'!$A$5</f>
        <v>Table E - Resource Limits</v>
      </c>
      <c r="D779" s="2898">
        <f>'E - Resource Limits'!A53</f>
        <v>41</v>
      </c>
      <c r="E779" t="str">
        <f t="shared" si="34"/>
        <v xml:space="preserve"> </v>
      </c>
      <c r="F779" t="str">
        <f>'E - Resource Limits'!$D$6</f>
        <v>Pharmacy</v>
      </c>
      <c r="S779">
        <f>'E - Resource Limits'!D53</f>
        <v>0</v>
      </c>
      <c r="U779">
        <f t="shared" si="33"/>
        <v>0</v>
      </c>
    </row>
    <row r="780" spans="1:21">
      <c r="A780" s="2895" t="str">
        <f>ORG!$S$1</f>
        <v>Apr 23</v>
      </c>
      <c r="B780" t="str">
        <f>ORG!$M$1</f>
        <v>Public Health Wales Trust</v>
      </c>
      <c r="C780" t="str">
        <f>'E - Resource Limits'!$A$5</f>
        <v>Table E - Resource Limits</v>
      </c>
      <c r="D780" s="2898">
        <f>'E - Resource Limits'!A54</f>
        <v>42</v>
      </c>
      <c r="E780" t="str">
        <f t="shared" si="34"/>
        <v xml:space="preserve"> </v>
      </c>
      <c r="F780" t="str">
        <f>'E - Resource Limits'!$D$6</f>
        <v>Pharmacy</v>
      </c>
      <c r="S780">
        <f>'E - Resource Limits'!D54</f>
        <v>0</v>
      </c>
      <c r="U780">
        <f t="shared" si="33"/>
        <v>0</v>
      </c>
    </row>
    <row r="781" spans="1:21">
      <c r="A781" s="2895" t="str">
        <f>ORG!$S$1</f>
        <v>Apr 23</v>
      </c>
      <c r="B781" t="str">
        <f>ORG!$M$1</f>
        <v>Public Health Wales Trust</v>
      </c>
      <c r="C781" t="str">
        <f>'E - Resource Limits'!$A$5</f>
        <v>Table E - Resource Limits</v>
      </c>
      <c r="D781" s="2898">
        <f>'E - Resource Limits'!A55</f>
        <v>43</v>
      </c>
      <c r="E781" t="str">
        <f t="shared" si="34"/>
        <v xml:space="preserve"> </v>
      </c>
      <c r="F781" t="str">
        <f>'E - Resource Limits'!$D$6</f>
        <v>Pharmacy</v>
      </c>
      <c r="S781">
        <f>'E - Resource Limits'!D55</f>
        <v>0</v>
      </c>
      <c r="U781">
        <f t="shared" si="33"/>
        <v>0</v>
      </c>
    </row>
    <row r="782" spans="1:21">
      <c r="A782" s="2895" t="str">
        <f>ORG!$S$1</f>
        <v>Apr 23</v>
      </c>
      <c r="B782" t="str">
        <f>ORG!$M$1</f>
        <v>Public Health Wales Trust</v>
      </c>
      <c r="C782" t="str">
        <f>'E - Resource Limits'!$A$5</f>
        <v>Table E - Resource Limits</v>
      </c>
      <c r="D782" s="2898">
        <f>'E - Resource Limits'!A56</f>
        <v>44</v>
      </c>
      <c r="E782" t="str">
        <f t="shared" si="34"/>
        <v xml:space="preserve"> </v>
      </c>
      <c r="F782" t="str">
        <f>'E - Resource Limits'!$D$6</f>
        <v>Pharmacy</v>
      </c>
      <c r="S782">
        <f>'E - Resource Limits'!D56</f>
        <v>0</v>
      </c>
      <c r="U782">
        <f t="shared" si="33"/>
        <v>0</v>
      </c>
    </row>
    <row r="783" spans="1:21">
      <c r="A783" s="2895" t="str">
        <f>ORG!$S$1</f>
        <v>Apr 23</v>
      </c>
      <c r="B783" t="str">
        <f>ORG!$M$1</f>
        <v>Public Health Wales Trust</v>
      </c>
      <c r="C783" t="str">
        <f>'E - Resource Limits'!$A$5</f>
        <v>Table E - Resource Limits</v>
      </c>
      <c r="D783" s="2898">
        <f>'E - Resource Limits'!A57</f>
        <v>45</v>
      </c>
      <c r="E783" t="str">
        <f t="shared" si="34"/>
        <v xml:space="preserve"> </v>
      </c>
      <c r="F783" t="str">
        <f>'E - Resource Limits'!$D$6</f>
        <v>Pharmacy</v>
      </c>
      <c r="S783">
        <f>'E - Resource Limits'!D57</f>
        <v>0</v>
      </c>
      <c r="U783">
        <f t="shared" si="33"/>
        <v>0</v>
      </c>
    </row>
    <row r="784" spans="1:21">
      <c r="A784" s="2895" t="str">
        <f>ORG!$S$1</f>
        <v>Apr 23</v>
      </c>
      <c r="B784" t="str">
        <f>ORG!$M$1</f>
        <v>Public Health Wales Trust</v>
      </c>
      <c r="C784" t="str">
        <f>'E - Resource Limits'!$A$5</f>
        <v>Table E - Resource Limits</v>
      </c>
      <c r="D784" s="2898">
        <f>'E - Resource Limits'!A58</f>
        <v>46</v>
      </c>
      <c r="E784" t="str">
        <f t="shared" si="34"/>
        <v xml:space="preserve"> </v>
      </c>
      <c r="F784" t="str">
        <f>'E - Resource Limits'!$D$6</f>
        <v>Pharmacy</v>
      </c>
      <c r="S784">
        <f>'E - Resource Limits'!D58</f>
        <v>0</v>
      </c>
      <c r="U784">
        <f t="shared" si="33"/>
        <v>0</v>
      </c>
    </row>
    <row r="785" spans="1:21">
      <c r="A785" s="2895" t="str">
        <f>ORG!$S$1</f>
        <v>Apr 23</v>
      </c>
      <c r="B785" t="str">
        <f>ORG!$M$1</f>
        <v>Public Health Wales Trust</v>
      </c>
      <c r="C785" t="str">
        <f>'E - Resource Limits'!$A$5</f>
        <v>Table E - Resource Limits</v>
      </c>
      <c r="D785" s="2898">
        <f>'E - Resource Limits'!A59</f>
        <v>47</v>
      </c>
      <c r="E785" t="str">
        <f t="shared" si="34"/>
        <v xml:space="preserve"> </v>
      </c>
      <c r="F785" t="str">
        <f>'E - Resource Limits'!$D$6</f>
        <v>Pharmacy</v>
      </c>
      <c r="S785">
        <f>'E - Resource Limits'!D59</f>
        <v>0</v>
      </c>
      <c r="U785">
        <f t="shared" si="33"/>
        <v>0</v>
      </c>
    </row>
    <row r="786" spans="1:21">
      <c r="A786" s="2895" t="str">
        <f>ORG!$S$1</f>
        <v>Apr 23</v>
      </c>
      <c r="B786" t="str">
        <f>ORG!$M$1</f>
        <v>Public Health Wales Trust</v>
      </c>
      <c r="C786" t="str">
        <f>'E - Resource Limits'!$A$5</f>
        <v>Table E - Resource Limits</v>
      </c>
      <c r="D786" s="2898">
        <f>'E - Resource Limits'!A60</f>
        <v>48</v>
      </c>
      <c r="E786" t="str">
        <f t="shared" si="34"/>
        <v xml:space="preserve"> </v>
      </c>
      <c r="F786" t="str">
        <f>'E - Resource Limits'!$D$6</f>
        <v>Pharmacy</v>
      </c>
      <c r="S786">
        <f>'E - Resource Limits'!D60</f>
        <v>0</v>
      </c>
      <c r="U786">
        <f t="shared" si="33"/>
        <v>0</v>
      </c>
    </row>
    <row r="787" spans="1:21">
      <c r="A787" s="2895" t="str">
        <f>ORG!$S$1</f>
        <v>Apr 23</v>
      </c>
      <c r="B787" t="str">
        <f>ORG!$M$1</f>
        <v>Public Health Wales Trust</v>
      </c>
      <c r="C787" t="str">
        <f>'E - Resource Limits'!$A$5</f>
        <v>Table E - Resource Limits</v>
      </c>
      <c r="D787" s="2898">
        <f>'E - Resource Limits'!A61</f>
        <v>49</v>
      </c>
      <c r="E787" t="str">
        <f t="shared" si="34"/>
        <v xml:space="preserve"> </v>
      </c>
      <c r="F787" t="str">
        <f>'E - Resource Limits'!$D$6</f>
        <v>Pharmacy</v>
      </c>
      <c r="S787">
        <f>'E - Resource Limits'!D61</f>
        <v>0</v>
      </c>
      <c r="U787">
        <f t="shared" si="33"/>
        <v>0</v>
      </c>
    </row>
    <row r="788" spans="1:21">
      <c r="A788" s="2895" t="str">
        <f>ORG!$S$1</f>
        <v>Apr 23</v>
      </c>
      <c r="B788" t="str">
        <f>ORG!$M$1</f>
        <v>Public Health Wales Trust</v>
      </c>
      <c r="C788" t="str">
        <f>'E - Resource Limits'!$A$5</f>
        <v>Table E - Resource Limits</v>
      </c>
      <c r="D788" s="2898">
        <f>'E - Resource Limits'!A62</f>
        <v>50</v>
      </c>
      <c r="E788" t="str">
        <f t="shared" si="34"/>
        <v xml:space="preserve"> </v>
      </c>
      <c r="F788" t="str">
        <f>'E - Resource Limits'!$D$6</f>
        <v>Pharmacy</v>
      </c>
      <c r="S788">
        <f>'E - Resource Limits'!D62</f>
        <v>0</v>
      </c>
      <c r="U788">
        <f t="shared" si="33"/>
        <v>0</v>
      </c>
    </row>
    <row r="789" spans="1:21">
      <c r="A789" s="2895" t="str">
        <f>ORG!$S$1</f>
        <v>Apr 23</v>
      </c>
      <c r="B789" t="str">
        <f>ORG!$M$1</f>
        <v>Public Health Wales Trust</v>
      </c>
      <c r="C789" t="str">
        <f>'E - Resource Limits'!$A$5</f>
        <v>Table E - Resource Limits</v>
      </c>
      <c r="D789" s="2898">
        <f>'E - Resource Limits'!A63</f>
        <v>51</v>
      </c>
      <c r="E789" t="str">
        <f t="shared" si="34"/>
        <v xml:space="preserve"> </v>
      </c>
      <c r="F789" t="str">
        <f>'E - Resource Limits'!$D$6</f>
        <v>Pharmacy</v>
      </c>
      <c r="S789">
        <f>'E - Resource Limits'!D63</f>
        <v>0</v>
      </c>
      <c r="U789">
        <f t="shared" si="33"/>
        <v>0</v>
      </c>
    </row>
    <row r="790" spans="1:21">
      <c r="A790" s="2895" t="str">
        <f>ORG!$S$1</f>
        <v>Apr 23</v>
      </c>
      <c r="B790" t="str">
        <f>ORG!$M$1</f>
        <v>Public Health Wales Trust</v>
      </c>
      <c r="C790" t="str">
        <f>'E - Resource Limits'!$A$5</f>
        <v>Table E - Resource Limits</v>
      </c>
      <c r="D790" s="2898">
        <f>'E - Resource Limits'!A64</f>
        <v>52</v>
      </c>
      <c r="E790" t="str">
        <f t="shared" si="34"/>
        <v xml:space="preserve"> </v>
      </c>
      <c r="F790" t="str">
        <f>'E - Resource Limits'!$D$6</f>
        <v>Pharmacy</v>
      </c>
      <c r="S790">
        <f>'E - Resource Limits'!D64</f>
        <v>0</v>
      </c>
      <c r="U790">
        <f t="shared" si="33"/>
        <v>0</v>
      </c>
    </row>
    <row r="791" spans="1:21">
      <c r="A791" s="2895" t="str">
        <f>ORG!$S$1</f>
        <v>Apr 23</v>
      </c>
      <c r="B791" t="str">
        <f>ORG!$M$1</f>
        <v>Public Health Wales Trust</v>
      </c>
      <c r="C791" t="str">
        <f>'E - Resource Limits'!$A$5</f>
        <v>Table E - Resource Limits</v>
      </c>
      <c r="D791" s="2898">
        <f>'E - Resource Limits'!A65</f>
        <v>53</v>
      </c>
      <c r="E791" t="str">
        <f t="shared" si="34"/>
        <v xml:space="preserve"> </v>
      </c>
      <c r="F791" t="str">
        <f>'E - Resource Limits'!$D$6</f>
        <v>Pharmacy</v>
      </c>
      <c r="S791">
        <f>'E - Resource Limits'!D65</f>
        <v>0</v>
      </c>
      <c r="U791">
        <f t="shared" si="33"/>
        <v>0</v>
      </c>
    </row>
    <row r="792" spans="1:21">
      <c r="A792" s="2895" t="str">
        <f>ORG!$S$1</f>
        <v>Apr 23</v>
      </c>
      <c r="B792" t="str">
        <f>ORG!$M$1</f>
        <v>Public Health Wales Trust</v>
      </c>
      <c r="C792" t="str">
        <f>'E - Resource Limits'!$A$5</f>
        <v>Table E - Resource Limits</v>
      </c>
      <c r="D792" s="2898">
        <f>'E - Resource Limits'!A66</f>
        <v>54</v>
      </c>
      <c r="E792" t="str">
        <f t="shared" si="34"/>
        <v xml:space="preserve"> </v>
      </c>
      <c r="F792" t="str">
        <f>'E - Resource Limits'!$D$6</f>
        <v>Pharmacy</v>
      </c>
      <c r="S792">
        <f>'E - Resource Limits'!D66</f>
        <v>0</v>
      </c>
      <c r="U792">
        <f t="shared" si="33"/>
        <v>0</v>
      </c>
    </row>
    <row r="793" spans="1:21">
      <c r="A793" s="2895" t="str">
        <f>ORG!$S$1</f>
        <v>Apr 23</v>
      </c>
      <c r="B793" t="str">
        <f>ORG!$M$1</f>
        <v>Public Health Wales Trust</v>
      </c>
      <c r="C793" t="str">
        <f>'E - Resource Limits'!$A$5</f>
        <v>Table E - Resource Limits</v>
      </c>
      <c r="D793" s="2898">
        <f>'E - Resource Limits'!A67</f>
        <v>55</v>
      </c>
      <c r="E793" t="str">
        <f t="shared" si="34"/>
        <v xml:space="preserve"> </v>
      </c>
      <c r="F793" t="str">
        <f>'E - Resource Limits'!$D$6</f>
        <v>Pharmacy</v>
      </c>
      <c r="S793">
        <f>'E - Resource Limits'!D67</f>
        <v>0</v>
      </c>
      <c r="U793">
        <f t="shared" si="33"/>
        <v>0</v>
      </c>
    </row>
    <row r="794" spans="1:21">
      <c r="A794" s="2895" t="str">
        <f>ORG!$S$1</f>
        <v>Apr 23</v>
      </c>
      <c r="B794" t="str">
        <f>ORG!$M$1</f>
        <v>Public Health Wales Trust</v>
      </c>
      <c r="C794" t="str">
        <f>'E - Resource Limits'!$A$5</f>
        <v>Table E - Resource Limits</v>
      </c>
      <c r="D794" s="2898">
        <f>'E - Resource Limits'!A73</f>
        <v>61</v>
      </c>
      <c r="E794" t="str">
        <f t="shared" si="34"/>
        <v xml:space="preserve">Capital Working Balances Request </v>
      </c>
      <c r="F794" t="str">
        <f>'E - Resource Limits'!$D$6</f>
        <v>Pharmacy</v>
      </c>
      <c r="S794">
        <f>'E - Resource Limits'!D73</f>
        <v>0</v>
      </c>
      <c r="U794">
        <f t="shared" si="33"/>
        <v>0</v>
      </c>
    </row>
    <row r="795" spans="1:21">
      <c r="A795" s="2895" t="str">
        <f>ORG!$S$1</f>
        <v>Apr 23</v>
      </c>
      <c r="B795" t="str">
        <f>ORG!$M$1</f>
        <v>Public Health Wales Trust</v>
      </c>
      <c r="C795" t="str">
        <f>'E - Resource Limits'!$A$5</f>
        <v>Table E - Resource Limits</v>
      </c>
      <c r="D795" s="2898">
        <f>'E - Resource Limits'!A74</f>
        <v>62</v>
      </c>
      <c r="E795" t="str">
        <f t="shared" si="34"/>
        <v xml:space="preserve">Capital IFRS16 Leases Working Balances Request </v>
      </c>
      <c r="F795" t="str">
        <f>'E - Resource Limits'!$D$6</f>
        <v>Pharmacy</v>
      </c>
      <c r="S795">
        <f>'E - Resource Limits'!D74</f>
        <v>0</v>
      </c>
      <c r="U795">
        <f t="shared" si="33"/>
        <v>0</v>
      </c>
    </row>
    <row r="796" spans="1:21">
      <c r="A796" s="2895" t="str">
        <f>ORG!$S$1</f>
        <v>Apr 23</v>
      </c>
      <c r="B796" t="str">
        <f>ORG!$M$1</f>
        <v>Public Health Wales Trust</v>
      </c>
      <c r="C796" t="str">
        <f>'E - Resource Limits'!$A$5</f>
        <v>Table E - Resource Limits</v>
      </c>
      <c r="D796" s="2898">
        <f>'E - Resource Limits'!A75</f>
        <v>63</v>
      </c>
      <c r="E796" t="str">
        <f t="shared" si="34"/>
        <v>Total Anticipated Funding</v>
      </c>
      <c r="F796" t="str">
        <f>'E - Resource Limits'!$D$6</f>
        <v>Pharmacy</v>
      </c>
      <c r="S796">
        <f>'E - Resource Limits'!D75</f>
        <v>0</v>
      </c>
      <c r="U796">
        <f t="shared" si="33"/>
        <v>0</v>
      </c>
    </row>
    <row r="797" spans="1:21">
      <c r="A797" s="2895" t="str">
        <f>ORG!$S$1</f>
        <v>Apr 23</v>
      </c>
      <c r="B797" t="str">
        <f>ORG!$M$1</f>
        <v>Public Health Wales Trust</v>
      </c>
      <c r="C797" t="str">
        <f>'E - Resource Limits'!$A$5</f>
        <v>Table E - Resource Limits</v>
      </c>
      <c r="D797" s="2898">
        <f>D741</f>
        <v>3</v>
      </c>
      <c r="E797" t="str">
        <f>E741</f>
        <v xml:space="preserve">DEL Non Cash Depreciation - Baseline Surplus / Shortfall </v>
      </c>
      <c r="F797" t="str">
        <f>'E - Resource Limits'!$E$6</f>
        <v>Dental</v>
      </c>
      <c r="S797">
        <f>'E - Resource Limits'!E15</f>
        <v>0</v>
      </c>
      <c r="U797">
        <f t="shared" si="33"/>
        <v>0</v>
      </c>
    </row>
    <row r="798" spans="1:21">
      <c r="A798" s="2895" t="str">
        <f>ORG!$S$1</f>
        <v>Apr 23</v>
      </c>
      <c r="B798" t="str">
        <f>ORG!$M$1</f>
        <v>Public Health Wales Trust</v>
      </c>
      <c r="C798" t="str">
        <f>'E - Resource Limits'!$A$5</f>
        <v>Table E - Resource Limits</v>
      </c>
      <c r="D798" s="2898">
        <f t="shared" ref="D798:E798" si="35">D742</f>
        <v>4</v>
      </c>
      <c r="E798" t="str">
        <f t="shared" si="35"/>
        <v xml:space="preserve">DEL Non Cash Depreciation - Strategic </v>
      </c>
      <c r="F798" t="str">
        <f>'E - Resource Limits'!$E$6</f>
        <v>Dental</v>
      </c>
      <c r="S798">
        <f>'E - Resource Limits'!E16</f>
        <v>0</v>
      </c>
      <c r="U798">
        <f t="shared" si="33"/>
        <v>0</v>
      </c>
    </row>
    <row r="799" spans="1:21">
      <c r="A799" s="2895" t="str">
        <f>ORG!$S$1</f>
        <v>Apr 23</v>
      </c>
      <c r="B799" t="str">
        <f>ORG!$M$1</f>
        <v>Public Health Wales Trust</v>
      </c>
      <c r="C799" t="str">
        <f>'E - Resource Limits'!$A$5</f>
        <v>Table E - Resource Limits</v>
      </c>
      <c r="D799" s="2898">
        <f t="shared" ref="D799:E799" si="36">D743</f>
        <v>5</v>
      </c>
      <c r="E799" t="str">
        <f t="shared" si="36"/>
        <v xml:space="preserve">DEL Non Cash Depreciation - Accelerated </v>
      </c>
      <c r="F799" t="str">
        <f>'E - Resource Limits'!$E$6</f>
        <v>Dental</v>
      </c>
      <c r="S799">
        <f>'E - Resource Limits'!E17</f>
        <v>0</v>
      </c>
      <c r="U799">
        <f t="shared" si="33"/>
        <v>0</v>
      </c>
    </row>
    <row r="800" spans="1:21">
      <c r="A800" s="2895" t="str">
        <f>ORG!$S$1</f>
        <v>Apr 23</v>
      </c>
      <c r="B800" t="str">
        <f>ORG!$M$1</f>
        <v>Public Health Wales Trust</v>
      </c>
      <c r="C800" t="str">
        <f>'E - Resource Limits'!$A$5</f>
        <v>Table E - Resource Limits</v>
      </c>
      <c r="D800" s="2898">
        <f t="shared" ref="D800:E800" si="37">D744</f>
        <v>6</v>
      </c>
      <c r="E800" t="str">
        <f t="shared" si="37"/>
        <v xml:space="preserve">DEL Non Cash Depreciation - Impairment </v>
      </c>
      <c r="F800" t="str">
        <f>'E - Resource Limits'!$E$6</f>
        <v>Dental</v>
      </c>
      <c r="S800">
        <f>'E - Resource Limits'!E18</f>
        <v>0</v>
      </c>
      <c r="U800">
        <f t="shared" si="33"/>
        <v>0</v>
      </c>
    </row>
    <row r="801" spans="1:21">
      <c r="A801" s="2895" t="str">
        <f>ORG!$S$1</f>
        <v>Apr 23</v>
      </c>
      <c r="B801" t="str">
        <f>ORG!$M$1</f>
        <v>Public Health Wales Trust</v>
      </c>
      <c r="C801" t="str">
        <f>'E - Resource Limits'!$A$5</f>
        <v>Table E - Resource Limits</v>
      </c>
      <c r="D801" s="2898">
        <f t="shared" ref="D801:E801" si="38">D745</f>
        <v>7</v>
      </c>
      <c r="E801" t="str">
        <f t="shared" si="38"/>
        <v xml:space="preserve">DEL Non Cash Depreciation - IFRS 16 Leases </v>
      </c>
      <c r="F801" t="str">
        <f>'E - Resource Limits'!$E$6</f>
        <v>Dental</v>
      </c>
      <c r="S801">
        <f>'E - Resource Limits'!E19</f>
        <v>0</v>
      </c>
      <c r="U801">
        <f t="shared" si="33"/>
        <v>0</v>
      </c>
    </row>
    <row r="802" spans="1:21">
      <c r="A802" s="2895" t="str">
        <f>ORG!$S$1</f>
        <v>Apr 23</v>
      </c>
      <c r="B802" t="str">
        <f>ORG!$M$1</f>
        <v>Public Health Wales Trust</v>
      </c>
      <c r="C802" t="str">
        <f>'E - Resource Limits'!$A$5</f>
        <v>Table E - Resource Limits</v>
      </c>
      <c r="D802" s="2898">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5" t="str">
        <f>ORG!$S$1</f>
        <v>Apr 23</v>
      </c>
      <c r="B803" t="str">
        <f>ORG!$M$1</f>
        <v>Public Health Wales Trust</v>
      </c>
      <c r="C803" t="str">
        <f>'E - Resource Limits'!$A$5</f>
        <v>Table E - Resource Limits</v>
      </c>
      <c r="D803" s="2898">
        <f t="shared" ref="D803:E803" si="40">D747</f>
        <v>9</v>
      </c>
      <c r="E803" t="str">
        <f t="shared" si="40"/>
        <v xml:space="preserve">AME Non Cash Depreciation - Donated Assets </v>
      </c>
      <c r="F803" t="str">
        <f>'E - Resource Limits'!$E$6</f>
        <v>Dental</v>
      </c>
      <c r="S803">
        <f>'E - Resource Limits'!E21</f>
        <v>0</v>
      </c>
      <c r="U803">
        <f t="shared" si="33"/>
        <v>0</v>
      </c>
    </row>
    <row r="804" spans="1:21">
      <c r="A804" s="2895" t="str">
        <f>ORG!$S$1</f>
        <v>Apr 23</v>
      </c>
      <c r="B804" t="str">
        <f>ORG!$M$1</f>
        <v>Public Health Wales Trust</v>
      </c>
      <c r="C804" t="str">
        <f>'E - Resource Limits'!$A$5</f>
        <v>Table E - Resource Limits</v>
      </c>
      <c r="D804" s="2898">
        <f t="shared" ref="D804:E804" si="41">D748</f>
        <v>10</v>
      </c>
      <c r="E804" t="str">
        <f t="shared" si="41"/>
        <v xml:space="preserve">AME Non Cash Depreciation - Impairment </v>
      </c>
      <c r="F804" t="str">
        <f>'E - Resource Limits'!$E$6</f>
        <v>Dental</v>
      </c>
      <c r="S804">
        <f>'E - Resource Limits'!E22</f>
        <v>0</v>
      </c>
      <c r="U804">
        <f t="shared" si="33"/>
        <v>0</v>
      </c>
    </row>
    <row r="805" spans="1:21">
      <c r="A805" s="2895" t="str">
        <f>ORG!$S$1</f>
        <v>Apr 23</v>
      </c>
      <c r="B805" t="str">
        <f>ORG!$M$1</f>
        <v>Public Health Wales Trust</v>
      </c>
      <c r="C805" t="str">
        <f>'E - Resource Limits'!$A$5</f>
        <v>Table E - Resource Limits</v>
      </c>
      <c r="D805" s="2898">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5" t="str">
        <f>ORG!$S$1</f>
        <v>Apr 23</v>
      </c>
      <c r="B806" t="str">
        <f>ORG!$M$1</f>
        <v>Public Health Wales Trust</v>
      </c>
      <c r="C806" t="str">
        <f>'E - Resource Limits'!$A$5</f>
        <v>Table E - Resource Limits</v>
      </c>
      <c r="D806" s="2898">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5" t="str">
        <f>ORG!$S$1</f>
        <v>Apr 23</v>
      </c>
      <c r="B807" t="str">
        <f>ORG!$M$1</f>
        <v>Public Health Wales Trust</v>
      </c>
      <c r="C807" t="str">
        <f>'E - Resource Limits'!$A$5</f>
        <v>Table E - Resource Limits</v>
      </c>
      <c r="D807" s="2898">
        <f t="shared" ref="D807:E807" si="45">D751</f>
        <v>13</v>
      </c>
      <c r="E807" t="str">
        <f t="shared" si="45"/>
        <v xml:space="preserve">Total COVID-19 (see below analysis) </v>
      </c>
      <c r="F807" t="str">
        <f>'E - Resource Limits'!$E$6</f>
        <v>Dental</v>
      </c>
      <c r="S807">
        <f>'E - Resource Limits'!E25</f>
        <v>0</v>
      </c>
      <c r="U807">
        <f t="shared" si="43"/>
        <v>0</v>
      </c>
    </row>
    <row r="808" spans="1:21">
      <c r="A808" s="2895" t="str">
        <f>ORG!$S$1</f>
        <v>Apr 23</v>
      </c>
      <c r="B808" t="str">
        <f>ORG!$M$1</f>
        <v>Public Health Wales Trust</v>
      </c>
      <c r="C808" t="str">
        <f>'E - Resource Limits'!$A$5</f>
        <v>Table E - Resource Limits</v>
      </c>
      <c r="D808" s="2898">
        <f t="shared" ref="D808:E808" si="46">D752</f>
        <v>14</v>
      </c>
      <c r="E808" t="str">
        <f t="shared" si="46"/>
        <v xml:space="preserve">Removal of IFRS-16 Leases (Revenue) </v>
      </c>
      <c r="F808" t="str">
        <f>'E - Resource Limits'!$E$6</f>
        <v>Dental</v>
      </c>
      <c r="S808">
        <f>'E - Resource Limits'!E26</f>
        <v>0</v>
      </c>
      <c r="U808">
        <f t="shared" si="43"/>
        <v>0</v>
      </c>
    </row>
    <row r="809" spans="1:21">
      <c r="A809" s="2895" t="str">
        <f>ORG!$S$1</f>
        <v>Apr 23</v>
      </c>
      <c r="B809" t="str">
        <f>ORG!$M$1</f>
        <v>Public Health Wales Trust</v>
      </c>
      <c r="C809" t="str">
        <f>'E - Resource Limits'!$A$5</f>
        <v>Table E - Resource Limits</v>
      </c>
      <c r="D809" s="2898">
        <f t="shared" ref="D809:E809" si="47">D753</f>
        <v>15</v>
      </c>
      <c r="E809" t="str">
        <f t="shared" si="47"/>
        <v xml:space="preserve">Real Living Wage (Care Homes) </v>
      </c>
      <c r="F809" t="str">
        <f>'E - Resource Limits'!$E$6</f>
        <v>Dental</v>
      </c>
      <c r="S809">
        <f>'E - Resource Limits'!E27</f>
        <v>0</v>
      </c>
      <c r="U809">
        <f t="shared" si="43"/>
        <v>0</v>
      </c>
    </row>
    <row r="810" spans="1:21">
      <c r="A810" s="2895" t="str">
        <f>ORG!$S$1</f>
        <v>Apr 23</v>
      </c>
      <c r="B810" t="str">
        <f>ORG!$M$1</f>
        <v>Public Health Wales Trust</v>
      </c>
      <c r="C810" t="str">
        <f>'E - Resource Limits'!$A$5</f>
        <v>Table E - Resource Limits</v>
      </c>
      <c r="D810" s="2898">
        <f t="shared" ref="D810:E810" si="48">D754</f>
        <v>16</v>
      </c>
      <c r="E810" t="str">
        <f t="shared" si="48"/>
        <v xml:space="preserve"> </v>
      </c>
      <c r="F810" t="str">
        <f>'E - Resource Limits'!$E$6</f>
        <v>Dental</v>
      </c>
      <c r="S810">
        <f>'E - Resource Limits'!E28</f>
        <v>0</v>
      </c>
      <c r="U810">
        <f t="shared" si="43"/>
        <v>0</v>
      </c>
    </row>
    <row r="811" spans="1:21">
      <c r="A811" s="2895" t="str">
        <f>ORG!$S$1</f>
        <v>Apr 23</v>
      </c>
      <c r="B811" t="str">
        <f>ORG!$M$1</f>
        <v>Public Health Wales Trust</v>
      </c>
      <c r="C811" t="str">
        <f>'E - Resource Limits'!$A$5</f>
        <v>Table E - Resource Limits</v>
      </c>
      <c r="D811" s="2898">
        <f t="shared" ref="D811:E811" si="49">D755</f>
        <v>17</v>
      </c>
      <c r="E811" t="str">
        <f t="shared" si="49"/>
        <v xml:space="preserve"> </v>
      </c>
      <c r="F811" t="str">
        <f>'E - Resource Limits'!$E$6</f>
        <v>Dental</v>
      </c>
      <c r="S811">
        <f>'E - Resource Limits'!E29</f>
        <v>0</v>
      </c>
      <c r="U811">
        <f t="shared" si="43"/>
        <v>0</v>
      </c>
    </row>
    <row r="812" spans="1:21">
      <c r="A812" s="2895" t="str">
        <f>ORG!$S$1</f>
        <v>Apr 23</v>
      </c>
      <c r="B812" t="str">
        <f>ORG!$M$1</f>
        <v>Public Health Wales Trust</v>
      </c>
      <c r="C812" t="str">
        <f>'E - Resource Limits'!$A$5</f>
        <v>Table E - Resource Limits</v>
      </c>
      <c r="D812" s="2898">
        <f t="shared" ref="D812:E812" si="50">D756</f>
        <v>18</v>
      </c>
      <c r="E812" t="str">
        <f t="shared" si="50"/>
        <v xml:space="preserve"> </v>
      </c>
      <c r="F812" t="str">
        <f>'E - Resource Limits'!$E$6</f>
        <v>Dental</v>
      </c>
      <c r="S812">
        <f>'E - Resource Limits'!E30</f>
        <v>0</v>
      </c>
      <c r="U812">
        <f t="shared" si="43"/>
        <v>0</v>
      </c>
    </row>
    <row r="813" spans="1:21">
      <c r="A813" s="2895" t="str">
        <f>ORG!$S$1</f>
        <v>Apr 23</v>
      </c>
      <c r="B813" t="str">
        <f>ORG!$M$1</f>
        <v>Public Health Wales Trust</v>
      </c>
      <c r="C813" t="str">
        <f>'E - Resource Limits'!$A$5</f>
        <v>Table E - Resource Limits</v>
      </c>
      <c r="D813" s="2898">
        <f t="shared" ref="D813:E813" si="51">D757</f>
        <v>19</v>
      </c>
      <c r="E813" t="str">
        <f t="shared" si="51"/>
        <v xml:space="preserve"> </v>
      </c>
      <c r="F813" t="str">
        <f>'E - Resource Limits'!$E$6</f>
        <v>Dental</v>
      </c>
      <c r="S813">
        <f>'E - Resource Limits'!E31</f>
        <v>0</v>
      </c>
      <c r="U813">
        <f t="shared" si="43"/>
        <v>0</v>
      </c>
    </row>
    <row r="814" spans="1:21">
      <c r="A814" s="2895" t="str">
        <f>ORG!$S$1</f>
        <v>Apr 23</v>
      </c>
      <c r="B814" t="str">
        <f>ORG!$M$1</f>
        <v>Public Health Wales Trust</v>
      </c>
      <c r="C814" t="str">
        <f>'E - Resource Limits'!$A$5</f>
        <v>Table E - Resource Limits</v>
      </c>
      <c r="D814" s="2898">
        <f t="shared" ref="D814:E814" si="52">D758</f>
        <v>20</v>
      </c>
      <c r="E814" t="str">
        <f t="shared" si="52"/>
        <v xml:space="preserve"> </v>
      </c>
      <c r="F814" t="str">
        <f>'E - Resource Limits'!$E$6</f>
        <v>Dental</v>
      </c>
      <c r="S814">
        <f>'E - Resource Limits'!E32</f>
        <v>0</v>
      </c>
      <c r="U814">
        <f t="shared" si="43"/>
        <v>0</v>
      </c>
    </row>
    <row r="815" spans="1:21">
      <c r="A815" s="2895" t="str">
        <f>ORG!$S$1</f>
        <v>Apr 23</v>
      </c>
      <c r="B815" t="str">
        <f>ORG!$M$1</f>
        <v>Public Health Wales Trust</v>
      </c>
      <c r="C815" t="str">
        <f>'E - Resource Limits'!$A$5</f>
        <v>Table E - Resource Limits</v>
      </c>
      <c r="D815" s="2898">
        <f t="shared" ref="D815:E815" si="53">D759</f>
        <v>21</v>
      </c>
      <c r="E815" t="str">
        <f t="shared" si="53"/>
        <v xml:space="preserve"> </v>
      </c>
      <c r="F815" t="str">
        <f>'E - Resource Limits'!$E$6</f>
        <v>Dental</v>
      </c>
      <c r="S815">
        <f>'E - Resource Limits'!E33</f>
        <v>0</v>
      </c>
      <c r="U815">
        <f t="shared" si="43"/>
        <v>0</v>
      </c>
    </row>
    <row r="816" spans="1:21">
      <c r="A816" s="2895" t="str">
        <f>ORG!$S$1</f>
        <v>Apr 23</v>
      </c>
      <c r="B816" t="str">
        <f>ORG!$M$1</f>
        <v>Public Health Wales Trust</v>
      </c>
      <c r="C816" t="str">
        <f>'E - Resource Limits'!$A$5</f>
        <v>Table E - Resource Limits</v>
      </c>
      <c r="D816" s="2898">
        <f t="shared" ref="D816:E816" si="54">D760</f>
        <v>22</v>
      </c>
      <c r="E816" t="str">
        <f t="shared" si="54"/>
        <v xml:space="preserve"> </v>
      </c>
      <c r="F816" t="str">
        <f>'E - Resource Limits'!$E$6</f>
        <v>Dental</v>
      </c>
      <c r="S816">
        <f>'E - Resource Limits'!E34</f>
        <v>0</v>
      </c>
      <c r="U816">
        <f t="shared" si="43"/>
        <v>0</v>
      </c>
    </row>
    <row r="817" spans="1:21">
      <c r="A817" s="2895" t="str">
        <f>ORG!$S$1</f>
        <v>Apr 23</v>
      </c>
      <c r="B817" t="str">
        <f>ORG!$M$1</f>
        <v>Public Health Wales Trust</v>
      </c>
      <c r="C817" t="str">
        <f>'E - Resource Limits'!$A$5</f>
        <v>Table E - Resource Limits</v>
      </c>
      <c r="D817" s="2898">
        <f t="shared" ref="D817:E817" si="55">D761</f>
        <v>23</v>
      </c>
      <c r="E817" t="str">
        <f t="shared" si="55"/>
        <v xml:space="preserve"> </v>
      </c>
      <c r="F817" t="str">
        <f>'E - Resource Limits'!$E$6</f>
        <v>Dental</v>
      </c>
      <c r="S817">
        <f>'E - Resource Limits'!E35</f>
        <v>0</v>
      </c>
      <c r="U817">
        <f t="shared" si="43"/>
        <v>0</v>
      </c>
    </row>
    <row r="818" spans="1:21">
      <c r="A818" s="2895" t="str">
        <f>ORG!$S$1</f>
        <v>Apr 23</v>
      </c>
      <c r="B818" t="str">
        <f>ORG!$M$1</f>
        <v>Public Health Wales Trust</v>
      </c>
      <c r="C818" t="str">
        <f>'E - Resource Limits'!$A$5</f>
        <v>Table E - Resource Limits</v>
      </c>
      <c r="D818" s="2898">
        <f t="shared" ref="D818:E818" si="56">D762</f>
        <v>24</v>
      </c>
      <c r="E818" t="str">
        <f t="shared" si="56"/>
        <v xml:space="preserve"> </v>
      </c>
      <c r="F818" t="str">
        <f>'E - Resource Limits'!$E$6</f>
        <v>Dental</v>
      </c>
      <c r="S818">
        <f>'E - Resource Limits'!E36</f>
        <v>0</v>
      </c>
      <c r="U818">
        <f t="shared" si="43"/>
        <v>0</v>
      </c>
    </row>
    <row r="819" spans="1:21">
      <c r="A819" s="2895" t="str">
        <f>ORG!$S$1</f>
        <v>Apr 23</v>
      </c>
      <c r="B819" t="str">
        <f>ORG!$M$1</f>
        <v>Public Health Wales Trust</v>
      </c>
      <c r="C819" t="str">
        <f>'E - Resource Limits'!$A$5</f>
        <v>Table E - Resource Limits</v>
      </c>
      <c r="D819" s="2898">
        <f t="shared" ref="D819:E819" si="57">D763</f>
        <v>25</v>
      </c>
      <c r="E819" t="str">
        <f t="shared" si="57"/>
        <v xml:space="preserve"> </v>
      </c>
      <c r="F819" t="str">
        <f>'E - Resource Limits'!$E$6</f>
        <v>Dental</v>
      </c>
      <c r="S819">
        <f>'E - Resource Limits'!E37</f>
        <v>0</v>
      </c>
      <c r="U819">
        <f t="shared" si="43"/>
        <v>0</v>
      </c>
    </row>
    <row r="820" spans="1:21">
      <c r="A820" s="2895" t="str">
        <f>ORG!$S$1</f>
        <v>Apr 23</v>
      </c>
      <c r="B820" t="str">
        <f>ORG!$M$1</f>
        <v>Public Health Wales Trust</v>
      </c>
      <c r="C820" t="str">
        <f>'E - Resource Limits'!$A$5</f>
        <v>Table E - Resource Limits</v>
      </c>
      <c r="D820" s="2898">
        <f t="shared" ref="D820:E820" si="58">D764</f>
        <v>26</v>
      </c>
      <c r="E820" t="str">
        <f t="shared" si="58"/>
        <v xml:space="preserve"> </v>
      </c>
      <c r="F820" t="str">
        <f>'E - Resource Limits'!$E$6</f>
        <v>Dental</v>
      </c>
      <c r="S820">
        <f>'E - Resource Limits'!E38</f>
        <v>0</v>
      </c>
      <c r="U820">
        <f t="shared" si="43"/>
        <v>0</v>
      </c>
    </row>
    <row r="821" spans="1:21">
      <c r="A821" s="2895" t="str">
        <f>ORG!$S$1</f>
        <v>Apr 23</v>
      </c>
      <c r="B821" t="str">
        <f>ORG!$M$1</f>
        <v>Public Health Wales Trust</v>
      </c>
      <c r="C821" t="str">
        <f>'E - Resource Limits'!$A$5</f>
        <v>Table E - Resource Limits</v>
      </c>
      <c r="D821" s="2898">
        <f t="shared" ref="D821:E821" si="59">D765</f>
        <v>27</v>
      </c>
      <c r="E821" t="str">
        <f t="shared" si="59"/>
        <v xml:space="preserve"> </v>
      </c>
      <c r="F821" t="str">
        <f>'E - Resource Limits'!$E$6</f>
        <v>Dental</v>
      </c>
      <c r="S821">
        <f>'E - Resource Limits'!E39</f>
        <v>0</v>
      </c>
      <c r="U821">
        <f t="shared" si="43"/>
        <v>0</v>
      </c>
    </row>
    <row r="822" spans="1:21">
      <c r="A822" s="2895" t="str">
        <f>ORG!$S$1</f>
        <v>Apr 23</v>
      </c>
      <c r="B822" t="str">
        <f>ORG!$M$1</f>
        <v>Public Health Wales Trust</v>
      </c>
      <c r="C822" t="str">
        <f>'E - Resource Limits'!$A$5</f>
        <v>Table E - Resource Limits</v>
      </c>
      <c r="D822" s="2898">
        <f t="shared" ref="D822:E822" si="60">D766</f>
        <v>28</v>
      </c>
      <c r="E822" t="str">
        <f t="shared" si="60"/>
        <v xml:space="preserve"> </v>
      </c>
      <c r="F822" t="str">
        <f>'E - Resource Limits'!$E$6</f>
        <v>Dental</v>
      </c>
      <c r="S822">
        <f>'E - Resource Limits'!E40</f>
        <v>0</v>
      </c>
      <c r="U822">
        <f t="shared" si="43"/>
        <v>0</v>
      </c>
    </row>
    <row r="823" spans="1:21">
      <c r="A823" s="2895" t="str">
        <f>ORG!$S$1</f>
        <v>Apr 23</v>
      </c>
      <c r="B823" t="str">
        <f>ORG!$M$1</f>
        <v>Public Health Wales Trust</v>
      </c>
      <c r="C823" t="str">
        <f>'E - Resource Limits'!$A$5</f>
        <v>Table E - Resource Limits</v>
      </c>
      <c r="D823" s="2898">
        <f t="shared" ref="D823:E823" si="61">D767</f>
        <v>29</v>
      </c>
      <c r="E823" t="str">
        <f t="shared" si="61"/>
        <v xml:space="preserve"> </v>
      </c>
      <c r="F823" t="str">
        <f>'E - Resource Limits'!$E$6</f>
        <v>Dental</v>
      </c>
      <c r="S823">
        <f>'E - Resource Limits'!E41</f>
        <v>0</v>
      </c>
      <c r="U823">
        <f t="shared" si="43"/>
        <v>0</v>
      </c>
    </row>
    <row r="824" spans="1:21">
      <c r="A824" s="2895" t="str">
        <f>ORG!$S$1</f>
        <v>Apr 23</v>
      </c>
      <c r="B824" t="str">
        <f>ORG!$M$1</f>
        <v>Public Health Wales Trust</v>
      </c>
      <c r="C824" t="str">
        <f>'E - Resource Limits'!$A$5</f>
        <v>Table E - Resource Limits</v>
      </c>
      <c r="D824" s="2898">
        <f t="shared" ref="D824:E824" si="62">D768</f>
        <v>30</v>
      </c>
      <c r="E824" t="str">
        <f t="shared" si="62"/>
        <v xml:space="preserve"> </v>
      </c>
      <c r="F824" t="str">
        <f>'E - Resource Limits'!$E$6</f>
        <v>Dental</v>
      </c>
      <c r="S824">
        <f>'E - Resource Limits'!E42</f>
        <v>0</v>
      </c>
      <c r="U824">
        <f t="shared" si="43"/>
        <v>0</v>
      </c>
    </row>
    <row r="825" spans="1:21">
      <c r="A825" s="2895" t="str">
        <f>ORG!$S$1</f>
        <v>Apr 23</v>
      </c>
      <c r="B825" t="str">
        <f>ORG!$M$1</f>
        <v>Public Health Wales Trust</v>
      </c>
      <c r="C825" t="str">
        <f>'E - Resource Limits'!$A$5</f>
        <v>Table E - Resource Limits</v>
      </c>
      <c r="D825" s="2898">
        <f t="shared" ref="D825:E825" si="63">D769</f>
        <v>31</v>
      </c>
      <c r="E825" t="str">
        <f t="shared" si="63"/>
        <v xml:space="preserve"> </v>
      </c>
      <c r="F825" t="str">
        <f>'E - Resource Limits'!$E$6</f>
        <v>Dental</v>
      </c>
      <c r="S825">
        <f>'E - Resource Limits'!E43</f>
        <v>0</v>
      </c>
      <c r="U825">
        <f t="shared" si="43"/>
        <v>0</v>
      </c>
    </row>
    <row r="826" spans="1:21">
      <c r="A826" s="2895" t="str">
        <f>ORG!$S$1</f>
        <v>Apr 23</v>
      </c>
      <c r="B826" t="str">
        <f>ORG!$M$1</f>
        <v>Public Health Wales Trust</v>
      </c>
      <c r="C826" t="str">
        <f>'E - Resource Limits'!$A$5</f>
        <v>Table E - Resource Limits</v>
      </c>
      <c r="D826" s="2898">
        <f t="shared" ref="D826:E826" si="64">D770</f>
        <v>32</v>
      </c>
      <c r="E826" t="str">
        <f t="shared" si="64"/>
        <v xml:space="preserve"> </v>
      </c>
      <c r="F826" t="str">
        <f>'E - Resource Limits'!$E$6</f>
        <v>Dental</v>
      </c>
      <c r="S826">
        <f>'E - Resource Limits'!E44</f>
        <v>0</v>
      </c>
      <c r="U826">
        <f t="shared" si="43"/>
        <v>0</v>
      </c>
    </row>
    <row r="827" spans="1:21">
      <c r="A827" s="2895" t="str">
        <f>ORG!$S$1</f>
        <v>Apr 23</v>
      </c>
      <c r="B827" t="str">
        <f>ORG!$M$1</f>
        <v>Public Health Wales Trust</v>
      </c>
      <c r="C827" t="str">
        <f>'E - Resource Limits'!$A$5</f>
        <v>Table E - Resource Limits</v>
      </c>
      <c r="D827" s="2898">
        <f>D771</f>
        <v>33</v>
      </c>
      <c r="E827" t="str">
        <f>E771</f>
        <v xml:space="preserve"> </v>
      </c>
      <c r="F827" t="str">
        <f>'E - Resource Limits'!$E$6</f>
        <v>Dental</v>
      </c>
      <c r="S827">
        <f>'E - Resource Limits'!E45</f>
        <v>0</v>
      </c>
      <c r="U827">
        <f t="shared" si="43"/>
        <v>0</v>
      </c>
    </row>
    <row r="828" spans="1:21">
      <c r="A828" s="2895" t="str">
        <f>ORG!$S$1</f>
        <v>Apr 23</v>
      </c>
      <c r="B828" t="str">
        <f>ORG!$M$1</f>
        <v>Public Health Wales Trust</v>
      </c>
      <c r="C828" t="str">
        <f>'E - Resource Limits'!$A$5</f>
        <v>Table E - Resource Limits</v>
      </c>
      <c r="D828" s="2898">
        <f t="shared" ref="D828:E828" si="65">D772</f>
        <v>34</v>
      </c>
      <c r="E828" t="str">
        <f t="shared" si="65"/>
        <v xml:space="preserve"> </v>
      </c>
      <c r="F828" t="str">
        <f>'E - Resource Limits'!$E$6</f>
        <v>Dental</v>
      </c>
      <c r="S828">
        <f>'E - Resource Limits'!E46</f>
        <v>0</v>
      </c>
      <c r="U828">
        <f t="shared" si="43"/>
        <v>0</v>
      </c>
    </row>
    <row r="829" spans="1:21">
      <c r="A829" s="2895" t="str">
        <f>ORG!$S$1</f>
        <v>Apr 23</v>
      </c>
      <c r="B829" t="str">
        <f>ORG!$M$1</f>
        <v>Public Health Wales Trust</v>
      </c>
      <c r="C829" t="str">
        <f>'E - Resource Limits'!$A$5</f>
        <v>Table E - Resource Limits</v>
      </c>
      <c r="D829" s="2898">
        <f t="shared" ref="D829:E829" si="66">D773</f>
        <v>35</v>
      </c>
      <c r="E829" t="str">
        <f t="shared" si="66"/>
        <v xml:space="preserve"> </v>
      </c>
      <c r="F829" t="str">
        <f>'E - Resource Limits'!$E$6</f>
        <v>Dental</v>
      </c>
      <c r="S829">
        <f>'E - Resource Limits'!E47</f>
        <v>0</v>
      </c>
      <c r="U829">
        <f t="shared" si="43"/>
        <v>0</v>
      </c>
    </row>
    <row r="830" spans="1:21">
      <c r="A830" s="2895" t="str">
        <f>ORG!$S$1</f>
        <v>Apr 23</v>
      </c>
      <c r="B830" t="str">
        <f>ORG!$M$1</f>
        <v>Public Health Wales Trust</v>
      </c>
      <c r="C830" t="str">
        <f>'E - Resource Limits'!$A$5</f>
        <v>Table E - Resource Limits</v>
      </c>
      <c r="D830" s="2898">
        <f t="shared" ref="D830:E830" si="67">D774</f>
        <v>36</v>
      </c>
      <c r="E830" t="str">
        <f t="shared" si="67"/>
        <v xml:space="preserve"> </v>
      </c>
      <c r="F830" t="str">
        <f>'E - Resource Limits'!$E$6</f>
        <v>Dental</v>
      </c>
      <c r="S830">
        <f>'E - Resource Limits'!E48</f>
        <v>0</v>
      </c>
      <c r="U830">
        <f t="shared" si="43"/>
        <v>0</v>
      </c>
    </row>
    <row r="831" spans="1:21">
      <c r="A831" s="2895" t="str">
        <f>ORG!$S$1</f>
        <v>Apr 23</v>
      </c>
      <c r="B831" t="str">
        <f>ORG!$M$1</f>
        <v>Public Health Wales Trust</v>
      </c>
      <c r="C831" t="str">
        <f>'E - Resource Limits'!$A$5</f>
        <v>Table E - Resource Limits</v>
      </c>
      <c r="D831" s="2898">
        <f t="shared" ref="D831:E831" si="68">D775</f>
        <v>37</v>
      </c>
      <c r="E831" t="str">
        <f t="shared" si="68"/>
        <v xml:space="preserve"> </v>
      </c>
      <c r="F831" t="str">
        <f>'E - Resource Limits'!$E$6</f>
        <v>Dental</v>
      </c>
      <c r="S831">
        <f>'E - Resource Limits'!E49</f>
        <v>0</v>
      </c>
      <c r="U831">
        <f t="shared" si="43"/>
        <v>0</v>
      </c>
    </row>
    <row r="832" spans="1:21">
      <c r="A832" s="2895" t="str">
        <f>ORG!$S$1</f>
        <v>Apr 23</v>
      </c>
      <c r="B832" t="str">
        <f>ORG!$M$1</f>
        <v>Public Health Wales Trust</v>
      </c>
      <c r="C832" t="str">
        <f>'E - Resource Limits'!$A$5</f>
        <v>Table E - Resource Limits</v>
      </c>
      <c r="D832" s="2898">
        <f t="shared" ref="D832:E832" si="69">D776</f>
        <v>38</v>
      </c>
      <c r="E832" t="str">
        <f t="shared" si="69"/>
        <v xml:space="preserve"> </v>
      </c>
      <c r="F832" t="str">
        <f>'E - Resource Limits'!$E$6</f>
        <v>Dental</v>
      </c>
      <c r="S832">
        <f>'E - Resource Limits'!E50</f>
        <v>0</v>
      </c>
      <c r="U832">
        <f t="shared" si="43"/>
        <v>0</v>
      </c>
    </row>
    <row r="833" spans="1:21">
      <c r="A833" s="2895" t="str">
        <f>ORG!$S$1</f>
        <v>Apr 23</v>
      </c>
      <c r="B833" t="str">
        <f>ORG!$M$1</f>
        <v>Public Health Wales Trust</v>
      </c>
      <c r="C833" t="str">
        <f>'E - Resource Limits'!$A$5</f>
        <v>Table E - Resource Limits</v>
      </c>
      <c r="D833" s="2898">
        <f t="shared" ref="D833:E833" si="70">D777</f>
        <v>39</v>
      </c>
      <c r="E833" t="str">
        <f t="shared" si="70"/>
        <v xml:space="preserve"> </v>
      </c>
      <c r="F833" t="str">
        <f>'E - Resource Limits'!$E$6</f>
        <v>Dental</v>
      </c>
      <c r="S833">
        <f>'E - Resource Limits'!E51</f>
        <v>0</v>
      </c>
      <c r="U833">
        <f t="shared" si="43"/>
        <v>0</v>
      </c>
    </row>
    <row r="834" spans="1:21">
      <c r="A834" s="2895" t="str">
        <f>ORG!$S$1</f>
        <v>Apr 23</v>
      </c>
      <c r="B834" t="str">
        <f>ORG!$M$1</f>
        <v>Public Health Wales Trust</v>
      </c>
      <c r="C834" t="str">
        <f>'E - Resource Limits'!$A$5</f>
        <v>Table E - Resource Limits</v>
      </c>
      <c r="D834" s="2898">
        <f t="shared" ref="D834:E834" si="71">D778</f>
        <v>40</v>
      </c>
      <c r="E834" t="str">
        <f t="shared" si="71"/>
        <v xml:space="preserve"> </v>
      </c>
      <c r="F834" t="str">
        <f>'E - Resource Limits'!$E$6</f>
        <v>Dental</v>
      </c>
      <c r="S834">
        <f>'E - Resource Limits'!E52</f>
        <v>0</v>
      </c>
      <c r="U834">
        <f t="shared" si="43"/>
        <v>0</v>
      </c>
    </row>
    <row r="835" spans="1:21">
      <c r="A835" s="2895" t="str">
        <f>ORG!$S$1</f>
        <v>Apr 23</v>
      </c>
      <c r="B835" t="str">
        <f>ORG!$M$1</f>
        <v>Public Health Wales Trust</v>
      </c>
      <c r="C835" t="str">
        <f>'E - Resource Limits'!$A$5</f>
        <v>Table E - Resource Limits</v>
      </c>
      <c r="D835" s="2898">
        <f t="shared" ref="D835:E835" si="72">D779</f>
        <v>41</v>
      </c>
      <c r="E835" t="str">
        <f t="shared" si="72"/>
        <v xml:space="preserve"> </v>
      </c>
      <c r="F835" t="str">
        <f>'E - Resource Limits'!$E$6</f>
        <v>Dental</v>
      </c>
      <c r="S835">
        <f>'E - Resource Limits'!E53</f>
        <v>0</v>
      </c>
      <c r="U835">
        <f t="shared" si="43"/>
        <v>0</v>
      </c>
    </row>
    <row r="836" spans="1:21">
      <c r="A836" s="2895" t="str">
        <f>ORG!$S$1</f>
        <v>Apr 23</v>
      </c>
      <c r="B836" t="str">
        <f>ORG!$M$1</f>
        <v>Public Health Wales Trust</v>
      </c>
      <c r="C836" t="str">
        <f>'E - Resource Limits'!$A$5</f>
        <v>Table E - Resource Limits</v>
      </c>
      <c r="D836" s="2898">
        <f t="shared" ref="D836:E836" si="73">D780</f>
        <v>42</v>
      </c>
      <c r="E836" t="str">
        <f t="shared" si="73"/>
        <v xml:space="preserve"> </v>
      </c>
      <c r="F836" t="str">
        <f>'E - Resource Limits'!$E$6</f>
        <v>Dental</v>
      </c>
      <c r="S836">
        <f>'E - Resource Limits'!E54</f>
        <v>0</v>
      </c>
      <c r="U836">
        <f t="shared" si="43"/>
        <v>0</v>
      </c>
    </row>
    <row r="837" spans="1:21">
      <c r="A837" s="2895" t="str">
        <f>ORG!$S$1</f>
        <v>Apr 23</v>
      </c>
      <c r="B837" t="str">
        <f>ORG!$M$1</f>
        <v>Public Health Wales Trust</v>
      </c>
      <c r="C837" t="str">
        <f>'E - Resource Limits'!$A$5</f>
        <v>Table E - Resource Limits</v>
      </c>
      <c r="D837" s="2898">
        <f>D781</f>
        <v>43</v>
      </c>
      <c r="E837" t="str">
        <f>E781</f>
        <v xml:space="preserve"> </v>
      </c>
      <c r="F837" t="str">
        <f>'E - Resource Limits'!$E$6</f>
        <v>Dental</v>
      </c>
      <c r="S837">
        <f>'E - Resource Limits'!E55</f>
        <v>0</v>
      </c>
      <c r="U837">
        <f t="shared" si="43"/>
        <v>0</v>
      </c>
    </row>
    <row r="838" spans="1:21">
      <c r="A838" s="2895" t="str">
        <f>ORG!$S$1</f>
        <v>Apr 23</v>
      </c>
      <c r="B838" t="str">
        <f>ORG!$M$1</f>
        <v>Public Health Wales Trust</v>
      </c>
      <c r="C838" t="str">
        <f>'E - Resource Limits'!$A$5</f>
        <v>Table E - Resource Limits</v>
      </c>
      <c r="D838" s="2898">
        <f t="shared" ref="D838:E838" si="74">D782</f>
        <v>44</v>
      </c>
      <c r="E838" t="str">
        <f t="shared" si="74"/>
        <v xml:space="preserve"> </v>
      </c>
      <c r="F838" t="str">
        <f>'E - Resource Limits'!$E$6</f>
        <v>Dental</v>
      </c>
      <c r="S838">
        <f>'E - Resource Limits'!E56</f>
        <v>0</v>
      </c>
      <c r="U838">
        <f t="shared" si="43"/>
        <v>0</v>
      </c>
    </row>
    <row r="839" spans="1:21">
      <c r="A839" s="2895" t="str">
        <f>ORG!$S$1</f>
        <v>Apr 23</v>
      </c>
      <c r="B839" t="str">
        <f>ORG!$M$1</f>
        <v>Public Health Wales Trust</v>
      </c>
      <c r="C839" t="str">
        <f>'E - Resource Limits'!$A$5</f>
        <v>Table E - Resource Limits</v>
      </c>
      <c r="D839" s="2898">
        <f t="shared" ref="D839:E839" si="75">D783</f>
        <v>45</v>
      </c>
      <c r="E839" t="str">
        <f t="shared" si="75"/>
        <v xml:space="preserve"> </v>
      </c>
      <c r="F839" t="str">
        <f>'E - Resource Limits'!$E$6</f>
        <v>Dental</v>
      </c>
      <c r="S839">
        <f>'E - Resource Limits'!E57</f>
        <v>0</v>
      </c>
      <c r="U839">
        <f t="shared" si="43"/>
        <v>0</v>
      </c>
    </row>
    <row r="840" spans="1:21">
      <c r="A840" s="2895" t="str">
        <f>ORG!$S$1</f>
        <v>Apr 23</v>
      </c>
      <c r="B840" t="str">
        <f>ORG!$M$1</f>
        <v>Public Health Wales Trust</v>
      </c>
      <c r="C840" t="str">
        <f>'E - Resource Limits'!$A$5</f>
        <v>Table E - Resource Limits</v>
      </c>
      <c r="D840" s="2898">
        <f t="shared" ref="D840:E840" si="76">D784</f>
        <v>46</v>
      </c>
      <c r="E840" t="str">
        <f t="shared" si="76"/>
        <v xml:space="preserve"> </v>
      </c>
      <c r="F840" t="str">
        <f>'E - Resource Limits'!$E$6</f>
        <v>Dental</v>
      </c>
      <c r="S840">
        <f>'E - Resource Limits'!E58</f>
        <v>0</v>
      </c>
      <c r="U840">
        <f t="shared" si="43"/>
        <v>0</v>
      </c>
    </row>
    <row r="841" spans="1:21">
      <c r="A841" s="2895" t="str">
        <f>ORG!$S$1</f>
        <v>Apr 23</v>
      </c>
      <c r="B841" t="str">
        <f>ORG!$M$1</f>
        <v>Public Health Wales Trust</v>
      </c>
      <c r="C841" t="str">
        <f>'E - Resource Limits'!$A$5</f>
        <v>Table E - Resource Limits</v>
      </c>
      <c r="D841" s="2898">
        <f t="shared" ref="D841:E841" si="77">D785</f>
        <v>47</v>
      </c>
      <c r="E841" t="str">
        <f t="shared" si="77"/>
        <v xml:space="preserve"> </v>
      </c>
      <c r="F841" t="str">
        <f>'E - Resource Limits'!$E$6</f>
        <v>Dental</v>
      </c>
      <c r="S841">
        <f>'E - Resource Limits'!E59</f>
        <v>0</v>
      </c>
      <c r="U841">
        <f t="shared" si="43"/>
        <v>0</v>
      </c>
    </row>
    <row r="842" spans="1:21">
      <c r="A842" s="2895" t="str">
        <f>ORG!$S$1</f>
        <v>Apr 23</v>
      </c>
      <c r="B842" t="str">
        <f>ORG!$M$1</f>
        <v>Public Health Wales Trust</v>
      </c>
      <c r="C842" t="str">
        <f>'E - Resource Limits'!$A$5</f>
        <v>Table E - Resource Limits</v>
      </c>
      <c r="D842" s="2898">
        <f t="shared" ref="D842:E842" si="78">D786</f>
        <v>48</v>
      </c>
      <c r="E842" t="str">
        <f t="shared" si="78"/>
        <v xml:space="preserve"> </v>
      </c>
      <c r="F842" t="str">
        <f>'E - Resource Limits'!$E$6</f>
        <v>Dental</v>
      </c>
      <c r="S842">
        <f>'E - Resource Limits'!E60</f>
        <v>0</v>
      </c>
      <c r="U842">
        <f t="shared" si="43"/>
        <v>0</v>
      </c>
    </row>
    <row r="843" spans="1:21">
      <c r="A843" s="2895" t="str">
        <f>ORG!$S$1</f>
        <v>Apr 23</v>
      </c>
      <c r="B843" t="str">
        <f>ORG!$M$1</f>
        <v>Public Health Wales Trust</v>
      </c>
      <c r="C843" t="str">
        <f>'E - Resource Limits'!$A$5</f>
        <v>Table E - Resource Limits</v>
      </c>
      <c r="D843" s="2898">
        <f t="shared" ref="D843:E843" si="79">D787</f>
        <v>49</v>
      </c>
      <c r="E843" t="str">
        <f t="shared" si="79"/>
        <v xml:space="preserve"> </v>
      </c>
      <c r="F843" t="str">
        <f>'E - Resource Limits'!$E$6</f>
        <v>Dental</v>
      </c>
      <c r="S843">
        <f>'E - Resource Limits'!E61</f>
        <v>0</v>
      </c>
      <c r="U843">
        <f t="shared" si="43"/>
        <v>0</v>
      </c>
    </row>
    <row r="844" spans="1:21">
      <c r="A844" s="2895" t="str">
        <f>ORG!$S$1</f>
        <v>Apr 23</v>
      </c>
      <c r="B844" t="str">
        <f>ORG!$M$1</f>
        <v>Public Health Wales Trust</v>
      </c>
      <c r="C844" t="str">
        <f>'E - Resource Limits'!$A$5</f>
        <v>Table E - Resource Limits</v>
      </c>
      <c r="D844" s="2898">
        <f t="shared" ref="D844:E844" si="80">D788</f>
        <v>50</v>
      </c>
      <c r="E844" t="str">
        <f t="shared" si="80"/>
        <v xml:space="preserve"> </v>
      </c>
      <c r="F844" t="str">
        <f>'E - Resource Limits'!$E$6</f>
        <v>Dental</v>
      </c>
      <c r="S844">
        <f>'E - Resource Limits'!E62</f>
        <v>0</v>
      </c>
      <c r="U844">
        <f t="shared" si="43"/>
        <v>0</v>
      </c>
    </row>
    <row r="845" spans="1:21">
      <c r="A845" s="2895" t="str">
        <f>ORG!$S$1</f>
        <v>Apr 23</v>
      </c>
      <c r="B845" t="str">
        <f>ORG!$M$1</f>
        <v>Public Health Wales Trust</v>
      </c>
      <c r="C845" t="str">
        <f>'E - Resource Limits'!$A$5</f>
        <v>Table E - Resource Limits</v>
      </c>
      <c r="D845" s="2898">
        <f t="shared" ref="D845:E845" si="81">D789</f>
        <v>51</v>
      </c>
      <c r="E845" t="str">
        <f t="shared" si="81"/>
        <v xml:space="preserve"> </v>
      </c>
      <c r="F845" t="str">
        <f>'E - Resource Limits'!$E$6</f>
        <v>Dental</v>
      </c>
      <c r="S845">
        <f>'E - Resource Limits'!E63</f>
        <v>0</v>
      </c>
      <c r="U845">
        <f t="shared" si="43"/>
        <v>0</v>
      </c>
    </row>
    <row r="846" spans="1:21">
      <c r="A846" s="2895" t="str">
        <f>ORG!$S$1</f>
        <v>Apr 23</v>
      </c>
      <c r="B846" t="str">
        <f>ORG!$M$1</f>
        <v>Public Health Wales Trust</v>
      </c>
      <c r="C846" t="str">
        <f>'E - Resource Limits'!$A$5</f>
        <v>Table E - Resource Limits</v>
      </c>
      <c r="D846" s="2898">
        <f t="shared" ref="D846:E846" si="82">D790</f>
        <v>52</v>
      </c>
      <c r="E846" t="str">
        <f t="shared" si="82"/>
        <v xml:space="preserve"> </v>
      </c>
      <c r="F846" t="str">
        <f>'E - Resource Limits'!$E$6</f>
        <v>Dental</v>
      </c>
      <c r="S846">
        <f>'E - Resource Limits'!E64</f>
        <v>0</v>
      </c>
      <c r="U846">
        <f t="shared" si="43"/>
        <v>0</v>
      </c>
    </row>
    <row r="847" spans="1:21">
      <c r="A847" s="2895" t="str">
        <f>ORG!$S$1</f>
        <v>Apr 23</v>
      </c>
      <c r="B847" t="str">
        <f>ORG!$M$1</f>
        <v>Public Health Wales Trust</v>
      </c>
      <c r="C847" t="str">
        <f>'E - Resource Limits'!$A$5</f>
        <v>Table E - Resource Limits</v>
      </c>
      <c r="D847" s="2898">
        <f t="shared" ref="D847:E847" si="83">D791</f>
        <v>53</v>
      </c>
      <c r="E847" t="str">
        <f t="shared" si="83"/>
        <v xml:space="preserve"> </v>
      </c>
      <c r="F847" t="str">
        <f>'E - Resource Limits'!$E$6</f>
        <v>Dental</v>
      </c>
      <c r="S847">
        <f>'E - Resource Limits'!E65</f>
        <v>0</v>
      </c>
      <c r="U847">
        <f t="shared" si="43"/>
        <v>0</v>
      </c>
    </row>
    <row r="848" spans="1:21">
      <c r="A848" s="2895" t="str">
        <f>ORG!$S$1</f>
        <v>Apr 23</v>
      </c>
      <c r="B848" t="str">
        <f>ORG!$M$1</f>
        <v>Public Health Wales Trust</v>
      </c>
      <c r="C848" t="str">
        <f>'E - Resource Limits'!$A$5</f>
        <v>Table E - Resource Limits</v>
      </c>
      <c r="D848" s="2898">
        <f t="shared" ref="D848:E848" si="84">D792</f>
        <v>54</v>
      </c>
      <c r="E848" t="str">
        <f t="shared" si="84"/>
        <v xml:space="preserve"> </v>
      </c>
      <c r="F848" t="str">
        <f>'E - Resource Limits'!$E$6</f>
        <v>Dental</v>
      </c>
      <c r="S848">
        <f>'E - Resource Limits'!E66</f>
        <v>0</v>
      </c>
      <c r="U848">
        <f t="shared" si="43"/>
        <v>0</v>
      </c>
    </row>
    <row r="849" spans="1:21">
      <c r="A849" s="2895" t="str">
        <f>ORG!$S$1</f>
        <v>Apr 23</v>
      </c>
      <c r="B849" t="str">
        <f>ORG!$M$1</f>
        <v>Public Health Wales Trust</v>
      </c>
      <c r="C849" t="str">
        <f>'E - Resource Limits'!$A$5</f>
        <v>Table E - Resource Limits</v>
      </c>
      <c r="D849" s="2898">
        <f t="shared" ref="D849:E849" si="85">D793</f>
        <v>55</v>
      </c>
      <c r="E849" t="str">
        <f t="shared" si="85"/>
        <v xml:space="preserve"> </v>
      </c>
      <c r="F849" t="str">
        <f>'E - Resource Limits'!$E$6</f>
        <v>Dental</v>
      </c>
      <c r="S849">
        <f>'E - Resource Limits'!E67</f>
        <v>0</v>
      </c>
      <c r="U849">
        <f t="shared" si="43"/>
        <v>0</v>
      </c>
    </row>
    <row r="850" spans="1:21">
      <c r="A850" s="2895" t="str">
        <f>ORG!$S$1</f>
        <v>Apr 23</v>
      </c>
      <c r="B850" t="str">
        <f>ORG!$M$1</f>
        <v>Public Health Wales Trust</v>
      </c>
      <c r="C850" t="str">
        <f>'E - Resource Limits'!$A$5</f>
        <v>Table E - Resource Limits</v>
      </c>
      <c r="D850" s="2898">
        <f>D794</f>
        <v>61</v>
      </c>
      <c r="E850" t="str">
        <f>E794</f>
        <v xml:space="preserve">Capital Working Balances Request </v>
      </c>
      <c r="F850" t="str">
        <f>'E - Resource Limits'!$E$6</f>
        <v>Dental</v>
      </c>
      <c r="S850">
        <f>'E - Resource Limits'!E73</f>
        <v>0</v>
      </c>
      <c r="U850">
        <f t="shared" si="43"/>
        <v>0</v>
      </c>
    </row>
    <row r="851" spans="1:21">
      <c r="A851" s="2895" t="str">
        <f>ORG!$S$1</f>
        <v>Apr 23</v>
      </c>
      <c r="B851" t="str">
        <f>ORG!$M$1</f>
        <v>Public Health Wales Trust</v>
      </c>
      <c r="C851" t="str">
        <f>'E - Resource Limits'!$A$5</f>
        <v>Table E - Resource Limits</v>
      </c>
      <c r="D851" s="2898">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5" t="str">
        <f>ORG!$S$1</f>
        <v>Apr 23</v>
      </c>
      <c r="B852" t="str">
        <f>ORG!$M$1</f>
        <v>Public Health Wales Trust</v>
      </c>
      <c r="C852" t="str">
        <f>'E - Resource Limits'!$A$5</f>
        <v>Table E - Resource Limits</v>
      </c>
      <c r="D852" s="2898">
        <f t="shared" ref="D852:E852" si="87">D796</f>
        <v>63</v>
      </c>
      <c r="E852" t="str">
        <f t="shared" si="87"/>
        <v>Total Anticipated Funding</v>
      </c>
      <c r="F852" t="str">
        <f>'E - Resource Limits'!$E$6</f>
        <v>Dental</v>
      </c>
      <c r="S852">
        <f>'E - Resource Limits'!E75</f>
        <v>0</v>
      </c>
      <c r="U852">
        <f t="shared" si="43"/>
        <v>0</v>
      </c>
    </row>
    <row r="853" spans="1:21">
      <c r="A853" s="2895" t="str">
        <f>ORG!$S$1</f>
        <v>Apr 23</v>
      </c>
      <c r="B853" t="str">
        <f>ORG!$M$1</f>
        <v>Public Health Wales Trust</v>
      </c>
      <c r="C853" t="str">
        <f>'E - Resource Limits'!$A$5</f>
        <v>Table E - Resource Limits</v>
      </c>
      <c r="D853" s="2898">
        <f>D797</f>
        <v>3</v>
      </c>
      <c r="E853" t="str">
        <f>E797</f>
        <v xml:space="preserve">DEL Non Cash Depreciation - Baseline Surplus / Shortfall </v>
      </c>
      <c r="F853" t="str">
        <f>'E - Resource Limits'!$F$6</f>
        <v>GMS</v>
      </c>
      <c r="S853">
        <f>'E - Resource Limits'!F15</f>
        <v>0</v>
      </c>
      <c r="U853">
        <f t="shared" si="43"/>
        <v>0</v>
      </c>
    </row>
    <row r="854" spans="1:21">
      <c r="A854" s="2895" t="str">
        <f>ORG!$S$1</f>
        <v>Apr 23</v>
      </c>
      <c r="B854" t="str">
        <f>ORG!$M$1</f>
        <v>Public Health Wales Trust</v>
      </c>
      <c r="C854" t="str">
        <f>'E - Resource Limits'!$A$5</f>
        <v>Table E - Resource Limits</v>
      </c>
      <c r="D854" s="2898">
        <f t="shared" ref="D854:E854" si="88">D798</f>
        <v>4</v>
      </c>
      <c r="E854" t="str">
        <f t="shared" si="88"/>
        <v xml:space="preserve">DEL Non Cash Depreciation - Strategic </v>
      </c>
      <c r="F854" t="str">
        <f>'E - Resource Limits'!$F$6</f>
        <v>GMS</v>
      </c>
      <c r="S854">
        <f>'E - Resource Limits'!F16</f>
        <v>0</v>
      </c>
      <c r="U854">
        <f t="shared" si="43"/>
        <v>0</v>
      </c>
    </row>
    <row r="855" spans="1:21">
      <c r="A855" s="2895" t="str">
        <f>ORG!$S$1</f>
        <v>Apr 23</v>
      </c>
      <c r="B855" t="str">
        <f>ORG!$M$1</f>
        <v>Public Health Wales Trust</v>
      </c>
      <c r="C855" t="str">
        <f>'E - Resource Limits'!$A$5</f>
        <v>Table E - Resource Limits</v>
      </c>
      <c r="D855" s="2898">
        <f t="shared" ref="D855:E855" si="89">D799</f>
        <v>5</v>
      </c>
      <c r="E855" t="str">
        <f t="shared" si="89"/>
        <v xml:space="preserve">DEL Non Cash Depreciation - Accelerated </v>
      </c>
      <c r="F855" t="str">
        <f>'E - Resource Limits'!$F$6</f>
        <v>GMS</v>
      </c>
      <c r="S855">
        <f>'E - Resource Limits'!F17</f>
        <v>0</v>
      </c>
      <c r="U855">
        <f t="shared" si="43"/>
        <v>0</v>
      </c>
    </row>
    <row r="856" spans="1:21">
      <c r="A856" s="2895" t="str">
        <f>ORG!$S$1</f>
        <v>Apr 23</v>
      </c>
      <c r="B856" t="str">
        <f>ORG!$M$1</f>
        <v>Public Health Wales Trust</v>
      </c>
      <c r="C856" t="str">
        <f>'E - Resource Limits'!$A$5</f>
        <v>Table E - Resource Limits</v>
      </c>
      <c r="D856" s="2898">
        <f t="shared" ref="D856:E856" si="90">D800</f>
        <v>6</v>
      </c>
      <c r="E856" t="str">
        <f t="shared" si="90"/>
        <v xml:space="preserve">DEL Non Cash Depreciation - Impairment </v>
      </c>
      <c r="F856" t="str">
        <f>'E - Resource Limits'!$F$6</f>
        <v>GMS</v>
      </c>
      <c r="S856">
        <f>'E - Resource Limits'!F18</f>
        <v>0</v>
      </c>
      <c r="U856">
        <f t="shared" si="43"/>
        <v>0</v>
      </c>
    </row>
    <row r="857" spans="1:21">
      <c r="A857" s="2895" t="str">
        <f>ORG!$S$1</f>
        <v>Apr 23</v>
      </c>
      <c r="B857" t="str">
        <f>ORG!$M$1</f>
        <v>Public Health Wales Trust</v>
      </c>
      <c r="C857" t="str">
        <f>'E - Resource Limits'!$A$5</f>
        <v>Table E - Resource Limits</v>
      </c>
      <c r="D857" s="2898">
        <f t="shared" ref="D857:E857" si="91">D801</f>
        <v>7</v>
      </c>
      <c r="E857" t="str">
        <f t="shared" si="91"/>
        <v xml:space="preserve">DEL Non Cash Depreciation - IFRS 16 Leases </v>
      </c>
      <c r="F857" t="str">
        <f>'E - Resource Limits'!$F$6</f>
        <v>GMS</v>
      </c>
      <c r="S857">
        <f>'E - Resource Limits'!F19</f>
        <v>0</v>
      </c>
      <c r="U857">
        <f t="shared" si="43"/>
        <v>0</v>
      </c>
    </row>
    <row r="858" spans="1:21">
      <c r="A858" s="2895" t="str">
        <f>ORG!$S$1</f>
        <v>Apr 23</v>
      </c>
      <c r="B858" t="str">
        <f>ORG!$M$1</f>
        <v>Public Health Wales Trust</v>
      </c>
      <c r="C858" t="str">
        <f>'E - Resource Limits'!$A$5</f>
        <v>Table E - Resource Limits</v>
      </c>
      <c r="D858" s="2898">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5" t="str">
        <f>ORG!$S$1</f>
        <v>Apr 23</v>
      </c>
      <c r="B859" t="str">
        <f>ORG!$M$1</f>
        <v>Public Health Wales Trust</v>
      </c>
      <c r="C859" t="str">
        <f>'E - Resource Limits'!$A$5</f>
        <v>Table E - Resource Limits</v>
      </c>
      <c r="D859" s="2898">
        <f t="shared" ref="D859:E859" si="93">D803</f>
        <v>9</v>
      </c>
      <c r="E859" t="str">
        <f t="shared" si="93"/>
        <v xml:space="preserve">AME Non Cash Depreciation - Donated Assets </v>
      </c>
      <c r="F859" t="str">
        <f>'E - Resource Limits'!$F$6</f>
        <v>GMS</v>
      </c>
      <c r="S859">
        <f>'E - Resource Limits'!F21</f>
        <v>0</v>
      </c>
      <c r="U859">
        <f t="shared" si="43"/>
        <v>0</v>
      </c>
    </row>
    <row r="860" spans="1:21">
      <c r="A860" s="2895" t="str">
        <f>ORG!$S$1</f>
        <v>Apr 23</v>
      </c>
      <c r="B860" t="str">
        <f>ORG!$M$1</f>
        <v>Public Health Wales Trust</v>
      </c>
      <c r="C860" t="str">
        <f>'E - Resource Limits'!$A$5</f>
        <v>Table E - Resource Limits</v>
      </c>
      <c r="D860" s="2898">
        <f t="shared" ref="D860:E860" si="94">D804</f>
        <v>10</v>
      </c>
      <c r="E860" t="str">
        <f t="shared" si="94"/>
        <v xml:space="preserve">AME Non Cash Depreciation - Impairment </v>
      </c>
      <c r="F860" t="str">
        <f>'E - Resource Limits'!$F$6</f>
        <v>GMS</v>
      </c>
      <c r="S860">
        <f>'E - Resource Limits'!F22</f>
        <v>0</v>
      </c>
      <c r="U860">
        <f t="shared" si="43"/>
        <v>0</v>
      </c>
    </row>
    <row r="861" spans="1:21">
      <c r="A861" s="2895" t="str">
        <f>ORG!$S$1</f>
        <v>Apr 23</v>
      </c>
      <c r="B861" t="str">
        <f>ORG!$M$1</f>
        <v>Public Health Wales Trust</v>
      </c>
      <c r="C861" t="str">
        <f>'E - Resource Limits'!$A$5</f>
        <v>Table E - Resource Limits</v>
      </c>
      <c r="D861" s="2898">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5" t="str">
        <f>ORG!$S$1</f>
        <v>Apr 23</v>
      </c>
      <c r="B862" t="str">
        <f>ORG!$M$1</f>
        <v>Public Health Wales Trust</v>
      </c>
      <c r="C862" t="str">
        <f>'E - Resource Limits'!$A$5</f>
        <v>Table E - Resource Limits</v>
      </c>
      <c r="D862" s="2898">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5" t="str">
        <f>ORG!$S$1</f>
        <v>Apr 23</v>
      </c>
      <c r="B863" t="str">
        <f>ORG!$M$1</f>
        <v>Public Health Wales Trust</v>
      </c>
      <c r="C863" t="str">
        <f>'E - Resource Limits'!$A$5</f>
        <v>Table E - Resource Limits</v>
      </c>
      <c r="D863" s="2898">
        <f t="shared" ref="D863:E863" si="97">D807</f>
        <v>13</v>
      </c>
      <c r="E863" t="str">
        <f t="shared" si="97"/>
        <v xml:space="preserve">Total COVID-19 (see below analysis) </v>
      </c>
      <c r="F863" t="str">
        <f>'E - Resource Limits'!$F$6</f>
        <v>GMS</v>
      </c>
      <c r="S863">
        <f>'E - Resource Limits'!F25</f>
        <v>0</v>
      </c>
      <c r="U863">
        <f t="shared" si="43"/>
        <v>0</v>
      </c>
    </row>
    <row r="864" spans="1:21">
      <c r="A864" s="2895" t="str">
        <f>ORG!$S$1</f>
        <v>Apr 23</v>
      </c>
      <c r="B864" t="str">
        <f>ORG!$M$1</f>
        <v>Public Health Wales Trust</v>
      </c>
      <c r="C864" t="str">
        <f>'E - Resource Limits'!$A$5</f>
        <v>Table E - Resource Limits</v>
      </c>
      <c r="D864" s="2898">
        <f t="shared" ref="D864:E864" si="98">D808</f>
        <v>14</v>
      </c>
      <c r="E864" t="str">
        <f t="shared" si="98"/>
        <v xml:space="preserve">Removal of IFRS-16 Leases (Revenue) </v>
      </c>
      <c r="F864" t="str">
        <f>'E - Resource Limits'!$F$6</f>
        <v>GMS</v>
      </c>
      <c r="S864">
        <f>'E - Resource Limits'!F26</f>
        <v>0</v>
      </c>
      <c r="U864">
        <f t="shared" si="43"/>
        <v>0</v>
      </c>
    </row>
    <row r="865" spans="1:21">
      <c r="A865" s="2895" t="str">
        <f>ORG!$S$1</f>
        <v>Apr 23</v>
      </c>
      <c r="B865" t="str">
        <f>ORG!$M$1</f>
        <v>Public Health Wales Trust</v>
      </c>
      <c r="C865" t="str">
        <f>'E - Resource Limits'!$A$5</f>
        <v>Table E - Resource Limits</v>
      </c>
      <c r="D865" s="2898">
        <f t="shared" ref="D865:E865" si="99">D809</f>
        <v>15</v>
      </c>
      <c r="E865" t="str">
        <f t="shared" si="99"/>
        <v xml:space="preserve">Real Living Wage (Care Homes) </v>
      </c>
      <c r="F865" t="str">
        <f>'E - Resource Limits'!$F$6</f>
        <v>GMS</v>
      </c>
      <c r="S865">
        <f>'E - Resource Limits'!F27</f>
        <v>0</v>
      </c>
      <c r="U865">
        <f t="shared" si="43"/>
        <v>0</v>
      </c>
    </row>
    <row r="866" spans="1:21">
      <c r="A866" s="2895" t="str">
        <f>ORG!$S$1</f>
        <v>Apr 23</v>
      </c>
      <c r="B866" t="str">
        <f>ORG!$M$1</f>
        <v>Public Health Wales Trust</v>
      </c>
      <c r="C866" t="str">
        <f>'E - Resource Limits'!$A$5</f>
        <v>Table E - Resource Limits</v>
      </c>
      <c r="D866" s="2898">
        <f t="shared" ref="D866:E866" si="100">D810</f>
        <v>16</v>
      </c>
      <c r="E866" t="str">
        <f t="shared" si="100"/>
        <v xml:space="preserve"> </v>
      </c>
      <c r="F866" t="str">
        <f>'E - Resource Limits'!$F$6</f>
        <v>GMS</v>
      </c>
      <c r="S866">
        <f>'E - Resource Limits'!F28</f>
        <v>0</v>
      </c>
      <c r="U866">
        <f t="shared" si="43"/>
        <v>0</v>
      </c>
    </row>
    <row r="867" spans="1:21">
      <c r="A867" s="2895" t="str">
        <f>ORG!$S$1</f>
        <v>Apr 23</v>
      </c>
      <c r="B867" t="str">
        <f>ORG!$M$1</f>
        <v>Public Health Wales Trust</v>
      </c>
      <c r="C867" t="str">
        <f>'E - Resource Limits'!$A$5</f>
        <v>Table E - Resource Limits</v>
      </c>
      <c r="D867" s="2898">
        <f t="shared" ref="D867:E867" si="101">D811</f>
        <v>17</v>
      </c>
      <c r="E867" t="str">
        <f t="shared" si="101"/>
        <v xml:space="preserve"> </v>
      </c>
      <c r="F867" t="str">
        <f>'E - Resource Limits'!$F$6</f>
        <v>GMS</v>
      </c>
      <c r="S867">
        <f>'E - Resource Limits'!F29</f>
        <v>0</v>
      </c>
      <c r="U867">
        <f t="shared" si="43"/>
        <v>0</v>
      </c>
    </row>
    <row r="868" spans="1:21">
      <c r="A868" s="2895" t="str">
        <f>ORG!$S$1</f>
        <v>Apr 23</v>
      </c>
      <c r="B868" t="str">
        <f>ORG!$M$1</f>
        <v>Public Health Wales Trust</v>
      </c>
      <c r="C868" t="str">
        <f>'E - Resource Limits'!$A$5</f>
        <v>Table E - Resource Limits</v>
      </c>
      <c r="D868" s="2898">
        <f t="shared" ref="D868:E868" si="102">D812</f>
        <v>18</v>
      </c>
      <c r="E868" t="str">
        <f t="shared" si="102"/>
        <v xml:space="preserve"> </v>
      </c>
      <c r="F868" t="str">
        <f>'E - Resource Limits'!$F$6</f>
        <v>GMS</v>
      </c>
      <c r="S868">
        <f>'E - Resource Limits'!F30</f>
        <v>0</v>
      </c>
      <c r="U868">
        <f t="shared" si="43"/>
        <v>0</v>
      </c>
    </row>
    <row r="869" spans="1:21">
      <c r="A869" s="2895" t="str">
        <f>ORG!$S$1</f>
        <v>Apr 23</v>
      </c>
      <c r="B869" t="str">
        <f>ORG!$M$1</f>
        <v>Public Health Wales Trust</v>
      </c>
      <c r="C869" t="str">
        <f>'E - Resource Limits'!$A$5</f>
        <v>Table E - Resource Limits</v>
      </c>
      <c r="D869" s="2898">
        <f t="shared" ref="D869:E869" si="103">D813</f>
        <v>19</v>
      </c>
      <c r="E869" t="str">
        <f t="shared" si="103"/>
        <v xml:space="preserve"> </v>
      </c>
      <c r="F869" t="str">
        <f>'E - Resource Limits'!$F$6</f>
        <v>GMS</v>
      </c>
      <c r="S869">
        <f>'E - Resource Limits'!F31</f>
        <v>0</v>
      </c>
      <c r="U869">
        <f t="shared" ref="U869:U932" si="104">S869+T869</f>
        <v>0</v>
      </c>
    </row>
    <row r="870" spans="1:21">
      <c r="A870" s="2895" t="str">
        <f>ORG!$S$1</f>
        <v>Apr 23</v>
      </c>
      <c r="B870" t="str">
        <f>ORG!$M$1</f>
        <v>Public Health Wales Trust</v>
      </c>
      <c r="C870" t="str">
        <f>'E - Resource Limits'!$A$5</f>
        <v>Table E - Resource Limits</v>
      </c>
      <c r="D870" s="2898">
        <f t="shared" ref="D870:E870" si="105">D814</f>
        <v>20</v>
      </c>
      <c r="E870" t="str">
        <f t="shared" si="105"/>
        <v xml:space="preserve"> </v>
      </c>
      <c r="F870" t="str">
        <f>'E - Resource Limits'!$F$6</f>
        <v>GMS</v>
      </c>
      <c r="S870">
        <f>'E - Resource Limits'!F32</f>
        <v>0</v>
      </c>
      <c r="U870">
        <f t="shared" si="104"/>
        <v>0</v>
      </c>
    </row>
    <row r="871" spans="1:21">
      <c r="A871" s="2895" t="str">
        <f>ORG!$S$1</f>
        <v>Apr 23</v>
      </c>
      <c r="B871" t="str">
        <f>ORG!$M$1</f>
        <v>Public Health Wales Trust</v>
      </c>
      <c r="C871" t="str">
        <f>'E - Resource Limits'!$A$5</f>
        <v>Table E - Resource Limits</v>
      </c>
      <c r="D871" s="2898">
        <f t="shared" ref="D871:E871" si="106">D815</f>
        <v>21</v>
      </c>
      <c r="E871" t="str">
        <f t="shared" si="106"/>
        <v xml:space="preserve"> </v>
      </c>
      <c r="F871" t="str">
        <f>'E - Resource Limits'!$F$6</f>
        <v>GMS</v>
      </c>
      <c r="S871">
        <f>'E - Resource Limits'!F33</f>
        <v>0</v>
      </c>
      <c r="U871">
        <f t="shared" si="104"/>
        <v>0</v>
      </c>
    </row>
    <row r="872" spans="1:21">
      <c r="A872" s="2895" t="str">
        <f>ORG!$S$1</f>
        <v>Apr 23</v>
      </c>
      <c r="B872" t="str">
        <f>ORG!$M$1</f>
        <v>Public Health Wales Trust</v>
      </c>
      <c r="C872" t="str">
        <f>'E - Resource Limits'!$A$5</f>
        <v>Table E - Resource Limits</v>
      </c>
      <c r="D872" s="2898">
        <f t="shared" ref="D872:E872" si="107">D816</f>
        <v>22</v>
      </c>
      <c r="E872" t="str">
        <f t="shared" si="107"/>
        <v xml:space="preserve"> </v>
      </c>
      <c r="F872" t="str">
        <f>'E - Resource Limits'!$F$6</f>
        <v>GMS</v>
      </c>
      <c r="S872">
        <f>'E - Resource Limits'!F34</f>
        <v>0</v>
      </c>
      <c r="U872">
        <f t="shared" si="104"/>
        <v>0</v>
      </c>
    </row>
    <row r="873" spans="1:21">
      <c r="A873" s="2895" t="str">
        <f>ORG!$S$1</f>
        <v>Apr 23</v>
      </c>
      <c r="B873" t="str">
        <f>ORG!$M$1</f>
        <v>Public Health Wales Trust</v>
      </c>
      <c r="C873" t="str">
        <f>'E - Resource Limits'!$A$5</f>
        <v>Table E - Resource Limits</v>
      </c>
      <c r="D873" s="2898">
        <f t="shared" ref="D873:E873" si="108">D817</f>
        <v>23</v>
      </c>
      <c r="E873" t="str">
        <f t="shared" si="108"/>
        <v xml:space="preserve"> </v>
      </c>
      <c r="F873" t="str">
        <f>'E - Resource Limits'!$F$6</f>
        <v>GMS</v>
      </c>
      <c r="S873">
        <f>'E - Resource Limits'!F35</f>
        <v>0</v>
      </c>
      <c r="U873">
        <f t="shared" si="104"/>
        <v>0</v>
      </c>
    </row>
    <row r="874" spans="1:21">
      <c r="A874" s="2895" t="str">
        <f>ORG!$S$1</f>
        <v>Apr 23</v>
      </c>
      <c r="B874" t="str">
        <f>ORG!$M$1</f>
        <v>Public Health Wales Trust</v>
      </c>
      <c r="C874" t="str">
        <f>'E - Resource Limits'!$A$5</f>
        <v>Table E - Resource Limits</v>
      </c>
      <c r="D874" s="2898">
        <f t="shared" ref="D874:E874" si="109">D818</f>
        <v>24</v>
      </c>
      <c r="E874" t="str">
        <f t="shared" si="109"/>
        <v xml:space="preserve"> </v>
      </c>
      <c r="F874" t="str">
        <f>'E - Resource Limits'!$F$6</f>
        <v>GMS</v>
      </c>
      <c r="S874">
        <f>'E - Resource Limits'!F36</f>
        <v>0</v>
      </c>
      <c r="U874">
        <f t="shared" si="104"/>
        <v>0</v>
      </c>
    </row>
    <row r="875" spans="1:21">
      <c r="A875" s="2895" t="str">
        <f>ORG!$S$1</f>
        <v>Apr 23</v>
      </c>
      <c r="B875" t="str">
        <f>ORG!$M$1</f>
        <v>Public Health Wales Trust</v>
      </c>
      <c r="C875" t="str">
        <f>'E - Resource Limits'!$A$5</f>
        <v>Table E - Resource Limits</v>
      </c>
      <c r="D875" s="2898">
        <f t="shared" ref="D875:E875" si="110">D819</f>
        <v>25</v>
      </c>
      <c r="E875" t="str">
        <f t="shared" si="110"/>
        <v xml:space="preserve"> </v>
      </c>
      <c r="F875" t="str">
        <f>'E - Resource Limits'!$F$6</f>
        <v>GMS</v>
      </c>
      <c r="S875">
        <f>'E - Resource Limits'!F37</f>
        <v>0</v>
      </c>
      <c r="U875">
        <f t="shared" si="104"/>
        <v>0</v>
      </c>
    </row>
    <row r="876" spans="1:21">
      <c r="A876" s="2895" t="str">
        <f>ORG!$S$1</f>
        <v>Apr 23</v>
      </c>
      <c r="B876" t="str">
        <f>ORG!$M$1</f>
        <v>Public Health Wales Trust</v>
      </c>
      <c r="C876" t="str">
        <f>'E - Resource Limits'!$A$5</f>
        <v>Table E - Resource Limits</v>
      </c>
      <c r="D876" s="2898">
        <f t="shared" ref="D876:E876" si="111">D820</f>
        <v>26</v>
      </c>
      <c r="E876" t="str">
        <f t="shared" si="111"/>
        <v xml:space="preserve"> </v>
      </c>
      <c r="F876" t="str">
        <f>'E - Resource Limits'!$F$6</f>
        <v>GMS</v>
      </c>
      <c r="S876">
        <f>'E - Resource Limits'!F38</f>
        <v>0</v>
      </c>
      <c r="U876">
        <f t="shared" si="104"/>
        <v>0</v>
      </c>
    </row>
    <row r="877" spans="1:21">
      <c r="A877" s="2895" t="str">
        <f>ORG!$S$1</f>
        <v>Apr 23</v>
      </c>
      <c r="B877" t="str">
        <f>ORG!$M$1</f>
        <v>Public Health Wales Trust</v>
      </c>
      <c r="C877" t="str">
        <f>'E - Resource Limits'!$A$5</f>
        <v>Table E - Resource Limits</v>
      </c>
      <c r="D877" s="2898">
        <f t="shared" ref="D877:E877" si="112">D821</f>
        <v>27</v>
      </c>
      <c r="E877" t="str">
        <f t="shared" si="112"/>
        <v xml:space="preserve"> </v>
      </c>
      <c r="F877" t="str">
        <f>'E - Resource Limits'!$F$6</f>
        <v>GMS</v>
      </c>
      <c r="S877">
        <f>'E - Resource Limits'!F39</f>
        <v>0</v>
      </c>
      <c r="U877">
        <f t="shared" si="104"/>
        <v>0</v>
      </c>
    </row>
    <row r="878" spans="1:21">
      <c r="A878" s="2895" t="str">
        <f>ORG!$S$1</f>
        <v>Apr 23</v>
      </c>
      <c r="B878" t="str">
        <f>ORG!$M$1</f>
        <v>Public Health Wales Trust</v>
      </c>
      <c r="C878" t="str">
        <f>'E - Resource Limits'!$A$5</f>
        <v>Table E - Resource Limits</v>
      </c>
      <c r="D878" s="2898">
        <f t="shared" ref="D878:E878" si="113">D822</f>
        <v>28</v>
      </c>
      <c r="E878" t="str">
        <f t="shared" si="113"/>
        <v xml:space="preserve"> </v>
      </c>
      <c r="F878" t="str">
        <f>'E - Resource Limits'!$F$6</f>
        <v>GMS</v>
      </c>
      <c r="S878">
        <f>'E - Resource Limits'!F40</f>
        <v>0</v>
      </c>
      <c r="U878">
        <f t="shared" si="104"/>
        <v>0</v>
      </c>
    </row>
    <row r="879" spans="1:21">
      <c r="A879" s="2895" t="str">
        <f>ORG!$S$1</f>
        <v>Apr 23</v>
      </c>
      <c r="B879" t="str">
        <f>ORG!$M$1</f>
        <v>Public Health Wales Trust</v>
      </c>
      <c r="C879" t="str">
        <f>'E - Resource Limits'!$A$5</f>
        <v>Table E - Resource Limits</v>
      </c>
      <c r="D879" s="2898">
        <f t="shared" ref="D879:E879" si="114">D823</f>
        <v>29</v>
      </c>
      <c r="E879" t="str">
        <f t="shared" si="114"/>
        <v xml:space="preserve"> </v>
      </c>
      <c r="F879" t="str">
        <f>'E - Resource Limits'!$F$6</f>
        <v>GMS</v>
      </c>
      <c r="S879">
        <f>'E - Resource Limits'!F41</f>
        <v>0</v>
      </c>
      <c r="U879">
        <f t="shared" si="104"/>
        <v>0</v>
      </c>
    </row>
    <row r="880" spans="1:21">
      <c r="A880" s="2895" t="str">
        <f>ORG!$S$1</f>
        <v>Apr 23</v>
      </c>
      <c r="B880" t="str">
        <f>ORG!$M$1</f>
        <v>Public Health Wales Trust</v>
      </c>
      <c r="C880" t="str">
        <f>'E - Resource Limits'!$A$5</f>
        <v>Table E - Resource Limits</v>
      </c>
      <c r="D880" s="2898">
        <f t="shared" ref="D880:E880" si="115">D824</f>
        <v>30</v>
      </c>
      <c r="E880" t="str">
        <f t="shared" si="115"/>
        <v xml:space="preserve"> </v>
      </c>
      <c r="F880" t="str">
        <f>'E - Resource Limits'!$F$6</f>
        <v>GMS</v>
      </c>
      <c r="S880">
        <f>'E - Resource Limits'!F42</f>
        <v>0</v>
      </c>
      <c r="U880">
        <f t="shared" si="104"/>
        <v>0</v>
      </c>
    </row>
    <row r="881" spans="1:21">
      <c r="A881" s="2895" t="str">
        <f>ORG!$S$1</f>
        <v>Apr 23</v>
      </c>
      <c r="B881" t="str">
        <f>ORG!$M$1</f>
        <v>Public Health Wales Trust</v>
      </c>
      <c r="C881" t="str">
        <f>'E - Resource Limits'!$A$5</f>
        <v>Table E - Resource Limits</v>
      </c>
      <c r="D881" s="2898">
        <f t="shared" ref="D881:E881" si="116">D825</f>
        <v>31</v>
      </c>
      <c r="E881" t="str">
        <f t="shared" si="116"/>
        <v xml:space="preserve"> </v>
      </c>
      <c r="F881" t="str">
        <f>'E - Resource Limits'!$F$6</f>
        <v>GMS</v>
      </c>
      <c r="S881">
        <f>'E - Resource Limits'!F43</f>
        <v>0</v>
      </c>
      <c r="U881">
        <f t="shared" si="104"/>
        <v>0</v>
      </c>
    </row>
    <row r="882" spans="1:21">
      <c r="A882" s="2895" t="str">
        <f>ORG!$S$1</f>
        <v>Apr 23</v>
      </c>
      <c r="B882" t="str">
        <f>ORG!$M$1</f>
        <v>Public Health Wales Trust</v>
      </c>
      <c r="C882" t="str">
        <f>'E - Resource Limits'!$A$5</f>
        <v>Table E - Resource Limits</v>
      </c>
      <c r="D882" s="2898">
        <f t="shared" ref="D882:E882" si="117">D826</f>
        <v>32</v>
      </c>
      <c r="E882" t="str">
        <f t="shared" si="117"/>
        <v xml:space="preserve"> </v>
      </c>
      <c r="F882" t="str">
        <f>'E - Resource Limits'!$F$6</f>
        <v>GMS</v>
      </c>
      <c r="S882">
        <f>'E - Resource Limits'!F44</f>
        <v>0</v>
      </c>
      <c r="U882">
        <f t="shared" si="104"/>
        <v>0</v>
      </c>
    </row>
    <row r="883" spans="1:21">
      <c r="A883" s="2895" t="str">
        <f>ORG!$S$1</f>
        <v>Apr 23</v>
      </c>
      <c r="B883" t="str">
        <f>ORG!$M$1</f>
        <v>Public Health Wales Trust</v>
      </c>
      <c r="C883" t="str">
        <f>'E - Resource Limits'!$A$5</f>
        <v>Table E - Resource Limits</v>
      </c>
      <c r="D883" s="2898">
        <f t="shared" ref="D883:E883" si="118">D827</f>
        <v>33</v>
      </c>
      <c r="E883" t="str">
        <f t="shared" si="118"/>
        <v xml:space="preserve"> </v>
      </c>
      <c r="F883" t="str">
        <f>'E - Resource Limits'!$F$6</f>
        <v>GMS</v>
      </c>
      <c r="S883">
        <f>'E - Resource Limits'!F45</f>
        <v>0</v>
      </c>
      <c r="U883">
        <f t="shared" si="104"/>
        <v>0</v>
      </c>
    </row>
    <row r="884" spans="1:21">
      <c r="A884" s="2895" t="str">
        <f>ORG!$S$1</f>
        <v>Apr 23</v>
      </c>
      <c r="B884" t="str">
        <f>ORG!$M$1</f>
        <v>Public Health Wales Trust</v>
      </c>
      <c r="C884" t="str">
        <f>'E - Resource Limits'!$A$5</f>
        <v>Table E - Resource Limits</v>
      </c>
      <c r="D884" s="2898">
        <f t="shared" ref="D884:E884" si="119">D828</f>
        <v>34</v>
      </c>
      <c r="E884" t="str">
        <f t="shared" si="119"/>
        <v xml:space="preserve"> </v>
      </c>
      <c r="F884" t="str">
        <f>'E - Resource Limits'!$F$6</f>
        <v>GMS</v>
      </c>
      <c r="S884">
        <f>'E - Resource Limits'!F46</f>
        <v>0</v>
      </c>
      <c r="U884">
        <f t="shared" si="104"/>
        <v>0</v>
      </c>
    </row>
    <row r="885" spans="1:21">
      <c r="A885" s="2895" t="str">
        <f>ORG!$S$1</f>
        <v>Apr 23</v>
      </c>
      <c r="B885" t="str">
        <f>ORG!$M$1</f>
        <v>Public Health Wales Trust</v>
      </c>
      <c r="C885" t="str">
        <f>'E - Resource Limits'!$A$5</f>
        <v>Table E - Resource Limits</v>
      </c>
      <c r="D885" s="2898">
        <f t="shared" ref="D885:E885" si="120">D829</f>
        <v>35</v>
      </c>
      <c r="E885" t="str">
        <f t="shared" si="120"/>
        <v xml:space="preserve"> </v>
      </c>
      <c r="F885" t="str">
        <f>'E - Resource Limits'!$F$6</f>
        <v>GMS</v>
      </c>
      <c r="S885">
        <f>'E - Resource Limits'!F47</f>
        <v>0</v>
      </c>
      <c r="U885">
        <f t="shared" si="104"/>
        <v>0</v>
      </c>
    </row>
    <row r="886" spans="1:21">
      <c r="A886" s="2895" t="str">
        <f>ORG!$S$1</f>
        <v>Apr 23</v>
      </c>
      <c r="B886" t="str">
        <f>ORG!$M$1</f>
        <v>Public Health Wales Trust</v>
      </c>
      <c r="C886" t="str">
        <f>'E - Resource Limits'!$A$5</f>
        <v>Table E - Resource Limits</v>
      </c>
      <c r="D886" s="2898">
        <f t="shared" ref="D886:E886" si="121">D830</f>
        <v>36</v>
      </c>
      <c r="E886" t="str">
        <f t="shared" si="121"/>
        <v xml:space="preserve"> </v>
      </c>
      <c r="F886" t="str">
        <f>'E - Resource Limits'!$F$6</f>
        <v>GMS</v>
      </c>
      <c r="S886">
        <f>'E - Resource Limits'!F48</f>
        <v>0</v>
      </c>
      <c r="U886">
        <f t="shared" si="104"/>
        <v>0</v>
      </c>
    </row>
    <row r="887" spans="1:21">
      <c r="A887" s="2895" t="str">
        <f>ORG!$S$1</f>
        <v>Apr 23</v>
      </c>
      <c r="B887" t="str">
        <f>ORG!$M$1</f>
        <v>Public Health Wales Trust</v>
      </c>
      <c r="C887" t="str">
        <f>'E - Resource Limits'!$A$5</f>
        <v>Table E - Resource Limits</v>
      </c>
      <c r="D887" s="2898">
        <f t="shared" ref="D887:E887" si="122">D831</f>
        <v>37</v>
      </c>
      <c r="E887" t="str">
        <f t="shared" si="122"/>
        <v xml:space="preserve"> </v>
      </c>
      <c r="F887" t="str">
        <f>'E - Resource Limits'!$F$6</f>
        <v>GMS</v>
      </c>
      <c r="S887">
        <f>'E - Resource Limits'!F49</f>
        <v>0</v>
      </c>
      <c r="U887">
        <f t="shared" si="104"/>
        <v>0</v>
      </c>
    </row>
    <row r="888" spans="1:21">
      <c r="A888" s="2895" t="str">
        <f>ORG!$S$1</f>
        <v>Apr 23</v>
      </c>
      <c r="B888" t="str">
        <f>ORG!$M$1</f>
        <v>Public Health Wales Trust</v>
      </c>
      <c r="C888" t="str">
        <f>'E - Resource Limits'!$A$5</f>
        <v>Table E - Resource Limits</v>
      </c>
      <c r="D888" s="2898">
        <f t="shared" ref="D888:E888" si="123">D832</f>
        <v>38</v>
      </c>
      <c r="E888" t="str">
        <f t="shared" si="123"/>
        <v xml:space="preserve"> </v>
      </c>
      <c r="F888" t="str">
        <f>'E - Resource Limits'!$F$6</f>
        <v>GMS</v>
      </c>
      <c r="S888">
        <f>'E - Resource Limits'!F50</f>
        <v>0</v>
      </c>
      <c r="U888">
        <f t="shared" si="104"/>
        <v>0</v>
      </c>
    </row>
    <row r="889" spans="1:21">
      <c r="A889" s="2895" t="str">
        <f>ORG!$S$1</f>
        <v>Apr 23</v>
      </c>
      <c r="B889" t="str">
        <f>ORG!$M$1</f>
        <v>Public Health Wales Trust</v>
      </c>
      <c r="C889" t="str">
        <f>'E - Resource Limits'!$A$5</f>
        <v>Table E - Resource Limits</v>
      </c>
      <c r="D889" s="2898">
        <f t="shared" ref="D889:E889" si="124">D833</f>
        <v>39</v>
      </c>
      <c r="E889" t="str">
        <f t="shared" si="124"/>
        <v xml:space="preserve"> </v>
      </c>
      <c r="F889" t="str">
        <f>'E - Resource Limits'!$F$6</f>
        <v>GMS</v>
      </c>
      <c r="S889">
        <f>'E - Resource Limits'!F51</f>
        <v>0</v>
      </c>
      <c r="U889">
        <f t="shared" si="104"/>
        <v>0</v>
      </c>
    </row>
    <row r="890" spans="1:21">
      <c r="A890" s="2895" t="str">
        <f>ORG!$S$1</f>
        <v>Apr 23</v>
      </c>
      <c r="B890" t="str">
        <f>ORG!$M$1</f>
        <v>Public Health Wales Trust</v>
      </c>
      <c r="C890" t="str">
        <f>'E - Resource Limits'!$A$5</f>
        <v>Table E - Resource Limits</v>
      </c>
      <c r="D890" s="2898">
        <f t="shared" ref="D890:E890" si="125">D834</f>
        <v>40</v>
      </c>
      <c r="E890" t="str">
        <f t="shared" si="125"/>
        <v xml:space="preserve"> </v>
      </c>
      <c r="F890" t="str">
        <f>'E - Resource Limits'!$F$6</f>
        <v>GMS</v>
      </c>
      <c r="S890">
        <f>'E - Resource Limits'!F52</f>
        <v>0</v>
      </c>
      <c r="U890">
        <f t="shared" si="104"/>
        <v>0</v>
      </c>
    </row>
    <row r="891" spans="1:21">
      <c r="A891" s="2895" t="str">
        <f>ORG!$S$1</f>
        <v>Apr 23</v>
      </c>
      <c r="B891" t="str">
        <f>ORG!$M$1</f>
        <v>Public Health Wales Trust</v>
      </c>
      <c r="C891" t="str">
        <f>'E - Resource Limits'!$A$5</f>
        <v>Table E - Resource Limits</v>
      </c>
      <c r="D891" s="2898">
        <f t="shared" ref="D891:E891" si="126">D835</f>
        <v>41</v>
      </c>
      <c r="E891" t="str">
        <f t="shared" si="126"/>
        <v xml:space="preserve"> </v>
      </c>
      <c r="F891" t="str">
        <f>'E - Resource Limits'!$F$6</f>
        <v>GMS</v>
      </c>
      <c r="S891">
        <f>'E - Resource Limits'!F53</f>
        <v>0</v>
      </c>
      <c r="U891">
        <f t="shared" si="104"/>
        <v>0</v>
      </c>
    </row>
    <row r="892" spans="1:21">
      <c r="A892" s="2895" t="str">
        <f>ORG!$S$1</f>
        <v>Apr 23</v>
      </c>
      <c r="B892" t="str">
        <f>ORG!$M$1</f>
        <v>Public Health Wales Trust</v>
      </c>
      <c r="C892" t="str">
        <f>'E - Resource Limits'!$A$5</f>
        <v>Table E - Resource Limits</v>
      </c>
      <c r="D892" s="2898">
        <f t="shared" ref="D892:E892" si="127">D836</f>
        <v>42</v>
      </c>
      <c r="E892" t="str">
        <f t="shared" si="127"/>
        <v xml:space="preserve"> </v>
      </c>
      <c r="F892" t="str">
        <f>'E - Resource Limits'!$F$6</f>
        <v>GMS</v>
      </c>
      <c r="S892">
        <f>'E - Resource Limits'!F54</f>
        <v>0</v>
      </c>
      <c r="U892">
        <f t="shared" si="104"/>
        <v>0</v>
      </c>
    </row>
    <row r="893" spans="1:21">
      <c r="A893" s="2895" t="str">
        <f>ORG!$S$1</f>
        <v>Apr 23</v>
      </c>
      <c r="B893" t="str">
        <f>ORG!$M$1</f>
        <v>Public Health Wales Trust</v>
      </c>
      <c r="C893" t="str">
        <f>'E - Resource Limits'!$A$5</f>
        <v>Table E - Resource Limits</v>
      </c>
      <c r="D893" s="2898">
        <f t="shared" ref="D893:E893" si="128">D837</f>
        <v>43</v>
      </c>
      <c r="E893" t="str">
        <f t="shared" si="128"/>
        <v xml:space="preserve"> </v>
      </c>
      <c r="F893" t="str">
        <f>'E - Resource Limits'!$F$6</f>
        <v>GMS</v>
      </c>
      <c r="S893">
        <f>'E - Resource Limits'!F55</f>
        <v>0</v>
      </c>
      <c r="U893">
        <f t="shared" si="104"/>
        <v>0</v>
      </c>
    </row>
    <row r="894" spans="1:21">
      <c r="A894" s="2895" t="str">
        <f>ORG!$S$1</f>
        <v>Apr 23</v>
      </c>
      <c r="B894" t="str">
        <f>ORG!$M$1</f>
        <v>Public Health Wales Trust</v>
      </c>
      <c r="C894" t="str">
        <f>'E - Resource Limits'!$A$5</f>
        <v>Table E - Resource Limits</v>
      </c>
      <c r="D894" s="2898">
        <f t="shared" ref="D894:E894" si="129">D838</f>
        <v>44</v>
      </c>
      <c r="E894" t="str">
        <f t="shared" si="129"/>
        <v xml:space="preserve"> </v>
      </c>
      <c r="F894" t="str">
        <f>'E - Resource Limits'!$F$6</f>
        <v>GMS</v>
      </c>
      <c r="S894">
        <f>'E - Resource Limits'!F56</f>
        <v>0</v>
      </c>
      <c r="U894">
        <f t="shared" si="104"/>
        <v>0</v>
      </c>
    </row>
    <row r="895" spans="1:21">
      <c r="A895" s="2895" t="str">
        <f>ORG!$S$1</f>
        <v>Apr 23</v>
      </c>
      <c r="B895" t="str">
        <f>ORG!$M$1</f>
        <v>Public Health Wales Trust</v>
      </c>
      <c r="C895" t="str">
        <f>'E - Resource Limits'!$A$5</f>
        <v>Table E - Resource Limits</v>
      </c>
      <c r="D895" s="2898">
        <f t="shared" ref="D895:E895" si="130">D839</f>
        <v>45</v>
      </c>
      <c r="E895" t="str">
        <f t="shared" si="130"/>
        <v xml:space="preserve"> </v>
      </c>
      <c r="F895" t="str">
        <f>'E - Resource Limits'!$F$6</f>
        <v>GMS</v>
      </c>
      <c r="S895">
        <f>'E - Resource Limits'!F57</f>
        <v>0</v>
      </c>
      <c r="U895">
        <f t="shared" si="104"/>
        <v>0</v>
      </c>
    </row>
    <row r="896" spans="1:21">
      <c r="A896" s="2895" t="str">
        <f>ORG!$S$1</f>
        <v>Apr 23</v>
      </c>
      <c r="B896" t="str">
        <f>ORG!$M$1</f>
        <v>Public Health Wales Trust</v>
      </c>
      <c r="C896" t="str">
        <f>'E - Resource Limits'!$A$5</f>
        <v>Table E - Resource Limits</v>
      </c>
      <c r="D896" s="2898">
        <f t="shared" ref="D896:E896" si="131">D840</f>
        <v>46</v>
      </c>
      <c r="E896" t="str">
        <f t="shared" si="131"/>
        <v xml:space="preserve"> </v>
      </c>
      <c r="F896" t="str">
        <f>'E - Resource Limits'!$F$6</f>
        <v>GMS</v>
      </c>
      <c r="S896">
        <f>'E - Resource Limits'!F58</f>
        <v>0</v>
      </c>
      <c r="U896">
        <f t="shared" si="104"/>
        <v>0</v>
      </c>
    </row>
    <row r="897" spans="1:21">
      <c r="A897" s="2895" t="str">
        <f>ORG!$S$1</f>
        <v>Apr 23</v>
      </c>
      <c r="B897" t="str">
        <f>ORG!$M$1</f>
        <v>Public Health Wales Trust</v>
      </c>
      <c r="C897" t="str">
        <f>'E - Resource Limits'!$A$5</f>
        <v>Table E - Resource Limits</v>
      </c>
      <c r="D897" s="2898">
        <f t="shared" ref="D897:E897" si="132">D841</f>
        <v>47</v>
      </c>
      <c r="E897" t="str">
        <f t="shared" si="132"/>
        <v xml:space="preserve"> </v>
      </c>
      <c r="F897" t="str">
        <f>'E - Resource Limits'!$F$6</f>
        <v>GMS</v>
      </c>
      <c r="S897">
        <f>'E - Resource Limits'!F59</f>
        <v>0</v>
      </c>
      <c r="U897">
        <f t="shared" si="104"/>
        <v>0</v>
      </c>
    </row>
    <row r="898" spans="1:21">
      <c r="A898" s="2895" t="str">
        <f>ORG!$S$1</f>
        <v>Apr 23</v>
      </c>
      <c r="B898" t="str">
        <f>ORG!$M$1</f>
        <v>Public Health Wales Trust</v>
      </c>
      <c r="C898" t="str">
        <f>'E - Resource Limits'!$A$5</f>
        <v>Table E - Resource Limits</v>
      </c>
      <c r="D898" s="2898">
        <f t="shared" ref="D898:E898" si="133">D842</f>
        <v>48</v>
      </c>
      <c r="E898" t="str">
        <f t="shared" si="133"/>
        <v xml:space="preserve"> </v>
      </c>
      <c r="F898" t="str">
        <f>'E - Resource Limits'!$F$6</f>
        <v>GMS</v>
      </c>
      <c r="S898">
        <f>'E - Resource Limits'!F60</f>
        <v>0</v>
      </c>
      <c r="U898">
        <f t="shared" si="104"/>
        <v>0</v>
      </c>
    </row>
    <row r="899" spans="1:21">
      <c r="A899" s="2895" t="str">
        <f>ORG!$S$1</f>
        <v>Apr 23</v>
      </c>
      <c r="B899" t="str">
        <f>ORG!$M$1</f>
        <v>Public Health Wales Trust</v>
      </c>
      <c r="C899" t="str">
        <f>'E - Resource Limits'!$A$5</f>
        <v>Table E - Resource Limits</v>
      </c>
      <c r="D899" s="2898">
        <f t="shared" ref="D899:E899" si="134">D843</f>
        <v>49</v>
      </c>
      <c r="E899" t="str">
        <f t="shared" si="134"/>
        <v xml:space="preserve"> </v>
      </c>
      <c r="F899" t="str">
        <f>'E - Resource Limits'!$F$6</f>
        <v>GMS</v>
      </c>
      <c r="S899">
        <f>'E - Resource Limits'!F61</f>
        <v>0</v>
      </c>
      <c r="U899">
        <f t="shared" si="104"/>
        <v>0</v>
      </c>
    </row>
    <row r="900" spans="1:21">
      <c r="A900" s="2895" t="str">
        <f>ORG!$S$1</f>
        <v>Apr 23</v>
      </c>
      <c r="B900" t="str">
        <f>ORG!$M$1</f>
        <v>Public Health Wales Trust</v>
      </c>
      <c r="C900" t="str">
        <f>'E - Resource Limits'!$A$5</f>
        <v>Table E - Resource Limits</v>
      </c>
      <c r="D900" s="2898">
        <f t="shared" ref="D900:E900" si="135">D844</f>
        <v>50</v>
      </c>
      <c r="E900" t="str">
        <f t="shared" si="135"/>
        <v xml:space="preserve"> </v>
      </c>
      <c r="F900" t="str">
        <f>'E - Resource Limits'!$F$6</f>
        <v>GMS</v>
      </c>
      <c r="S900">
        <f>'E - Resource Limits'!F62</f>
        <v>0</v>
      </c>
      <c r="U900">
        <f t="shared" si="104"/>
        <v>0</v>
      </c>
    </row>
    <row r="901" spans="1:21">
      <c r="A901" s="2895" t="str">
        <f>ORG!$S$1</f>
        <v>Apr 23</v>
      </c>
      <c r="B901" t="str">
        <f>ORG!$M$1</f>
        <v>Public Health Wales Trust</v>
      </c>
      <c r="C901" t="str">
        <f>'E - Resource Limits'!$A$5</f>
        <v>Table E - Resource Limits</v>
      </c>
      <c r="D901" s="2898">
        <f t="shared" ref="D901:E901" si="136">D845</f>
        <v>51</v>
      </c>
      <c r="E901" t="str">
        <f t="shared" si="136"/>
        <v xml:space="preserve"> </v>
      </c>
      <c r="F901" t="str">
        <f>'E - Resource Limits'!$F$6</f>
        <v>GMS</v>
      </c>
      <c r="S901">
        <f>'E - Resource Limits'!F63</f>
        <v>0</v>
      </c>
      <c r="U901">
        <f t="shared" si="104"/>
        <v>0</v>
      </c>
    </row>
    <row r="902" spans="1:21">
      <c r="A902" s="2895" t="str">
        <f>ORG!$S$1</f>
        <v>Apr 23</v>
      </c>
      <c r="B902" t="str">
        <f>ORG!$M$1</f>
        <v>Public Health Wales Trust</v>
      </c>
      <c r="C902" t="str">
        <f>'E - Resource Limits'!$A$5</f>
        <v>Table E - Resource Limits</v>
      </c>
      <c r="D902" s="2898">
        <f t="shared" ref="D902:E902" si="137">D846</f>
        <v>52</v>
      </c>
      <c r="E902" t="str">
        <f t="shared" si="137"/>
        <v xml:space="preserve"> </v>
      </c>
      <c r="F902" t="str">
        <f>'E - Resource Limits'!$F$6</f>
        <v>GMS</v>
      </c>
      <c r="S902">
        <f>'E - Resource Limits'!F64</f>
        <v>0</v>
      </c>
      <c r="U902">
        <f t="shared" si="104"/>
        <v>0</v>
      </c>
    </row>
    <row r="903" spans="1:21">
      <c r="A903" s="2895" t="str">
        <f>ORG!$S$1</f>
        <v>Apr 23</v>
      </c>
      <c r="B903" t="str">
        <f>ORG!$M$1</f>
        <v>Public Health Wales Trust</v>
      </c>
      <c r="C903" t="str">
        <f>'E - Resource Limits'!$A$5</f>
        <v>Table E - Resource Limits</v>
      </c>
      <c r="D903" s="2898">
        <f t="shared" ref="D903:E903" si="138">D847</f>
        <v>53</v>
      </c>
      <c r="E903" t="str">
        <f t="shared" si="138"/>
        <v xml:space="preserve"> </v>
      </c>
      <c r="F903" t="str">
        <f>'E - Resource Limits'!$F$6</f>
        <v>GMS</v>
      </c>
      <c r="S903">
        <f>'E - Resource Limits'!F65</f>
        <v>0</v>
      </c>
      <c r="U903">
        <f t="shared" si="104"/>
        <v>0</v>
      </c>
    </row>
    <row r="904" spans="1:21">
      <c r="A904" s="2895" t="str">
        <f>ORG!$S$1</f>
        <v>Apr 23</v>
      </c>
      <c r="B904" t="str">
        <f>ORG!$M$1</f>
        <v>Public Health Wales Trust</v>
      </c>
      <c r="C904" t="str">
        <f>'E - Resource Limits'!$A$5</f>
        <v>Table E - Resource Limits</v>
      </c>
      <c r="D904" s="2898">
        <f t="shared" ref="D904:E904" si="139">D848</f>
        <v>54</v>
      </c>
      <c r="E904" t="str">
        <f t="shared" si="139"/>
        <v xml:space="preserve"> </v>
      </c>
      <c r="F904" t="str">
        <f>'E - Resource Limits'!$F$6</f>
        <v>GMS</v>
      </c>
      <c r="S904">
        <f>'E - Resource Limits'!F66</f>
        <v>0</v>
      </c>
      <c r="U904">
        <f t="shared" si="104"/>
        <v>0</v>
      </c>
    </row>
    <row r="905" spans="1:21">
      <c r="A905" s="2895" t="str">
        <f>ORG!$S$1</f>
        <v>Apr 23</v>
      </c>
      <c r="B905" t="str">
        <f>ORG!$M$1</f>
        <v>Public Health Wales Trust</v>
      </c>
      <c r="C905" t="str">
        <f>'E - Resource Limits'!$A$5</f>
        <v>Table E - Resource Limits</v>
      </c>
      <c r="D905" s="2898">
        <f t="shared" ref="D905:E905" si="140">D849</f>
        <v>55</v>
      </c>
      <c r="E905" t="str">
        <f t="shared" si="140"/>
        <v xml:space="preserve"> </v>
      </c>
      <c r="F905" t="str">
        <f>'E - Resource Limits'!$F$6</f>
        <v>GMS</v>
      </c>
      <c r="S905">
        <f>'E - Resource Limits'!F67</f>
        <v>0</v>
      </c>
      <c r="U905">
        <f t="shared" si="104"/>
        <v>0</v>
      </c>
    </row>
    <row r="906" spans="1:21">
      <c r="A906" s="2895" t="str">
        <f>ORG!$S$1</f>
        <v>Apr 23</v>
      </c>
      <c r="B906" t="str">
        <f>ORG!$M$1</f>
        <v>Public Health Wales Trust</v>
      </c>
      <c r="C906" t="str">
        <f>'E - Resource Limits'!$A$5</f>
        <v>Table E - Resource Limits</v>
      </c>
      <c r="D906" s="2898">
        <f t="shared" ref="D906:E906" si="141">D850</f>
        <v>61</v>
      </c>
      <c r="E906" t="str">
        <f t="shared" si="141"/>
        <v xml:space="preserve">Capital Working Balances Request </v>
      </c>
      <c r="F906" t="str">
        <f>'E - Resource Limits'!$F$6</f>
        <v>GMS</v>
      </c>
      <c r="S906">
        <f>'E - Resource Limits'!F73</f>
        <v>0</v>
      </c>
      <c r="U906">
        <f t="shared" si="104"/>
        <v>0</v>
      </c>
    </row>
    <row r="907" spans="1:21">
      <c r="A907" s="2895" t="str">
        <f>ORG!$S$1</f>
        <v>Apr 23</v>
      </c>
      <c r="B907" t="str">
        <f>ORG!$M$1</f>
        <v>Public Health Wales Trust</v>
      </c>
      <c r="C907" t="str">
        <f>'E - Resource Limits'!$A$5</f>
        <v>Table E - Resource Limits</v>
      </c>
      <c r="D907" s="2898">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5" t="str">
        <f>ORG!$S$1</f>
        <v>Apr 23</v>
      </c>
      <c r="B908" t="str">
        <f>ORG!$M$1</f>
        <v>Public Health Wales Trust</v>
      </c>
      <c r="C908" t="str">
        <f>'E - Resource Limits'!$A$5</f>
        <v>Table E - Resource Limits</v>
      </c>
      <c r="D908" s="2898">
        <f t="shared" ref="D908:E908" si="143">D852</f>
        <v>63</v>
      </c>
      <c r="E908" t="str">
        <f t="shared" si="143"/>
        <v>Total Anticipated Funding</v>
      </c>
      <c r="F908" t="str">
        <f>'E - Resource Limits'!$F$6</f>
        <v>GMS</v>
      </c>
      <c r="S908">
        <f>'E - Resource Limits'!F75</f>
        <v>0</v>
      </c>
      <c r="U908">
        <f t="shared" si="104"/>
        <v>0</v>
      </c>
    </row>
    <row r="909" spans="1:21">
      <c r="A909" s="2895" t="str">
        <f>ORG!$S$1</f>
        <v>Apr 23</v>
      </c>
      <c r="B909" t="str">
        <f>ORG!$M$1</f>
        <v>Public Health Wales Trust</v>
      </c>
      <c r="C909" t="str">
        <f>'E - Resource Limits'!$A$5</f>
        <v>Table E - Resource Limits</v>
      </c>
      <c r="D909" s="2898">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5" t="str">
        <f>ORG!$S$1</f>
        <v>Apr 23</v>
      </c>
      <c r="B910" t="str">
        <f>ORG!$M$1</f>
        <v>Public Health Wales Trust</v>
      </c>
      <c r="C910" t="str">
        <f>'E - Resource Limits'!$A$5</f>
        <v>Table E - Resource Limits</v>
      </c>
      <c r="D910" s="2898">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5" t="str">
        <f>ORG!$S$1</f>
        <v>Apr 23</v>
      </c>
      <c r="B911" t="str">
        <f>ORG!$M$1</f>
        <v>Public Health Wales Trust</v>
      </c>
      <c r="C911" t="str">
        <f>'E - Resource Limits'!$A$5</f>
        <v>Table E - Resource Limits</v>
      </c>
      <c r="D911" s="2898">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5" t="str">
        <f>ORG!$S$1</f>
        <v>Apr 23</v>
      </c>
      <c r="B912" t="str">
        <f>ORG!$M$1</f>
        <v>Public Health Wales Trust</v>
      </c>
      <c r="C912" t="str">
        <f>'E - Resource Limits'!$A$5</f>
        <v>Table E - Resource Limits</v>
      </c>
      <c r="D912" s="2898">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5" t="str">
        <f>ORG!$S$1</f>
        <v>Apr 23</v>
      </c>
      <c r="B913" t="str">
        <f>ORG!$M$1</f>
        <v>Public Health Wales Trust</v>
      </c>
      <c r="C913" t="str">
        <f>'E - Resource Limits'!$A$5</f>
        <v>Table E - Resource Limits</v>
      </c>
      <c r="D913" s="2898">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5" t="str">
        <f>ORG!$S$1</f>
        <v>Apr 23</v>
      </c>
      <c r="B914" t="str">
        <f>ORG!$M$1</f>
        <v>Public Health Wales Trust</v>
      </c>
      <c r="C914" t="str">
        <f>'E - Resource Limits'!$A$5</f>
        <v>Table E - Resource Limits</v>
      </c>
      <c r="D914" s="2898">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5" t="str">
        <f>ORG!$S$1</f>
        <v>Apr 23</v>
      </c>
      <c r="B915" t="str">
        <f>ORG!$M$1</f>
        <v>Public Health Wales Trust</v>
      </c>
      <c r="C915" t="str">
        <f>'E - Resource Limits'!$A$5</f>
        <v>Table E - Resource Limits</v>
      </c>
      <c r="D915" s="2898">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5" t="str">
        <f>ORG!$S$1</f>
        <v>Apr 23</v>
      </c>
      <c r="B916" t="str">
        <f>ORG!$M$1</f>
        <v>Public Health Wales Trust</v>
      </c>
      <c r="C916" t="str">
        <f>'E - Resource Limits'!$A$5</f>
        <v>Table E - Resource Limits</v>
      </c>
      <c r="D916" s="2898">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5" t="str">
        <f>ORG!$S$1</f>
        <v>Apr 23</v>
      </c>
      <c r="B917" t="str">
        <f>ORG!$M$1</f>
        <v>Public Health Wales Trust</v>
      </c>
      <c r="C917" t="str">
        <f>'E - Resource Limits'!$A$5</f>
        <v>Table E - Resource Limits</v>
      </c>
      <c r="D917" s="2898">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5" t="str">
        <f>ORG!$S$1</f>
        <v>Apr 23</v>
      </c>
      <c r="B918" t="str">
        <f>ORG!$M$1</f>
        <v>Public Health Wales Trust</v>
      </c>
      <c r="C918" t="str">
        <f>'E - Resource Limits'!$A$5</f>
        <v>Table E - Resource Limits</v>
      </c>
      <c r="D918" s="2898">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5" t="str">
        <f>ORG!$S$1</f>
        <v>Apr 23</v>
      </c>
      <c r="B919" t="str">
        <f>ORG!$M$1</f>
        <v>Public Health Wales Trust</v>
      </c>
      <c r="C919" t="str">
        <f>'E - Resource Limits'!$A$5</f>
        <v>Table E - Resource Limits</v>
      </c>
      <c r="D919" s="2898">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5" t="str">
        <f>ORG!$S$1</f>
        <v>Apr 23</v>
      </c>
      <c r="B920" t="str">
        <f>ORG!$M$1</f>
        <v>Public Health Wales Trust</v>
      </c>
      <c r="C920" t="str">
        <f>'E - Resource Limits'!$A$5</f>
        <v>Table E - Resource Limits</v>
      </c>
      <c r="D920" s="2898">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5" t="str">
        <f>ORG!$S$1</f>
        <v>Apr 23</v>
      </c>
      <c r="B921" t="str">
        <f>ORG!$M$1</f>
        <v>Public Health Wales Trust</v>
      </c>
      <c r="C921" t="str">
        <f>'E - Resource Limits'!$A$5</f>
        <v>Table E - Resource Limits</v>
      </c>
      <c r="D921" s="2898">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5" t="str">
        <f>ORG!$S$1</f>
        <v>Apr 23</v>
      </c>
      <c r="B922" t="str">
        <f>ORG!$M$1</f>
        <v>Public Health Wales Trust</v>
      </c>
      <c r="C922" t="str">
        <f>'E - Resource Limits'!$A$5</f>
        <v>Table E - Resource Limits</v>
      </c>
      <c r="D922" s="2898">
        <f t="shared" ref="D922:E922" si="157">D866</f>
        <v>16</v>
      </c>
      <c r="E922" t="str">
        <f t="shared" si="157"/>
        <v xml:space="preserve"> </v>
      </c>
      <c r="F922" t="str">
        <f t="shared" si="145"/>
        <v>Total Revenue Resource Limit</v>
      </c>
      <c r="S922">
        <f>'E - Resource Limits'!G28</f>
        <v>0</v>
      </c>
      <c r="U922">
        <f t="shared" si="104"/>
        <v>0</v>
      </c>
    </row>
    <row r="923" spans="1:21">
      <c r="A923" s="2895" t="str">
        <f>ORG!$S$1</f>
        <v>Apr 23</v>
      </c>
      <c r="B923" t="str">
        <f>ORG!$M$1</f>
        <v>Public Health Wales Trust</v>
      </c>
      <c r="C923" t="str">
        <f>'E - Resource Limits'!$A$5</f>
        <v>Table E - Resource Limits</v>
      </c>
      <c r="D923" s="2898">
        <f t="shared" ref="D923:E923" si="158">D867</f>
        <v>17</v>
      </c>
      <c r="E923" t="str">
        <f t="shared" si="158"/>
        <v xml:space="preserve"> </v>
      </c>
      <c r="F923" t="str">
        <f t="shared" si="145"/>
        <v>Total Revenue Resource Limit</v>
      </c>
      <c r="S923">
        <f>'E - Resource Limits'!G29</f>
        <v>0</v>
      </c>
      <c r="U923">
        <f t="shared" si="104"/>
        <v>0</v>
      </c>
    </row>
    <row r="924" spans="1:21">
      <c r="A924" s="2895" t="str">
        <f>ORG!$S$1</f>
        <v>Apr 23</v>
      </c>
      <c r="B924" t="str">
        <f>ORG!$M$1</f>
        <v>Public Health Wales Trust</v>
      </c>
      <c r="C924" t="str">
        <f>'E - Resource Limits'!$A$5</f>
        <v>Table E - Resource Limits</v>
      </c>
      <c r="D924" s="2898">
        <f t="shared" ref="D924:E924" si="159">D868</f>
        <v>18</v>
      </c>
      <c r="E924" t="str">
        <f t="shared" si="159"/>
        <v xml:space="preserve"> </v>
      </c>
      <c r="F924" t="str">
        <f t="shared" si="145"/>
        <v>Total Revenue Resource Limit</v>
      </c>
      <c r="S924">
        <f>'E - Resource Limits'!G30</f>
        <v>0</v>
      </c>
      <c r="U924">
        <f t="shared" si="104"/>
        <v>0</v>
      </c>
    </row>
    <row r="925" spans="1:21">
      <c r="A925" s="2895" t="str">
        <f>ORG!$S$1</f>
        <v>Apr 23</v>
      </c>
      <c r="B925" t="str">
        <f>ORG!$M$1</f>
        <v>Public Health Wales Trust</v>
      </c>
      <c r="C925" t="str">
        <f>'E - Resource Limits'!$A$5</f>
        <v>Table E - Resource Limits</v>
      </c>
      <c r="D925" s="2898">
        <f t="shared" ref="D925:E925" si="160">D869</f>
        <v>19</v>
      </c>
      <c r="E925" t="str">
        <f t="shared" si="160"/>
        <v xml:space="preserve"> </v>
      </c>
      <c r="F925" t="str">
        <f t="shared" si="145"/>
        <v>Total Revenue Resource Limit</v>
      </c>
      <c r="S925">
        <f>'E - Resource Limits'!G31</f>
        <v>0</v>
      </c>
      <c r="U925">
        <f t="shared" si="104"/>
        <v>0</v>
      </c>
    </row>
    <row r="926" spans="1:21">
      <c r="A926" s="2895" t="str">
        <f>ORG!$S$1</f>
        <v>Apr 23</v>
      </c>
      <c r="B926" t="str">
        <f>ORG!$M$1</f>
        <v>Public Health Wales Trust</v>
      </c>
      <c r="C926" t="str">
        <f>'E - Resource Limits'!$A$5</f>
        <v>Table E - Resource Limits</v>
      </c>
      <c r="D926" s="2898">
        <f t="shared" ref="D926:E926" si="161">D870</f>
        <v>20</v>
      </c>
      <c r="E926" t="str">
        <f t="shared" si="161"/>
        <v xml:space="preserve"> </v>
      </c>
      <c r="F926" t="str">
        <f t="shared" si="145"/>
        <v>Total Revenue Resource Limit</v>
      </c>
      <c r="S926">
        <f>'E - Resource Limits'!G32</f>
        <v>0</v>
      </c>
      <c r="U926">
        <f t="shared" si="104"/>
        <v>0</v>
      </c>
    </row>
    <row r="927" spans="1:21">
      <c r="A927" s="2895" t="str">
        <f>ORG!$S$1</f>
        <v>Apr 23</v>
      </c>
      <c r="B927" t="str">
        <f>ORG!$M$1</f>
        <v>Public Health Wales Trust</v>
      </c>
      <c r="C927" t="str">
        <f>'E - Resource Limits'!$A$5</f>
        <v>Table E - Resource Limits</v>
      </c>
      <c r="D927" s="2898">
        <f t="shared" ref="D927:E927" si="162">D871</f>
        <v>21</v>
      </c>
      <c r="E927" t="str">
        <f t="shared" si="162"/>
        <v xml:space="preserve"> </v>
      </c>
      <c r="F927" t="str">
        <f t="shared" si="145"/>
        <v>Total Revenue Resource Limit</v>
      </c>
      <c r="S927">
        <f>'E - Resource Limits'!G33</f>
        <v>0</v>
      </c>
      <c r="U927">
        <f t="shared" si="104"/>
        <v>0</v>
      </c>
    </row>
    <row r="928" spans="1:21">
      <c r="A928" s="2895" t="str">
        <f>ORG!$S$1</f>
        <v>Apr 23</v>
      </c>
      <c r="B928" t="str">
        <f>ORG!$M$1</f>
        <v>Public Health Wales Trust</v>
      </c>
      <c r="C928" t="str">
        <f>'E - Resource Limits'!$A$5</f>
        <v>Table E - Resource Limits</v>
      </c>
      <c r="D928" s="2898">
        <f t="shared" ref="D928:E928" si="163">D872</f>
        <v>22</v>
      </c>
      <c r="E928" t="str">
        <f t="shared" si="163"/>
        <v xml:space="preserve"> </v>
      </c>
      <c r="F928" t="str">
        <f t="shared" si="145"/>
        <v>Total Revenue Resource Limit</v>
      </c>
      <c r="S928">
        <f>'E - Resource Limits'!G34</f>
        <v>0</v>
      </c>
      <c r="U928">
        <f t="shared" si="104"/>
        <v>0</v>
      </c>
    </row>
    <row r="929" spans="1:21">
      <c r="A929" s="2895" t="str">
        <f>ORG!$S$1</f>
        <v>Apr 23</v>
      </c>
      <c r="B929" t="str">
        <f>ORG!$M$1</f>
        <v>Public Health Wales Trust</v>
      </c>
      <c r="C929" t="str">
        <f>'E - Resource Limits'!$A$5</f>
        <v>Table E - Resource Limits</v>
      </c>
      <c r="D929" s="2898">
        <f t="shared" ref="D929:E929" si="164">D873</f>
        <v>23</v>
      </c>
      <c r="E929" t="str">
        <f t="shared" si="164"/>
        <v xml:space="preserve"> </v>
      </c>
      <c r="F929" t="str">
        <f t="shared" si="145"/>
        <v>Total Revenue Resource Limit</v>
      </c>
      <c r="S929">
        <f>'E - Resource Limits'!G35</f>
        <v>0</v>
      </c>
      <c r="U929">
        <f t="shared" si="104"/>
        <v>0</v>
      </c>
    </row>
    <row r="930" spans="1:21">
      <c r="A930" s="2895" t="str">
        <f>ORG!$S$1</f>
        <v>Apr 23</v>
      </c>
      <c r="B930" t="str">
        <f>ORG!$M$1</f>
        <v>Public Health Wales Trust</v>
      </c>
      <c r="C930" t="str">
        <f>'E - Resource Limits'!$A$5</f>
        <v>Table E - Resource Limits</v>
      </c>
      <c r="D930" s="2898">
        <f t="shared" ref="D930:E930" si="165">D874</f>
        <v>24</v>
      </c>
      <c r="E930" t="str">
        <f t="shared" si="165"/>
        <v xml:space="preserve"> </v>
      </c>
      <c r="F930" t="str">
        <f t="shared" si="145"/>
        <v>Total Revenue Resource Limit</v>
      </c>
      <c r="S930">
        <f>'E - Resource Limits'!G36</f>
        <v>0</v>
      </c>
      <c r="U930">
        <f t="shared" si="104"/>
        <v>0</v>
      </c>
    </row>
    <row r="931" spans="1:21">
      <c r="A931" s="2895" t="str">
        <f>ORG!$S$1</f>
        <v>Apr 23</v>
      </c>
      <c r="B931" t="str">
        <f>ORG!$M$1</f>
        <v>Public Health Wales Trust</v>
      </c>
      <c r="C931" t="str">
        <f>'E - Resource Limits'!$A$5</f>
        <v>Table E - Resource Limits</v>
      </c>
      <c r="D931" s="2898">
        <f t="shared" ref="D931:E931" si="166">D875</f>
        <v>25</v>
      </c>
      <c r="E931" t="str">
        <f t="shared" si="166"/>
        <v xml:space="preserve"> </v>
      </c>
      <c r="F931" t="str">
        <f t="shared" si="145"/>
        <v>Total Revenue Resource Limit</v>
      </c>
      <c r="S931">
        <f>'E - Resource Limits'!G37</f>
        <v>0</v>
      </c>
      <c r="U931">
        <f t="shared" si="104"/>
        <v>0</v>
      </c>
    </row>
    <row r="932" spans="1:21">
      <c r="A932" s="2895" t="str">
        <f>ORG!$S$1</f>
        <v>Apr 23</v>
      </c>
      <c r="B932" t="str">
        <f>ORG!$M$1</f>
        <v>Public Health Wales Trust</v>
      </c>
      <c r="C932" t="str">
        <f>'E - Resource Limits'!$A$5</f>
        <v>Table E - Resource Limits</v>
      </c>
      <c r="D932" s="2898">
        <f t="shared" ref="D932:E932" si="167">D876</f>
        <v>26</v>
      </c>
      <c r="E932" t="str">
        <f t="shared" si="167"/>
        <v xml:space="preserve"> </v>
      </c>
      <c r="F932" t="str">
        <f t="shared" si="145"/>
        <v>Total Revenue Resource Limit</v>
      </c>
      <c r="S932">
        <f>'E - Resource Limits'!G38</f>
        <v>0</v>
      </c>
      <c r="U932">
        <f t="shared" si="104"/>
        <v>0</v>
      </c>
    </row>
    <row r="933" spans="1:21">
      <c r="A933" s="2895" t="str">
        <f>ORG!$S$1</f>
        <v>Apr 23</v>
      </c>
      <c r="B933" t="str">
        <f>ORG!$M$1</f>
        <v>Public Health Wales Trust</v>
      </c>
      <c r="C933" t="str">
        <f>'E - Resource Limits'!$A$5</f>
        <v>Table E - Resource Limits</v>
      </c>
      <c r="D933" s="2898">
        <f t="shared" ref="D933:E933" si="168">D877</f>
        <v>27</v>
      </c>
      <c r="E933" t="str">
        <f t="shared" si="168"/>
        <v xml:space="preserve"> </v>
      </c>
      <c r="F933" t="str">
        <f t="shared" si="145"/>
        <v>Total Revenue Resource Limit</v>
      </c>
      <c r="S933">
        <f>'E - Resource Limits'!G39</f>
        <v>0</v>
      </c>
      <c r="U933">
        <f t="shared" ref="U933:U996" si="169">S933+T933</f>
        <v>0</v>
      </c>
    </row>
    <row r="934" spans="1:21">
      <c r="A934" s="2895" t="str">
        <f>ORG!$S$1</f>
        <v>Apr 23</v>
      </c>
      <c r="B934" t="str">
        <f>ORG!$M$1</f>
        <v>Public Health Wales Trust</v>
      </c>
      <c r="C934" t="str">
        <f>'E - Resource Limits'!$A$5</f>
        <v>Table E - Resource Limits</v>
      </c>
      <c r="D934" s="2898">
        <f t="shared" ref="D934:E934" si="170">D878</f>
        <v>28</v>
      </c>
      <c r="E934" t="str">
        <f t="shared" si="170"/>
        <v xml:space="preserve"> </v>
      </c>
      <c r="F934" t="str">
        <f t="shared" si="145"/>
        <v>Total Revenue Resource Limit</v>
      </c>
      <c r="S934">
        <f>'E - Resource Limits'!G40</f>
        <v>0</v>
      </c>
      <c r="U934">
        <f t="shared" si="169"/>
        <v>0</v>
      </c>
    </row>
    <row r="935" spans="1:21">
      <c r="A935" s="2895" t="str">
        <f>ORG!$S$1</f>
        <v>Apr 23</v>
      </c>
      <c r="B935" t="str">
        <f>ORG!$M$1</f>
        <v>Public Health Wales Trust</v>
      </c>
      <c r="C935" t="str">
        <f>'E - Resource Limits'!$A$5</f>
        <v>Table E - Resource Limits</v>
      </c>
      <c r="D935" s="2898">
        <f t="shared" ref="D935:E935" si="171">D879</f>
        <v>29</v>
      </c>
      <c r="E935" t="str">
        <f t="shared" si="171"/>
        <v xml:space="preserve"> </v>
      </c>
      <c r="F935" t="str">
        <f t="shared" si="145"/>
        <v>Total Revenue Resource Limit</v>
      </c>
      <c r="S935">
        <f>'E - Resource Limits'!G41</f>
        <v>0</v>
      </c>
      <c r="U935">
        <f t="shared" si="169"/>
        <v>0</v>
      </c>
    </row>
    <row r="936" spans="1:21">
      <c r="A936" s="2895" t="str">
        <f>ORG!$S$1</f>
        <v>Apr 23</v>
      </c>
      <c r="B936" t="str">
        <f>ORG!$M$1</f>
        <v>Public Health Wales Trust</v>
      </c>
      <c r="C936" t="str">
        <f>'E - Resource Limits'!$A$5</f>
        <v>Table E - Resource Limits</v>
      </c>
      <c r="D936" s="2898">
        <f>D880</f>
        <v>30</v>
      </c>
      <c r="E936" t="str">
        <f>E880</f>
        <v xml:space="preserve"> </v>
      </c>
      <c r="F936" t="str">
        <f>"Total Revenue Resource Limit"</f>
        <v>Total Revenue Resource Limit</v>
      </c>
      <c r="S936">
        <f>'E - Resource Limits'!G42</f>
        <v>0</v>
      </c>
      <c r="U936">
        <f t="shared" si="169"/>
        <v>0</v>
      </c>
    </row>
    <row r="937" spans="1:21">
      <c r="A937" s="2895" t="str">
        <f>ORG!$S$1</f>
        <v>Apr 23</v>
      </c>
      <c r="B937" t="str">
        <f>ORG!$M$1</f>
        <v>Public Health Wales Trust</v>
      </c>
      <c r="C937" t="str">
        <f>'E - Resource Limits'!$A$5</f>
        <v>Table E - Resource Limits</v>
      </c>
      <c r="D937" s="2898">
        <f t="shared" ref="D937:E937" si="172">D881</f>
        <v>31</v>
      </c>
      <c r="E937" t="str">
        <f t="shared" si="172"/>
        <v xml:space="preserve"> </v>
      </c>
      <c r="F937" t="str">
        <f t="shared" si="145"/>
        <v>Total Revenue Resource Limit</v>
      </c>
      <c r="S937">
        <f>'E - Resource Limits'!G43</f>
        <v>0</v>
      </c>
      <c r="U937">
        <f t="shared" si="169"/>
        <v>0</v>
      </c>
    </row>
    <row r="938" spans="1:21">
      <c r="A938" s="2895" t="str">
        <f>ORG!$S$1</f>
        <v>Apr 23</v>
      </c>
      <c r="B938" t="str">
        <f>ORG!$M$1</f>
        <v>Public Health Wales Trust</v>
      </c>
      <c r="C938" t="str">
        <f>'E - Resource Limits'!$A$5</f>
        <v>Table E - Resource Limits</v>
      </c>
      <c r="D938" s="2898">
        <f t="shared" ref="D938:E938" si="173">D882</f>
        <v>32</v>
      </c>
      <c r="E938" t="str">
        <f t="shared" si="173"/>
        <v xml:space="preserve"> </v>
      </c>
      <c r="F938" t="str">
        <f t="shared" si="145"/>
        <v>Total Revenue Resource Limit</v>
      </c>
      <c r="S938">
        <f>'E - Resource Limits'!G44</f>
        <v>0</v>
      </c>
      <c r="U938">
        <f t="shared" si="169"/>
        <v>0</v>
      </c>
    </row>
    <row r="939" spans="1:21">
      <c r="A939" s="2895" t="str">
        <f>ORG!$S$1</f>
        <v>Apr 23</v>
      </c>
      <c r="B939" t="str">
        <f>ORG!$M$1</f>
        <v>Public Health Wales Trust</v>
      </c>
      <c r="C939" t="str">
        <f>'E - Resource Limits'!$A$5</f>
        <v>Table E - Resource Limits</v>
      </c>
      <c r="D939" s="2898">
        <f t="shared" ref="D939:E939" si="174">D883</f>
        <v>33</v>
      </c>
      <c r="E939" t="str">
        <f t="shared" si="174"/>
        <v xml:space="preserve"> </v>
      </c>
      <c r="F939" t="str">
        <f t="shared" si="145"/>
        <v>Total Revenue Resource Limit</v>
      </c>
      <c r="S939">
        <f>'E - Resource Limits'!G45</f>
        <v>0</v>
      </c>
      <c r="U939">
        <f t="shared" si="169"/>
        <v>0</v>
      </c>
    </row>
    <row r="940" spans="1:21">
      <c r="A940" s="2895" t="str">
        <f>ORG!$S$1</f>
        <v>Apr 23</v>
      </c>
      <c r="B940" t="str">
        <f>ORG!$M$1</f>
        <v>Public Health Wales Trust</v>
      </c>
      <c r="C940" t="str">
        <f>'E - Resource Limits'!$A$5</f>
        <v>Table E - Resource Limits</v>
      </c>
      <c r="D940" s="2898">
        <f t="shared" ref="D940:E940" si="175">D884</f>
        <v>34</v>
      </c>
      <c r="E940" t="str">
        <f t="shared" si="175"/>
        <v xml:space="preserve"> </v>
      </c>
      <c r="F940" t="str">
        <f t="shared" si="145"/>
        <v>Total Revenue Resource Limit</v>
      </c>
      <c r="S940">
        <f>'E - Resource Limits'!G46</f>
        <v>0</v>
      </c>
      <c r="U940">
        <f t="shared" si="169"/>
        <v>0</v>
      </c>
    </row>
    <row r="941" spans="1:21">
      <c r="A941" s="2895" t="str">
        <f>ORG!$S$1</f>
        <v>Apr 23</v>
      </c>
      <c r="B941" t="str">
        <f>ORG!$M$1</f>
        <v>Public Health Wales Trust</v>
      </c>
      <c r="C941" t="str">
        <f>'E - Resource Limits'!$A$5</f>
        <v>Table E - Resource Limits</v>
      </c>
      <c r="D941" s="2898">
        <f t="shared" ref="D941:E941" si="176">D885</f>
        <v>35</v>
      </c>
      <c r="E941" t="str">
        <f t="shared" si="176"/>
        <v xml:space="preserve"> </v>
      </c>
      <c r="F941" t="str">
        <f t="shared" si="145"/>
        <v>Total Revenue Resource Limit</v>
      </c>
      <c r="S941">
        <f>'E - Resource Limits'!G47</f>
        <v>0</v>
      </c>
      <c r="U941">
        <f t="shared" si="169"/>
        <v>0</v>
      </c>
    </row>
    <row r="942" spans="1:21">
      <c r="A942" s="2895" t="str">
        <f>ORG!$S$1</f>
        <v>Apr 23</v>
      </c>
      <c r="B942" t="str">
        <f>ORG!$M$1</f>
        <v>Public Health Wales Trust</v>
      </c>
      <c r="C942" t="str">
        <f>'E - Resource Limits'!$A$5</f>
        <v>Table E - Resource Limits</v>
      </c>
      <c r="D942" s="2898">
        <f t="shared" ref="D942:E942" si="177">D886</f>
        <v>36</v>
      </c>
      <c r="E942" t="str">
        <f t="shared" si="177"/>
        <v xml:space="preserve"> </v>
      </c>
      <c r="F942" t="str">
        <f t="shared" si="145"/>
        <v>Total Revenue Resource Limit</v>
      </c>
      <c r="S942">
        <f>'E - Resource Limits'!G48</f>
        <v>0</v>
      </c>
      <c r="U942">
        <f t="shared" si="169"/>
        <v>0</v>
      </c>
    </row>
    <row r="943" spans="1:21">
      <c r="A943" s="2895" t="str">
        <f>ORG!$S$1</f>
        <v>Apr 23</v>
      </c>
      <c r="B943" t="str">
        <f>ORG!$M$1</f>
        <v>Public Health Wales Trust</v>
      </c>
      <c r="C943" t="str">
        <f>'E - Resource Limits'!$A$5</f>
        <v>Table E - Resource Limits</v>
      </c>
      <c r="D943" s="2898">
        <f t="shared" ref="D943:E943" si="178">D887</f>
        <v>37</v>
      </c>
      <c r="E943" t="str">
        <f t="shared" si="178"/>
        <v xml:space="preserve"> </v>
      </c>
      <c r="F943" t="str">
        <f t="shared" si="145"/>
        <v>Total Revenue Resource Limit</v>
      </c>
      <c r="S943">
        <f>'E - Resource Limits'!G49</f>
        <v>0</v>
      </c>
      <c r="U943">
        <f t="shared" si="169"/>
        <v>0</v>
      </c>
    </row>
    <row r="944" spans="1:21">
      <c r="A944" s="2895" t="str">
        <f>ORG!$S$1</f>
        <v>Apr 23</v>
      </c>
      <c r="B944" t="str">
        <f>ORG!$M$1</f>
        <v>Public Health Wales Trust</v>
      </c>
      <c r="C944" t="str">
        <f>'E - Resource Limits'!$A$5</f>
        <v>Table E - Resource Limits</v>
      </c>
      <c r="D944" s="2898">
        <f t="shared" ref="D944:E944" si="179">D888</f>
        <v>38</v>
      </c>
      <c r="E944" t="str">
        <f t="shared" si="179"/>
        <v xml:space="preserve"> </v>
      </c>
      <c r="F944" t="str">
        <f t="shared" si="145"/>
        <v>Total Revenue Resource Limit</v>
      </c>
      <c r="S944">
        <f>'E - Resource Limits'!G50</f>
        <v>0</v>
      </c>
      <c r="U944">
        <f t="shared" si="169"/>
        <v>0</v>
      </c>
    </row>
    <row r="945" spans="1:21">
      <c r="A945" s="2895" t="str">
        <f>ORG!$S$1</f>
        <v>Apr 23</v>
      </c>
      <c r="B945" t="str">
        <f>ORG!$M$1</f>
        <v>Public Health Wales Trust</v>
      </c>
      <c r="C945" t="str">
        <f>'E - Resource Limits'!$A$5</f>
        <v>Table E - Resource Limits</v>
      </c>
      <c r="D945" s="2898">
        <f t="shared" ref="D945:E945" si="180">D889</f>
        <v>39</v>
      </c>
      <c r="E945" t="str">
        <f t="shared" si="180"/>
        <v xml:space="preserve"> </v>
      </c>
      <c r="F945" t="str">
        <f t="shared" si="145"/>
        <v>Total Revenue Resource Limit</v>
      </c>
      <c r="S945">
        <f>'E - Resource Limits'!G51</f>
        <v>0</v>
      </c>
      <c r="U945">
        <f t="shared" si="169"/>
        <v>0</v>
      </c>
    </row>
    <row r="946" spans="1:21">
      <c r="A946" s="2895" t="str">
        <f>ORG!$S$1</f>
        <v>Apr 23</v>
      </c>
      <c r="B946" t="str">
        <f>ORG!$M$1</f>
        <v>Public Health Wales Trust</v>
      </c>
      <c r="C946" t="str">
        <f>'E - Resource Limits'!$A$5</f>
        <v>Table E - Resource Limits</v>
      </c>
      <c r="D946" s="2898">
        <f t="shared" ref="D946:E946" si="181">D890</f>
        <v>40</v>
      </c>
      <c r="E946" t="str">
        <f t="shared" si="181"/>
        <v xml:space="preserve"> </v>
      </c>
      <c r="F946" t="str">
        <f t="shared" si="145"/>
        <v>Total Revenue Resource Limit</v>
      </c>
      <c r="S946">
        <f>'E - Resource Limits'!G52</f>
        <v>0</v>
      </c>
      <c r="U946">
        <f t="shared" si="169"/>
        <v>0</v>
      </c>
    </row>
    <row r="947" spans="1:21">
      <c r="A947" s="2895" t="str">
        <f>ORG!$S$1</f>
        <v>Apr 23</v>
      </c>
      <c r="B947" t="str">
        <f>ORG!$M$1</f>
        <v>Public Health Wales Trust</v>
      </c>
      <c r="C947" t="str">
        <f>'E - Resource Limits'!$A$5</f>
        <v>Table E - Resource Limits</v>
      </c>
      <c r="D947" s="2898">
        <f t="shared" ref="D947:E947" si="182">D891</f>
        <v>41</v>
      </c>
      <c r="E947" t="str">
        <f t="shared" si="182"/>
        <v xml:space="preserve"> </v>
      </c>
      <c r="F947" t="str">
        <f t="shared" si="145"/>
        <v>Total Revenue Resource Limit</v>
      </c>
      <c r="S947">
        <f>'E - Resource Limits'!G53</f>
        <v>0</v>
      </c>
      <c r="U947">
        <f t="shared" si="169"/>
        <v>0</v>
      </c>
    </row>
    <row r="948" spans="1:21">
      <c r="A948" s="2895" t="str">
        <f>ORG!$S$1</f>
        <v>Apr 23</v>
      </c>
      <c r="B948" t="str">
        <f>ORG!$M$1</f>
        <v>Public Health Wales Trust</v>
      </c>
      <c r="C948" t="str">
        <f>'E - Resource Limits'!$A$5</f>
        <v>Table E - Resource Limits</v>
      </c>
      <c r="D948" s="2898">
        <f t="shared" ref="D948:E948" si="183">D892</f>
        <v>42</v>
      </c>
      <c r="E948" t="str">
        <f t="shared" si="183"/>
        <v xml:space="preserve"> </v>
      </c>
      <c r="F948" t="str">
        <f t="shared" si="145"/>
        <v>Total Revenue Resource Limit</v>
      </c>
      <c r="S948">
        <f>'E - Resource Limits'!G54</f>
        <v>0</v>
      </c>
      <c r="U948">
        <f t="shared" si="169"/>
        <v>0</v>
      </c>
    </row>
    <row r="949" spans="1:21">
      <c r="A949" s="2895" t="str">
        <f>ORG!$S$1</f>
        <v>Apr 23</v>
      </c>
      <c r="B949" t="str">
        <f>ORG!$M$1</f>
        <v>Public Health Wales Trust</v>
      </c>
      <c r="C949" t="str">
        <f>'E - Resource Limits'!$A$5</f>
        <v>Table E - Resource Limits</v>
      </c>
      <c r="D949" s="2898">
        <f t="shared" ref="D949:E949" si="184">D893</f>
        <v>43</v>
      </c>
      <c r="E949" t="str">
        <f t="shared" si="184"/>
        <v xml:space="preserve"> </v>
      </c>
      <c r="F949" t="str">
        <f t="shared" si="145"/>
        <v>Total Revenue Resource Limit</v>
      </c>
      <c r="S949">
        <f>'E - Resource Limits'!G55</f>
        <v>0</v>
      </c>
      <c r="U949">
        <f t="shared" si="169"/>
        <v>0</v>
      </c>
    </row>
    <row r="950" spans="1:21">
      <c r="A950" s="2895" t="str">
        <f>ORG!$S$1</f>
        <v>Apr 23</v>
      </c>
      <c r="B950" t="str">
        <f>ORG!$M$1</f>
        <v>Public Health Wales Trust</v>
      </c>
      <c r="C950" t="str">
        <f>'E - Resource Limits'!$A$5</f>
        <v>Table E - Resource Limits</v>
      </c>
      <c r="D950" s="2898">
        <f>D894</f>
        <v>44</v>
      </c>
      <c r="E950" t="str">
        <f>E894</f>
        <v xml:space="preserve"> </v>
      </c>
      <c r="F950" t="str">
        <f>"Total Revenue Resource Limit"</f>
        <v>Total Revenue Resource Limit</v>
      </c>
      <c r="S950">
        <f>'E - Resource Limits'!G56</f>
        <v>0</v>
      </c>
      <c r="U950">
        <f t="shared" si="169"/>
        <v>0</v>
      </c>
    </row>
    <row r="951" spans="1:21">
      <c r="A951" s="2895" t="str">
        <f>ORG!$S$1</f>
        <v>Apr 23</v>
      </c>
      <c r="B951" t="str">
        <f>ORG!$M$1</f>
        <v>Public Health Wales Trust</v>
      </c>
      <c r="C951" t="str">
        <f>'E - Resource Limits'!$A$5</f>
        <v>Table E - Resource Limits</v>
      </c>
      <c r="D951" s="2898">
        <f t="shared" ref="D951:E951" si="185">D895</f>
        <v>45</v>
      </c>
      <c r="E951" t="str">
        <f t="shared" si="185"/>
        <v xml:space="preserve"> </v>
      </c>
      <c r="F951" t="str">
        <f t="shared" si="145"/>
        <v>Total Revenue Resource Limit</v>
      </c>
      <c r="S951">
        <f>'E - Resource Limits'!G57</f>
        <v>0</v>
      </c>
      <c r="U951">
        <f t="shared" si="169"/>
        <v>0</v>
      </c>
    </row>
    <row r="952" spans="1:21">
      <c r="A952" s="2895" t="str">
        <f>ORG!$S$1</f>
        <v>Apr 23</v>
      </c>
      <c r="B952" t="str">
        <f>ORG!$M$1</f>
        <v>Public Health Wales Trust</v>
      </c>
      <c r="C952" t="str">
        <f>'E - Resource Limits'!$A$5</f>
        <v>Table E - Resource Limits</v>
      </c>
      <c r="D952" s="2898">
        <f t="shared" ref="D952:E952" si="186">D896</f>
        <v>46</v>
      </c>
      <c r="E952" t="str">
        <f t="shared" si="186"/>
        <v xml:space="preserve"> </v>
      </c>
      <c r="F952" t="str">
        <f t="shared" si="145"/>
        <v>Total Revenue Resource Limit</v>
      </c>
      <c r="S952">
        <f>'E - Resource Limits'!G58</f>
        <v>0</v>
      </c>
      <c r="U952">
        <f t="shared" si="169"/>
        <v>0</v>
      </c>
    </row>
    <row r="953" spans="1:21">
      <c r="A953" s="2895" t="str">
        <f>ORG!$S$1</f>
        <v>Apr 23</v>
      </c>
      <c r="B953" t="str">
        <f>ORG!$M$1</f>
        <v>Public Health Wales Trust</v>
      </c>
      <c r="C953" t="str">
        <f>'E - Resource Limits'!$A$5</f>
        <v>Table E - Resource Limits</v>
      </c>
      <c r="D953" s="2898">
        <f t="shared" ref="D953:E953" si="187">D897</f>
        <v>47</v>
      </c>
      <c r="E953" t="str">
        <f t="shared" si="187"/>
        <v xml:space="preserve"> </v>
      </c>
      <c r="F953" t="str">
        <f t="shared" si="145"/>
        <v>Total Revenue Resource Limit</v>
      </c>
      <c r="S953">
        <f>'E - Resource Limits'!G59</f>
        <v>0</v>
      </c>
      <c r="U953">
        <f t="shared" si="169"/>
        <v>0</v>
      </c>
    </row>
    <row r="954" spans="1:21">
      <c r="A954" s="2895" t="str">
        <f>ORG!$S$1</f>
        <v>Apr 23</v>
      </c>
      <c r="B954" t="str">
        <f>ORG!$M$1</f>
        <v>Public Health Wales Trust</v>
      </c>
      <c r="C954" t="str">
        <f>'E - Resource Limits'!$A$5</f>
        <v>Table E - Resource Limits</v>
      </c>
      <c r="D954" s="2898">
        <f t="shared" ref="D954:E954" si="188">D898</f>
        <v>48</v>
      </c>
      <c r="E954" t="str">
        <f t="shared" si="188"/>
        <v xml:space="preserve"> </v>
      </c>
      <c r="F954" t="str">
        <f t="shared" si="145"/>
        <v>Total Revenue Resource Limit</v>
      </c>
      <c r="S954">
        <f>'E - Resource Limits'!G60</f>
        <v>0</v>
      </c>
      <c r="U954">
        <f t="shared" si="169"/>
        <v>0</v>
      </c>
    </row>
    <row r="955" spans="1:21">
      <c r="A955" s="2895" t="str">
        <f>ORG!$S$1</f>
        <v>Apr 23</v>
      </c>
      <c r="B955" t="str">
        <f>ORG!$M$1</f>
        <v>Public Health Wales Trust</v>
      </c>
      <c r="C955" t="str">
        <f>'E - Resource Limits'!$A$5</f>
        <v>Table E - Resource Limits</v>
      </c>
      <c r="D955" s="2898">
        <f t="shared" ref="D955:E955" si="189">D899</f>
        <v>49</v>
      </c>
      <c r="E955" t="str">
        <f t="shared" si="189"/>
        <v xml:space="preserve"> </v>
      </c>
      <c r="F955" t="str">
        <f t="shared" si="145"/>
        <v>Total Revenue Resource Limit</v>
      </c>
      <c r="S955">
        <f>'E - Resource Limits'!G61</f>
        <v>0</v>
      </c>
      <c r="U955">
        <f t="shared" si="169"/>
        <v>0</v>
      </c>
    </row>
    <row r="956" spans="1:21">
      <c r="A956" s="2895" t="str">
        <f>ORG!$S$1</f>
        <v>Apr 23</v>
      </c>
      <c r="B956" t="str">
        <f>ORG!$M$1</f>
        <v>Public Health Wales Trust</v>
      </c>
      <c r="C956" t="str">
        <f>'E - Resource Limits'!$A$5</f>
        <v>Table E - Resource Limits</v>
      </c>
      <c r="D956" s="2898">
        <f t="shared" ref="D956:E956" si="190">D900</f>
        <v>50</v>
      </c>
      <c r="E956" t="str">
        <f t="shared" si="190"/>
        <v xml:space="preserve"> </v>
      </c>
      <c r="F956" t="str">
        <f t="shared" si="145"/>
        <v>Total Revenue Resource Limit</v>
      </c>
      <c r="S956">
        <f>'E - Resource Limits'!G62</f>
        <v>0</v>
      </c>
      <c r="U956">
        <f t="shared" si="169"/>
        <v>0</v>
      </c>
    </row>
    <row r="957" spans="1:21">
      <c r="A957" s="2895" t="str">
        <f>ORG!$S$1</f>
        <v>Apr 23</v>
      </c>
      <c r="B957" t="str">
        <f>ORG!$M$1</f>
        <v>Public Health Wales Trust</v>
      </c>
      <c r="C957" t="str">
        <f>'E - Resource Limits'!$A$5</f>
        <v>Table E - Resource Limits</v>
      </c>
      <c r="D957" s="2898">
        <f t="shared" ref="D957:E957" si="191">D901</f>
        <v>51</v>
      </c>
      <c r="E957" t="str">
        <f t="shared" si="191"/>
        <v xml:space="preserve"> </v>
      </c>
      <c r="F957" t="str">
        <f t="shared" si="145"/>
        <v>Total Revenue Resource Limit</v>
      </c>
      <c r="S957">
        <f>'E - Resource Limits'!G63</f>
        <v>0</v>
      </c>
      <c r="U957">
        <f t="shared" si="169"/>
        <v>0</v>
      </c>
    </row>
    <row r="958" spans="1:21">
      <c r="A958" s="2895" t="str">
        <f>ORG!$S$1</f>
        <v>Apr 23</v>
      </c>
      <c r="B958" t="str">
        <f>ORG!$M$1</f>
        <v>Public Health Wales Trust</v>
      </c>
      <c r="C958" t="str">
        <f>'E - Resource Limits'!$A$5</f>
        <v>Table E - Resource Limits</v>
      </c>
      <c r="D958" s="2898">
        <f t="shared" ref="D958:E958" si="192">D902</f>
        <v>52</v>
      </c>
      <c r="E958" t="str">
        <f t="shared" si="192"/>
        <v xml:space="preserve"> </v>
      </c>
      <c r="F958" t="str">
        <f t="shared" si="145"/>
        <v>Total Revenue Resource Limit</v>
      </c>
      <c r="S958">
        <f>'E - Resource Limits'!G64</f>
        <v>0</v>
      </c>
      <c r="U958">
        <f t="shared" si="169"/>
        <v>0</v>
      </c>
    </row>
    <row r="959" spans="1:21">
      <c r="A959" s="2895" t="str">
        <f>ORG!$S$1</f>
        <v>Apr 23</v>
      </c>
      <c r="B959" t="str">
        <f>ORG!$M$1</f>
        <v>Public Health Wales Trust</v>
      </c>
      <c r="C959" t="str">
        <f>'E - Resource Limits'!$A$5</f>
        <v>Table E - Resource Limits</v>
      </c>
      <c r="D959" s="2898">
        <f t="shared" ref="D959:E959" si="193">D903</f>
        <v>53</v>
      </c>
      <c r="E959" t="str">
        <f t="shared" si="193"/>
        <v xml:space="preserve"> </v>
      </c>
      <c r="F959" t="str">
        <f t="shared" si="145"/>
        <v>Total Revenue Resource Limit</v>
      </c>
      <c r="S959">
        <f>'E - Resource Limits'!G65</f>
        <v>0</v>
      </c>
      <c r="U959">
        <f t="shared" si="169"/>
        <v>0</v>
      </c>
    </row>
    <row r="960" spans="1:21">
      <c r="A960" s="2895" t="str">
        <f>ORG!$S$1</f>
        <v>Apr 23</v>
      </c>
      <c r="B960" t="str">
        <f>ORG!$M$1</f>
        <v>Public Health Wales Trust</v>
      </c>
      <c r="C960" t="str">
        <f>'E - Resource Limits'!$A$5</f>
        <v>Table E - Resource Limits</v>
      </c>
      <c r="D960" s="2898">
        <f t="shared" ref="D960:E960" si="194">D904</f>
        <v>54</v>
      </c>
      <c r="E960" t="str">
        <f t="shared" si="194"/>
        <v xml:space="preserve"> </v>
      </c>
      <c r="F960" t="str">
        <f t="shared" si="145"/>
        <v>Total Revenue Resource Limit</v>
      </c>
      <c r="S960">
        <f>'E - Resource Limits'!G66</f>
        <v>0</v>
      </c>
      <c r="U960">
        <f t="shared" si="169"/>
        <v>0</v>
      </c>
    </row>
    <row r="961" spans="1:21">
      <c r="A961" s="2895" t="str">
        <f>ORG!$S$1</f>
        <v>Apr 23</v>
      </c>
      <c r="B961" t="str">
        <f>ORG!$M$1</f>
        <v>Public Health Wales Trust</v>
      </c>
      <c r="C961" t="str">
        <f>'E - Resource Limits'!$A$5</f>
        <v>Table E - Resource Limits</v>
      </c>
      <c r="D961" s="2898">
        <f t="shared" ref="D961:E961" si="195">D905</f>
        <v>55</v>
      </c>
      <c r="E961" t="str">
        <f t="shared" si="195"/>
        <v xml:space="preserve"> </v>
      </c>
      <c r="F961" t="str">
        <f t="shared" si="145"/>
        <v>Total Revenue Resource Limit</v>
      </c>
      <c r="S961">
        <f>'E - Resource Limits'!G67</f>
        <v>0</v>
      </c>
      <c r="U961">
        <f t="shared" si="169"/>
        <v>0</v>
      </c>
    </row>
    <row r="962" spans="1:21">
      <c r="A962" s="2895" t="str">
        <f>ORG!$S$1</f>
        <v>Apr 23</v>
      </c>
      <c r="B962" t="str">
        <f>ORG!$M$1</f>
        <v>Public Health Wales Trust</v>
      </c>
      <c r="C962" t="str">
        <f>'E - Resource Limits'!$A$5</f>
        <v>Table E - Resource Limits</v>
      </c>
      <c r="D962" s="2898">
        <f>D906</f>
        <v>61</v>
      </c>
      <c r="E962" t="str">
        <f>E906</f>
        <v xml:space="preserve">Capital Working Balances Request </v>
      </c>
      <c r="F962" t="str">
        <f>"Total Revenue Resource Limit"</f>
        <v>Total Revenue Resource Limit</v>
      </c>
      <c r="S962">
        <f>'E - Resource Limits'!G73</f>
        <v>0</v>
      </c>
      <c r="U962">
        <f t="shared" si="169"/>
        <v>0</v>
      </c>
    </row>
    <row r="963" spans="1:21">
      <c r="A963" s="2895" t="str">
        <f>ORG!$S$1</f>
        <v>Apr 23</v>
      </c>
      <c r="B963" t="str">
        <f>ORG!$M$1</f>
        <v>Public Health Wales Trust</v>
      </c>
      <c r="C963" t="str">
        <f>'E - Resource Limits'!$A$5</f>
        <v>Table E - Resource Limits</v>
      </c>
      <c r="D963" s="2898">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5" t="str">
        <f>ORG!$S$1</f>
        <v>Apr 23</v>
      </c>
      <c r="B964" t="str">
        <f>ORG!$M$1</f>
        <v>Public Health Wales Trust</v>
      </c>
      <c r="C964" t="str">
        <f>'E - Resource Limits'!$A$5</f>
        <v>Table E - Resource Limits</v>
      </c>
      <c r="D964" s="2898">
        <f t="shared" ref="D964:E964" si="197">D908</f>
        <v>63</v>
      </c>
      <c r="E964" t="str">
        <f t="shared" si="197"/>
        <v>Total Anticipated Funding</v>
      </c>
      <c r="F964" t="str">
        <f t="shared" si="145"/>
        <v>Total Revenue Resource Limit</v>
      </c>
      <c r="S964">
        <f>'E - Resource Limits'!G75</f>
        <v>0</v>
      </c>
      <c r="U964">
        <f t="shared" si="169"/>
        <v>0</v>
      </c>
    </row>
    <row r="965" spans="1:21">
      <c r="A965" s="2895" t="str">
        <f>ORG!$S$1</f>
        <v>Apr 23</v>
      </c>
      <c r="B965" t="str">
        <f>ORG!$M$1</f>
        <v>Public Health Wales Trust</v>
      </c>
      <c r="C965" t="str">
        <f>'E - Resource Limits'!$A$5</f>
        <v>Table E - Resource Limits</v>
      </c>
      <c r="D965" s="2898">
        <f>D909</f>
        <v>3</v>
      </c>
      <c r="E965" s="2898" t="str">
        <f>E909</f>
        <v xml:space="preserve">DEL Non Cash Depreciation - Baseline Surplus / Shortfall </v>
      </c>
      <c r="F965" t="str">
        <f>"Total Revenue Drawing Limit"</f>
        <v>Total Revenue Drawing Limit</v>
      </c>
      <c r="S965">
        <f>'E - Resource Limits'!I15</f>
        <v>0</v>
      </c>
      <c r="U965">
        <f t="shared" si="169"/>
        <v>0</v>
      </c>
    </row>
    <row r="966" spans="1:21">
      <c r="A966" s="2895" t="str">
        <f>ORG!$S$1</f>
        <v>Apr 23</v>
      </c>
      <c r="B966" t="str">
        <f>ORG!$M$1</f>
        <v>Public Health Wales Trust</v>
      </c>
      <c r="C966" t="str">
        <f>'E - Resource Limits'!$A$5</f>
        <v>Table E - Resource Limits</v>
      </c>
      <c r="D966" s="2898">
        <f t="shared" ref="D966:E966" si="198">D910</f>
        <v>4</v>
      </c>
      <c r="E966" s="2898"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5" t="str">
        <f>ORG!$S$1</f>
        <v>Apr 23</v>
      </c>
      <c r="B967" t="str">
        <f>ORG!$M$1</f>
        <v>Public Health Wales Trust</v>
      </c>
      <c r="C967" t="str">
        <f>'E - Resource Limits'!$A$5</f>
        <v>Table E - Resource Limits</v>
      </c>
      <c r="D967" s="2898">
        <f t="shared" ref="D967:E967" si="200">D911</f>
        <v>5</v>
      </c>
      <c r="E967" s="2898" t="str">
        <f t="shared" si="200"/>
        <v xml:space="preserve">DEL Non Cash Depreciation - Accelerated </v>
      </c>
      <c r="F967" t="str">
        <f t="shared" si="199"/>
        <v>Total Revenue Drawing Limit</v>
      </c>
      <c r="S967">
        <f>'E - Resource Limits'!I17</f>
        <v>0</v>
      </c>
      <c r="U967">
        <f t="shared" si="169"/>
        <v>0</v>
      </c>
    </row>
    <row r="968" spans="1:21">
      <c r="A968" s="2895" t="str">
        <f>ORG!$S$1</f>
        <v>Apr 23</v>
      </c>
      <c r="B968" t="str">
        <f>ORG!$M$1</f>
        <v>Public Health Wales Trust</v>
      </c>
      <c r="C968" t="str">
        <f>'E - Resource Limits'!$A$5</f>
        <v>Table E - Resource Limits</v>
      </c>
      <c r="D968" s="2898">
        <f t="shared" ref="D968:E968" si="201">D912</f>
        <v>6</v>
      </c>
      <c r="E968" s="2898" t="str">
        <f t="shared" si="201"/>
        <v xml:space="preserve">DEL Non Cash Depreciation - Impairment </v>
      </c>
      <c r="F968" t="str">
        <f t="shared" si="199"/>
        <v>Total Revenue Drawing Limit</v>
      </c>
      <c r="S968">
        <f>'E - Resource Limits'!I18</f>
        <v>0</v>
      </c>
      <c r="U968">
        <f t="shared" si="169"/>
        <v>0</v>
      </c>
    </row>
    <row r="969" spans="1:21">
      <c r="A969" s="2895" t="str">
        <f>ORG!$S$1</f>
        <v>Apr 23</v>
      </c>
      <c r="B969" t="str">
        <f>ORG!$M$1</f>
        <v>Public Health Wales Trust</v>
      </c>
      <c r="C969" t="str">
        <f>'E - Resource Limits'!$A$5</f>
        <v>Table E - Resource Limits</v>
      </c>
      <c r="D969" s="2898">
        <f t="shared" ref="D969:E969" si="202">D913</f>
        <v>7</v>
      </c>
      <c r="E969" s="2898" t="str">
        <f t="shared" si="202"/>
        <v xml:space="preserve">DEL Non Cash Depreciation - IFRS 16 Leases </v>
      </c>
      <c r="F969" t="str">
        <f t="shared" si="199"/>
        <v>Total Revenue Drawing Limit</v>
      </c>
      <c r="S969">
        <f>'E - Resource Limits'!I19</f>
        <v>0</v>
      </c>
      <c r="U969">
        <f t="shared" si="169"/>
        <v>0</v>
      </c>
    </row>
    <row r="970" spans="1:21">
      <c r="A970" s="2895" t="str">
        <f>ORG!$S$1</f>
        <v>Apr 23</v>
      </c>
      <c r="B970" t="str">
        <f>ORG!$M$1</f>
        <v>Public Health Wales Trust</v>
      </c>
      <c r="C970" t="str">
        <f>'E - Resource Limits'!$A$5</f>
        <v>Table E - Resource Limits</v>
      </c>
      <c r="D970" s="2898">
        <f t="shared" ref="D970:E970" si="203">D914</f>
        <v>8</v>
      </c>
      <c r="E970" s="2898" t="str">
        <f t="shared" si="203"/>
        <v xml:space="preserve">AME Non Cash Depreciation -  IFRS 16 Leases (Peppercorn) </v>
      </c>
      <c r="F970" t="str">
        <f t="shared" si="199"/>
        <v>Total Revenue Drawing Limit</v>
      </c>
      <c r="S970">
        <f>'E - Resource Limits'!I20</f>
        <v>0</v>
      </c>
      <c r="U970">
        <f t="shared" si="169"/>
        <v>0</v>
      </c>
    </row>
    <row r="971" spans="1:21">
      <c r="A971" s="2895" t="str">
        <f>ORG!$S$1</f>
        <v>Apr 23</v>
      </c>
      <c r="B971" t="str">
        <f>ORG!$M$1</f>
        <v>Public Health Wales Trust</v>
      </c>
      <c r="C971" t="str">
        <f>'E - Resource Limits'!$A$5</f>
        <v>Table E - Resource Limits</v>
      </c>
      <c r="D971" s="2898">
        <f t="shared" ref="D971:E971" si="204">D915</f>
        <v>9</v>
      </c>
      <c r="E971" s="2898" t="str">
        <f t="shared" si="204"/>
        <v xml:space="preserve">AME Non Cash Depreciation - Donated Assets </v>
      </c>
      <c r="F971" t="str">
        <f t="shared" si="199"/>
        <v>Total Revenue Drawing Limit</v>
      </c>
      <c r="S971">
        <f>'E - Resource Limits'!I21</f>
        <v>0</v>
      </c>
      <c r="U971">
        <f t="shared" si="169"/>
        <v>0</v>
      </c>
    </row>
    <row r="972" spans="1:21">
      <c r="A972" s="2895" t="str">
        <f>ORG!$S$1</f>
        <v>Apr 23</v>
      </c>
      <c r="B972" t="str">
        <f>ORG!$M$1</f>
        <v>Public Health Wales Trust</v>
      </c>
      <c r="C972" t="str">
        <f>'E - Resource Limits'!$A$5</f>
        <v>Table E - Resource Limits</v>
      </c>
      <c r="D972" s="2898">
        <f t="shared" ref="D972:E972" si="205">D916</f>
        <v>10</v>
      </c>
      <c r="E972" s="2898" t="str">
        <f t="shared" si="205"/>
        <v xml:space="preserve">AME Non Cash Depreciation - Impairment </v>
      </c>
      <c r="F972" t="str">
        <f t="shared" si="199"/>
        <v>Total Revenue Drawing Limit</v>
      </c>
      <c r="S972">
        <f>'E - Resource Limits'!I22</f>
        <v>0</v>
      </c>
      <c r="U972">
        <f t="shared" si="169"/>
        <v>0</v>
      </c>
    </row>
    <row r="973" spans="1:21">
      <c r="A973" s="2895" t="str">
        <f>ORG!$S$1</f>
        <v>Apr 23</v>
      </c>
      <c r="B973" t="str">
        <f>ORG!$M$1</f>
        <v>Public Health Wales Trust</v>
      </c>
      <c r="C973" t="str">
        <f>'E - Resource Limits'!$A$5</f>
        <v>Table E - Resource Limits</v>
      </c>
      <c r="D973" s="2898">
        <f t="shared" ref="D973:E973" si="206">D917</f>
        <v>11</v>
      </c>
      <c r="E973" s="2898" t="str">
        <f t="shared" si="206"/>
        <v xml:space="preserve">AME Non Cash Depreciation - Impairment Reversals </v>
      </c>
      <c r="F973" t="str">
        <f t="shared" si="199"/>
        <v>Total Revenue Drawing Limit</v>
      </c>
      <c r="S973">
        <f>'E - Resource Limits'!I23</f>
        <v>0</v>
      </c>
      <c r="U973">
        <f t="shared" si="169"/>
        <v>0</v>
      </c>
    </row>
    <row r="974" spans="1:21">
      <c r="A974" s="2895" t="str">
        <f>ORG!$S$1</f>
        <v>Apr 23</v>
      </c>
      <c r="B974" t="str">
        <f>ORG!$M$1</f>
        <v>Public Health Wales Trust</v>
      </c>
      <c r="C974" t="str">
        <f>'E - Resource Limits'!$A$5</f>
        <v>Table E - Resource Limits</v>
      </c>
      <c r="D974" s="2898">
        <f t="shared" ref="D974:E974" si="207">D918</f>
        <v>12</v>
      </c>
      <c r="E974" s="2898" t="str">
        <f t="shared" si="207"/>
        <v xml:space="preserve">Removal of Donated Assets / Government Grant Receipts </v>
      </c>
      <c r="F974" t="str">
        <f t="shared" si="199"/>
        <v>Total Revenue Drawing Limit</v>
      </c>
      <c r="S974">
        <f>'E - Resource Limits'!I24</f>
        <v>0</v>
      </c>
      <c r="U974">
        <f t="shared" si="169"/>
        <v>0</v>
      </c>
    </row>
    <row r="975" spans="1:21">
      <c r="A975" s="2895" t="str">
        <f>ORG!$S$1</f>
        <v>Apr 23</v>
      </c>
      <c r="B975" t="str">
        <f>ORG!$M$1</f>
        <v>Public Health Wales Trust</v>
      </c>
      <c r="C975" t="str">
        <f>'E - Resource Limits'!$A$5</f>
        <v>Table E - Resource Limits</v>
      </c>
      <c r="D975" s="2898">
        <f t="shared" ref="D975:E975" si="208">D919</f>
        <v>13</v>
      </c>
      <c r="E975" s="2898" t="str">
        <f t="shared" si="208"/>
        <v xml:space="preserve">Total COVID-19 (see below analysis) </v>
      </c>
      <c r="F975" t="str">
        <f t="shared" si="199"/>
        <v>Total Revenue Drawing Limit</v>
      </c>
      <c r="S975">
        <f>'E - Resource Limits'!I25</f>
        <v>0</v>
      </c>
      <c r="U975">
        <f t="shared" si="169"/>
        <v>0</v>
      </c>
    </row>
    <row r="976" spans="1:21">
      <c r="A976" s="2895" t="str">
        <f>ORG!$S$1</f>
        <v>Apr 23</v>
      </c>
      <c r="B976" t="str">
        <f>ORG!$M$1</f>
        <v>Public Health Wales Trust</v>
      </c>
      <c r="C976" t="str">
        <f>'E - Resource Limits'!$A$5</f>
        <v>Table E - Resource Limits</v>
      </c>
      <c r="D976" s="2898">
        <f t="shared" ref="D976:E976" si="209">D920</f>
        <v>14</v>
      </c>
      <c r="E976" s="2898" t="str">
        <f t="shared" si="209"/>
        <v xml:space="preserve">Removal of IFRS-16 Leases (Revenue) </v>
      </c>
      <c r="F976" t="str">
        <f t="shared" si="199"/>
        <v>Total Revenue Drawing Limit</v>
      </c>
      <c r="S976">
        <f>'E - Resource Limits'!I26</f>
        <v>0</v>
      </c>
      <c r="U976">
        <f t="shared" si="169"/>
        <v>0</v>
      </c>
    </row>
    <row r="977" spans="1:21">
      <c r="A977" s="2895" t="str">
        <f>ORG!$S$1</f>
        <v>Apr 23</v>
      </c>
      <c r="B977" t="str">
        <f>ORG!$M$1</f>
        <v>Public Health Wales Trust</v>
      </c>
      <c r="C977" t="str">
        <f>'E - Resource Limits'!$A$5</f>
        <v>Table E - Resource Limits</v>
      </c>
      <c r="D977" s="2898">
        <f t="shared" ref="D977:E977" si="210">D921</f>
        <v>15</v>
      </c>
      <c r="E977" s="2898" t="str">
        <f t="shared" si="210"/>
        <v xml:space="preserve">Real Living Wage (Care Homes) </v>
      </c>
      <c r="F977" t="str">
        <f t="shared" si="199"/>
        <v>Total Revenue Drawing Limit</v>
      </c>
      <c r="S977">
        <f>'E - Resource Limits'!I27</f>
        <v>0</v>
      </c>
      <c r="U977">
        <f t="shared" si="169"/>
        <v>0</v>
      </c>
    </row>
    <row r="978" spans="1:21">
      <c r="A978" s="2895" t="str">
        <f>ORG!$S$1</f>
        <v>Apr 23</v>
      </c>
      <c r="B978" t="str">
        <f>ORG!$M$1</f>
        <v>Public Health Wales Trust</v>
      </c>
      <c r="C978" t="str">
        <f>'E - Resource Limits'!$A$5</f>
        <v>Table E - Resource Limits</v>
      </c>
      <c r="D978" s="2898">
        <f t="shared" ref="D978:E978" si="211">D922</f>
        <v>16</v>
      </c>
      <c r="E978" s="2898" t="str">
        <f t="shared" si="211"/>
        <v xml:space="preserve"> </v>
      </c>
      <c r="F978" t="str">
        <f t="shared" si="199"/>
        <v>Total Revenue Drawing Limit</v>
      </c>
      <c r="S978">
        <f>'E - Resource Limits'!I28</f>
        <v>0</v>
      </c>
      <c r="U978">
        <f t="shared" si="169"/>
        <v>0</v>
      </c>
    </row>
    <row r="979" spans="1:21">
      <c r="A979" s="2895" t="str">
        <f>ORG!$S$1</f>
        <v>Apr 23</v>
      </c>
      <c r="B979" t="str">
        <f>ORG!$M$1</f>
        <v>Public Health Wales Trust</v>
      </c>
      <c r="C979" t="str">
        <f>'E - Resource Limits'!$A$5</f>
        <v>Table E - Resource Limits</v>
      </c>
      <c r="D979" s="2898">
        <f t="shared" ref="D979:E979" si="212">D923</f>
        <v>17</v>
      </c>
      <c r="E979" s="2898" t="str">
        <f t="shared" si="212"/>
        <v xml:space="preserve"> </v>
      </c>
      <c r="F979" t="str">
        <f t="shared" si="199"/>
        <v>Total Revenue Drawing Limit</v>
      </c>
      <c r="S979">
        <f>'E - Resource Limits'!I29</f>
        <v>0</v>
      </c>
      <c r="U979">
        <f t="shared" si="169"/>
        <v>0</v>
      </c>
    </row>
    <row r="980" spans="1:21">
      <c r="A980" s="2895" t="str">
        <f>ORG!$S$1</f>
        <v>Apr 23</v>
      </c>
      <c r="B980" t="str">
        <f>ORG!$M$1</f>
        <v>Public Health Wales Trust</v>
      </c>
      <c r="C980" t="str">
        <f>'E - Resource Limits'!$A$5</f>
        <v>Table E - Resource Limits</v>
      </c>
      <c r="D980" s="2898">
        <f t="shared" ref="D980:E980" si="213">D924</f>
        <v>18</v>
      </c>
      <c r="E980" s="2898" t="str">
        <f t="shared" si="213"/>
        <v xml:space="preserve"> </v>
      </c>
      <c r="F980" t="str">
        <f t="shared" si="199"/>
        <v>Total Revenue Drawing Limit</v>
      </c>
      <c r="S980">
        <f>'E - Resource Limits'!I30</f>
        <v>0</v>
      </c>
      <c r="U980">
        <f t="shared" si="169"/>
        <v>0</v>
      </c>
    </row>
    <row r="981" spans="1:21">
      <c r="A981" s="2895" t="str">
        <f>ORG!$S$1</f>
        <v>Apr 23</v>
      </c>
      <c r="B981" t="str">
        <f>ORG!$M$1</f>
        <v>Public Health Wales Trust</v>
      </c>
      <c r="C981" t="str">
        <f>'E - Resource Limits'!$A$5</f>
        <v>Table E - Resource Limits</v>
      </c>
      <c r="D981" s="2898">
        <f t="shared" ref="D981:E981" si="214">D925</f>
        <v>19</v>
      </c>
      <c r="E981" s="2898" t="str">
        <f t="shared" si="214"/>
        <v xml:space="preserve"> </v>
      </c>
      <c r="F981" t="str">
        <f t="shared" si="199"/>
        <v>Total Revenue Drawing Limit</v>
      </c>
      <c r="S981">
        <f>'E - Resource Limits'!I31</f>
        <v>0</v>
      </c>
      <c r="U981">
        <f t="shared" si="169"/>
        <v>0</v>
      </c>
    </row>
    <row r="982" spans="1:21">
      <c r="A982" s="2895" t="str">
        <f>ORG!$S$1</f>
        <v>Apr 23</v>
      </c>
      <c r="B982" t="str">
        <f>ORG!$M$1</f>
        <v>Public Health Wales Trust</v>
      </c>
      <c r="C982" t="str">
        <f>'E - Resource Limits'!$A$5</f>
        <v>Table E - Resource Limits</v>
      </c>
      <c r="D982" s="2898">
        <f t="shared" ref="D982:E982" si="215">D926</f>
        <v>20</v>
      </c>
      <c r="E982" s="2898" t="str">
        <f t="shared" si="215"/>
        <v xml:space="preserve"> </v>
      </c>
      <c r="F982" t="str">
        <f t="shared" si="199"/>
        <v>Total Revenue Drawing Limit</v>
      </c>
      <c r="S982">
        <f>'E - Resource Limits'!I32</f>
        <v>0</v>
      </c>
      <c r="U982">
        <f t="shared" si="169"/>
        <v>0</v>
      </c>
    </row>
    <row r="983" spans="1:21">
      <c r="A983" s="2895" t="str">
        <f>ORG!$S$1</f>
        <v>Apr 23</v>
      </c>
      <c r="B983" t="str">
        <f>ORG!$M$1</f>
        <v>Public Health Wales Trust</v>
      </c>
      <c r="C983" t="str">
        <f>'E - Resource Limits'!$A$5</f>
        <v>Table E - Resource Limits</v>
      </c>
      <c r="D983" s="2898">
        <f t="shared" ref="D983:E983" si="216">D927</f>
        <v>21</v>
      </c>
      <c r="E983" s="2898" t="str">
        <f t="shared" si="216"/>
        <v xml:space="preserve"> </v>
      </c>
      <c r="F983" t="str">
        <f t="shared" si="199"/>
        <v>Total Revenue Drawing Limit</v>
      </c>
      <c r="S983">
        <f>'E - Resource Limits'!I33</f>
        <v>0</v>
      </c>
      <c r="U983">
        <f t="shared" si="169"/>
        <v>0</v>
      </c>
    </row>
    <row r="984" spans="1:21">
      <c r="A984" s="2895" t="str">
        <f>ORG!$S$1</f>
        <v>Apr 23</v>
      </c>
      <c r="B984" t="str">
        <f>ORG!$M$1</f>
        <v>Public Health Wales Trust</v>
      </c>
      <c r="C984" t="str">
        <f>'E - Resource Limits'!$A$5</f>
        <v>Table E - Resource Limits</v>
      </c>
      <c r="D984" s="2898">
        <f t="shared" ref="D984:E984" si="217">D928</f>
        <v>22</v>
      </c>
      <c r="E984" s="2898" t="str">
        <f t="shared" si="217"/>
        <v xml:space="preserve"> </v>
      </c>
      <c r="F984" t="str">
        <f t="shared" si="199"/>
        <v>Total Revenue Drawing Limit</v>
      </c>
      <c r="S984">
        <f>'E - Resource Limits'!I34</f>
        <v>0</v>
      </c>
      <c r="U984">
        <f t="shared" si="169"/>
        <v>0</v>
      </c>
    </row>
    <row r="985" spans="1:21">
      <c r="A985" s="2895" t="str">
        <f>ORG!$S$1</f>
        <v>Apr 23</v>
      </c>
      <c r="B985" t="str">
        <f>ORG!$M$1</f>
        <v>Public Health Wales Trust</v>
      </c>
      <c r="C985" t="str">
        <f>'E - Resource Limits'!$A$5</f>
        <v>Table E - Resource Limits</v>
      </c>
      <c r="D985" s="2898">
        <f t="shared" ref="D985:E985" si="218">D929</f>
        <v>23</v>
      </c>
      <c r="E985" s="2898" t="str">
        <f t="shared" si="218"/>
        <v xml:space="preserve"> </v>
      </c>
      <c r="F985" t="str">
        <f t="shared" si="199"/>
        <v>Total Revenue Drawing Limit</v>
      </c>
      <c r="S985">
        <f>'E - Resource Limits'!I35</f>
        <v>0</v>
      </c>
      <c r="U985">
        <f t="shared" si="169"/>
        <v>0</v>
      </c>
    </row>
    <row r="986" spans="1:21">
      <c r="A986" s="2895" t="str">
        <f>ORG!$S$1</f>
        <v>Apr 23</v>
      </c>
      <c r="B986" t="str">
        <f>ORG!$M$1</f>
        <v>Public Health Wales Trust</v>
      </c>
      <c r="C986" t="str">
        <f>'E - Resource Limits'!$A$5</f>
        <v>Table E - Resource Limits</v>
      </c>
      <c r="D986" s="2898">
        <f t="shared" ref="D986:E986" si="219">D930</f>
        <v>24</v>
      </c>
      <c r="E986" s="2898" t="str">
        <f t="shared" si="219"/>
        <v xml:space="preserve"> </v>
      </c>
      <c r="F986" t="str">
        <f t="shared" si="199"/>
        <v>Total Revenue Drawing Limit</v>
      </c>
      <c r="S986">
        <f>'E - Resource Limits'!I36</f>
        <v>0</v>
      </c>
      <c r="U986">
        <f t="shared" si="169"/>
        <v>0</v>
      </c>
    </row>
    <row r="987" spans="1:21">
      <c r="A987" s="2895" t="str">
        <f>ORG!$S$1</f>
        <v>Apr 23</v>
      </c>
      <c r="B987" t="str">
        <f>ORG!$M$1</f>
        <v>Public Health Wales Trust</v>
      </c>
      <c r="C987" t="str">
        <f>'E - Resource Limits'!$A$5</f>
        <v>Table E - Resource Limits</v>
      </c>
      <c r="D987" s="2898">
        <f t="shared" ref="D987:E987" si="220">D931</f>
        <v>25</v>
      </c>
      <c r="E987" s="2898" t="str">
        <f t="shared" si="220"/>
        <v xml:space="preserve"> </v>
      </c>
      <c r="F987" t="str">
        <f t="shared" si="199"/>
        <v>Total Revenue Drawing Limit</v>
      </c>
      <c r="S987">
        <f>'E - Resource Limits'!I37</f>
        <v>0</v>
      </c>
      <c r="U987">
        <f t="shared" si="169"/>
        <v>0</v>
      </c>
    </row>
    <row r="988" spans="1:21">
      <c r="A988" s="2895" t="str">
        <f>ORG!$S$1</f>
        <v>Apr 23</v>
      </c>
      <c r="B988" t="str">
        <f>ORG!$M$1</f>
        <v>Public Health Wales Trust</v>
      </c>
      <c r="C988" t="str">
        <f>'E - Resource Limits'!$A$5</f>
        <v>Table E - Resource Limits</v>
      </c>
      <c r="D988" s="2898">
        <f t="shared" ref="D988:E988" si="221">D932</f>
        <v>26</v>
      </c>
      <c r="E988" s="2898" t="str">
        <f t="shared" si="221"/>
        <v xml:space="preserve"> </v>
      </c>
      <c r="F988" t="str">
        <f t="shared" si="199"/>
        <v>Total Revenue Drawing Limit</v>
      </c>
      <c r="S988">
        <f>'E - Resource Limits'!I38</f>
        <v>0</v>
      </c>
      <c r="U988">
        <f t="shared" si="169"/>
        <v>0</v>
      </c>
    </row>
    <row r="989" spans="1:21">
      <c r="A989" s="2895" t="str">
        <f>ORG!$S$1</f>
        <v>Apr 23</v>
      </c>
      <c r="B989" t="str">
        <f>ORG!$M$1</f>
        <v>Public Health Wales Trust</v>
      </c>
      <c r="C989" t="str">
        <f>'E - Resource Limits'!$A$5</f>
        <v>Table E - Resource Limits</v>
      </c>
      <c r="D989" s="2898">
        <f t="shared" ref="D989:E989" si="222">D933</f>
        <v>27</v>
      </c>
      <c r="E989" s="2898" t="str">
        <f t="shared" si="222"/>
        <v xml:space="preserve"> </v>
      </c>
      <c r="F989" t="str">
        <f t="shared" si="199"/>
        <v>Total Revenue Drawing Limit</v>
      </c>
      <c r="S989">
        <f>'E - Resource Limits'!I39</f>
        <v>0</v>
      </c>
      <c r="U989">
        <f t="shared" si="169"/>
        <v>0</v>
      </c>
    </row>
    <row r="990" spans="1:21">
      <c r="A990" s="2895" t="str">
        <f>ORG!$S$1</f>
        <v>Apr 23</v>
      </c>
      <c r="B990" t="str">
        <f>ORG!$M$1</f>
        <v>Public Health Wales Trust</v>
      </c>
      <c r="C990" t="str">
        <f>'E - Resource Limits'!$A$5</f>
        <v>Table E - Resource Limits</v>
      </c>
      <c r="D990" s="2898">
        <f t="shared" ref="D990:E990" si="223">D934</f>
        <v>28</v>
      </c>
      <c r="E990" s="2898" t="str">
        <f t="shared" si="223"/>
        <v xml:space="preserve"> </v>
      </c>
      <c r="F990" t="str">
        <f t="shared" si="199"/>
        <v>Total Revenue Drawing Limit</v>
      </c>
      <c r="S990">
        <f>'E - Resource Limits'!I40</f>
        <v>0</v>
      </c>
      <c r="U990">
        <f t="shared" si="169"/>
        <v>0</v>
      </c>
    </row>
    <row r="991" spans="1:21">
      <c r="A991" s="2895" t="str">
        <f>ORG!$S$1</f>
        <v>Apr 23</v>
      </c>
      <c r="B991" t="str">
        <f>ORG!$M$1</f>
        <v>Public Health Wales Trust</v>
      </c>
      <c r="C991" t="str">
        <f>'E - Resource Limits'!$A$5</f>
        <v>Table E - Resource Limits</v>
      </c>
      <c r="D991" s="2898">
        <f t="shared" ref="D991:E991" si="224">D935</f>
        <v>29</v>
      </c>
      <c r="E991" s="2898" t="str">
        <f t="shared" si="224"/>
        <v xml:space="preserve"> </v>
      </c>
      <c r="F991" t="str">
        <f t="shared" si="199"/>
        <v>Total Revenue Drawing Limit</v>
      </c>
      <c r="S991">
        <f>'E - Resource Limits'!I41</f>
        <v>0</v>
      </c>
      <c r="U991">
        <f t="shared" si="169"/>
        <v>0</v>
      </c>
    </row>
    <row r="992" spans="1:21">
      <c r="A992" s="2895" t="str">
        <f>ORG!$S$1</f>
        <v>Apr 23</v>
      </c>
      <c r="B992" t="str">
        <f>ORG!$M$1</f>
        <v>Public Health Wales Trust</v>
      </c>
      <c r="C992" t="str">
        <f>'E - Resource Limits'!$A$5</f>
        <v>Table E - Resource Limits</v>
      </c>
      <c r="D992" s="2898">
        <f t="shared" ref="D992:E992" si="225">D936</f>
        <v>30</v>
      </c>
      <c r="E992" s="2898" t="str">
        <f t="shared" si="225"/>
        <v xml:space="preserve"> </v>
      </c>
      <c r="F992" t="str">
        <f t="shared" si="199"/>
        <v>Total Revenue Drawing Limit</v>
      </c>
      <c r="S992">
        <f>'E - Resource Limits'!I42</f>
        <v>0</v>
      </c>
      <c r="U992">
        <f t="shared" si="169"/>
        <v>0</v>
      </c>
    </row>
    <row r="993" spans="1:21">
      <c r="A993" s="2895" t="str">
        <f>ORG!$S$1</f>
        <v>Apr 23</v>
      </c>
      <c r="B993" t="str">
        <f>ORG!$M$1</f>
        <v>Public Health Wales Trust</v>
      </c>
      <c r="C993" t="str">
        <f>'E - Resource Limits'!$A$5</f>
        <v>Table E - Resource Limits</v>
      </c>
      <c r="D993" s="2898">
        <f t="shared" ref="D993:E993" si="226">D937</f>
        <v>31</v>
      </c>
      <c r="E993" s="2898" t="str">
        <f t="shared" si="226"/>
        <v xml:space="preserve"> </v>
      </c>
      <c r="F993" t="str">
        <f t="shared" si="199"/>
        <v>Total Revenue Drawing Limit</v>
      </c>
      <c r="S993">
        <f>'E - Resource Limits'!I43</f>
        <v>0</v>
      </c>
      <c r="U993">
        <f t="shared" si="169"/>
        <v>0</v>
      </c>
    </row>
    <row r="994" spans="1:21">
      <c r="A994" s="2895" t="str">
        <f>ORG!$S$1</f>
        <v>Apr 23</v>
      </c>
      <c r="B994" t="str">
        <f>ORG!$M$1</f>
        <v>Public Health Wales Trust</v>
      </c>
      <c r="C994" t="str">
        <f>'E - Resource Limits'!$A$5</f>
        <v>Table E - Resource Limits</v>
      </c>
      <c r="D994" s="2898">
        <f t="shared" ref="D994:E994" si="227">D938</f>
        <v>32</v>
      </c>
      <c r="E994" s="2898" t="str">
        <f t="shared" si="227"/>
        <v xml:space="preserve"> </v>
      </c>
      <c r="F994" t="str">
        <f t="shared" si="199"/>
        <v>Total Revenue Drawing Limit</v>
      </c>
      <c r="S994">
        <f>'E - Resource Limits'!I44</f>
        <v>0</v>
      </c>
      <c r="U994">
        <f t="shared" si="169"/>
        <v>0</v>
      </c>
    </row>
    <row r="995" spans="1:21">
      <c r="A995" s="2895" t="str">
        <f>ORG!$S$1</f>
        <v>Apr 23</v>
      </c>
      <c r="B995" t="str">
        <f>ORG!$M$1</f>
        <v>Public Health Wales Trust</v>
      </c>
      <c r="C995" t="str">
        <f>'E - Resource Limits'!$A$5</f>
        <v>Table E - Resource Limits</v>
      </c>
      <c r="D995" s="2898">
        <f t="shared" ref="D995:E995" si="228">D939</f>
        <v>33</v>
      </c>
      <c r="E995" s="2898" t="str">
        <f t="shared" si="228"/>
        <v xml:space="preserve"> </v>
      </c>
      <c r="F995" t="str">
        <f t="shared" si="199"/>
        <v>Total Revenue Drawing Limit</v>
      </c>
      <c r="S995">
        <f>'E - Resource Limits'!I45</f>
        <v>0</v>
      </c>
      <c r="U995">
        <f t="shared" si="169"/>
        <v>0</v>
      </c>
    </row>
    <row r="996" spans="1:21">
      <c r="A996" s="2895" t="str">
        <f>ORG!$S$1</f>
        <v>Apr 23</v>
      </c>
      <c r="B996" t="str">
        <f>ORG!$M$1</f>
        <v>Public Health Wales Trust</v>
      </c>
      <c r="C996" t="str">
        <f>'E - Resource Limits'!$A$5</f>
        <v>Table E - Resource Limits</v>
      </c>
      <c r="D996" s="2898">
        <f t="shared" ref="D996:E996" si="229">D940</f>
        <v>34</v>
      </c>
      <c r="E996" s="2898" t="str">
        <f t="shared" si="229"/>
        <v xml:space="preserve"> </v>
      </c>
      <c r="F996" t="str">
        <f t="shared" si="199"/>
        <v>Total Revenue Drawing Limit</v>
      </c>
      <c r="S996">
        <f>'E - Resource Limits'!I46</f>
        <v>0</v>
      </c>
      <c r="U996">
        <f t="shared" si="169"/>
        <v>0</v>
      </c>
    </row>
    <row r="997" spans="1:21">
      <c r="A997" s="2895" t="str">
        <f>ORG!$S$1</f>
        <v>Apr 23</v>
      </c>
      <c r="B997" t="str">
        <f>ORG!$M$1</f>
        <v>Public Health Wales Trust</v>
      </c>
      <c r="C997" t="str">
        <f>'E - Resource Limits'!$A$5</f>
        <v>Table E - Resource Limits</v>
      </c>
      <c r="D997" s="2898">
        <f t="shared" ref="D997:E997" si="230">D941</f>
        <v>35</v>
      </c>
      <c r="E997" s="2898" t="str">
        <f t="shared" si="230"/>
        <v xml:space="preserve"> </v>
      </c>
      <c r="F997" t="str">
        <f t="shared" si="199"/>
        <v>Total Revenue Drawing Limit</v>
      </c>
      <c r="S997">
        <f>'E - Resource Limits'!I47</f>
        <v>0</v>
      </c>
      <c r="U997">
        <f t="shared" ref="U997:U1060" si="231">S997+T997</f>
        <v>0</v>
      </c>
    </row>
    <row r="998" spans="1:21">
      <c r="A998" s="2895" t="str">
        <f>ORG!$S$1</f>
        <v>Apr 23</v>
      </c>
      <c r="B998" t="str">
        <f>ORG!$M$1</f>
        <v>Public Health Wales Trust</v>
      </c>
      <c r="C998" t="str">
        <f>'E - Resource Limits'!$A$5</f>
        <v>Table E - Resource Limits</v>
      </c>
      <c r="D998" s="2898">
        <f t="shared" ref="D998:E998" si="232">D942</f>
        <v>36</v>
      </c>
      <c r="E998" s="2898" t="str">
        <f t="shared" si="232"/>
        <v xml:space="preserve"> </v>
      </c>
      <c r="F998" t="str">
        <f t="shared" si="199"/>
        <v>Total Revenue Drawing Limit</v>
      </c>
      <c r="S998">
        <f>'E - Resource Limits'!I48</f>
        <v>0</v>
      </c>
      <c r="U998">
        <f t="shared" si="231"/>
        <v>0</v>
      </c>
    </row>
    <row r="999" spans="1:21">
      <c r="A999" s="2895" t="str">
        <f>ORG!$S$1</f>
        <v>Apr 23</v>
      </c>
      <c r="B999" t="str">
        <f>ORG!$M$1</f>
        <v>Public Health Wales Trust</v>
      </c>
      <c r="C999" t="str">
        <f>'E - Resource Limits'!$A$5</f>
        <v>Table E - Resource Limits</v>
      </c>
      <c r="D999" s="2898">
        <f t="shared" ref="D999:E999" si="233">D943</f>
        <v>37</v>
      </c>
      <c r="E999" s="2898" t="str">
        <f t="shared" si="233"/>
        <v xml:space="preserve"> </v>
      </c>
      <c r="F999" t="str">
        <f t="shared" si="199"/>
        <v>Total Revenue Drawing Limit</v>
      </c>
      <c r="S999">
        <f>'E - Resource Limits'!I49</f>
        <v>0</v>
      </c>
      <c r="U999">
        <f t="shared" si="231"/>
        <v>0</v>
      </c>
    </row>
    <row r="1000" spans="1:21">
      <c r="A1000" s="2895" t="str">
        <f>ORG!$S$1</f>
        <v>Apr 23</v>
      </c>
      <c r="B1000" t="str">
        <f>ORG!$M$1</f>
        <v>Public Health Wales Trust</v>
      </c>
      <c r="C1000" t="str">
        <f>'E - Resource Limits'!$A$5</f>
        <v>Table E - Resource Limits</v>
      </c>
      <c r="D1000" s="2898">
        <f t="shared" ref="D1000:E1000" si="234">D944</f>
        <v>38</v>
      </c>
      <c r="E1000" s="2898" t="str">
        <f t="shared" si="234"/>
        <v xml:space="preserve"> </v>
      </c>
      <c r="F1000" t="str">
        <f t="shared" si="199"/>
        <v>Total Revenue Drawing Limit</v>
      </c>
      <c r="S1000">
        <f>'E - Resource Limits'!I50</f>
        <v>0</v>
      </c>
      <c r="U1000">
        <f t="shared" si="231"/>
        <v>0</v>
      </c>
    </row>
    <row r="1001" spans="1:21">
      <c r="A1001" s="2895" t="str">
        <f>ORG!$S$1</f>
        <v>Apr 23</v>
      </c>
      <c r="B1001" t="str">
        <f>ORG!$M$1</f>
        <v>Public Health Wales Trust</v>
      </c>
      <c r="C1001" t="str">
        <f>'E - Resource Limits'!$A$5</f>
        <v>Table E - Resource Limits</v>
      </c>
      <c r="D1001" s="2898">
        <f t="shared" ref="D1001:E1001" si="235">D945</f>
        <v>39</v>
      </c>
      <c r="E1001" s="2898" t="str">
        <f t="shared" si="235"/>
        <v xml:space="preserve"> </v>
      </c>
      <c r="F1001" t="str">
        <f t="shared" si="199"/>
        <v>Total Revenue Drawing Limit</v>
      </c>
      <c r="S1001">
        <f>'E - Resource Limits'!I51</f>
        <v>0</v>
      </c>
      <c r="U1001">
        <f t="shared" si="231"/>
        <v>0</v>
      </c>
    </row>
    <row r="1002" spans="1:21">
      <c r="A1002" s="2895" t="str">
        <f>ORG!$S$1</f>
        <v>Apr 23</v>
      </c>
      <c r="B1002" t="str">
        <f>ORG!$M$1</f>
        <v>Public Health Wales Trust</v>
      </c>
      <c r="C1002" t="str">
        <f>'E - Resource Limits'!$A$5</f>
        <v>Table E - Resource Limits</v>
      </c>
      <c r="D1002" s="2898">
        <f t="shared" ref="D1002:E1002" si="236">D946</f>
        <v>40</v>
      </c>
      <c r="E1002" s="2898" t="str">
        <f t="shared" si="236"/>
        <v xml:space="preserve"> </v>
      </c>
      <c r="F1002" t="str">
        <f t="shared" si="199"/>
        <v>Total Revenue Drawing Limit</v>
      </c>
      <c r="S1002">
        <f>'E - Resource Limits'!I52</f>
        <v>0</v>
      </c>
      <c r="U1002">
        <f t="shared" si="231"/>
        <v>0</v>
      </c>
    </row>
    <row r="1003" spans="1:21">
      <c r="A1003" s="2895" t="str">
        <f>ORG!$S$1</f>
        <v>Apr 23</v>
      </c>
      <c r="B1003" t="str">
        <f>ORG!$M$1</f>
        <v>Public Health Wales Trust</v>
      </c>
      <c r="C1003" t="str">
        <f>'E - Resource Limits'!$A$5</f>
        <v>Table E - Resource Limits</v>
      </c>
      <c r="D1003" s="2898">
        <f t="shared" ref="D1003:E1003" si="237">D947</f>
        <v>41</v>
      </c>
      <c r="E1003" s="2898" t="str">
        <f t="shared" si="237"/>
        <v xml:space="preserve"> </v>
      </c>
      <c r="F1003" t="str">
        <f t="shared" si="199"/>
        <v>Total Revenue Drawing Limit</v>
      </c>
      <c r="S1003">
        <f>'E - Resource Limits'!I53</f>
        <v>0</v>
      </c>
      <c r="U1003">
        <f t="shared" si="231"/>
        <v>0</v>
      </c>
    </row>
    <row r="1004" spans="1:21">
      <c r="A1004" s="2895" t="str">
        <f>ORG!$S$1</f>
        <v>Apr 23</v>
      </c>
      <c r="B1004" t="str">
        <f>ORG!$M$1</f>
        <v>Public Health Wales Trust</v>
      </c>
      <c r="C1004" t="str">
        <f>'E - Resource Limits'!$A$5</f>
        <v>Table E - Resource Limits</v>
      </c>
      <c r="D1004" s="2898">
        <f t="shared" ref="D1004:E1004" si="238">D948</f>
        <v>42</v>
      </c>
      <c r="E1004" s="2898" t="str">
        <f t="shared" si="238"/>
        <v xml:space="preserve"> </v>
      </c>
      <c r="F1004" t="str">
        <f t="shared" si="199"/>
        <v>Total Revenue Drawing Limit</v>
      </c>
      <c r="S1004">
        <f>'E - Resource Limits'!I54</f>
        <v>0</v>
      </c>
      <c r="U1004">
        <f t="shared" si="231"/>
        <v>0</v>
      </c>
    </row>
    <row r="1005" spans="1:21">
      <c r="A1005" s="2895" t="str">
        <f>ORG!$S$1</f>
        <v>Apr 23</v>
      </c>
      <c r="B1005" t="str">
        <f>ORG!$M$1</f>
        <v>Public Health Wales Trust</v>
      </c>
      <c r="C1005" t="str">
        <f>'E - Resource Limits'!$A$5</f>
        <v>Table E - Resource Limits</v>
      </c>
      <c r="D1005" s="2898">
        <f t="shared" ref="D1005:E1005" si="239">D949</f>
        <v>43</v>
      </c>
      <c r="E1005" s="2898" t="str">
        <f t="shared" si="239"/>
        <v xml:space="preserve"> </v>
      </c>
      <c r="F1005" t="str">
        <f t="shared" si="199"/>
        <v>Total Revenue Drawing Limit</v>
      </c>
      <c r="S1005">
        <f>'E - Resource Limits'!I55</f>
        <v>0</v>
      </c>
      <c r="U1005">
        <f t="shared" si="231"/>
        <v>0</v>
      </c>
    </row>
    <row r="1006" spans="1:21">
      <c r="A1006" s="2895" t="str">
        <f>ORG!$S$1</f>
        <v>Apr 23</v>
      </c>
      <c r="B1006" t="str">
        <f>ORG!$M$1</f>
        <v>Public Health Wales Trust</v>
      </c>
      <c r="C1006" t="str">
        <f>'E - Resource Limits'!$A$5</f>
        <v>Table E - Resource Limits</v>
      </c>
      <c r="D1006" s="2898">
        <f>D950</f>
        <v>44</v>
      </c>
      <c r="E1006" s="2898" t="str">
        <f>E950</f>
        <v xml:space="preserve"> </v>
      </c>
      <c r="F1006" t="str">
        <f>"Total Revenue Drawing Limit"</f>
        <v>Total Revenue Drawing Limit</v>
      </c>
      <c r="S1006">
        <f>'E - Resource Limits'!I56</f>
        <v>0</v>
      </c>
      <c r="U1006">
        <f t="shared" si="231"/>
        <v>0</v>
      </c>
    </row>
    <row r="1007" spans="1:21">
      <c r="A1007" s="2895" t="str">
        <f>ORG!$S$1</f>
        <v>Apr 23</v>
      </c>
      <c r="B1007" t="str">
        <f>ORG!$M$1</f>
        <v>Public Health Wales Trust</v>
      </c>
      <c r="C1007" t="str">
        <f>'E - Resource Limits'!$A$5</f>
        <v>Table E - Resource Limits</v>
      </c>
      <c r="D1007" s="2898">
        <f t="shared" ref="D1007:E1007" si="240">D951</f>
        <v>45</v>
      </c>
      <c r="E1007" s="2898" t="str">
        <f t="shared" si="240"/>
        <v xml:space="preserve"> </v>
      </c>
      <c r="F1007" t="str">
        <f t="shared" si="199"/>
        <v>Total Revenue Drawing Limit</v>
      </c>
      <c r="S1007">
        <f>'E - Resource Limits'!I57</f>
        <v>0</v>
      </c>
      <c r="U1007">
        <f t="shared" si="231"/>
        <v>0</v>
      </c>
    </row>
    <row r="1008" spans="1:21">
      <c r="A1008" s="2895" t="str">
        <f>ORG!$S$1</f>
        <v>Apr 23</v>
      </c>
      <c r="B1008" t="str">
        <f>ORG!$M$1</f>
        <v>Public Health Wales Trust</v>
      </c>
      <c r="C1008" t="str">
        <f>'E - Resource Limits'!$A$5</f>
        <v>Table E - Resource Limits</v>
      </c>
      <c r="D1008" s="2898">
        <f t="shared" ref="D1008:E1008" si="241">D952</f>
        <v>46</v>
      </c>
      <c r="E1008" s="2898" t="str">
        <f t="shared" si="241"/>
        <v xml:space="preserve"> </v>
      </c>
      <c r="F1008" t="str">
        <f t="shared" si="199"/>
        <v>Total Revenue Drawing Limit</v>
      </c>
      <c r="S1008">
        <f>'E - Resource Limits'!I58</f>
        <v>0</v>
      </c>
      <c r="U1008">
        <f t="shared" si="231"/>
        <v>0</v>
      </c>
    </row>
    <row r="1009" spans="1:21">
      <c r="A1009" s="2895" t="str">
        <f>ORG!$S$1</f>
        <v>Apr 23</v>
      </c>
      <c r="B1009" t="str">
        <f>ORG!$M$1</f>
        <v>Public Health Wales Trust</v>
      </c>
      <c r="C1009" t="str">
        <f>'E - Resource Limits'!$A$5</f>
        <v>Table E - Resource Limits</v>
      </c>
      <c r="D1009" s="2898">
        <f t="shared" ref="D1009:E1009" si="242">D953</f>
        <v>47</v>
      </c>
      <c r="E1009" s="2898" t="str">
        <f t="shared" si="242"/>
        <v xml:space="preserve"> </v>
      </c>
      <c r="F1009" t="str">
        <f t="shared" si="199"/>
        <v>Total Revenue Drawing Limit</v>
      </c>
      <c r="S1009">
        <f>'E - Resource Limits'!I59</f>
        <v>0</v>
      </c>
      <c r="U1009">
        <f t="shared" si="231"/>
        <v>0</v>
      </c>
    </row>
    <row r="1010" spans="1:21">
      <c r="A1010" s="2895" t="str">
        <f>ORG!$S$1</f>
        <v>Apr 23</v>
      </c>
      <c r="B1010" t="str">
        <f>ORG!$M$1</f>
        <v>Public Health Wales Trust</v>
      </c>
      <c r="C1010" t="str">
        <f>'E - Resource Limits'!$A$5</f>
        <v>Table E - Resource Limits</v>
      </c>
      <c r="D1010" s="2898">
        <f t="shared" ref="D1010:E1010" si="243">D954</f>
        <v>48</v>
      </c>
      <c r="E1010" s="2898" t="str">
        <f t="shared" si="243"/>
        <v xml:space="preserve"> </v>
      </c>
      <c r="F1010" t="str">
        <f t="shared" si="199"/>
        <v>Total Revenue Drawing Limit</v>
      </c>
      <c r="S1010">
        <f>'E - Resource Limits'!I60</f>
        <v>0</v>
      </c>
      <c r="U1010">
        <f t="shared" si="231"/>
        <v>0</v>
      </c>
    </row>
    <row r="1011" spans="1:21">
      <c r="A1011" s="2895" t="str">
        <f>ORG!$S$1</f>
        <v>Apr 23</v>
      </c>
      <c r="B1011" t="str">
        <f>ORG!$M$1</f>
        <v>Public Health Wales Trust</v>
      </c>
      <c r="C1011" t="str">
        <f>'E - Resource Limits'!$A$5</f>
        <v>Table E - Resource Limits</v>
      </c>
      <c r="D1011" s="2898">
        <f t="shared" ref="D1011:E1011" si="244">D955</f>
        <v>49</v>
      </c>
      <c r="E1011" s="2898" t="str">
        <f t="shared" si="244"/>
        <v xml:space="preserve"> </v>
      </c>
      <c r="F1011" t="str">
        <f t="shared" si="199"/>
        <v>Total Revenue Drawing Limit</v>
      </c>
      <c r="S1011">
        <f>'E - Resource Limits'!I61</f>
        <v>0</v>
      </c>
      <c r="U1011">
        <f t="shared" si="231"/>
        <v>0</v>
      </c>
    </row>
    <row r="1012" spans="1:21">
      <c r="A1012" s="2895" t="str">
        <f>ORG!$S$1</f>
        <v>Apr 23</v>
      </c>
      <c r="B1012" t="str">
        <f>ORG!$M$1</f>
        <v>Public Health Wales Trust</v>
      </c>
      <c r="C1012" t="str">
        <f>'E - Resource Limits'!$A$5</f>
        <v>Table E - Resource Limits</v>
      </c>
      <c r="D1012" s="2898">
        <f t="shared" ref="D1012:E1012" si="245">D956</f>
        <v>50</v>
      </c>
      <c r="E1012" s="2898" t="str">
        <f t="shared" si="245"/>
        <v xml:space="preserve"> </v>
      </c>
      <c r="F1012" t="str">
        <f t="shared" si="199"/>
        <v>Total Revenue Drawing Limit</v>
      </c>
      <c r="S1012">
        <f>'E - Resource Limits'!I62</f>
        <v>0</v>
      </c>
      <c r="U1012">
        <f t="shared" si="231"/>
        <v>0</v>
      </c>
    </row>
    <row r="1013" spans="1:21">
      <c r="A1013" s="2895" t="str">
        <f>ORG!$S$1</f>
        <v>Apr 23</v>
      </c>
      <c r="B1013" t="str">
        <f>ORG!$M$1</f>
        <v>Public Health Wales Trust</v>
      </c>
      <c r="C1013" t="str">
        <f>'E - Resource Limits'!$A$5</f>
        <v>Table E - Resource Limits</v>
      </c>
      <c r="D1013" s="2898">
        <f t="shared" ref="D1013:E1013" si="246">D957</f>
        <v>51</v>
      </c>
      <c r="E1013" s="2898" t="str">
        <f t="shared" si="246"/>
        <v xml:space="preserve"> </v>
      </c>
      <c r="F1013" t="str">
        <f t="shared" si="199"/>
        <v>Total Revenue Drawing Limit</v>
      </c>
      <c r="S1013">
        <f>'E - Resource Limits'!I63</f>
        <v>0</v>
      </c>
      <c r="U1013">
        <f t="shared" si="231"/>
        <v>0</v>
      </c>
    </row>
    <row r="1014" spans="1:21">
      <c r="A1014" s="2895" t="str">
        <f>ORG!$S$1</f>
        <v>Apr 23</v>
      </c>
      <c r="B1014" t="str">
        <f>ORG!$M$1</f>
        <v>Public Health Wales Trust</v>
      </c>
      <c r="C1014" t="str">
        <f>'E - Resource Limits'!$A$5</f>
        <v>Table E - Resource Limits</v>
      </c>
      <c r="D1014" s="2898">
        <f t="shared" ref="D1014:E1014" si="247">D958</f>
        <v>52</v>
      </c>
      <c r="E1014" s="2898" t="str">
        <f t="shared" si="247"/>
        <v xml:space="preserve"> </v>
      </c>
      <c r="F1014" t="str">
        <f t="shared" si="199"/>
        <v>Total Revenue Drawing Limit</v>
      </c>
      <c r="S1014">
        <f>'E - Resource Limits'!I64</f>
        <v>0</v>
      </c>
      <c r="U1014">
        <f t="shared" si="231"/>
        <v>0</v>
      </c>
    </row>
    <row r="1015" spans="1:21">
      <c r="A1015" s="2895" t="str">
        <f>ORG!$S$1</f>
        <v>Apr 23</v>
      </c>
      <c r="B1015" t="str">
        <f>ORG!$M$1</f>
        <v>Public Health Wales Trust</v>
      </c>
      <c r="C1015" t="str">
        <f>'E - Resource Limits'!$A$5</f>
        <v>Table E - Resource Limits</v>
      </c>
      <c r="D1015" s="2898">
        <f t="shared" ref="D1015:E1015" si="248">D959</f>
        <v>53</v>
      </c>
      <c r="E1015" s="2898" t="str">
        <f t="shared" si="248"/>
        <v xml:space="preserve"> </v>
      </c>
      <c r="F1015" t="str">
        <f t="shared" si="199"/>
        <v>Total Revenue Drawing Limit</v>
      </c>
      <c r="S1015">
        <f>'E - Resource Limits'!I65</f>
        <v>0</v>
      </c>
      <c r="U1015">
        <f t="shared" si="231"/>
        <v>0</v>
      </c>
    </row>
    <row r="1016" spans="1:21">
      <c r="A1016" s="2895" t="str">
        <f>ORG!$S$1</f>
        <v>Apr 23</v>
      </c>
      <c r="B1016" t="str">
        <f>ORG!$M$1</f>
        <v>Public Health Wales Trust</v>
      </c>
      <c r="C1016" t="str">
        <f>'E - Resource Limits'!$A$5</f>
        <v>Table E - Resource Limits</v>
      </c>
      <c r="D1016" s="2898">
        <f>D960</f>
        <v>54</v>
      </c>
      <c r="E1016" s="2898" t="str">
        <f>E960</f>
        <v xml:space="preserve"> </v>
      </c>
      <c r="F1016" t="str">
        <f>"Total Revenue Drawing Limit"</f>
        <v>Total Revenue Drawing Limit</v>
      </c>
      <c r="S1016">
        <f>'E - Resource Limits'!I66</f>
        <v>0</v>
      </c>
      <c r="U1016">
        <f t="shared" si="231"/>
        <v>0</v>
      </c>
    </row>
    <row r="1017" spans="1:21">
      <c r="A1017" s="2895" t="str">
        <f>ORG!$S$1</f>
        <v>Apr 23</v>
      </c>
      <c r="B1017" t="str">
        <f>ORG!$M$1</f>
        <v>Public Health Wales Trust</v>
      </c>
      <c r="C1017" t="str">
        <f>'E - Resource Limits'!$A$5</f>
        <v>Table E - Resource Limits</v>
      </c>
      <c r="D1017" s="2898">
        <f t="shared" ref="D1017:E1017" si="249">D961</f>
        <v>55</v>
      </c>
      <c r="E1017" s="2898" t="str">
        <f t="shared" si="249"/>
        <v xml:space="preserve"> </v>
      </c>
      <c r="F1017" t="str">
        <f t="shared" si="199"/>
        <v>Total Revenue Drawing Limit</v>
      </c>
      <c r="S1017">
        <f>'E - Resource Limits'!I67</f>
        <v>0</v>
      </c>
      <c r="U1017">
        <f t="shared" si="231"/>
        <v>0</v>
      </c>
    </row>
    <row r="1018" spans="1:21">
      <c r="A1018" s="2895" t="str">
        <f>ORG!$S$1</f>
        <v>Apr 23</v>
      </c>
      <c r="B1018" t="str">
        <f>ORG!$M$1</f>
        <v>Public Health Wales Trust</v>
      </c>
      <c r="C1018" t="str">
        <f>'E - Resource Limits'!$A$5</f>
        <v>Table E - Resource Limits</v>
      </c>
      <c r="D1018" s="2898">
        <f t="shared" ref="D1018:E1018" si="250">D962</f>
        <v>61</v>
      </c>
      <c r="E1018" s="2898" t="str">
        <f t="shared" si="250"/>
        <v xml:space="preserve">Capital Working Balances Request </v>
      </c>
      <c r="F1018" t="str">
        <f t="shared" si="199"/>
        <v>Total Revenue Drawing Limit</v>
      </c>
      <c r="S1018">
        <f>'E - Resource Limits'!I73</f>
        <v>0</v>
      </c>
      <c r="U1018">
        <f t="shared" si="231"/>
        <v>0</v>
      </c>
    </row>
    <row r="1019" spans="1:21">
      <c r="A1019" s="2895" t="str">
        <f>ORG!$S$1</f>
        <v>Apr 23</v>
      </c>
      <c r="B1019" t="str">
        <f>ORG!$M$1</f>
        <v>Public Health Wales Trust</v>
      </c>
      <c r="C1019" t="str">
        <f>'E - Resource Limits'!$A$5</f>
        <v>Table E - Resource Limits</v>
      </c>
      <c r="D1019" s="2898">
        <f t="shared" ref="D1019:E1019" si="251">D963</f>
        <v>62</v>
      </c>
      <c r="E1019" s="2898" t="str">
        <f t="shared" si="251"/>
        <v xml:space="preserve">Capital IFRS16 Leases Working Balances Request </v>
      </c>
      <c r="F1019" t="str">
        <f t="shared" si="199"/>
        <v>Total Revenue Drawing Limit</v>
      </c>
      <c r="S1019">
        <f>'E - Resource Limits'!I74</f>
        <v>0</v>
      </c>
      <c r="U1019">
        <f t="shared" si="231"/>
        <v>0</v>
      </c>
    </row>
    <row r="1020" spans="1:21">
      <c r="A1020" s="2895" t="str">
        <f>ORG!$S$1</f>
        <v>Apr 23</v>
      </c>
      <c r="B1020" t="str">
        <f>ORG!$M$1</f>
        <v>Public Health Wales Trust</v>
      </c>
      <c r="C1020" t="str">
        <f>'E - Resource Limits'!$A$5</f>
        <v>Table E - Resource Limits</v>
      </c>
      <c r="D1020" s="2898">
        <f t="shared" ref="D1020:E1020" si="252">D964</f>
        <v>63</v>
      </c>
      <c r="E1020" s="2898" t="str">
        <f t="shared" si="252"/>
        <v>Total Anticipated Funding</v>
      </c>
      <c r="F1020" t="str">
        <f t="shared" si="199"/>
        <v>Total Revenue Drawing Limit</v>
      </c>
      <c r="S1020">
        <f>'E - Resource Limits'!I75</f>
        <v>0</v>
      </c>
      <c r="U1020">
        <f t="shared" si="231"/>
        <v>0</v>
      </c>
    </row>
    <row r="1021" spans="1:21">
      <c r="A1021" s="2895" t="str">
        <f>ORG!$S$1</f>
        <v>Apr 23</v>
      </c>
      <c r="B1021" t="str">
        <f>ORG!$M$1</f>
        <v>Public Health Wales Trust</v>
      </c>
      <c r="C1021" t="str">
        <f>'E - Resource Limits'!$A$5</f>
        <v>Table E - Resource Limits</v>
      </c>
      <c r="D1021" s="2898">
        <f>D965</f>
        <v>3</v>
      </c>
      <c r="E1021" s="2898" t="str">
        <f>E965</f>
        <v xml:space="preserve">DEL Non Cash Depreciation - Baseline Surplus / Shortfall </v>
      </c>
      <c r="F1021" t="str">
        <f>"Total Capital Resource Limit"</f>
        <v>Total Capital Resource Limit</v>
      </c>
      <c r="S1021">
        <f>'E - Resource Limits'!J15</f>
        <v>0</v>
      </c>
      <c r="U1021">
        <f t="shared" si="231"/>
        <v>0</v>
      </c>
    </row>
    <row r="1022" spans="1:21">
      <c r="A1022" s="2895" t="str">
        <f>ORG!$S$1</f>
        <v>Apr 23</v>
      </c>
      <c r="B1022" t="str">
        <f>ORG!$M$1</f>
        <v>Public Health Wales Trust</v>
      </c>
      <c r="C1022" t="str">
        <f>'E - Resource Limits'!$A$5</f>
        <v>Table E - Resource Limits</v>
      </c>
      <c r="D1022" s="2898">
        <f t="shared" ref="D1022:E1022" si="253">D966</f>
        <v>4</v>
      </c>
      <c r="E1022" s="2898"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5" t="str">
        <f>ORG!$S$1</f>
        <v>Apr 23</v>
      </c>
      <c r="B1023" t="str">
        <f>ORG!$M$1</f>
        <v>Public Health Wales Trust</v>
      </c>
      <c r="C1023" t="str">
        <f>'E - Resource Limits'!$A$5</f>
        <v>Table E - Resource Limits</v>
      </c>
      <c r="D1023" s="2898">
        <f t="shared" ref="D1023:E1023" si="255">D967</f>
        <v>5</v>
      </c>
      <c r="E1023" s="2898" t="str">
        <f t="shared" si="255"/>
        <v xml:space="preserve">DEL Non Cash Depreciation - Accelerated </v>
      </c>
      <c r="F1023" t="str">
        <f t="shared" si="254"/>
        <v>Total Capital Resource Limit</v>
      </c>
      <c r="S1023">
        <f>'E - Resource Limits'!J17</f>
        <v>0</v>
      </c>
      <c r="U1023">
        <f t="shared" si="231"/>
        <v>0</v>
      </c>
    </row>
    <row r="1024" spans="1:21">
      <c r="A1024" s="2895" t="str">
        <f>ORG!$S$1</f>
        <v>Apr 23</v>
      </c>
      <c r="B1024" t="str">
        <f>ORG!$M$1</f>
        <v>Public Health Wales Trust</v>
      </c>
      <c r="C1024" t="str">
        <f>'E - Resource Limits'!$A$5</f>
        <v>Table E - Resource Limits</v>
      </c>
      <c r="D1024" s="2898">
        <f t="shared" ref="D1024:E1024" si="256">D968</f>
        <v>6</v>
      </c>
      <c r="E1024" s="2898" t="str">
        <f t="shared" si="256"/>
        <v xml:space="preserve">DEL Non Cash Depreciation - Impairment </v>
      </c>
      <c r="F1024" t="str">
        <f t="shared" si="254"/>
        <v>Total Capital Resource Limit</v>
      </c>
      <c r="S1024">
        <f>'E - Resource Limits'!J18</f>
        <v>0</v>
      </c>
      <c r="U1024">
        <f t="shared" si="231"/>
        <v>0</v>
      </c>
    </row>
    <row r="1025" spans="1:21">
      <c r="A1025" s="2895" t="str">
        <f>ORG!$S$1</f>
        <v>Apr 23</v>
      </c>
      <c r="B1025" t="str">
        <f>ORG!$M$1</f>
        <v>Public Health Wales Trust</v>
      </c>
      <c r="C1025" t="str">
        <f>'E - Resource Limits'!$A$5</f>
        <v>Table E - Resource Limits</v>
      </c>
      <c r="D1025" s="2898">
        <f t="shared" ref="D1025:E1025" si="257">D969</f>
        <v>7</v>
      </c>
      <c r="E1025" s="2898" t="str">
        <f t="shared" si="257"/>
        <v xml:space="preserve">DEL Non Cash Depreciation - IFRS 16 Leases </v>
      </c>
      <c r="F1025" t="str">
        <f t="shared" si="254"/>
        <v>Total Capital Resource Limit</v>
      </c>
      <c r="S1025">
        <f>'E - Resource Limits'!J19</f>
        <v>0</v>
      </c>
      <c r="U1025">
        <f t="shared" si="231"/>
        <v>0</v>
      </c>
    </row>
    <row r="1026" spans="1:21">
      <c r="A1026" s="2895" t="str">
        <f>ORG!$S$1</f>
        <v>Apr 23</v>
      </c>
      <c r="B1026" t="str">
        <f>ORG!$M$1</f>
        <v>Public Health Wales Trust</v>
      </c>
      <c r="C1026" t="str">
        <f>'E - Resource Limits'!$A$5</f>
        <v>Table E - Resource Limits</v>
      </c>
      <c r="D1026" s="2898">
        <f t="shared" ref="D1026:E1026" si="258">D970</f>
        <v>8</v>
      </c>
      <c r="E1026" s="2898" t="str">
        <f t="shared" si="258"/>
        <v xml:space="preserve">AME Non Cash Depreciation -  IFRS 16 Leases (Peppercorn) </v>
      </c>
      <c r="F1026" t="str">
        <f t="shared" si="254"/>
        <v>Total Capital Resource Limit</v>
      </c>
      <c r="S1026">
        <f>'E - Resource Limits'!J20</f>
        <v>0</v>
      </c>
      <c r="U1026">
        <f t="shared" si="231"/>
        <v>0</v>
      </c>
    </row>
    <row r="1027" spans="1:21">
      <c r="A1027" s="2895" t="str">
        <f>ORG!$S$1</f>
        <v>Apr 23</v>
      </c>
      <c r="B1027" t="str">
        <f>ORG!$M$1</f>
        <v>Public Health Wales Trust</v>
      </c>
      <c r="C1027" t="str">
        <f>'E - Resource Limits'!$A$5</f>
        <v>Table E - Resource Limits</v>
      </c>
      <c r="D1027" s="2898">
        <f t="shared" ref="D1027:E1027" si="259">D971</f>
        <v>9</v>
      </c>
      <c r="E1027" s="2898" t="str">
        <f t="shared" si="259"/>
        <v xml:space="preserve">AME Non Cash Depreciation - Donated Assets </v>
      </c>
      <c r="F1027" t="str">
        <f t="shared" si="254"/>
        <v>Total Capital Resource Limit</v>
      </c>
      <c r="S1027">
        <f>'E - Resource Limits'!J21</f>
        <v>0</v>
      </c>
      <c r="U1027">
        <f t="shared" si="231"/>
        <v>0</v>
      </c>
    </row>
    <row r="1028" spans="1:21">
      <c r="A1028" s="2895" t="str">
        <f>ORG!$S$1</f>
        <v>Apr 23</v>
      </c>
      <c r="B1028" t="str">
        <f>ORG!$M$1</f>
        <v>Public Health Wales Trust</v>
      </c>
      <c r="C1028" t="str">
        <f>'E - Resource Limits'!$A$5</f>
        <v>Table E - Resource Limits</v>
      </c>
      <c r="D1028" s="2898">
        <f t="shared" ref="D1028:E1028" si="260">D972</f>
        <v>10</v>
      </c>
      <c r="E1028" s="2898" t="str">
        <f t="shared" si="260"/>
        <v xml:space="preserve">AME Non Cash Depreciation - Impairment </v>
      </c>
      <c r="F1028" t="str">
        <f t="shared" si="254"/>
        <v>Total Capital Resource Limit</v>
      </c>
      <c r="S1028">
        <f>'E - Resource Limits'!J22</f>
        <v>0</v>
      </c>
      <c r="U1028">
        <f t="shared" si="231"/>
        <v>0</v>
      </c>
    </row>
    <row r="1029" spans="1:21">
      <c r="A1029" s="2895" t="str">
        <f>ORG!$S$1</f>
        <v>Apr 23</v>
      </c>
      <c r="B1029" t="str">
        <f>ORG!$M$1</f>
        <v>Public Health Wales Trust</v>
      </c>
      <c r="C1029" t="str">
        <f>'E - Resource Limits'!$A$5</f>
        <v>Table E - Resource Limits</v>
      </c>
      <c r="D1029" s="2898">
        <f t="shared" ref="D1029:E1029" si="261">D973</f>
        <v>11</v>
      </c>
      <c r="E1029" s="2898" t="str">
        <f t="shared" si="261"/>
        <v xml:space="preserve">AME Non Cash Depreciation - Impairment Reversals </v>
      </c>
      <c r="F1029" t="str">
        <f t="shared" si="254"/>
        <v>Total Capital Resource Limit</v>
      </c>
      <c r="S1029">
        <f>'E - Resource Limits'!J23</f>
        <v>0</v>
      </c>
      <c r="U1029">
        <f t="shared" si="231"/>
        <v>0</v>
      </c>
    </row>
    <row r="1030" spans="1:21">
      <c r="A1030" s="2895" t="str">
        <f>ORG!$S$1</f>
        <v>Apr 23</v>
      </c>
      <c r="B1030" t="str">
        <f>ORG!$M$1</f>
        <v>Public Health Wales Trust</v>
      </c>
      <c r="C1030" t="str">
        <f>'E - Resource Limits'!$A$5</f>
        <v>Table E - Resource Limits</v>
      </c>
      <c r="D1030" s="2898">
        <f t="shared" ref="D1030:E1030" si="262">D974</f>
        <v>12</v>
      </c>
      <c r="E1030" s="2898" t="str">
        <f t="shared" si="262"/>
        <v xml:space="preserve">Removal of Donated Assets / Government Grant Receipts </v>
      </c>
      <c r="F1030" t="str">
        <f t="shared" si="254"/>
        <v>Total Capital Resource Limit</v>
      </c>
      <c r="S1030">
        <f>'E - Resource Limits'!J24</f>
        <v>0</v>
      </c>
      <c r="U1030">
        <f t="shared" si="231"/>
        <v>0</v>
      </c>
    </row>
    <row r="1031" spans="1:21">
      <c r="A1031" s="2895" t="str">
        <f>ORG!$S$1</f>
        <v>Apr 23</v>
      </c>
      <c r="B1031" t="str">
        <f>ORG!$M$1</f>
        <v>Public Health Wales Trust</v>
      </c>
      <c r="C1031" t="str">
        <f>'E - Resource Limits'!$A$5</f>
        <v>Table E - Resource Limits</v>
      </c>
      <c r="D1031" s="2898">
        <f t="shared" ref="D1031:E1031" si="263">D975</f>
        <v>13</v>
      </c>
      <c r="E1031" s="2898" t="str">
        <f t="shared" si="263"/>
        <v xml:space="preserve">Total COVID-19 (see below analysis) </v>
      </c>
      <c r="F1031" t="str">
        <f t="shared" si="254"/>
        <v>Total Capital Resource Limit</v>
      </c>
      <c r="S1031">
        <f>'E - Resource Limits'!J25</f>
        <v>0</v>
      </c>
      <c r="U1031">
        <f t="shared" si="231"/>
        <v>0</v>
      </c>
    </row>
    <row r="1032" spans="1:21">
      <c r="A1032" s="2895" t="str">
        <f>ORG!$S$1</f>
        <v>Apr 23</v>
      </c>
      <c r="B1032" t="str">
        <f>ORG!$M$1</f>
        <v>Public Health Wales Trust</v>
      </c>
      <c r="C1032" t="str">
        <f>'E - Resource Limits'!$A$5</f>
        <v>Table E - Resource Limits</v>
      </c>
      <c r="D1032" s="2898">
        <f t="shared" ref="D1032:E1032" si="264">D976</f>
        <v>14</v>
      </c>
      <c r="E1032" s="2898" t="str">
        <f t="shared" si="264"/>
        <v xml:space="preserve">Removal of IFRS-16 Leases (Revenue) </v>
      </c>
      <c r="F1032" t="str">
        <f t="shared" si="254"/>
        <v>Total Capital Resource Limit</v>
      </c>
      <c r="S1032">
        <f>'E - Resource Limits'!J26</f>
        <v>0</v>
      </c>
      <c r="U1032">
        <f t="shared" si="231"/>
        <v>0</v>
      </c>
    </row>
    <row r="1033" spans="1:21">
      <c r="A1033" s="2895" t="str">
        <f>ORG!$S$1</f>
        <v>Apr 23</v>
      </c>
      <c r="B1033" t="str">
        <f>ORG!$M$1</f>
        <v>Public Health Wales Trust</v>
      </c>
      <c r="C1033" t="str">
        <f>'E - Resource Limits'!$A$5</f>
        <v>Table E - Resource Limits</v>
      </c>
      <c r="D1033" s="2898">
        <f t="shared" ref="D1033:E1033" si="265">D977</f>
        <v>15</v>
      </c>
      <c r="E1033" s="2898" t="str">
        <f t="shared" si="265"/>
        <v xml:space="preserve">Real Living Wage (Care Homes) </v>
      </c>
      <c r="F1033" t="str">
        <f t="shared" si="254"/>
        <v>Total Capital Resource Limit</v>
      </c>
      <c r="S1033">
        <f>'E - Resource Limits'!J27</f>
        <v>0</v>
      </c>
      <c r="U1033">
        <f t="shared" si="231"/>
        <v>0</v>
      </c>
    </row>
    <row r="1034" spans="1:21">
      <c r="A1034" s="2895" t="str">
        <f>ORG!$S$1</f>
        <v>Apr 23</v>
      </c>
      <c r="B1034" t="str">
        <f>ORG!$M$1</f>
        <v>Public Health Wales Trust</v>
      </c>
      <c r="C1034" t="str">
        <f>'E - Resource Limits'!$A$5</f>
        <v>Table E - Resource Limits</v>
      </c>
      <c r="D1034" s="2898">
        <f t="shared" ref="D1034:E1034" si="266">D978</f>
        <v>16</v>
      </c>
      <c r="E1034" s="2898" t="str">
        <f t="shared" si="266"/>
        <v xml:space="preserve"> </v>
      </c>
      <c r="F1034" t="str">
        <f t="shared" si="254"/>
        <v>Total Capital Resource Limit</v>
      </c>
      <c r="S1034">
        <f>'E - Resource Limits'!J28</f>
        <v>0</v>
      </c>
      <c r="U1034">
        <f t="shared" si="231"/>
        <v>0</v>
      </c>
    </row>
    <row r="1035" spans="1:21">
      <c r="A1035" s="2895" t="str">
        <f>ORG!$S$1</f>
        <v>Apr 23</v>
      </c>
      <c r="B1035" t="str">
        <f>ORG!$M$1</f>
        <v>Public Health Wales Trust</v>
      </c>
      <c r="C1035" t="str">
        <f>'E - Resource Limits'!$A$5</f>
        <v>Table E - Resource Limits</v>
      </c>
      <c r="D1035" s="2898">
        <f t="shared" ref="D1035:E1035" si="267">D979</f>
        <v>17</v>
      </c>
      <c r="E1035" s="2898" t="str">
        <f t="shared" si="267"/>
        <v xml:space="preserve"> </v>
      </c>
      <c r="F1035" t="str">
        <f t="shared" si="254"/>
        <v>Total Capital Resource Limit</v>
      </c>
      <c r="S1035">
        <f>'E - Resource Limits'!J29</f>
        <v>0</v>
      </c>
      <c r="U1035">
        <f t="shared" si="231"/>
        <v>0</v>
      </c>
    </row>
    <row r="1036" spans="1:21">
      <c r="A1036" s="2895" t="str">
        <f>ORG!$S$1</f>
        <v>Apr 23</v>
      </c>
      <c r="B1036" t="str">
        <f>ORG!$M$1</f>
        <v>Public Health Wales Trust</v>
      </c>
      <c r="C1036" t="str">
        <f>'E - Resource Limits'!$A$5</f>
        <v>Table E - Resource Limits</v>
      </c>
      <c r="D1036" s="2898">
        <f t="shared" ref="D1036:E1036" si="268">D980</f>
        <v>18</v>
      </c>
      <c r="E1036" s="2898" t="str">
        <f t="shared" si="268"/>
        <v xml:space="preserve"> </v>
      </c>
      <c r="F1036" t="str">
        <f t="shared" si="254"/>
        <v>Total Capital Resource Limit</v>
      </c>
      <c r="S1036">
        <f>'E - Resource Limits'!J30</f>
        <v>0</v>
      </c>
      <c r="U1036">
        <f t="shared" si="231"/>
        <v>0</v>
      </c>
    </row>
    <row r="1037" spans="1:21">
      <c r="A1037" s="2895" t="str">
        <f>ORG!$S$1</f>
        <v>Apr 23</v>
      </c>
      <c r="B1037" t="str">
        <f>ORG!$M$1</f>
        <v>Public Health Wales Trust</v>
      </c>
      <c r="C1037" t="str">
        <f>'E - Resource Limits'!$A$5</f>
        <v>Table E - Resource Limits</v>
      </c>
      <c r="D1037" s="2898">
        <f t="shared" ref="D1037:E1037" si="269">D981</f>
        <v>19</v>
      </c>
      <c r="E1037" s="2898" t="str">
        <f t="shared" si="269"/>
        <v xml:space="preserve"> </v>
      </c>
      <c r="F1037" t="str">
        <f t="shared" si="254"/>
        <v>Total Capital Resource Limit</v>
      </c>
      <c r="S1037">
        <f>'E - Resource Limits'!J31</f>
        <v>0</v>
      </c>
      <c r="U1037">
        <f t="shared" si="231"/>
        <v>0</v>
      </c>
    </row>
    <row r="1038" spans="1:21">
      <c r="A1038" s="2895" t="str">
        <f>ORG!$S$1</f>
        <v>Apr 23</v>
      </c>
      <c r="B1038" t="str">
        <f>ORG!$M$1</f>
        <v>Public Health Wales Trust</v>
      </c>
      <c r="C1038" t="str">
        <f>'E - Resource Limits'!$A$5</f>
        <v>Table E - Resource Limits</v>
      </c>
      <c r="D1038" s="2898">
        <f t="shared" ref="D1038:E1038" si="270">D982</f>
        <v>20</v>
      </c>
      <c r="E1038" s="2898" t="str">
        <f t="shared" si="270"/>
        <v xml:space="preserve"> </v>
      </c>
      <c r="F1038" t="str">
        <f t="shared" si="254"/>
        <v>Total Capital Resource Limit</v>
      </c>
      <c r="S1038">
        <f>'E - Resource Limits'!J32</f>
        <v>0</v>
      </c>
      <c r="U1038">
        <f t="shared" si="231"/>
        <v>0</v>
      </c>
    </row>
    <row r="1039" spans="1:21">
      <c r="A1039" s="2895" t="str">
        <f>ORG!$S$1</f>
        <v>Apr 23</v>
      </c>
      <c r="B1039" t="str">
        <f>ORG!$M$1</f>
        <v>Public Health Wales Trust</v>
      </c>
      <c r="C1039" t="str">
        <f>'E - Resource Limits'!$A$5</f>
        <v>Table E - Resource Limits</v>
      </c>
      <c r="D1039" s="2898">
        <f t="shared" ref="D1039:E1039" si="271">D983</f>
        <v>21</v>
      </c>
      <c r="E1039" s="2898" t="str">
        <f t="shared" si="271"/>
        <v xml:space="preserve"> </v>
      </c>
      <c r="F1039" t="str">
        <f t="shared" si="254"/>
        <v>Total Capital Resource Limit</v>
      </c>
      <c r="S1039">
        <f>'E - Resource Limits'!J33</f>
        <v>0</v>
      </c>
      <c r="U1039">
        <f t="shared" si="231"/>
        <v>0</v>
      </c>
    </row>
    <row r="1040" spans="1:21">
      <c r="A1040" s="2895" t="str">
        <f>ORG!$S$1</f>
        <v>Apr 23</v>
      </c>
      <c r="B1040" t="str">
        <f>ORG!$M$1</f>
        <v>Public Health Wales Trust</v>
      </c>
      <c r="C1040" t="str">
        <f>'E - Resource Limits'!$A$5</f>
        <v>Table E - Resource Limits</v>
      </c>
      <c r="D1040" s="2898">
        <f t="shared" ref="D1040:E1040" si="272">D984</f>
        <v>22</v>
      </c>
      <c r="E1040" s="2898" t="str">
        <f t="shared" si="272"/>
        <v xml:space="preserve"> </v>
      </c>
      <c r="F1040" t="str">
        <f t="shared" si="254"/>
        <v>Total Capital Resource Limit</v>
      </c>
      <c r="S1040">
        <f>'E - Resource Limits'!J34</f>
        <v>0</v>
      </c>
      <c r="U1040">
        <f t="shared" si="231"/>
        <v>0</v>
      </c>
    </row>
    <row r="1041" spans="1:21">
      <c r="A1041" s="2895" t="str">
        <f>ORG!$S$1</f>
        <v>Apr 23</v>
      </c>
      <c r="B1041" t="str">
        <f>ORG!$M$1</f>
        <v>Public Health Wales Trust</v>
      </c>
      <c r="C1041" t="str">
        <f>'E - Resource Limits'!$A$5</f>
        <v>Table E - Resource Limits</v>
      </c>
      <c r="D1041" s="2898">
        <f t="shared" ref="D1041:E1041" si="273">D985</f>
        <v>23</v>
      </c>
      <c r="E1041" s="2898" t="str">
        <f t="shared" si="273"/>
        <v xml:space="preserve"> </v>
      </c>
      <c r="F1041" t="str">
        <f t="shared" si="254"/>
        <v>Total Capital Resource Limit</v>
      </c>
      <c r="S1041">
        <f>'E - Resource Limits'!J35</f>
        <v>0</v>
      </c>
      <c r="U1041">
        <f t="shared" si="231"/>
        <v>0</v>
      </c>
    </row>
    <row r="1042" spans="1:21">
      <c r="A1042" s="2895" t="str">
        <f>ORG!$S$1</f>
        <v>Apr 23</v>
      </c>
      <c r="B1042" t="str">
        <f>ORG!$M$1</f>
        <v>Public Health Wales Trust</v>
      </c>
      <c r="C1042" t="str">
        <f>'E - Resource Limits'!$A$5</f>
        <v>Table E - Resource Limits</v>
      </c>
      <c r="D1042" s="2898">
        <f t="shared" ref="D1042:E1042" si="274">D986</f>
        <v>24</v>
      </c>
      <c r="E1042" s="2898" t="str">
        <f t="shared" si="274"/>
        <v xml:space="preserve"> </v>
      </c>
      <c r="F1042" t="str">
        <f t="shared" si="254"/>
        <v>Total Capital Resource Limit</v>
      </c>
      <c r="S1042">
        <f>'E - Resource Limits'!J36</f>
        <v>0</v>
      </c>
      <c r="U1042">
        <f t="shared" si="231"/>
        <v>0</v>
      </c>
    </row>
    <row r="1043" spans="1:21">
      <c r="A1043" s="2895" t="str">
        <f>ORG!$S$1</f>
        <v>Apr 23</v>
      </c>
      <c r="B1043" t="str">
        <f>ORG!$M$1</f>
        <v>Public Health Wales Trust</v>
      </c>
      <c r="C1043" t="str">
        <f>'E - Resource Limits'!$A$5</f>
        <v>Table E - Resource Limits</v>
      </c>
      <c r="D1043" s="2898">
        <f t="shared" ref="D1043:E1043" si="275">D987</f>
        <v>25</v>
      </c>
      <c r="E1043" s="2898" t="str">
        <f t="shared" si="275"/>
        <v xml:space="preserve"> </v>
      </c>
      <c r="F1043" t="str">
        <f t="shared" si="254"/>
        <v>Total Capital Resource Limit</v>
      </c>
      <c r="S1043">
        <f>'E - Resource Limits'!J37</f>
        <v>0</v>
      </c>
      <c r="U1043">
        <f t="shared" si="231"/>
        <v>0</v>
      </c>
    </row>
    <row r="1044" spans="1:21">
      <c r="A1044" s="2895" t="str">
        <f>ORG!$S$1</f>
        <v>Apr 23</v>
      </c>
      <c r="B1044" t="str">
        <f>ORG!$M$1</f>
        <v>Public Health Wales Trust</v>
      </c>
      <c r="C1044" t="str">
        <f>'E - Resource Limits'!$A$5</f>
        <v>Table E - Resource Limits</v>
      </c>
      <c r="D1044" s="2898">
        <f t="shared" ref="D1044:E1044" si="276">D988</f>
        <v>26</v>
      </c>
      <c r="E1044" s="2898" t="str">
        <f t="shared" si="276"/>
        <v xml:space="preserve"> </v>
      </c>
      <c r="F1044" t="str">
        <f t="shared" si="254"/>
        <v>Total Capital Resource Limit</v>
      </c>
      <c r="S1044">
        <f>'E - Resource Limits'!J38</f>
        <v>0</v>
      </c>
      <c r="U1044">
        <f t="shared" si="231"/>
        <v>0</v>
      </c>
    </row>
    <row r="1045" spans="1:21">
      <c r="A1045" s="2895" t="str">
        <f>ORG!$S$1</f>
        <v>Apr 23</v>
      </c>
      <c r="B1045" t="str">
        <f>ORG!$M$1</f>
        <v>Public Health Wales Trust</v>
      </c>
      <c r="C1045" t="str">
        <f>'E - Resource Limits'!$A$5</f>
        <v>Table E - Resource Limits</v>
      </c>
      <c r="D1045" s="2898">
        <f t="shared" ref="D1045:E1045" si="277">D989</f>
        <v>27</v>
      </c>
      <c r="E1045" s="2898" t="str">
        <f t="shared" si="277"/>
        <v xml:space="preserve"> </v>
      </c>
      <c r="F1045" t="str">
        <f t="shared" si="254"/>
        <v>Total Capital Resource Limit</v>
      </c>
      <c r="S1045">
        <f>'E - Resource Limits'!J39</f>
        <v>0</v>
      </c>
      <c r="U1045">
        <f t="shared" si="231"/>
        <v>0</v>
      </c>
    </row>
    <row r="1046" spans="1:21">
      <c r="A1046" s="2895" t="str">
        <f>ORG!$S$1</f>
        <v>Apr 23</v>
      </c>
      <c r="B1046" t="str">
        <f>ORG!$M$1</f>
        <v>Public Health Wales Trust</v>
      </c>
      <c r="C1046" t="str">
        <f>'E - Resource Limits'!$A$5</f>
        <v>Table E - Resource Limits</v>
      </c>
      <c r="D1046" s="2898">
        <f t="shared" ref="D1046:E1046" si="278">D990</f>
        <v>28</v>
      </c>
      <c r="E1046" s="2898" t="str">
        <f t="shared" si="278"/>
        <v xml:space="preserve"> </v>
      </c>
      <c r="F1046" t="str">
        <f t="shared" si="254"/>
        <v>Total Capital Resource Limit</v>
      </c>
      <c r="S1046">
        <f>'E - Resource Limits'!J40</f>
        <v>0</v>
      </c>
      <c r="U1046">
        <f t="shared" si="231"/>
        <v>0</v>
      </c>
    </row>
    <row r="1047" spans="1:21">
      <c r="A1047" s="2895" t="str">
        <f>ORG!$S$1</f>
        <v>Apr 23</v>
      </c>
      <c r="B1047" t="str">
        <f>ORG!$M$1</f>
        <v>Public Health Wales Trust</v>
      </c>
      <c r="C1047" t="str">
        <f>'E - Resource Limits'!$A$5</f>
        <v>Table E - Resource Limits</v>
      </c>
      <c r="D1047" s="2898">
        <f t="shared" ref="D1047:E1047" si="279">D991</f>
        <v>29</v>
      </c>
      <c r="E1047" s="2898" t="str">
        <f t="shared" si="279"/>
        <v xml:space="preserve"> </v>
      </c>
      <c r="F1047" t="str">
        <f t="shared" si="254"/>
        <v>Total Capital Resource Limit</v>
      </c>
      <c r="S1047">
        <f>'E - Resource Limits'!J41</f>
        <v>0</v>
      </c>
      <c r="U1047">
        <f t="shared" si="231"/>
        <v>0</v>
      </c>
    </row>
    <row r="1048" spans="1:21">
      <c r="A1048" s="2895" t="str">
        <f>ORG!$S$1</f>
        <v>Apr 23</v>
      </c>
      <c r="B1048" t="str">
        <f>ORG!$M$1</f>
        <v>Public Health Wales Trust</v>
      </c>
      <c r="C1048" t="str">
        <f>'E - Resource Limits'!$A$5</f>
        <v>Table E - Resource Limits</v>
      </c>
      <c r="D1048" s="2898">
        <f t="shared" ref="D1048:E1048" si="280">D992</f>
        <v>30</v>
      </c>
      <c r="E1048" s="2898" t="str">
        <f t="shared" si="280"/>
        <v xml:space="preserve"> </v>
      </c>
      <c r="F1048" t="str">
        <f t="shared" si="254"/>
        <v>Total Capital Resource Limit</v>
      </c>
      <c r="S1048">
        <f>'E - Resource Limits'!J42</f>
        <v>0</v>
      </c>
      <c r="U1048">
        <f t="shared" si="231"/>
        <v>0</v>
      </c>
    </row>
    <row r="1049" spans="1:21">
      <c r="A1049" s="2895" t="str">
        <f>ORG!$S$1</f>
        <v>Apr 23</v>
      </c>
      <c r="B1049" t="str">
        <f>ORG!$M$1</f>
        <v>Public Health Wales Trust</v>
      </c>
      <c r="C1049" t="str">
        <f>'E - Resource Limits'!$A$5</f>
        <v>Table E - Resource Limits</v>
      </c>
      <c r="D1049" s="2898">
        <f t="shared" ref="D1049:E1049" si="281">D993</f>
        <v>31</v>
      </c>
      <c r="E1049" s="2898" t="str">
        <f t="shared" si="281"/>
        <v xml:space="preserve"> </v>
      </c>
      <c r="F1049" t="str">
        <f t="shared" si="254"/>
        <v>Total Capital Resource Limit</v>
      </c>
      <c r="S1049">
        <f>'E - Resource Limits'!J43</f>
        <v>0</v>
      </c>
      <c r="U1049">
        <f t="shared" si="231"/>
        <v>0</v>
      </c>
    </row>
    <row r="1050" spans="1:21">
      <c r="A1050" s="2895" t="str">
        <f>ORG!$S$1</f>
        <v>Apr 23</v>
      </c>
      <c r="B1050" t="str">
        <f>ORG!$M$1</f>
        <v>Public Health Wales Trust</v>
      </c>
      <c r="C1050" t="str">
        <f>'E - Resource Limits'!$A$5</f>
        <v>Table E - Resource Limits</v>
      </c>
      <c r="D1050" s="2898">
        <f t="shared" ref="D1050:E1050" si="282">D994</f>
        <v>32</v>
      </c>
      <c r="E1050" s="2898" t="str">
        <f t="shared" si="282"/>
        <v xml:space="preserve"> </v>
      </c>
      <c r="F1050" t="str">
        <f t="shared" si="254"/>
        <v>Total Capital Resource Limit</v>
      </c>
      <c r="S1050">
        <f>'E - Resource Limits'!J44</f>
        <v>0</v>
      </c>
      <c r="U1050">
        <f t="shared" si="231"/>
        <v>0</v>
      </c>
    </row>
    <row r="1051" spans="1:21">
      <c r="A1051" s="2895" t="str">
        <f>ORG!$S$1</f>
        <v>Apr 23</v>
      </c>
      <c r="B1051" t="str">
        <f>ORG!$M$1</f>
        <v>Public Health Wales Trust</v>
      </c>
      <c r="C1051" t="str">
        <f>'E - Resource Limits'!$A$5</f>
        <v>Table E - Resource Limits</v>
      </c>
      <c r="D1051" s="2898">
        <f t="shared" ref="D1051:E1051" si="283">D995</f>
        <v>33</v>
      </c>
      <c r="E1051" s="2898" t="str">
        <f t="shared" si="283"/>
        <v xml:space="preserve"> </v>
      </c>
      <c r="F1051" t="str">
        <f t="shared" si="254"/>
        <v>Total Capital Resource Limit</v>
      </c>
      <c r="S1051">
        <f>'E - Resource Limits'!J45</f>
        <v>0</v>
      </c>
      <c r="U1051">
        <f t="shared" si="231"/>
        <v>0</v>
      </c>
    </row>
    <row r="1052" spans="1:21">
      <c r="A1052" s="2895" t="str">
        <f>ORG!$S$1</f>
        <v>Apr 23</v>
      </c>
      <c r="B1052" t="str">
        <f>ORG!$M$1</f>
        <v>Public Health Wales Trust</v>
      </c>
      <c r="C1052" t="str">
        <f>'E - Resource Limits'!$A$5</f>
        <v>Table E - Resource Limits</v>
      </c>
      <c r="D1052" s="2898">
        <f t="shared" ref="D1052:E1052" si="284">D996</f>
        <v>34</v>
      </c>
      <c r="E1052" s="2898" t="str">
        <f t="shared" si="284"/>
        <v xml:space="preserve"> </v>
      </c>
      <c r="F1052" t="str">
        <f t="shared" si="254"/>
        <v>Total Capital Resource Limit</v>
      </c>
      <c r="S1052">
        <f>'E - Resource Limits'!J46</f>
        <v>0</v>
      </c>
      <c r="U1052">
        <f t="shared" si="231"/>
        <v>0</v>
      </c>
    </row>
    <row r="1053" spans="1:21">
      <c r="A1053" s="2895" t="str">
        <f>ORG!$S$1</f>
        <v>Apr 23</v>
      </c>
      <c r="B1053" t="str">
        <f>ORG!$M$1</f>
        <v>Public Health Wales Trust</v>
      </c>
      <c r="C1053" t="str">
        <f>'E - Resource Limits'!$A$5</f>
        <v>Table E - Resource Limits</v>
      </c>
      <c r="D1053" s="2898">
        <f t="shared" ref="D1053:E1053" si="285">D997</f>
        <v>35</v>
      </c>
      <c r="E1053" s="2898" t="str">
        <f t="shared" si="285"/>
        <v xml:space="preserve"> </v>
      </c>
      <c r="F1053" t="str">
        <f t="shared" si="254"/>
        <v>Total Capital Resource Limit</v>
      </c>
      <c r="S1053">
        <f>'E - Resource Limits'!J47</f>
        <v>0</v>
      </c>
      <c r="U1053">
        <f t="shared" si="231"/>
        <v>0</v>
      </c>
    </row>
    <row r="1054" spans="1:21">
      <c r="A1054" s="2895" t="str">
        <f>ORG!$S$1</f>
        <v>Apr 23</v>
      </c>
      <c r="B1054" t="str">
        <f>ORG!$M$1</f>
        <v>Public Health Wales Trust</v>
      </c>
      <c r="C1054" t="str">
        <f>'E - Resource Limits'!$A$5</f>
        <v>Table E - Resource Limits</v>
      </c>
      <c r="D1054" s="2898">
        <f t="shared" ref="D1054:E1054" si="286">D998</f>
        <v>36</v>
      </c>
      <c r="E1054" s="2898" t="str">
        <f t="shared" si="286"/>
        <v xml:space="preserve"> </v>
      </c>
      <c r="F1054" t="str">
        <f t="shared" si="254"/>
        <v>Total Capital Resource Limit</v>
      </c>
      <c r="S1054">
        <f>'E - Resource Limits'!J48</f>
        <v>0</v>
      </c>
      <c r="U1054">
        <f t="shared" si="231"/>
        <v>0</v>
      </c>
    </row>
    <row r="1055" spans="1:21">
      <c r="A1055" s="2895" t="str">
        <f>ORG!$S$1</f>
        <v>Apr 23</v>
      </c>
      <c r="B1055" t="str">
        <f>ORG!$M$1</f>
        <v>Public Health Wales Trust</v>
      </c>
      <c r="C1055" t="str">
        <f>'E - Resource Limits'!$A$5</f>
        <v>Table E - Resource Limits</v>
      </c>
      <c r="D1055" s="2898">
        <f t="shared" ref="D1055:E1055" si="287">D999</f>
        <v>37</v>
      </c>
      <c r="E1055" s="2898" t="str">
        <f t="shared" si="287"/>
        <v xml:space="preserve"> </v>
      </c>
      <c r="F1055" t="str">
        <f t="shared" si="254"/>
        <v>Total Capital Resource Limit</v>
      </c>
      <c r="S1055">
        <f>'E - Resource Limits'!J49</f>
        <v>0</v>
      </c>
      <c r="U1055">
        <f t="shared" si="231"/>
        <v>0</v>
      </c>
    </row>
    <row r="1056" spans="1:21">
      <c r="A1056" s="2895" t="str">
        <f>ORG!$S$1</f>
        <v>Apr 23</v>
      </c>
      <c r="B1056" t="str">
        <f>ORG!$M$1</f>
        <v>Public Health Wales Trust</v>
      </c>
      <c r="C1056" t="str">
        <f>'E - Resource Limits'!$A$5</f>
        <v>Table E - Resource Limits</v>
      </c>
      <c r="D1056" s="2898">
        <f t="shared" ref="D1056:E1056" si="288">D1000</f>
        <v>38</v>
      </c>
      <c r="E1056" s="2898" t="str">
        <f t="shared" si="288"/>
        <v xml:space="preserve"> </v>
      </c>
      <c r="F1056" t="str">
        <f t="shared" si="254"/>
        <v>Total Capital Resource Limit</v>
      </c>
      <c r="S1056">
        <f>'E - Resource Limits'!J50</f>
        <v>0</v>
      </c>
      <c r="U1056">
        <f t="shared" si="231"/>
        <v>0</v>
      </c>
    </row>
    <row r="1057" spans="1:21">
      <c r="A1057" s="2895" t="str">
        <f>ORG!$S$1</f>
        <v>Apr 23</v>
      </c>
      <c r="B1057" t="str">
        <f>ORG!$M$1</f>
        <v>Public Health Wales Trust</v>
      </c>
      <c r="C1057" t="str">
        <f>'E - Resource Limits'!$A$5</f>
        <v>Table E - Resource Limits</v>
      </c>
      <c r="D1057" s="2898">
        <f t="shared" ref="D1057:E1057" si="289">D1001</f>
        <v>39</v>
      </c>
      <c r="E1057" s="2898" t="str">
        <f t="shared" si="289"/>
        <v xml:space="preserve"> </v>
      </c>
      <c r="F1057" t="str">
        <f t="shared" si="254"/>
        <v>Total Capital Resource Limit</v>
      </c>
      <c r="S1057">
        <f>'E - Resource Limits'!J51</f>
        <v>0</v>
      </c>
      <c r="U1057">
        <f t="shared" si="231"/>
        <v>0</v>
      </c>
    </row>
    <row r="1058" spans="1:21">
      <c r="A1058" s="2895" t="str">
        <f>ORG!$S$1</f>
        <v>Apr 23</v>
      </c>
      <c r="B1058" t="str">
        <f>ORG!$M$1</f>
        <v>Public Health Wales Trust</v>
      </c>
      <c r="C1058" t="str">
        <f>'E - Resource Limits'!$A$5</f>
        <v>Table E - Resource Limits</v>
      </c>
      <c r="D1058" s="2898">
        <f t="shared" ref="D1058:E1058" si="290">D1002</f>
        <v>40</v>
      </c>
      <c r="E1058" s="2898" t="str">
        <f t="shared" si="290"/>
        <v xml:space="preserve"> </v>
      </c>
      <c r="F1058" t="str">
        <f t="shared" si="254"/>
        <v>Total Capital Resource Limit</v>
      </c>
      <c r="S1058">
        <f>'E - Resource Limits'!J52</f>
        <v>0</v>
      </c>
      <c r="U1058">
        <f t="shared" si="231"/>
        <v>0</v>
      </c>
    </row>
    <row r="1059" spans="1:21">
      <c r="A1059" s="2895" t="str">
        <f>ORG!$S$1</f>
        <v>Apr 23</v>
      </c>
      <c r="B1059" t="str">
        <f>ORG!$M$1</f>
        <v>Public Health Wales Trust</v>
      </c>
      <c r="C1059" t="str">
        <f>'E - Resource Limits'!$A$5</f>
        <v>Table E - Resource Limits</v>
      </c>
      <c r="D1059" s="2898">
        <f t="shared" ref="D1059:E1059" si="291">D1003</f>
        <v>41</v>
      </c>
      <c r="E1059" s="2898" t="str">
        <f t="shared" si="291"/>
        <v xml:space="preserve"> </v>
      </c>
      <c r="F1059" t="str">
        <f t="shared" si="254"/>
        <v>Total Capital Resource Limit</v>
      </c>
      <c r="S1059">
        <f>'E - Resource Limits'!J53</f>
        <v>0</v>
      </c>
      <c r="U1059">
        <f t="shared" si="231"/>
        <v>0</v>
      </c>
    </row>
    <row r="1060" spans="1:21">
      <c r="A1060" s="2895" t="str">
        <f>ORG!$S$1</f>
        <v>Apr 23</v>
      </c>
      <c r="B1060" t="str">
        <f>ORG!$M$1</f>
        <v>Public Health Wales Trust</v>
      </c>
      <c r="C1060" t="str">
        <f>'E - Resource Limits'!$A$5</f>
        <v>Table E - Resource Limits</v>
      </c>
      <c r="D1060" s="2898">
        <f t="shared" ref="D1060:E1060" si="292">D1004</f>
        <v>42</v>
      </c>
      <c r="E1060" s="2898" t="str">
        <f t="shared" si="292"/>
        <v xml:space="preserve"> </v>
      </c>
      <c r="F1060" t="str">
        <f t="shared" si="254"/>
        <v>Total Capital Resource Limit</v>
      </c>
      <c r="S1060">
        <f>'E - Resource Limits'!J54</f>
        <v>0</v>
      </c>
      <c r="U1060">
        <f t="shared" si="231"/>
        <v>0</v>
      </c>
    </row>
    <row r="1061" spans="1:21">
      <c r="A1061" s="2895" t="str">
        <f>ORG!$S$1</f>
        <v>Apr 23</v>
      </c>
      <c r="B1061" t="str">
        <f>ORG!$M$1</f>
        <v>Public Health Wales Trust</v>
      </c>
      <c r="C1061" t="str">
        <f>'E - Resource Limits'!$A$5</f>
        <v>Table E - Resource Limits</v>
      </c>
      <c r="D1061" s="2898">
        <f t="shared" ref="D1061:E1061" si="293">D1005</f>
        <v>43</v>
      </c>
      <c r="E1061" s="2898" t="str">
        <f t="shared" si="293"/>
        <v xml:space="preserve"> </v>
      </c>
      <c r="F1061" t="str">
        <f t="shared" si="254"/>
        <v>Total Capital Resource Limit</v>
      </c>
      <c r="S1061">
        <f>'E - Resource Limits'!J55</f>
        <v>0</v>
      </c>
      <c r="U1061">
        <f t="shared" ref="U1061:U1124" si="294">S1061+T1061</f>
        <v>0</v>
      </c>
    </row>
    <row r="1062" spans="1:21">
      <c r="A1062" s="2895" t="str">
        <f>ORG!$S$1</f>
        <v>Apr 23</v>
      </c>
      <c r="B1062" t="str">
        <f>ORG!$M$1</f>
        <v>Public Health Wales Trust</v>
      </c>
      <c r="C1062" t="str">
        <f>'E - Resource Limits'!$A$5</f>
        <v>Table E - Resource Limits</v>
      </c>
      <c r="D1062" s="2898">
        <f t="shared" ref="D1062:E1062" si="295">D1006</f>
        <v>44</v>
      </c>
      <c r="E1062" s="2898" t="str">
        <f t="shared" si="295"/>
        <v xml:space="preserve"> </v>
      </c>
      <c r="F1062" t="str">
        <f t="shared" si="254"/>
        <v>Total Capital Resource Limit</v>
      </c>
      <c r="S1062">
        <f>'E - Resource Limits'!J56</f>
        <v>0</v>
      </c>
      <c r="U1062">
        <f t="shared" si="294"/>
        <v>0</v>
      </c>
    </row>
    <row r="1063" spans="1:21">
      <c r="A1063" s="2895" t="str">
        <f>ORG!$S$1</f>
        <v>Apr 23</v>
      </c>
      <c r="B1063" t="str">
        <f>ORG!$M$1</f>
        <v>Public Health Wales Trust</v>
      </c>
      <c r="C1063" t="str">
        <f>'E - Resource Limits'!$A$5</f>
        <v>Table E - Resource Limits</v>
      </c>
      <c r="D1063" s="2898">
        <f t="shared" ref="D1063:E1063" si="296">D1007</f>
        <v>45</v>
      </c>
      <c r="E1063" s="2898" t="str">
        <f t="shared" si="296"/>
        <v xml:space="preserve"> </v>
      </c>
      <c r="F1063" t="str">
        <f t="shared" si="254"/>
        <v>Total Capital Resource Limit</v>
      </c>
      <c r="S1063">
        <f>'E - Resource Limits'!J57</f>
        <v>0</v>
      </c>
      <c r="U1063">
        <f t="shared" si="294"/>
        <v>0</v>
      </c>
    </row>
    <row r="1064" spans="1:21">
      <c r="A1064" s="2895" t="str">
        <f>ORG!$S$1</f>
        <v>Apr 23</v>
      </c>
      <c r="B1064" t="str">
        <f>ORG!$M$1</f>
        <v>Public Health Wales Trust</v>
      </c>
      <c r="C1064" t="str">
        <f>'E - Resource Limits'!$A$5</f>
        <v>Table E - Resource Limits</v>
      </c>
      <c r="D1064" s="2898">
        <f t="shared" ref="D1064:E1064" si="297">D1008</f>
        <v>46</v>
      </c>
      <c r="E1064" s="2898" t="str">
        <f t="shared" si="297"/>
        <v xml:space="preserve"> </v>
      </c>
      <c r="F1064" t="str">
        <f t="shared" si="254"/>
        <v>Total Capital Resource Limit</v>
      </c>
      <c r="S1064">
        <f>'E - Resource Limits'!J58</f>
        <v>0</v>
      </c>
      <c r="U1064">
        <f t="shared" si="294"/>
        <v>0</v>
      </c>
    </row>
    <row r="1065" spans="1:21">
      <c r="A1065" s="2895" t="str">
        <f>ORG!$S$1</f>
        <v>Apr 23</v>
      </c>
      <c r="B1065" t="str">
        <f>ORG!$M$1</f>
        <v>Public Health Wales Trust</v>
      </c>
      <c r="C1065" t="str">
        <f>'E - Resource Limits'!$A$5</f>
        <v>Table E - Resource Limits</v>
      </c>
      <c r="D1065" s="2898">
        <f t="shared" ref="D1065:E1065" si="298">D1009</f>
        <v>47</v>
      </c>
      <c r="E1065" s="2898" t="str">
        <f t="shared" si="298"/>
        <v xml:space="preserve"> </v>
      </c>
      <c r="F1065" t="str">
        <f t="shared" si="254"/>
        <v>Total Capital Resource Limit</v>
      </c>
      <c r="S1065">
        <f>'E - Resource Limits'!J59</f>
        <v>0</v>
      </c>
      <c r="U1065">
        <f t="shared" si="294"/>
        <v>0</v>
      </c>
    </row>
    <row r="1066" spans="1:21">
      <c r="A1066" s="2895" t="str">
        <f>ORG!$S$1</f>
        <v>Apr 23</v>
      </c>
      <c r="B1066" t="str">
        <f>ORG!$M$1</f>
        <v>Public Health Wales Trust</v>
      </c>
      <c r="C1066" t="str">
        <f>'E - Resource Limits'!$A$5</f>
        <v>Table E - Resource Limits</v>
      </c>
      <c r="D1066" s="2898">
        <f t="shared" ref="D1066:E1066" si="299">D1010</f>
        <v>48</v>
      </c>
      <c r="E1066" s="2898" t="str">
        <f t="shared" si="299"/>
        <v xml:space="preserve"> </v>
      </c>
      <c r="F1066" t="str">
        <f t="shared" si="254"/>
        <v>Total Capital Resource Limit</v>
      </c>
      <c r="S1066">
        <f>'E - Resource Limits'!J60</f>
        <v>0</v>
      </c>
      <c r="U1066">
        <f t="shared" si="294"/>
        <v>0</v>
      </c>
    </row>
    <row r="1067" spans="1:21">
      <c r="A1067" s="2895" t="str">
        <f>ORG!$S$1</f>
        <v>Apr 23</v>
      </c>
      <c r="B1067" t="str">
        <f>ORG!$M$1</f>
        <v>Public Health Wales Trust</v>
      </c>
      <c r="C1067" t="str">
        <f>'E - Resource Limits'!$A$5</f>
        <v>Table E - Resource Limits</v>
      </c>
      <c r="D1067" s="2898">
        <f t="shared" ref="D1067:E1067" si="300">D1011</f>
        <v>49</v>
      </c>
      <c r="E1067" s="2898" t="str">
        <f t="shared" si="300"/>
        <v xml:space="preserve"> </v>
      </c>
      <c r="F1067" t="str">
        <f t="shared" si="254"/>
        <v>Total Capital Resource Limit</v>
      </c>
      <c r="S1067">
        <f>'E - Resource Limits'!J61</f>
        <v>0</v>
      </c>
      <c r="U1067">
        <f t="shared" si="294"/>
        <v>0</v>
      </c>
    </row>
    <row r="1068" spans="1:21">
      <c r="A1068" s="2895" t="str">
        <f>ORG!$S$1</f>
        <v>Apr 23</v>
      </c>
      <c r="B1068" t="str">
        <f>ORG!$M$1</f>
        <v>Public Health Wales Trust</v>
      </c>
      <c r="C1068" t="str">
        <f>'E - Resource Limits'!$A$5</f>
        <v>Table E - Resource Limits</v>
      </c>
      <c r="D1068" s="2898">
        <f>D1012</f>
        <v>50</v>
      </c>
      <c r="E1068" s="2898" t="str">
        <f>E1012</f>
        <v xml:space="preserve"> </v>
      </c>
      <c r="F1068" t="str">
        <f>"Total Capital Resource Limit"</f>
        <v>Total Capital Resource Limit</v>
      </c>
      <c r="S1068">
        <f>'E - Resource Limits'!J62</f>
        <v>0</v>
      </c>
      <c r="U1068">
        <f t="shared" si="294"/>
        <v>0</v>
      </c>
    </row>
    <row r="1069" spans="1:21">
      <c r="A1069" s="2895" t="str">
        <f>ORG!$S$1</f>
        <v>Apr 23</v>
      </c>
      <c r="B1069" t="str">
        <f>ORG!$M$1</f>
        <v>Public Health Wales Trust</v>
      </c>
      <c r="C1069" t="str">
        <f>'E - Resource Limits'!$A$5</f>
        <v>Table E - Resource Limits</v>
      </c>
      <c r="D1069" s="2898">
        <f t="shared" ref="D1069:E1069" si="301">D1013</f>
        <v>51</v>
      </c>
      <c r="E1069" s="2898" t="str">
        <f t="shared" si="301"/>
        <v xml:space="preserve"> </v>
      </c>
      <c r="F1069" t="str">
        <f t="shared" ref="F1069:F1076" si="302">"Total Capital Resource Limit"</f>
        <v>Total Capital Resource Limit</v>
      </c>
      <c r="S1069">
        <f>'E - Resource Limits'!J63</f>
        <v>0</v>
      </c>
      <c r="U1069">
        <f t="shared" si="294"/>
        <v>0</v>
      </c>
    </row>
    <row r="1070" spans="1:21">
      <c r="A1070" s="2895" t="str">
        <f>ORG!$S$1</f>
        <v>Apr 23</v>
      </c>
      <c r="B1070" t="str">
        <f>ORG!$M$1</f>
        <v>Public Health Wales Trust</v>
      </c>
      <c r="C1070" t="str">
        <f>'E - Resource Limits'!$A$5</f>
        <v>Table E - Resource Limits</v>
      </c>
      <c r="D1070" s="2898">
        <f t="shared" ref="D1070:E1070" si="303">D1014</f>
        <v>52</v>
      </c>
      <c r="E1070" s="2898" t="str">
        <f t="shared" si="303"/>
        <v xml:space="preserve"> </v>
      </c>
      <c r="F1070" t="str">
        <f t="shared" si="302"/>
        <v>Total Capital Resource Limit</v>
      </c>
      <c r="S1070">
        <f>'E - Resource Limits'!J64</f>
        <v>0</v>
      </c>
      <c r="U1070">
        <f t="shared" si="294"/>
        <v>0</v>
      </c>
    </row>
    <row r="1071" spans="1:21">
      <c r="A1071" s="2895" t="str">
        <f>ORG!$S$1</f>
        <v>Apr 23</v>
      </c>
      <c r="B1071" t="str">
        <f>ORG!$M$1</f>
        <v>Public Health Wales Trust</v>
      </c>
      <c r="C1071" t="str">
        <f>'E - Resource Limits'!$A$5</f>
        <v>Table E - Resource Limits</v>
      </c>
      <c r="D1071" s="2898">
        <f t="shared" ref="D1071:E1071" si="304">D1015</f>
        <v>53</v>
      </c>
      <c r="E1071" s="2898" t="str">
        <f t="shared" si="304"/>
        <v xml:space="preserve"> </v>
      </c>
      <c r="F1071" t="str">
        <f t="shared" si="302"/>
        <v>Total Capital Resource Limit</v>
      </c>
      <c r="S1071">
        <f>'E - Resource Limits'!J65</f>
        <v>0</v>
      </c>
      <c r="U1071">
        <f t="shared" si="294"/>
        <v>0</v>
      </c>
    </row>
    <row r="1072" spans="1:21">
      <c r="A1072" s="2895" t="str">
        <f>ORG!$S$1</f>
        <v>Apr 23</v>
      </c>
      <c r="B1072" t="str">
        <f>ORG!$M$1</f>
        <v>Public Health Wales Trust</v>
      </c>
      <c r="C1072" t="str">
        <f>'E - Resource Limits'!$A$5</f>
        <v>Table E - Resource Limits</v>
      </c>
      <c r="D1072" s="2898">
        <f t="shared" ref="D1072:E1072" si="305">D1016</f>
        <v>54</v>
      </c>
      <c r="E1072" s="2898" t="str">
        <f t="shared" si="305"/>
        <v xml:space="preserve"> </v>
      </c>
      <c r="F1072" t="str">
        <f t="shared" si="302"/>
        <v>Total Capital Resource Limit</v>
      </c>
      <c r="S1072">
        <f>'E - Resource Limits'!J66</f>
        <v>0</v>
      </c>
      <c r="U1072">
        <f t="shared" si="294"/>
        <v>0</v>
      </c>
    </row>
    <row r="1073" spans="1:21">
      <c r="A1073" s="2895" t="str">
        <f>ORG!$S$1</f>
        <v>Apr 23</v>
      </c>
      <c r="B1073" t="str">
        <f>ORG!$M$1</f>
        <v>Public Health Wales Trust</v>
      </c>
      <c r="C1073" t="str">
        <f>'E - Resource Limits'!$A$5</f>
        <v>Table E - Resource Limits</v>
      </c>
      <c r="D1073" s="2898">
        <f t="shared" ref="D1073:E1073" si="306">D1017</f>
        <v>55</v>
      </c>
      <c r="E1073" s="2898" t="str">
        <f t="shared" si="306"/>
        <v xml:space="preserve"> </v>
      </c>
      <c r="F1073" t="str">
        <f t="shared" si="302"/>
        <v>Total Capital Resource Limit</v>
      </c>
      <c r="S1073">
        <f>'E - Resource Limits'!J67</f>
        <v>0</v>
      </c>
      <c r="U1073">
        <f t="shared" si="294"/>
        <v>0</v>
      </c>
    </row>
    <row r="1074" spans="1:21">
      <c r="A1074" s="2895" t="str">
        <f>ORG!$S$1</f>
        <v>Apr 23</v>
      </c>
      <c r="B1074" t="str">
        <f>ORG!$M$1</f>
        <v>Public Health Wales Trust</v>
      </c>
      <c r="C1074" t="str">
        <f>'E - Resource Limits'!$A$5</f>
        <v>Table E - Resource Limits</v>
      </c>
      <c r="D1074" s="2898">
        <f t="shared" ref="D1074:E1074" si="307">D1018</f>
        <v>61</v>
      </c>
      <c r="E1074" s="2898" t="str">
        <f t="shared" si="307"/>
        <v xml:space="preserve">Capital Working Balances Request </v>
      </c>
      <c r="F1074" t="str">
        <f t="shared" si="302"/>
        <v>Total Capital Resource Limit</v>
      </c>
      <c r="S1074">
        <f>'E - Resource Limits'!J73</f>
        <v>0</v>
      </c>
      <c r="U1074">
        <f t="shared" si="294"/>
        <v>0</v>
      </c>
    </row>
    <row r="1075" spans="1:21">
      <c r="A1075" s="2895" t="str">
        <f>ORG!$S$1</f>
        <v>Apr 23</v>
      </c>
      <c r="B1075" t="str">
        <f>ORG!$M$1</f>
        <v>Public Health Wales Trust</v>
      </c>
      <c r="C1075" t="str">
        <f>'E - Resource Limits'!$A$5</f>
        <v>Table E - Resource Limits</v>
      </c>
      <c r="D1075" s="2898">
        <f t="shared" ref="D1075:E1075" si="308">D1019</f>
        <v>62</v>
      </c>
      <c r="E1075" s="2898" t="str">
        <f t="shared" si="308"/>
        <v xml:space="preserve">Capital IFRS16 Leases Working Balances Request </v>
      </c>
      <c r="F1075" t="str">
        <f t="shared" si="302"/>
        <v>Total Capital Resource Limit</v>
      </c>
      <c r="S1075">
        <f>'E - Resource Limits'!J74</f>
        <v>0</v>
      </c>
      <c r="U1075">
        <f t="shared" si="294"/>
        <v>0</v>
      </c>
    </row>
    <row r="1076" spans="1:21">
      <c r="A1076" s="2895" t="str">
        <f>ORG!$S$1</f>
        <v>Apr 23</v>
      </c>
      <c r="B1076" t="str">
        <f>ORG!$M$1</f>
        <v>Public Health Wales Trust</v>
      </c>
      <c r="C1076" t="str">
        <f>'E - Resource Limits'!$A$5</f>
        <v>Table E - Resource Limits</v>
      </c>
      <c r="D1076" s="2898">
        <f t="shared" ref="D1076:E1076" si="309">D1020</f>
        <v>63</v>
      </c>
      <c r="E1076" s="2898" t="str">
        <f t="shared" si="309"/>
        <v>Total Anticipated Funding</v>
      </c>
      <c r="F1076" t="str">
        <f t="shared" si="302"/>
        <v>Total Capital Resource Limit</v>
      </c>
      <c r="S1076">
        <f>'E - Resource Limits'!J75</f>
        <v>0</v>
      </c>
      <c r="U1076">
        <f t="shared" si="294"/>
        <v>0</v>
      </c>
    </row>
    <row r="1077" spans="1:21">
      <c r="A1077" s="2895" t="str">
        <f>ORG!$S$1</f>
        <v>Apr 23</v>
      </c>
      <c r="B1077" t="str">
        <f>ORG!$M$1</f>
        <v>Public Health Wales Trust</v>
      </c>
      <c r="C1077" t="str">
        <f>'E - Resource Limits'!$A$5</f>
        <v>Table E - Resource Limits</v>
      </c>
      <c r="D1077" s="2898">
        <f>D1021</f>
        <v>3</v>
      </c>
      <c r="E1077" s="2898" t="str">
        <f>E1021</f>
        <v xml:space="preserve">DEL Non Cash Depreciation - Baseline Surplus / Shortfall </v>
      </c>
      <c r="F1077" t="str">
        <f>"Total Capital Drawing Limit"</f>
        <v>Total Capital Drawing Limit</v>
      </c>
      <c r="S1077">
        <f>'E - Resource Limits'!K15</f>
        <v>0</v>
      </c>
      <c r="U1077">
        <f t="shared" si="294"/>
        <v>0</v>
      </c>
    </row>
    <row r="1078" spans="1:21">
      <c r="A1078" s="2895" t="str">
        <f>ORG!$S$1</f>
        <v>Apr 23</v>
      </c>
      <c r="B1078" t="str">
        <f>ORG!$M$1</f>
        <v>Public Health Wales Trust</v>
      </c>
      <c r="C1078" t="str">
        <f>'E - Resource Limits'!$A$5</f>
        <v>Table E - Resource Limits</v>
      </c>
      <c r="D1078" s="2898">
        <f t="shared" ref="D1078:E1078" si="310">D1022</f>
        <v>4</v>
      </c>
      <c r="E1078" s="2898"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5" t="str">
        <f>ORG!$S$1</f>
        <v>Apr 23</v>
      </c>
      <c r="B1079" t="str">
        <f>ORG!$M$1</f>
        <v>Public Health Wales Trust</v>
      </c>
      <c r="C1079" t="str">
        <f>'E - Resource Limits'!$A$5</f>
        <v>Table E - Resource Limits</v>
      </c>
      <c r="D1079" s="2898">
        <f t="shared" ref="D1079:E1079" si="312">D1023</f>
        <v>5</v>
      </c>
      <c r="E1079" s="2898" t="str">
        <f t="shared" si="312"/>
        <v xml:space="preserve">DEL Non Cash Depreciation - Accelerated </v>
      </c>
      <c r="F1079" t="str">
        <f t="shared" si="311"/>
        <v>Total Capital Drawing Limit</v>
      </c>
      <c r="S1079">
        <f>'E - Resource Limits'!K17</f>
        <v>0</v>
      </c>
      <c r="U1079">
        <f t="shared" si="294"/>
        <v>0</v>
      </c>
    </row>
    <row r="1080" spans="1:21">
      <c r="A1080" s="2895" t="str">
        <f>ORG!$S$1</f>
        <v>Apr 23</v>
      </c>
      <c r="B1080" t="str">
        <f>ORG!$M$1</f>
        <v>Public Health Wales Trust</v>
      </c>
      <c r="C1080" t="str">
        <f>'E - Resource Limits'!$A$5</f>
        <v>Table E - Resource Limits</v>
      </c>
      <c r="D1080" s="2898">
        <f t="shared" ref="D1080:E1080" si="313">D1024</f>
        <v>6</v>
      </c>
      <c r="E1080" s="2898" t="str">
        <f t="shared" si="313"/>
        <v xml:space="preserve">DEL Non Cash Depreciation - Impairment </v>
      </c>
      <c r="F1080" t="str">
        <f t="shared" si="311"/>
        <v>Total Capital Drawing Limit</v>
      </c>
      <c r="S1080">
        <f>'E - Resource Limits'!K18</f>
        <v>0</v>
      </c>
      <c r="U1080">
        <f t="shared" si="294"/>
        <v>0</v>
      </c>
    </row>
    <row r="1081" spans="1:21">
      <c r="A1081" s="2895" t="str">
        <f>ORG!$S$1</f>
        <v>Apr 23</v>
      </c>
      <c r="B1081" t="str">
        <f>ORG!$M$1</f>
        <v>Public Health Wales Trust</v>
      </c>
      <c r="C1081" t="str">
        <f>'E - Resource Limits'!$A$5</f>
        <v>Table E - Resource Limits</v>
      </c>
      <c r="D1081" s="2898">
        <f t="shared" ref="D1081:E1081" si="314">D1025</f>
        <v>7</v>
      </c>
      <c r="E1081" s="2898" t="str">
        <f t="shared" si="314"/>
        <v xml:space="preserve">DEL Non Cash Depreciation - IFRS 16 Leases </v>
      </c>
      <c r="F1081" t="str">
        <f t="shared" si="311"/>
        <v>Total Capital Drawing Limit</v>
      </c>
      <c r="S1081">
        <f>'E - Resource Limits'!K19</f>
        <v>0</v>
      </c>
      <c r="U1081">
        <f t="shared" si="294"/>
        <v>0</v>
      </c>
    </row>
    <row r="1082" spans="1:21">
      <c r="A1082" s="2895" t="str">
        <f>ORG!$S$1</f>
        <v>Apr 23</v>
      </c>
      <c r="B1082" t="str">
        <f>ORG!$M$1</f>
        <v>Public Health Wales Trust</v>
      </c>
      <c r="C1082" t="str">
        <f>'E - Resource Limits'!$A$5</f>
        <v>Table E - Resource Limits</v>
      </c>
      <c r="D1082" s="2898">
        <f t="shared" ref="D1082:E1082" si="315">D1026</f>
        <v>8</v>
      </c>
      <c r="E1082" s="2898" t="str">
        <f t="shared" si="315"/>
        <v xml:space="preserve">AME Non Cash Depreciation -  IFRS 16 Leases (Peppercorn) </v>
      </c>
      <c r="F1082" t="str">
        <f t="shared" si="311"/>
        <v>Total Capital Drawing Limit</v>
      </c>
      <c r="S1082">
        <f>'E - Resource Limits'!K20</f>
        <v>0</v>
      </c>
      <c r="U1082">
        <f t="shared" si="294"/>
        <v>0</v>
      </c>
    </row>
    <row r="1083" spans="1:21">
      <c r="A1083" s="2895" t="str">
        <f>ORG!$S$1</f>
        <v>Apr 23</v>
      </c>
      <c r="B1083" t="str">
        <f>ORG!$M$1</f>
        <v>Public Health Wales Trust</v>
      </c>
      <c r="C1083" t="str">
        <f>'E - Resource Limits'!$A$5</f>
        <v>Table E - Resource Limits</v>
      </c>
      <c r="D1083" s="2898">
        <f t="shared" ref="D1083:E1083" si="316">D1027</f>
        <v>9</v>
      </c>
      <c r="E1083" s="2898" t="str">
        <f t="shared" si="316"/>
        <v xml:space="preserve">AME Non Cash Depreciation - Donated Assets </v>
      </c>
      <c r="F1083" t="str">
        <f t="shared" si="311"/>
        <v>Total Capital Drawing Limit</v>
      </c>
      <c r="S1083">
        <f>'E - Resource Limits'!K21</f>
        <v>0</v>
      </c>
      <c r="U1083">
        <f t="shared" si="294"/>
        <v>0</v>
      </c>
    </row>
    <row r="1084" spans="1:21">
      <c r="A1084" s="2895" t="str">
        <f>ORG!$S$1</f>
        <v>Apr 23</v>
      </c>
      <c r="B1084" t="str">
        <f>ORG!$M$1</f>
        <v>Public Health Wales Trust</v>
      </c>
      <c r="C1084" t="str">
        <f>'E - Resource Limits'!$A$5</f>
        <v>Table E - Resource Limits</v>
      </c>
      <c r="D1084" s="2898">
        <f t="shared" ref="D1084:E1084" si="317">D1028</f>
        <v>10</v>
      </c>
      <c r="E1084" s="2898" t="str">
        <f t="shared" si="317"/>
        <v xml:space="preserve">AME Non Cash Depreciation - Impairment </v>
      </c>
      <c r="F1084" t="str">
        <f t="shared" si="311"/>
        <v>Total Capital Drawing Limit</v>
      </c>
      <c r="S1084">
        <f>'E - Resource Limits'!K22</f>
        <v>0</v>
      </c>
      <c r="U1084">
        <f t="shared" si="294"/>
        <v>0</v>
      </c>
    </row>
    <row r="1085" spans="1:21">
      <c r="A1085" s="2895" t="str">
        <f>ORG!$S$1</f>
        <v>Apr 23</v>
      </c>
      <c r="B1085" t="str">
        <f>ORG!$M$1</f>
        <v>Public Health Wales Trust</v>
      </c>
      <c r="C1085" t="str">
        <f>'E - Resource Limits'!$A$5</f>
        <v>Table E - Resource Limits</v>
      </c>
      <c r="D1085" s="2898">
        <f t="shared" ref="D1085:E1085" si="318">D1029</f>
        <v>11</v>
      </c>
      <c r="E1085" s="2898" t="str">
        <f t="shared" si="318"/>
        <v xml:space="preserve">AME Non Cash Depreciation - Impairment Reversals </v>
      </c>
      <c r="F1085" t="str">
        <f t="shared" si="311"/>
        <v>Total Capital Drawing Limit</v>
      </c>
      <c r="S1085">
        <f>'E - Resource Limits'!K23</f>
        <v>0</v>
      </c>
      <c r="U1085">
        <f t="shared" si="294"/>
        <v>0</v>
      </c>
    </row>
    <row r="1086" spans="1:21">
      <c r="A1086" s="2895" t="str">
        <f>ORG!$S$1</f>
        <v>Apr 23</v>
      </c>
      <c r="B1086" t="str">
        <f>ORG!$M$1</f>
        <v>Public Health Wales Trust</v>
      </c>
      <c r="C1086" t="str">
        <f>'E - Resource Limits'!$A$5</f>
        <v>Table E - Resource Limits</v>
      </c>
      <c r="D1086" s="2898">
        <f t="shared" ref="D1086:E1086" si="319">D1030</f>
        <v>12</v>
      </c>
      <c r="E1086" s="2898" t="str">
        <f t="shared" si="319"/>
        <v xml:space="preserve">Removal of Donated Assets / Government Grant Receipts </v>
      </c>
      <c r="F1086" t="str">
        <f t="shared" si="311"/>
        <v>Total Capital Drawing Limit</v>
      </c>
      <c r="S1086">
        <f>'E - Resource Limits'!K24</f>
        <v>0</v>
      </c>
      <c r="U1086">
        <f t="shared" si="294"/>
        <v>0</v>
      </c>
    </row>
    <row r="1087" spans="1:21">
      <c r="A1087" s="2895" t="str">
        <f>ORG!$S$1</f>
        <v>Apr 23</v>
      </c>
      <c r="B1087" t="str">
        <f>ORG!$M$1</f>
        <v>Public Health Wales Trust</v>
      </c>
      <c r="C1087" t="str">
        <f>'E - Resource Limits'!$A$5</f>
        <v>Table E - Resource Limits</v>
      </c>
      <c r="D1087" s="2898">
        <f t="shared" ref="D1087:E1087" si="320">D1031</f>
        <v>13</v>
      </c>
      <c r="E1087" s="2898" t="str">
        <f t="shared" si="320"/>
        <v xml:space="preserve">Total COVID-19 (see below analysis) </v>
      </c>
      <c r="F1087" t="str">
        <f t="shared" si="311"/>
        <v>Total Capital Drawing Limit</v>
      </c>
      <c r="S1087">
        <f>'E - Resource Limits'!K25</f>
        <v>0</v>
      </c>
      <c r="U1087">
        <f t="shared" si="294"/>
        <v>0</v>
      </c>
    </row>
    <row r="1088" spans="1:21">
      <c r="A1088" s="2895" t="str">
        <f>ORG!$S$1</f>
        <v>Apr 23</v>
      </c>
      <c r="B1088" t="str">
        <f>ORG!$M$1</f>
        <v>Public Health Wales Trust</v>
      </c>
      <c r="C1088" t="str">
        <f>'E - Resource Limits'!$A$5</f>
        <v>Table E - Resource Limits</v>
      </c>
      <c r="D1088" s="2898">
        <f t="shared" ref="D1088:E1088" si="321">D1032</f>
        <v>14</v>
      </c>
      <c r="E1088" s="2898" t="str">
        <f t="shared" si="321"/>
        <v xml:space="preserve">Removal of IFRS-16 Leases (Revenue) </v>
      </c>
      <c r="F1088" t="str">
        <f t="shared" si="311"/>
        <v>Total Capital Drawing Limit</v>
      </c>
      <c r="S1088">
        <f>'E - Resource Limits'!K26</f>
        <v>0</v>
      </c>
      <c r="U1088">
        <f t="shared" si="294"/>
        <v>0</v>
      </c>
    </row>
    <row r="1089" spans="1:21">
      <c r="A1089" s="2895" t="str">
        <f>ORG!$S$1</f>
        <v>Apr 23</v>
      </c>
      <c r="B1089" t="str">
        <f>ORG!$M$1</f>
        <v>Public Health Wales Trust</v>
      </c>
      <c r="C1089" t="str">
        <f>'E - Resource Limits'!$A$5</f>
        <v>Table E - Resource Limits</v>
      </c>
      <c r="D1089" s="2898">
        <f t="shared" ref="D1089:E1089" si="322">D1033</f>
        <v>15</v>
      </c>
      <c r="E1089" s="2898" t="str">
        <f t="shared" si="322"/>
        <v xml:space="preserve">Real Living Wage (Care Homes) </v>
      </c>
      <c r="F1089" t="str">
        <f t="shared" si="311"/>
        <v>Total Capital Drawing Limit</v>
      </c>
      <c r="S1089">
        <f>'E - Resource Limits'!K27</f>
        <v>0</v>
      </c>
      <c r="U1089">
        <f t="shared" si="294"/>
        <v>0</v>
      </c>
    </row>
    <row r="1090" spans="1:21">
      <c r="A1090" s="2895" t="str">
        <f>ORG!$S$1</f>
        <v>Apr 23</v>
      </c>
      <c r="B1090" t="str">
        <f>ORG!$M$1</f>
        <v>Public Health Wales Trust</v>
      </c>
      <c r="C1090" t="str">
        <f>'E - Resource Limits'!$A$5</f>
        <v>Table E - Resource Limits</v>
      </c>
      <c r="D1090" s="2898">
        <f t="shared" ref="D1090:E1090" si="323">D1034</f>
        <v>16</v>
      </c>
      <c r="E1090" s="2898" t="str">
        <f t="shared" si="323"/>
        <v xml:space="preserve"> </v>
      </c>
      <c r="F1090" t="str">
        <f t="shared" si="311"/>
        <v>Total Capital Drawing Limit</v>
      </c>
      <c r="S1090">
        <f>'E - Resource Limits'!K28</f>
        <v>0</v>
      </c>
      <c r="U1090">
        <f t="shared" si="294"/>
        <v>0</v>
      </c>
    </row>
    <row r="1091" spans="1:21">
      <c r="A1091" s="2895" t="str">
        <f>ORG!$S$1</f>
        <v>Apr 23</v>
      </c>
      <c r="B1091" t="str">
        <f>ORG!$M$1</f>
        <v>Public Health Wales Trust</v>
      </c>
      <c r="C1091" t="str">
        <f>'E - Resource Limits'!$A$5</f>
        <v>Table E - Resource Limits</v>
      </c>
      <c r="D1091" s="2898">
        <f t="shared" ref="D1091:E1091" si="324">D1035</f>
        <v>17</v>
      </c>
      <c r="E1091" s="2898" t="str">
        <f t="shared" si="324"/>
        <v xml:space="preserve"> </v>
      </c>
      <c r="F1091" t="str">
        <f t="shared" si="311"/>
        <v>Total Capital Drawing Limit</v>
      </c>
      <c r="S1091">
        <f>'E - Resource Limits'!K29</f>
        <v>0</v>
      </c>
      <c r="U1091">
        <f t="shared" si="294"/>
        <v>0</v>
      </c>
    </row>
    <row r="1092" spans="1:21">
      <c r="A1092" s="2895" t="str">
        <f>ORG!$S$1</f>
        <v>Apr 23</v>
      </c>
      <c r="B1092" t="str">
        <f>ORG!$M$1</f>
        <v>Public Health Wales Trust</v>
      </c>
      <c r="C1092" t="str">
        <f>'E - Resource Limits'!$A$5</f>
        <v>Table E - Resource Limits</v>
      </c>
      <c r="D1092" s="2898">
        <f t="shared" ref="D1092:E1092" si="325">D1036</f>
        <v>18</v>
      </c>
      <c r="E1092" s="2898" t="str">
        <f t="shared" si="325"/>
        <v xml:space="preserve"> </v>
      </c>
      <c r="F1092" t="str">
        <f t="shared" si="311"/>
        <v>Total Capital Drawing Limit</v>
      </c>
      <c r="S1092">
        <f>'E - Resource Limits'!K30</f>
        <v>0</v>
      </c>
      <c r="U1092">
        <f t="shared" si="294"/>
        <v>0</v>
      </c>
    </row>
    <row r="1093" spans="1:21">
      <c r="A1093" s="2895" t="str">
        <f>ORG!$S$1</f>
        <v>Apr 23</v>
      </c>
      <c r="B1093" t="str">
        <f>ORG!$M$1</f>
        <v>Public Health Wales Trust</v>
      </c>
      <c r="C1093" t="str">
        <f>'E - Resource Limits'!$A$5</f>
        <v>Table E - Resource Limits</v>
      </c>
      <c r="D1093" s="2898">
        <f t="shared" ref="D1093:E1093" si="326">D1037</f>
        <v>19</v>
      </c>
      <c r="E1093" s="2898" t="str">
        <f t="shared" si="326"/>
        <v xml:space="preserve"> </v>
      </c>
      <c r="F1093" t="str">
        <f t="shared" si="311"/>
        <v>Total Capital Drawing Limit</v>
      </c>
      <c r="S1093">
        <f>'E - Resource Limits'!K31</f>
        <v>0</v>
      </c>
      <c r="U1093">
        <f t="shared" si="294"/>
        <v>0</v>
      </c>
    </row>
    <row r="1094" spans="1:21">
      <c r="A1094" s="2895" t="str">
        <f>ORG!$S$1</f>
        <v>Apr 23</v>
      </c>
      <c r="B1094" t="str">
        <f>ORG!$M$1</f>
        <v>Public Health Wales Trust</v>
      </c>
      <c r="C1094" t="str">
        <f>'E - Resource Limits'!$A$5</f>
        <v>Table E - Resource Limits</v>
      </c>
      <c r="D1094" s="2898">
        <f t="shared" ref="D1094:E1094" si="327">D1038</f>
        <v>20</v>
      </c>
      <c r="E1094" s="2898" t="str">
        <f t="shared" si="327"/>
        <v xml:space="preserve"> </v>
      </c>
      <c r="F1094" t="str">
        <f t="shared" si="311"/>
        <v>Total Capital Drawing Limit</v>
      </c>
      <c r="S1094">
        <f>'E - Resource Limits'!K32</f>
        <v>0</v>
      </c>
      <c r="U1094">
        <f t="shared" si="294"/>
        <v>0</v>
      </c>
    </row>
    <row r="1095" spans="1:21">
      <c r="A1095" s="2895" t="str">
        <f>ORG!$S$1</f>
        <v>Apr 23</v>
      </c>
      <c r="B1095" t="str">
        <f>ORG!$M$1</f>
        <v>Public Health Wales Trust</v>
      </c>
      <c r="C1095" t="str">
        <f>'E - Resource Limits'!$A$5</f>
        <v>Table E - Resource Limits</v>
      </c>
      <c r="D1095" s="2898">
        <f t="shared" ref="D1095:E1095" si="328">D1039</f>
        <v>21</v>
      </c>
      <c r="E1095" s="2898" t="str">
        <f t="shared" si="328"/>
        <v xml:space="preserve"> </v>
      </c>
      <c r="F1095" t="str">
        <f t="shared" si="311"/>
        <v>Total Capital Drawing Limit</v>
      </c>
      <c r="S1095">
        <f>'E - Resource Limits'!K33</f>
        <v>0</v>
      </c>
      <c r="U1095">
        <f t="shared" si="294"/>
        <v>0</v>
      </c>
    </row>
    <row r="1096" spans="1:21">
      <c r="A1096" s="2895" t="str">
        <f>ORG!$S$1</f>
        <v>Apr 23</v>
      </c>
      <c r="B1096" t="str">
        <f>ORG!$M$1</f>
        <v>Public Health Wales Trust</v>
      </c>
      <c r="C1096" t="str">
        <f>'E - Resource Limits'!$A$5</f>
        <v>Table E - Resource Limits</v>
      </c>
      <c r="D1096" s="2898">
        <f t="shared" ref="D1096:E1096" si="329">D1040</f>
        <v>22</v>
      </c>
      <c r="E1096" s="2898" t="str">
        <f t="shared" si="329"/>
        <v xml:space="preserve"> </v>
      </c>
      <c r="F1096" t="str">
        <f t="shared" si="311"/>
        <v>Total Capital Drawing Limit</v>
      </c>
      <c r="S1096">
        <f>'E - Resource Limits'!K34</f>
        <v>0</v>
      </c>
      <c r="U1096">
        <f t="shared" si="294"/>
        <v>0</v>
      </c>
    </row>
    <row r="1097" spans="1:21">
      <c r="A1097" s="2895" t="str">
        <f>ORG!$S$1</f>
        <v>Apr 23</v>
      </c>
      <c r="B1097" t="str">
        <f>ORG!$M$1</f>
        <v>Public Health Wales Trust</v>
      </c>
      <c r="C1097" t="str">
        <f>'E - Resource Limits'!$A$5</f>
        <v>Table E - Resource Limits</v>
      </c>
      <c r="D1097" s="2898">
        <f t="shared" ref="D1097:E1097" si="330">D1041</f>
        <v>23</v>
      </c>
      <c r="E1097" s="2898" t="str">
        <f t="shared" si="330"/>
        <v xml:space="preserve"> </v>
      </c>
      <c r="F1097" t="str">
        <f t="shared" si="311"/>
        <v>Total Capital Drawing Limit</v>
      </c>
      <c r="S1097">
        <f>'E - Resource Limits'!K35</f>
        <v>0</v>
      </c>
      <c r="U1097">
        <f t="shared" si="294"/>
        <v>0</v>
      </c>
    </row>
    <row r="1098" spans="1:21">
      <c r="A1098" s="2895" t="str">
        <f>ORG!$S$1</f>
        <v>Apr 23</v>
      </c>
      <c r="B1098" t="str">
        <f>ORG!$M$1</f>
        <v>Public Health Wales Trust</v>
      </c>
      <c r="C1098" t="str">
        <f>'E - Resource Limits'!$A$5</f>
        <v>Table E - Resource Limits</v>
      </c>
      <c r="D1098" s="2898">
        <f t="shared" ref="D1098:E1098" si="331">D1042</f>
        <v>24</v>
      </c>
      <c r="E1098" s="2898" t="str">
        <f t="shared" si="331"/>
        <v xml:space="preserve"> </v>
      </c>
      <c r="F1098" t="str">
        <f t="shared" si="311"/>
        <v>Total Capital Drawing Limit</v>
      </c>
      <c r="S1098">
        <f>'E - Resource Limits'!K36</f>
        <v>0</v>
      </c>
      <c r="U1098">
        <f t="shared" si="294"/>
        <v>0</v>
      </c>
    </row>
    <row r="1099" spans="1:21">
      <c r="A1099" s="2895" t="str">
        <f>ORG!$S$1</f>
        <v>Apr 23</v>
      </c>
      <c r="B1099" t="str">
        <f>ORG!$M$1</f>
        <v>Public Health Wales Trust</v>
      </c>
      <c r="C1099" t="str">
        <f>'E - Resource Limits'!$A$5</f>
        <v>Table E - Resource Limits</v>
      </c>
      <c r="D1099" s="2898">
        <f t="shared" ref="D1099:E1099" si="332">D1043</f>
        <v>25</v>
      </c>
      <c r="E1099" s="2898" t="str">
        <f t="shared" si="332"/>
        <v xml:space="preserve"> </v>
      </c>
      <c r="F1099" t="str">
        <f t="shared" si="311"/>
        <v>Total Capital Drawing Limit</v>
      </c>
      <c r="S1099">
        <f>'E - Resource Limits'!K37</f>
        <v>0</v>
      </c>
      <c r="U1099">
        <f t="shared" si="294"/>
        <v>0</v>
      </c>
    </row>
    <row r="1100" spans="1:21">
      <c r="A1100" s="2895" t="str">
        <f>ORG!$S$1</f>
        <v>Apr 23</v>
      </c>
      <c r="B1100" t="str">
        <f>ORG!$M$1</f>
        <v>Public Health Wales Trust</v>
      </c>
      <c r="C1100" t="str">
        <f>'E - Resource Limits'!$A$5</f>
        <v>Table E - Resource Limits</v>
      </c>
      <c r="D1100" s="2898">
        <f t="shared" ref="D1100:E1100" si="333">D1044</f>
        <v>26</v>
      </c>
      <c r="E1100" s="2898" t="str">
        <f t="shared" si="333"/>
        <v xml:space="preserve"> </v>
      </c>
      <c r="F1100" t="str">
        <f t="shared" si="311"/>
        <v>Total Capital Drawing Limit</v>
      </c>
      <c r="S1100">
        <f>'E - Resource Limits'!K38</f>
        <v>0</v>
      </c>
      <c r="U1100">
        <f t="shared" si="294"/>
        <v>0</v>
      </c>
    </row>
    <row r="1101" spans="1:21">
      <c r="A1101" s="2895" t="str">
        <f>ORG!$S$1</f>
        <v>Apr 23</v>
      </c>
      <c r="B1101" t="str">
        <f>ORG!$M$1</f>
        <v>Public Health Wales Trust</v>
      </c>
      <c r="C1101" t="str">
        <f>'E - Resource Limits'!$A$5</f>
        <v>Table E - Resource Limits</v>
      </c>
      <c r="D1101" s="2898">
        <f t="shared" ref="D1101:E1101" si="334">D1045</f>
        <v>27</v>
      </c>
      <c r="E1101" s="2898" t="str">
        <f t="shared" si="334"/>
        <v xml:space="preserve"> </v>
      </c>
      <c r="F1101" t="str">
        <f t="shared" si="311"/>
        <v>Total Capital Drawing Limit</v>
      </c>
      <c r="S1101">
        <f>'E - Resource Limits'!K39</f>
        <v>0</v>
      </c>
      <c r="U1101">
        <f t="shared" si="294"/>
        <v>0</v>
      </c>
    </row>
    <row r="1102" spans="1:21">
      <c r="A1102" s="2895" t="str">
        <f>ORG!$S$1</f>
        <v>Apr 23</v>
      </c>
      <c r="B1102" t="str">
        <f>ORG!$M$1</f>
        <v>Public Health Wales Trust</v>
      </c>
      <c r="C1102" t="str">
        <f>'E - Resource Limits'!$A$5</f>
        <v>Table E - Resource Limits</v>
      </c>
      <c r="D1102" s="2898">
        <f t="shared" ref="D1102:E1102" si="335">D1046</f>
        <v>28</v>
      </c>
      <c r="E1102" s="2898" t="str">
        <f t="shared" si="335"/>
        <v xml:space="preserve"> </v>
      </c>
      <c r="F1102" t="str">
        <f t="shared" si="311"/>
        <v>Total Capital Drawing Limit</v>
      </c>
      <c r="S1102">
        <f>'E - Resource Limits'!K40</f>
        <v>0</v>
      </c>
      <c r="U1102">
        <f t="shared" si="294"/>
        <v>0</v>
      </c>
    </row>
    <row r="1103" spans="1:21">
      <c r="A1103" s="2895" t="str">
        <f>ORG!$S$1</f>
        <v>Apr 23</v>
      </c>
      <c r="B1103" t="str">
        <f>ORG!$M$1</f>
        <v>Public Health Wales Trust</v>
      </c>
      <c r="C1103" t="str">
        <f>'E - Resource Limits'!$A$5</f>
        <v>Table E - Resource Limits</v>
      </c>
      <c r="D1103" s="2898">
        <f t="shared" ref="D1103:E1103" si="336">D1047</f>
        <v>29</v>
      </c>
      <c r="E1103" s="2898" t="str">
        <f t="shared" si="336"/>
        <v xml:space="preserve"> </v>
      </c>
      <c r="F1103" t="str">
        <f t="shared" si="311"/>
        <v>Total Capital Drawing Limit</v>
      </c>
      <c r="S1103">
        <f>'E - Resource Limits'!K41</f>
        <v>0</v>
      </c>
      <c r="U1103">
        <f t="shared" si="294"/>
        <v>0</v>
      </c>
    </row>
    <row r="1104" spans="1:21">
      <c r="A1104" s="2895" t="str">
        <f>ORG!$S$1</f>
        <v>Apr 23</v>
      </c>
      <c r="B1104" t="str">
        <f>ORG!$M$1</f>
        <v>Public Health Wales Trust</v>
      </c>
      <c r="C1104" t="str">
        <f>'E - Resource Limits'!$A$5</f>
        <v>Table E - Resource Limits</v>
      </c>
      <c r="D1104" s="2898">
        <f t="shared" ref="D1104:E1104" si="337">D1048</f>
        <v>30</v>
      </c>
      <c r="E1104" s="2898" t="str">
        <f t="shared" si="337"/>
        <v xml:space="preserve"> </v>
      </c>
      <c r="F1104" t="str">
        <f t="shared" si="311"/>
        <v>Total Capital Drawing Limit</v>
      </c>
      <c r="S1104">
        <f>'E - Resource Limits'!K42</f>
        <v>0</v>
      </c>
      <c r="U1104">
        <f t="shared" si="294"/>
        <v>0</v>
      </c>
    </row>
    <row r="1105" spans="1:21">
      <c r="A1105" s="2895" t="str">
        <f>ORG!$S$1</f>
        <v>Apr 23</v>
      </c>
      <c r="B1105" t="str">
        <f>ORG!$M$1</f>
        <v>Public Health Wales Trust</v>
      </c>
      <c r="C1105" t="str">
        <f>'E - Resource Limits'!$A$5</f>
        <v>Table E - Resource Limits</v>
      </c>
      <c r="D1105" s="2898">
        <f t="shared" ref="D1105:E1105" si="338">D1049</f>
        <v>31</v>
      </c>
      <c r="E1105" s="2898" t="str">
        <f t="shared" si="338"/>
        <v xml:space="preserve"> </v>
      </c>
      <c r="F1105" t="str">
        <f t="shared" si="311"/>
        <v>Total Capital Drawing Limit</v>
      </c>
      <c r="S1105">
        <f>'E - Resource Limits'!K43</f>
        <v>0</v>
      </c>
      <c r="U1105">
        <f t="shared" si="294"/>
        <v>0</v>
      </c>
    </row>
    <row r="1106" spans="1:21">
      <c r="A1106" s="2895" t="str">
        <f>ORG!$S$1</f>
        <v>Apr 23</v>
      </c>
      <c r="B1106" t="str">
        <f>ORG!$M$1</f>
        <v>Public Health Wales Trust</v>
      </c>
      <c r="C1106" t="str">
        <f>'E - Resource Limits'!$A$5</f>
        <v>Table E - Resource Limits</v>
      </c>
      <c r="D1106" s="2898">
        <f t="shared" ref="D1106:E1106" si="339">D1050</f>
        <v>32</v>
      </c>
      <c r="E1106" s="2898" t="str">
        <f t="shared" si="339"/>
        <v xml:space="preserve"> </v>
      </c>
      <c r="F1106" t="str">
        <f t="shared" si="311"/>
        <v>Total Capital Drawing Limit</v>
      </c>
      <c r="S1106">
        <f>'E - Resource Limits'!K44</f>
        <v>0</v>
      </c>
      <c r="U1106">
        <f t="shared" si="294"/>
        <v>0</v>
      </c>
    </row>
    <row r="1107" spans="1:21">
      <c r="A1107" s="2895" t="str">
        <f>ORG!$S$1</f>
        <v>Apr 23</v>
      </c>
      <c r="B1107" t="str">
        <f>ORG!$M$1</f>
        <v>Public Health Wales Trust</v>
      </c>
      <c r="C1107" t="str">
        <f>'E - Resource Limits'!$A$5</f>
        <v>Table E - Resource Limits</v>
      </c>
      <c r="D1107" s="2898">
        <f t="shared" ref="D1107:E1107" si="340">D1051</f>
        <v>33</v>
      </c>
      <c r="E1107" s="2898" t="str">
        <f t="shared" si="340"/>
        <v xml:space="preserve"> </v>
      </c>
      <c r="F1107" t="str">
        <f t="shared" si="311"/>
        <v>Total Capital Drawing Limit</v>
      </c>
      <c r="S1107">
        <f>'E - Resource Limits'!K45</f>
        <v>0</v>
      </c>
      <c r="U1107">
        <f t="shared" si="294"/>
        <v>0</v>
      </c>
    </row>
    <row r="1108" spans="1:21">
      <c r="A1108" s="2895" t="str">
        <f>ORG!$S$1</f>
        <v>Apr 23</v>
      </c>
      <c r="B1108" t="str">
        <f>ORG!$M$1</f>
        <v>Public Health Wales Trust</v>
      </c>
      <c r="C1108" t="str">
        <f>'E - Resource Limits'!$A$5</f>
        <v>Table E - Resource Limits</v>
      </c>
      <c r="D1108" s="2898">
        <f t="shared" ref="D1108:E1108" si="341">D1052</f>
        <v>34</v>
      </c>
      <c r="E1108" s="2898" t="str">
        <f t="shared" si="341"/>
        <v xml:space="preserve"> </v>
      </c>
      <c r="F1108" t="str">
        <f t="shared" si="311"/>
        <v>Total Capital Drawing Limit</v>
      </c>
      <c r="S1108">
        <f>'E - Resource Limits'!K46</f>
        <v>0</v>
      </c>
      <c r="U1108">
        <f t="shared" si="294"/>
        <v>0</v>
      </c>
    </row>
    <row r="1109" spans="1:21">
      <c r="A1109" s="2895" t="str">
        <f>ORG!$S$1</f>
        <v>Apr 23</v>
      </c>
      <c r="B1109" t="str">
        <f>ORG!$M$1</f>
        <v>Public Health Wales Trust</v>
      </c>
      <c r="C1109" t="str">
        <f>'E - Resource Limits'!$A$5</f>
        <v>Table E - Resource Limits</v>
      </c>
      <c r="D1109" s="2898">
        <f t="shared" ref="D1109:E1109" si="342">D1053</f>
        <v>35</v>
      </c>
      <c r="E1109" s="2898" t="str">
        <f t="shared" si="342"/>
        <v xml:space="preserve"> </v>
      </c>
      <c r="F1109" t="str">
        <f t="shared" si="311"/>
        <v>Total Capital Drawing Limit</v>
      </c>
      <c r="S1109">
        <f>'E - Resource Limits'!K47</f>
        <v>0</v>
      </c>
      <c r="U1109">
        <f t="shared" si="294"/>
        <v>0</v>
      </c>
    </row>
    <row r="1110" spans="1:21">
      <c r="A1110" s="2895" t="str">
        <f>ORG!$S$1</f>
        <v>Apr 23</v>
      </c>
      <c r="B1110" t="str">
        <f>ORG!$M$1</f>
        <v>Public Health Wales Trust</v>
      </c>
      <c r="C1110" t="str">
        <f>'E - Resource Limits'!$A$5</f>
        <v>Table E - Resource Limits</v>
      </c>
      <c r="D1110" s="2898">
        <f t="shared" ref="D1110:E1110" si="343">D1054</f>
        <v>36</v>
      </c>
      <c r="E1110" s="2898" t="str">
        <f t="shared" si="343"/>
        <v xml:space="preserve"> </v>
      </c>
      <c r="F1110" t="str">
        <f t="shared" si="311"/>
        <v>Total Capital Drawing Limit</v>
      </c>
      <c r="S1110">
        <f>'E - Resource Limits'!K48</f>
        <v>0</v>
      </c>
      <c r="U1110">
        <f t="shared" si="294"/>
        <v>0</v>
      </c>
    </row>
    <row r="1111" spans="1:21">
      <c r="A1111" s="2895" t="str">
        <f>ORG!$S$1</f>
        <v>Apr 23</v>
      </c>
      <c r="B1111" t="str">
        <f>ORG!$M$1</f>
        <v>Public Health Wales Trust</v>
      </c>
      <c r="C1111" t="str">
        <f>'E - Resource Limits'!$A$5</f>
        <v>Table E - Resource Limits</v>
      </c>
      <c r="D1111" s="2898">
        <f t="shared" ref="D1111:E1111" si="344">D1055</f>
        <v>37</v>
      </c>
      <c r="E1111" s="2898" t="str">
        <f t="shared" si="344"/>
        <v xml:space="preserve"> </v>
      </c>
      <c r="F1111" t="str">
        <f t="shared" si="311"/>
        <v>Total Capital Drawing Limit</v>
      </c>
      <c r="S1111">
        <f>'E - Resource Limits'!K49</f>
        <v>0</v>
      </c>
      <c r="U1111">
        <f t="shared" si="294"/>
        <v>0</v>
      </c>
    </row>
    <row r="1112" spans="1:21">
      <c r="A1112" s="2895" t="str">
        <f>ORG!$S$1</f>
        <v>Apr 23</v>
      </c>
      <c r="B1112" t="str">
        <f>ORG!$M$1</f>
        <v>Public Health Wales Trust</v>
      </c>
      <c r="C1112" t="str">
        <f>'E - Resource Limits'!$A$5</f>
        <v>Table E - Resource Limits</v>
      </c>
      <c r="D1112" s="2898">
        <f t="shared" ref="D1112:E1112" si="345">D1056</f>
        <v>38</v>
      </c>
      <c r="E1112" s="2898" t="str">
        <f t="shared" si="345"/>
        <v xml:space="preserve"> </v>
      </c>
      <c r="F1112" t="str">
        <f t="shared" si="311"/>
        <v>Total Capital Drawing Limit</v>
      </c>
      <c r="S1112">
        <f>'E - Resource Limits'!K50</f>
        <v>0</v>
      </c>
      <c r="U1112">
        <f t="shared" si="294"/>
        <v>0</v>
      </c>
    </row>
    <row r="1113" spans="1:21">
      <c r="A1113" s="2895" t="str">
        <f>ORG!$S$1</f>
        <v>Apr 23</v>
      </c>
      <c r="B1113" t="str">
        <f>ORG!$M$1</f>
        <v>Public Health Wales Trust</v>
      </c>
      <c r="C1113" t="str">
        <f>'E - Resource Limits'!$A$5</f>
        <v>Table E - Resource Limits</v>
      </c>
      <c r="D1113" s="2898">
        <f t="shared" ref="D1113:E1113" si="346">D1057</f>
        <v>39</v>
      </c>
      <c r="E1113" s="2898" t="str">
        <f t="shared" si="346"/>
        <v xml:space="preserve"> </v>
      </c>
      <c r="F1113" t="str">
        <f t="shared" si="311"/>
        <v>Total Capital Drawing Limit</v>
      </c>
      <c r="S1113">
        <f>'E - Resource Limits'!K51</f>
        <v>0</v>
      </c>
      <c r="U1113">
        <f t="shared" si="294"/>
        <v>0</v>
      </c>
    </row>
    <row r="1114" spans="1:21">
      <c r="A1114" s="2895" t="str">
        <f>ORG!$S$1</f>
        <v>Apr 23</v>
      </c>
      <c r="B1114" t="str">
        <f>ORG!$M$1</f>
        <v>Public Health Wales Trust</v>
      </c>
      <c r="C1114" t="str">
        <f>'E - Resource Limits'!$A$5</f>
        <v>Table E - Resource Limits</v>
      </c>
      <c r="D1114" s="2898">
        <f t="shared" ref="D1114:E1114" si="347">D1058</f>
        <v>40</v>
      </c>
      <c r="E1114" s="2898" t="str">
        <f t="shared" si="347"/>
        <v xml:space="preserve"> </v>
      </c>
      <c r="F1114" t="str">
        <f t="shared" si="311"/>
        <v>Total Capital Drawing Limit</v>
      </c>
      <c r="S1114">
        <f>'E - Resource Limits'!K52</f>
        <v>0</v>
      </c>
      <c r="U1114">
        <f t="shared" si="294"/>
        <v>0</v>
      </c>
    </row>
    <row r="1115" spans="1:21">
      <c r="A1115" s="2895" t="str">
        <f>ORG!$S$1</f>
        <v>Apr 23</v>
      </c>
      <c r="B1115" t="str">
        <f>ORG!$M$1</f>
        <v>Public Health Wales Trust</v>
      </c>
      <c r="C1115" t="str">
        <f>'E - Resource Limits'!$A$5</f>
        <v>Table E - Resource Limits</v>
      </c>
      <c r="D1115" s="2898">
        <f t="shared" ref="D1115:E1115" si="348">D1059</f>
        <v>41</v>
      </c>
      <c r="E1115" s="2898" t="str">
        <f t="shared" si="348"/>
        <v xml:space="preserve"> </v>
      </c>
      <c r="F1115" t="str">
        <f t="shared" si="311"/>
        <v>Total Capital Drawing Limit</v>
      </c>
      <c r="S1115">
        <f>'E - Resource Limits'!K53</f>
        <v>0</v>
      </c>
      <c r="U1115">
        <f t="shared" si="294"/>
        <v>0</v>
      </c>
    </row>
    <row r="1116" spans="1:21">
      <c r="A1116" s="2895" t="str">
        <f>ORG!$S$1</f>
        <v>Apr 23</v>
      </c>
      <c r="B1116" t="str">
        <f>ORG!$M$1</f>
        <v>Public Health Wales Trust</v>
      </c>
      <c r="C1116" t="str">
        <f>'E - Resource Limits'!$A$5</f>
        <v>Table E - Resource Limits</v>
      </c>
      <c r="D1116" s="2898">
        <f t="shared" ref="D1116:E1116" si="349">D1060</f>
        <v>42</v>
      </c>
      <c r="E1116" s="2898" t="str">
        <f t="shared" si="349"/>
        <v xml:space="preserve"> </v>
      </c>
      <c r="F1116" t="str">
        <f t="shared" si="311"/>
        <v>Total Capital Drawing Limit</v>
      </c>
      <c r="S1116">
        <f>'E - Resource Limits'!K54</f>
        <v>0</v>
      </c>
      <c r="U1116">
        <f t="shared" si="294"/>
        <v>0</v>
      </c>
    </row>
    <row r="1117" spans="1:21">
      <c r="A1117" s="2895" t="str">
        <f>ORG!$S$1</f>
        <v>Apr 23</v>
      </c>
      <c r="B1117" t="str">
        <f>ORG!$M$1</f>
        <v>Public Health Wales Trust</v>
      </c>
      <c r="C1117" t="str">
        <f>'E - Resource Limits'!$A$5</f>
        <v>Table E - Resource Limits</v>
      </c>
      <c r="D1117" s="2898">
        <f t="shared" ref="D1117:E1117" si="350">D1061</f>
        <v>43</v>
      </c>
      <c r="E1117" s="2898" t="str">
        <f t="shared" si="350"/>
        <v xml:space="preserve"> </v>
      </c>
      <c r="F1117" t="str">
        <f t="shared" si="311"/>
        <v>Total Capital Drawing Limit</v>
      </c>
      <c r="S1117">
        <f>'E - Resource Limits'!K55</f>
        <v>0</v>
      </c>
      <c r="U1117">
        <f t="shared" si="294"/>
        <v>0</v>
      </c>
    </row>
    <row r="1118" spans="1:21">
      <c r="A1118" s="2895" t="str">
        <f>ORG!$S$1</f>
        <v>Apr 23</v>
      </c>
      <c r="B1118" t="str">
        <f>ORG!$M$1</f>
        <v>Public Health Wales Trust</v>
      </c>
      <c r="C1118" t="str">
        <f>'E - Resource Limits'!$A$5</f>
        <v>Table E - Resource Limits</v>
      </c>
      <c r="D1118" s="2898">
        <f t="shared" ref="D1118:E1118" si="351">D1062</f>
        <v>44</v>
      </c>
      <c r="E1118" s="2898" t="str">
        <f t="shared" si="351"/>
        <v xml:space="preserve"> </v>
      </c>
      <c r="F1118" t="str">
        <f t="shared" si="311"/>
        <v>Total Capital Drawing Limit</v>
      </c>
      <c r="S1118">
        <f>'E - Resource Limits'!K56</f>
        <v>0</v>
      </c>
      <c r="U1118">
        <f t="shared" si="294"/>
        <v>0</v>
      </c>
    </row>
    <row r="1119" spans="1:21">
      <c r="A1119" s="2895" t="str">
        <f>ORG!$S$1</f>
        <v>Apr 23</v>
      </c>
      <c r="B1119" t="str">
        <f>ORG!$M$1</f>
        <v>Public Health Wales Trust</v>
      </c>
      <c r="C1119" t="str">
        <f>'E - Resource Limits'!$A$5</f>
        <v>Table E - Resource Limits</v>
      </c>
      <c r="D1119" s="2898">
        <f t="shared" ref="D1119:E1119" si="352">D1063</f>
        <v>45</v>
      </c>
      <c r="E1119" s="2898" t="str">
        <f t="shared" si="352"/>
        <v xml:space="preserve"> </v>
      </c>
      <c r="F1119" t="str">
        <f t="shared" si="311"/>
        <v>Total Capital Drawing Limit</v>
      </c>
      <c r="S1119">
        <f>'E - Resource Limits'!K57</f>
        <v>0</v>
      </c>
      <c r="U1119">
        <f t="shared" si="294"/>
        <v>0</v>
      </c>
    </row>
    <row r="1120" spans="1:21">
      <c r="A1120" s="2895" t="str">
        <f>ORG!$S$1</f>
        <v>Apr 23</v>
      </c>
      <c r="B1120" t="str">
        <f>ORG!$M$1</f>
        <v>Public Health Wales Trust</v>
      </c>
      <c r="C1120" t="str">
        <f>'E - Resource Limits'!$A$5</f>
        <v>Table E - Resource Limits</v>
      </c>
      <c r="D1120" s="2898">
        <f t="shared" ref="D1120:E1120" si="353">D1064</f>
        <v>46</v>
      </c>
      <c r="E1120" s="2898" t="str">
        <f t="shared" si="353"/>
        <v xml:space="preserve"> </v>
      </c>
      <c r="F1120" t="str">
        <f t="shared" si="311"/>
        <v>Total Capital Drawing Limit</v>
      </c>
      <c r="S1120">
        <f>'E - Resource Limits'!K58</f>
        <v>0</v>
      </c>
      <c r="U1120">
        <f t="shared" si="294"/>
        <v>0</v>
      </c>
    </row>
    <row r="1121" spans="1:21">
      <c r="A1121" s="2895" t="str">
        <f>ORG!$S$1</f>
        <v>Apr 23</v>
      </c>
      <c r="B1121" t="str">
        <f>ORG!$M$1</f>
        <v>Public Health Wales Trust</v>
      </c>
      <c r="C1121" t="str">
        <f>'E - Resource Limits'!$A$5</f>
        <v>Table E - Resource Limits</v>
      </c>
      <c r="D1121" s="2898">
        <f t="shared" ref="D1121:E1121" si="354">D1065</f>
        <v>47</v>
      </c>
      <c r="E1121" s="2898" t="str">
        <f t="shared" si="354"/>
        <v xml:space="preserve"> </v>
      </c>
      <c r="F1121" t="str">
        <f t="shared" si="311"/>
        <v>Total Capital Drawing Limit</v>
      </c>
      <c r="S1121">
        <f>'E - Resource Limits'!K59</f>
        <v>0</v>
      </c>
      <c r="U1121">
        <f t="shared" si="294"/>
        <v>0</v>
      </c>
    </row>
    <row r="1122" spans="1:21">
      <c r="A1122" s="2895" t="str">
        <f>ORG!$S$1</f>
        <v>Apr 23</v>
      </c>
      <c r="B1122" t="str">
        <f>ORG!$M$1</f>
        <v>Public Health Wales Trust</v>
      </c>
      <c r="C1122" t="str">
        <f>'E - Resource Limits'!$A$5</f>
        <v>Table E - Resource Limits</v>
      </c>
      <c r="D1122" s="2898">
        <f t="shared" ref="D1122:E1122" si="355">D1066</f>
        <v>48</v>
      </c>
      <c r="E1122" s="2898" t="str">
        <f t="shared" si="355"/>
        <v xml:space="preserve"> </v>
      </c>
      <c r="F1122" t="str">
        <f t="shared" si="311"/>
        <v>Total Capital Drawing Limit</v>
      </c>
      <c r="S1122">
        <f>'E - Resource Limits'!K60</f>
        <v>0</v>
      </c>
      <c r="U1122">
        <f t="shared" si="294"/>
        <v>0</v>
      </c>
    </row>
    <row r="1123" spans="1:21">
      <c r="A1123" s="2895" t="str">
        <f>ORG!$S$1</f>
        <v>Apr 23</v>
      </c>
      <c r="B1123" t="str">
        <f>ORG!$M$1</f>
        <v>Public Health Wales Trust</v>
      </c>
      <c r="C1123" t="str">
        <f>'E - Resource Limits'!$A$5</f>
        <v>Table E - Resource Limits</v>
      </c>
      <c r="D1123" s="2898">
        <f t="shared" ref="D1123:E1123" si="356">D1067</f>
        <v>49</v>
      </c>
      <c r="E1123" s="2898" t="str">
        <f t="shared" si="356"/>
        <v xml:space="preserve"> </v>
      </c>
      <c r="F1123" t="str">
        <f t="shared" si="311"/>
        <v>Total Capital Drawing Limit</v>
      </c>
      <c r="S1123">
        <f>'E - Resource Limits'!K61</f>
        <v>0</v>
      </c>
      <c r="U1123">
        <f t="shared" si="294"/>
        <v>0</v>
      </c>
    </row>
    <row r="1124" spans="1:21">
      <c r="A1124" s="2895" t="str">
        <f>ORG!$S$1</f>
        <v>Apr 23</v>
      </c>
      <c r="B1124" t="str">
        <f>ORG!$M$1</f>
        <v>Public Health Wales Trust</v>
      </c>
      <c r="C1124" t="str">
        <f>'E - Resource Limits'!$A$5</f>
        <v>Table E - Resource Limits</v>
      </c>
      <c r="D1124" s="2898">
        <f t="shared" ref="D1124:E1124" si="357">D1068</f>
        <v>50</v>
      </c>
      <c r="E1124" s="2898" t="str">
        <f t="shared" si="357"/>
        <v xml:space="preserve"> </v>
      </c>
      <c r="F1124" t="str">
        <f t="shared" si="311"/>
        <v>Total Capital Drawing Limit</v>
      </c>
      <c r="S1124">
        <f>'E - Resource Limits'!K62</f>
        <v>0</v>
      </c>
      <c r="U1124">
        <f t="shared" si="294"/>
        <v>0</v>
      </c>
    </row>
    <row r="1125" spans="1:21">
      <c r="A1125" s="2895" t="str">
        <f>ORG!$S$1</f>
        <v>Apr 23</v>
      </c>
      <c r="B1125" t="str">
        <f>ORG!$M$1</f>
        <v>Public Health Wales Trust</v>
      </c>
      <c r="C1125" t="str">
        <f>'E - Resource Limits'!$A$5</f>
        <v>Table E - Resource Limits</v>
      </c>
      <c r="D1125" s="2898">
        <f t="shared" ref="D1125:E1125" si="358">D1069</f>
        <v>51</v>
      </c>
      <c r="E1125" s="2898" t="str">
        <f t="shared" si="358"/>
        <v xml:space="preserve"> </v>
      </c>
      <c r="F1125" t="str">
        <f t="shared" si="311"/>
        <v>Total Capital Drawing Limit</v>
      </c>
      <c r="S1125">
        <f>'E - Resource Limits'!K63</f>
        <v>0</v>
      </c>
      <c r="U1125">
        <f t="shared" ref="U1125:U1132" si="359">S1125+T1125</f>
        <v>0</v>
      </c>
    </row>
    <row r="1126" spans="1:21">
      <c r="A1126" s="2895" t="str">
        <f>ORG!$S$1</f>
        <v>Apr 23</v>
      </c>
      <c r="B1126" t="str">
        <f>ORG!$M$1</f>
        <v>Public Health Wales Trust</v>
      </c>
      <c r="C1126" t="str">
        <f>'E - Resource Limits'!$A$5</f>
        <v>Table E - Resource Limits</v>
      </c>
      <c r="D1126" s="2898">
        <f t="shared" ref="D1126:E1126" si="360">D1070</f>
        <v>52</v>
      </c>
      <c r="E1126" s="2898" t="str">
        <f t="shared" si="360"/>
        <v xml:space="preserve"> </v>
      </c>
      <c r="F1126" t="str">
        <f t="shared" si="311"/>
        <v>Total Capital Drawing Limit</v>
      </c>
      <c r="S1126">
        <f>'E - Resource Limits'!K64</f>
        <v>0</v>
      </c>
      <c r="U1126">
        <f t="shared" si="359"/>
        <v>0</v>
      </c>
    </row>
    <row r="1127" spans="1:21">
      <c r="A1127" s="2895" t="str">
        <f>ORG!$S$1</f>
        <v>Apr 23</v>
      </c>
      <c r="B1127" t="str">
        <f>ORG!$M$1</f>
        <v>Public Health Wales Trust</v>
      </c>
      <c r="C1127" t="str">
        <f>'E - Resource Limits'!$A$5</f>
        <v>Table E - Resource Limits</v>
      </c>
      <c r="D1127" s="2898">
        <f t="shared" ref="D1127:E1127" si="361">D1071</f>
        <v>53</v>
      </c>
      <c r="E1127" s="2898" t="str">
        <f t="shared" si="361"/>
        <v xml:space="preserve"> </v>
      </c>
      <c r="F1127" t="str">
        <f t="shared" si="311"/>
        <v>Total Capital Drawing Limit</v>
      </c>
      <c r="S1127">
        <f>'E - Resource Limits'!K65</f>
        <v>0</v>
      </c>
      <c r="U1127">
        <f t="shared" si="359"/>
        <v>0</v>
      </c>
    </row>
    <row r="1128" spans="1:21">
      <c r="A1128" s="2895" t="str">
        <f>ORG!$S$1</f>
        <v>Apr 23</v>
      </c>
      <c r="B1128" t="str">
        <f>ORG!$M$1</f>
        <v>Public Health Wales Trust</v>
      </c>
      <c r="C1128" t="str">
        <f>'E - Resource Limits'!$A$5</f>
        <v>Table E - Resource Limits</v>
      </c>
      <c r="D1128" s="2898">
        <f t="shared" ref="D1128:E1128" si="362">D1072</f>
        <v>54</v>
      </c>
      <c r="E1128" s="2898" t="str">
        <f t="shared" si="362"/>
        <v xml:space="preserve"> </v>
      </c>
      <c r="F1128" t="str">
        <f t="shared" si="311"/>
        <v>Total Capital Drawing Limit</v>
      </c>
      <c r="S1128">
        <f>'E - Resource Limits'!K66</f>
        <v>0</v>
      </c>
      <c r="U1128">
        <f t="shared" si="359"/>
        <v>0</v>
      </c>
    </row>
    <row r="1129" spans="1:21">
      <c r="A1129" s="2895" t="str">
        <f>ORG!$S$1</f>
        <v>Apr 23</v>
      </c>
      <c r="B1129" t="str">
        <f>ORG!$M$1</f>
        <v>Public Health Wales Trust</v>
      </c>
      <c r="C1129" t="str">
        <f>'E - Resource Limits'!$A$5</f>
        <v>Table E - Resource Limits</v>
      </c>
      <c r="D1129" s="2898">
        <f t="shared" ref="D1129:E1129" si="363">D1073</f>
        <v>55</v>
      </c>
      <c r="E1129" s="2898" t="str">
        <f t="shared" si="363"/>
        <v xml:space="preserve"> </v>
      </c>
      <c r="F1129" t="str">
        <f t="shared" si="311"/>
        <v>Total Capital Drawing Limit</v>
      </c>
      <c r="S1129">
        <f>'E - Resource Limits'!K67</f>
        <v>0</v>
      </c>
      <c r="U1129">
        <f t="shared" si="359"/>
        <v>0</v>
      </c>
    </row>
    <row r="1130" spans="1:21">
      <c r="A1130" s="2895" t="str">
        <f>ORG!$S$1</f>
        <v>Apr 23</v>
      </c>
      <c r="B1130" t="str">
        <f>ORG!$M$1</f>
        <v>Public Health Wales Trust</v>
      </c>
      <c r="C1130" t="str">
        <f>'E - Resource Limits'!$A$5</f>
        <v>Table E - Resource Limits</v>
      </c>
      <c r="D1130" s="2898">
        <f t="shared" ref="D1130:E1130" si="364">D1074</f>
        <v>61</v>
      </c>
      <c r="E1130" s="2898" t="str">
        <f t="shared" si="364"/>
        <v xml:space="preserve">Capital Working Balances Request </v>
      </c>
      <c r="F1130" t="str">
        <f t="shared" si="311"/>
        <v>Total Capital Drawing Limit</v>
      </c>
      <c r="S1130">
        <f>'E - Resource Limits'!K73</f>
        <v>0</v>
      </c>
      <c r="U1130">
        <f t="shared" si="359"/>
        <v>0</v>
      </c>
    </row>
    <row r="1131" spans="1:21">
      <c r="A1131" s="2895" t="str">
        <f>ORG!$S$1</f>
        <v>Apr 23</v>
      </c>
      <c r="B1131" t="str">
        <f>ORG!$M$1</f>
        <v>Public Health Wales Trust</v>
      </c>
      <c r="C1131" t="str">
        <f>'E - Resource Limits'!$A$5</f>
        <v>Table E - Resource Limits</v>
      </c>
      <c r="D1131" s="2898">
        <f t="shared" ref="D1131:E1131" si="365">D1075</f>
        <v>62</v>
      </c>
      <c r="E1131" s="2898" t="str">
        <f t="shared" si="365"/>
        <v xml:space="preserve">Capital IFRS16 Leases Working Balances Request </v>
      </c>
      <c r="F1131" t="str">
        <f t="shared" si="311"/>
        <v>Total Capital Drawing Limit</v>
      </c>
      <c r="S1131">
        <f>'E - Resource Limits'!K74</f>
        <v>0</v>
      </c>
      <c r="U1131">
        <f t="shared" si="359"/>
        <v>0</v>
      </c>
    </row>
    <row r="1132" spans="1:21">
      <c r="A1132" s="2895" t="str">
        <f>ORG!$S$1</f>
        <v>Apr 23</v>
      </c>
      <c r="B1132" t="str">
        <f>ORG!$M$1</f>
        <v>Public Health Wales Trust</v>
      </c>
      <c r="C1132" t="str">
        <f>'E - Resource Limits'!$A$5</f>
        <v>Table E - Resource Limits</v>
      </c>
      <c r="D1132" s="2898">
        <f t="shared" ref="D1132:E1132" si="366">D1076</f>
        <v>63</v>
      </c>
      <c r="E1132" s="2898" t="str">
        <f t="shared" si="366"/>
        <v>Total Anticipated Funding</v>
      </c>
      <c r="F1132" t="str">
        <f t="shared" si="311"/>
        <v>Total Capital Drawing Limit</v>
      </c>
      <c r="S1132">
        <f>'E - Resource Limits'!K75</f>
        <v>0</v>
      </c>
      <c r="U1132">
        <f t="shared" si="359"/>
        <v>0</v>
      </c>
    </row>
    <row r="1133" spans="1:21">
      <c r="A1133" s="2895" t="str">
        <f>ORG!$S$1</f>
        <v>Apr 23</v>
      </c>
      <c r="B1133" t="str">
        <f>ORG!$M$1</f>
        <v>Public Health Wales Trust</v>
      </c>
      <c r="C1133" t="str">
        <f>'E - Resource Limits'!$A$5</f>
        <v>Table E - Resource Limits</v>
      </c>
      <c r="D1133" s="2898">
        <f>'E - Resource Limits'!A88</f>
        <v>67</v>
      </c>
      <c r="E1133" t="str">
        <f>LEFT('E - Resource Limits'!$B$25,14)</f>
        <v>Total COVID-19</v>
      </c>
      <c r="F1133" s="2897" t="str">
        <f>'E - Resource Limits'!$B88</f>
        <v xml:space="preserve">Health Protection (including Testing, Tracing and Surveillance) </v>
      </c>
      <c r="S1133">
        <f>'E - Resource Limits'!H88</f>
        <v>0</v>
      </c>
      <c r="U1133">
        <f t="shared" si="32"/>
        <v>0</v>
      </c>
    </row>
    <row r="1134" spans="1:21">
      <c r="A1134" s="2895" t="str">
        <f>ORG!$S$1</f>
        <v>Apr 23</v>
      </c>
      <c r="B1134" t="str">
        <f>ORG!$M$1</f>
        <v>Public Health Wales Trust</v>
      </c>
      <c r="C1134" t="str">
        <f>'E - Resource Limits'!$A$5</f>
        <v>Table E - Resource Limits</v>
      </c>
      <c r="D1134" s="2898">
        <f>'E - Resource Limits'!A89</f>
        <v>68</v>
      </c>
      <c r="E1134" t="str">
        <f>LEFT('E - Resource Limits'!$B$25,14)</f>
        <v>Total COVID-19</v>
      </c>
      <c r="F1134" s="2897" t="str">
        <f>'E - Resource Limits'!$B89</f>
        <v>COVID-19 Vaccination (Immunisation) Programme</v>
      </c>
      <c r="S1134">
        <f>'E - Resource Limits'!H89</f>
        <v>0</v>
      </c>
      <c r="U1134">
        <f t="shared" si="32"/>
        <v>0</v>
      </c>
    </row>
    <row r="1135" spans="1:21">
      <c r="A1135" s="2895" t="str">
        <f>ORG!$S$1</f>
        <v>Apr 23</v>
      </c>
      <c r="B1135" t="str">
        <f>ORG!$M$1</f>
        <v>Public Health Wales Trust</v>
      </c>
      <c r="C1135" t="str">
        <f>'E - Resource Limits'!$A$5</f>
        <v>Table E - Resource Limits</v>
      </c>
      <c r="D1135" s="2898">
        <f>'E - Resource Limits'!A90</f>
        <v>69</v>
      </c>
      <c r="E1135" t="str">
        <f>LEFT('E - Resource Limits'!$B$25,14)</f>
        <v>Total COVID-19</v>
      </c>
      <c r="F1135" s="2897" t="str">
        <f>'E - Resource Limits'!$B90</f>
        <v xml:space="preserve">PPE </v>
      </c>
      <c r="S1135">
        <f>'E - Resource Limits'!H90</f>
        <v>0</v>
      </c>
      <c r="U1135">
        <f t="shared" si="32"/>
        <v>0</v>
      </c>
    </row>
    <row r="1136" spans="1:21">
      <c r="A1136" s="2895" t="str">
        <f>ORG!$S$1</f>
        <v>Apr 23</v>
      </c>
      <c r="B1136" t="str">
        <f>ORG!$M$1</f>
        <v>Public Health Wales Trust</v>
      </c>
      <c r="C1136" t="str">
        <f>'E - Resource Limits'!$A$5</f>
        <v>Table E - Resource Limits</v>
      </c>
      <c r="D1136" s="2898">
        <f>'E - Resource Limits'!A91</f>
        <v>70</v>
      </c>
      <c r="E1136" t="str">
        <f>LEFT('E - Resource Limits'!$B$25,14)</f>
        <v>Total COVID-19</v>
      </c>
      <c r="F1136" s="2897" t="str">
        <f>'E - Resource Limits'!$B91</f>
        <v>Long Covid</v>
      </c>
      <c r="S1136">
        <f>'E - Resource Limits'!H91</f>
        <v>0</v>
      </c>
      <c r="U1136">
        <f t="shared" si="32"/>
        <v>0</v>
      </c>
    </row>
    <row r="1137" spans="1:21">
      <c r="A1137" s="2895" t="str">
        <f>ORG!$S$1</f>
        <v>Apr 23</v>
      </c>
      <c r="B1137" t="str">
        <f>ORG!$M$1</f>
        <v>Public Health Wales Trust</v>
      </c>
      <c r="C1137" t="str">
        <f>'E - Resource Limits'!$A$5</f>
        <v>Table E - Resource Limits</v>
      </c>
      <c r="D1137" s="2898">
        <f>'E - Resource Limits'!A92</f>
        <v>71</v>
      </c>
      <c r="E1137" t="str">
        <f>LEFT('E - Resource Limits'!$B$25,14)</f>
        <v>Total COVID-19</v>
      </c>
      <c r="F1137" s="2897" t="str">
        <f>'E - Resource Limits'!$B92</f>
        <v>Nosocomial</v>
      </c>
      <c r="S1137">
        <f>'E - Resource Limits'!H92</f>
        <v>0</v>
      </c>
      <c r="U1137">
        <f t="shared" si="32"/>
        <v>0</v>
      </c>
    </row>
    <row r="1138" spans="1:21">
      <c r="A1138" s="2895" t="str">
        <f>ORG!$S$1</f>
        <v>Apr 23</v>
      </c>
      <c r="B1138" t="str">
        <f>ORG!$M$1</f>
        <v>Public Health Wales Trust</v>
      </c>
      <c r="C1138" t="str">
        <f>'E - Resource Limits'!$A$5</f>
        <v>Table E - Resource Limits</v>
      </c>
      <c r="D1138" s="2898">
        <f>'E - Resource Limits'!A93</f>
        <v>72</v>
      </c>
      <c r="E1138" t="str">
        <f>LEFT('E - Resource Limits'!$B$25,14)</f>
        <v>Total COVID-19</v>
      </c>
      <c r="F1138" s="2897">
        <f>'E - Resource Limits'!$B93</f>
        <v>0</v>
      </c>
      <c r="S1138">
        <f>'E - Resource Limits'!H93</f>
        <v>0</v>
      </c>
      <c r="U1138">
        <f t="shared" si="32"/>
        <v>0</v>
      </c>
    </row>
    <row r="1139" spans="1:21">
      <c r="A1139" s="2895" t="str">
        <f>ORG!$S$1</f>
        <v>Apr 23</v>
      </c>
      <c r="B1139" t="str">
        <f>ORG!$M$1</f>
        <v>Public Health Wales Trust</v>
      </c>
      <c r="C1139" t="str">
        <f>'E - Resource Limits'!$A$5</f>
        <v>Table E - Resource Limits</v>
      </c>
      <c r="D1139" s="2898">
        <f>'E - Resource Limits'!A94</f>
        <v>73</v>
      </c>
      <c r="E1139" t="str">
        <f>LEFT('E - Resource Limits'!$B$25,14)</f>
        <v>Total COVID-19</v>
      </c>
      <c r="F1139" s="2897">
        <f>'E - Resource Limits'!$B94</f>
        <v>0</v>
      </c>
      <c r="S1139">
        <f>'E - Resource Limits'!H94</f>
        <v>0</v>
      </c>
      <c r="U1139">
        <f t="shared" si="32"/>
        <v>0</v>
      </c>
    </row>
    <row r="1140" spans="1:21">
      <c r="A1140" s="2895" t="str">
        <f>ORG!$S$1</f>
        <v>Apr 23</v>
      </c>
      <c r="B1140" t="str">
        <f>ORG!$M$1</f>
        <v>Public Health Wales Trust</v>
      </c>
      <c r="C1140" t="str">
        <f>'E - Resource Limits'!$A$5</f>
        <v>Table E - Resource Limits</v>
      </c>
      <c r="D1140" s="2898">
        <f>'E - Resource Limits'!A95</f>
        <v>74</v>
      </c>
      <c r="E1140" t="str">
        <f>LEFT('E - Resource Limits'!$B$25,14)</f>
        <v>Total COVID-19</v>
      </c>
      <c r="F1140" s="2897">
        <f>'E - Resource Limits'!$B95</f>
        <v>0</v>
      </c>
      <c r="S1140">
        <f>'E - Resource Limits'!H95</f>
        <v>0</v>
      </c>
      <c r="U1140">
        <f t="shared" si="32"/>
        <v>0</v>
      </c>
    </row>
    <row r="1141" spans="1:21">
      <c r="A1141" s="2895" t="str">
        <f>ORG!$S$1</f>
        <v>Apr 23</v>
      </c>
      <c r="B1141" t="str">
        <f>ORG!$M$1</f>
        <v>Public Health Wales Trust</v>
      </c>
      <c r="C1141" t="str">
        <f>'E - Resource Limits'!$A$5</f>
        <v>Table E - Resource Limits</v>
      </c>
      <c r="D1141" s="2898">
        <f>'E - Resource Limits'!A96</f>
        <v>75</v>
      </c>
      <c r="E1141" t="str">
        <f>LEFT('E - Resource Limits'!$B$25,14)</f>
        <v>Total COVID-19</v>
      </c>
      <c r="F1141" s="2897">
        <f>'E - Resource Limits'!$B96</f>
        <v>0</v>
      </c>
      <c r="S1141">
        <f>'E - Resource Limits'!H96</f>
        <v>0</v>
      </c>
      <c r="U1141">
        <f t="shared" si="32"/>
        <v>0</v>
      </c>
    </row>
    <row r="1142" spans="1:21">
      <c r="A1142" s="2895" t="str">
        <f>ORG!$S$1</f>
        <v>Apr 23</v>
      </c>
      <c r="B1142" t="str">
        <f>ORG!$M$1</f>
        <v>Public Health Wales Trust</v>
      </c>
      <c r="C1142" t="str">
        <f>'E - Resource Limits'!$A$5</f>
        <v>Table E - Resource Limits</v>
      </c>
      <c r="D1142" s="2898">
        <f>'E - Resource Limits'!A97</f>
        <v>76</v>
      </c>
      <c r="E1142" t="str">
        <f>LEFT('E - Resource Limits'!$B$25,14)</f>
        <v>Total COVID-19</v>
      </c>
      <c r="F1142" s="2897">
        <f>'E - Resource Limits'!$B97</f>
        <v>0</v>
      </c>
      <c r="S1142">
        <f>'E - Resource Limits'!H97</f>
        <v>0</v>
      </c>
      <c r="U1142">
        <f t="shared" si="32"/>
        <v>0</v>
      </c>
    </row>
    <row r="1143" spans="1:21">
      <c r="A1143" s="2895" t="str">
        <f>ORG!$S$1</f>
        <v>Apr 23</v>
      </c>
      <c r="B1143" t="str">
        <f>ORG!$M$1</f>
        <v>Public Health Wales Trust</v>
      </c>
      <c r="C1143" t="str">
        <f>'E - Resource Limits'!$A$5</f>
        <v>Table E - Resource Limits</v>
      </c>
      <c r="D1143" s="2898">
        <f>'E - Resource Limits'!A98</f>
        <v>77</v>
      </c>
      <c r="E1143" t="str">
        <f>LEFT('E - Resource Limits'!$B$25,14)</f>
        <v>Total COVID-19</v>
      </c>
      <c r="F1143" s="2897">
        <f>'E - Resource Limits'!$B98</f>
        <v>0</v>
      </c>
      <c r="S1143">
        <f>'E - Resource Limits'!H98</f>
        <v>0</v>
      </c>
      <c r="U1143">
        <f t="shared" si="32"/>
        <v>0</v>
      </c>
    </row>
    <row r="1144" spans="1:21">
      <c r="A1144" s="2895" t="str">
        <f>ORG!$S$1</f>
        <v>Apr 23</v>
      </c>
      <c r="B1144" t="str">
        <f>ORG!$M$1</f>
        <v>Public Health Wales Trust</v>
      </c>
      <c r="C1144" t="str">
        <f>'E - Resource Limits'!$A$5</f>
        <v>Table E - Resource Limits</v>
      </c>
      <c r="D1144" s="2898">
        <f>'E - Resource Limits'!A99</f>
        <v>78</v>
      </c>
      <c r="E1144" t="str">
        <f>LEFT('E - Resource Limits'!$B$25,14)</f>
        <v>Total COVID-19</v>
      </c>
      <c r="F1144" s="2897">
        <f>'E - Resource Limits'!$B99</f>
        <v>0</v>
      </c>
      <c r="S1144">
        <f>'E - Resource Limits'!H99</f>
        <v>0</v>
      </c>
      <c r="U1144">
        <f t="shared" si="32"/>
        <v>0</v>
      </c>
    </row>
    <row r="1145" spans="1:21">
      <c r="A1145" s="2895" t="str">
        <f>ORG!$S$1</f>
        <v>Apr 23</v>
      </c>
      <c r="B1145" t="str">
        <f>ORG!$M$1</f>
        <v>Public Health Wales Trust</v>
      </c>
      <c r="C1145" t="str">
        <f>'E - Resource Limits'!$A$5</f>
        <v>Table E - Resource Limits</v>
      </c>
      <c r="D1145" s="2898">
        <f>'E - Resource Limits'!A100</f>
        <v>79</v>
      </c>
      <c r="E1145" t="str">
        <f>LEFT('E - Resource Limits'!$B$25,14)</f>
        <v>Total COVID-19</v>
      </c>
      <c r="F1145" s="2897">
        <f>'E - Resource Limits'!$B100</f>
        <v>0</v>
      </c>
      <c r="S1145">
        <f>'E - Resource Limits'!H100</f>
        <v>0</v>
      </c>
      <c r="U1145">
        <f t="shared" si="32"/>
        <v>0</v>
      </c>
    </row>
    <row r="1146" spans="1:21">
      <c r="A1146" s="2895" t="str">
        <f>ORG!$S$1</f>
        <v>Apr 23</v>
      </c>
      <c r="B1146" t="str">
        <f>ORG!$M$1</f>
        <v>Public Health Wales Trust</v>
      </c>
      <c r="C1146" t="str">
        <f>'E - Resource Limits'!$A$5</f>
        <v>Table E - Resource Limits</v>
      </c>
      <c r="D1146" s="2898">
        <f>'E - Resource Limits'!A101</f>
        <v>80</v>
      </c>
      <c r="E1146" t="str">
        <f>LEFT('E - Resource Limits'!$B$25,14)</f>
        <v>Total COVID-19</v>
      </c>
      <c r="F1146" s="2897">
        <f>'E - Resource Limits'!$B101</f>
        <v>0</v>
      </c>
      <c r="S1146">
        <f>'E - Resource Limits'!H101</f>
        <v>0</v>
      </c>
      <c r="U1146">
        <f t="shared" si="32"/>
        <v>0</v>
      </c>
    </row>
    <row r="1147" spans="1:21">
      <c r="A1147" s="2895" t="str">
        <f>ORG!$S$1</f>
        <v>Apr 23</v>
      </c>
      <c r="B1147" t="str">
        <f>ORG!$M$1</f>
        <v>Public Health Wales Trust</v>
      </c>
      <c r="C1147" t="str">
        <f>'E - Resource Limits'!$A$5</f>
        <v>Table E - Resource Limits</v>
      </c>
      <c r="D1147" s="2898">
        <f>'E - Resource Limits'!A102</f>
        <v>81</v>
      </c>
      <c r="E1147" t="str">
        <f>LEFT('E - Resource Limits'!$B$25,14)</f>
        <v>Total COVID-19</v>
      </c>
      <c r="F1147" s="2897">
        <f>'E - Resource Limits'!$B102</f>
        <v>0</v>
      </c>
      <c r="S1147">
        <f>'E - Resource Limits'!H102</f>
        <v>0</v>
      </c>
      <c r="U1147">
        <f t="shared" si="32"/>
        <v>0</v>
      </c>
    </row>
    <row r="1148" spans="1:21">
      <c r="A1148" s="2895" t="str">
        <f>ORG!$S$1</f>
        <v>Apr 23</v>
      </c>
      <c r="B1148" t="str">
        <f>ORG!$M$1</f>
        <v>Public Health Wales Trust</v>
      </c>
      <c r="C1148" t="str">
        <f>'E - Resource Limits'!$A$5</f>
        <v>Table E - Resource Limits</v>
      </c>
      <c r="D1148" s="2898">
        <f>'E - Resource Limits'!A103</f>
        <v>82</v>
      </c>
      <c r="E1148" t="str">
        <f>LEFT('E - Resource Limits'!$B$25,14)</f>
        <v>Total COVID-19</v>
      </c>
      <c r="F1148" s="2897">
        <f>'E - Resource Limits'!$B103</f>
        <v>0</v>
      </c>
      <c r="S1148">
        <f>'E - Resource Limits'!H103</f>
        <v>0</v>
      </c>
      <c r="U1148">
        <f t="shared" si="32"/>
        <v>0</v>
      </c>
    </row>
    <row r="1149" spans="1:21">
      <c r="A1149" s="2895" t="str">
        <f>ORG!$S$1</f>
        <v>Apr 23</v>
      </c>
      <c r="B1149" t="str">
        <f>ORG!$M$1</f>
        <v>Public Health Wales Trust</v>
      </c>
      <c r="C1149" t="str">
        <f>'E - Resource Limits'!$A$5</f>
        <v>Table E - Resource Limits</v>
      </c>
      <c r="D1149" s="2898">
        <f>'E - Resource Limits'!A104</f>
        <v>83</v>
      </c>
      <c r="E1149" t="str">
        <f>LEFT('E - Resource Limits'!$B$25,14)</f>
        <v>Total COVID-19</v>
      </c>
      <c r="F1149" s="2897">
        <f>'E - Resource Limits'!$B104</f>
        <v>0</v>
      </c>
      <c r="S1149">
        <f>'E - Resource Limits'!H104</f>
        <v>0</v>
      </c>
      <c r="U1149">
        <f t="shared" si="32"/>
        <v>0</v>
      </c>
    </row>
    <row r="1150" spans="1:21">
      <c r="A1150" s="2895" t="str">
        <f>ORG!$S$1</f>
        <v>Apr 23</v>
      </c>
      <c r="B1150" t="str">
        <f>ORG!$M$1</f>
        <v>Public Health Wales Trust</v>
      </c>
      <c r="C1150" t="str">
        <f>'E - Resource Limits'!$A$5</f>
        <v>Table E - Resource Limits</v>
      </c>
      <c r="D1150" s="2898">
        <f>'E - Resource Limits'!A105</f>
        <v>84</v>
      </c>
      <c r="E1150" t="str">
        <f>LEFT('E - Resource Limits'!$B$25,14)</f>
        <v>Total COVID-19</v>
      </c>
      <c r="F1150" s="2897">
        <f>'E - Resource Limits'!$B105</f>
        <v>0</v>
      </c>
      <c r="S1150">
        <f>'E - Resource Limits'!H105</f>
        <v>0</v>
      </c>
      <c r="U1150">
        <f t="shared" si="32"/>
        <v>0</v>
      </c>
    </row>
    <row r="1151" spans="1:21">
      <c r="A1151" s="2895" t="str">
        <f>ORG!$S$1</f>
        <v>Apr 23</v>
      </c>
      <c r="B1151" t="str">
        <f>ORG!$M$1</f>
        <v>Public Health Wales Trust</v>
      </c>
      <c r="C1151" t="str">
        <f>'E - Resource Limits'!$A$5</f>
        <v>Table E - Resource Limits</v>
      </c>
      <c r="D1151" s="2898">
        <f>'E - Resource Limits'!A106</f>
        <v>85</v>
      </c>
      <c r="E1151" t="str">
        <f>LEFT('E - Resource Limits'!$B$25,14)</f>
        <v>Total COVID-19</v>
      </c>
      <c r="F1151" s="2897">
        <f>'E - Resource Limits'!$B106</f>
        <v>0</v>
      </c>
      <c r="S1151">
        <f>'E - Resource Limits'!H106</f>
        <v>0</v>
      </c>
      <c r="U1151">
        <f t="shared" si="32"/>
        <v>0</v>
      </c>
    </row>
    <row r="1152" spans="1:21">
      <c r="A1152" s="2895" t="str">
        <f>ORG!$S$1</f>
        <v>Apr 23</v>
      </c>
      <c r="B1152" t="str">
        <f>ORG!$M$1</f>
        <v>Public Health Wales Trust</v>
      </c>
      <c r="C1152" t="str">
        <f>'E - Resource Limits'!$A$5</f>
        <v>Table E - Resource Limits</v>
      </c>
      <c r="D1152" s="2898">
        <f>'E - Resource Limits'!A107</f>
        <v>86</v>
      </c>
      <c r="E1152" t="str">
        <f>LEFT('E - Resource Limits'!$B$25,14)</f>
        <v>Total COVID-19</v>
      </c>
      <c r="F1152" s="2897">
        <f>'E - Resource Limits'!$B107</f>
        <v>0</v>
      </c>
      <c r="S1152">
        <f>'E - Resource Limits'!H107</f>
        <v>0</v>
      </c>
      <c r="U1152">
        <f t="shared" si="32"/>
        <v>0</v>
      </c>
    </row>
    <row r="1153" spans="1:21">
      <c r="A1153" s="2895" t="str">
        <f>ORG!$S$1</f>
        <v>Apr 23</v>
      </c>
      <c r="B1153" t="str">
        <f>ORG!$M$1</f>
        <v>Public Health Wales Trust</v>
      </c>
      <c r="C1153" t="str">
        <f>'E - Resource Limits'!$A$5</f>
        <v>Table E - Resource Limits</v>
      </c>
      <c r="D1153" s="2898">
        <f>'E - Resource Limits'!A108</f>
        <v>87</v>
      </c>
      <c r="E1153" t="str">
        <f>LEFT('E - Resource Limits'!$B$25,14)</f>
        <v>Total COVID-19</v>
      </c>
      <c r="F1153" s="2897">
        <f>'E - Resource Limits'!$B108</f>
        <v>0</v>
      </c>
      <c r="S1153">
        <f>'E - Resource Limits'!H108</f>
        <v>0</v>
      </c>
      <c r="U1153">
        <f t="shared" si="32"/>
        <v>0</v>
      </c>
    </row>
    <row r="1154" spans="1:21">
      <c r="A1154" s="2895" t="str">
        <f>ORG!$S$1</f>
        <v>Apr 23</v>
      </c>
      <c r="B1154" t="str">
        <f>ORG!$M$1</f>
        <v>Public Health Wales Trust</v>
      </c>
      <c r="C1154" t="str">
        <f>'E - Resource Limits'!$A$5</f>
        <v>Table E - Resource Limits</v>
      </c>
      <c r="D1154" s="2898">
        <f>'E - Resource Limits'!A109</f>
        <v>88</v>
      </c>
      <c r="E1154" t="str">
        <f>LEFT('E - Resource Limits'!$B$25,14)</f>
        <v>Total COVID-19</v>
      </c>
      <c r="F1154" s="2897">
        <f>'E - Resource Limits'!$B109</f>
        <v>0</v>
      </c>
      <c r="S1154">
        <f>'E - Resource Limits'!H109</f>
        <v>0</v>
      </c>
      <c r="U1154">
        <f t="shared" si="32"/>
        <v>0</v>
      </c>
    </row>
    <row r="1155" spans="1:21">
      <c r="A1155" s="2895" t="str">
        <f>ORG!$S$1</f>
        <v>Apr 23</v>
      </c>
      <c r="B1155" t="str">
        <f>ORG!$M$1</f>
        <v>Public Health Wales Trust</v>
      </c>
      <c r="C1155" t="str">
        <f>'E - Resource Limits'!$A$5</f>
        <v>Table E - Resource Limits</v>
      </c>
      <c r="D1155" s="2898">
        <f>'E - Resource Limits'!A110</f>
        <v>89</v>
      </c>
      <c r="E1155" t="str">
        <f>LEFT('E - Resource Limits'!$B$25,14)</f>
        <v>Total COVID-19</v>
      </c>
      <c r="F1155" s="2897">
        <f>'E - Resource Limits'!$B110</f>
        <v>0</v>
      </c>
      <c r="S1155">
        <f>'E - Resource Limits'!H110</f>
        <v>0</v>
      </c>
      <c r="U1155">
        <f t="shared" si="32"/>
        <v>0</v>
      </c>
    </row>
    <row r="1156" spans="1:21">
      <c r="A1156" s="2895" t="str">
        <f>ORG!$S$1</f>
        <v>Apr 23</v>
      </c>
      <c r="B1156" t="str">
        <f>ORG!$M$1</f>
        <v>Public Health Wales Trust</v>
      </c>
      <c r="C1156" t="str">
        <f>'E - Resource Limits'!$A$5</f>
        <v>Table E - Resource Limits</v>
      </c>
      <c r="D1156" s="2898">
        <f>'E - Resource Limits'!A111</f>
        <v>90</v>
      </c>
      <c r="E1156" t="str">
        <f>LEFT('E - Resource Limits'!$B$25,14)</f>
        <v>Total COVID-19</v>
      </c>
      <c r="F1156" s="2897">
        <f>'E - Resource Limits'!$B111</f>
        <v>0</v>
      </c>
      <c r="S1156">
        <f>'E - Resource Limits'!H111</f>
        <v>0</v>
      </c>
      <c r="U1156">
        <f t="shared" si="32"/>
        <v>0</v>
      </c>
    </row>
    <row r="1157" spans="1:21">
      <c r="A1157" s="2895" t="str">
        <f>ORG!$S$1</f>
        <v>Apr 23</v>
      </c>
      <c r="B1157" t="str">
        <f>ORG!$M$1</f>
        <v>Public Health Wales Trust</v>
      </c>
      <c r="C1157" t="str">
        <f>'E - Resource Limits'!$A$5</f>
        <v>Table E - Resource Limits</v>
      </c>
      <c r="D1157" s="2898">
        <f>'E - Resource Limits'!A112</f>
        <v>91</v>
      </c>
      <c r="E1157" t="str">
        <f>LEFT('E - Resource Limits'!$B$25,14)</f>
        <v>Total COVID-19</v>
      </c>
      <c r="F1157" s="2897">
        <f>'E - Resource Limits'!$B112</f>
        <v>0</v>
      </c>
      <c r="S1157">
        <f>'E - Resource Limits'!H112</f>
        <v>0</v>
      </c>
      <c r="U1157">
        <f t="shared" si="32"/>
        <v>0</v>
      </c>
    </row>
    <row r="1158" spans="1:21">
      <c r="A1158" s="2895" t="str">
        <f>ORG!$S$1</f>
        <v>Apr 23</v>
      </c>
      <c r="B1158" t="str">
        <f>ORG!$M$1</f>
        <v>Public Health Wales Trust</v>
      </c>
      <c r="C1158" t="str">
        <f>'E - Resource Limits'!$A$5</f>
        <v>Table E - Resource Limits</v>
      </c>
      <c r="D1158" s="2898">
        <f>'E - Resource Limits'!A113</f>
        <v>92</v>
      </c>
      <c r="E1158" t="str">
        <f>LEFT('E - Resource Limits'!$B$25,14)</f>
        <v>Total COVID-19</v>
      </c>
      <c r="F1158" s="2897">
        <f>'E - Resource Limits'!$B113</f>
        <v>0</v>
      </c>
      <c r="S1158">
        <f>'E - Resource Limits'!H113</f>
        <v>0</v>
      </c>
      <c r="U1158">
        <f t="shared" si="32"/>
        <v>0</v>
      </c>
    </row>
    <row r="1159" spans="1:21">
      <c r="A1159" s="2895" t="str">
        <f>ORG!$S$1</f>
        <v>Apr 23</v>
      </c>
      <c r="B1159" t="str">
        <f>ORG!$M$1</f>
        <v>Public Health Wales Trust</v>
      </c>
      <c r="C1159" t="str">
        <f>'E - Resource Limits'!$A$5</f>
        <v>Table E - Resource Limits</v>
      </c>
      <c r="D1159" s="2898">
        <f>'E - Resource Limits'!A114</f>
        <v>93</v>
      </c>
      <c r="E1159" t="str">
        <f>LEFT('E - Resource Limits'!$B$25,14)</f>
        <v>Total COVID-19</v>
      </c>
      <c r="F1159" s="2897">
        <f>'E - Resource Limits'!$B114</f>
        <v>0</v>
      </c>
      <c r="S1159">
        <f>'E - Resource Limits'!H114</f>
        <v>0</v>
      </c>
      <c r="U1159">
        <f t="shared" si="32"/>
        <v>0</v>
      </c>
    </row>
    <row r="1160" spans="1:21">
      <c r="A1160" s="2895" t="str">
        <f>ORG!$S$1</f>
        <v>Apr 23</v>
      </c>
      <c r="B1160" t="str">
        <f>ORG!$M$1</f>
        <v>Public Health Wales Trust</v>
      </c>
      <c r="C1160" t="str">
        <f>'E - Resource Limits'!$A$5</f>
        <v>Table E - Resource Limits</v>
      </c>
      <c r="D1160" s="2898">
        <f>'E - Resource Limits'!A115</f>
        <v>94</v>
      </c>
      <c r="E1160" t="str">
        <f>LEFT('E - Resource Limits'!$B$25,14)</f>
        <v>Total COVID-19</v>
      </c>
      <c r="F1160" s="2897">
        <f>'E - Resource Limits'!$B115</f>
        <v>0</v>
      </c>
      <c r="S1160">
        <f>'E - Resource Limits'!H115</f>
        <v>0</v>
      </c>
      <c r="U1160">
        <f t="shared" si="32"/>
        <v>0</v>
      </c>
    </row>
    <row r="1161" spans="1:21">
      <c r="A1161" s="2895" t="str">
        <f>ORG!$S$1</f>
        <v>Apr 23</v>
      </c>
      <c r="B1161" t="str">
        <f>ORG!$M$1</f>
        <v>Public Health Wales Trust</v>
      </c>
      <c r="C1161" t="str">
        <f>'E - Resource Limits'!$A$5</f>
        <v>Table E - Resource Limits</v>
      </c>
      <c r="D1161" s="2898">
        <f>'E - Resource Limits'!A116</f>
        <v>95</v>
      </c>
      <c r="E1161" t="str">
        <f>LEFT('E - Resource Limits'!$B$25,14)</f>
        <v>Total COVID-19</v>
      </c>
      <c r="F1161" s="2897">
        <f>'E - Resource Limits'!$B116</f>
        <v>0</v>
      </c>
      <c r="S1161">
        <f>'E - Resource Limits'!H116</f>
        <v>0</v>
      </c>
      <c r="U1161">
        <f t="shared" si="32"/>
        <v>0</v>
      </c>
    </row>
    <row r="1162" spans="1:21">
      <c r="A1162" s="2895" t="str">
        <f>ORG!$S$1</f>
        <v>Apr 23</v>
      </c>
      <c r="B1162" t="str">
        <f>ORG!$M$1</f>
        <v>Public Health Wales Trust</v>
      </c>
      <c r="C1162" t="str">
        <f>'E - Resource Limits'!$A$5</f>
        <v>Table E - Resource Limits</v>
      </c>
      <c r="D1162" s="2898">
        <f>'E - Resource Limits'!A117</f>
        <v>96</v>
      </c>
      <c r="E1162" t="str">
        <f>LEFT('E - Resource Limits'!$B$25,14)</f>
        <v>Total COVID-19</v>
      </c>
      <c r="F1162" s="2897">
        <f>'E - Resource Limits'!$B117</f>
        <v>0</v>
      </c>
      <c r="S1162">
        <f>'E - Resource Limits'!H117</f>
        <v>0</v>
      </c>
      <c r="U1162">
        <f t="shared" si="32"/>
        <v>0</v>
      </c>
    </row>
    <row r="1163" spans="1:21">
      <c r="A1163" s="2895" t="str">
        <f>ORG!$S$1</f>
        <v>Apr 23</v>
      </c>
      <c r="B1163" t="str">
        <f>ORG!$M$1</f>
        <v>Public Health Wales Trust</v>
      </c>
      <c r="C1163" t="str">
        <f>'E - Resource Limits'!$A$5</f>
        <v>Table E - Resource Limits</v>
      </c>
      <c r="D1163" s="2898">
        <f>'E - Resource Limits'!A118</f>
        <v>97</v>
      </c>
      <c r="E1163" t="str">
        <f>LEFT('E - Resource Limits'!$B$25,14)</f>
        <v>Total COVID-19</v>
      </c>
      <c r="F1163" s="2897" t="str">
        <f>'E - Resource Limits'!$B118</f>
        <v>Total Funding</v>
      </c>
      <c r="S1163">
        <f>'E - Resource Limits'!H118</f>
        <v>0</v>
      </c>
      <c r="U1163">
        <f t="shared" si="32"/>
        <v>0</v>
      </c>
    </row>
    <row r="1164" spans="1:21">
      <c r="A1164" s="2895" t="str">
        <f>ORG!$S$1</f>
        <v>Apr 23</v>
      </c>
      <c r="B1164" t="str">
        <f>ORG!$M$1</f>
        <v>Public Health Wales Trust</v>
      </c>
      <c r="C1164" t="str">
        <f>'E - Resource Limits'!$A$5</f>
        <v>Table E - Resource Limits</v>
      </c>
      <c r="D1164" s="2898">
        <f>D1133</f>
        <v>67</v>
      </c>
      <c r="E1164" t="str">
        <f>"Allocated"</f>
        <v>Allocated</v>
      </c>
      <c r="F1164" s="2899" t="str">
        <f>F1133</f>
        <v xml:space="preserve">Health Protection (including Testing, Tracing and Surveillance) </v>
      </c>
      <c r="S1164">
        <f>'E - Resource Limits'!C88</f>
        <v>0</v>
      </c>
      <c r="U1164">
        <f t="shared" ref="U1164:U1194" si="367">S1164+T1164</f>
        <v>0</v>
      </c>
    </row>
    <row r="1165" spans="1:21">
      <c r="A1165" s="2895" t="str">
        <f>ORG!$S$1</f>
        <v>Apr 23</v>
      </c>
      <c r="B1165" t="str">
        <f>ORG!$M$1</f>
        <v>Public Health Wales Trust</v>
      </c>
      <c r="C1165" t="str">
        <f>'E - Resource Limits'!$A$5</f>
        <v>Table E - Resource Limits</v>
      </c>
      <c r="D1165" s="2898">
        <f t="shared" ref="D1165:D1194" si="368">D1134</f>
        <v>68</v>
      </c>
      <c r="E1165" t="str">
        <f t="shared" ref="E1165:E1194" si="369">"Allocated"</f>
        <v>Allocated</v>
      </c>
      <c r="F1165" s="2899" t="str">
        <f t="shared" ref="F1165:F1194" si="370">F1134</f>
        <v>COVID-19 Vaccination (Immunisation) Programme</v>
      </c>
      <c r="S1165">
        <f>'E - Resource Limits'!C89</f>
        <v>0</v>
      </c>
      <c r="U1165">
        <f t="shared" si="367"/>
        <v>0</v>
      </c>
    </row>
    <row r="1166" spans="1:21">
      <c r="A1166" s="2895" t="str">
        <f>ORG!$S$1</f>
        <v>Apr 23</v>
      </c>
      <c r="B1166" t="str">
        <f>ORG!$M$1</f>
        <v>Public Health Wales Trust</v>
      </c>
      <c r="C1166" t="str">
        <f>'E - Resource Limits'!$A$5</f>
        <v>Table E - Resource Limits</v>
      </c>
      <c r="D1166" s="2898">
        <f t="shared" si="368"/>
        <v>69</v>
      </c>
      <c r="E1166" t="str">
        <f t="shared" si="369"/>
        <v>Allocated</v>
      </c>
      <c r="F1166" s="2899" t="str">
        <f t="shared" si="370"/>
        <v xml:space="preserve">PPE </v>
      </c>
      <c r="S1166">
        <f>'E - Resource Limits'!C90</f>
        <v>0</v>
      </c>
      <c r="U1166">
        <f t="shared" si="367"/>
        <v>0</v>
      </c>
    </row>
    <row r="1167" spans="1:21">
      <c r="A1167" s="2895" t="str">
        <f>ORG!$S$1</f>
        <v>Apr 23</v>
      </c>
      <c r="B1167" t="str">
        <f>ORG!$M$1</f>
        <v>Public Health Wales Trust</v>
      </c>
      <c r="C1167" t="str">
        <f>'E - Resource Limits'!$A$5</f>
        <v>Table E - Resource Limits</v>
      </c>
      <c r="D1167" s="2898">
        <f t="shared" si="368"/>
        <v>70</v>
      </c>
      <c r="E1167" t="str">
        <f t="shared" si="369"/>
        <v>Allocated</v>
      </c>
      <c r="F1167" s="2899" t="str">
        <f t="shared" si="370"/>
        <v>Long Covid</v>
      </c>
      <c r="S1167">
        <f>'E - Resource Limits'!C91</f>
        <v>0</v>
      </c>
      <c r="U1167">
        <f t="shared" si="367"/>
        <v>0</v>
      </c>
    </row>
    <row r="1168" spans="1:21">
      <c r="A1168" s="2895" t="str">
        <f>ORG!$S$1</f>
        <v>Apr 23</v>
      </c>
      <c r="B1168" t="str">
        <f>ORG!$M$1</f>
        <v>Public Health Wales Trust</v>
      </c>
      <c r="C1168" t="str">
        <f>'E - Resource Limits'!$A$5</f>
        <v>Table E - Resource Limits</v>
      </c>
      <c r="D1168" s="2898">
        <f t="shared" si="368"/>
        <v>71</v>
      </c>
      <c r="E1168" t="str">
        <f t="shared" si="369"/>
        <v>Allocated</v>
      </c>
      <c r="F1168" s="2899" t="str">
        <f t="shared" si="370"/>
        <v>Nosocomial</v>
      </c>
      <c r="S1168">
        <f>'E - Resource Limits'!C92</f>
        <v>0</v>
      </c>
      <c r="U1168">
        <f t="shared" si="367"/>
        <v>0</v>
      </c>
    </row>
    <row r="1169" spans="1:21">
      <c r="A1169" s="2895" t="str">
        <f>ORG!$S$1</f>
        <v>Apr 23</v>
      </c>
      <c r="B1169" t="str">
        <f>ORG!$M$1</f>
        <v>Public Health Wales Trust</v>
      </c>
      <c r="C1169" t="str">
        <f>'E - Resource Limits'!$A$5</f>
        <v>Table E - Resource Limits</v>
      </c>
      <c r="D1169" s="2898">
        <f t="shared" si="368"/>
        <v>72</v>
      </c>
      <c r="E1169" t="str">
        <f t="shared" si="369"/>
        <v>Allocated</v>
      </c>
      <c r="F1169" s="2899">
        <f t="shared" si="370"/>
        <v>0</v>
      </c>
      <c r="S1169">
        <f>'E - Resource Limits'!C93</f>
        <v>0</v>
      </c>
      <c r="U1169">
        <f t="shared" si="367"/>
        <v>0</v>
      </c>
    </row>
    <row r="1170" spans="1:21">
      <c r="A1170" s="2895" t="str">
        <f>ORG!$S$1</f>
        <v>Apr 23</v>
      </c>
      <c r="B1170" t="str">
        <f>ORG!$M$1</f>
        <v>Public Health Wales Trust</v>
      </c>
      <c r="C1170" t="str">
        <f>'E - Resource Limits'!$A$5</f>
        <v>Table E - Resource Limits</v>
      </c>
      <c r="D1170" s="2898">
        <f t="shared" si="368"/>
        <v>73</v>
      </c>
      <c r="E1170" t="str">
        <f t="shared" si="369"/>
        <v>Allocated</v>
      </c>
      <c r="F1170" s="2899">
        <f t="shared" si="370"/>
        <v>0</v>
      </c>
      <c r="S1170">
        <f>'E - Resource Limits'!C94</f>
        <v>0</v>
      </c>
      <c r="U1170">
        <f t="shared" si="367"/>
        <v>0</v>
      </c>
    </row>
    <row r="1171" spans="1:21">
      <c r="A1171" s="2895" t="str">
        <f>ORG!$S$1</f>
        <v>Apr 23</v>
      </c>
      <c r="B1171" t="str">
        <f>ORG!$M$1</f>
        <v>Public Health Wales Trust</v>
      </c>
      <c r="C1171" t="str">
        <f>'E - Resource Limits'!$A$5</f>
        <v>Table E - Resource Limits</v>
      </c>
      <c r="D1171" s="2898">
        <f t="shared" si="368"/>
        <v>74</v>
      </c>
      <c r="E1171" t="str">
        <f t="shared" si="369"/>
        <v>Allocated</v>
      </c>
      <c r="F1171" s="2899">
        <f t="shared" si="370"/>
        <v>0</v>
      </c>
      <c r="S1171">
        <f>'E - Resource Limits'!C95</f>
        <v>0</v>
      </c>
      <c r="U1171">
        <f t="shared" si="367"/>
        <v>0</v>
      </c>
    </row>
    <row r="1172" spans="1:21">
      <c r="A1172" s="2895" t="str">
        <f>ORG!$S$1</f>
        <v>Apr 23</v>
      </c>
      <c r="B1172" t="str">
        <f>ORG!$M$1</f>
        <v>Public Health Wales Trust</v>
      </c>
      <c r="C1172" t="str">
        <f>'E - Resource Limits'!$A$5</f>
        <v>Table E - Resource Limits</v>
      </c>
      <c r="D1172" s="2898">
        <f t="shared" si="368"/>
        <v>75</v>
      </c>
      <c r="E1172" t="str">
        <f t="shared" si="369"/>
        <v>Allocated</v>
      </c>
      <c r="F1172" s="2899">
        <f t="shared" si="370"/>
        <v>0</v>
      </c>
      <c r="S1172">
        <f>'E - Resource Limits'!C96</f>
        <v>0</v>
      </c>
      <c r="U1172">
        <f t="shared" si="367"/>
        <v>0</v>
      </c>
    </row>
    <row r="1173" spans="1:21">
      <c r="A1173" s="2895" t="str">
        <f>ORG!$S$1</f>
        <v>Apr 23</v>
      </c>
      <c r="B1173" t="str">
        <f>ORG!$M$1</f>
        <v>Public Health Wales Trust</v>
      </c>
      <c r="C1173" t="str">
        <f>'E - Resource Limits'!$A$5</f>
        <v>Table E - Resource Limits</v>
      </c>
      <c r="D1173" s="2898">
        <f t="shared" si="368"/>
        <v>76</v>
      </c>
      <c r="E1173" t="str">
        <f t="shared" si="369"/>
        <v>Allocated</v>
      </c>
      <c r="F1173" s="2899">
        <f t="shared" si="370"/>
        <v>0</v>
      </c>
      <c r="S1173">
        <f>'E - Resource Limits'!C97</f>
        <v>0</v>
      </c>
      <c r="U1173">
        <f t="shared" si="367"/>
        <v>0</v>
      </c>
    </row>
    <row r="1174" spans="1:21">
      <c r="A1174" s="2895" t="str">
        <f>ORG!$S$1</f>
        <v>Apr 23</v>
      </c>
      <c r="B1174" t="str">
        <f>ORG!$M$1</f>
        <v>Public Health Wales Trust</v>
      </c>
      <c r="C1174" t="str">
        <f>'E - Resource Limits'!$A$5</f>
        <v>Table E - Resource Limits</v>
      </c>
      <c r="D1174" s="2898">
        <f t="shared" si="368"/>
        <v>77</v>
      </c>
      <c r="E1174" t="str">
        <f t="shared" si="369"/>
        <v>Allocated</v>
      </c>
      <c r="F1174" s="2899">
        <f t="shared" si="370"/>
        <v>0</v>
      </c>
      <c r="S1174">
        <f>'E - Resource Limits'!C98</f>
        <v>0</v>
      </c>
      <c r="U1174">
        <f t="shared" si="367"/>
        <v>0</v>
      </c>
    </row>
    <row r="1175" spans="1:21">
      <c r="A1175" s="2895" t="str">
        <f>ORG!$S$1</f>
        <v>Apr 23</v>
      </c>
      <c r="B1175" t="str">
        <f>ORG!$M$1</f>
        <v>Public Health Wales Trust</v>
      </c>
      <c r="C1175" t="str">
        <f>'E - Resource Limits'!$A$5</f>
        <v>Table E - Resource Limits</v>
      </c>
      <c r="D1175" s="2898">
        <f t="shared" si="368"/>
        <v>78</v>
      </c>
      <c r="E1175" t="str">
        <f t="shared" si="369"/>
        <v>Allocated</v>
      </c>
      <c r="F1175" s="2899">
        <f t="shared" si="370"/>
        <v>0</v>
      </c>
      <c r="S1175">
        <f>'E - Resource Limits'!C99</f>
        <v>0</v>
      </c>
      <c r="U1175">
        <f t="shared" si="367"/>
        <v>0</v>
      </c>
    </row>
    <row r="1176" spans="1:21">
      <c r="A1176" s="2895" t="str">
        <f>ORG!$S$1</f>
        <v>Apr 23</v>
      </c>
      <c r="B1176" t="str">
        <f>ORG!$M$1</f>
        <v>Public Health Wales Trust</v>
      </c>
      <c r="C1176" t="str">
        <f>'E - Resource Limits'!$A$5</f>
        <v>Table E - Resource Limits</v>
      </c>
      <c r="D1176" s="2898">
        <f t="shared" si="368"/>
        <v>79</v>
      </c>
      <c r="E1176" t="str">
        <f t="shared" si="369"/>
        <v>Allocated</v>
      </c>
      <c r="F1176" s="2899">
        <f t="shared" si="370"/>
        <v>0</v>
      </c>
      <c r="S1176">
        <f>'E - Resource Limits'!C100</f>
        <v>0</v>
      </c>
      <c r="U1176">
        <f t="shared" si="367"/>
        <v>0</v>
      </c>
    </row>
    <row r="1177" spans="1:21">
      <c r="A1177" s="2895" t="str">
        <f>ORG!$S$1</f>
        <v>Apr 23</v>
      </c>
      <c r="B1177" t="str">
        <f>ORG!$M$1</f>
        <v>Public Health Wales Trust</v>
      </c>
      <c r="C1177" t="str">
        <f>'E - Resource Limits'!$A$5</f>
        <v>Table E - Resource Limits</v>
      </c>
      <c r="D1177" s="2898">
        <f t="shared" si="368"/>
        <v>80</v>
      </c>
      <c r="E1177" t="str">
        <f t="shared" si="369"/>
        <v>Allocated</v>
      </c>
      <c r="F1177" s="2899">
        <f t="shared" si="370"/>
        <v>0</v>
      </c>
      <c r="S1177">
        <f>'E - Resource Limits'!C101</f>
        <v>0</v>
      </c>
      <c r="U1177">
        <f t="shared" si="367"/>
        <v>0</v>
      </c>
    </row>
    <row r="1178" spans="1:21">
      <c r="A1178" s="2895" t="str">
        <f>ORG!$S$1</f>
        <v>Apr 23</v>
      </c>
      <c r="B1178" t="str">
        <f>ORG!$M$1</f>
        <v>Public Health Wales Trust</v>
      </c>
      <c r="C1178" t="str">
        <f>'E - Resource Limits'!$A$5</f>
        <v>Table E - Resource Limits</v>
      </c>
      <c r="D1178" s="2898">
        <f t="shared" si="368"/>
        <v>81</v>
      </c>
      <c r="E1178" t="str">
        <f t="shared" si="369"/>
        <v>Allocated</v>
      </c>
      <c r="F1178" s="2899">
        <f t="shared" si="370"/>
        <v>0</v>
      </c>
      <c r="S1178">
        <f>'E - Resource Limits'!C102</f>
        <v>0</v>
      </c>
      <c r="U1178">
        <f t="shared" si="367"/>
        <v>0</v>
      </c>
    </row>
    <row r="1179" spans="1:21">
      <c r="A1179" s="2895" t="str">
        <f>ORG!$S$1</f>
        <v>Apr 23</v>
      </c>
      <c r="B1179" t="str">
        <f>ORG!$M$1</f>
        <v>Public Health Wales Trust</v>
      </c>
      <c r="C1179" t="str">
        <f>'E - Resource Limits'!$A$5</f>
        <v>Table E - Resource Limits</v>
      </c>
      <c r="D1179" s="2898">
        <f t="shared" si="368"/>
        <v>82</v>
      </c>
      <c r="E1179" t="str">
        <f t="shared" si="369"/>
        <v>Allocated</v>
      </c>
      <c r="F1179" s="2899">
        <f t="shared" si="370"/>
        <v>0</v>
      </c>
      <c r="S1179">
        <f>'E - Resource Limits'!C103</f>
        <v>0</v>
      </c>
      <c r="U1179">
        <f t="shared" si="367"/>
        <v>0</v>
      </c>
    </row>
    <row r="1180" spans="1:21">
      <c r="A1180" s="2895" t="str">
        <f>ORG!$S$1</f>
        <v>Apr 23</v>
      </c>
      <c r="B1180" t="str">
        <f>ORG!$M$1</f>
        <v>Public Health Wales Trust</v>
      </c>
      <c r="C1180" t="str">
        <f>'E - Resource Limits'!$A$5</f>
        <v>Table E - Resource Limits</v>
      </c>
      <c r="D1180" s="2898">
        <f t="shared" si="368"/>
        <v>83</v>
      </c>
      <c r="E1180" t="str">
        <f t="shared" si="369"/>
        <v>Allocated</v>
      </c>
      <c r="F1180" s="2899">
        <f t="shared" si="370"/>
        <v>0</v>
      </c>
      <c r="S1180">
        <f>'E - Resource Limits'!C104</f>
        <v>0</v>
      </c>
      <c r="U1180">
        <f t="shared" si="367"/>
        <v>0</v>
      </c>
    </row>
    <row r="1181" spans="1:21">
      <c r="A1181" s="2895" t="str">
        <f>ORG!$S$1</f>
        <v>Apr 23</v>
      </c>
      <c r="B1181" t="str">
        <f>ORG!$M$1</f>
        <v>Public Health Wales Trust</v>
      </c>
      <c r="C1181" t="str">
        <f>'E - Resource Limits'!$A$5</f>
        <v>Table E - Resource Limits</v>
      </c>
      <c r="D1181" s="2898">
        <f t="shared" si="368"/>
        <v>84</v>
      </c>
      <c r="E1181" t="str">
        <f t="shared" si="369"/>
        <v>Allocated</v>
      </c>
      <c r="F1181" s="2899">
        <f t="shared" si="370"/>
        <v>0</v>
      </c>
      <c r="S1181">
        <f>'E - Resource Limits'!C105</f>
        <v>0</v>
      </c>
      <c r="U1181">
        <f t="shared" si="367"/>
        <v>0</v>
      </c>
    </row>
    <row r="1182" spans="1:21">
      <c r="A1182" s="2895" t="str">
        <f>ORG!$S$1</f>
        <v>Apr 23</v>
      </c>
      <c r="B1182" t="str">
        <f>ORG!$M$1</f>
        <v>Public Health Wales Trust</v>
      </c>
      <c r="C1182" t="str">
        <f>'E - Resource Limits'!$A$5</f>
        <v>Table E - Resource Limits</v>
      </c>
      <c r="D1182" s="2898">
        <f t="shared" si="368"/>
        <v>85</v>
      </c>
      <c r="E1182" t="str">
        <f t="shared" si="369"/>
        <v>Allocated</v>
      </c>
      <c r="F1182" s="2899">
        <f t="shared" si="370"/>
        <v>0</v>
      </c>
      <c r="S1182">
        <f>'E - Resource Limits'!C106</f>
        <v>0</v>
      </c>
      <c r="U1182">
        <f t="shared" si="367"/>
        <v>0</v>
      </c>
    </row>
    <row r="1183" spans="1:21">
      <c r="A1183" s="2895" t="str">
        <f>ORG!$S$1</f>
        <v>Apr 23</v>
      </c>
      <c r="B1183" t="str">
        <f>ORG!$M$1</f>
        <v>Public Health Wales Trust</v>
      </c>
      <c r="C1183" t="str">
        <f>'E - Resource Limits'!$A$5</f>
        <v>Table E - Resource Limits</v>
      </c>
      <c r="D1183" s="2898">
        <f t="shared" si="368"/>
        <v>86</v>
      </c>
      <c r="E1183" t="str">
        <f t="shared" si="369"/>
        <v>Allocated</v>
      </c>
      <c r="F1183" s="2899">
        <f t="shared" si="370"/>
        <v>0</v>
      </c>
      <c r="S1183">
        <f>'E - Resource Limits'!C107</f>
        <v>0</v>
      </c>
      <c r="U1183">
        <f t="shared" si="367"/>
        <v>0</v>
      </c>
    </row>
    <row r="1184" spans="1:21">
      <c r="A1184" s="2895" t="str">
        <f>ORG!$S$1</f>
        <v>Apr 23</v>
      </c>
      <c r="B1184" t="str">
        <f>ORG!$M$1</f>
        <v>Public Health Wales Trust</v>
      </c>
      <c r="C1184" t="str">
        <f>'E - Resource Limits'!$A$5</f>
        <v>Table E - Resource Limits</v>
      </c>
      <c r="D1184" s="2898">
        <f t="shared" si="368"/>
        <v>87</v>
      </c>
      <c r="E1184" t="str">
        <f t="shared" si="369"/>
        <v>Allocated</v>
      </c>
      <c r="F1184" s="2899">
        <f t="shared" si="370"/>
        <v>0</v>
      </c>
      <c r="S1184">
        <f>'E - Resource Limits'!C108</f>
        <v>0</v>
      </c>
      <c r="U1184">
        <f t="shared" si="367"/>
        <v>0</v>
      </c>
    </row>
    <row r="1185" spans="1:21">
      <c r="A1185" s="2895" t="str">
        <f>ORG!$S$1</f>
        <v>Apr 23</v>
      </c>
      <c r="B1185" t="str">
        <f>ORG!$M$1</f>
        <v>Public Health Wales Trust</v>
      </c>
      <c r="C1185" t="str">
        <f>'E - Resource Limits'!$A$5</f>
        <v>Table E - Resource Limits</v>
      </c>
      <c r="D1185" s="2898">
        <f t="shared" si="368"/>
        <v>88</v>
      </c>
      <c r="E1185" t="str">
        <f t="shared" si="369"/>
        <v>Allocated</v>
      </c>
      <c r="F1185" s="2899">
        <f t="shared" si="370"/>
        <v>0</v>
      </c>
      <c r="S1185">
        <f>'E - Resource Limits'!C109</f>
        <v>0</v>
      </c>
      <c r="U1185">
        <f t="shared" si="367"/>
        <v>0</v>
      </c>
    </row>
    <row r="1186" spans="1:21">
      <c r="A1186" s="2895" t="str">
        <f>ORG!$S$1</f>
        <v>Apr 23</v>
      </c>
      <c r="B1186" t="str">
        <f>ORG!$M$1</f>
        <v>Public Health Wales Trust</v>
      </c>
      <c r="C1186" t="str">
        <f>'E - Resource Limits'!$A$5</f>
        <v>Table E - Resource Limits</v>
      </c>
      <c r="D1186" s="2898">
        <f t="shared" si="368"/>
        <v>89</v>
      </c>
      <c r="E1186" t="str">
        <f t="shared" si="369"/>
        <v>Allocated</v>
      </c>
      <c r="F1186" s="2899">
        <f t="shared" si="370"/>
        <v>0</v>
      </c>
      <c r="S1186">
        <f>'E - Resource Limits'!C110</f>
        <v>0</v>
      </c>
      <c r="U1186">
        <f t="shared" si="367"/>
        <v>0</v>
      </c>
    </row>
    <row r="1187" spans="1:21">
      <c r="A1187" s="2895" t="str">
        <f>ORG!$S$1</f>
        <v>Apr 23</v>
      </c>
      <c r="B1187" t="str">
        <f>ORG!$M$1</f>
        <v>Public Health Wales Trust</v>
      </c>
      <c r="C1187" t="str">
        <f>'E - Resource Limits'!$A$5</f>
        <v>Table E - Resource Limits</v>
      </c>
      <c r="D1187" s="2898">
        <f t="shared" si="368"/>
        <v>90</v>
      </c>
      <c r="E1187" t="str">
        <f t="shared" si="369"/>
        <v>Allocated</v>
      </c>
      <c r="F1187" s="2899">
        <f t="shared" si="370"/>
        <v>0</v>
      </c>
      <c r="S1187">
        <f>'E - Resource Limits'!C111</f>
        <v>0</v>
      </c>
      <c r="U1187">
        <f t="shared" si="367"/>
        <v>0</v>
      </c>
    </row>
    <row r="1188" spans="1:21">
      <c r="A1188" s="2895" t="str">
        <f>ORG!$S$1</f>
        <v>Apr 23</v>
      </c>
      <c r="B1188" t="str">
        <f>ORG!$M$1</f>
        <v>Public Health Wales Trust</v>
      </c>
      <c r="C1188" t="str">
        <f>'E - Resource Limits'!$A$5</f>
        <v>Table E - Resource Limits</v>
      </c>
      <c r="D1188" s="2898">
        <f t="shared" si="368"/>
        <v>91</v>
      </c>
      <c r="E1188" t="str">
        <f t="shared" si="369"/>
        <v>Allocated</v>
      </c>
      <c r="F1188" s="2899">
        <f t="shared" si="370"/>
        <v>0</v>
      </c>
      <c r="S1188">
        <f>'E - Resource Limits'!C112</f>
        <v>0</v>
      </c>
      <c r="U1188">
        <f t="shared" si="367"/>
        <v>0</v>
      </c>
    </row>
    <row r="1189" spans="1:21">
      <c r="A1189" s="2895" t="str">
        <f>ORG!$S$1</f>
        <v>Apr 23</v>
      </c>
      <c r="B1189" t="str">
        <f>ORG!$M$1</f>
        <v>Public Health Wales Trust</v>
      </c>
      <c r="C1189" t="str">
        <f>'E - Resource Limits'!$A$5</f>
        <v>Table E - Resource Limits</v>
      </c>
      <c r="D1189" s="2898">
        <f t="shared" si="368"/>
        <v>92</v>
      </c>
      <c r="E1189" t="str">
        <f t="shared" si="369"/>
        <v>Allocated</v>
      </c>
      <c r="F1189" s="2899">
        <f t="shared" si="370"/>
        <v>0</v>
      </c>
      <c r="S1189">
        <f>'E - Resource Limits'!C113</f>
        <v>0</v>
      </c>
      <c r="U1189">
        <f t="shared" si="367"/>
        <v>0</v>
      </c>
    </row>
    <row r="1190" spans="1:21">
      <c r="A1190" s="2895" t="str">
        <f>ORG!$S$1</f>
        <v>Apr 23</v>
      </c>
      <c r="B1190" t="str">
        <f>ORG!$M$1</f>
        <v>Public Health Wales Trust</v>
      </c>
      <c r="C1190" t="str">
        <f>'E - Resource Limits'!$A$5</f>
        <v>Table E - Resource Limits</v>
      </c>
      <c r="D1190" s="2898">
        <f t="shared" si="368"/>
        <v>93</v>
      </c>
      <c r="E1190" t="str">
        <f t="shared" si="369"/>
        <v>Allocated</v>
      </c>
      <c r="F1190" s="2899">
        <f t="shared" si="370"/>
        <v>0</v>
      </c>
      <c r="S1190">
        <f>'E - Resource Limits'!C114</f>
        <v>0</v>
      </c>
      <c r="U1190">
        <f t="shared" si="367"/>
        <v>0</v>
      </c>
    </row>
    <row r="1191" spans="1:21">
      <c r="A1191" s="2895" t="str">
        <f>ORG!$S$1</f>
        <v>Apr 23</v>
      </c>
      <c r="B1191" t="str">
        <f>ORG!$M$1</f>
        <v>Public Health Wales Trust</v>
      </c>
      <c r="C1191" t="str">
        <f>'E - Resource Limits'!$A$5</f>
        <v>Table E - Resource Limits</v>
      </c>
      <c r="D1191" s="2898">
        <f t="shared" si="368"/>
        <v>94</v>
      </c>
      <c r="E1191" t="str">
        <f t="shared" si="369"/>
        <v>Allocated</v>
      </c>
      <c r="F1191" s="2899">
        <f t="shared" si="370"/>
        <v>0</v>
      </c>
      <c r="S1191">
        <f>'E - Resource Limits'!C115</f>
        <v>0</v>
      </c>
      <c r="U1191">
        <f t="shared" si="367"/>
        <v>0</v>
      </c>
    </row>
    <row r="1192" spans="1:21">
      <c r="A1192" s="2895" t="str">
        <f>ORG!$S$1</f>
        <v>Apr 23</v>
      </c>
      <c r="B1192" t="str">
        <f>ORG!$M$1</f>
        <v>Public Health Wales Trust</v>
      </c>
      <c r="C1192" t="str">
        <f>'E - Resource Limits'!$A$5</f>
        <v>Table E - Resource Limits</v>
      </c>
      <c r="D1192" s="2898">
        <f t="shared" si="368"/>
        <v>95</v>
      </c>
      <c r="E1192" t="str">
        <f t="shared" si="369"/>
        <v>Allocated</v>
      </c>
      <c r="F1192" s="2899">
        <f t="shared" si="370"/>
        <v>0</v>
      </c>
      <c r="S1192">
        <f>'E - Resource Limits'!C116</f>
        <v>0</v>
      </c>
      <c r="U1192">
        <f t="shared" si="367"/>
        <v>0</v>
      </c>
    </row>
    <row r="1193" spans="1:21">
      <c r="A1193" s="2895" t="str">
        <f>ORG!$S$1</f>
        <v>Apr 23</v>
      </c>
      <c r="B1193" t="str">
        <f>ORG!$M$1</f>
        <v>Public Health Wales Trust</v>
      </c>
      <c r="C1193" t="str">
        <f>'E - Resource Limits'!$A$5</f>
        <v>Table E - Resource Limits</v>
      </c>
      <c r="D1193" s="2898">
        <f t="shared" si="368"/>
        <v>96</v>
      </c>
      <c r="E1193" t="str">
        <f t="shared" si="369"/>
        <v>Allocated</v>
      </c>
      <c r="F1193" s="2899">
        <f t="shared" si="370"/>
        <v>0</v>
      </c>
      <c r="S1193">
        <f>'E - Resource Limits'!C117</f>
        <v>0</v>
      </c>
      <c r="U1193">
        <f t="shared" si="367"/>
        <v>0</v>
      </c>
    </row>
    <row r="1194" spans="1:21">
      <c r="A1194" s="2895" t="str">
        <f>ORG!$S$1</f>
        <v>Apr 23</v>
      </c>
      <c r="B1194" t="str">
        <f>ORG!$M$1</f>
        <v>Public Health Wales Trust</v>
      </c>
      <c r="C1194" t="str">
        <f>'E - Resource Limits'!$A$5</f>
        <v>Table E - Resource Limits</v>
      </c>
      <c r="D1194" s="2898">
        <f t="shared" si="368"/>
        <v>97</v>
      </c>
      <c r="E1194" t="str">
        <f t="shared" si="369"/>
        <v>Allocated</v>
      </c>
      <c r="F1194" s="2899" t="str">
        <f t="shared" si="370"/>
        <v>Total Funding</v>
      </c>
      <c r="S1194">
        <f>'E - Resource Limits'!C118</f>
        <v>0</v>
      </c>
      <c r="U1194">
        <f t="shared" si="367"/>
        <v>0</v>
      </c>
    </row>
    <row r="1195" spans="1:21">
      <c r="A1195" s="2895" t="str">
        <f>ORG!$S$1</f>
        <v>Apr 23</v>
      </c>
      <c r="B1195" t="str">
        <f>ORG!$M$1</f>
        <v>Public Health Wales Trust</v>
      </c>
      <c r="C1195" t="str">
        <f>'E - Resource Limits'!$A$5</f>
        <v>Table E - Resource Limits</v>
      </c>
      <c r="D1195" s="2898">
        <f>D1164</f>
        <v>67</v>
      </c>
      <c r="E1195" t="str">
        <f>"Anticipated HCHS"</f>
        <v>Anticipated HCHS</v>
      </c>
      <c r="F1195" s="2899" t="str">
        <f>'E - Resource Limits'!B88</f>
        <v xml:space="preserve">Health Protection (including Testing, Tracing and Surveillance) </v>
      </c>
      <c r="S1195">
        <f>'E - Resource Limits'!D88</f>
        <v>0</v>
      </c>
      <c r="U1195">
        <f t="shared" si="32"/>
        <v>0</v>
      </c>
    </row>
    <row r="1196" spans="1:21">
      <c r="A1196" s="2895" t="str">
        <f>ORG!$S$1</f>
        <v>Apr 23</v>
      </c>
      <c r="B1196" t="str">
        <f>ORG!$M$1</f>
        <v>Public Health Wales Trust</v>
      </c>
      <c r="C1196" t="str">
        <f>'E - Resource Limits'!$A$5</f>
        <v>Table E - Resource Limits</v>
      </c>
      <c r="D1196" s="2898">
        <f t="shared" ref="D1196:D1225" si="371">D1165</f>
        <v>68</v>
      </c>
      <c r="E1196" t="str">
        <f t="shared" ref="E1196:E1225" si="372">"Anticipated HCHS"</f>
        <v>Anticipated HCHS</v>
      </c>
      <c r="F1196" s="2899" t="str">
        <f>'E - Resource Limits'!B89</f>
        <v>COVID-19 Vaccination (Immunisation) Programme</v>
      </c>
      <c r="S1196">
        <f>'E - Resource Limits'!D89</f>
        <v>0</v>
      </c>
      <c r="U1196">
        <f t="shared" si="32"/>
        <v>0</v>
      </c>
    </row>
    <row r="1197" spans="1:21">
      <c r="A1197" s="2895" t="str">
        <f>ORG!$S$1</f>
        <v>Apr 23</v>
      </c>
      <c r="B1197" t="str">
        <f>ORG!$M$1</f>
        <v>Public Health Wales Trust</v>
      </c>
      <c r="C1197" t="str">
        <f>'E - Resource Limits'!$A$5</f>
        <v>Table E - Resource Limits</v>
      </c>
      <c r="D1197" s="2898">
        <f t="shared" si="371"/>
        <v>69</v>
      </c>
      <c r="E1197" t="str">
        <f t="shared" si="372"/>
        <v>Anticipated HCHS</v>
      </c>
      <c r="F1197" s="2899" t="str">
        <f>'E - Resource Limits'!B90</f>
        <v xml:space="preserve">PPE </v>
      </c>
      <c r="S1197">
        <f>'E - Resource Limits'!D90</f>
        <v>0</v>
      </c>
      <c r="U1197">
        <f t="shared" si="32"/>
        <v>0</v>
      </c>
    </row>
    <row r="1198" spans="1:21">
      <c r="A1198" s="2895" t="str">
        <f>ORG!$S$1</f>
        <v>Apr 23</v>
      </c>
      <c r="B1198" t="str">
        <f>ORG!$M$1</f>
        <v>Public Health Wales Trust</v>
      </c>
      <c r="C1198" t="str">
        <f>'E - Resource Limits'!$A$5</f>
        <v>Table E - Resource Limits</v>
      </c>
      <c r="D1198" s="2898">
        <f t="shared" si="371"/>
        <v>70</v>
      </c>
      <c r="E1198" t="str">
        <f t="shared" si="372"/>
        <v>Anticipated HCHS</v>
      </c>
      <c r="F1198" s="2899" t="str">
        <f>'E - Resource Limits'!B91</f>
        <v>Long Covid</v>
      </c>
      <c r="S1198">
        <f>'E - Resource Limits'!D91</f>
        <v>0</v>
      </c>
      <c r="U1198">
        <f t="shared" si="32"/>
        <v>0</v>
      </c>
    </row>
    <row r="1199" spans="1:21">
      <c r="A1199" s="2895" t="str">
        <f>ORG!$S$1</f>
        <v>Apr 23</v>
      </c>
      <c r="B1199" t="str">
        <f>ORG!$M$1</f>
        <v>Public Health Wales Trust</v>
      </c>
      <c r="C1199" t="str">
        <f>'E - Resource Limits'!$A$5</f>
        <v>Table E - Resource Limits</v>
      </c>
      <c r="D1199" s="2898">
        <f t="shared" si="371"/>
        <v>71</v>
      </c>
      <c r="E1199" t="str">
        <f t="shared" si="372"/>
        <v>Anticipated HCHS</v>
      </c>
      <c r="F1199" s="2899" t="str">
        <f>'E - Resource Limits'!B92</f>
        <v>Nosocomial</v>
      </c>
      <c r="S1199">
        <f>'E - Resource Limits'!D92</f>
        <v>0</v>
      </c>
      <c r="U1199">
        <f t="shared" si="32"/>
        <v>0</v>
      </c>
    </row>
    <row r="1200" spans="1:21">
      <c r="A1200" s="2895" t="str">
        <f>ORG!$S$1</f>
        <v>Apr 23</v>
      </c>
      <c r="B1200" t="str">
        <f>ORG!$M$1</f>
        <v>Public Health Wales Trust</v>
      </c>
      <c r="C1200" t="str">
        <f>'E - Resource Limits'!$A$5</f>
        <v>Table E - Resource Limits</v>
      </c>
      <c r="D1200" s="2898">
        <f t="shared" si="371"/>
        <v>72</v>
      </c>
      <c r="E1200" t="str">
        <f t="shared" si="372"/>
        <v>Anticipated HCHS</v>
      </c>
      <c r="F1200" s="2899">
        <f>'E - Resource Limits'!B93</f>
        <v>0</v>
      </c>
      <c r="S1200">
        <f>'E - Resource Limits'!D93</f>
        <v>0</v>
      </c>
      <c r="U1200">
        <f t="shared" si="32"/>
        <v>0</v>
      </c>
    </row>
    <row r="1201" spans="1:21">
      <c r="A1201" s="2895" t="str">
        <f>ORG!$S$1</f>
        <v>Apr 23</v>
      </c>
      <c r="B1201" t="str">
        <f>ORG!$M$1</f>
        <v>Public Health Wales Trust</v>
      </c>
      <c r="C1201" t="str">
        <f>'E - Resource Limits'!$A$5</f>
        <v>Table E - Resource Limits</v>
      </c>
      <c r="D1201" s="2898">
        <f t="shared" si="371"/>
        <v>73</v>
      </c>
      <c r="E1201" t="str">
        <f t="shared" si="372"/>
        <v>Anticipated HCHS</v>
      </c>
      <c r="F1201" s="2899">
        <f>'E - Resource Limits'!B94</f>
        <v>0</v>
      </c>
      <c r="S1201">
        <f>'E - Resource Limits'!D94</f>
        <v>0</v>
      </c>
      <c r="U1201">
        <f t="shared" si="32"/>
        <v>0</v>
      </c>
    </row>
    <row r="1202" spans="1:21">
      <c r="A1202" s="2895" t="str">
        <f>ORG!$S$1</f>
        <v>Apr 23</v>
      </c>
      <c r="B1202" t="str">
        <f>ORG!$M$1</f>
        <v>Public Health Wales Trust</v>
      </c>
      <c r="C1202" t="str">
        <f>'E - Resource Limits'!$A$5</f>
        <v>Table E - Resource Limits</v>
      </c>
      <c r="D1202" s="2898">
        <f t="shared" si="371"/>
        <v>74</v>
      </c>
      <c r="E1202" t="str">
        <f t="shared" si="372"/>
        <v>Anticipated HCHS</v>
      </c>
      <c r="F1202" s="2899">
        <f>'E - Resource Limits'!B95</f>
        <v>0</v>
      </c>
      <c r="S1202">
        <f>'E - Resource Limits'!D95</f>
        <v>0</v>
      </c>
      <c r="U1202">
        <f t="shared" si="32"/>
        <v>0</v>
      </c>
    </row>
    <row r="1203" spans="1:21">
      <c r="A1203" s="2895" t="str">
        <f>ORG!$S$1</f>
        <v>Apr 23</v>
      </c>
      <c r="B1203" t="str">
        <f>ORG!$M$1</f>
        <v>Public Health Wales Trust</v>
      </c>
      <c r="C1203" t="str">
        <f>'E - Resource Limits'!$A$5</f>
        <v>Table E - Resource Limits</v>
      </c>
      <c r="D1203" s="2898">
        <f t="shared" si="371"/>
        <v>75</v>
      </c>
      <c r="E1203" t="str">
        <f t="shared" si="372"/>
        <v>Anticipated HCHS</v>
      </c>
      <c r="F1203" s="2899">
        <f>'E - Resource Limits'!B96</f>
        <v>0</v>
      </c>
      <c r="S1203">
        <f>'E - Resource Limits'!D96</f>
        <v>0</v>
      </c>
      <c r="U1203">
        <f t="shared" si="32"/>
        <v>0</v>
      </c>
    </row>
    <row r="1204" spans="1:21">
      <c r="A1204" s="2895" t="str">
        <f>ORG!$S$1</f>
        <v>Apr 23</v>
      </c>
      <c r="B1204" t="str">
        <f>ORG!$M$1</f>
        <v>Public Health Wales Trust</v>
      </c>
      <c r="C1204" t="str">
        <f>'E - Resource Limits'!$A$5</f>
        <v>Table E - Resource Limits</v>
      </c>
      <c r="D1204" s="2898">
        <f t="shared" si="371"/>
        <v>76</v>
      </c>
      <c r="E1204" t="str">
        <f t="shared" si="372"/>
        <v>Anticipated HCHS</v>
      </c>
      <c r="F1204" s="2899">
        <f>'E - Resource Limits'!B97</f>
        <v>0</v>
      </c>
      <c r="S1204">
        <f>'E - Resource Limits'!D97</f>
        <v>0</v>
      </c>
      <c r="U1204">
        <f t="shared" si="32"/>
        <v>0</v>
      </c>
    </row>
    <row r="1205" spans="1:21">
      <c r="A1205" s="2895" t="str">
        <f>ORG!$S$1</f>
        <v>Apr 23</v>
      </c>
      <c r="B1205" t="str">
        <f>ORG!$M$1</f>
        <v>Public Health Wales Trust</v>
      </c>
      <c r="C1205" t="str">
        <f>'E - Resource Limits'!$A$5</f>
        <v>Table E - Resource Limits</v>
      </c>
      <c r="D1205" s="2898">
        <f t="shared" si="371"/>
        <v>77</v>
      </c>
      <c r="E1205" t="str">
        <f t="shared" si="372"/>
        <v>Anticipated HCHS</v>
      </c>
      <c r="F1205" s="2899">
        <f>'E - Resource Limits'!B98</f>
        <v>0</v>
      </c>
      <c r="S1205">
        <f>'E - Resource Limits'!D98</f>
        <v>0</v>
      </c>
      <c r="U1205">
        <f t="shared" si="32"/>
        <v>0</v>
      </c>
    </row>
    <row r="1206" spans="1:21">
      <c r="A1206" s="2895" t="str">
        <f>ORG!$S$1</f>
        <v>Apr 23</v>
      </c>
      <c r="B1206" t="str">
        <f>ORG!$M$1</f>
        <v>Public Health Wales Trust</v>
      </c>
      <c r="C1206" t="str">
        <f>'E - Resource Limits'!$A$5</f>
        <v>Table E - Resource Limits</v>
      </c>
      <c r="D1206" s="2898">
        <f t="shared" si="371"/>
        <v>78</v>
      </c>
      <c r="E1206" t="str">
        <f t="shared" si="372"/>
        <v>Anticipated HCHS</v>
      </c>
      <c r="F1206" s="2899">
        <f>'E - Resource Limits'!B99</f>
        <v>0</v>
      </c>
      <c r="S1206">
        <f>'E - Resource Limits'!D99</f>
        <v>0</v>
      </c>
      <c r="U1206">
        <f t="shared" si="32"/>
        <v>0</v>
      </c>
    </row>
    <row r="1207" spans="1:21">
      <c r="A1207" s="2895" t="str">
        <f>ORG!$S$1</f>
        <v>Apr 23</v>
      </c>
      <c r="B1207" t="str">
        <f>ORG!$M$1</f>
        <v>Public Health Wales Trust</v>
      </c>
      <c r="C1207" t="str">
        <f>'E - Resource Limits'!$A$5</f>
        <v>Table E - Resource Limits</v>
      </c>
      <c r="D1207" s="2898">
        <f t="shared" si="371"/>
        <v>79</v>
      </c>
      <c r="E1207" t="str">
        <f t="shared" si="372"/>
        <v>Anticipated HCHS</v>
      </c>
      <c r="F1207" s="2899">
        <f>'E - Resource Limits'!B100</f>
        <v>0</v>
      </c>
      <c r="S1207">
        <f>'E - Resource Limits'!D100</f>
        <v>0</v>
      </c>
      <c r="U1207">
        <f t="shared" si="32"/>
        <v>0</v>
      </c>
    </row>
    <row r="1208" spans="1:21">
      <c r="A1208" s="2895" t="str">
        <f>ORG!$S$1</f>
        <v>Apr 23</v>
      </c>
      <c r="B1208" t="str">
        <f>ORG!$M$1</f>
        <v>Public Health Wales Trust</v>
      </c>
      <c r="C1208" t="str">
        <f>'E - Resource Limits'!$A$5</f>
        <v>Table E - Resource Limits</v>
      </c>
      <c r="D1208" s="2898">
        <f t="shared" si="371"/>
        <v>80</v>
      </c>
      <c r="E1208" t="str">
        <f t="shared" si="372"/>
        <v>Anticipated HCHS</v>
      </c>
      <c r="F1208" s="2899">
        <f>'E - Resource Limits'!B101</f>
        <v>0</v>
      </c>
      <c r="S1208">
        <f>'E - Resource Limits'!D101</f>
        <v>0</v>
      </c>
      <c r="U1208">
        <f t="shared" si="32"/>
        <v>0</v>
      </c>
    </row>
    <row r="1209" spans="1:21">
      <c r="A1209" s="2895" t="str">
        <f>ORG!$S$1</f>
        <v>Apr 23</v>
      </c>
      <c r="B1209" t="str">
        <f>ORG!$M$1</f>
        <v>Public Health Wales Trust</v>
      </c>
      <c r="C1209" t="str">
        <f>'E - Resource Limits'!$A$5</f>
        <v>Table E - Resource Limits</v>
      </c>
      <c r="D1209" s="2898">
        <f t="shared" si="371"/>
        <v>81</v>
      </c>
      <c r="E1209" t="str">
        <f t="shared" si="372"/>
        <v>Anticipated HCHS</v>
      </c>
      <c r="F1209" s="2899">
        <f>'E - Resource Limits'!B102</f>
        <v>0</v>
      </c>
      <c r="S1209">
        <f>'E - Resource Limits'!D102</f>
        <v>0</v>
      </c>
      <c r="U1209">
        <f t="shared" si="32"/>
        <v>0</v>
      </c>
    </row>
    <row r="1210" spans="1:21">
      <c r="A1210" s="2895" t="str">
        <f>ORG!$S$1</f>
        <v>Apr 23</v>
      </c>
      <c r="B1210" t="str">
        <f>ORG!$M$1</f>
        <v>Public Health Wales Trust</v>
      </c>
      <c r="C1210" t="str">
        <f>'E - Resource Limits'!$A$5</f>
        <v>Table E - Resource Limits</v>
      </c>
      <c r="D1210" s="2898">
        <f t="shared" si="371"/>
        <v>82</v>
      </c>
      <c r="E1210" t="str">
        <f t="shared" si="372"/>
        <v>Anticipated HCHS</v>
      </c>
      <c r="F1210" s="2899">
        <f>'E - Resource Limits'!B103</f>
        <v>0</v>
      </c>
      <c r="S1210">
        <f>'E - Resource Limits'!D103</f>
        <v>0</v>
      </c>
      <c r="U1210">
        <f t="shared" si="32"/>
        <v>0</v>
      </c>
    </row>
    <row r="1211" spans="1:21">
      <c r="A1211" s="2895" t="str">
        <f>ORG!$S$1</f>
        <v>Apr 23</v>
      </c>
      <c r="B1211" t="str">
        <f>ORG!$M$1</f>
        <v>Public Health Wales Trust</v>
      </c>
      <c r="C1211" t="str">
        <f>'E - Resource Limits'!$A$5</f>
        <v>Table E - Resource Limits</v>
      </c>
      <c r="D1211" s="2898">
        <f t="shared" si="371"/>
        <v>83</v>
      </c>
      <c r="E1211" t="str">
        <f t="shared" si="372"/>
        <v>Anticipated HCHS</v>
      </c>
      <c r="F1211" s="2899">
        <f>'E - Resource Limits'!B104</f>
        <v>0</v>
      </c>
      <c r="S1211">
        <f>'E - Resource Limits'!D104</f>
        <v>0</v>
      </c>
      <c r="U1211">
        <f t="shared" si="32"/>
        <v>0</v>
      </c>
    </row>
    <row r="1212" spans="1:21">
      <c r="A1212" s="2895" t="str">
        <f>ORG!$S$1</f>
        <v>Apr 23</v>
      </c>
      <c r="B1212" t="str">
        <f>ORG!$M$1</f>
        <v>Public Health Wales Trust</v>
      </c>
      <c r="C1212" t="str">
        <f>'E - Resource Limits'!$A$5</f>
        <v>Table E - Resource Limits</v>
      </c>
      <c r="D1212" s="2898">
        <f t="shared" si="371"/>
        <v>84</v>
      </c>
      <c r="E1212" t="str">
        <f t="shared" si="372"/>
        <v>Anticipated HCHS</v>
      </c>
      <c r="F1212" s="2899">
        <f>'E - Resource Limits'!B105</f>
        <v>0</v>
      </c>
      <c r="S1212">
        <f>'E - Resource Limits'!D105</f>
        <v>0</v>
      </c>
      <c r="U1212">
        <f t="shared" si="32"/>
        <v>0</v>
      </c>
    </row>
    <row r="1213" spans="1:21">
      <c r="A1213" s="2895" t="str">
        <f>ORG!$S$1</f>
        <v>Apr 23</v>
      </c>
      <c r="B1213" t="str">
        <f>ORG!$M$1</f>
        <v>Public Health Wales Trust</v>
      </c>
      <c r="C1213" t="str">
        <f>'E - Resource Limits'!$A$5</f>
        <v>Table E - Resource Limits</v>
      </c>
      <c r="D1213" s="2898">
        <f t="shared" si="371"/>
        <v>85</v>
      </c>
      <c r="E1213" t="str">
        <f t="shared" si="372"/>
        <v>Anticipated HCHS</v>
      </c>
      <c r="F1213" s="2899">
        <f>'E - Resource Limits'!B106</f>
        <v>0</v>
      </c>
      <c r="S1213">
        <f>'E - Resource Limits'!D106</f>
        <v>0</v>
      </c>
      <c r="U1213">
        <f t="shared" si="32"/>
        <v>0</v>
      </c>
    </row>
    <row r="1214" spans="1:21">
      <c r="A1214" s="2895" t="str">
        <f>ORG!$S$1</f>
        <v>Apr 23</v>
      </c>
      <c r="B1214" t="str">
        <f>ORG!$M$1</f>
        <v>Public Health Wales Trust</v>
      </c>
      <c r="C1214" t="str">
        <f>'E - Resource Limits'!$A$5</f>
        <v>Table E - Resource Limits</v>
      </c>
      <c r="D1214" s="2898">
        <f t="shared" si="371"/>
        <v>86</v>
      </c>
      <c r="E1214" t="str">
        <f t="shared" si="372"/>
        <v>Anticipated HCHS</v>
      </c>
      <c r="F1214" s="2899">
        <f>'E - Resource Limits'!B107</f>
        <v>0</v>
      </c>
      <c r="S1214">
        <f>'E - Resource Limits'!D107</f>
        <v>0</v>
      </c>
      <c r="U1214">
        <f t="shared" si="32"/>
        <v>0</v>
      </c>
    </row>
    <row r="1215" spans="1:21">
      <c r="A1215" s="2895" t="str">
        <f>ORG!$S$1</f>
        <v>Apr 23</v>
      </c>
      <c r="B1215" t="str">
        <f>ORG!$M$1</f>
        <v>Public Health Wales Trust</v>
      </c>
      <c r="C1215" t="str">
        <f>'E - Resource Limits'!$A$5</f>
        <v>Table E - Resource Limits</v>
      </c>
      <c r="D1215" s="2898">
        <f t="shared" si="371"/>
        <v>87</v>
      </c>
      <c r="E1215" t="str">
        <f t="shared" si="372"/>
        <v>Anticipated HCHS</v>
      </c>
      <c r="F1215" s="2899">
        <f>'E - Resource Limits'!B108</f>
        <v>0</v>
      </c>
      <c r="S1215">
        <f>'E - Resource Limits'!D108</f>
        <v>0</v>
      </c>
      <c r="U1215">
        <f t="shared" si="32"/>
        <v>0</v>
      </c>
    </row>
    <row r="1216" spans="1:21">
      <c r="A1216" s="2895" t="str">
        <f>ORG!$S$1</f>
        <v>Apr 23</v>
      </c>
      <c r="B1216" t="str">
        <f>ORG!$M$1</f>
        <v>Public Health Wales Trust</v>
      </c>
      <c r="C1216" t="str">
        <f>'E - Resource Limits'!$A$5</f>
        <v>Table E - Resource Limits</v>
      </c>
      <c r="D1216" s="2898">
        <f t="shared" si="371"/>
        <v>88</v>
      </c>
      <c r="E1216" t="str">
        <f t="shared" si="372"/>
        <v>Anticipated HCHS</v>
      </c>
      <c r="F1216" s="2899">
        <f>'E - Resource Limits'!B109</f>
        <v>0</v>
      </c>
      <c r="S1216">
        <f>'E - Resource Limits'!D109</f>
        <v>0</v>
      </c>
      <c r="U1216">
        <f t="shared" si="32"/>
        <v>0</v>
      </c>
    </row>
    <row r="1217" spans="1:21">
      <c r="A1217" s="2895" t="str">
        <f>ORG!$S$1</f>
        <v>Apr 23</v>
      </c>
      <c r="B1217" t="str">
        <f>ORG!$M$1</f>
        <v>Public Health Wales Trust</v>
      </c>
      <c r="C1217" t="str">
        <f>'E - Resource Limits'!$A$5</f>
        <v>Table E - Resource Limits</v>
      </c>
      <c r="D1217" s="2898">
        <f t="shared" si="371"/>
        <v>89</v>
      </c>
      <c r="E1217" t="str">
        <f t="shared" si="372"/>
        <v>Anticipated HCHS</v>
      </c>
      <c r="F1217" s="2899">
        <f>'E - Resource Limits'!B110</f>
        <v>0</v>
      </c>
      <c r="S1217">
        <f>'E - Resource Limits'!D110</f>
        <v>0</v>
      </c>
      <c r="U1217">
        <f t="shared" si="32"/>
        <v>0</v>
      </c>
    </row>
    <row r="1218" spans="1:21">
      <c r="A1218" s="2895" t="str">
        <f>ORG!$S$1</f>
        <v>Apr 23</v>
      </c>
      <c r="B1218" t="str">
        <f>ORG!$M$1</f>
        <v>Public Health Wales Trust</v>
      </c>
      <c r="C1218" t="str">
        <f>'E - Resource Limits'!$A$5</f>
        <v>Table E - Resource Limits</v>
      </c>
      <c r="D1218" s="2898">
        <f t="shared" si="371"/>
        <v>90</v>
      </c>
      <c r="E1218" t="str">
        <f t="shared" si="372"/>
        <v>Anticipated HCHS</v>
      </c>
      <c r="F1218" s="2899">
        <f>'E - Resource Limits'!B111</f>
        <v>0</v>
      </c>
      <c r="S1218">
        <f>'E - Resource Limits'!D111</f>
        <v>0</v>
      </c>
      <c r="U1218">
        <f t="shared" si="32"/>
        <v>0</v>
      </c>
    </row>
    <row r="1219" spans="1:21">
      <c r="A1219" s="2895" t="str">
        <f>ORG!$S$1</f>
        <v>Apr 23</v>
      </c>
      <c r="B1219" t="str">
        <f>ORG!$M$1</f>
        <v>Public Health Wales Trust</v>
      </c>
      <c r="C1219" t="str">
        <f>'E - Resource Limits'!$A$5</f>
        <v>Table E - Resource Limits</v>
      </c>
      <c r="D1219" s="2898">
        <f t="shared" si="371"/>
        <v>91</v>
      </c>
      <c r="E1219" t="str">
        <f t="shared" si="372"/>
        <v>Anticipated HCHS</v>
      </c>
      <c r="F1219" s="2899">
        <f>'E - Resource Limits'!B112</f>
        <v>0</v>
      </c>
      <c r="S1219">
        <f>'E - Resource Limits'!D112</f>
        <v>0</v>
      </c>
      <c r="U1219">
        <f t="shared" si="32"/>
        <v>0</v>
      </c>
    </row>
    <row r="1220" spans="1:21">
      <c r="A1220" s="2895" t="str">
        <f>ORG!$S$1</f>
        <v>Apr 23</v>
      </c>
      <c r="B1220" t="str">
        <f>ORG!$M$1</f>
        <v>Public Health Wales Trust</v>
      </c>
      <c r="C1220" t="str">
        <f>'E - Resource Limits'!$A$5</f>
        <v>Table E - Resource Limits</v>
      </c>
      <c r="D1220" s="2898">
        <f t="shared" si="371"/>
        <v>92</v>
      </c>
      <c r="E1220" t="str">
        <f t="shared" si="372"/>
        <v>Anticipated HCHS</v>
      </c>
      <c r="F1220" s="2899">
        <f>'E - Resource Limits'!B113</f>
        <v>0</v>
      </c>
      <c r="S1220">
        <f>'E - Resource Limits'!D113</f>
        <v>0</v>
      </c>
      <c r="U1220">
        <f t="shared" si="32"/>
        <v>0</v>
      </c>
    </row>
    <row r="1221" spans="1:21">
      <c r="A1221" s="2895" t="str">
        <f>ORG!$S$1</f>
        <v>Apr 23</v>
      </c>
      <c r="B1221" t="str">
        <f>ORG!$M$1</f>
        <v>Public Health Wales Trust</v>
      </c>
      <c r="C1221" t="str">
        <f>'E - Resource Limits'!$A$5</f>
        <v>Table E - Resource Limits</v>
      </c>
      <c r="D1221" s="2898">
        <f t="shared" si="371"/>
        <v>93</v>
      </c>
      <c r="E1221" t="str">
        <f t="shared" si="372"/>
        <v>Anticipated HCHS</v>
      </c>
      <c r="F1221" s="2899">
        <f>'E - Resource Limits'!B114</f>
        <v>0</v>
      </c>
      <c r="S1221">
        <f>'E - Resource Limits'!D114</f>
        <v>0</v>
      </c>
      <c r="U1221">
        <f t="shared" si="32"/>
        <v>0</v>
      </c>
    </row>
    <row r="1222" spans="1:21">
      <c r="A1222" s="2895" t="str">
        <f>ORG!$S$1</f>
        <v>Apr 23</v>
      </c>
      <c r="B1222" t="str">
        <f>ORG!$M$1</f>
        <v>Public Health Wales Trust</v>
      </c>
      <c r="C1222" t="str">
        <f>'E - Resource Limits'!$A$5</f>
        <v>Table E - Resource Limits</v>
      </c>
      <c r="D1222" s="2898">
        <f t="shared" si="371"/>
        <v>94</v>
      </c>
      <c r="E1222" t="str">
        <f t="shared" si="372"/>
        <v>Anticipated HCHS</v>
      </c>
      <c r="F1222" s="2899">
        <f>'E - Resource Limits'!B115</f>
        <v>0</v>
      </c>
      <c r="S1222">
        <f>'E - Resource Limits'!D115</f>
        <v>0</v>
      </c>
      <c r="U1222">
        <f t="shared" si="32"/>
        <v>0</v>
      </c>
    </row>
    <row r="1223" spans="1:21">
      <c r="A1223" s="2895" t="str">
        <f>ORG!$S$1</f>
        <v>Apr 23</v>
      </c>
      <c r="B1223" t="str">
        <f>ORG!$M$1</f>
        <v>Public Health Wales Trust</v>
      </c>
      <c r="C1223" t="str">
        <f>'E - Resource Limits'!$A$5</f>
        <v>Table E - Resource Limits</v>
      </c>
      <c r="D1223" s="2898">
        <f t="shared" si="371"/>
        <v>95</v>
      </c>
      <c r="E1223" t="str">
        <f t="shared" si="372"/>
        <v>Anticipated HCHS</v>
      </c>
      <c r="F1223" s="2899">
        <f>'E - Resource Limits'!B116</f>
        <v>0</v>
      </c>
      <c r="S1223">
        <f>'E - Resource Limits'!D116</f>
        <v>0</v>
      </c>
      <c r="U1223">
        <f t="shared" si="32"/>
        <v>0</v>
      </c>
    </row>
    <row r="1224" spans="1:21">
      <c r="A1224" s="2895" t="str">
        <f>ORG!$S$1</f>
        <v>Apr 23</v>
      </c>
      <c r="B1224" t="str">
        <f>ORG!$M$1</f>
        <v>Public Health Wales Trust</v>
      </c>
      <c r="C1224" t="str">
        <f>'E - Resource Limits'!$A$5</f>
        <v>Table E - Resource Limits</v>
      </c>
      <c r="D1224" s="2898">
        <f t="shared" si="371"/>
        <v>96</v>
      </c>
      <c r="E1224" t="str">
        <f t="shared" si="372"/>
        <v>Anticipated HCHS</v>
      </c>
      <c r="F1224" s="2899">
        <f>'E - Resource Limits'!B117</f>
        <v>0</v>
      </c>
      <c r="S1224">
        <f>'E - Resource Limits'!D117</f>
        <v>0</v>
      </c>
      <c r="U1224">
        <f t="shared" si="32"/>
        <v>0</v>
      </c>
    </row>
    <row r="1225" spans="1:21">
      <c r="A1225" s="2895" t="str">
        <f>ORG!$S$1</f>
        <v>Apr 23</v>
      </c>
      <c r="B1225" t="str">
        <f>ORG!$M$1</f>
        <v>Public Health Wales Trust</v>
      </c>
      <c r="C1225" t="str">
        <f>'E - Resource Limits'!$A$5</f>
        <v>Table E - Resource Limits</v>
      </c>
      <c r="D1225" s="2898">
        <f t="shared" si="371"/>
        <v>97</v>
      </c>
      <c r="E1225" t="str">
        <f t="shared" si="372"/>
        <v>Anticipated HCHS</v>
      </c>
      <c r="F1225" s="2899" t="str">
        <f>'E - Resource Limits'!B118</f>
        <v>Total Funding</v>
      </c>
      <c r="S1225">
        <f>'E - Resource Limits'!D118</f>
        <v>0</v>
      </c>
      <c r="U1225">
        <f t="shared" si="32"/>
        <v>0</v>
      </c>
    </row>
    <row r="1226" spans="1:21">
      <c r="A1226" s="2895" t="str">
        <f>ORG!$S$1</f>
        <v>Apr 23</v>
      </c>
      <c r="B1226" t="str">
        <f>ORG!$M$1</f>
        <v>Public Health Wales Trust</v>
      </c>
      <c r="C1226" t="str">
        <f>'E - Resource Limits'!$A$5</f>
        <v>Table E - Resource Limits</v>
      </c>
      <c r="D1226" s="2898">
        <f>D1195</f>
        <v>67</v>
      </c>
      <c r="E1226" t="str">
        <f>"Anticipated Pharmacy"</f>
        <v>Anticipated Pharmacy</v>
      </c>
      <c r="F1226" s="2899" t="str">
        <f>'E - Resource Limits'!B88</f>
        <v xml:space="preserve">Health Protection (including Testing, Tracing and Surveillance) </v>
      </c>
      <c r="S1226">
        <f>'E - Resource Limits'!E88</f>
        <v>0</v>
      </c>
      <c r="U1226">
        <f t="shared" si="32"/>
        <v>0</v>
      </c>
    </row>
    <row r="1227" spans="1:21">
      <c r="A1227" s="2895" t="str">
        <f>ORG!$S$1</f>
        <v>Apr 23</v>
      </c>
      <c r="B1227" t="str">
        <f>ORG!$M$1</f>
        <v>Public Health Wales Trust</v>
      </c>
      <c r="C1227" t="str">
        <f>'E - Resource Limits'!$A$5</f>
        <v>Table E - Resource Limits</v>
      </c>
      <c r="D1227" s="2898">
        <f t="shared" ref="D1227:D1256" si="373">D1196</f>
        <v>68</v>
      </c>
      <c r="E1227" t="str">
        <f t="shared" ref="E1227:E1256" si="374">"Anticipated Pharmacy"</f>
        <v>Anticipated Pharmacy</v>
      </c>
      <c r="F1227" s="2899" t="str">
        <f>'E - Resource Limits'!B89</f>
        <v>COVID-19 Vaccination (Immunisation) Programme</v>
      </c>
      <c r="S1227">
        <f>'E - Resource Limits'!E89</f>
        <v>0</v>
      </c>
      <c r="U1227">
        <f t="shared" si="32"/>
        <v>0</v>
      </c>
    </row>
    <row r="1228" spans="1:21">
      <c r="A1228" s="2895" t="str">
        <f>ORG!$S$1</f>
        <v>Apr 23</v>
      </c>
      <c r="B1228" t="str">
        <f>ORG!$M$1</f>
        <v>Public Health Wales Trust</v>
      </c>
      <c r="C1228" t="str">
        <f>'E - Resource Limits'!$A$5</f>
        <v>Table E - Resource Limits</v>
      </c>
      <c r="D1228" s="2898">
        <f t="shared" si="373"/>
        <v>69</v>
      </c>
      <c r="E1228" t="str">
        <f t="shared" si="374"/>
        <v>Anticipated Pharmacy</v>
      </c>
      <c r="F1228" s="2899" t="str">
        <f>'E - Resource Limits'!B90</f>
        <v xml:space="preserve">PPE </v>
      </c>
      <c r="S1228">
        <f>'E - Resource Limits'!E90</f>
        <v>0</v>
      </c>
      <c r="U1228">
        <f t="shared" si="32"/>
        <v>0</v>
      </c>
    </row>
    <row r="1229" spans="1:21">
      <c r="A1229" s="2895" t="str">
        <f>ORG!$S$1</f>
        <v>Apr 23</v>
      </c>
      <c r="B1229" t="str">
        <f>ORG!$M$1</f>
        <v>Public Health Wales Trust</v>
      </c>
      <c r="C1229" t="str">
        <f>'E - Resource Limits'!$A$5</f>
        <v>Table E - Resource Limits</v>
      </c>
      <c r="D1229" s="2898">
        <f t="shared" si="373"/>
        <v>70</v>
      </c>
      <c r="E1229" t="str">
        <f t="shared" si="374"/>
        <v>Anticipated Pharmacy</v>
      </c>
      <c r="F1229" s="2899" t="str">
        <f>'E - Resource Limits'!B91</f>
        <v>Long Covid</v>
      </c>
      <c r="S1229">
        <f>'E - Resource Limits'!E91</f>
        <v>0</v>
      </c>
      <c r="U1229">
        <f t="shared" si="32"/>
        <v>0</v>
      </c>
    </row>
    <row r="1230" spans="1:21">
      <c r="A1230" s="2895" t="str">
        <f>ORG!$S$1</f>
        <v>Apr 23</v>
      </c>
      <c r="B1230" t="str">
        <f>ORG!$M$1</f>
        <v>Public Health Wales Trust</v>
      </c>
      <c r="C1230" t="str">
        <f>'E - Resource Limits'!$A$5</f>
        <v>Table E - Resource Limits</v>
      </c>
      <c r="D1230" s="2898">
        <f t="shared" si="373"/>
        <v>71</v>
      </c>
      <c r="E1230" t="str">
        <f t="shared" si="374"/>
        <v>Anticipated Pharmacy</v>
      </c>
      <c r="F1230" s="2899" t="str">
        <f>'E - Resource Limits'!B92</f>
        <v>Nosocomial</v>
      </c>
      <c r="S1230">
        <f>'E - Resource Limits'!E92</f>
        <v>0</v>
      </c>
      <c r="U1230">
        <f t="shared" si="32"/>
        <v>0</v>
      </c>
    </row>
    <row r="1231" spans="1:21">
      <c r="A1231" s="2895" t="str">
        <f>ORG!$S$1</f>
        <v>Apr 23</v>
      </c>
      <c r="B1231" t="str">
        <f>ORG!$M$1</f>
        <v>Public Health Wales Trust</v>
      </c>
      <c r="C1231" t="str">
        <f>'E - Resource Limits'!$A$5</f>
        <v>Table E - Resource Limits</v>
      </c>
      <c r="D1231" s="2898">
        <f t="shared" si="373"/>
        <v>72</v>
      </c>
      <c r="E1231" t="str">
        <f t="shared" si="374"/>
        <v>Anticipated Pharmacy</v>
      </c>
      <c r="F1231" s="2899">
        <f>'E - Resource Limits'!B93</f>
        <v>0</v>
      </c>
      <c r="S1231">
        <f>'E - Resource Limits'!E93</f>
        <v>0</v>
      </c>
      <c r="U1231">
        <f t="shared" si="32"/>
        <v>0</v>
      </c>
    </row>
    <row r="1232" spans="1:21">
      <c r="A1232" s="2895" t="str">
        <f>ORG!$S$1</f>
        <v>Apr 23</v>
      </c>
      <c r="B1232" t="str">
        <f>ORG!$M$1</f>
        <v>Public Health Wales Trust</v>
      </c>
      <c r="C1232" t="str">
        <f>'E - Resource Limits'!$A$5</f>
        <v>Table E - Resource Limits</v>
      </c>
      <c r="D1232" s="2898">
        <f t="shared" si="373"/>
        <v>73</v>
      </c>
      <c r="E1232" t="str">
        <f t="shared" si="374"/>
        <v>Anticipated Pharmacy</v>
      </c>
      <c r="F1232" s="2899">
        <f>'E - Resource Limits'!B94</f>
        <v>0</v>
      </c>
      <c r="S1232">
        <f>'E - Resource Limits'!E94</f>
        <v>0</v>
      </c>
      <c r="U1232">
        <f t="shared" si="32"/>
        <v>0</v>
      </c>
    </row>
    <row r="1233" spans="1:21">
      <c r="A1233" s="2895" t="str">
        <f>ORG!$S$1</f>
        <v>Apr 23</v>
      </c>
      <c r="B1233" t="str">
        <f>ORG!$M$1</f>
        <v>Public Health Wales Trust</v>
      </c>
      <c r="C1233" t="str">
        <f>'E - Resource Limits'!$A$5</f>
        <v>Table E - Resource Limits</v>
      </c>
      <c r="D1233" s="2898">
        <f t="shared" si="373"/>
        <v>74</v>
      </c>
      <c r="E1233" t="str">
        <f t="shared" si="374"/>
        <v>Anticipated Pharmacy</v>
      </c>
      <c r="F1233" s="2899">
        <f>'E - Resource Limits'!B95</f>
        <v>0</v>
      </c>
      <c r="S1233">
        <f>'E - Resource Limits'!E95</f>
        <v>0</v>
      </c>
      <c r="U1233">
        <f t="shared" si="32"/>
        <v>0</v>
      </c>
    </row>
    <row r="1234" spans="1:21">
      <c r="A1234" s="2895" t="str">
        <f>ORG!$S$1</f>
        <v>Apr 23</v>
      </c>
      <c r="B1234" t="str">
        <f>ORG!$M$1</f>
        <v>Public Health Wales Trust</v>
      </c>
      <c r="C1234" t="str">
        <f>'E - Resource Limits'!$A$5</f>
        <v>Table E - Resource Limits</v>
      </c>
      <c r="D1234" s="2898">
        <f t="shared" si="373"/>
        <v>75</v>
      </c>
      <c r="E1234" t="str">
        <f t="shared" si="374"/>
        <v>Anticipated Pharmacy</v>
      </c>
      <c r="F1234" s="2899">
        <f>'E - Resource Limits'!B96</f>
        <v>0</v>
      </c>
      <c r="S1234">
        <f>'E - Resource Limits'!E96</f>
        <v>0</v>
      </c>
      <c r="U1234">
        <f t="shared" si="32"/>
        <v>0</v>
      </c>
    </row>
    <row r="1235" spans="1:21">
      <c r="A1235" s="2895" t="str">
        <f>ORG!$S$1</f>
        <v>Apr 23</v>
      </c>
      <c r="B1235" t="str">
        <f>ORG!$M$1</f>
        <v>Public Health Wales Trust</v>
      </c>
      <c r="C1235" t="str">
        <f>'E - Resource Limits'!$A$5</f>
        <v>Table E - Resource Limits</v>
      </c>
      <c r="D1235" s="2898">
        <f t="shared" si="373"/>
        <v>76</v>
      </c>
      <c r="E1235" t="str">
        <f t="shared" si="374"/>
        <v>Anticipated Pharmacy</v>
      </c>
      <c r="F1235" s="2899">
        <f>'E - Resource Limits'!B97</f>
        <v>0</v>
      </c>
      <c r="S1235">
        <f>'E - Resource Limits'!E97</f>
        <v>0</v>
      </c>
      <c r="U1235">
        <f t="shared" si="32"/>
        <v>0</v>
      </c>
    </row>
    <row r="1236" spans="1:21">
      <c r="A1236" s="2895" t="str">
        <f>ORG!$S$1</f>
        <v>Apr 23</v>
      </c>
      <c r="B1236" t="str">
        <f>ORG!$M$1</f>
        <v>Public Health Wales Trust</v>
      </c>
      <c r="C1236" t="str">
        <f>'E - Resource Limits'!$A$5</f>
        <v>Table E - Resource Limits</v>
      </c>
      <c r="D1236" s="2898">
        <f t="shared" si="373"/>
        <v>77</v>
      </c>
      <c r="E1236" t="str">
        <f t="shared" si="374"/>
        <v>Anticipated Pharmacy</v>
      </c>
      <c r="F1236" s="2899">
        <f>'E - Resource Limits'!B98</f>
        <v>0</v>
      </c>
      <c r="S1236">
        <f>'E - Resource Limits'!E98</f>
        <v>0</v>
      </c>
      <c r="U1236">
        <f t="shared" si="32"/>
        <v>0</v>
      </c>
    </row>
    <row r="1237" spans="1:21">
      <c r="A1237" s="2895" t="str">
        <f>ORG!$S$1</f>
        <v>Apr 23</v>
      </c>
      <c r="B1237" t="str">
        <f>ORG!$M$1</f>
        <v>Public Health Wales Trust</v>
      </c>
      <c r="C1237" t="str">
        <f>'E - Resource Limits'!$A$5</f>
        <v>Table E - Resource Limits</v>
      </c>
      <c r="D1237" s="2898">
        <f t="shared" si="373"/>
        <v>78</v>
      </c>
      <c r="E1237" t="str">
        <f t="shared" si="374"/>
        <v>Anticipated Pharmacy</v>
      </c>
      <c r="F1237" s="2899">
        <f>'E - Resource Limits'!B99</f>
        <v>0</v>
      </c>
      <c r="S1237">
        <f>'E - Resource Limits'!E99</f>
        <v>0</v>
      </c>
      <c r="U1237">
        <f t="shared" si="32"/>
        <v>0</v>
      </c>
    </row>
    <row r="1238" spans="1:21">
      <c r="A1238" s="2895" t="str">
        <f>ORG!$S$1</f>
        <v>Apr 23</v>
      </c>
      <c r="B1238" t="str">
        <f>ORG!$M$1</f>
        <v>Public Health Wales Trust</v>
      </c>
      <c r="C1238" t="str">
        <f>'E - Resource Limits'!$A$5</f>
        <v>Table E - Resource Limits</v>
      </c>
      <c r="D1238" s="2898">
        <f t="shared" si="373"/>
        <v>79</v>
      </c>
      <c r="E1238" t="str">
        <f t="shared" si="374"/>
        <v>Anticipated Pharmacy</v>
      </c>
      <c r="F1238" s="2899">
        <f>'E - Resource Limits'!B100</f>
        <v>0</v>
      </c>
      <c r="S1238">
        <f>'E - Resource Limits'!E100</f>
        <v>0</v>
      </c>
      <c r="U1238">
        <f t="shared" si="32"/>
        <v>0</v>
      </c>
    </row>
    <row r="1239" spans="1:21">
      <c r="A1239" s="2895" t="str">
        <f>ORG!$S$1</f>
        <v>Apr 23</v>
      </c>
      <c r="B1239" t="str">
        <f>ORG!$M$1</f>
        <v>Public Health Wales Trust</v>
      </c>
      <c r="C1239" t="str">
        <f>'E - Resource Limits'!$A$5</f>
        <v>Table E - Resource Limits</v>
      </c>
      <c r="D1239" s="2898">
        <f t="shared" si="373"/>
        <v>80</v>
      </c>
      <c r="E1239" t="str">
        <f t="shared" si="374"/>
        <v>Anticipated Pharmacy</v>
      </c>
      <c r="F1239" s="2899">
        <f>'E - Resource Limits'!B101</f>
        <v>0</v>
      </c>
      <c r="S1239">
        <f>'E - Resource Limits'!E101</f>
        <v>0</v>
      </c>
      <c r="U1239">
        <f t="shared" si="32"/>
        <v>0</v>
      </c>
    </row>
    <row r="1240" spans="1:21">
      <c r="A1240" s="2895" t="str">
        <f>ORG!$S$1</f>
        <v>Apr 23</v>
      </c>
      <c r="B1240" t="str">
        <f>ORG!$M$1</f>
        <v>Public Health Wales Trust</v>
      </c>
      <c r="C1240" t="str">
        <f>'E - Resource Limits'!$A$5</f>
        <v>Table E - Resource Limits</v>
      </c>
      <c r="D1240" s="2898">
        <f t="shared" si="373"/>
        <v>81</v>
      </c>
      <c r="E1240" t="str">
        <f t="shared" si="374"/>
        <v>Anticipated Pharmacy</v>
      </c>
      <c r="F1240" s="2899">
        <f>'E - Resource Limits'!B102</f>
        <v>0</v>
      </c>
      <c r="S1240">
        <f>'E - Resource Limits'!E102</f>
        <v>0</v>
      </c>
      <c r="U1240">
        <f t="shared" si="32"/>
        <v>0</v>
      </c>
    </row>
    <row r="1241" spans="1:21">
      <c r="A1241" s="2895" t="str">
        <f>ORG!$S$1</f>
        <v>Apr 23</v>
      </c>
      <c r="B1241" t="str">
        <f>ORG!$M$1</f>
        <v>Public Health Wales Trust</v>
      </c>
      <c r="C1241" t="str">
        <f>'E - Resource Limits'!$A$5</f>
        <v>Table E - Resource Limits</v>
      </c>
      <c r="D1241" s="2898">
        <f t="shared" si="373"/>
        <v>82</v>
      </c>
      <c r="E1241" t="str">
        <f t="shared" si="374"/>
        <v>Anticipated Pharmacy</v>
      </c>
      <c r="F1241" s="2899">
        <f>'E - Resource Limits'!B103</f>
        <v>0</v>
      </c>
      <c r="S1241">
        <f>'E - Resource Limits'!E103</f>
        <v>0</v>
      </c>
      <c r="U1241">
        <f t="shared" si="32"/>
        <v>0</v>
      </c>
    </row>
    <row r="1242" spans="1:21">
      <c r="A1242" s="2895" t="str">
        <f>ORG!$S$1</f>
        <v>Apr 23</v>
      </c>
      <c r="B1242" t="str">
        <f>ORG!$M$1</f>
        <v>Public Health Wales Trust</v>
      </c>
      <c r="C1242" t="str">
        <f>'E - Resource Limits'!$A$5</f>
        <v>Table E - Resource Limits</v>
      </c>
      <c r="D1242" s="2898">
        <f t="shared" si="373"/>
        <v>83</v>
      </c>
      <c r="E1242" t="str">
        <f t="shared" si="374"/>
        <v>Anticipated Pharmacy</v>
      </c>
      <c r="F1242" s="2899">
        <f>'E - Resource Limits'!B104</f>
        <v>0</v>
      </c>
      <c r="S1242">
        <f>'E - Resource Limits'!E104</f>
        <v>0</v>
      </c>
      <c r="U1242">
        <f t="shared" si="32"/>
        <v>0</v>
      </c>
    </row>
    <row r="1243" spans="1:21">
      <c r="A1243" s="2895" t="str">
        <f>ORG!$S$1</f>
        <v>Apr 23</v>
      </c>
      <c r="B1243" t="str">
        <f>ORG!$M$1</f>
        <v>Public Health Wales Trust</v>
      </c>
      <c r="C1243" t="str">
        <f>'E - Resource Limits'!$A$5</f>
        <v>Table E - Resource Limits</v>
      </c>
      <c r="D1243" s="2898">
        <f t="shared" si="373"/>
        <v>84</v>
      </c>
      <c r="E1243" t="str">
        <f t="shared" si="374"/>
        <v>Anticipated Pharmacy</v>
      </c>
      <c r="F1243" s="2899">
        <f>'E - Resource Limits'!B105</f>
        <v>0</v>
      </c>
      <c r="S1243">
        <f>'E - Resource Limits'!E105</f>
        <v>0</v>
      </c>
      <c r="U1243">
        <f t="shared" si="32"/>
        <v>0</v>
      </c>
    </row>
    <row r="1244" spans="1:21">
      <c r="A1244" s="2895" t="str">
        <f>ORG!$S$1</f>
        <v>Apr 23</v>
      </c>
      <c r="B1244" t="str">
        <f>ORG!$M$1</f>
        <v>Public Health Wales Trust</v>
      </c>
      <c r="C1244" t="str">
        <f>'E - Resource Limits'!$A$5</f>
        <v>Table E - Resource Limits</v>
      </c>
      <c r="D1244" s="2898">
        <f t="shared" si="373"/>
        <v>85</v>
      </c>
      <c r="E1244" t="str">
        <f t="shared" si="374"/>
        <v>Anticipated Pharmacy</v>
      </c>
      <c r="F1244" s="2899">
        <f>'E - Resource Limits'!B106</f>
        <v>0</v>
      </c>
      <c r="S1244">
        <f>'E - Resource Limits'!E106</f>
        <v>0</v>
      </c>
      <c r="U1244">
        <f t="shared" si="32"/>
        <v>0</v>
      </c>
    </row>
    <row r="1245" spans="1:21">
      <c r="A1245" s="2895" t="str">
        <f>ORG!$S$1</f>
        <v>Apr 23</v>
      </c>
      <c r="B1245" t="str">
        <f>ORG!$M$1</f>
        <v>Public Health Wales Trust</v>
      </c>
      <c r="C1245" t="str">
        <f>'E - Resource Limits'!$A$5</f>
        <v>Table E - Resource Limits</v>
      </c>
      <c r="D1245" s="2898">
        <f t="shared" si="373"/>
        <v>86</v>
      </c>
      <c r="E1245" t="str">
        <f t="shared" si="374"/>
        <v>Anticipated Pharmacy</v>
      </c>
      <c r="F1245" s="2899">
        <f>'E - Resource Limits'!B107</f>
        <v>0</v>
      </c>
      <c r="S1245">
        <f>'E - Resource Limits'!E107</f>
        <v>0</v>
      </c>
      <c r="U1245">
        <f t="shared" si="32"/>
        <v>0</v>
      </c>
    </row>
    <row r="1246" spans="1:21">
      <c r="A1246" s="2895" t="str">
        <f>ORG!$S$1</f>
        <v>Apr 23</v>
      </c>
      <c r="B1246" t="str">
        <f>ORG!$M$1</f>
        <v>Public Health Wales Trust</v>
      </c>
      <c r="C1246" t="str">
        <f>'E - Resource Limits'!$A$5</f>
        <v>Table E - Resource Limits</v>
      </c>
      <c r="D1246" s="2898">
        <f t="shared" si="373"/>
        <v>87</v>
      </c>
      <c r="E1246" t="str">
        <f t="shared" si="374"/>
        <v>Anticipated Pharmacy</v>
      </c>
      <c r="F1246" s="2899">
        <f>'E - Resource Limits'!B108</f>
        <v>0</v>
      </c>
      <c r="S1246">
        <f>'E - Resource Limits'!E108</f>
        <v>0</v>
      </c>
      <c r="U1246">
        <f t="shared" si="32"/>
        <v>0</v>
      </c>
    </row>
    <row r="1247" spans="1:21">
      <c r="A1247" s="2895" t="str">
        <f>ORG!$S$1</f>
        <v>Apr 23</v>
      </c>
      <c r="B1247" t="str">
        <f>ORG!$M$1</f>
        <v>Public Health Wales Trust</v>
      </c>
      <c r="C1247" t="str">
        <f>'E - Resource Limits'!$A$5</f>
        <v>Table E - Resource Limits</v>
      </c>
      <c r="D1247" s="2898">
        <f t="shared" si="373"/>
        <v>88</v>
      </c>
      <c r="E1247" t="str">
        <f t="shared" si="374"/>
        <v>Anticipated Pharmacy</v>
      </c>
      <c r="F1247" s="2899">
        <f>'E - Resource Limits'!B109</f>
        <v>0</v>
      </c>
      <c r="S1247">
        <f>'E - Resource Limits'!E109</f>
        <v>0</v>
      </c>
      <c r="U1247">
        <f t="shared" si="32"/>
        <v>0</v>
      </c>
    </row>
    <row r="1248" spans="1:21">
      <c r="A1248" s="2895" t="str">
        <f>ORG!$S$1</f>
        <v>Apr 23</v>
      </c>
      <c r="B1248" t="str">
        <f>ORG!$M$1</f>
        <v>Public Health Wales Trust</v>
      </c>
      <c r="C1248" t="str">
        <f>'E - Resource Limits'!$A$5</f>
        <v>Table E - Resource Limits</v>
      </c>
      <c r="D1248" s="2898">
        <f t="shared" si="373"/>
        <v>89</v>
      </c>
      <c r="E1248" t="str">
        <f t="shared" si="374"/>
        <v>Anticipated Pharmacy</v>
      </c>
      <c r="F1248" s="2899">
        <f>'E - Resource Limits'!B110</f>
        <v>0</v>
      </c>
      <c r="S1248">
        <f>'E - Resource Limits'!E110</f>
        <v>0</v>
      </c>
      <c r="U1248">
        <f t="shared" si="32"/>
        <v>0</v>
      </c>
    </row>
    <row r="1249" spans="1:21">
      <c r="A1249" s="2895" t="str">
        <f>ORG!$S$1</f>
        <v>Apr 23</v>
      </c>
      <c r="B1249" t="str">
        <f>ORG!$M$1</f>
        <v>Public Health Wales Trust</v>
      </c>
      <c r="C1249" t="str">
        <f>'E - Resource Limits'!$A$5</f>
        <v>Table E - Resource Limits</v>
      </c>
      <c r="D1249" s="2898">
        <f t="shared" si="373"/>
        <v>90</v>
      </c>
      <c r="E1249" t="str">
        <f t="shared" si="374"/>
        <v>Anticipated Pharmacy</v>
      </c>
      <c r="F1249" s="2899">
        <f>'E - Resource Limits'!B111</f>
        <v>0</v>
      </c>
      <c r="S1249">
        <f>'E - Resource Limits'!E111</f>
        <v>0</v>
      </c>
      <c r="U1249">
        <f t="shared" si="32"/>
        <v>0</v>
      </c>
    </row>
    <row r="1250" spans="1:21">
      <c r="A1250" s="2895" t="str">
        <f>ORG!$S$1</f>
        <v>Apr 23</v>
      </c>
      <c r="B1250" t="str">
        <f>ORG!$M$1</f>
        <v>Public Health Wales Trust</v>
      </c>
      <c r="C1250" t="str">
        <f>'E - Resource Limits'!$A$5</f>
        <v>Table E - Resource Limits</v>
      </c>
      <c r="D1250" s="2898">
        <f t="shared" si="373"/>
        <v>91</v>
      </c>
      <c r="E1250" t="str">
        <f t="shared" si="374"/>
        <v>Anticipated Pharmacy</v>
      </c>
      <c r="F1250" s="2899">
        <f>'E - Resource Limits'!B112</f>
        <v>0</v>
      </c>
      <c r="S1250">
        <f>'E - Resource Limits'!E112</f>
        <v>0</v>
      </c>
      <c r="U1250">
        <f t="shared" si="32"/>
        <v>0</v>
      </c>
    </row>
    <row r="1251" spans="1:21">
      <c r="A1251" s="2895" t="str">
        <f>ORG!$S$1</f>
        <v>Apr 23</v>
      </c>
      <c r="B1251" t="str">
        <f>ORG!$M$1</f>
        <v>Public Health Wales Trust</v>
      </c>
      <c r="C1251" t="str">
        <f>'E - Resource Limits'!$A$5</f>
        <v>Table E - Resource Limits</v>
      </c>
      <c r="D1251" s="2898">
        <f t="shared" si="373"/>
        <v>92</v>
      </c>
      <c r="E1251" t="str">
        <f t="shared" si="374"/>
        <v>Anticipated Pharmacy</v>
      </c>
      <c r="F1251" s="2899">
        <f>'E - Resource Limits'!B113</f>
        <v>0</v>
      </c>
      <c r="S1251">
        <f>'E - Resource Limits'!E113</f>
        <v>0</v>
      </c>
      <c r="U1251">
        <f t="shared" si="32"/>
        <v>0</v>
      </c>
    </row>
    <row r="1252" spans="1:21">
      <c r="A1252" s="2895" t="str">
        <f>ORG!$S$1</f>
        <v>Apr 23</v>
      </c>
      <c r="B1252" t="str">
        <f>ORG!$M$1</f>
        <v>Public Health Wales Trust</v>
      </c>
      <c r="C1252" t="str">
        <f>'E - Resource Limits'!$A$5</f>
        <v>Table E - Resource Limits</v>
      </c>
      <c r="D1252" s="2898">
        <f t="shared" si="373"/>
        <v>93</v>
      </c>
      <c r="E1252" t="str">
        <f t="shared" si="374"/>
        <v>Anticipated Pharmacy</v>
      </c>
      <c r="F1252" s="2899">
        <f>'E - Resource Limits'!B114</f>
        <v>0</v>
      </c>
      <c r="S1252">
        <f>'E - Resource Limits'!E114</f>
        <v>0</v>
      </c>
      <c r="U1252">
        <f t="shared" si="32"/>
        <v>0</v>
      </c>
    </row>
    <row r="1253" spans="1:21">
      <c r="A1253" s="2895" t="str">
        <f>ORG!$S$1</f>
        <v>Apr 23</v>
      </c>
      <c r="B1253" t="str">
        <f>ORG!$M$1</f>
        <v>Public Health Wales Trust</v>
      </c>
      <c r="C1253" t="str">
        <f>'E - Resource Limits'!$A$5</f>
        <v>Table E - Resource Limits</v>
      </c>
      <c r="D1253" s="2898">
        <f t="shared" si="373"/>
        <v>94</v>
      </c>
      <c r="E1253" t="str">
        <f t="shared" si="374"/>
        <v>Anticipated Pharmacy</v>
      </c>
      <c r="F1253" s="2899">
        <f>'E - Resource Limits'!B115</f>
        <v>0</v>
      </c>
      <c r="S1253">
        <f>'E - Resource Limits'!E115</f>
        <v>0</v>
      </c>
      <c r="U1253">
        <f t="shared" si="32"/>
        <v>0</v>
      </c>
    </row>
    <row r="1254" spans="1:21">
      <c r="A1254" s="2895" t="str">
        <f>ORG!$S$1</f>
        <v>Apr 23</v>
      </c>
      <c r="B1254" t="str">
        <f>ORG!$M$1</f>
        <v>Public Health Wales Trust</v>
      </c>
      <c r="C1254" t="str">
        <f>'E - Resource Limits'!$A$5</f>
        <v>Table E - Resource Limits</v>
      </c>
      <c r="D1254" s="2898">
        <f t="shared" si="373"/>
        <v>95</v>
      </c>
      <c r="E1254" t="str">
        <f t="shared" si="374"/>
        <v>Anticipated Pharmacy</v>
      </c>
      <c r="F1254" s="2899">
        <f>'E - Resource Limits'!B116</f>
        <v>0</v>
      </c>
      <c r="S1254">
        <f>'E - Resource Limits'!E116</f>
        <v>0</v>
      </c>
      <c r="U1254">
        <f t="shared" si="32"/>
        <v>0</v>
      </c>
    </row>
    <row r="1255" spans="1:21">
      <c r="A1255" s="2895" t="str">
        <f>ORG!$S$1</f>
        <v>Apr 23</v>
      </c>
      <c r="B1255" t="str">
        <f>ORG!$M$1</f>
        <v>Public Health Wales Trust</v>
      </c>
      <c r="C1255" t="str">
        <f>'E - Resource Limits'!$A$5</f>
        <v>Table E - Resource Limits</v>
      </c>
      <c r="D1255" s="2898">
        <f t="shared" si="373"/>
        <v>96</v>
      </c>
      <c r="E1255" t="str">
        <f t="shared" si="374"/>
        <v>Anticipated Pharmacy</v>
      </c>
      <c r="F1255" s="2899">
        <f>'E - Resource Limits'!B117</f>
        <v>0</v>
      </c>
      <c r="S1255">
        <f>'E - Resource Limits'!E117</f>
        <v>0</v>
      </c>
      <c r="U1255">
        <f t="shared" si="32"/>
        <v>0</v>
      </c>
    </row>
    <row r="1256" spans="1:21">
      <c r="A1256" s="2895" t="str">
        <f>ORG!$S$1</f>
        <v>Apr 23</v>
      </c>
      <c r="B1256" t="str">
        <f>ORG!$M$1</f>
        <v>Public Health Wales Trust</v>
      </c>
      <c r="C1256" t="str">
        <f>'E - Resource Limits'!$A$5</f>
        <v>Table E - Resource Limits</v>
      </c>
      <c r="D1256" s="2898">
        <f t="shared" si="373"/>
        <v>97</v>
      </c>
      <c r="E1256" t="str">
        <f t="shared" si="374"/>
        <v>Anticipated Pharmacy</v>
      </c>
      <c r="F1256" s="2899" t="str">
        <f>'E - Resource Limits'!B118</f>
        <v>Total Funding</v>
      </c>
      <c r="S1256">
        <f>'E - Resource Limits'!E118</f>
        <v>0</v>
      </c>
      <c r="U1256">
        <f t="shared" si="32"/>
        <v>0</v>
      </c>
    </row>
    <row r="1257" spans="1:21">
      <c r="A1257" s="2895" t="str">
        <f>ORG!$S$1</f>
        <v>Apr 23</v>
      </c>
      <c r="B1257" t="str">
        <f>ORG!$M$1</f>
        <v>Public Health Wales Trust</v>
      </c>
      <c r="C1257" t="str">
        <f>'E - Resource Limits'!$A$5</f>
        <v>Table E - Resource Limits</v>
      </c>
      <c r="D1257" s="2898">
        <f>D1226</f>
        <v>67</v>
      </c>
      <c r="E1257" t="str">
        <f>"Anticipated Dental"</f>
        <v>Anticipated Dental</v>
      </c>
      <c r="F1257" s="2899" t="str">
        <f>'E - Resource Limits'!B88</f>
        <v xml:space="preserve">Health Protection (including Testing, Tracing and Surveillance) </v>
      </c>
      <c r="S1257">
        <f>'E - Resource Limits'!F88</f>
        <v>0</v>
      </c>
      <c r="U1257">
        <f t="shared" si="32"/>
        <v>0</v>
      </c>
    </row>
    <row r="1258" spans="1:21">
      <c r="A1258" s="2895" t="str">
        <f>ORG!$S$1</f>
        <v>Apr 23</v>
      </c>
      <c r="B1258" t="str">
        <f>ORG!$M$1</f>
        <v>Public Health Wales Trust</v>
      </c>
      <c r="C1258" t="str">
        <f>'E - Resource Limits'!$A$5</f>
        <v>Table E - Resource Limits</v>
      </c>
      <c r="D1258" s="2898">
        <f t="shared" ref="D1258:D1286" si="375">D1227</f>
        <v>68</v>
      </c>
      <c r="E1258" t="str">
        <f t="shared" ref="E1258:E1286" si="376">"Anticipated Dental"</f>
        <v>Anticipated Dental</v>
      </c>
      <c r="F1258" s="2899" t="str">
        <f>'E - Resource Limits'!B89</f>
        <v>COVID-19 Vaccination (Immunisation) Programme</v>
      </c>
      <c r="S1258">
        <f>'E - Resource Limits'!F89</f>
        <v>0</v>
      </c>
      <c r="U1258">
        <f t="shared" si="32"/>
        <v>0</v>
      </c>
    </row>
    <row r="1259" spans="1:21">
      <c r="A1259" s="2895" t="str">
        <f>ORG!$S$1</f>
        <v>Apr 23</v>
      </c>
      <c r="B1259" t="str">
        <f>ORG!$M$1</f>
        <v>Public Health Wales Trust</v>
      </c>
      <c r="C1259" t="str">
        <f>'E - Resource Limits'!$A$5</f>
        <v>Table E - Resource Limits</v>
      </c>
      <c r="D1259" s="2898">
        <f t="shared" si="375"/>
        <v>69</v>
      </c>
      <c r="E1259" t="str">
        <f t="shared" si="376"/>
        <v>Anticipated Dental</v>
      </c>
      <c r="F1259" s="2899" t="str">
        <f>'E - Resource Limits'!B90</f>
        <v xml:space="preserve">PPE </v>
      </c>
      <c r="S1259">
        <f>'E - Resource Limits'!F90</f>
        <v>0</v>
      </c>
      <c r="U1259">
        <f t="shared" si="32"/>
        <v>0</v>
      </c>
    </row>
    <row r="1260" spans="1:21">
      <c r="A1260" s="2895" t="str">
        <f>ORG!$S$1</f>
        <v>Apr 23</v>
      </c>
      <c r="B1260" t="str">
        <f>ORG!$M$1</f>
        <v>Public Health Wales Trust</v>
      </c>
      <c r="C1260" t="str">
        <f>'E - Resource Limits'!$A$5</f>
        <v>Table E - Resource Limits</v>
      </c>
      <c r="D1260" s="2898">
        <f t="shared" si="375"/>
        <v>70</v>
      </c>
      <c r="E1260" t="str">
        <f t="shared" si="376"/>
        <v>Anticipated Dental</v>
      </c>
      <c r="F1260" s="2899" t="str">
        <f>'E - Resource Limits'!B91</f>
        <v>Long Covid</v>
      </c>
      <c r="S1260">
        <f>'E - Resource Limits'!F91</f>
        <v>0</v>
      </c>
      <c r="U1260">
        <f t="shared" si="32"/>
        <v>0</v>
      </c>
    </row>
    <row r="1261" spans="1:21">
      <c r="A1261" s="2895" t="str">
        <f>ORG!$S$1</f>
        <v>Apr 23</v>
      </c>
      <c r="B1261" t="str">
        <f>ORG!$M$1</f>
        <v>Public Health Wales Trust</v>
      </c>
      <c r="C1261" t="str">
        <f>'E - Resource Limits'!$A$5</f>
        <v>Table E - Resource Limits</v>
      </c>
      <c r="D1261" s="2898">
        <f t="shared" si="375"/>
        <v>71</v>
      </c>
      <c r="E1261" t="str">
        <f t="shared" si="376"/>
        <v>Anticipated Dental</v>
      </c>
      <c r="F1261" s="2899" t="str">
        <f>'E - Resource Limits'!B92</f>
        <v>Nosocomial</v>
      </c>
      <c r="S1261">
        <f>'E - Resource Limits'!F92</f>
        <v>0</v>
      </c>
      <c r="U1261">
        <f t="shared" si="32"/>
        <v>0</v>
      </c>
    </row>
    <row r="1262" spans="1:21">
      <c r="A1262" s="2895" t="str">
        <f>ORG!$S$1</f>
        <v>Apr 23</v>
      </c>
      <c r="B1262" t="str">
        <f>ORG!$M$1</f>
        <v>Public Health Wales Trust</v>
      </c>
      <c r="C1262" t="str">
        <f>'E - Resource Limits'!$A$5</f>
        <v>Table E - Resource Limits</v>
      </c>
      <c r="D1262" s="2898">
        <f t="shared" si="375"/>
        <v>72</v>
      </c>
      <c r="E1262" t="str">
        <f t="shared" si="376"/>
        <v>Anticipated Dental</v>
      </c>
      <c r="F1262" s="2899">
        <f>'E - Resource Limits'!B93</f>
        <v>0</v>
      </c>
      <c r="S1262">
        <f>'E - Resource Limits'!F93</f>
        <v>0</v>
      </c>
      <c r="U1262">
        <f t="shared" si="32"/>
        <v>0</v>
      </c>
    </row>
    <row r="1263" spans="1:21">
      <c r="A1263" s="2895" t="str">
        <f>ORG!$S$1</f>
        <v>Apr 23</v>
      </c>
      <c r="B1263" t="str">
        <f>ORG!$M$1</f>
        <v>Public Health Wales Trust</v>
      </c>
      <c r="C1263" t="str">
        <f>'E - Resource Limits'!$A$5</f>
        <v>Table E - Resource Limits</v>
      </c>
      <c r="D1263" s="2898">
        <f t="shared" si="375"/>
        <v>73</v>
      </c>
      <c r="E1263" t="str">
        <f t="shared" si="376"/>
        <v>Anticipated Dental</v>
      </c>
      <c r="F1263" s="2899">
        <f>'E - Resource Limits'!B94</f>
        <v>0</v>
      </c>
      <c r="S1263">
        <f>'E - Resource Limits'!F94</f>
        <v>0</v>
      </c>
      <c r="U1263">
        <f t="shared" si="32"/>
        <v>0</v>
      </c>
    </row>
    <row r="1264" spans="1:21">
      <c r="A1264" s="2895" t="str">
        <f>ORG!$S$1</f>
        <v>Apr 23</v>
      </c>
      <c r="B1264" t="str">
        <f>ORG!$M$1</f>
        <v>Public Health Wales Trust</v>
      </c>
      <c r="C1264" t="str">
        <f>'E - Resource Limits'!$A$5</f>
        <v>Table E - Resource Limits</v>
      </c>
      <c r="D1264" s="2898">
        <f t="shared" si="375"/>
        <v>74</v>
      </c>
      <c r="E1264" t="str">
        <f t="shared" si="376"/>
        <v>Anticipated Dental</v>
      </c>
      <c r="F1264" s="2899">
        <f>'E - Resource Limits'!B95</f>
        <v>0</v>
      </c>
      <c r="S1264">
        <f>'E - Resource Limits'!F95</f>
        <v>0</v>
      </c>
      <c r="U1264">
        <f t="shared" si="32"/>
        <v>0</v>
      </c>
    </row>
    <row r="1265" spans="1:21">
      <c r="A1265" s="2895" t="str">
        <f>ORG!$S$1</f>
        <v>Apr 23</v>
      </c>
      <c r="B1265" t="str">
        <f>ORG!$M$1</f>
        <v>Public Health Wales Trust</v>
      </c>
      <c r="C1265" t="str">
        <f>'E - Resource Limits'!$A$5</f>
        <v>Table E - Resource Limits</v>
      </c>
      <c r="D1265" s="2898">
        <f t="shared" si="375"/>
        <v>75</v>
      </c>
      <c r="E1265" t="str">
        <f t="shared" si="376"/>
        <v>Anticipated Dental</v>
      </c>
      <c r="F1265" s="2899">
        <f>'E - Resource Limits'!B96</f>
        <v>0</v>
      </c>
      <c r="S1265">
        <f>'E - Resource Limits'!F96</f>
        <v>0</v>
      </c>
      <c r="U1265">
        <f t="shared" si="32"/>
        <v>0</v>
      </c>
    </row>
    <row r="1266" spans="1:21">
      <c r="A1266" s="2895" t="str">
        <f>ORG!$S$1</f>
        <v>Apr 23</v>
      </c>
      <c r="B1266" t="str">
        <f>ORG!$M$1</f>
        <v>Public Health Wales Trust</v>
      </c>
      <c r="C1266" t="str">
        <f>'E - Resource Limits'!$A$5</f>
        <v>Table E - Resource Limits</v>
      </c>
      <c r="D1266" s="2898">
        <f t="shared" si="375"/>
        <v>76</v>
      </c>
      <c r="E1266" t="str">
        <f t="shared" si="376"/>
        <v>Anticipated Dental</v>
      </c>
      <c r="F1266" s="2899">
        <f>'E - Resource Limits'!B97</f>
        <v>0</v>
      </c>
      <c r="S1266">
        <f>'E - Resource Limits'!F97</f>
        <v>0</v>
      </c>
      <c r="U1266">
        <f t="shared" si="32"/>
        <v>0</v>
      </c>
    </row>
    <row r="1267" spans="1:21">
      <c r="A1267" s="2895" t="str">
        <f>ORG!$S$1</f>
        <v>Apr 23</v>
      </c>
      <c r="B1267" t="str">
        <f>ORG!$M$1</f>
        <v>Public Health Wales Trust</v>
      </c>
      <c r="C1267" t="str">
        <f>'E - Resource Limits'!$A$5</f>
        <v>Table E - Resource Limits</v>
      </c>
      <c r="D1267" s="2898">
        <f t="shared" si="375"/>
        <v>77</v>
      </c>
      <c r="E1267" t="str">
        <f t="shared" si="376"/>
        <v>Anticipated Dental</v>
      </c>
      <c r="F1267" s="2899">
        <f>'E - Resource Limits'!B98</f>
        <v>0</v>
      </c>
      <c r="S1267">
        <f>'E - Resource Limits'!F98</f>
        <v>0</v>
      </c>
      <c r="U1267">
        <f t="shared" si="32"/>
        <v>0</v>
      </c>
    </row>
    <row r="1268" spans="1:21">
      <c r="A1268" s="2895" t="str">
        <f>ORG!$S$1</f>
        <v>Apr 23</v>
      </c>
      <c r="B1268" t="str">
        <f>ORG!$M$1</f>
        <v>Public Health Wales Trust</v>
      </c>
      <c r="C1268" t="str">
        <f>'E - Resource Limits'!$A$5</f>
        <v>Table E - Resource Limits</v>
      </c>
      <c r="D1268" s="2898">
        <f t="shared" si="375"/>
        <v>78</v>
      </c>
      <c r="E1268" t="str">
        <f t="shared" si="376"/>
        <v>Anticipated Dental</v>
      </c>
      <c r="F1268" s="2899">
        <f>'E - Resource Limits'!B99</f>
        <v>0</v>
      </c>
      <c r="S1268">
        <f>'E - Resource Limits'!F99</f>
        <v>0</v>
      </c>
      <c r="U1268">
        <f t="shared" si="32"/>
        <v>0</v>
      </c>
    </row>
    <row r="1269" spans="1:21">
      <c r="A1269" s="2895" t="str">
        <f>ORG!$S$1</f>
        <v>Apr 23</v>
      </c>
      <c r="B1269" t="str">
        <f>ORG!$M$1</f>
        <v>Public Health Wales Trust</v>
      </c>
      <c r="C1269" t="str">
        <f>'E - Resource Limits'!$A$5</f>
        <v>Table E - Resource Limits</v>
      </c>
      <c r="D1269" s="2898">
        <f t="shared" si="375"/>
        <v>79</v>
      </c>
      <c r="E1269" t="str">
        <f t="shared" si="376"/>
        <v>Anticipated Dental</v>
      </c>
      <c r="F1269" s="2899">
        <f>'E - Resource Limits'!B100</f>
        <v>0</v>
      </c>
      <c r="S1269">
        <f>'E - Resource Limits'!F100</f>
        <v>0</v>
      </c>
      <c r="U1269">
        <f t="shared" si="32"/>
        <v>0</v>
      </c>
    </row>
    <row r="1270" spans="1:21">
      <c r="A1270" s="2895" t="str">
        <f>ORG!$S$1</f>
        <v>Apr 23</v>
      </c>
      <c r="B1270" t="str">
        <f>ORG!$M$1</f>
        <v>Public Health Wales Trust</v>
      </c>
      <c r="C1270" t="str">
        <f>'E - Resource Limits'!$A$5</f>
        <v>Table E - Resource Limits</v>
      </c>
      <c r="D1270" s="2898">
        <f t="shared" si="375"/>
        <v>80</v>
      </c>
      <c r="E1270" t="str">
        <f t="shared" si="376"/>
        <v>Anticipated Dental</v>
      </c>
      <c r="F1270" s="2899">
        <f>'E - Resource Limits'!B101</f>
        <v>0</v>
      </c>
      <c r="S1270">
        <f>'E - Resource Limits'!F101</f>
        <v>0</v>
      </c>
      <c r="U1270">
        <f t="shared" si="32"/>
        <v>0</v>
      </c>
    </row>
    <row r="1271" spans="1:21">
      <c r="A1271" s="2895" t="str">
        <f>ORG!$S$1</f>
        <v>Apr 23</v>
      </c>
      <c r="B1271" t="str">
        <f>ORG!$M$1</f>
        <v>Public Health Wales Trust</v>
      </c>
      <c r="C1271" t="str">
        <f>'E - Resource Limits'!$A$5</f>
        <v>Table E - Resource Limits</v>
      </c>
      <c r="D1271" s="2898">
        <f t="shared" si="375"/>
        <v>81</v>
      </c>
      <c r="E1271" t="str">
        <f t="shared" si="376"/>
        <v>Anticipated Dental</v>
      </c>
      <c r="F1271" s="2899">
        <f>'E - Resource Limits'!B102</f>
        <v>0</v>
      </c>
      <c r="S1271">
        <f>'E - Resource Limits'!F102</f>
        <v>0</v>
      </c>
      <c r="U1271">
        <f t="shared" si="32"/>
        <v>0</v>
      </c>
    </row>
    <row r="1272" spans="1:21">
      <c r="A1272" s="2895" t="str">
        <f>ORG!$S$1</f>
        <v>Apr 23</v>
      </c>
      <c r="B1272" t="str">
        <f>ORG!$M$1</f>
        <v>Public Health Wales Trust</v>
      </c>
      <c r="C1272" t="str">
        <f>'E - Resource Limits'!$A$5</f>
        <v>Table E - Resource Limits</v>
      </c>
      <c r="D1272" s="2898">
        <f t="shared" si="375"/>
        <v>82</v>
      </c>
      <c r="E1272" t="str">
        <f t="shared" si="376"/>
        <v>Anticipated Dental</v>
      </c>
      <c r="F1272" s="2899">
        <f>'E - Resource Limits'!B103</f>
        <v>0</v>
      </c>
      <c r="S1272">
        <f>'E - Resource Limits'!F103</f>
        <v>0</v>
      </c>
      <c r="U1272">
        <f t="shared" si="32"/>
        <v>0</v>
      </c>
    </row>
    <row r="1273" spans="1:21">
      <c r="A1273" s="2895" t="str">
        <f>ORG!$S$1</f>
        <v>Apr 23</v>
      </c>
      <c r="B1273" t="str">
        <f>ORG!$M$1</f>
        <v>Public Health Wales Trust</v>
      </c>
      <c r="C1273" t="str">
        <f>'E - Resource Limits'!$A$5</f>
        <v>Table E - Resource Limits</v>
      </c>
      <c r="D1273" s="2898">
        <f t="shared" si="375"/>
        <v>83</v>
      </c>
      <c r="E1273" t="str">
        <f t="shared" si="376"/>
        <v>Anticipated Dental</v>
      </c>
      <c r="F1273" s="2899">
        <f>'E - Resource Limits'!B104</f>
        <v>0</v>
      </c>
      <c r="S1273">
        <f>'E - Resource Limits'!F104</f>
        <v>0</v>
      </c>
      <c r="U1273">
        <f t="shared" si="32"/>
        <v>0</v>
      </c>
    </row>
    <row r="1274" spans="1:21">
      <c r="A1274" s="2895" t="str">
        <f>ORG!$S$1</f>
        <v>Apr 23</v>
      </c>
      <c r="B1274" t="str">
        <f>ORG!$M$1</f>
        <v>Public Health Wales Trust</v>
      </c>
      <c r="C1274" t="str">
        <f>'E - Resource Limits'!$A$5</f>
        <v>Table E - Resource Limits</v>
      </c>
      <c r="D1274" s="2898">
        <f t="shared" si="375"/>
        <v>84</v>
      </c>
      <c r="E1274" t="str">
        <f t="shared" si="376"/>
        <v>Anticipated Dental</v>
      </c>
      <c r="F1274" s="2899">
        <f>'E - Resource Limits'!B105</f>
        <v>0</v>
      </c>
      <c r="S1274">
        <f>'E - Resource Limits'!F105</f>
        <v>0</v>
      </c>
      <c r="U1274">
        <f t="shared" si="32"/>
        <v>0</v>
      </c>
    </row>
    <row r="1275" spans="1:21">
      <c r="A1275" s="2895" t="str">
        <f>ORG!$S$1</f>
        <v>Apr 23</v>
      </c>
      <c r="B1275" t="str">
        <f>ORG!$M$1</f>
        <v>Public Health Wales Trust</v>
      </c>
      <c r="C1275" t="str">
        <f>'E - Resource Limits'!$A$5</f>
        <v>Table E - Resource Limits</v>
      </c>
      <c r="D1275" s="2898">
        <f t="shared" si="375"/>
        <v>85</v>
      </c>
      <c r="E1275" t="str">
        <f t="shared" si="376"/>
        <v>Anticipated Dental</v>
      </c>
      <c r="F1275" s="2899">
        <f>'E - Resource Limits'!B106</f>
        <v>0</v>
      </c>
      <c r="S1275">
        <f>'E - Resource Limits'!F106</f>
        <v>0</v>
      </c>
      <c r="U1275">
        <f t="shared" si="32"/>
        <v>0</v>
      </c>
    </row>
    <row r="1276" spans="1:21">
      <c r="A1276" s="2895" t="str">
        <f>ORG!$S$1</f>
        <v>Apr 23</v>
      </c>
      <c r="B1276" t="str">
        <f>ORG!$M$1</f>
        <v>Public Health Wales Trust</v>
      </c>
      <c r="C1276" t="str">
        <f>'E - Resource Limits'!$A$5</f>
        <v>Table E - Resource Limits</v>
      </c>
      <c r="D1276" s="2898">
        <f t="shared" si="375"/>
        <v>86</v>
      </c>
      <c r="E1276" t="str">
        <f t="shared" si="376"/>
        <v>Anticipated Dental</v>
      </c>
      <c r="F1276" s="2899">
        <f>'E - Resource Limits'!B107</f>
        <v>0</v>
      </c>
      <c r="S1276">
        <f>'E - Resource Limits'!F107</f>
        <v>0</v>
      </c>
      <c r="U1276">
        <f t="shared" si="32"/>
        <v>0</v>
      </c>
    </row>
    <row r="1277" spans="1:21">
      <c r="A1277" s="2895" t="str">
        <f>ORG!$S$1</f>
        <v>Apr 23</v>
      </c>
      <c r="B1277" t="str">
        <f>ORG!$M$1</f>
        <v>Public Health Wales Trust</v>
      </c>
      <c r="C1277" t="str">
        <f>'E - Resource Limits'!$A$5</f>
        <v>Table E - Resource Limits</v>
      </c>
      <c r="D1277" s="2898">
        <f t="shared" si="375"/>
        <v>87</v>
      </c>
      <c r="E1277" t="str">
        <f t="shared" si="376"/>
        <v>Anticipated Dental</v>
      </c>
      <c r="F1277" s="2899">
        <f>'E - Resource Limits'!B108</f>
        <v>0</v>
      </c>
      <c r="S1277">
        <f>'E - Resource Limits'!F108</f>
        <v>0</v>
      </c>
      <c r="U1277">
        <f t="shared" si="32"/>
        <v>0</v>
      </c>
    </row>
    <row r="1278" spans="1:21">
      <c r="A1278" s="2895" t="str">
        <f>ORG!$S$1</f>
        <v>Apr 23</v>
      </c>
      <c r="B1278" t="str">
        <f>ORG!$M$1</f>
        <v>Public Health Wales Trust</v>
      </c>
      <c r="C1278" t="str">
        <f>'E - Resource Limits'!$A$5</f>
        <v>Table E - Resource Limits</v>
      </c>
      <c r="D1278" s="2898">
        <f t="shared" si="375"/>
        <v>88</v>
      </c>
      <c r="E1278" t="str">
        <f t="shared" si="376"/>
        <v>Anticipated Dental</v>
      </c>
      <c r="F1278" s="2899">
        <f>'E - Resource Limits'!B109</f>
        <v>0</v>
      </c>
      <c r="S1278">
        <f>'E - Resource Limits'!F109</f>
        <v>0</v>
      </c>
      <c r="U1278">
        <f t="shared" si="32"/>
        <v>0</v>
      </c>
    </row>
    <row r="1279" spans="1:21">
      <c r="A1279" s="2895" t="str">
        <f>ORG!$S$1</f>
        <v>Apr 23</v>
      </c>
      <c r="B1279" t="str">
        <f>ORG!$M$1</f>
        <v>Public Health Wales Trust</v>
      </c>
      <c r="C1279" t="str">
        <f>'E - Resource Limits'!$A$5</f>
        <v>Table E - Resource Limits</v>
      </c>
      <c r="D1279" s="2898">
        <f t="shared" si="375"/>
        <v>89</v>
      </c>
      <c r="E1279" t="str">
        <f t="shared" si="376"/>
        <v>Anticipated Dental</v>
      </c>
      <c r="F1279" s="2899">
        <f>'E - Resource Limits'!B110</f>
        <v>0</v>
      </c>
      <c r="S1279">
        <f>'E - Resource Limits'!F110</f>
        <v>0</v>
      </c>
      <c r="U1279">
        <f t="shared" si="32"/>
        <v>0</v>
      </c>
    </row>
    <row r="1280" spans="1:21">
      <c r="A1280" s="2895" t="str">
        <f>ORG!$S$1</f>
        <v>Apr 23</v>
      </c>
      <c r="B1280" t="str">
        <f>ORG!$M$1</f>
        <v>Public Health Wales Trust</v>
      </c>
      <c r="C1280" t="str">
        <f>'E - Resource Limits'!$A$5</f>
        <v>Table E - Resource Limits</v>
      </c>
      <c r="D1280" s="2898">
        <f t="shared" si="375"/>
        <v>90</v>
      </c>
      <c r="E1280" t="str">
        <f t="shared" si="376"/>
        <v>Anticipated Dental</v>
      </c>
      <c r="F1280" s="2899">
        <f>'E - Resource Limits'!B111</f>
        <v>0</v>
      </c>
      <c r="S1280">
        <f>'E - Resource Limits'!F111</f>
        <v>0</v>
      </c>
      <c r="U1280">
        <f t="shared" si="32"/>
        <v>0</v>
      </c>
    </row>
    <row r="1281" spans="1:21">
      <c r="A1281" s="2895" t="str">
        <f>ORG!$S$1</f>
        <v>Apr 23</v>
      </c>
      <c r="B1281" t="str">
        <f>ORG!$M$1</f>
        <v>Public Health Wales Trust</v>
      </c>
      <c r="C1281" t="str">
        <f>'E - Resource Limits'!$A$5</f>
        <v>Table E - Resource Limits</v>
      </c>
      <c r="D1281" s="2898">
        <f t="shared" si="375"/>
        <v>91</v>
      </c>
      <c r="E1281" t="str">
        <f t="shared" si="376"/>
        <v>Anticipated Dental</v>
      </c>
      <c r="F1281" s="2899">
        <f>'E - Resource Limits'!B112</f>
        <v>0</v>
      </c>
      <c r="S1281">
        <f>'E - Resource Limits'!F112</f>
        <v>0</v>
      </c>
      <c r="U1281">
        <f t="shared" si="32"/>
        <v>0</v>
      </c>
    </row>
    <row r="1282" spans="1:21">
      <c r="A1282" s="2895" t="str">
        <f>ORG!$S$1</f>
        <v>Apr 23</v>
      </c>
      <c r="B1282" t="str">
        <f>ORG!$M$1</f>
        <v>Public Health Wales Trust</v>
      </c>
      <c r="C1282" t="str">
        <f>'E - Resource Limits'!$A$5</f>
        <v>Table E - Resource Limits</v>
      </c>
      <c r="D1282" s="2898">
        <f t="shared" si="375"/>
        <v>92</v>
      </c>
      <c r="E1282" t="str">
        <f t="shared" si="376"/>
        <v>Anticipated Dental</v>
      </c>
      <c r="F1282" s="2899">
        <f>'E - Resource Limits'!B113</f>
        <v>0</v>
      </c>
      <c r="S1282">
        <f>'E - Resource Limits'!F113</f>
        <v>0</v>
      </c>
      <c r="U1282">
        <f t="shared" si="32"/>
        <v>0</v>
      </c>
    </row>
    <row r="1283" spans="1:21">
      <c r="A1283" s="2895" t="str">
        <f>ORG!$S$1</f>
        <v>Apr 23</v>
      </c>
      <c r="B1283" t="str">
        <f>ORG!$M$1</f>
        <v>Public Health Wales Trust</v>
      </c>
      <c r="C1283" t="str">
        <f>'E - Resource Limits'!$A$5</f>
        <v>Table E - Resource Limits</v>
      </c>
      <c r="D1283" s="2898">
        <f t="shared" si="375"/>
        <v>93</v>
      </c>
      <c r="E1283" t="str">
        <f t="shared" si="376"/>
        <v>Anticipated Dental</v>
      </c>
      <c r="F1283" s="2899">
        <f>'E - Resource Limits'!B114</f>
        <v>0</v>
      </c>
      <c r="S1283">
        <f>'E - Resource Limits'!F114</f>
        <v>0</v>
      </c>
      <c r="U1283">
        <f t="shared" si="32"/>
        <v>0</v>
      </c>
    </row>
    <row r="1284" spans="1:21">
      <c r="A1284" s="2895" t="str">
        <f>ORG!$S$1</f>
        <v>Apr 23</v>
      </c>
      <c r="B1284" t="str">
        <f>ORG!$M$1</f>
        <v>Public Health Wales Trust</v>
      </c>
      <c r="C1284" t="str">
        <f>'E - Resource Limits'!$A$5</f>
        <v>Table E - Resource Limits</v>
      </c>
      <c r="D1284" s="2898">
        <f t="shared" si="375"/>
        <v>94</v>
      </c>
      <c r="E1284" t="str">
        <f t="shared" si="376"/>
        <v>Anticipated Dental</v>
      </c>
      <c r="F1284" s="2899">
        <f>'E - Resource Limits'!B115</f>
        <v>0</v>
      </c>
      <c r="S1284">
        <f>'E - Resource Limits'!F115</f>
        <v>0</v>
      </c>
      <c r="U1284">
        <f t="shared" si="32"/>
        <v>0</v>
      </c>
    </row>
    <row r="1285" spans="1:21">
      <c r="A1285" s="2895" t="str">
        <f>ORG!$S$1</f>
        <v>Apr 23</v>
      </c>
      <c r="B1285" t="str">
        <f>ORG!$M$1</f>
        <v>Public Health Wales Trust</v>
      </c>
      <c r="C1285" t="str">
        <f>'E - Resource Limits'!$A$5</f>
        <v>Table E - Resource Limits</v>
      </c>
      <c r="D1285" s="2898">
        <f t="shared" si="375"/>
        <v>95</v>
      </c>
      <c r="E1285" t="str">
        <f t="shared" si="376"/>
        <v>Anticipated Dental</v>
      </c>
      <c r="F1285" s="2899">
        <f>'E - Resource Limits'!B116</f>
        <v>0</v>
      </c>
      <c r="S1285">
        <f>'E - Resource Limits'!F116</f>
        <v>0</v>
      </c>
      <c r="U1285">
        <f t="shared" si="32"/>
        <v>0</v>
      </c>
    </row>
    <row r="1286" spans="1:21">
      <c r="A1286" s="2895" t="str">
        <f>ORG!$S$1</f>
        <v>Apr 23</v>
      </c>
      <c r="B1286" t="str">
        <f>ORG!$M$1</f>
        <v>Public Health Wales Trust</v>
      </c>
      <c r="C1286" t="str">
        <f>'E - Resource Limits'!$A$5</f>
        <v>Table E - Resource Limits</v>
      </c>
      <c r="D1286" s="2898">
        <f t="shared" si="375"/>
        <v>96</v>
      </c>
      <c r="E1286" t="str">
        <f t="shared" si="376"/>
        <v>Anticipated Dental</v>
      </c>
      <c r="F1286" s="2899">
        <f>'E - Resource Limits'!B117</f>
        <v>0</v>
      </c>
      <c r="S1286">
        <f>'E - Resource Limits'!F117</f>
        <v>0</v>
      </c>
      <c r="U1286">
        <f t="shared" si="32"/>
        <v>0</v>
      </c>
    </row>
    <row r="1287" spans="1:21">
      <c r="A1287" s="2895" t="str">
        <f>ORG!$S$1</f>
        <v>Apr 23</v>
      </c>
      <c r="B1287" t="str">
        <f>ORG!$M$1</f>
        <v>Public Health Wales Trust</v>
      </c>
      <c r="C1287" t="str">
        <f>'E - Resource Limits'!$A$5</f>
        <v>Table E - Resource Limits</v>
      </c>
      <c r="D1287" s="2898">
        <f>D1256</f>
        <v>97</v>
      </c>
      <c r="E1287" t="str">
        <f>"Anticipated Dental"</f>
        <v>Anticipated Dental</v>
      </c>
      <c r="F1287" s="2899" t="str">
        <f>'E - Resource Limits'!B118</f>
        <v>Total Funding</v>
      </c>
      <c r="S1287">
        <f>'E - Resource Limits'!F118</f>
        <v>0</v>
      </c>
      <c r="U1287">
        <f t="shared" si="32"/>
        <v>0</v>
      </c>
    </row>
    <row r="1288" spans="1:21">
      <c r="A1288" s="2895" t="str">
        <f>ORG!$S$1</f>
        <v>Apr 23</v>
      </c>
      <c r="B1288" t="str">
        <f>ORG!$M$1</f>
        <v>Public Health Wales Trust</v>
      </c>
      <c r="C1288" t="str">
        <f>'E - Resource Limits'!$A$5</f>
        <v>Table E - Resource Limits</v>
      </c>
      <c r="D1288" s="2898">
        <f>D1257</f>
        <v>67</v>
      </c>
      <c r="E1288" t="str">
        <f>"Anticipated GMS"</f>
        <v>Anticipated GMS</v>
      </c>
      <c r="F1288" s="2899" t="str">
        <f>'E - Resource Limits'!B88</f>
        <v xml:space="preserve">Health Protection (including Testing, Tracing and Surveillance) </v>
      </c>
      <c r="S1288">
        <f>'E - Resource Limits'!G88</f>
        <v>0</v>
      </c>
      <c r="U1288">
        <f t="shared" si="32"/>
        <v>0</v>
      </c>
    </row>
    <row r="1289" spans="1:21">
      <c r="A1289" s="2895" t="str">
        <f>ORG!$S$1</f>
        <v>Apr 23</v>
      </c>
      <c r="B1289" t="str">
        <f>ORG!$M$1</f>
        <v>Public Health Wales Trust</v>
      </c>
      <c r="C1289" t="str">
        <f>'E - Resource Limits'!$A$5</f>
        <v>Table E - Resource Limits</v>
      </c>
      <c r="D1289" s="2898">
        <f t="shared" ref="D1289:D1318" si="377">D1258</f>
        <v>68</v>
      </c>
      <c r="E1289" t="str">
        <f t="shared" ref="E1289:E1318" si="378">"Anticipated GMS"</f>
        <v>Anticipated GMS</v>
      </c>
      <c r="F1289" s="2899" t="str">
        <f>'E - Resource Limits'!B89</f>
        <v>COVID-19 Vaccination (Immunisation) Programme</v>
      </c>
      <c r="S1289">
        <f>'E - Resource Limits'!G89</f>
        <v>0</v>
      </c>
      <c r="U1289">
        <f t="shared" si="32"/>
        <v>0</v>
      </c>
    </row>
    <row r="1290" spans="1:21">
      <c r="A1290" s="2895" t="str">
        <f>ORG!$S$1</f>
        <v>Apr 23</v>
      </c>
      <c r="B1290" t="str">
        <f>ORG!$M$1</f>
        <v>Public Health Wales Trust</v>
      </c>
      <c r="C1290" t="str">
        <f>'E - Resource Limits'!$A$5</f>
        <v>Table E - Resource Limits</v>
      </c>
      <c r="D1290" s="2898">
        <f t="shared" si="377"/>
        <v>69</v>
      </c>
      <c r="E1290" t="str">
        <f t="shared" si="378"/>
        <v>Anticipated GMS</v>
      </c>
      <c r="F1290" s="2899" t="str">
        <f>'E - Resource Limits'!B90</f>
        <v xml:space="preserve">PPE </v>
      </c>
      <c r="S1290">
        <f>'E - Resource Limits'!G90</f>
        <v>0</v>
      </c>
      <c r="U1290">
        <f t="shared" si="32"/>
        <v>0</v>
      </c>
    </row>
    <row r="1291" spans="1:21">
      <c r="A1291" s="2895" t="str">
        <f>ORG!$S$1</f>
        <v>Apr 23</v>
      </c>
      <c r="B1291" t="str">
        <f>ORG!$M$1</f>
        <v>Public Health Wales Trust</v>
      </c>
      <c r="C1291" t="str">
        <f>'E - Resource Limits'!$A$5</f>
        <v>Table E - Resource Limits</v>
      </c>
      <c r="D1291" s="2898">
        <f t="shared" si="377"/>
        <v>70</v>
      </c>
      <c r="E1291" t="str">
        <f t="shared" si="378"/>
        <v>Anticipated GMS</v>
      </c>
      <c r="F1291" s="2899" t="str">
        <f>'E - Resource Limits'!B91</f>
        <v>Long Covid</v>
      </c>
      <c r="S1291">
        <f>'E - Resource Limits'!G91</f>
        <v>0</v>
      </c>
      <c r="U1291">
        <f t="shared" si="32"/>
        <v>0</v>
      </c>
    </row>
    <row r="1292" spans="1:21">
      <c r="A1292" s="2895" t="str">
        <f>ORG!$S$1</f>
        <v>Apr 23</v>
      </c>
      <c r="B1292" t="str">
        <f>ORG!$M$1</f>
        <v>Public Health Wales Trust</v>
      </c>
      <c r="C1292" t="str">
        <f>'E - Resource Limits'!$A$5</f>
        <v>Table E - Resource Limits</v>
      </c>
      <c r="D1292" s="2898">
        <f t="shared" si="377"/>
        <v>71</v>
      </c>
      <c r="E1292" t="str">
        <f t="shared" si="378"/>
        <v>Anticipated GMS</v>
      </c>
      <c r="F1292" s="2899" t="str">
        <f>'E - Resource Limits'!B92</f>
        <v>Nosocomial</v>
      </c>
      <c r="S1292">
        <f>'E - Resource Limits'!G92</f>
        <v>0</v>
      </c>
      <c r="U1292">
        <f t="shared" ref="U1292:U1317" si="379">S1292+T1292</f>
        <v>0</v>
      </c>
    </row>
    <row r="1293" spans="1:21">
      <c r="A1293" s="2895" t="str">
        <f>ORG!$S$1</f>
        <v>Apr 23</v>
      </c>
      <c r="B1293" t="str">
        <f>ORG!$M$1</f>
        <v>Public Health Wales Trust</v>
      </c>
      <c r="C1293" t="str">
        <f>'E - Resource Limits'!$A$5</f>
        <v>Table E - Resource Limits</v>
      </c>
      <c r="D1293" s="2898">
        <f t="shared" si="377"/>
        <v>72</v>
      </c>
      <c r="E1293" t="str">
        <f t="shared" si="378"/>
        <v>Anticipated GMS</v>
      </c>
      <c r="F1293" s="2899">
        <f>'E - Resource Limits'!B93</f>
        <v>0</v>
      </c>
      <c r="S1293">
        <f>'E - Resource Limits'!G93</f>
        <v>0</v>
      </c>
      <c r="U1293">
        <f t="shared" si="379"/>
        <v>0</v>
      </c>
    </row>
    <row r="1294" spans="1:21">
      <c r="A1294" s="2895" t="str">
        <f>ORG!$S$1</f>
        <v>Apr 23</v>
      </c>
      <c r="B1294" t="str">
        <f>ORG!$M$1</f>
        <v>Public Health Wales Trust</v>
      </c>
      <c r="C1294" t="str">
        <f>'E - Resource Limits'!$A$5</f>
        <v>Table E - Resource Limits</v>
      </c>
      <c r="D1294" s="2898">
        <f t="shared" si="377"/>
        <v>73</v>
      </c>
      <c r="E1294" t="str">
        <f t="shared" si="378"/>
        <v>Anticipated GMS</v>
      </c>
      <c r="F1294" s="2899">
        <f>'E - Resource Limits'!B94</f>
        <v>0</v>
      </c>
      <c r="S1294">
        <f>'E - Resource Limits'!G94</f>
        <v>0</v>
      </c>
      <c r="U1294">
        <f t="shared" si="379"/>
        <v>0</v>
      </c>
    </row>
    <row r="1295" spans="1:21">
      <c r="A1295" s="2895" t="str">
        <f>ORG!$S$1</f>
        <v>Apr 23</v>
      </c>
      <c r="B1295" t="str">
        <f>ORG!$M$1</f>
        <v>Public Health Wales Trust</v>
      </c>
      <c r="C1295" t="str">
        <f>'E - Resource Limits'!$A$5</f>
        <v>Table E - Resource Limits</v>
      </c>
      <c r="D1295" s="2898">
        <f t="shared" si="377"/>
        <v>74</v>
      </c>
      <c r="E1295" t="str">
        <f t="shared" si="378"/>
        <v>Anticipated GMS</v>
      </c>
      <c r="F1295" s="2899">
        <f>'E - Resource Limits'!B95</f>
        <v>0</v>
      </c>
      <c r="S1295">
        <f>'E - Resource Limits'!G95</f>
        <v>0</v>
      </c>
      <c r="U1295">
        <f t="shared" si="379"/>
        <v>0</v>
      </c>
    </row>
    <row r="1296" spans="1:21">
      <c r="A1296" s="2895" t="str">
        <f>ORG!$S$1</f>
        <v>Apr 23</v>
      </c>
      <c r="B1296" t="str">
        <f>ORG!$M$1</f>
        <v>Public Health Wales Trust</v>
      </c>
      <c r="C1296" t="str">
        <f>'E - Resource Limits'!$A$5</f>
        <v>Table E - Resource Limits</v>
      </c>
      <c r="D1296" s="2898">
        <f t="shared" si="377"/>
        <v>75</v>
      </c>
      <c r="E1296" t="str">
        <f t="shared" si="378"/>
        <v>Anticipated GMS</v>
      </c>
      <c r="F1296" s="2899">
        <f>'E - Resource Limits'!B96</f>
        <v>0</v>
      </c>
      <c r="S1296">
        <f>'E - Resource Limits'!G96</f>
        <v>0</v>
      </c>
      <c r="U1296">
        <f t="shared" si="379"/>
        <v>0</v>
      </c>
    </row>
    <row r="1297" spans="1:21">
      <c r="A1297" s="2895" t="str">
        <f>ORG!$S$1</f>
        <v>Apr 23</v>
      </c>
      <c r="B1297" t="str">
        <f>ORG!$M$1</f>
        <v>Public Health Wales Trust</v>
      </c>
      <c r="C1297" t="str">
        <f>'E - Resource Limits'!$A$5</f>
        <v>Table E - Resource Limits</v>
      </c>
      <c r="D1297" s="2898">
        <f t="shared" si="377"/>
        <v>76</v>
      </c>
      <c r="E1297" t="str">
        <f t="shared" si="378"/>
        <v>Anticipated GMS</v>
      </c>
      <c r="F1297" s="2899">
        <f>'E - Resource Limits'!B97</f>
        <v>0</v>
      </c>
      <c r="S1297">
        <f>'E - Resource Limits'!G97</f>
        <v>0</v>
      </c>
      <c r="U1297">
        <f t="shared" si="379"/>
        <v>0</v>
      </c>
    </row>
    <row r="1298" spans="1:21">
      <c r="A1298" s="2895" t="str">
        <f>ORG!$S$1</f>
        <v>Apr 23</v>
      </c>
      <c r="B1298" t="str">
        <f>ORG!$M$1</f>
        <v>Public Health Wales Trust</v>
      </c>
      <c r="C1298" t="str">
        <f>'E - Resource Limits'!$A$5</f>
        <v>Table E - Resource Limits</v>
      </c>
      <c r="D1298" s="2898">
        <f t="shared" si="377"/>
        <v>77</v>
      </c>
      <c r="E1298" t="str">
        <f t="shared" si="378"/>
        <v>Anticipated GMS</v>
      </c>
      <c r="F1298" s="2899">
        <f>'E - Resource Limits'!B98</f>
        <v>0</v>
      </c>
      <c r="S1298">
        <f>'E - Resource Limits'!G98</f>
        <v>0</v>
      </c>
      <c r="U1298">
        <f t="shared" si="379"/>
        <v>0</v>
      </c>
    </row>
    <row r="1299" spans="1:21">
      <c r="A1299" s="2895" t="str">
        <f>ORG!$S$1</f>
        <v>Apr 23</v>
      </c>
      <c r="B1299" t="str">
        <f>ORG!$M$1</f>
        <v>Public Health Wales Trust</v>
      </c>
      <c r="C1299" t="str">
        <f>'E - Resource Limits'!$A$5</f>
        <v>Table E - Resource Limits</v>
      </c>
      <c r="D1299" s="2898">
        <f t="shared" si="377"/>
        <v>78</v>
      </c>
      <c r="E1299" t="str">
        <f t="shared" si="378"/>
        <v>Anticipated GMS</v>
      </c>
      <c r="F1299" s="2899">
        <f>'E - Resource Limits'!B99</f>
        <v>0</v>
      </c>
      <c r="S1299">
        <f>'E - Resource Limits'!G99</f>
        <v>0</v>
      </c>
      <c r="U1299">
        <f t="shared" si="379"/>
        <v>0</v>
      </c>
    </row>
    <row r="1300" spans="1:21">
      <c r="A1300" s="2895" t="str">
        <f>ORG!$S$1</f>
        <v>Apr 23</v>
      </c>
      <c r="B1300" t="str">
        <f>ORG!$M$1</f>
        <v>Public Health Wales Trust</v>
      </c>
      <c r="C1300" t="str">
        <f>'E - Resource Limits'!$A$5</f>
        <v>Table E - Resource Limits</v>
      </c>
      <c r="D1300" s="2898">
        <f t="shared" si="377"/>
        <v>79</v>
      </c>
      <c r="E1300" t="str">
        <f t="shared" si="378"/>
        <v>Anticipated GMS</v>
      </c>
      <c r="F1300" s="2899">
        <f>'E - Resource Limits'!B100</f>
        <v>0</v>
      </c>
      <c r="S1300">
        <f>'E - Resource Limits'!G100</f>
        <v>0</v>
      </c>
      <c r="U1300">
        <f t="shared" si="379"/>
        <v>0</v>
      </c>
    </row>
    <row r="1301" spans="1:21">
      <c r="A1301" s="2895" t="str">
        <f>ORG!$S$1</f>
        <v>Apr 23</v>
      </c>
      <c r="B1301" t="str">
        <f>ORG!$M$1</f>
        <v>Public Health Wales Trust</v>
      </c>
      <c r="C1301" t="str">
        <f>'E - Resource Limits'!$A$5</f>
        <v>Table E - Resource Limits</v>
      </c>
      <c r="D1301" s="2898">
        <f t="shared" si="377"/>
        <v>80</v>
      </c>
      <c r="E1301" t="str">
        <f t="shared" si="378"/>
        <v>Anticipated GMS</v>
      </c>
      <c r="F1301" s="2899">
        <f>'E - Resource Limits'!B101</f>
        <v>0</v>
      </c>
      <c r="S1301">
        <f>'E - Resource Limits'!G101</f>
        <v>0</v>
      </c>
      <c r="U1301">
        <f t="shared" si="379"/>
        <v>0</v>
      </c>
    </row>
    <row r="1302" spans="1:21">
      <c r="A1302" s="2895" t="str">
        <f>ORG!$S$1</f>
        <v>Apr 23</v>
      </c>
      <c r="B1302" t="str">
        <f>ORG!$M$1</f>
        <v>Public Health Wales Trust</v>
      </c>
      <c r="C1302" t="str">
        <f>'E - Resource Limits'!$A$5</f>
        <v>Table E - Resource Limits</v>
      </c>
      <c r="D1302" s="2898">
        <f t="shared" si="377"/>
        <v>81</v>
      </c>
      <c r="E1302" t="str">
        <f t="shared" si="378"/>
        <v>Anticipated GMS</v>
      </c>
      <c r="F1302" s="2899">
        <f>'E - Resource Limits'!B102</f>
        <v>0</v>
      </c>
      <c r="S1302">
        <f>'E - Resource Limits'!G102</f>
        <v>0</v>
      </c>
      <c r="U1302">
        <f t="shared" si="379"/>
        <v>0</v>
      </c>
    </row>
    <row r="1303" spans="1:21">
      <c r="A1303" s="2895" t="str">
        <f>ORG!$S$1</f>
        <v>Apr 23</v>
      </c>
      <c r="B1303" t="str">
        <f>ORG!$M$1</f>
        <v>Public Health Wales Trust</v>
      </c>
      <c r="C1303" t="str">
        <f>'E - Resource Limits'!$A$5</f>
        <v>Table E - Resource Limits</v>
      </c>
      <c r="D1303" s="2898">
        <f t="shared" si="377"/>
        <v>82</v>
      </c>
      <c r="E1303" t="str">
        <f t="shared" si="378"/>
        <v>Anticipated GMS</v>
      </c>
      <c r="F1303" s="2899">
        <f>'E - Resource Limits'!B103</f>
        <v>0</v>
      </c>
      <c r="S1303">
        <f>'E - Resource Limits'!G103</f>
        <v>0</v>
      </c>
      <c r="U1303">
        <f t="shared" si="379"/>
        <v>0</v>
      </c>
    </row>
    <row r="1304" spans="1:21">
      <c r="A1304" s="2895" t="str">
        <f>ORG!$S$1</f>
        <v>Apr 23</v>
      </c>
      <c r="B1304" t="str">
        <f>ORG!$M$1</f>
        <v>Public Health Wales Trust</v>
      </c>
      <c r="C1304" t="str">
        <f>'E - Resource Limits'!$A$5</f>
        <v>Table E - Resource Limits</v>
      </c>
      <c r="D1304" s="2898">
        <f t="shared" si="377"/>
        <v>83</v>
      </c>
      <c r="E1304" t="str">
        <f t="shared" si="378"/>
        <v>Anticipated GMS</v>
      </c>
      <c r="F1304" s="2899">
        <f>'E - Resource Limits'!B104</f>
        <v>0</v>
      </c>
      <c r="S1304">
        <f>'E - Resource Limits'!G104</f>
        <v>0</v>
      </c>
      <c r="U1304">
        <f t="shared" si="379"/>
        <v>0</v>
      </c>
    </row>
    <row r="1305" spans="1:21">
      <c r="A1305" s="2895" t="str">
        <f>ORG!$S$1</f>
        <v>Apr 23</v>
      </c>
      <c r="B1305" t="str">
        <f>ORG!$M$1</f>
        <v>Public Health Wales Trust</v>
      </c>
      <c r="C1305" t="str">
        <f>'E - Resource Limits'!$A$5</f>
        <v>Table E - Resource Limits</v>
      </c>
      <c r="D1305" s="2898">
        <f t="shared" si="377"/>
        <v>84</v>
      </c>
      <c r="E1305" t="str">
        <f t="shared" si="378"/>
        <v>Anticipated GMS</v>
      </c>
      <c r="F1305" s="2899">
        <f>'E - Resource Limits'!B105</f>
        <v>0</v>
      </c>
      <c r="S1305">
        <f>'E - Resource Limits'!G105</f>
        <v>0</v>
      </c>
      <c r="U1305">
        <f t="shared" si="379"/>
        <v>0</v>
      </c>
    </row>
    <row r="1306" spans="1:21">
      <c r="A1306" s="2895" t="str">
        <f>ORG!$S$1</f>
        <v>Apr 23</v>
      </c>
      <c r="B1306" t="str">
        <f>ORG!$M$1</f>
        <v>Public Health Wales Trust</v>
      </c>
      <c r="C1306" t="str">
        <f>'E - Resource Limits'!$A$5</f>
        <v>Table E - Resource Limits</v>
      </c>
      <c r="D1306" s="2898">
        <f t="shared" si="377"/>
        <v>85</v>
      </c>
      <c r="E1306" t="str">
        <f t="shared" si="378"/>
        <v>Anticipated GMS</v>
      </c>
      <c r="F1306" s="2899">
        <f>'E - Resource Limits'!B106</f>
        <v>0</v>
      </c>
      <c r="S1306">
        <f>'E - Resource Limits'!G106</f>
        <v>0</v>
      </c>
      <c r="U1306">
        <f t="shared" si="379"/>
        <v>0</v>
      </c>
    </row>
    <row r="1307" spans="1:21">
      <c r="A1307" s="2895" t="str">
        <f>ORG!$S$1</f>
        <v>Apr 23</v>
      </c>
      <c r="B1307" t="str">
        <f>ORG!$M$1</f>
        <v>Public Health Wales Trust</v>
      </c>
      <c r="C1307" t="str">
        <f>'E - Resource Limits'!$A$5</f>
        <v>Table E - Resource Limits</v>
      </c>
      <c r="D1307" s="2898">
        <f t="shared" si="377"/>
        <v>86</v>
      </c>
      <c r="E1307" t="str">
        <f t="shared" si="378"/>
        <v>Anticipated GMS</v>
      </c>
      <c r="F1307" s="2899">
        <f>'E - Resource Limits'!B107</f>
        <v>0</v>
      </c>
      <c r="S1307">
        <f>'E - Resource Limits'!G107</f>
        <v>0</v>
      </c>
      <c r="U1307">
        <f t="shared" si="379"/>
        <v>0</v>
      </c>
    </row>
    <row r="1308" spans="1:21">
      <c r="A1308" s="2895" t="str">
        <f>ORG!$S$1</f>
        <v>Apr 23</v>
      </c>
      <c r="B1308" t="str">
        <f>ORG!$M$1</f>
        <v>Public Health Wales Trust</v>
      </c>
      <c r="C1308" t="str">
        <f>'E - Resource Limits'!$A$5</f>
        <v>Table E - Resource Limits</v>
      </c>
      <c r="D1308" s="2898">
        <f t="shared" si="377"/>
        <v>87</v>
      </c>
      <c r="E1308" t="str">
        <f t="shared" si="378"/>
        <v>Anticipated GMS</v>
      </c>
      <c r="F1308" s="2899">
        <f>'E - Resource Limits'!B108</f>
        <v>0</v>
      </c>
      <c r="S1308">
        <f>'E - Resource Limits'!G108</f>
        <v>0</v>
      </c>
      <c r="U1308">
        <f t="shared" si="379"/>
        <v>0</v>
      </c>
    </row>
    <row r="1309" spans="1:21">
      <c r="A1309" s="2895" t="str">
        <f>ORG!$S$1</f>
        <v>Apr 23</v>
      </c>
      <c r="B1309" t="str">
        <f>ORG!$M$1</f>
        <v>Public Health Wales Trust</v>
      </c>
      <c r="C1309" t="str">
        <f>'E - Resource Limits'!$A$5</f>
        <v>Table E - Resource Limits</v>
      </c>
      <c r="D1309" s="2898">
        <f t="shared" si="377"/>
        <v>88</v>
      </c>
      <c r="E1309" t="str">
        <f t="shared" si="378"/>
        <v>Anticipated GMS</v>
      </c>
      <c r="F1309" s="2899">
        <f>'E - Resource Limits'!B109</f>
        <v>0</v>
      </c>
      <c r="S1309">
        <f>'E - Resource Limits'!G109</f>
        <v>0</v>
      </c>
      <c r="U1309">
        <f t="shared" si="379"/>
        <v>0</v>
      </c>
    </row>
    <row r="1310" spans="1:21">
      <c r="A1310" s="2895" t="str">
        <f>ORG!$S$1</f>
        <v>Apr 23</v>
      </c>
      <c r="B1310" t="str">
        <f>ORG!$M$1</f>
        <v>Public Health Wales Trust</v>
      </c>
      <c r="C1310" t="str">
        <f>'E - Resource Limits'!$A$5</f>
        <v>Table E - Resource Limits</v>
      </c>
      <c r="D1310" s="2898">
        <f t="shared" si="377"/>
        <v>89</v>
      </c>
      <c r="E1310" t="str">
        <f t="shared" si="378"/>
        <v>Anticipated GMS</v>
      </c>
      <c r="F1310" s="2899">
        <f>'E - Resource Limits'!B110</f>
        <v>0</v>
      </c>
      <c r="S1310">
        <f>'E - Resource Limits'!G110</f>
        <v>0</v>
      </c>
      <c r="U1310">
        <f t="shared" si="379"/>
        <v>0</v>
      </c>
    </row>
    <row r="1311" spans="1:21">
      <c r="A1311" s="2895" t="str">
        <f>ORG!$S$1</f>
        <v>Apr 23</v>
      </c>
      <c r="B1311" t="str">
        <f>ORG!$M$1</f>
        <v>Public Health Wales Trust</v>
      </c>
      <c r="C1311" t="str">
        <f>'E - Resource Limits'!$A$5</f>
        <v>Table E - Resource Limits</v>
      </c>
      <c r="D1311" s="2898">
        <f t="shared" si="377"/>
        <v>90</v>
      </c>
      <c r="E1311" t="str">
        <f t="shared" si="378"/>
        <v>Anticipated GMS</v>
      </c>
      <c r="F1311" s="2899">
        <f>'E - Resource Limits'!B111</f>
        <v>0</v>
      </c>
      <c r="S1311">
        <f>'E - Resource Limits'!G111</f>
        <v>0</v>
      </c>
      <c r="U1311">
        <f t="shared" si="379"/>
        <v>0</v>
      </c>
    </row>
    <row r="1312" spans="1:21">
      <c r="A1312" s="2895" t="str">
        <f>ORG!$S$1</f>
        <v>Apr 23</v>
      </c>
      <c r="B1312" t="str">
        <f>ORG!$M$1</f>
        <v>Public Health Wales Trust</v>
      </c>
      <c r="C1312" t="str">
        <f>'E - Resource Limits'!$A$5</f>
        <v>Table E - Resource Limits</v>
      </c>
      <c r="D1312" s="2898">
        <f t="shared" si="377"/>
        <v>91</v>
      </c>
      <c r="E1312" t="str">
        <f t="shared" si="378"/>
        <v>Anticipated GMS</v>
      </c>
      <c r="F1312" s="2899">
        <f>'E - Resource Limits'!B112</f>
        <v>0</v>
      </c>
      <c r="S1312">
        <f>'E - Resource Limits'!G112</f>
        <v>0</v>
      </c>
      <c r="U1312">
        <f t="shared" si="379"/>
        <v>0</v>
      </c>
    </row>
    <row r="1313" spans="1:21">
      <c r="A1313" s="2895" t="str">
        <f>ORG!$S$1</f>
        <v>Apr 23</v>
      </c>
      <c r="B1313" t="str">
        <f>ORG!$M$1</f>
        <v>Public Health Wales Trust</v>
      </c>
      <c r="C1313" t="str">
        <f>'E - Resource Limits'!$A$5</f>
        <v>Table E - Resource Limits</v>
      </c>
      <c r="D1313" s="2898">
        <f t="shared" si="377"/>
        <v>92</v>
      </c>
      <c r="E1313" t="str">
        <f t="shared" si="378"/>
        <v>Anticipated GMS</v>
      </c>
      <c r="F1313" s="2899">
        <f>'E - Resource Limits'!B113</f>
        <v>0</v>
      </c>
      <c r="S1313">
        <f>'E - Resource Limits'!G113</f>
        <v>0</v>
      </c>
      <c r="U1313">
        <f t="shared" si="379"/>
        <v>0</v>
      </c>
    </row>
    <row r="1314" spans="1:21">
      <c r="A1314" s="2895" t="str">
        <f>ORG!$S$1</f>
        <v>Apr 23</v>
      </c>
      <c r="B1314" t="str">
        <f>ORG!$M$1</f>
        <v>Public Health Wales Trust</v>
      </c>
      <c r="C1314" t="str">
        <f>'E - Resource Limits'!$A$5</f>
        <v>Table E - Resource Limits</v>
      </c>
      <c r="D1314" s="2898">
        <f t="shared" si="377"/>
        <v>93</v>
      </c>
      <c r="E1314" t="str">
        <f t="shared" si="378"/>
        <v>Anticipated GMS</v>
      </c>
      <c r="F1314" s="2899">
        <f>'E - Resource Limits'!B114</f>
        <v>0</v>
      </c>
      <c r="S1314">
        <f>'E - Resource Limits'!G114</f>
        <v>0</v>
      </c>
      <c r="U1314">
        <f t="shared" si="379"/>
        <v>0</v>
      </c>
    </row>
    <row r="1315" spans="1:21">
      <c r="A1315" s="2895" t="str">
        <f>ORG!$S$1</f>
        <v>Apr 23</v>
      </c>
      <c r="B1315" t="str">
        <f>ORG!$M$1</f>
        <v>Public Health Wales Trust</v>
      </c>
      <c r="C1315" t="str">
        <f>'E - Resource Limits'!$A$5</f>
        <v>Table E - Resource Limits</v>
      </c>
      <c r="D1315" s="2898">
        <f t="shared" si="377"/>
        <v>94</v>
      </c>
      <c r="E1315" t="str">
        <f t="shared" si="378"/>
        <v>Anticipated GMS</v>
      </c>
      <c r="F1315" s="2899">
        <f>'E - Resource Limits'!B115</f>
        <v>0</v>
      </c>
      <c r="S1315">
        <f>'E - Resource Limits'!G115</f>
        <v>0</v>
      </c>
      <c r="U1315">
        <f t="shared" si="379"/>
        <v>0</v>
      </c>
    </row>
    <row r="1316" spans="1:21">
      <c r="A1316" s="2895" t="str">
        <f>ORG!$S$1</f>
        <v>Apr 23</v>
      </c>
      <c r="B1316" t="str">
        <f>ORG!$M$1</f>
        <v>Public Health Wales Trust</v>
      </c>
      <c r="C1316" t="str">
        <f>'E - Resource Limits'!$A$5</f>
        <v>Table E - Resource Limits</v>
      </c>
      <c r="D1316" s="2898">
        <f t="shared" si="377"/>
        <v>95</v>
      </c>
      <c r="E1316" t="str">
        <f t="shared" si="378"/>
        <v>Anticipated GMS</v>
      </c>
      <c r="F1316" s="2899">
        <f>'E - Resource Limits'!B116</f>
        <v>0</v>
      </c>
      <c r="S1316">
        <f>'E - Resource Limits'!G116</f>
        <v>0</v>
      </c>
      <c r="U1316">
        <f t="shared" si="379"/>
        <v>0</v>
      </c>
    </row>
    <row r="1317" spans="1:21">
      <c r="A1317" s="2895" t="str">
        <f>ORG!$S$1</f>
        <v>Apr 23</v>
      </c>
      <c r="B1317" t="str">
        <f>ORG!$M$1</f>
        <v>Public Health Wales Trust</v>
      </c>
      <c r="C1317" t="str">
        <f>'E - Resource Limits'!$A$5</f>
        <v>Table E - Resource Limits</v>
      </c>
      <c r="D1317" s="2898">
        <f t="shared" si="377"/>
        <v>96</v>
      </c>
      <c r="E1317" t="str">
        <f t="shared" si="378"/>
        <v>Anticipated GMS</v>
      </c>
      <c r="F1317" s="2899">
        <f>'E - Resource Limits'!B117</f>
        <v>0</v>
      </c>
      <c r="S1317">
        <f>'E - Resource Limits'!G117</f>
        <v>0</v>
      </c>
      <c r="U1317">
        <f t="shared" si="379"/>
        <v>0</v>
      </c>
    </row>
    <row r="1318" spans="1:21">
      <c r="A1318" s="2895" t="str">
        <f>ORG!$S$1</f>
        <v>Apr 23</v>
      </c>
      <c r="B1318" t="str">
        <f>ORG!$M$1</f>
        <v>Public Health Wales Trust</v>
      </c>
      <c r="C1318" t="str">
        <f>'E - Resource Limits'!$A$5</f>
        <v>Table E - Resource Limits</v>
      </c>
      <c r="D1318" s="2898">
        <f t="shared" si="377"/>
        <v>97</v>
      </c>
      <c r="E1318" t="str">
        <f t="shared" si="378"/>
        <v>Anticipated GMS</v>
      </c>
      <c r="F1318" s="2899" t="str">
        <f>'E - Resource Limits'!B118</f>
        <v>Total Funding</v>
      </c>
      <c r="S1318">
        <f>'E - Resource Limits'!G118</f>
        <v>0</v>
      </c>
      <c r="U1318">
        <f t="shared" ref="U1318" si="380">S1318+T1318</f>
        <v>0</v>
      </c>
    </row>
    <row r="1319" spans="1:21">
      <c r="A1319" s="2895" t="str">
        <f>ORG!$S$1</f>
        <v>Apr 23</v>
      </c>
      <c r="B1319" t="str">
        <f>ORG!$M$1</f>
        <v>Public Health Wales Trust</v>
      </c>
      <c r="C1319" t="str">
        <f>'E1 - Invoiced Income'!$A$7</f>
        <v>Table E1 -  Invoiced Income Streams - TRUSTS ONLY</v>
      </c>
      <c r="D1319" s="2898">
        <f>'E1 - Invoiced Income'!A10</f>
        <v>1</v>
      </c>
      <c r="E1319" t="str">
        <f>'E1 - Invoiced Income'!B10</f>
        <v>Agreed full year income</v>
      </c>
      <c r="S1319">
        <f>'E1 - Invoiced Income'!T10</f>
        <v>0</v>
      </c>
      <c r="U1319">
        <f t="shared" si="32"/>
        <v>0</v>
      </c>
    </row>
    <row r="1320" spans="1:21">
      <c r="A1320" s="2895" t="str">
        <f>ORG!$S$1</f>
        <v>Apr 23</v>
      </c>
      <c r="B1320" t="str">
        <f>ORG!$M$1</f>
        <v>Public Health Wales Trust</v>
      </c>
      <c r="C1320" t="str">
        <f>'E1 - Invoiced Income'!$A$7</f>
        <v>Table E1 -  Invoiced Income Streams - TRUSTS ONLY</v>
      </c>
      <c r="D1320" s="2898">
        <f>'E1 - Invoiced Income'!A13</f>
        <v>2</v>
      </c>
      <c r="E1320" s="2897" t="str">
        <f>'E1 - Invoiced Income'!B13</f>
        <v>DEL Non Cash Depreciation - Baseline Surplus / Shortfall</v>
      </c>
      <c r="S1320">
        <f>'E1 - Invoiced Income'!T13</f>
        <v>0</v>
      </c>
      <c r="U1320">
        <f t="shared" si="32"/>
        <v>0</v>
      </c>
    </row>
    <row r="1321" spans="1:21">
      <c r="A1321" s="2895" t="str">
        <f>ORG!$S$1</f>
        <v>Apr 23</v>
      </c>
      <c r="B1321" t="str">
        <f>ORG!$M$1</f>
        <v>Public Health Wales Trust</v>
      </c>
      <c r="C1321" t="str">
        <f>'E1 - Invoiced Income'!$A$7</f>
        <v>Table E1 -  Invoiced Income Streams - TRUSTS ONLY</v>
      </c>
      <c r="D1321" s="2898">
        <f>'E1 - Invoiced Income'!A14</f>
        <v>3</v>
      </c>
      <c r="E1321" s="2897" t="str">
        <f>'E1 - Invoiced Income'!B14</f>
        <v>DEL Non Cash Depreciation - Strategic</v>
      </c>
      <c r="S1321">
        <f>'E1 - Invoiced Income'!T14</f>
        <v>0</v>
      </c>
      <c r="U1321">
        <f t="shared" si="32"/>
        <v>0</v>
      </c>
    </row>
    <row r="1322" spans="1:21">
      <c r="A1322" s="2895" t="str">
        <f>ORG!$S$1</f>
        <v>Apr 23</v>
      </c>
      <c r="B1322" t="str">
        <f>ORG!$M$1</f>
        <v>Public Health Wales Trust</v>
      </c>
      <c r="C1322" t="str">
        <f>'E1 - Invoiced Income'!$A$7</f>
        <v>Table E1 -  Invoiced Income Streams - TRUSTS ONLY</v>
      </c>
      <c r="D1322" s="2898">
        <f>'E1 - Invoiced Income'!A15</f>
        <v>4</v>
      </c>
      <c r="E1322" s="2897" t="str">
        <f>'E1 - Invoiced Income'!B15</f>
        <v>DEL Non Cash Depreciation - Accelerated</v>
      </c>
      <c r="S1322">
        <f>'E1 - Invoiced Income'!T15</f>
        <v>0</v>
      </c>
      <c r="U1322">
        <f t="shared" si="32"/>
        <v>0</v>
      </c>
    </row>
    <row r="1323" spans="1:21">
      <c r="A1323" s="2895" t="str">
        <f>ORG!$S$1</f>
        <v>Apr 23</v>
      </c>
      <c r="B1323" t="str">
        <f>ORG!$M$1</f>
        <v>Public Health Wales Trust</v>
      </c>
      <c r="C1323" t="str">
        <f>'E1 - Invoiced Income'!$A$7</f>
        <v>Table E1 -  Invoiced Income Streams - TRUSTS ONLY</v>
      </c>
      <c r="D1323" s="2898">
        <f>'E1 - Invoiced Income'!A16</f>
        <v>5</v>
      </c>
      <c r="E1323" s="2897" t="str">
        <f>'E1 - Invoiced Income'!B16</f>
        <v>DEL Non Cash Depreciation - Impairment</v>
      </c>
      <c r="S1323">
        <f>'E1 - Invoiced Income'!T16</f>
        <v>0</v>
      </c>
      <c r="U1323">
        <f t="shared" si="32"/>
        <v>0</v>
      </c>
    </row>
    <row r="1324" spans="1:21">
      <c r="A1324" s="2895" t="str">
        <f>ORG!$S$1</f>
        <v>Apr 23</v>
      </c>
      <c r="B1324" t="str">
        <f>ORG!$M$1</f>
        <v>Public Health Wales Trust</v>
      </c>
      <c r="C1324" t="str">
        <f>'E1 - Invoiced Income'!$A$7</f>
        <v>Table E1 -  Invoiced Income Streams - TRUSTS ONLY</v>
      </c>
      <c r="D1324" s="2898">
        <f>'E1 - Invoiced Income'!A19</f>
        <v>8</v>
      </c>
      <c r="E1324" s="2897" t="str">
        <f>'E1 - Invoiced Income'!B19</f>
        <v>AME Non Cash Depreciation - Donated Assets</v>
      </c>
      <c r="S1324">
        <f>'E1 - Invoiced Income'!T19</f>
        <v>0</v>
      </c>
      <c r="U1324">
        <f t="shared" si="32"/>
        <v>0</v>
      </c>
    </row>
    <row r="1325" spans="1:21">
      <c r="A1325" s="2895" t="str">
        <f>ORG!$S$1</f>
        <v>Apr 23</v>
      </c>
      <c r="B1325" t="str">
        <f>ORG!$M$1</f>
        <v>Public Health Wales Trust</v>
      </c>
      <c r="C1325" t="str">
        <f>'E1 - Invoiced Income'!$A$7</f>
        <v>Table E1 -  Invoiced Income Streams - TRUSTS ONLY</v>
      </c>
      <c r="D1325" s="2898">
        <f>'E1 - Invoiced Income'!A20</f>
        <v>9</v>
      </c>
      <c r="E1325" s="2897" t="str">
        <f>'E1 - Invoiced Income'!B20</f>
        <v>AME Non Cash Depreciation - Impairment</v>
      </c>
      <c r="S1325">
        <f>'E1 - Invoiced Income'!T20</f>
        <v>0</v>
      </c>
      <c r="U1325">
        <f t="shared" si="32"/>
        <v>0</v>
      </c>
    </row>
    <row r="1326" spans="1:21">
      <c r="A1326" s="2895" t="str">
        <f>ORG!$S$1</f>
        <v>Apr 23</v>
      </c>
      <c r="B1326" t="str">
        <f>ORG!$M$1</f>
        <v>Public Health Wales Trust</v>
      </c>
      <c r="C1326" t="str">
        <f>'E1 - Invoiced Income'!$A$7</f>
        <v>Table E1 -  Invoiced Income Streams - TRUSTS ONLY</v>
      </c>
      <c r="D1326" s="2898">
        <f>'E1 - Invoiced Income'!A21</f>
        <v>10</v>
      </c>
      <c r="E1326" s="2897" t="str">
        <f>'E1 - Invoiced Income'!B21</f>
        <v>AME Non Cash Depreciation - Impairment Reversals</v>
      </c>
      <c r="S1326">
        <f>'E1 - Invoiced Income'!T21</f>
        <v>0</v>
      </c>
      <c r="U1326">
        <f t="shared" si="32"/>
        <v>0</v>
      </c>
    </row>
    <row r="1327" spans="1:21">
      <c r="A1327" s="2895" t="str">
        <f>ORG!$S$1</f>
        <v>Apr 23</v>
      </c>
      <c r="B1327" t="str">
        <f>ORG!$M$1</f>
        <v>Public Health Wales Trust</v>
      </c>
      <c r="C1327" t="str">
        <f>'E1 - Invoiced Income'!$A$7</f>
        <v>Table E1 -  Invoiced Income Streams - TRUSTS ONLY</v>
      </c>
      <c r="D1327" s="2898">
        <f>'E1 - Invoiced Income'!A22</f>
        <v>11</v>
      </c>
      <c r="E1327" s="2897" t="str">
        <f>'E1 - Invoiced Income'!B22</f>
        <v>Total COVID-19 (see below analysis)</v>
      </c>
      <c r="S1327">
        <f>'E1 - Invoiced Income'!T22</f>
        <v>16930</v>
      </c>
      <c r="U1327">
        <f t="shared" si="32"/>
        <v>16930</v>
      </c>
    </row>
    <row r="1328" spans="1:21">
      <c r="A1328" s="2895" t="str">
        <f>ORG!$S$1</f>
        <v>Apr 23</v>
      </c>
      <c r="B1328" t="str">
        <f>ORG!$M$1</f>
        <v>Public Health Wales Trust</v>
      </c>
      <c r="C1328" t="str">
        <f>'E1 - Invoiced Income'!$A$7</f>
        <v>Table E1 -  Invoiced Income Streams - TRUSTS ONLY</v>
      </c>
      <c r="D1328" s="2898">
        <f>'E1 - Invoiced Income'!A23</f>
        <v>12</v>
      </c>
      <c r="E1328" s="2897" t="str">
        <f>'E1 - Invoiced Income'!B23</f>
        <v>Removal of IFRS-16 Leases (Revenue)</v>
      </c>
      <c r="S1328">
        <f>'E1 - Invoiced Income'!T23</f>
        <v>0</v>
      </c>
      <c r="U1328">
        <f t="shared" si="32"/>
        <v>0</v>
      </c>
    </row>
    <row r="1329" spans="1:21">
      <c r="A1329" s="2895" t="str">
        <f>ORG!$S$1</f>
        <v>Apr 23</v>
      </c>
      <c r="B1329" t="str">
        <f>ORG!$M$1</f>
        <v>Public Health Wales Trust</v>
      </c>
      <c r="C1329" t="str">
        <f>'E1 - Invoiced Income'!$A$7</f>
        <v>Table E1 -  Invoiced Income Streams - TRUSTS ONLY</v>
      </c>
      <c r="D1329" s="2898">
        <f>'E1 - Invoiced Income'!A24</f>
        <v>13</v>
      </c>
      <c r="E1329" s="2897" t="str">
        <f>'E1 - Invoiced Income'!B24</f>
        <v>Real Living Wage (Care Homes)</v>
      </c>
      <c r="S1329">
        <f>'E1 - Invoiced Income'!T24</f>
        <v>0</v>
      </c>
      <c r="U1329">
        <f t="shared" si="32"/>
        <v>0</v>
      </c>
    </row>
    <row r="1330" spans="1:21">
      <c r="A1330" s="2895" t="str">
        <f>ORG!$S$1</f>
        <v>Apr 23</v>
      </c>
      <c r="B1330" t="str">
        <f>ORG!$M$1</f>
        <v>Public Health Wales Trust</v>
      </c>
      <c r="C1330" t="str">
        <f>'E1 - Invoiced Income'!$A$7</f>
        <v>Table E1 -  Invoiced Income Streams - TRUSTS ONLY</v>
      </c>
      <c r="D1330" s="2898">
        <f>'E1 - Invoiced Income'!A25</f>
        <v>14</v>
      </c>
      <c r="E1330" s="2897">
        <f>'E1 - Invoiced Income'!B25</f>
        <v>0</v>
      </c>
      <c r="S1330">
        <f>'E1 - Invoiced Income'!T25</f>
        <v>0</v>
      </c>
      <c r="U1330">
        <f t="shared" si="32"/>
        <v>0</v>
      </c>
    </row>
    <row r="1331" spans="1:21">
      <c r="A1331" s="2895" t="str">
        <f>ORG!$S$1</f>
        <v>Apr 23</v>
      </c>
      <c r="B1331" t="str">
        <f>ORG!$M$1</f>
        <v>Public Health Wales Trust</v>
      </c>
      <c r="C1331" t="str">
        <f>'E1 - Invoiced Income'!$A$7</f>
        <v>Table E1 -  Invoiced Income Streams - TRUSTS ONLY</v>
      </c>
      <c r="D1331" s="2898">
        <f>'E1 - Invoiced Income'!A26</f>
        <v>15</v>
      </c>
      <c r="E1331" s="2897">
        <f>'E1 - Invoiced Income'!B26</f>
        <v>0</v>
      </c>
      <c r="S1331">
        <f>'E1 - Invoiced Income'!T26</f>
        <v>0</v>
      </c>
      <c r="U1331">
        <f t="shared" si="32"/>
        <v>0</v>
      </c>
    </row>
    <row r="1332" spans="1:21">
      <c r="A1332" s="2895" t="str">
        <f>ORG!$S$1</f>
        <v>Apr 23</v>
      </c>
      <c r="B1332" t="str">
        <f>ORG!$M$1</f>
        <v>Public Health Wales Trust</v>
      </c>
      <c r="C1332" t="str">
        <f>'E1 - Invoiced Income'!$A$7</f>
        <v>Table E1 -  Invoiced Income Streams - TRUSTS ONLY</v>
      </c>
      <c r="D1332" s="2898">
        <f>'E1 - Invoiced Income'!A27</f>
        <v>16</v>
      </c>
      <c r="E1332" s="2897">
        <f>'E1 - Invoiced Income'!B27</f>
        <v>0</v>
      </c>
      <c r="S1332">
        <f>'E1 - Invoiced Income'!T27</f>
        <v>0</v>
      </c>
      <c r="U1332">
        <f t="shared" si="32"/>
        <v>0</v>
      </c>
    </row>
    <row r="1333" spans="1:21">
      <c r="A1333" s="2895" t="str">
        <f>ORG!$S$1</f>
        <v>Apr 23</v>
      </c>
      <c r="B1333" t="str">
        <f>ORG!$M$1</f>
        <v>Public Health Wales Trust</v>
      </c>
      <c r="C1333" t="str">
        <f>'E1 - Invoiced Income'!$A$7</f>
        <v>Table E1 -  Invoiced Income Streams - TRUSTS ONLY</v>
      </c>
      <c r="D1333" s="2898">
        <f>'E1 - Invoiced Income'!A28</f>
        <v>17</v>
      </c>
      <c r="E1333" s="2897">
        <f>'E1 - Invoiced Income'!B28</f>
        <v>0</v>
      </c>
      <c r="S1333">
        <f>'E1 - Invoiced Income'!T28</f>
        <v>0</v>
      </c>
      <c r="U1333">
        <f t="shared" si="32"/>
        <v>0</v>
      </c>
    </row>
    <row r="1334" spans="1:21">
      <c r="A1334" s="2895" t="str">
        <f>ORG!$S$1</f>
        <v>Apr 23</v>
      </c>
      <c r="B1334" t="str">
        <f>ORG!$M$1</f>
        <v>Public Health Wales Trust</v>
      </c>
      <c r="C1334" t="str">
        <f>'E1 - Invoiced Income'!$A$7</f>
        <v>Table E1 -  Invoiced Income Streams - TRUSTS ONLY</v>
      </c>
      <c r="D1334" s="2898">
        <f>'E1 - Invoiced Income'!A29</f>
        <v>18</v>
      </c>
      <c r="E1334" s="2897">
        <f>'E1 - Invoiced Income'!B29</f>
        <v>0</v>
      </c>
      <c r="S1334">
        <f>'E1 - Invoiced Income'!T29</f>
        <v>0</v>
      </c>
      <c r="U1334">
        <f t="shared" si="32"/>
        <v>0</v>
      </c>
    </row>
    <row r="1335" spans="1:21">
      <c r="A1335" s="2895" t="str">
        <f>ORG!$S$1</f>
        <v>Apr 23</v>
      </c>
      <c r="B1335" t="str">
        <f>ORG!$M$1</f>
        <v>Public Health Wales Trust</v>
      </c>
      <c r="C1335" t="str">
        <f>'E1 - Invoiced Income'!$A$7</f>
        <v>Table E1 -  Invoiced Income Streams - TRUSTS ONLY</v>
      </c>
      <c r="D1335" s="2898">
        <f>'E1 - Invoiced Income'!A30</f>
        <v>19</v>
      </c>
      <c r="E1335" s="2897">
        <f>'E1 - Invoiced Income'!B30</f>
        <v>0</v>
      </c>
      <c r="S1335">
        <f>'E1 - Invoiced Income'!T30</f>
        <v>0</v>
      </c>
      <c r="U1335">
        <f t="shared" si="32"/>
        <v>0</v>
      </c>
    </row>
    <row r="1336" spans="1:21">
      <c r="A1336" s="2895" t="str">
        <f>ORG!$S$1</f>
        <v>Apr 23</v>
      </c>
      <c r="B1336" t="str">
        <f>ORG!$M$1</f>
        <v>Public Health Wales Trust</v>
      </c>
      <c r="C1336" t="str">
        <f>'E1 - Invoiced Income'!$A$7</f>
        <v>Table E1 -  Invoiced Income Streams - TRUSTS ONLY</v>
      </c>
      <c r="D1336" s="2898">
        <f>'E1 - Invoiced Income'!A31</f>
        <v>20</v>
      </c>
      <c r="E1336" s="2897">
        <f>'E1 - Invoiced Income'!B31</f>
        <v>0</v>
      </c>
      <c r="S1336">
        <f>'E1 - Invoiced Income'!T31</f>
        <v>0</v>
      </c>
      <c r="U1336">
        <f t="shared" si="32"/>
        <v>0</v>
      </c>
    </row>
    <row r="1337" spans="1:21">
      <c r="A1337" s="2895" t="str">
        <f>ORG!$S$1</f>
        <v>Apr 23</v>
      </c>
      <c r="B1337" t="str">
        <f>ORG!$M$1</f>
        <v>Public Health Wales Trust</v>
      </c>
      <c r="C1337" t="str">
        <f>'E1 - Invoiced Income'!$A$7</f>
        <v>Table E1 -  Invoiced Income Streams - TRUSTS ONLY</v>
      </c>
      <c r="D1337" s="2898">
        <f>'E1 - Invoiced Income'!A32</f>
        <v>21</v>
      </c>
      <c r="E1337" s="2897">
        <f>'E1 - Invoiced Income'!B32</f>
        <v>0</v>
      </c>
      <c r="S1337">
        <f>'E1 - Invoiced Income'!T32</f>
        <v>0</v>
      </c>
      <c r="U1337">
        <f t="shared" si="32"/>
        <v>0</v>
      </c>
    </row>
    <row r="1338" spans="1:21">
      <c r="A1338" s="2895" t="str">
        <f>ORG!$S$1</f>
        <v>Apr 23</v>
      </c>
      <c r="B1338" t="str">
        <f>ORG!$M$1</f>
        <v>Public Health Wales Trust</v>
      </c>
      <c r="C1338" t="str">
        <f>'E1 - Invoiced Income'!$A$7</f>
        <v>Table E1 -  Invoiced Income Streams - TRUSTS ONLY</v>
      </c>
      <c r="D1338" s="2898">
        <f>'E1 - Invoiced Income'!A33</f>
        <v>22</v>
      </c>
      <c r="E1338" s="2897">
        <f>'E1 - Invoiced Income'!B33</f>
        <v>0</v>
      </c>
      <c r="S1338">
        <f>'E1 - Invoiced Income'!T33</f>
        <v>0</v>
      </c>
      <c r="U1338">
        <f t="shared" si="32"/>
        <v>0</v>
      </c>
    </row>
    <row r="1339" spans="1:21">
      <c r="A1339" s="2895" t="str">
        <f>ORG!$S$1</f>
        <v>Apr 23</v>
      </c>
      <c r="B1339" t="str">
        <f>ORG!$M$1</f>
        <v>Public Health Wales Trust</v>
      </c>
      <c r="C1339" t="str">
        <f>'E1 - Invoiced Income'!$A$7</f>
        <v>Table E1 -  Invoiced Income Streams - TRUSTS ONLY</v>
      </c>
      <c r="D1339" s="2898">
        <f>'E1 - Invoiced Income'!A34</f>
        <v>23</v>
      </c>
      <c r="E1339" s="2897">
        <f>'E1 - Invoiced Income'!B34</f>
        <v>0</v>
      </c>
      <c r="S1339">
        <f>'E1 - Invoiced Income'!T34</f>
        <v>0</v>
      </c>
      <c r="U1339">
        <f t="shared" si="32"/>
        <v>0</v>
      </c>
    </row>
    <row r="1340" spans="1:21">
      <c r="A1340" s="2895" t="str">
        <f>ORG!$S$1</f>
        <v>Apr 23</v>
      </c>
      <c r="B1340" t="str">
        <f>ORG!$M$1</f>
        <v>Public Health Wales Trust</v>
      </c>
      <c r="C1340" t="str">
        <f>'E1 - Invoiced Income'!$A$7</f>
        <v>Table E1 -  Invoiced Income Streams - TRUSTS ONLY</v>
      </c>
      <c r="D1340" s="2898">
        <f>'E1 - Invoiced Income'!A35</f>
        <v>24</v>
      </c>
      <c r="E1340" s="2897">
        <f>'E1 - Invoiced Income'!B35</f>
        <v>0</v>
      </c>
      <c r="S1340">
        <f>'E1 - Invoiced Income'!T35</f>
        <v>0</v>
      </c>
      <c r="U1340">
        <f t="shared" si="32"/>
        <v>0</v>
      </c>
    </row>
    <row r="1341" spans="1:21">
      <c r="A1341" s="2895" t="str">
        <f>ORG!$S$1</f>
        <v>Apr 23</v>
      </c>
      <c r="B1341" t="str">
        <f>ORG!$M$1</f>
        <v>Public Health Wales Trust</v>
      </c>
      <c r="C1341" t="str">
        <f>'E1 - Invoiced Income'!$A$7</f>
        <v>Table E1 -  Invoiced Income Streams - TRUSTS ONLY</v>
      </c>
      <c r="D1341" s="2898">
        <f>'E1 - Invoiced Income'!A36</f>
        <v>25</v>
      </c>
      <c r="E1341" s="2897">
        <f>'E1 - Invoiced Income'!B36</f>
        <v>0</v>
      </c>
      <c r="S1341">
        <f>'E1 - Invoiced Income'!T36</f>
        <v>0</v>
      </c>
      <c r="U1341">
        <f t="shared" si="32"/>
        <v>0</v>
      </c>
    </row>
    <row r="1342" spans="1:21">
      <c r="A1342" s="2895" t="str">
        <f>ORG!$S$1</f>
        <v>Apr 23</v>
      </c>
      <c r="B1342" t="str">
        <f>ORG!$M$1</f>
        <v>Public Health Wales Trust</v>
      </c>
      <c r="C1342" t="str">
        <f>'E1 - Invoiced Income'!$A$7</f>
        <v>Table E1 -  Invoiced Income Streams - TRUSTS ONLY</v>
      </c>
      <c r="D1342" s="2898">
        <f>'E1 - Invoiced Income'!A37</f>
        <v>26</v>
      </c>
      <c r="E1342" s="2897">
        <f>'E1 - Invoiced Income'!B37</f>
        <v>0</v>
      </c>
      <c r="S1342">
        <f>'E1 - Invoiced Income'!T37</f>
        <v>0</v>
      </c>
      <c r="U1342">
        <f t="shared" si="32"/>
        <v>0</v>
      </c>
    </row>
    <row r="1343" spans="1:21">
      <c r="A1343" s="2895" t="str">
        <f>ORG!$S$1</f>
        <v>Apr 23</v>
      </c>
      <c r="B1343" t="str">
        <f>ORG!$M$1</f>
        <v>Public Health Wales Trust</v>
      </c>
      <c r="C1343" t="str">
        <f>'E1 - Invoiced Income'!$A$7</f>
        <v>Table E1 -  Invoiced Income Streams - TRUSTS ONLY</v>
      </c>
      <c r="D1343" s="2898">
        <f>'E1 - Invoiced Income'!A38</f>
        <v>27</v>
      </c>
      <c r="E1343" s="2897">
        <f>'E1 - Invoiced Income'!B38</f>
        <v>0</v>
      </c>
      <c r="S1343">
        <f>'E1 - Invoiced Income'!T38</f>
        <v>0</v>
      </c>
      <c r="U1343">
        <f t="shared" si="32"/>
        <v>0</v>
      </c>
    </row>
    <row r="1344" spans="1:21">
      <c r="A1344" s="2895" t="str">
        <f>ORG!$S$1</f>
        <v>Apr 23</v>
      </c>
      <c r="B1344" t="str">
        <f>ORG!$M$1</f>
        <v>Public Health Wales Trust</v>
      </c>
      <c r="C1344" t="str">
        <f>'E1 - Invoiced Income'!$A$7</f>
        <v>Table E1 -  Invoiced Income Streams - TRUSTS ONLY</v>
      </c>
      <c r="D1344" s="2898">
        <f>'E1 - Invoiced Income'!A39</f>
        <v>28</v>
      </c>
      <c r="E1344" s="2897">
        <f>'E1 - Invoiced Income'!B39</f>
        <v>0</v>
      </c>
      <c r="S1344">
        <f>'E1 - Invoiced Income'!T39</f>
        <v>0</v>
      </c>
      <c r="U1344">
        <f t="shared" si="32"/>
        <v>0</v>
      </c>
    </row>
    <row r="1345" spans="1:21">
      <c r="A1345" s="2895" t="str">
        <f>ORG!$S$1</f>
        <v>Apr 23</v>
      </c>
      <c r="B1345" t="str">
        <f>ORG!$M$1</f>
        <v>Public Health Wales Trust</v>
      </c>
      <c r="C1345" t="str">
        <f>'E1 - Invoiced Income'!$A$7</f>
        <v>Table E1 -  Invoiced Income Streams - TRUSTS ONLY</v>
      </c>
      <c r="D1345" s="2898">
        <f>'E1 - Invoiced Income'!A40</f>
        <v>29</v>
      </c>
      <c r="E1345" s="2897">
        <f>'E1 - Invoiced Income'!B40</f>
        <v>0</v>
      </c>
      <c r="S1345">
        <f>'E1 - Invoiced Income'!T40</f>
        <v>0</v>
      </c>
      <c r="U1345">
        <f t="shared" si="32"/>
        <v>0</v>
      </c>
    </row>
    <row r="1346" spans="1:21">
      <c r="A1346" s="2895" t="str">
        <f>ORG!$S$1</f>
        <v>Apr 23</v>
      </c>
      <c r="B1346" t="str">
        <f>ORG!$M$1</f>
        <v>Public Health Wales Trust</v>
      </c>
      <c r="C1346" t="str">
        <f>'E1 - Invoiced Income'!$A$7</f>
        <v>Table E1 -  Invoiced Income Streams - TRUSTS ONLY</v>
      </c>
      <c r="D1346" s="2898">
        <f>'E1 - Invoiced Income'!A41</f>
        <v>30</v>
      </c>
      <c r="E1346" s="2897">
        <f>'E1 - Invoiced Income'!B41</f>
        <v>0</v>
      </c>
      <c r="S1346">
        <f>'E1 - Invoiced Income'!T41</f>
        <v>0</v>
      </c>
      <c r="U1346">
        <f t="shared" si="32"/>
        <v>0</v>
      </c>
    </row>
    <row r="1347" spans="1:21">
      <c r="A1347" s="2895" t="str">
        <f>ORG!$S$1</f>
        <v>Apr 23</v>
      </c>
      <c r="B1347" t="str">
        <f>ORG!$M$1</f>
        <v>Public Health Wales Trust</v>
      </c>
      <c r="C1347" t="str">
        <f>'E1 - Invoiced Income'!$A$7</f>
        <v>Table E1 -  Invoiced Income Streams - TRUSTS ONLY</v>
      </c>
      <c r="D1347" s="2898">
        <f>'E1 - Invoiced Income'!A42</f>
        <v>31</v>
      </c>
      <c r="E1347" s="2897">
        <f>'E1 - Invoiced Income'!B42</f>
        <v>0</v>
      </c>
      <c r="S1347">
        <f>'E1 - Invoiced Income'!T42</f>
        <v>0</v>
      </c>
      <c r="U1347">
        <f t="shared" si="32"/>
        <v>0</v>
      </c>
    </row>
    <row r="1348" spans="1:21">
      <c r="A1348" s="2895" t="str">
        <f>ORG!$S$1</f>
        <v>Apr 23</v>
      </c>
      <c r="B1348" t="str">
        <f>ORG!$M$1</f>
        <v>Public Health Wales Trust</v>
      </c>
      <c r="C1348" t="str">
        <f>'E1 - Invoiced Income'!$A$7</f>
        <v>Table E1 -  Invoiced Income Streams - TRUSTS ONLY</v>
      </c>
      <c r="D1348" s="2898">
        <f>'E1 - Invoiced Income'!A43</f>
        <v>32</v>
      </c>
      <c r="E1348" s="2897">
        <f>'E1 - Invoiced Income'!B43</f>
        <v>0</v>
      </c>
      <c r="S1348">
        <f>'E1 - Invoiced Income'!T43</f>
        <v>0</v>
      </c>
      <c r="U1348">
        <f t="shared" si="32"/>
        <v>0</v>
      </c>
    </row>
    <row r="1349" spans="1:21">
      <c r="A1349" s="2895" t="str">
        <f>ORG!$S$1</f>
        <v>Apr 23</v>
      </c>
      <c r="B1349" t="str">
        <f>ORG!$M$1</f>
        <v>Public Health Wales Trust</v>
      </c>
      <c r="C1349" t="str">
        <f>'E1 - Invoiced Income'!$A$7</f>
        <v>Table E1 -  Invoiced Income Streams - TRUSTS ONLY</v>
      </c>
      <c r="D1349" s="2898">
        <f>'E1 - Invoiced Income'!A44</f>
        <v>33</v>
      </c>
      <c r="E1349" s="2897">
        <f>'E1 - Invoiced Income'!B44</f>
        <v>0</v>
      </c>
      <c r="S1349">
        <f>'E1 - Invoiced Income'!T44</f>
        <v>0</v>
      </c>
      <c r="U1349">
        <f t="shared" si="32"/>
        <v>0</v>
      </c>
    </row>
    <row r="1350" spans="1:21">
      <c r="A1350" s="2895" t="str">
        <f>ORG!$S$1</f>
        <v>Apr 23</v>
      </c>
      <c r="B1350" t="str">
        <f>ORG!$M$1</f>
        <v>Public Health Wales Trust</v>
      </c>
      <c r="C1350" t="str">
        <f>'E1 - Invoiced Income'!$A$7</f>
        <v>Table E1 -  Invoiced Income Streams - TRUSTS ONLY</v>
      </c>
      <c r="D1350" s="2898">
        <f>'E1 - Invoiced Income'!A45</f>
        <v>34</v>
      </c>
      <c r="E1350" s="2897">
        <f>'E1 - Invoiced Income'!B45</f>
        <v>0</v>
      </c>
      <c r="S1350">
        <f>'E1 - Invoiced Income'!T45</f>
        <v>0</v>
      </c>
      <c r="U1350">
        <f t="shared" si="32"/>
        <v>0</v>
      </c>
    </row>
    <row r="1351" spans="1:21">
      <c r="A1351" s="2895" t="str">
        <f>ORG!$S$1</f>
        <v>Apr 23</v>
      </c>
      <c r="B1351" t="str">
        <f>ORG!$M$1</f>
        <v>Public Health Wales Trust</v>
      </c>
      <c r="C1351" t="str">
        <f>'E1 - Invoiced Income'!$A$7</f>
        <v>Table E1 -  Invoiced Income Streams - TRUSTS ONLY</v>
      </c>
      <c r="D1351" s="2898">
        <f>'E1 - Invoiced Income'!A46</f>
        <v>35</v>
      </c>
      <c r="E1351" s="2897">
        <f>'E1 - Invoiced Income'!B46</f>
        <v>0</v>
      </c>
      <c r="S1351">
        <f>'E1 - Invoiced Income'!T46</f>
        <v>0</v>
      </c>
      <c r="U1351">
        <f t="shared" si="32"/>
        <v>0</v>
      </c>
    </row>
    <row r="1352" spans="1:21">
      <c r="A1352" s="2895" t="str">
        <f>ORG!$S$1</f>
        <v>Apr 23</v>
      </c>
      <c r="B1352" t="str">
        <f>ORG!$M$1</f>
        <v>Public Health Wales Trust</v>
      </c>
      <c r="C1352" t="str">
        <f>'E1 - Invoiced Income'!$A$7</f>
        <v>Table E1 -  Invoiced Income Streams - TRUSTS ONLY</v>
      </c>
      <c r="D1352" s="2898">
        <f>'E1 - Invoiced Income'!A47</f>
        <v>36</v>
      </c>
      <c r="E1352" s="2897">
        <f>'E1 - Invoiced Income'!B47</f>
        <v>0</v>
      </c>
      <c r="S1352">
        <f>'E1 - Invoiced Income'!T47</f>
        <v>0</v>
      </c>
      <c r="U1352">
        <f t="shared" si="32"/>
        <v>0</v>
      </c>
    </row>
    <row r="1353" spans="1:21">
      <c r="A1353" s="2895" t="str">
        <f>ORG!$S$1</f>
        <v>Apr 23</v>
      </c>
      <c r="B1353" t="str">
        <f>ORG!$M$1</f>
        <v>Public Health Wales Trust</v>
      </c>
      <c r="C1353" t="str">
        <f>'E1 - Invoiced Income'!$A$7</f>
        <v>Table E1 -  Invoiced Income Streams - TRUSTS ONLY</v>
      </c>
      <c r="D1353" s="2898">
        <f>'E1 - Invoiced Income'!A48</f>
        <v>37</v>
      </c>
      <c r="E1353" t="str">
        <f>'E1 - Invoiced Income'!B48</f>
        <v>Total Income</v>
      </c>
      <c r="S1353">
        <f>'E1 - Invoiced Income'!T48</f>
        <v>16930</v>
      </c>
      <c r="U1353">
        <f t="shared" si="32"/>
        <v>16930</v>
      </c>
    </row>
    <row r="1354" spans="1:21">
      <c r="A1354" s="2895" t="str">
        <f>ORG!$S$1</f>
        <v>Apr 23</v>
      </c>
      <c r="B1354" t="str">
        <f>ORG!$M$1</f>
        <v>Public Health Wales Trust</v>
      </c>
      <c r="C1354" t="str">
        <f>'E1 - Invoiced Income'!$A$7</f>
        <v>Table E1 -  Invoiced Income Streams - TRUSTS ONLY</v>
      </c>
      <c r="D1354" s="2898">
        <f>'E1 - Invoiced Income'!A53</f>
        <v>38</v>
      </c>
      <c r="E1354" t="str">
        <f>"Anticipated "&amp;LEFT('E1 - Invoiced Income'!$B$22,14)</f>
        <v>Anticipated Total COVID-19</v>
      </c>
      <c r="F1354" s="2897" t="str">
        <f>'E1 - Invoiced Income'!B53</f>
        <v xml:space="preserve">Health Protection (including Testing, Tracing and Surveillance) </v>
      </c>
      <c r="S1354">
        <f>'E1 - Invoiced Income'!C53</f>
        <v>0</v>
      </c>
      <c r="U1354">
        <f t="shared" si="32"/>
        <v>0</v>
      </c>
    </row>
    <row r="1355" spans="1:21">
      <c r="A1355" s="2895" t="str">
        <f>ORG!$S$1</f>
        <v>Apr 23</v>
      </c>
      <c r="B1355" t="str">
        <f>ORG!$M$1</f>
        <v>Public Health Wales Trust</v>
      </c>
      <c r="C1355" t="str">
        <f>'E1 - Invoiced Income'!$A$7</f>
        <v>Table E1 -  Invoiced Income Streams - TRUSTS ONLY</v>
      </c>
      <c r="D1355" s="2898">
        <f>'E1 - Invoiced Income'!A54</f>
        <v>39</v>
      </c>
      <c r="E1355" t="str">
        <f>"Anticipated "&amp;LEFT('E1 - Invoiced Income'!$B$22,14)</f>
        <v>Anticipated Total COVID-19</v>
      </c>
      <c r="F1355" s="2897" t="str">
        <f>'E1 - Invoiced Income'!B54</f>
        <v>COVID-19 Vaccination (Immunisation) Programme</v>
      </c>
      <c r="S1355">
        <f>'E1 - Invoiced Income'!C54</f>
        <v>0</v>
      </c>
      <c r="U1355">
        <f t="shared" si="32"/>
        <v>0</v>
      </c>
    </row>
    <row r="1356" spans="1:21">
      <c r="A1356" s="2895" t="str">
        <f>ORG!$S$1</f>
        <v>Apr 23</v>
      </c>
      <c r="B1356" t="str">
        <f>ORG!$M$1</f>
        <v>Public Health Wales Trust</v>
      </c>
      <c r="C1356" t="str">
        <f>'E1 - Invoiced Income'!$A$7</f>
        <v>Table E1 -  Invoiced Income Streams - TRUSTS ONLY</v>
      </c>
      <c r="D1356" s="2898">
        <f>'E1 - Invoiced Income'!A55</f>
        <v>40</v>
      </c>
      <c r="E1356" t="str">
        <f>"Anticipated "&amp;LEFT('E1 - Invoiced Income'!$B$22,14)</f>
        <v>Anticipated Total COVID-19</v>
      </c>
      <c r="F1356" s="2897" t="str">
        <f>'E1 - Invoiced Income'!B55</f>
        <v xml:space="preserve">PPE </v>
      </c>
      <c r="S1356">
        <f>'E1 - Invoiced Income'!C55</f>
        <v>0</v>
      </c>
      <c r="U1356">
        <f t="shared" si="32"/>
        <v>0</v>
      </c>
    </row>
    <row r="1357" spans="1:21">
      <c r="A1357" s="2895" t="str">
        <f>ORG!$S$1</f>
        <v>Apr 23</v>
      </c>
      <c r="B1357" t="str">
        <f>ORG!$M$1</f>
        <v>Public Health Wales Trust</v>
      </c>
      <c r="C1357" t="str">
        <f>'E1 - Invoiced Income'!$A$7</f>
        <v>Table E1 -  Invoiced Income Streams - TRUSTS ONLY</v>
      </c>
      <c r="D1357" s="2898">
        <f>'E1 - Invoiced Income'!A56</f>
        <v>41</v>
      </c>
      <c r="E1357" t="str">
        <f>"Anticipated "&amp;LEFT('E1 - Invoiced Income'!$B$22,14)</f>
        <v>Anticipated Total COVID-19</v>
      </c>
      <c r="F1357" s="2897" t="str">
        <f>'E1 - Invoiced Income'!B56</f>
        <v>Long Covid</v>
      </c>
      <c r="S1357">
        <f>'E1 - Invoiced Income'!C56</f>
        <v>0</v>
      </c>
      <c r="U1357">
        <f t="shared" si="32"/>
        <v>0</v>
      </c>
    </row>
    <row r="1358" spans="1:21">
      <c r="A1358" s="2895" t="str">
        <f>ORG!$S$1</f>
        <v>Apr 23</v>
      </c>
      <c r="B1358" t="str">
        <f>ORG!$M$1</f>
        <v>Public Health Wales Trust</v>
      </c>
      <c r="C1358" t="str">
        <f>'E1 - Invoiced Income'!$A$7</f>
        <v>Table E1 -  Invoiced Income Streams - TRUSTS ONLY</v>
      </c>
      <c r="D1358" s="2898">
        <f>'E1 - Invoiced Income'!A57</f>
        <v>42</v>
      </c>
      <c r="E1358" t="str">
        <f>"Anticipated "&amp;LEFT('E1 - Invoiced Income'!$B$22,14)</f>
        <v>Anticipated Total COVID-19</v>
      </c>
      <c r="F1358" s="2897">
        <f>'E1 - Invoiced Income'!B57</f>
        <v>0</v>
      </c>
      <c r="S1358">
        <f>'E1 - Invoiced Income'!C57</f>
        <v>0</v>
      </c>
      <c r="U1358">
        <f t="shared" si="32"/>
        <v>0</v>
      </c>
    </row>
    <row r="1359" spans="1:21">
      <c r="A1359" s="2895" t="str">
        <f>ORG!$S$1</f>
        <v>Apr 23</v>
      </c>
      <c r="B1359" t="str">
        <f>ORG!$M$1</f>
        <v>Public Health Wales Trust</v>
      </c>
      <c r="C1359" t="str">
        <f>'E1 - Invoiced Income'!$A$7</f>
        <v>Table E1 -  Invoiced Income Streams - TRUSTS ONLY</v>
      </c>
      <c r="D1359" s="2898">
        <f>'E1 - Invoiced Income'!A58</f>
        <v>43</v>
      </c>
      <c r="E1359" t="str">
        <f>"Anticipated "&amp;LEFT('E1 - Invoiced Income'!$B$22,14)</f>
        <v>Anticipated Total COVID-19</v>
      </c>
      <c r="F1359" s="2897">
        <f>'E1 - Invoiced Income'!B58</f>
        <v>0</v>
      </c>
      <c r="S1359">
        <f>'E1 - Invoiced Income'!C58</f>
        <v>0</v>
      </c>
      <c r="U1359">
        <f t="shared" si="32"/>
        <v>0</v>
      </c>
    </row>
    <row r="1360" spans="1:21">
      <c r="A1360" s="2895" t="str">
        <f>ORG!$S$1</f>
        <v>Apr 23</v>
      </c>
      <c r="B1360" t="str">
        <f>ORG!$M$1</f>
        <v>Public Health Wales Trust</v>
      </c>
      <c r="C1360" t="str">
        <f>'E1 - Invoiced Income'!$A$7</f>
        <v>Table E1 -  Invoiced Income Streams - TRUSTS ONLY</v>
      </c>
      <c r="D1360" s="2898">
        <f>'E1 - Invoiced Income'!A59</f>
        <v>44</v>
      </c>
      <c r="E1360" t="str">
        <f>"Anticipated "&amp;LEFT('E1 - Invoiced Income'!$B$22,14)</f>
        <v>Anticipated Total COVID-19</v>
      </c>
      <c r="F1360" s="2897">
        <f>'E1 - Invoiced Income'!B59</f>
        <v>0</v>
      </c>
      <c r="S1360">
        <f>'E1 - Invoiced Income'!C59</f>
        <v>0</v>
      </c>
      <c r="U1360">
        <f t="shared" si="32"/>
        <v>0</v>
      </c>
    </row>
    <row r="1361" spans="1:21">
      <c r="A1361" s="2895" t="str">
        <f>ORG!$S$1</f>
        <v>Apr 23</v>
      </c>
      <c r="B1361" t="str">
        <f>ORG!$M$1</f>
        <v>Public Health Wales Trust</v>
      </c>
      <c r="C1361" t="str">
        <f>'E1 - Invoiced Income'!$A$7</f>
        <v>Table E1 -  Invoiced Income Streams - TRUSTS ONLY</v>
      </c>
      <c r="D1361" s="2898">
        <f>'E1 - Invoiced Income'!A60</f>
        <v>45</v>
      </c>
      <c r="E1361" t="str">
        <f>"Anticipated "&amp;LEFT('E1 - Invoiced Income'!$B$22,14)</f>
        <v>Anticipated Total COVID-19</v>
      </c>
      <c r="F1361" s="2897">
        <f>'E1 - Invoiced Income'!B60</f>
        <v>0</v>
      </c>
      <c r="S1361">
        <f>'E1 - Invoiced Income'!C60</f>
        <v>0</v>
      </c>
      <c r="U1361">
        <f t="shared" si="32"/>
        <v>0</v>
      </c>
    </row>
    <row r="1362" spans="1:21">
      <c r="A1362" s="2895" t="str">
        <f>ORG!$S$1</f>
        <v>Apr 23</v>
      </c>
      <c r="B1362" t="str">
        <f>ORG!$M$1</f>
        <v>Public Health Wales Trust</v>
      </c>
      <c r="C1362" t="str">
        <f>'E1 - Invoiced Income'!$A$7</f>
        <v>Table E1 -  Invoiced Income Streams - TRUSTS ONLY</v>
      </c>
      <c r="D1362" s="2898">
        <f>'E1 - Invoiced Income'!A61</f>
        <v>46</v>
      </c>
      <c r="E1362" t="str">
        <f>"Anticipated "&amp;LEFT('E1 - Invoiced Income'!$B$22,14)</f>
        <v>Anticipated Total COVID-19</v>
      </c>
      <c r="F1362" s="2897">
        <f>'E1 - Invoiced Income'!B61</f>
        <v>0</v>
      </c>
      <c r="S1362">
        <f>'E1 - Invoiced Income'!C61</f>
        <v>0</v>
      </c>
      <c r="U1362">
        <f t="shared" si="32"/>
        <v>0</v>
      </c>
    </row>
    <row r="1363" spans="1:21">
      <c r="A1363" s="2895" t="str">
        <f>ORG!$S$1</f>
        <v>Apr 23</v>
      </c>
      <c r="B1363" t="str">
        <f>ORG!$M$1</f>
        <v>Public Health Wales Trust</v>
      </c>
      <c r="C1363" t="str">
        <f>'E1 - Invoiced Income'!$A$7</f>
        <v>Table E1 -  Invoiced Income Streams - TRUSTS ONLY</v>
      </c>
      <c r="D1363" s="2898">
        <f>'E1 - Invoiced Income'!A62</f>
        <v>47</v>
      </c>
      <c r="E1363" t="str">
        <f>"Anticipated "&amp;LEFT('E1 - Invoiced Income'!$B$22,14)</f>
        <v>Anticipated Total COVID-19</v>
      </c>
      <c r="F1363" s="2897">
        <f>'E1 - Invoiced Income'!B62</f>
        <v>0</v>
      </c>
      <c r="S1363">
        <f>'E1 - Invoiced Income'!C62</f>
        <v>0</v>
      </c>
      <c r="U1363">
        <f t="shared" si="32"/>
        <v>0</v>
      </c>
    </row>
    <row r="1364" spans="1:21">
      <c r="A1364" s="2895" t="str">
        <f>ORG!$S$1</f>
        <v>Apr 23</v>
      </c>
      <c r="B1364" t="str">
        <f>ORG!$M$1</f>
        <v>Public Health Wales Trust</v>
      </c>
      <c r="C1364" t="str">
        <f>'E1 - Invoiced Income'!$A$7</f>
        <v>Table E1 -  Invoiced Income Streams - TRUSTS ONLY</v>
      </c>
      <c r="D1364" s="2898">
        <f>'E1 - Invoiced Income'!A63</f>
        <v>48</v>
      </c>
      <c r="E1364" t="str">
        <f>"Anticipated "&amp;LEFT('E1 - Invoiced Income'!$B$22,14)</f>
        <v>Anticipated Total COVID-19</v>
      </c>
      <c r="F1364" s="2897">
        <f>'E1 - Invoiced Income'!B63</f>
        <v>0</v>
      </c>
      <c r="S1364">
        <f>'E1 - Invoiced Income'!C63</f>
        <v>0</v>
      </c>
      <c r="U1364">
        <f t="shared" si="32"/>
        <v>0</v>
      </c>
    </row>
    <row r="1365" spans="1:21">
      <c r="A1365" s="2895" t="str">
        <f>ORG!$S$1</f>
        <v>Apr 23</v>
      </c>
      <c r="B1365" t="str">
        <f>ORG!$M$1</f>
        <v>Public Health Wales Trust</v>
      </c>
      <c r="C1365" t="str">
        <f>'E1 - Invoiced Income'!$A$7</f>
        <v>Table E1 -  Invoiced Income Streams - TRUSTS ONLY</v>
      </c>
      <c r="D1365" s="2898">
        <f>'E1 - Invoiced Income'!A64</f>
        <v>49</v>
      </c>
      <c r="E1365" t="str">
        <f>"Anticipated "&amp;LEFT('E1 - Invoiced Income'!$B$22,14)</f>
        <v>Anticipated Total COVID-19</v>
      </c>
      <c r="F1365" s="2897">
        <f>'E1 - Invoiced Income'!B64</f>
        <v>0</v>
      </c>
      <c r="S1365">
        <f>'E1 - Invoiced Income'!C64</f>
        <v>0</v>
      </c>
      <c r="U1365">
        <f t="shared" si="32"/>
        <v>0</v>
      </c>
    </row>
    <row r="1366" spans="1:21">
      <c r="A1366" s="2895" t="str">
        <f>ORG!$S$1</f>
        <v>Apr 23</v>
      </c>
      <c r="B1366" t="str">
        <f>ORG!$M$1</f>
        <v>Public Health Wales Trust</v>
      </c>
      <c r="C1366" t="str">
        <f>'E1 - Invoiced Income'!$A$7</f>
        <v>Table E1 -  Invoiced Income Streams - TRUSTS ONLY</v>
      </c>
      <c r="D1366" s="2898">
        <f>'E1 - Invoiced Income'!A65</f>
        <v>50</v>
      </c>
      <c r="E1366" t="str">
        <f>"Anticipated "&amp;LEFT('E1 - Invoiced Income'!$B$22,14)</f>
        <v>Anticipated Total COVID-19</v>
      </c>
      <c r="F1366" s="2897">
        <f>'E1 - Invoiced Income'!B65</f>
        <v>0</v>
      </c>
      <c r="S1366">
        <f>'E1 - Invoiced Income'!C65</f>
        <v>0</v>
      </c>
      <c r="U1366">
        <f t="shared" si="32"/>
        <v>0</v>
      </c>
    </row>
    <row r="1367" spans="1:21">
      <c r="A1367" s="2895" t="str">
        <f>ORG!$S$1</f>
        <v>Apr 23</v>
      </c>
      <c r="B1367" t="str">
        <f>ORG!$M$1</f>
        <v>Public Health Wales Trust</v>
      </c>
      <c r="C1367" t="str">
        <f>'E1 - Invoiced Income'!$A$7</f>
        <v>Table E1 -  Invoiced Income Streams - TRUSTS ONLY</v>
      </c>
      <c r="D1367" s="2898">
        <f>'E1 - Invoiced Income'!A66</f>
        <v>51</v>
      </c>
      <c r="E1367" t="str">
        <f>"Anticipated "&amp;LEFT('E1 - Invoiced Income'!$B$22,14)</f>
        <v>Anticipated Total COVID-19</v>
      </c>
      <c r="F1367" s="2897">
        <f>'E1 - Invoiced Income'!B66</f>
        <v>0</v>
      </c>
      <c r="S1367">
        <f>'E1 - Invoiced Income'!C66</f>
        <v>0</v>
      </c>
      <c r="U1367">
        <f t="shared" si="32"/>
        <v>0</v>
      </c>
    </row>
    <row r="1368" spans="1:21">
      <c r="A1368" s="2895" t="str">
        <f>ORG!$S$1</f>
        <v>Apr 23</v>
      </c>
      <c r="B1368" t="str">
        <f>ORG!$M$1</f>
        <v>Public Health Wales Trust</v>
      </c>
      <c r="C1368" t="str">
        <f>'E1 - Invoiced Income'!$A$7</f>
        <v>Table E1 -  Invoiced Income Streams - TRUSTS ONLY</v>
      </c>
      <c r="D1368" s="2898">
        <f>'E1 - Invoiced Income'!A67</f>
        <v>52</v>
      </c>
      <c r="E1368" t="str">
        <f>"Anticipated "&amp;LEFT('E1 - Invoiced Income'!$B$22,14)</f>
        <v>Anticipated Total COVID-19</v>
      </c>
      <c r="F1368" s="2897">
        <f>'E1 - Invoiced Income'!B67</f>
        <v>0</v>
      </c>
      <c r="S1368">
        <f>'E1 - Invoiced Income'!C67</f>
        <v>0</v>
      </c>
      <c r="U1368">
        <f t="shared" si="32"/>
        <v>0</v>
      </c>
    </row>
    <row r="1369" spans="1:21">
      <c r="A1369" s="2895" t="str">
        <f>ORG!$S$1</f>
        <v>Apr 23</v>
      </c>
      <c r="B1369" t="str">
        <f>ORG!$M$1</f>
        <v>Public Health Wales Trust</v>
      </c>
      <c r="C1369" t="str">
        <f>'E1 - Invoiced Income'!$A$7</f>
        <v>Table E1 -  Invoiced Income Streams - TRUSTS ONLY</v>
      </c>
      <c r="D1369" s="2898">
        <f>'E1 - Invoiced Income'!A68</f>
        <v>53</v>
      </c>
      <c r="E1369" t="str">
        <f>"Anticipated "&amp;LEFT('E1 - Invoiced Income'!$B$22,14)</f>
        <v>Anticipated Total COVID-19</v>
      </c>
      <c r="F1369" s="2897">
        <f>'E1 - Invoiced Income'!B68</f>
        <v>0</v>
      </c>
      <c r="S1369">
        <f>'E1 - Invoiced Income'!C68</f>
        <v>0</v>
      </c>
      <c r="U1369">
        <f t="shared" si="32"/>
        <v>0</v>
      </c>
    </row>
    <row r="1370" spans="1:21">
      <c r="A1370" s="2895" t="str">
        <f>ORG!$S$1</f>
        <v>Apr 23</v>
      </c>
      <c r="B1370" t="str">
        <f>ORG!$M$1</f>
        <v>Public Health Wales Trust</v>
      </c>
      <c r="C1370" t="str">
        <f>'E1 - Invoiced Income'!$A$7</f>
        <v>Table E1 -  Invoiced Income Streams - TRUSTS ONLY</v>
      </c>
      <c r="D1370" s="2898">
        <f>'E1 - Invoiced Income'!A69</f>
        <v>54</v>
      </c>
      <c r="E1370" t="str">
        <f>"Anticipated "&amp;LEFT('E1 - Invoiced Income'!$B$22,14)</f>
        <v>Anticipated Total COVID-19</v>
      </c>
      <c r="F1370" s="2897">
        <f>'E1 - Invoiced Income'!B69</f>
        <v>0</v>
      </c>
      <c r="S1370">
        <f>'E1 - Invoiced Income'!C69</f>
        <v>0</v>
      </c>
      <c r="U1370">
        <f t="shared" si="32"/>
        <v>0</v>
      </c>
    </row>
    <row r="1371" spans="1:21">
      <c r="A1371" s="2895" t="str">
        <f>ORG!$S$1</f>
        <v>Apr 23</v>
      </c>
      <c r="B1371" t="str">
        <f>ORG!$M$1</f>
        <v>Public Health Wales Trust</v>
      </c>
      <c r="C1371" t="str">
        <f>'E1 - Invoiced Income'!$A$7</f>
        <v>Table E1 -  Invoiced Income Streams - TRUSTS ONLY</v>
      </c>
      <c r="D1371" s="2898">
        <f>'E1 - Invoiced Income'!A70</f>
        <v>55</v>
      </c>
      <c r="E1371" t="str">
        <f>"Anticipated "&amp;LEFT('E1 - Invoiced Income'!$B$22,14)</f>
        <v>Anticipated Total COVID-19</v>
      </c>
      <c r="F1371" s="2897">
        <f>'E1 - Invoiced Income'!B70</f>
        <v>0</v>
      </c>
      <c r="S1371">
        <f>'E1 - Invoiced Income'!C70</f>
        <v>0</v>
      </c>
      <c r="U1371">
        <f t="shared" si="32"/>
        <v>0</v>
      </c>
    </row>
    <row r="1372" spans="1:21">
      <c r="A1372" s="2895" t="str">
        <f>ORG!$S$1</f>
        <v>Apr 23</v>
      </c>
      <c r="B1372" t="str">
        <f>ORG!$M$1</f>
        <v>Public Health Wales Trust</v>
      </c>
      <c r="C1372" t="str">
        <f>'E1 - Invoiced Income'!$A$7</f>
        <v>Table E1 -  Invoiced Income Streams - TRUSTS ONLY</v>
      </c>
      <c r="D1372" s="2898">
        <f>'E1 - Invoiced Income'!A71</f>
        <v>56</v>
      </c>
      <c r="E1372" t="str">
        <f>"Anticipated "&amp;LEFT('E1 - Invoiced Income'!$B$22,14)</f>
        <v>Anticipated Total COVID-19</v>
      </c>
      <c r="F1372" s="2897">
        <f>'E1 - Invoiced Income'!B71</f>
        <v>0</v>
      </c>
      <c r="S1372">
        <f>'E1 - Invoiced Income'!C71</f>
        <v>0</v>
      </c>
      <c r="U1372">
        <f t="shared" si="32"/>
        <v>0</v>
      </c>
    </row>
    <row r="1373" spans="1:21">
      <c r="A1373" s="2895" t="str">
        <f>ORG!$S$1</f>
        <v>Apr 23</v>
      </c>
      <c r="B1373" t="str">
        <f>ORG!$M$1</f>
        <v>Public Health Wales Trust</v>
      </c>
      <c r="C1373" t="str">
        <f>'E1 - Invoiced Income'!$A$7</f>
        <v>Table E1 -  Invoiced Income Streams - TRUSTS ONLY</v>
      </c>
      <c r="D1373" s="2898">
        <f>'E1 - Invoiced Income'!A72</f>
        <v>57</v>
      </c>
      <c r="E1373" t="str">
        <f>"Anticipated "&amp;LEFT('E1 - Invoiced Income'!$B$22,14)</f>
        <v>Anticipated Total COVID-19</v>
      </c>
      <c r="F1373" s="2897">
        <f>'E1 - Invoiced Income'!B72</f>
        <v>0</v>
      </c>
      <c r="S1373">
        <f>'E1 - Invoiced Income'!C72</f>
        <v>0</v>
      </c>
      <c r="U1373">
        <f t="shared" si="32"/>
        <v>0</v>
      </c>
    </row>
    <row r="1374" spans="1:21">
      <c r="A1374" s="2895" t="str">
        <f>ORG!$S$1</f>
        <v>Apr 23</v>
      </c>
      <c r="B1374" t="str">
        <f>ORG!$M$1</f>
        <v>Public Health Wales Trust</v>
      </c>
      <c r="C1374" t="str">
        <f>'E1 - Invoiced Income'!$A$7</f>
        <v>Table E1 -  Invoiced Income Streams - TRUSTS ONLY</v>
      </c>
      <c r="D1374" s="2898">
        <f>'E1 - Invoiced Income'!A73</f>
        <v>58</v>
      </c>
      <c r="E1374" t="str">
        <f>"Anticipated "&amp;LEFT('E1 - Invoiced Income'!$B$22,14)</f>
        <v>Anticipated Total COVID-19</v>
      </c>
      <c r="F1374" s="2897">
        <f>'E1 - Invoiced Income'!B73</f>
        <v>0</v>
      </c>
      <c r="S1374">
        <f>'E1 - Invoiced Income'!C73</f>
        <v>0</v>
      </c>
      <c r="U1374">
        <f t="shared" si="32"/>
        <v>0</v>
      </c>
    </row>
    <row r="1375" spans="1:21">
      <c r="A1375" s="2895" t="str">
        <f>ORG!$S$1</f>
        <v>Apr 23</v>
      </c>
      <c r="B1375" t="str">
        <f>ORG!$M$1</f>
        <v>Public Health Wales Trust</v>
      </c>
      <c r="C1375" t="str">
        <f>'E1 - Invoiced Income'!$A$7</f>
        <v>Table E1 -  Invoiced Income Streams - TRUSTS ONLY</v>
      </c>
      <c r="D1375" s="2898">
        <f>'E1 - Invoiced Income'!A74</f>
        <v>59</v>
      </c>
      <c r="E1375" t="str">
        <f>"Anticipated "&amp;LEFT('E1 - Invoiced Income'!$B$22,14)</f>
        <v>Anticipated Total COVID-19</v>
      </c>
      <c r="F1375" s="2897">
        <f>'E1 - Invoiced Income'!B74</f>
        <v>0</v>
      </c>
      <c r="S1375">
        <f>'E1 - Invoiced Income'!C74</f>
        <v>0</v>
      </c>
      <c r="U1375">
        <f t="shared" si="32"/>
        <v>0</v>
      </c>
    </row>
    <row r="1376" spans="1:21">
      <c r="A1376" s="2895" t="str">
        <f>ORG!$S$1</f>
        <v>Apr 23</v>
      </c>
      <c r="B1376" t="str">
        <f>ORG!$M$1</f>
        <v>Public Health Wales Trust</v>
      </c>
      <c r="C1376" t="str">
        <f>'E1 - Invoiced Income'!$A$7</f>
        <v>Table E1 -  Invoiced Income Streams - TRUSTS ONLY</v>
      </c>
      <c r="D1376" s="2898">
        <f>'E1 - Invoiced Income'!A75</f>
        <v>60</v>
      </c>
      <c r="E1376" t="str">
        <f>"Anticipated "&amp;LEFT('E1 - Invoiced Income'!$B$22,14)</f>
        <v>Anticipated Total COVID-19</v>
      </c>
      <c r="F1376" s="2897">
        <f>'E1 - Invoiced Income'!B75</f>
        <v>0</v>
      </c>
      <c r="S1376">
        <f>'E1 - Invoiced Income'!C75</f>
        <v>0</v>
      </c>
      <c r="U1376">
        <f t="shared" si="32"/>
        <v>0</v>
      </c>
    </row>
    <row r="1377" spans="1:21">
      <c r="A1377" s="2895" t="str">
        <f>ORG!$S$1</f>
        <v>Apr 23</v>
      </c>
      <c r="B1377" t="str">
        <f>ORG!$M$1</f>
        <v>Public Health Wales Trust</v>
      </c>
      <c r="C1377" t="str">
        <f>'E1 - Invoiced Income'!$A$7</f>
        <v>Table E1 -  Invoiced Income Streams - TRUSTS ONLY</v>
      </c>
      <c r="D1377" s="2898">
        <f>'E1 - Invoiced Income'!A76</f>
        <v>61</v>
      </c>
      <c r="E1377" t="str">
        <f>"Anticipated "&amp;LEFT('E1 - Invoiced Income'!$B$22,14)</f>
        <v>Anticipated Total COVID-19</v>
      </c>
      <c r="F1377" s="2897">
        <f>'E1 - Invoiced Income'!B76</f>
        <v>0</v>
      </c>
      <c r="S1377">
        <f>'E1 - Invoiced Income'!C76</f>
        <v>0</v>
      </c>
      <c r="U1377">
        <f t="shared" si="32"/>
        <v>0</v>
      </c>
    </row>
    <row r="1378" spans="1:21">
      <c r="A1378" s="2895" t="str">
        <f>ORG!$S$1</f>
        <v>Apr 23</v>
      </c>
      <c r="B1378" t="str">
        <f>ORG!$M$1</f>
        <v>Public Health Wales Trust</v>
      </c>
      <c r="C1378" t="str">
        <f>'E1 - Invoiced Income'!$A$7</f>
        <v>Table E1 -  Invoiced Income Streams - TRUSTS ONLY</v>
      </c>
      <c r="D1378" s="2898">
        <f>'E1 - Invoiced Income'!A77</f>
        <v>62</v>
      </c>
      <c r="E1378" t="str">
        <f>"Anticipated "&amp;LEFT('E1 - Invoiced Income'!$B$22,14)</f>
        <v>Anticipated Total COVID-19</v>
      </c>
      <c r="F1378" s="2897">
        <f>'E1 - Invoiced Income'!B77</f>
        <v>0</v>
      </c>
      <c r="S1378">
        <f>'E1 - Invoiced Income'!C77</f>
        <v>0</v>
      </c>
      <c r="U1378">
        <f t="shared" si="32"/>
        <v>0</v>
      </c>
    </row>
    <row r="1379" spans="1:21">
      <c r="A1379" s="2895" t="str">
        <f>ORG!$S$1</f>
        <v>Apr 23</v>
      </c>
      <c r="B1379" t="str">
        <f>ORG!$M$1</f>
        <v>Public Health Wales Trust</v>
      </c>
      <c r="C1379" t="str">
        <f>'E1 - Invoiced Income'!$A$7</f>
        <v>Table E1 -  Invoiced Income Streams - TRUSTS ONLY</v>
      </c>
      <c r="D1379" s="2898">
        <f>'E1 - Invoiced Income'!A78</f>
        <v>63</v>
      </c>
      <c r="E1379" t="str">
        <f>"Anticipated "&amp;LEFT('E1 - Invoiced Income'!$B$22,14)</f>
        <v>Anticipated Total COVID-19</v>
      </c>
      <c r="F1379" s="2897">
        <f>'E1 - Invoiced Income'!B78</f>
        <v>0</v>
      </c>
      <c r="S1379">
        <f>'E1 - Invoiced Income'!C78</f>
        <v>0</v>
      </c>
      <c r="U1379">
        <f t="shared" si="32"/>
        <v>0</v>
      </c>
    </row>
    <row r="1380" spans="1:21">
      <c r="A1380" s="2895" t="str">
        <f>ORG!$S$1</f>
        <v>Apr 23</v>
      </c>
      <c r="B1380" t="str">
        <f>ORG!$M$1</f>
        <v>Public Health Wales Trust</v>
      </c>
      <c r="C1380" t="str">
        <f>'E1 - Invoiced Income'!$A$7</f>
        <v>Table E1 -  Invoiced Income Streams - TRUSTS ONLY</v>
      </c>
      <c r="D1380" s="2898">
        <f>'E1 - Invoiced Income'!A79</f>
        <v>64</v>
      </c>
      <c r="E1380" t="str">
        <f>"Anticipated "&amp;LEFT('E1 - Invoiced Income'!$B$22,14)</f>
        <v>Anticipated Total COVID-19</v>
      </c>
      <c r="F1380" s="2897">
        <f>'E1 - Invoiced Income'!B79</f>
        <v>0</v>
      </c>
      <c r="S1380">
        <f>'E1 - Invoiced Income'!C79</f>
        <v>0</v>
      </c>
      <c r="U1380">
        <f t="shared" si="32"/>
        <v>0</v>
      </c>
    </row>
    <row r="1381" spans="1:21">
      <c r="A1381" s="2895" t="str">
        <f>ORG!$S$1</f>
        <v>Apr 23</v>
      </c>
      <c r="B1381" t="str">
        <f>ORG!$M$1</f>
        <v>Public Health Wales Trust</v>
      </c>
      <c r="C1381" t="str">
        <f>'E1 - Invoiced Income'!$A$7</f>
        <v>Table E1 -  Invoiced Income Streams - TRUSTS ONLY</v>
      </c>
      <c r="D1381" s="2898">
        <f>'E1 - Invoiced Income'!A80</f>
        <v>65</v>
      </c>
      <c r="E1381" t="str">
        <f>"Anticipated "&amp;LEFT('E1 - Invoiced Income'!$B$22,14)</f>
        <v>Anticipated Total COVID-19</v>
      </c>
      <c r="F1381" s="2897">
        <f>'E1 - Invoiced Income'!B80</f>
        <v>0</v>
      </c>
      <c r="S1381">
        <f>'E1 - Invoiced Income'!C80</f>
        <v>0</v>
      </c>
      <c r="U1381">
        <f t="shared" si="32"/>
        <v>0</v>
      </c>
    </row>
    <row r="1382" spans="1:21">
      <c r="A1382" s="2895" t="str">
        <f>ORG!$S$1</f>
        <v>Apr 23</v>
      </c>
      <c r="B1382" t="str">
        <f>ORG!$M$1</f>
        <v>Public Health Wales Trust</v>
      </c>
      <c r="C1382" t="str">
        <f>'E1 - Invoiced Income'!$A$7</f>
        <v>Table E1 -  Invoiced Income Streams - TRUSTS ONLY</v>
      </c>
      <c r="D1382" s="2898">
        <f>'E1 - Invoiced Income'!A81</f>
        <v>66</v>
      </c>
      <c r="E1382" t="str">
        <f>"Anticipated "&amp;LEFT('E1 - Invoiced Income'!$B$22,14)</f>
        <v>Anticipated Total COVID-19</v>
      </c>
      <c r="F1382" s="2897">
        <f>'E1 - Invoiced Income'!B81</f>
        <v>0</v>
      </c>
      <c r="S1382">
        <f>'E1 - Invoiced Income'!C81</f>
        <v>0</v>
      </c>
      <c r="U1382">
        <f t="shared" si="32"/>
        <v>0</v>
      </c>
    </row>
    <row r="1383" spans="1:21">
      <c r="A1383" s="2895" t="str">
        <f>ORG!$S$1</f>
        <v>Apr 23</v>
      </c>
      <c r="B1383" t="str">
        <f>ORG!$M$1</f>
        <v>Public Health Wales Trust</v>
      </c>
      <c r="C1383" t="str">
        <f>'E1 - Invoiced Income'!$A$7</f>
        <v>Table E1 -  Invoiced Income Streams - TRUSTS ONLY</v>
      </c>
      <c r="D1383" s="2898">
        <f>'E1 - Invoiced Income'!A82</f>
        <v>67</v>
      </c>
      <c r="E1383" t="str">
        <f>"Anticipated "&amp;LEFT('E1 - Invoiced Income'!$B$22,14)</f>
        <v>Anticipated Total COVID-19</v>
      </c>
      <c r="F1383" s="2897">
        <f>'E1 - Invoiced Income'!B82</f>
        <v>0</v>
      </c>
      <c r="S1383">
        <f>'E1 - Invoiced Income'!C82</f>
        <v>0</v>
      </c>
      <c r="U1383">
        <f t="shared" si="32"/>
        <v>0</v>
      </c>
    </row>
    <row r="1384" spans="1:21">
      <c r="A1384" s="2895" t="str">
        <f>ORG!$S$1</f>
        <v>Apr 23</v>
      </c>
      <c r="B1384" t="str">
        <f>ORG!$M$1</f>
        <v>Public Health Wales Trust</v>
      </c>
      <c r="C1384" t="str">
        <f>'E1 - Invoiced Income'!$A$7</f>
        <v>Table E1 -  Invoiced Income Streams - TRUSTS ONLY</v>
      </c>
      <c r="D1384" s="2898">
        <f>'E1 - Invoiced Income'!A83</f>
        <v>68</v>
      </c>
      <c r="E1384" t="str">
        <f>"Anticipated "&amp;LEFT('E1 - Invoiced Income'!$B$22,14)</f>
        <v>Anticipated Total COVID-19</v>
      </c>
      <c r="F1384" s="2897" t="str">
        <f>'E1 - Invoiced Income'!B83</f>
        <v>Total Funding</v>
      </c>
      <c r="S1384">
        <f>'E1 - Invoiced Income'!C83</f>
        <v>0</v>
      </c>
      <c r="U1384">
        <f t="shared" si="32"/>
        <v>0</v>
      </c>
    </row>
    <row r="1385" spans="1:21">
      <c r="A1385" s="2895" t="str">
        <f>ORG!$S$1</f>
        <v>Apr 23</v>
      </c>
      <c r="B1385" t="str">
        <f>ORG!$M$1</f>
        <v>Public Health Wales Trust</v>
      </c>
      <c r="C1385" t="str">
        <f>'E1 - Invoiced Income'!$A$7</f>
        <v>Table E1 -  Invoiced Income Streams - TRUSTS ONLY</v>
      </c>
      <c r="D1385" s="2898">
        <f>'E1 - Invoiced Income'!A53</f>
        <v>38</v>
      </c>
      <c r="E1385" t="str">
        <f>"Allocated "&amp;LEFT('E1 - Invoiced Income'!$B$22,14)</f>
        <v>Allocated Total COVID-19</v>
      </c>
      <c r="F1385" s="2897" t="str">
        <f>'E1 - Invoiced Income'!B53</f>
        <v xml:space="preserve">Health Protection (including Testing, Tracing and Surveillance) </v>
      </c>
      <c r="S1385">
        <f>'E1 - Invoiced Income'!D53</f>
        <v>15440</v>
      </c>
      <c r="U1385">
        <f t="shared" ref="U1385:U1415" si="381">S1385+T1385</f>
        <v>15440</v>
      </c>
    </row>
    <row r="1386" spans="1:21">
      <c r="A1386" s="2895" t="str">
        <f>ORG!$S$1</f>
        <v>Apr 23</v>
      </c>
      <c r="B1386" t="str">
        <f>ORG!$M$1</f>
        <v>Public Health Wales Trust</v>
      </c>
      <c r="C1386" t="str">
        <f>'E1 - Invoiced Income'!$A$7</f>
        <v>Table E1 -  Invoiced Income Streams - TRUSTS ONLY</v>
      </c>
      <c r="D1386" s="2898">
        <f>'E1 - Invoiced Income'!A54</f>
        <v>39</v>
      </c>
      <c r="E1386" t="str">
        <f>"Allocated "&amp;LEFT('E1 - Invoiced Income'!$B$22,14)</f>
        <v>Allocated Total COVID-19</v>
      </c>
      <c r="F1386" s="2897" t="str">
        <f>'E1 - Invoiced Income'!B54</f>
        <v>COVID-19 Vaccination (Immunisation) Programme</v>
      </c>
      <c r="S1386">
        <f>'E1 - Invoiced Income'!D54</f>
        <v>1490</v>
      </c>
      <c r="U1386">
        <f t="shared" si="381"/>
        <v>1490</v>
      </c>
    </row>
    <row r="1387" spans="1:21">
      <c r="A1387" s="2895" t="str">
        <f>ORG!$S$1</f>
        <v>Apr 23</v>
      </c>
      <c r="B1387" t="str">
        <f>ORG!$M$1</f>
        <v>Public Health Wales Trust</v>
      </c>
      <c r="C1387" t="str">
        <f>'E1 - Invoiced Income'!$A$7</f>
        <v>Table E1 -  Invoiced Income Streams - TRUSTS ONLY</v>
      </c>
      <c r="D1387" s="2898">
        <f>'E1 - Invoiced Income'!A55</f>
        <v>40</v>
      </c>
      <c r="E1387" t="str">
        <f>"Allocated "&amp;LEFT('E1 - Invoiced Income'!$B$22,14)</f>
        <v>Allocated Total COVID-19</v>
      </c>
      <c r="F1387" s="2897" t="str">
        <f>'E1 - Invoiced Income'!B55</f>
        <v xml:space="preserve">PPE </v>
      </c>
      <c r="S1387">
        <f>'E1 - Invoiced Income'!D55</f>
        <v>0</v>
      </c>
      <c r="U1387">
        <f t="shared" si="381"/>
        <v>0</v>
      </c>
    </row>
    <row r="1388" spans="1:21">
      <c r="A1388" s="2895" t="str">
        <f>ORG!$S$1</f>
        <v>Apr 23</v>
      </c>
      <c r="B1388" t="str">
        <f>ORG!$M$1</f>
        <v>Public Health Wales Trust</v>
      </c>
      <c r="C1388" t="str">
        <f>'E1 - Invoiced Income'!$A$7</f>
        <v>Table E1 -  Invoiced Income Streams - TRUSTS ONLY</v>
      </c>
      <c r="D1388" s="2898">
        <f>'E1 - Invoiced Income'!A56</f>
        <v>41</v>
      </c>
      <c r="E1388" t="str">
        <f>"Allocated "&amp;LEFT('E1 - Invoiced Income'!$B$22,14)</f>
        <v>Allocated Total COVID-19</v>
      </c>
      <c r="F1388" s="2897" t="str">
        <f>'E1 - Invoiced Income'!B56</f>
        <v>Long Covid</v>
      </c>
      <c r="S1388">
        <f>'E1 - Invoiced Income'!D56</f>
        <v>0</v>
      </c>
      <c r="U1388">
        <f t="shared" si="381"/>
        <v>0</v>
      </c>
    </row>
    <row r="1389" spans="1:21">
      <c r="A1389" s="2895" t="str">
        <f>ORG!$S$1</f>
        <v>Apr 23</v>
      </c>
      <c r="B1389" t="str">
        <f>ORG!$M$1</f>
        <v>Public Health Wales Trust</v>
      </c>
      <c r="C1389" t="str">
        <f>'E1 - Invoiced Income'!$A$7</f>
        <v>Table E1 -  Invoiced Income Streams - TRUSTS ONLY</v>
      </c>
      <c r="D1389" s="2898">
        <f>'E1 - Invoiced Income'!A57</f>
        <v>42</v>
      </c>
      <c r="E1389" t="str">
        <f>"Allocated "&amp;LEFT('E1 - Invoiced Income'!$B$22,14)</f>
        <v>Allocated Total COVID-19</v>
      </c>
      <c r="F1389" s="2897">
        <f>'E1 - Invoiced Income'!B57</f>
        <v>0</v>
      </c>
      <c r="S1389">
        <f>'E1 - Invoiced Income'!D57</f>
        <v>0</v>
      </c>
      <c r="U1389">
        <f t="shared" si="381"/>
        <v>0</v>
      </c>
    </row>
    <row r="1390" spans="1:21">
      <c r="A1390" s="2895" t="str">
        <f>ORG!$S$1</f>
        <v>Apr 23</v>
      </c>
      <c r="B1390" t="str">
        <f>ORG!$M$1</f>
        <v>Public Health Wales Trust</v>
      </c>
      <c r="C1390" t="str">
        <f>'E1 - Invoiced Income'!$A$7</f>
        <v>Table E1 -  Invoiced Income Streams - TRUSTS ONLY</v>
      </c>
      <c r="D1390" s="2898">
        <f>'E1 - Invoiced Income'!A58</f>
        <v>43</v>
      </c>
      <c r="E1390" t="str">
        <f>"Allocated "&amp;LEFT('E1 - Invoiced Income'!$B$22,14)</f>
        <v>Allocated Total COVID-19</v>
      </c>
      <c r="F1390" s="2897">
        <f>'E1 - Invoiced Income'!B58</f>
        <v>0</v>
      </c>
      <c r="S1390">
        <f>'E1 - Invoiced Income'!D58</f>
        <v>0</v>
      </c>
      <c r="U1390">
        <f t="shared" si="381"/>
        <v>0</v>
      </c>
    </row>
    <row r="1391" spans="1:21">
      <c r="A1391" s="2895" t="str">
        <f>ORG!$S$1</f>
        <v>Apr 23</v>
      </c>
      <c r="B1391" t="str">
        <f>ORG!$M$1</f>
        <v>Public Health Wales Trust</v>
      </c>
      <c r="C1391" t="str">
        <f>'E1 - Invoiced Income'!$A$7</f>
        <v>Table E1 -  Invoiced Income Streams - TRUSTS ONLY</v>
      </c>
      <c r="D1391" s="2898">
        <f>'E1 - Invoiced Income'!A59</f>
        <v>44</v>
      </c>
      <c r="E1391" t="str">
        <f>"Allocated "&amp;LEFT('E1 - Invoiced Income'!$B$22,14)</f>
        <v>Allocated Total COVID-19</v>
      </c>
      <c r="F1391" s="2897">
        <f>'E1 - Invoiced Income'!B59</f>
        <v>0</v>
      </c>
      <c r="S1391">
        <f>'E1 - Invoiced Income'!D59</f>
        <v>0</v>
      </c>
      <c r="U1391">
        <f t="shared" si="381"/>
        <v>0</v>
      </c>
    </row>
    <row r="1392" spans="1:21">
      <c r="A1392" s="2895" t="str">
        <f>ORG!$S$1</f>
        <v>Apr 23</v>
      </c>
      <c r="B1392" t="str">
        <f>ORG!$M$1</f>
        <v>Public Health Wales Trust</v>
      </c>
      <c r="C1392" t="str">
        <f>'E1 - Invoiced Income'!$A$7</f>
        <v>Table E1 -  Invoiced Income Streams - TRUSTS ONLY</v>
      </c>
      <c r="D1392" s="2898">
        <f>'E1 - Invoiced Income'!A60</f>
        <v>45</v>
      </c>
      <c r="E1392" t="str">
        <f>"Allocated "&amp;LEFT('E1 - Invoiced Income'!$B$22,14)</f>
        <v>Allocated Total COVID-19</v>
      </c>
      <c r="F1392" s="2897">
        <f>'E1 - Invoiced Income'!B60</f>
        <v>0</v>
      </c>
      <c r="S1392">
        <f>'E1 - Invoiced Income'!D60</f>
        <v>0</v>
      </c>
      <c r="U1392">
        <f t="shared" si="381"/>
        <v>0</v>
      </c>
    </row>
    <row r="1393" spans="1:21">
      <c r="A1393" s="2895" t="str">
        <f>ORG!$S$1</f>
        <v>Apr 23</v>
      </c>
      <c r="B1393" t="str">
        <f>ORG!$M$1</f>
        <v>Public Health Wales Trust</v>
      </c>
      <c r="C1393" t="str">
        <f>'E1 - Invoiced Income'!$A$7</f>
        <v>Table E1 -  Invoiced Income Streams - TRUSTS ONLY</v>
      </c>
      <c r="D1393" s="2898">
        <f>'E1 - Invoiced Income'!A61</f>
        <v>46</v>
      </c>
      <c r="E1393" t="str">
        <f>"Allocated "&amp;LEFT('E1 - Invoiced Income'!$B$22,14)</f>
        <v>Allocated Total COVID-19</v>
      </c>
      <c r="F1393" s="2897">
        <f>'E1 - Invoiced Income'!B61</f>
        <v>0</v>
      </c>
      <c r="S1393">
        <f>'E1 - Invoiced Income'!D61</f>
        <v>0</v>
      </c>
      <c r="U1393">
        <f t="shared" si="381"/>
        <v>0</v>
      </c>
    </row>
    <row r="1394" spans="1:21">
      <c r="A1394" s="2895" t="str">
        <f>ORG!$S$1</f>
        <v>Apr 23</v>
      </c>
      <c r="B1394" t="str">
        <f>ORG!$M$1</f>
        <v>Public Health Wales Trust</v>
      </c>
      <c r="C1394" t="str">
        <f>'E1 - Invoiced Income'!$A$7</f>
        <v>Table E1 -  Invoiced Income Streams - TRUSTS ONLY</v>
      </c>
      <c r="D1394" s="2898">
        <f>'E1 - Invoiced Income'!A62</f>
        <v>47</v>
      </c>
      <c r="E1394" t="str">
        <f>"Allocated "&amp;LEFT('E1 - Invoiced Income'!$B$22,14)</f>
        <v>Allocated Total COVID-19</v>
      </c>
      <c r="F1394" s="2897">
        <f>'E1 - Invoiced Income'!B62</f>
        <v>0</v>
      </c>
      <c r="S1394">
        <f>'E1 - Invoiced Income'!D62</f>
        <v>0</v>
      </c>
      <c r="U1394">
        <f t="shared" si="381"/>
        <v>0</v>
      </c>
    </row>
    <row r="1395" spans="1:21">
      <c r="A1395" s="2895" t="str">
        <f>ORG!$S$1</f>
        <v>Apr 23</v>
      </c>
      <c r="B1395" t="str">
        <f>ORG!$M$1</f>
        <v>Public Health Wales Trust</v>
      </c>
      <c r="C1395" t="str">
        <f>'E1 - Invoiced Income'!$A$7</f>
        <v>Table E1 -  Invoiced Income Streams - TRUSTS ONLY</v>
      </c>
      <c r="D1395" s="2898">
        <f>'E1 - Invoiced Income'!A63</f>
        <v>48</v>
      </c>
      <c r="E1395" t="str">
        <f>"Allocated "&amp;LEFT('E1 - Invoiced Income'!$B$22,14)</f>
        <v>Allocated Total COVID-19</v>
      </c>
      <c r="F1395" s="2897">
        <f>'E1 - Invoiced Income'!B63</f>
        <v>0</v>
      </c>
      <c r="S1395">
        <f>'E1 - Invoiced Income'!D63</f>
        <v>0</v>
      </c>
      <c r="U1395">
        <f t="shared" si="381"/>
        <v>0</v>
      </c>
    </row>
    <row r="1396" spans="1:21">
      <c r="A1396" s="2895" t="str">
        <f>ORG!$S$1</f>
        <v>Apr 23</v>
      </c>
      <c r="B1396" t="str">
        <f>ORG!$M$1</f>
        <v>Public Health Wales Trust</v>
      </c>
      <c r="C1396" t="str">
        <f>'E1 - Invoiced Income'!$A$7</f>
        <v>Table E1 -  Invoiced Income Streams - TRUSTS ONLY</v>
      </c>
      <c r="D1396" s="2898">
        <f>'E1 - Invoiced Income'!A64</f>
        <v>49</v>
      </c>
      <c r="E1396" t="str">
        <f>"Allocated "&amp;LEFT('E1 - Invoiced Income'!$B$22,14)</f>
        <v>Allocated Total COVID-19</v>
      </c>
      <c r="F1396" s="2897">
        <f>'E1 - Invoiced Income'!B64</f>
        <v>0</v>
      </c>
      <c r="S1396">
        <f>'E1 - Invoiced Income'!D64</f>
        <v>0</v>
      </c>
      <c r="U1396">
        <f t="shared" si="381"/>
        <v>0</v>
      </c>
    </row>
    <row r="1397" spans="1:21">
      <c r="A1397" s="2895" t="str">
        <f>ORG!$S$1</f>
        <v>Apr 23</v>
      </c>
      <c r="B1397" t="str">
        <f>ORG!$M$1</f>
        <v>Public Health Wales Trust</v>
      </c>
      <c r="C1397" t="str">
        <f>'E1 - Invoiced Income'!$A$7</f>
        <v>Table E1 -  Invoiced Income Streams - TRUSTS ONLY</v>
      </c>
      <c r="D1397" s="2898">
        <f>'E1 - Invoiced Income'!A65</f>
        <v>50</v>
      </c>
      <c r="E1397" t="str">
        <f>"Allocated "&amp;LEFT('E1 - Invoiced Income'!$B$22,14)</f>
        <v>Allocated Total COVID-19</v>
      </c>
      <c r="F1397" s="2897">
        <f>'E1 - Invoiced Income'!B65</f>
        <v>0</v>
      </c>
      <c r="S1397">
        <f>'E1 - Invoiced Income'!D65</f>
        <v>0</v>
      </c>
      <c r="U1397">
        <f t="shared" si="381"/>
        <v>0</v>
      </c>
    </row>
    <row r="1398" spans="1:21">
      <c r="A1398" s="2895" t="str">
        <f>ORG!$S$1</f>
        <v>Apr 23</v>
      </c>
      <c r="B1398" t="str">
        <f>ORG!$M$1</f>
        <v>Public Health Wales Trust</v>
      </c>
      <c r="C1398" t="str">
        <f>'E1 - Invoiced Income'!$A$7</f>
        <v>Table E1 -  Invoiced Income Streams - TRUSTS ONLY</v>
      </c>
      <c r="D1398" s="2898">
        <f>'E1 - Invoiced Income'!A66</f>
        <v>51</v>
      </c>
      <c r="E1398" t="str">
        <f>"Allocated "&amp;LEFT('E1 - Invoiced Income'!$B$22,14)</f>
        <v>Allocated Total COVID-19</v>
      </c>
      <c r="F1398" s="2897">
        <f>'E1 - Invoiced Income'!B66</f>
        <v>0</v>
      </c>
      <c r="S1398">
        <f>'E1 - Invoiced Income'!D66</f>
        <v>0</v>
      </c>
      <c r="U1398">
        <f t="shared" si="381"/>
        <v>0</v>
      </c>
    </row>
    <row r="1399" spans="1:21">
      <c r="A1399" s="2895" t="str">
        <f>ORG!$S$1</f>
        <v>Apr 23</v>
      </c>
      <c r="B1399" t="str">
        <f>ORG!$M$1</f>
        <v>Public Health Wales Trust</v>
      </c>
      <c r="C1399" t="str">
        <f>'E1 - Invoiced Income'!$A$7</f>
        <v>Table E1 -  Invoiced Income Streams - TRUSTS ONLY</v>
      </c>
      <c r="D1399" s="2898">
        <f>'E1 - Invoiced Income'!A67</f>
        <v>52</v>
      </c>
      <c r="E1399" t="str">
        <f>"Allocated "&amp;LEFT('E1 - Invoiced Income'!$B$22,14)</f>
        <v>Allocated Total COVID-19</v>
      </c>
      <c r="F1399" s="2897">
        <f>'E1 - Invoiced Income'!B67</f>
        <v>0</v>
      </c>
      <c r="S1399">
        <f>'E1 - Invoiced Income'!D67</f>
        <v>0</v>
      </c>
      <c r="U1399">
        <f t="shared" si="381"/>
        <v>0</v>
      </c>
    </row>
    <row r="1400" spans="1:21">
      <c r="A1400" s="2895" t="str">
        <f>ORG!$S$1</f>
        <v>Apr 23</v>
      </c>
      <c r="B1400" t="str">
        <f>ORG!$M$1</f>
        <v>Public Health Wales Trust</v>
      </c>
      <c r="C1400" t="str">
        <f>'E1 - Invoiced Income'!$A$7</f>
        <v>Table E1 -  Invoiced Income Streams - TRUSTS ONLY</v>
      </c>
      <c r="D1400" s="2898">
        <f>'E1 - Invoiced Income'!A68</f>
        <v>53</v>
      </c>
      <c r="E1400" t="str">
        <f>"Allocated "&amp;LEFT('E1 - Invoiced Income'!$B$22,14)</f>
        <v>Allocated Total COVID-19</v>
      </c>
      <c r="F1400" s="2897">
        <f>'E1 - Invoiced Income'!B68</f>
        <v>0</v>
      </c>
      <c r="S1400">
        <f>'E1 - Invoiced Income'!D68</f>
        <v>0</v>
      </c>
      <c r="U1400">
        <f t="shared" si="381"/>
        <v>0</v>
      </c>
    </row>
    <row r="1401" spans="1:21">
      <c r="A1401" s="2895" t="str">
        <f>ORG!$S$1</f>
        <v>Apr 23</v>
      </c>
      <c r="B1401" t="str">
        <f>ORG!$M$1</f>
        <v>Public Health Wales Trust</v>
      </c>
      <c r="C1401" t="str">
        <f>'E1 - Invoiced Income'!$A$7</f>
        <v>Table E1 -  Invoiced Income Streams - TRUSTS ONLY</v>
      </c>
      <c r="D1401" s="2898">
        <f>'E1 - Invoiced Income'!A69</f>
        <v>54</v>
      </c>
      <c r="E1401" t="str">
        <f>"Allocated "&amp;LEFT('E1 - Invoiced Income'!$B$22,14)</f>
        <v>Allocated Total COVID-19</v>
      </c>
      <c r="F1401" s="2897">
        <f>'E1 - Invoiced Income'!B69</f>
        <v>0</v>
      </c>
      <c r="S1401">
        <f>'E1 - Invoiced Income'!D69</f>
        <v>0</v>
      </c>
      <c r="U1401">
        <f t="shared" si="381"/>
        <v>0</v>
      </c>
    </row>
    <row r="1402" spans="1:21">
      <c r="A1402" s="2895" t="str">
        <f>ORG!$S$1</f>
        <v>Apr 23</v>
      </c>
      <c r="B1402" t="str">
        <f>ORG!$M$1</f>
        <v>Public Health Wales Trust</v>
      </c>
      <c r="C1402" t="str">
        <f>'E1 - Invoiced Income'!$A$7</f>
        <v>Table E1 -  Invoiced Income Streams - TRUSTS ONLY</v>
      </c>
      <c r="D1402" s="2898">
        <f>'E1 - Invoiced Income'!A70</f>
        <v>55</v>
      </c>
      <c r="E1402" t="str">
        <f>"Allocated "&amp;LEFT('E1 - Invoiced Income'!$B$22,14)</f>
        <v>Allocated Total COVID-19</v>
      </c>
      <c r="F1402" s="2897">
        <f>'E1 - Invoiced Income'!B70</f>
        <v>0</v>
      </c>
      <c r="S1402">
        <f>'E1 - Invoiced Income'!D70</f>
        <v>0</v>
      </c>
      <c r="U1402">
        <f t="shared" si="381"/>
        <v>0</v>
      </c>
    </row>
    <row r="1403" spans="1:21">
      <c r="A1403" s="2895" t="str">
        <f>ORG!$S$1</f>
        <v>Apr 23</v>
      </c>
      <c r="B1403" t="str">
        <f>ORG!$M$1</f>
        <v>Public Health Wales Trust</v>
      </c>
      <c r="C1403" t="str">
        <f>'E1 - Invoiced Income'!$A$7</f>
        <v>Table E1 -  Invoiced Income Streams - TRUSTS ONLY</v>
      </c>
      <c r="D1403" s="2898">
        <f>'E1 - Invoiced Income'!A71</f>
        <v>56</v>
      </c>
      <c r="E1403" t="str">
        <f>"Allocated "&amp;LEFT('E1 - Invoiced Income'!$B$22,14)</f>
        <v>Allocated Total COVID-19</v>
      </c>
      <c r="F1403" s="2897">
        <f>'E1 - Invoiced Income'!B71</f>
        <v>0</v>
      </c>
      <c r="S1403">
        <f>'E1 - Invoiced Income'!D71</f>
        <v>0</v>
      </c>
      <c r="U1403">
        <f t="shared" si="381"/>
        <v>0</v>
      </c>
    </row>
    <row r="1404" spans="1:21">
      <c r="A1404" s="2895" t="str">
        <f>ORG!$S$1</f>
        <v>Apr 23</v>
      </c>
      <c r="B1404" t="str">
        <f>ORG!$M$1</f>
        <v>Public Health Wales Trust</v>
      </c>
      <c r="C1404" t="str">
        <f>'E1 - Invoiced Income'!$A$7</f>
        <v>Table E1 -  Invoiced Income Streams - TRUSTS ONLY</v>
      </c>
      <c r="D1404" s="2898">
        <f>'E1 - Invoiced Income'!A72</f>
        <v>57</v>
      </c>
      <c r="E1404" t="str">
        <f>"Allocated "&amp;LEFT('E1 - Invoiced Income'!$B$22,14)</f>
        <v>Allocated Total COVID-19</v>
      </c>
      <c r="F1404" s="2897">
        <f>'E1 - Invoiced Income'!B72</f>
        <v>0</v>
      </c>
      <c r="S1404">
        <f>'E1 - Invoiced Income'!D72</f>
        <v>0</v>
      </c>
      <c r="U1404">
        <f t="shared" si="381"/>
        <v>0</v>
      </c>
    </row>
    <row r="1405" spans="1:21">
      <c r="A1405" s="2895" t="str">
        <f>ORG!$S$1</f>
        <v>Apr 23</v>
      </c>
      <c r="B1405" t="str">
        <f>ORG!$M$1</f>
        <v>Public Health Wales Trust</v>
      </c>
      <c r="C1405" t="str">
        <f>'E1 - Invoiced Income'!$A$7</f>
        <v>Table E1 -  Invoiced Income Streams - TRUSTS ONLY</v>
      </c>
      <c r="D1405" s="2898">
        <f>'E1 - Invoiced Income'!A73</f>
        <v>58</v>
      </c>
      <c r="E1405" t="str">
        <f>"Allocated "&amp;LEFT('E1 - Invoiced Income'!$B$22,14)</f>
        <v>Allocated Total COVID-19</v>
      </c>
      <c r="F1405" s="2897">
        <f>'E1 - Invoiced Income'!B73</f>
        <v>0</v>
      </c>
      <c r="S1405">
        <f>'E1 - Invoiced Income'!D73</f>
        <v>0</v>
      </c>
      <c r="U1405">
        <f t="shared" si="381"/>
        <v>0</v>
      </c>
    </row>
    <row r="1406" spans="1:21">
      <c r="A1406" s="2895" t="str">
        <f>ORG!$S$1</f>
        <v>Apr 23</v>
      </c>
      <c r="B1406" t="str">
        <f>ORG!$M$1</f>
        <v>Public Health Wales Trust</v>
      </c>
      <c r="C1406" t="str">
        <f>'E1 - Invoiced Income'!$A$7</f>
        <v>Table E1 -  Invoiced Income Streams - TRUSTS ONLY</v>
      </c>
      <c r="D1406" s="2898">
        <f>'E1 - Invoiced Income'!A74</f>
        <v>59</v>
      </c>
      <c r="E1406" t="str">
        <f>"Allocated "&amp;LEFT('E1 - Invoiced Income'!$B$22,14)</f>
        <v>Allocated Total COVID-19</v>
      </c>
      <c r="F1406" s="2897">
        <f>'E1 - Invoiced Income'!B74</f>
        <v>0</v>
      </c>
      <c r="S1406">
        <f>'E1 - Invoiced Income'!D74</f>
        <v>0</v>
      </c>
      <c r="U1406">
        <f t="shared" si="381"/>
        <v>0</v>
      </c>
    </row>
    <row r="1407" spans="1:21">
      <c r="A1407" s="2895" t="str">
        <f>ORG!$S$1</f>
        <v>Apr 23</v>
      </c>
      <c r="B1407" t="str">
        <f>ORG!$M$1</f>
        <v>Public Health Wales Trust</v>
      </c>
      <c r="C1407" t="str">
        <f>'E1 - Invoiced Income'!$A$7</f>
        <v>Table E1 -  Invoiced Income Streams - TRUSTS ONLY</v>
      </c>
      <c r="D1407" s="2898">
        <f>'E1 - Invoiced Income'!A75</f>
        <v>60</v>
      </c>
      <c r="E1407" t="str">
        <f>"Allocated "&amp;LEFT('E1 - Invoiced Income'!$B$22,14)</f>
        <v>Allocated Total COVID-19</v>
      </c>
      <c r="F1407" s="2897">
        <f>'E1 - Invoiced Income'!B75</f>
        <v>0</v>
      </c>
      <c r="S1407">
        <f>'E1 - Invoiced Income'!D75</f>
        <v>0</v>
      </c>
      <c r="U1407">
        <f t="shared" si="381"/>
        <v>0</v>
      </c>
    </row>
    <row r="1408" spans="1:21">
      <c r="A1408" s="2895" t="str">
        <f>ORG!$S$1</f>
        <v>Apr 23</v>
      </c>
      <c r="B1408" t="str">
        <f>ORG!$M$1</f>
        <v>Public Health Wales Trust</v>
      </c>
      <c r="C1408" t="str">
        <f>'E1 - Invoiced Income'!$A$7</f>
        <v>Table E1 -  Invoiced Income Streams - TRUSTS ONLY</v>
      </c>
      <c r="D1408" s="2898">
        <f>'E1 - Invoiced Income'!A76</f>
        <v>61</v>
      </c>
      <c r="E1408" t="str">
        <f>"Allocated "&amp;LEFT('E1 - Invoiced Income'!$B$22,14)</f>
        <v>Allocated Total COVID-19</v>
      </c>
      <c r="F1408" s="2897">
        <f>'E1 - Invoiced Income'!B76</f>
        <v>0</v>
      </c>
      <c r="S1408">
        <f>'E1 - Invoiced Income'!D76</f>
        <v>0</v>
      </c>
      <c r="U1408">
        <f t="shared" si="381"/>
        <v>0</v>
      </c>
    </row>
    <row r="1409" spans="1:21">
      <c r="A1409" s="2895" t="str">
        <f>ORG!$S$1</f>
        <v>Apr 23</v>
      </c>
      <c r="B1409" t="str">
        <f>ORG!$M$1</f>
        <v>Public Health Wales Trust</v>
      </c>
      <c r="C1409" t="str">
        <f>'E1 - Invoiced Income'!$A$7</f>
        <v>Table E1 -  Invoiced Income Streams - TRUSTS ONLY</v>
      </c>
      <c r="D1409" s="2898">
        <f>'E1 - Invoiced Income'!A77</f>
        <v>62</v>
      </c>
      <c r="E1409" t="str">
        <f>"Allocated "&amp;LEFT('E1 - Invoiced Income'!$B$22,14)</f>
        <v>Allocated Total COVID-19</v>
      </c>
      <c r="F1409" s="2897">
        <f>'E1 - Invoiced Income'!B77</f>
        <v>0</v>
      </c>
      <c r="S1409">
        <f>'E1 - Invoiced Income'!D77</f>
        <v>0</v>
      </c>
      <c r="U1409">
        <f t="shared" si="381"/>
        <v>0</v>
      </c>
    </row>
    <row r="1410" spans="1:21">
      <c r="A1410" s="2895" t="str">
        <f>ORG!$S$1</f>
        <v>Apr 23</v>
      </c>
      <c r="B1410" t="str">
        <f>ORG!$M$1</f>
        <v>Public Health Wales Trust</v>
      </c>
      <c r="C1410" t="str">
        <f>'E1 - Invoiced Income'!$A$7</f>
        <v>Table E1 -  Invoiced Income Streams - TRUSTS ONLY</v>
      </c>
      <c r="D1410" s="2898">
        <f>'E1 - Invoiced Income'!A78</f>
        <v>63</v>
      </c>
      <c r="E1410" t="str">
        <f>"Allocated "&amp;LEFT('E1 - Invoiced Income'!$B$22,14)</f>
        <v>Allocated Total COVID-19</v>
      </c>
      <c r="F1410" s="2897">
        <f>'E1 - Invoiced Income'!B78</f>
        <v>0</v>
      </c>
      <c r="S1410">
        <f>'E1 - Invoiced Income'!D78</f>
        <v>0</v>
      </c>
      <c r="U1410">
        <f t="shared" si="381"/>
        <v>0</v>
      </c>
    </row>
    <row r="1411" spans="1:21">
      <c r="A1411" s="2895" t="str">
        <f>ORG!$S$1</f>
        <v>Apr 23</v>
      </c>
      <c r="B1411" t="str">
        <f>ORG!$M$1</f>
        <v>Public Health Wales Trust</v>
      </c>
      <c r="C1411" t="str">
        <f>'E1 - Invoiced Income'!$A$7</f>
        <v>Table E1 -  Invoiced Income Streams - TRUSTS ONLY</v>
      </c>
      <c r="D1411" s="2898">
        <f>'E1 - Invoiced Income'!A79</f>
        <v>64</v>
      </c>
      <c r="E1411" t="str">
        <f>"Allocated "&amp;LEFT('E1 - Invoiced Income'!$B$22,14)</f>
        <v>Allocated Total COVID-19</v>
      </c>
      <c r="F1411" s="2897">
        <f>'E1 - Invoiced Income'!B79</f>
        <v>0</v>
      </c>
      <c r="S1411">
        <f>'E1 - Invoiced Income'!D79</f>
        <v>0</v>
      </c>
      <c r="U1411">
        <f t="shared" si="381"/>
        <v>0</v>
      </c>
    </row>
    <row r="1412" spans="1:21">
      <c r="A1412" s="2895" t="str">
        <f>ORG!$S$1</f>
        <v>Apr 23</v>
      </c>
      <c r="B1412" t="str">
        <f>ORG!$M$1</f>
        <v>Public Health Wales Trust</v>
      </c>
      <c r="C1412" t="str">
        <f>'E1 - Invoiced Income'!$A$7</f>
        <v>Table E1 -  Invoiced Income Streams - TRUSTS ONLY</v>
      </c>
      <c r="D1412" s="2898">
        <f>'E1 - Invoiced Income'!A80</f>
        <v>65</v>
      </c>
      <c r="E1412" t="str">
        <f>"Allocated "&amp;LEFT('E1 - Invoiced Income'!$B$22,14)</f>
        <v>Allocated Total COVID-19</v>
      </c>
      <c r="F1412" s="2897">
        <f>'E1 - Invoiced Income'!B80</f>
        <v>0</v>
      </c>
      <c r="S1412">
        <f>'E1 - Invoiced Income'!D80</f>
        <v>0</v>
      </c>
      <c r="U1412">
        <f t="shared" si="381"/>
        <v>0</v>
      </c>
    </row>
    <row r="1413" spans="1:21">
      <c r="A1413" s="2895" t="str">
        <f>ORG!$S$1</f>
        <v>Apr 23</v>
      </c>
      <c r="B1413" t="str">
        <f>ORG!$M$1</f>
        <v>Public Health Wales Trust</v>
      </c>
      <c r="C1413" t="str">
        <f>'E1 - Invoiced Income'!$A$7</f>
        <v>Table E1 -  Invoiced Income Streams - TRUSTS ONLY</v>
      </c>
      <c r="D1413" s="2898">
        <f>'E1 - Invoiced Income'!A81</f>
        <v>66</v>
      </c>
      <c r="E1413" t="str">
        <f>"Allocated "&amp;LEFT('E1 - Invoiced Income'!$B$22,14)</f>
        <v>Allocated Total COVID-19</v>
      </c>
      <c r="F1413" s="2897">
        <f>'E1 - Invoiced Income'!B81</f>
        <v>0</v>
      </c>
      <c r="S1413">
        <f>'E1 - Invoiced Income'!D81</f>
        <v>0</v>
      </c>
      <c r="U1413">
        <f t="shared" si="381"/>
        <v>0</v>
      </c>
    </row>
    <row r="1414" spans="1:21">
      <c r="A1414" s="2895" t="str">
        <f>ORG!$S$1</f>
        <v>Apr 23</v>
      </c>
      <c r="B1414" t="str">
        <f>ORG!$M$1</f>
        <v>Public Health Wales Trust</v>
      </c>
      <c r="C1414" t="str">
        <f>'E1 - Invoiced Income'!$A$7</f>
        <v>Table E1 -  Invoiced Income Streams - TRUSTS ONLY</v>
      </c>
      <c r="D1414" s="2898">
        <f>'E1 - Invoiced Income'!A82</f>
        <v>67</v>
      </c>
      <c r="E1414" t="str">
        <f>"Allocated "&amp;LEFT('E1 - Invoiced Income'!$B$22,14)</f>
        <v>Allocated Total COVID-19</v>
      </c>
      <c r="F1414" s="2897">
        <f>'E1 - Invoiced Income'!B82</f>
        <v>0</v>
      </c>
      <c r="S1414">
        <f>'E1 - Invoiced Income'!D82</f>
        <v>0</v>
      </c>
      <c r="U1414">
        <f t="shared" si="381"/>
        <v>0</v>
      </c>
    </row>
    <row r="1415" spans="1:21">
      <c r="A1415" s="2895" t="str">
        <f>ORG!$S$1</f>
        <v>Apr 23</v>
      </c>
      <c r="B1415" t="str">
        <f>ORG!$M$1</f>
        <v>Public Health Wales Trust</v>
      </c>
      <c r="C1415" t="str">
        <f>'E1 - Invoiced Income'!$A$7</f>
        <v>Table E1 -  Invoiced Income Streams - TRUSTS ONLY</v>
      </c>
      <c r="D1415" s="2898">
        <f>'E1 - Invoiced Income'!A83</f>
        <v>68</v>
      </c>
      <c r="E1415" t="str">
        <f>"Allocated "&amp;LEFT('E1 - Invoiced Income'!$B$22,14)</f>
        <v>Allocated Total COVID-19</v>
      </c>
      <c r="F1415" s="2897" t="str">
        <f>'E1 - Invoiced Income'!B83</f>
        <v>Total Funding</v>
      </c>
      <c r="S1415">
        <f>'E1 - Invoiced Income'!D83</f>
        <v>16930</v>
      </c>
      <c r="U1415">
        <f t="shared" si="381"/>
        <v>16930</v>
      </c>
    </row>
    <row r="1416" spans="1:21">
      <c r="A1416" s="2895" t="str">
        <f>ORG!$S$1</f>
        <v>Apr 23</v>
      </c>
      <c r="B1416" t="str">
        <f>ORG!$M$1</f>
        <v>Public Health Wales Trust</v>
      </c>
      <c r="C1416" t="s">
        <v>910</v>
      </c>
      <c r="D1416" s="2898">
        <f>'I - Capital RLM'!$A$129</f>
        <v>92</v>
      </c>
      <c r="E1416" s="2898" t="str">
        <f>'I - Capital RLM'!$B$129</f>
        <v xml:space="preserve">CHARGE AGAINST CRL / CEL  </v>
      </c>
      <c r="F1416" t="s">
        <v>1359</v>
      </c>
      <c r="S1416">
        <f>'I - Capital RLM'!C129</f>
        <v>0</v>
      </c>
    </row>
    <row r="1417" spans="1:21">
      <c r="A1417" s="2895" t="str">
        <f>ORG!$S$1</f>
        <v>Apr 23</v>
      </c>
      <c r="B1417" t="str">
        <f>ORG!$M$1</f>
        <v>Public Health Wales Trust</v>
      </c>
      <c r="C1417" t="s">
        <v>910</v>
      </c>
      <c r="D1417" s="2898">
        <f>'I - Capital RLM'!$A$129</f>
        <v>92</v>
      </c>
      <c r="E1417" s="2898" t="str">
        <f>'I - Capital RLM'!$B$129</f>
        <v xml:space="preserve">CHARGE AGAINST CRL / CEL  </v>
      </c>
      <c r="F1417" t="s">
        <v>1360</v>
      </c>
      <c r="S1417">
        <f>'I - Capital RLM'!D129</f>
        <v>0</v>
      </c>
    </row>
    <row r="1418" spans="1:21">
      <c r="A1418" s="2895" t="str">
        <f>ORG!$S$1</f>
        <v>Apr 23</v>
      </c>
      <c r="B1418" t="str">
        <f>ORG!$M$1</f>
        <v>Public Health Wales Trust</v>
      </c>
      <c r="C1418" t="s">
        <v>910</v>
      </c>
      <c r="D1418" s="2898">
        <f>'I - Capital RLM'!$A$129</f>
        <v>92</v>
      </c>
      <c r="E1418" s="2898" t="str">
        <f>'I - Capital RLM'!$B$129</f>
        <v xml:space="preserve">CHARGE AGAINST CRL / CEL  </v>
      </c>
      <c r="F1418" t="s">
        <v>1361</v>
      </c>
      <c r="S1418">
        <f>'I - Capital RLM'!G129</f>
        <v>0</v>
      </c>
    </row>
    <row r="1419" spans="1:21">
      <c r="A1419" s="2895" t="str">
        <f>ORG!$S$1</f>
        <v>Apr 23</v>
      </c>
      <c r="B1419" t="str">
        <f>ORG!$M$1</f>
        <v>Public Health Wales Trust</v>
      </c>
      <c r="C1419" t="s">
        <v>910</v>
      </c>
      <c r="D1419" s="2898">
        <f>'I - Capital RLM'!$A$129</f>
        <v>92</v>
      </c>
      <c r="E1419" s="2898" t="str">
        <f>'I - Capital RLM'!$B$129</f>
        <v xml:space="preserve">CHARGE AGAINST CRL / CEL  </v>
      </c>
      <c r="F1419" t="s">
        <v>1362</v>
      </c>
      <c r="S1419">
        <f>'I - Capital RLM'!H129</f>
        <v>0</v>
      </c>
    </row>
    <row r="1420" spans="1:21">
      <c r="A1420" s="2895" t="str">
        <f>ORG!$S$1</f>
        <v>Apr 23</v>
      </c>
      <c r="B1420" t="str">
        <f>ORG!$M$1</f>
        <v>Public Health Wales Trust</v>
      </c>
      <c r="C1420" s="1453" t="s">
        <v>1363</v>
      </c>
      <c r="D1420">
        <v>6</v>
      </c>
      <c r="E1420" t="str">
        <f>'P - Ringfenced'!$B$5</f>
        <v>Table A: Allocation Paper (23/24 New Ring Fenced)</v>
      </c>
      <c r="F1420" t="str">
        <f>'P - Ringfenced'!A6</f>
        <v>Recovery Funding (£120m)_Plan</v>
      </c>
      <c r="G1420" s="2896">
        <f>'P - Ringfenced'!F6</f>
        <v>0</v>
      </c>
      <c r="H1420" s="2896">
        <f>'P - Ringfenced'!G6</f>
        <v>0</v>
      </c>
      <c r="I1420" s="2896">
        <f>'P - Ringfenced'!H6</f>
        <v>0</v>
      </c>
      <c r="J1420" s="2896">
        <f>'P - Ringfenced'!I6</f>
        <v>0</v>
      </c>
      <c r="K1420" s="2896">
        <f>'P - Ringfenced'!J6</f>
        <v>0</v>
      </c>
      <c r="L1420" s="2896">
        <f>'P - Ringfenced'!K6</f>
        <v>0</v>
      </c>
      <c r="M1420" s="2896">
        <f>'P - Ringfenced'!L6</f>
        <v>0</v>
      </c>
      <c r="N1420" s="2896">
        <f>'P - Ringfenced'!M6</f>
        <v>0</v>
      </c>
      <c r="O1420" s="2896">
        <f>'P - Ringfenced'!N6</f>
        <v>0</v>
      </c>
      <c r="P1420" s="2896">
        <f>'P - Ringfenced'!O6</f>
        <v>0</v>
      </c>
      <c r="Q1420" s="2896">
        <f>'P - Ringfenced'!P6</f>
        <v>0</v>
      </c>
      <c r="R1420" s="2896">
        <f>'P - Ringfenced'!Q6</f>
        <v>0</v>
      </c>
      <c r="S1420">
        <f>'P - Ringfenced'!S6</f>
        <v>0</v>
      </c>
      <c r="U1420">
        <f t="shared" ref="U1420" si="382">S1420+T1420</f>
        <v>0</v>
      </c>
    </row>
    <row r="1421" spans="1:21">
      <c r="A1421" s="2895" t="str">
        <f>ORG!$S$1</f>
        <v>Apr 23</v>
      </c>
      <c r="B1421" t="str">
        <f>ORG!$M$1</f>
        <v>Public Health Wales Trust</v>
      </c>
      <c r="C1421" s="1453" t="s">
        <v>1363</v>
      </c>
      <c r="D1421">
        <v>7</v>
      </c>
      <c r="E1421" t="str">
        <f>'P - Ringfenced'!$B$5</f>
        <v>Table A: Allocation Paper (23/24 New Ring Fenced)</v>
      </c>
      <c r="F1421" t="str">
        <f>'P - Ringfenced'!A7</f>
        <v>Recovery Funding (£120m)_Actual/Forecast - not yet committed</v>
      </c>
      <c r="G1421" s="2896">
        <f>'P - Ringfenced'!F7</f>
        <v>0</v>
      </c>
      <c r="H1421" s="2896">
        <f>'P - Ringfenced'!G7</f>
        <v>0</v>
      </c>
      <c r="I1421" s="2896">
        <f>'P - Ringfenced'!H7</f>
        <v>0</v>
      </c>
      <c r="J1421" s="2896">
        <f>'P - Ringfenced'!I7</f>
        <v>0</v>
      </c>
      <c r="K1421" s="2896">
        <f>'P - Ringfenced'!J7</f>
        <v>0</v>
      </c>
      <c r="L1421" s="2896">
        <f>'P - Ringfenced'!K7</f>
        <v>0</v>
      </c>
      <c r="M1421" s="2896">
        <f>'P - Ringfenced'!L7</f>
        <v>0</v>
      </c>
      <c r="N1421" s="2896">
        <f>'P - Ringfenced'!M7</f>
        <v>0</v>
      </c>
      <c r="O1421" s="2896">
        <f>'P - Ringfenced'!N7</f>
        <v>0</v>
      </c>
      <c r="P1421" s="2896">
        <f>'P - Ringfenced'!O7</f>
        <v>0</v>
      </c>
      <c r="Q1421" s="2896">
        <f>'P - Ringfenced'!P7</f>
        <v>0</v>
      </c>
      <c r="R1421" s="2896">
        <f>'P - Ringfenced'!Q7</f>
        <v>0</v>
      </c>
      <c r="S1421">
        <f>'P - Ringfenced'!S7</f>
        <v>0</v>
      </c>
      <c r="U1421">
        <f t="shared" ref="U1421:U1480" si="383">S1421+T1421</f>
        <v>0</v>
      </c>
    </row>
    <row r="1422" spans="1:21">
      <c r="A1422" s="2895" t="str">
        <f>ORG!$S$1</f>
        <v>Apr 23</v>
      </c>
      <c r="B1422" t="str">
        <f>ORG!$M$1</f>
        <v>Public Health Wales Trust</v>
      </c>
      <c r="C1422" s="1453" t="s">
        <v>1363</v>
      </c>
      <c r="D1422">
        <v>8</v>
      </c>
      <c r="E1422" t="str">
        <f>'P - Ringfenced'!$B$5</f>
        <v>Table A: Allocation Paper (23/24 New Ring Fenced)</v>
      </c>
      <c r="F1422" t="str">
        <f>'P - Ringfenced'!A8</f>
        <v>Recovery Funding (£120m)_Actual/Forecast - committed</v>
      </c>
      <c r="G1422" s="2896">
        <f>'P - Ringfenced'!F8</f>
        <v>0</v>
      </c>
      <c r="H1422" s="2896">
        <f>'P - Ringfenced'!G8</f>
        <v>0</v>
      </c>
      <c r="I1422" s="2896">
        <f>'P - Ringfenced'!H8</f>
        <v>0</v>
      </c>
      <c r="J1422" s="2896">
        <f>'P - Ringfenced'!I8</f>
        <v>0</v>
      </c>
      <c r="K1422" s="2896">
        <f>'P - Ringfenced'!J8</f>
        <v>0</v>
      </c>
      <c r="L1422" s="2896">
        <f>'P - Ringfenced'!K8</f>
        <v>0</v>
      </c>
      <c r="M1422" s="2896">
        <f>'P - Ringfenced'!L8</f>
        <v>0</v>
      </c>
      <c r="N1422" s="2896">
        <f>'P - Ringfenced'!M8</f>
        <v>0</v>
      </c>
      <c r="O1422" s="2896">
        <f>'P - Ringfenced'!N8</f>
        <v>0</v>
      </c>
      <c r="P1422" s="2896">
        <f>'P - Ringfenced'!O8</f>
        <v>0</v>
      </c>
      <c r="Q1422" s="2896">
        <f>'P - Ringfenced'!P8</f>
        <v>0</v>
      </c>
      <c r="R1422" s="2896">
        <f>'P - Ringfenced'!Q8</f>
        <v>0</v>
      </c>
      <c r="S1422">
        <f>'P - Ringfenced'!S8</f>
        <v>0</v>
      </c>
      <c r="U1422">
        <f t="shared" si="383"/>
        <v>0</v>
      </c>
    </row>
    <row r="1423" spans="1:21">
      <c r="A1423" s="2895" t="str">
        <f>ORG!$S$1</f>
        <v>Apr 23</v>
      </c>
      <c r="B1423" t="str">
        <f>ORG!$M$1</f>
        <v>Public Health Wales Trust</v>
      </c>
      <c r="C1423" s="1453" t="s">
        <v>1363</v>
      </c>
      <c r="D1423">
        <v>9</v>
      </c>
      <c r="E1423" t="str">
        <f>'P - Ringfenced'!$B$5</f>
        <v>Table A: Allocation Paper (23/24 New Ring Fenced)</v>
      </c>
      <c r="F1423" t="str">
        <f>'P - Ringfenced'!A9</f>
        <v>Recovery Funding (£120m)_Variance against current plan</v>
      </c>
      <c r="G1423" s="2896">
        <f>'P - Ringfenced'!F9</f>
        <v>0</v>
      </c>
      <c r="H1423" s="2896">
        <f>'P - Ringfenced'!G9</f>
        <v>0</v>
      </c>
      <c r="I1423" s="2896">
        <f>'P - Ringfenced'!H9</f>
        <v>0</v>
      </c>
      <c r="J1423" s="2896">
        <f>'P - Ringfenced'!I9</f>
        <v>0</v>
      </c>
      <c r="K1423" s="2896">
        <f>'P - Ringfenced'!J9</f>
        <v>0</v>
      </c>
      <c r="L1423" s="2896">
        <f>'P - Ringfenced'!K9</f>
        <v>0</v>
      </c>
      <c r="M1423" s="2896">
        <f>'P - Ringfenced'!L9</f>
        <v>0</v>
      </c>
      <c r="N1423" s="2896">
        <f>'P - Ringfenced'!M9</f>
        <v>0</v>
      </c>
      <c r="O1423" s="2896">
        <f>'P - Ringfenced'!N9</f>
        <v>0</v>
      </c>
      <c r="P1423" s="2896">
        <f>'P - Ringfenced'!O9</f>
        <v>0</v>
      </c>
      <c r="Q1423" s="2896">
        <f>'P - Ringfenced'!P9</f>
        <v>0</v>
      </c>
      <c r="R1423" s="2896">
        <f>'P - Ringfenced'!Q9</f>
        <v>0</v>
      </c>
      <c r="S1423">
        <f>'P - Ringfenced'!S9</f>
        <v>0</v>
      </c>
      <c r="U1423">
        <f t="shared" si="383"/>
        <v>0</v>
      </c>
    </row>
    <row r="1424" spans="1:21">
      <c r="A1424" s="2895" t="str">
        <f>ORG!$S$1</f>
        <v>Apr 23</v>
      </c>
      <c r="B1424" t="str">
        <f>ORG!$M$1</f>
        <v>Public Health Wales Trust</v>
      </c>
      <c r="C1424" s="1453" t="s">
        <v>1363</v>
      </c>
      <c r="D1424">
        <v>10</v>
      </c>
      <c r="E1424" t="str">
        <f>'P - Ringfenced'!$B$5</f>
        <v>Table A: Allocation Paper (23/24 New Ring Fenced)</v>
      </c>
      <c r="F1424" t="str">
        <f>'P - Ringfenced'!A10</f>
        <v>Value Based Funding (£14m)_Plan</v>
      </c>
      <c r="G1424" s="2896">
        <f>'P - Ringfenced'!F10</f>
        <v>0</v>
      </c>
      <c r="H1424" s="2896">
        <f>'P - Ringfenced'!G10</f>
        <v>0</v>
      </c>
      <c r="I1424" s="2896">
        <f>'P - Ringfenced'!H10</f>
        <v>0</v>
      </c>
      <c r="J1424" s="2896">
        <f>'P - Ringfenced'!I10</f>
        <v>0</v>
      </c>
      <c r="K1424" s="2896">
        <f>'P - Ringfenced'!J10</f>
        <v>0</v>
      </c>
      <c r="L1424" s="2896">
        <f>'P - Ringfenced'!K10</f>
        <v>0</v>
      </c>
      <c r="M1424" s="2896">
        <f>'P - Ringfenced'!L10</f>
        <v>0</v>
      </c>
      <c r="N1424" s="2896">
        <f>'P - Ringfenced'!M10</f>
        <v>0</v>
      </c>
      <c r="O1424" s="2896">
        <f>'P - Ringfenced'!N10</f>
        <v>0</v>
      </c>
      <c r="P1424" s="2896">
        <f>'P - Ringfenced'!O10</f>
        <v>0</v>
      </c>
      <c r="Q1424" s="2896">
        <f>'P - Ringfenced'!P10</f>
        <v>0</v>
      </c>
      <c r="R1424" s="2896">
        <f>'P - Ringfenced'!Q10</f>
        <v>0</v>
      </c>
      <c r="S1424">
        <f>'P - Ringfenced'!S10</f>
        <v>0</v>
      </c>
      <c r="U1424">
        <f t="shared" si="383"/>
        <v>0</v>
      </c>
    </row>
    <row r="1425" spans="1:21">
      <c r="A1425" s="2895" t="str">
        <f>ORG!$S$1</f>
        <v>Apr 23</v>
      </c>
      <c r="B1425" t="str">
        <f>ORG!$M$1</f>
        <v>Public Health Wales Trust</v>
      </c>
      <c r="C1425" s="1453" t="s">
        <v>1363</v>
      </c>
      <c r="D1425">
        <v>11</v>
      </c>
      <c r="E1425" t="str">
        <f>'P - Ringfenced'!$B$5</f>
        <v>Table A: Allocation Paper (23/24 New Ring Fenced)</v>
      </c>
      <c r="F1425" t="str">
        <f>'P - Ringfenced'!A11</f>
        <v>Value Based Funding (£14m)_Actual/Forecast - not yet committed</v>
      </c>
      <c r="G1425" s="2896">
        <f>'P - Ringfenced'!F11</f>
        <v>0</v>
      </c>
      <c r="H1425" s="2896">
        <f>'P - Ringfenced'!G11</f>
        <v>0</v>
      </c>
      <c r="I1425" s="2896">
        <f>'P - Ringfenced'!H11</f>
        <v>0</v>
      </c>
      <c r="J1425" s="2896">
        <f>'P - Ringfenced'!I11</f>
        <v>0</v>
      </c>
      <c r="K1425" s="2896">
        <f>'P - Ringfenced'!J11</f>
        <v>0</v>
      </c>
      <c r="L1425" s="2896">
        <f>'P - Ringfenced'!K11</f>
        <v>0</v>
      </c>
      <c r="M1425" s="2896">
        <f>'P - Ringfenced'!L11</f>
        <v>0</v>
      </c>
      <c r="N1425" s="2896">
        <f>'P - Ringfenced'!M11</f>
        <v>0</v>
      </c>
      <c r="O1425" s="2896">
        <f>'P - Ringfenced'!N11</f>
        <v>0</v>
      </c>
      <c r="P1425" s="2896">
        <f>'P - Ringfenced'!O11</f>
        <v>0</v>
      </c>
      <c r="Q1425" s="2896">
        <f>'P - Ringfenced'!P11</f>
        <v>0</v>
      </c>
      <c r="R1425" s="2896">
        <f>'P - Ringfenced'!Q11</f>
        <v>0</v>
      </c>
      <c r="S1425">
        <f>'P - Ringfenced'!S11</f>
        <v>0</v>
      </c>
      <c r="U1425">
        <f t="shared" si="383"/>
        <v>0</v>
      </c>
    </row>
    <row r="1426" spans="1:21">
      <c r="A1426" s="2895" t="str">
        <f>ORG!$S$1</f>
        <v>Apr 23</v>
      </c>
      <c r="B1426" t="str">
        <f>ORG!$M$1</f>
        <v>Public Health Wales Trust</v>
      </c>
      <c r="C1426" s="1453" t="s">
        <v>1363</v>
      </c>
      <c r="D1426">
        <v>12</v>
      </c>
      <c r="E1426" t="str">
        <f>'P - Ringfenced'!$B$5</f>
        <v>Table A: Allocation Paper (23/24 New Ring Fenced)</v>
      </c>
      <c r="F1426" t="str">
        <f>'P - Ringfenced'!A12</f>
        <v>Value Based Funding (£14m)_Actual/Forecast - committed</v>
      </c>
      <c r="G1426" s="2896">
        <f>'P - Ringfenced'!F12</f>
        <v>0</v>
      </c>
      <c r="H1426" s="2896">
        <f>'P - Ringfenced'!G12</f>
        <v>0</v>
      </c>
      <c r="I1426" s="2896">
        <f>'P - Ringfenced'!H12</f>
        <v>0</v>
      </c>
      <c r="J1426" s="2896">
        <f>'P - Ringfenced'!I12</f>
        <v>0</v>
      </c>
      <c r="K1426" s="2896">
        <f>'P - Ringfenced'!J12</f>
        <v>0</v>
      </c>
      <c r="L1426" s="2896">
        <f>'P - Ringfenced'!K12</f>
        <v>0</v>
      </c>
      <c r="M1426" s="2896">
        <f>'P - Ringfenced'!L12</f>
        <v>0</v>
      </c>
      <c r="N1426" s="2896">
        <f>'P - Ringfenced'!M12</f>
        <v>0</v>
      </c>
      <c r="O1426" s="2896">
        <f>'P - Ringfenced'!N12</f>
        <v>0</v>
      </c>
      <c r="P1426" s="2896">
        <f>'P - Ringfenced'!O12</f>
        <v>0</v>
      </c>
      <c r="Q1426" s="2896">
        <f>'P - Ringfenced'!P12</f>
        <v>0</v>
      </c>
      <c r="R1426" s="2896">
        <f>'P - Ringfenced'!Q12</f>
        <v>0</v>
      </c>
      <c r="S1426">
        <f>'P - Ringfenced'!S12</f>
        <v>0</v>
      </c>
      <c r="U1426">
        <f t="shared" si="383"/>
        <v>0</v>
      </c>
    </row>
    <row r="1427" spans="1:21">
      <c r="A1427" s="2895" t="str">
        <f>ORG!$S$1</f>
        <v>Apr 23</v>
      </c>
      <c r="B1427" t="str">
        <f>ORG!$M$1</f>
        <v>Public Health Wales Trust</v>
      </c>
      <c r="C1427" s="1453" t="s">
        <v>1363</v>
      </c>
      <c r="D1427">
        <v>13</v>
      </c>
      <c r="E1427" t="str">
        <f>'P - Ringfenced'!$B$5</f>
        <v>Table A: Allocation Paper (23/24 New Ring Fenced)</v>
      </c>
      <c r="F1427" t="str">
        <f>'P - Ringfenced'!A13</f>
        <v>Value Based Funding (£14m)_Variance against current plan</v>
      </c>
      <c r="G1427" s="2896">
        <f>'P - Ringfenced'!F13</f>
        <v>0</v>
      </c>
      <c r="H1427" s="2896">
        <f>'P - Ringfenced'!G13</f>
        <v>0</v>
      </c>
      <c r="I1427" s="2896">
        <f>'P - Ringfenced'!H13</f>
        <v>0</v>
      </c>
      <c r="J1427" s="2896">
        <f>'P - Ringfenced'!I13</f>
        <v>0</v>
      </c>
      <c r="K1427" s="2896">
        <f>'P - Ringfenced'!J13</f>
        <v>0</v>
      </c>
      <c r="L1427" s="2896">
        <f>'P - Ringfenced'!K13</f>
        <v>0</v>
      </c>
      <c r="M1427" s="2896">
        <f>'P - Ringfenced'!L13</f>
        <v>0</v>
      </c>
      <c r="N1427" s="2896">
        <f>'P - Ringfenced'!M13</f>
        <v>0</v>
      </c>
      <c r="O1427" s="2896">
        <f>'P - Ringfenced'!N13</f>
        <v>0</v>
      </c>
      <c r="P1427" s="2896">
        <f>'P - Ringfenced'!O13</f>
        <v>0</v>
      </c>
      <c r="Q1427" s="2896">
        <f>'P - Ringfenced'!P13</f>
        <v>0</v>
      </c>
      <c r="R1427" s="2896">
        <f>'P - Ringfenced'!Q13</f>
        <v>0</v>
      </c>
      <c r="S1427">
        <f>'P - Ringfenced'!S13</f>
        <v>0</v>
      </c>
      <c r="U1427">
        <f t="shared" si="383"/>
        <v>0</v>
      </c>
    </row>
    <row r="1428" spans="1:21">
      <c r="A1428" s="2895" t="str">
        <f>ORG!$S$1</f>
        <v>Apr 23</v>
      </c>
      <c r="B1428" t="str">
        <f>ORG!$M$1</f>
        <v>Public Health Wales Trust</v>
      </c>
      <c r="C1428" s="1453" t="s">
        <v>1363</v>
      </c>
      <c r="D1428">
        <v>14</v>
      </c>
      <c r="E1428" t="str">
        <f>'P - Ringfenced'!$B$5</f>
        <v>Table A: Allocation Paper (23/24 New Ring Fenced)</v>
      </c>
      <c r="F1428" t="str">
        <f>'P - Ringfenced'!A14</f>
        <v>Regional Integration Fund (£132.7m)_Plan</v>
      </c>
      <c r="G1428" s="2896">
        <f>'P - Ringfenced'!F14</f>
        <v>0</v>
      </c>
      <c r="H1428" s="2896">
        <f>'P - Ringfenced'!G14</f>
        <v>0</v>
      </c>
      <c r="I1428" s="2896">
        <f>'P - Ringfenced'!H14</f>
        <v>0</v>
      </c>
      <c r="J1428" s="2896">
        <f>'P - Ringfenced'!I14</f>
        <v>0</v>
      </c>
      <c r="K1428" s="2896">
        <f>'P - Ringfenced'!J14</f>
        <v>0</v>
      </c>
      <c r="L1428" s="2896">
        <f>'P - Ringfenced'!K14</f>
        <v>0</v>
      </c>
      <c r="M1428" s="2896">
        <f>'P - Ringfenced'!L14</f>
        <v>0</v>
      </c>
      <c r="N1428" s="2896">
        <f>'P - Ringfenced'!M14</f>
        <v>0</v>
      </c>
      <c r="O1428" s="2896">
        <f>'P - Ringfenced'!N14</f>
        <v>0</v>
      </c>
      <c r="P1428" s="2896">
        <f>'P - Ringfenced'!O14</f>
        <v>0</v>
      </c>
      <c r="Q1428" s="2896">
        <f>'P - Ringfenced'!P14</f>
        <v>0</v>
      </c>
      <c r="R1428" s="2896">
        <f>'P - Ringfenced'!Q14</f>
        <v>0</v>
      </c>
      <c r="S1428">
        <f>'P - Ringfenced'!S14</f>
        <v>0</v>
      </c>
      <c r="U1428">
        <f t="shared" si="383"/>
        <v>0</v>
      </c>
    </row>
    <row r="1429" spans="1:21">
      <c r="A1429" s="2895" t="str">
        <f>ORG!$S$1</f>
        <v>Apr 23</v>
      </c>
      <c r="B1429" t="str">
        <f>ORG!$M$1</f>
        <v>Public Health Wales Trust</v>
      </c>
      <c r="C1429" s="1453" t="s">
        <v>1363</v>
      </c>
      <c r="D1429">
        <v>15</v>
      </c>
      <c r="E1429" t="str">
        <f>'P - Ringfenced'!$B$5</f>
        <v>Table A: Allocation Paper (23/24 New Ring Fenced)</v>
      </c>
      <c r="F1429" t="str">
        <f>'P - Ringfenced'!A15</f>
        <v>Regional Integration Fund (£132.7m)_Actual/Forecast - not yet committed</v>
      </c>
      <c r="G1429" s="2896">
        <f>'P - Ringfenced'!F15</f>
        <v>0</v>
      </c>
      <c r="H1429" s="2896">
        <f>'P - Ringfenced'!G15</f>
        <v>0</v>
      </c>
      <c r="I1429" s="2896">
        <f>'P - Ringfenced'!H15</f>
        <v>0</v>
      </c>
      <c r="J1429" s="2896">
        <f>'P - Ringfenced'!I15</f>
        <v>0</v>
      </c>
      <c r="K1429" s="2896">
        <f>'P - Ringfenced'!J15</f>
        <v>0</v>
      </c>
      <c r="L1429" s="2896">
        <f>'P - Ringfenced'!K15</f>
        <v>0</v>
      </c>
      <c r="M1429" s="2896">
        <f>'P - Ringfenced'!L15</f>
        <v>0</v>
      </c>
      <c r="N1429" s="2896">
        <f>'P - Ringfenced'!M15</f>
        <v>0</v>
      </c>
      <c r="O1429" s="2896">
        <f>'P - Ringfenced'!N15</f>
        <v>0</v>
      </c>
      <c r="P1429" s="2896">
        <f>'P - Ringfenced'!O15</f>
        <v>0</v>
      </c>
      <c r="Q1429" s="2896">
        <f>'P - Ringfenced'!P15</f>
        <v>0</v>
      </c>
      <c r="R1429" s="2896">
        <f>'P - Ringfenced'!Q15</f>
        <v>0</v>
      </c>
      <c r="S1429">
        <f>'P - Ringfenced'!S15</f>
        <v>0</v>
      </c>
      <c r="U1429">
        <f t="shared" si="383"/>
        <v>0</v>
      </c>
    </row>
    <row r="1430" spans="1:21">
      <c r="A1430" s="2895" t="str">
        <f>ORG!$S$1</f>
        <v>Apr 23</v>
      </c>
      <c r="B1430" t="str">
        <f>ORG!$M$1</f>
        <v>Public Health Wales Trust</v>
      </c>
      <c r="C1430" s="1453" t="s">
        <v>1363</v>
      </c>
      <c r="D1430">
        <v>16</v>
      </c>
      <c r="E1430" t="str">
        <f>'P - Ringfenced'!$B$5</f>
        <v>Table A: Allocation Paper (23/24 New Ring Fenced)</v>
      </c>
      <c r="F1430" t="str">
        <f>'P - Ringfenced'!A16</f>
        <v>Regional Integration Fund (£132.7m)_Actual/Forecast - committed</v>
      </c>
      <c r="G1430" s="2896">
        <f>'P - Ringfenced'!F16</f>
        <v>0</v>
      </c>
      <c r="H1430" s="2896">
        <f>'P - Ringfenced'!G16</f>
        <v>0</v>
      </c>
      <c r="I1430" s="2896">
        <f>'P - Ringfenced'!H16</f>
        <v>0</v>
      </c>
      <c r="J1430" s="2896">
        <f>'P - Ringfenced'!I16</f>
        <v>0</v>
      </c>
      <c r="K1430" s="2896">
        <f>'P - Ringfenced'!J16</f>
        <v>0</v>
      </c>
      <c r="L1430" s="2896">
        <f>'P - Ringfenced'!K16</f>
        <v>0</v>
      </c>
      <c r="M1430" s="2896">
        <f>'P - Ringfenced'!L16</f>
        <v>0</v>
      </c>
      <c r="N1430" s="2896">
        <f>'P - Ringfenced'!M16</f>
        <v>0</v>
      </c>
      <c r="O1430" s="2896">
        <f>'P - Ringfenced'!N16</f>
        <v>0</v>
      </c>
      <c r="P1430" s="2896">
        <f>'P - Ringfenced'!O16</f>
        <v>0</v>
      </c>
      <c r="Q1430" s="2896">
        <f>'P - Ringfenced'!P16</f>
        <v>0</v>
      </c>
      <c r="R1430" s="2896">
        <f>'P - Ringfenced'!Q16</f>
        <v>0</v>
      </c>
      <c r="S1430">
        <f>'P - Ringfenced'!S16</f>
        <v>0</v>
      </c>
      <c r="U1430">
        <f t="shared" si="383"/>
        <v>0</v>
      </c>
    </row>
    <row r="1431" spans="1:21">
      <c r="A1431" s="2895" t="str">
        <f>ORG!$S$1</f>
        <v>Apr 23</v>
      </c>
      <c r="B1431" t="str">
        <f>ORG!$M$1</f>
        <v>Public Health Wales Trust</v>
      </c>
      <c r="C1431" s="1453" t="s">
        <v>1363</v>
      </c>
      <c r="D1431">
        <v>17</v>
      </c>
      <c r="E1431" t="str">
        <f>'P - Ringfenced'!$B$5</f>
        <v>Table A: Allocation Paper (23/24 New Ring Fenced)</v>
      </c>
      <c r="F1431" t="str">
        <f>'P - Ringfenced'!A17</f>
        <v>Regional Integration Fund (£132.7m)_Variance against current plan</v>
      </c>
      <c r="G1431" s="2896">
        <f>'P - Ringfenced'!F17</f>
        <v>0</v>
      </c>
      <c r="H1431" s="2896">
        <f>'P - Ringfenced'!G17</f>
        <v>0</v>
      </c>
      <c r="I1431" s="2896">
        <f>'P - Ringfenced'!H17</f>
        <v>0</v>
      </c>
      <c r="J1431" s="2896">
        <f>'P - Ringfenced'!I17</f>
        <v>0</v>
      </c>
      <c r="K1431" s="2896">
        <f>'P - Ringfenced'!J17</f>
        <v>0</v>
      </c>
      <c r="L1431" s="2896">
        <f>'P - Ringfenced'!K17</f>
        <v>0</v>
      </c>
      <c r="M1431" s="2896">
        <f>'P - Ringfenced'!L17</f>
        <v>0</v>
      </c>
      <c r="N1431" s="2896">
        <f>'P - Ringfenced'!M17</f>
        <v>0</v>
      </c>
      <c r="O1431" s="2896">
        <f>'P - Ringfenced'!N17</f>
        <v>0</v>
      </c>
      <c r="P1431" s="2896">
        <f>'P - Ringfenced'!O17</f>
        <v>0</v>
      </c>
      <c r="Q1431" s="2896">
        <f>'P - Ringfenced'!P17</f>
        <v>0</v>
      </c>
      <c r="R1431" s="2896">
        <f>'P - Ringfenced'!Q17</f>
        <v>0</v>
      </c>
      <c r="S1431">
        <f>'P - Ringfenced'!S17</f>
        <v>0</v>
      </c>
      <c r="U1431">
        <f t="shared" si="383"/>
        <v>0</v>
      </c>
    </row>
    <row r="1432" spans="1:21">
      <c r="A1432" s="2895" t="str">
        <f>ORG!$S$1</f>
        <v>Apr 23</v>
      </c>
      <c r="B1432" t="str">
        <f>ORG!$M$1</f>
        <v>Public Health Wales Trust</v>
      </c>
      <c r="C1432" s="1453" t="s">
        <v>1363</v>
      </c>
      <c r="D1432">
        <v>18</v>
      </c>
      <c r="E1432" t="str">
        <f>'P - Ringfenced'!$B$5</f>
        <v>Table A: Allocation Paper (23/24 New Ring Fenced)</v>
      </c>
      <c r="F1432" t="str">
        <f>'P - Ringfenced'!A18</f>
        <v>Genomics for Precision Medicine Strategy (£10.1m)_Plan</v>
      </c>
      <c r="G1432" s="2896">
        <f>'P - Ringfenced'!F18</f>
        <v>0</v>
      </c>
      <c r="H1432" s="2896">
        <f>'P - Ringfenced'!G18</f>
        <v>0</v>
      </c>
      <c r="I1432" s="2896">
        <f>'P - Ringfenced'!H18</f>
        <v>0</v>
      </c>
      <c r="J1432" s="2896">
        <f>'P - Ringfenced'!I18</f>
        <v>0</v>
      </c>
      <c r="K1432" s="2896">
        <f>'P - Ringfenced'!J18</f>
        <v>0</v>
      </c>
      <c r="L1432" s="2896">
        <f>'P - Ringfenced'!K18</f>
        <v>0</v>
      </c>
      <c r="M1432" s="2896">
        <f>'P - Ringfenced'!L18</f>
        <v>0</v>
      </c>
      <c r="N1432" s="2896">
        <f>'P - Ringfenced'!M18</f>
        <v>0</v>
      </c>
      <c r="O1432" s="2896">
        <f>'P - Ringfenced'!N18</f>
        <v>0</v>
      </c>
      <c r="P1432" s="2896">
        <f>'P - Ringfenced'!O18</f>
        <v>0</v>
      </c>
      <c r="Q1432" s="2896">
        <f>'P - Ringfenced'!P18</f>
        <v>0</v>
      </c>
      <c r="R1432" s="2896">
        <f>'P - Ringfenced'!Q18</f>
        <v>0</v>
      </c>
      <c r="S1432">
        <f>'P - Ringfenced'!S18</f>
        <v>0</v>
      </c>
      <c r="U1432">
        <f t="shared" si="383"/>
        <v>0</v>
      </c>
    </row>
    <row r="1433" spans="1:21">
      <c r="A1433" s="2895" t="str">
        <f>ORG!$S$1</f>
        <v>Apr 23</v>
      </c>
      <c r="B1433" t="str">
        <f>ORG!$M$1</f>
        <v>Public Health Wales Trust</v>
      </c>
      <c r="C1433" s="1453" t="s">
        <v>1363</v>
      </c>
      <c r="D1433">
        <v>19</v>
      </c>
      <c r="E1433" t="str">
        <f>'P - Ringfenced'!$B$5</f>
        <v>Table A: Allocation Paper (23/24 New Ring Fenced)</v>
      </c>
      <c r="F1433" t="str">
        <f>'P - Ringfenced'!A19</f>
        <v>Genomics for Precision Medicine Strategy (£10.1m)_Actual/Forecast - not yet committed</v>
      </c>
      <c r="G1433" s="2896">
        <f>'P - Ringfenced'!F19</f>
        <v>0</v>
      </c>
      <c r="H1433" s="2896">
        <f>'P - Ringfenced'!G19</f>
        <v>0</v>
      </c>
      <c r="I1433" s="2896">
        <f>'P - Ringfenced'!H19</f>
        <v>0</v>
      </c>
      <c r="J1433" s="2896">
        <f>'P - Ringfenced'!I19</f>
        <v>0</v>
      </c>
      <c r="K1433" s="2896">
        <f>'P - Ringfenced'!J19</f>
        <v>0</v>
      </c>
      <c r="L1433" s="2896">
        <f>'P - Ringfenced'!K19</f>
        <v>0</v>
      </c>
      <c r="M1433" s="2896">
        <f>'P - Ringfenced'!L19</f>
        <v>0</v>
      </c>
      <c r="N1433" s="2896">
        <f>'P - Ringfenced'!M19</f>
        <v>0</v>
      </c>
      <c r="O1433" s="2896">
        <f>'P - Ringfenced'!N19</f>
        <v>0</v>
      </c>
      <c r="P1433" s="2896">
        <f>'P - Ringfenced'!O19</f>
        <v>0</v>
      </c>
      <c r="Q1433" s="2896">
        <f>'P - Ringfenced'!P19</f>
        <v>0</v>
      </c>
      <c r="R1433" s="2896">
        <f>'P - Ringfenced'!Q19</f>
        <v>0</v>
      </c>
      <c r="S1433">
        <f>'P - Ringfenced'!S19</f>
        <v>0</v>
      </c>
      <c r="U1433">
        <f t="shared" si="383"/>
        <v>0</v>
      </c>
    </row>
    <row r="1434" spans="1:21">
      <c r="A1434" s="2895" t="str">
        <f>ORG!$S$1</f>
        <v>Apr 23</v>
      </c>
      <c r="B1434" t="str">
        <f>ORG!$M$1</f>
        <v>Public Health Wales Trust</v>
      </c>
      <c r="C1434" s="1453" t="s">
        <v>1363</v>
      </c>
      <c r="D1434">
        <v>20</v>
      </c>
      <c r="E1434" t="str">
        <f>'P - Ringfenced'!$B$5</f>
        <v>Table A: Allocation Paper (23/24 New Ring Fenced)</v>
      </c>
      <c r="F1434" t="str">
        <f>'P - Ringfenced'!A20</f>
        <v>Genomics for Precision Medicine Strategy (£10.1m)_Actual/Forecast - committed</v>
      </c>
      <c r="G1434" s="2896">
        <f>'P - Ringfenced'!F20</f>
        <v>0</v>
      </c>
      <c r="H1434" s="2896">
        <f>'P - Ringfenced'!G20</f>
        <v>0</v>
      </c>
      <c r="I1434" s="2896">
        <f>'P - Ringfenced'!H20</f>
        <v>0</v>
      </c>
      <c r="J1434" s="2896">
        <f>'P - Ringfenced'!I20</f>
        <v>0</v>
      </c>
      <c r="K1434" s="2896">
        <f>'P - Ringfenced'!J20</f>
        <v>0</v>
      </c>
      <c r="L1434" s="2896">
        <f>'P - Ringfenced'!K20</f>
        <v>0</v>
      </c>
      <c r="M1434" s="2896">
        <f>'P - Ringfenced'!L20</f>
        <v>0</v>
      </c>
      <c r="N1434" s="2896">
        <f>'P - Ringfenced'!M20</f>
        <v>0</v>
      </c>
      <c r="O1434" s="2896">
        <f>'P - Ringfenced'!N20</f>
        <v>0</v>
      </c>
      <c r="P1434" s="2896">
        <f>'P - Ringfenced'!O20</f>
        <v>0</v>
      </c>
      <c r="Q1434" s="2896">
        <f>'P - Ringfenced'!P20</f>
        <v>0</v>
      </c>
      <c r="R1434" s="2896">
        <f>'P - Ringfenced'!Q20</f>
        <v>0</v>
      </c>
      <c r="S1434">
        <f>'P - Ringfenced'!S20</f>
        <v>0</v>
      </c>
      <c r="U1434">
        <f t="shared" si="383"/>
        <v>0</v>
      </c>
    </row>
    <row r="1435" spans="1:21">
      <c r="A1435" s="2895" t="str">
        <f>ORG!$S$1</f>
        <v>Apr 23</v>
      </c>
      <c r="B1435" t="str">
        <f>ORG!$M$1</f>
        <v>Public Health Wales Trust</v>
      </c>
      <c r="C1435" s="1453" t="s">
        <v>1363</v>
      </c>
      <c r="D1435">
        <v>21</v>
      </c>
      <c r="E1435" t="str">
        <f>'P - Ringfenced'!$B$5</f>
        <v>Table A: Allocation Paper (23/24 New Ring Fenced)</v>
      </c>
      <c r="F1435" t="str">
        <f>'P - Ringfenced'!A21</f>
        <v>Genomics for Precision Medicine Strategy (£10.1m)_Variance against current plan</v>
      </c>
      <c r="G1435" s="2896">
        <f>'P - Ringfenced'!F21</f>
        <v>0</v>
      </c>
      <c r="H1435" s="2896">
        <f>'P - Ringfenced'!G21</f>
        <v>0</v>
      </c>
      <c r="I1435" s="2896">
        <f>'P - Ringfenced'!H21</f>
        <v>0</v>
      </c>
      <c r="J1435" s="2896">
        <f>'P - Ringfenced'!I21</f>
        <v>0</v>
      </c>
      <c r="K1435" s="2896">
        <f>'P - Ringfenced'!J21</f>
        <v>0</v>
      </c>
      <c r="L1435" s="2896">
        <f>'P - Ringfenced'!K21</f>
        <v>0</v>
      </c>
      <c r="M1435" s="2896">
        <f>'P - Ringfenced'!L21</f>
        <v>0</v>
      </c>
      <c r="N1435" s="2896">
        <f>'P - Ringfenced'!M21</f>
        <v>0</v>
      </c>
      <c r="O1435" s="2896">
        <f>'P - Ringfenced'!N21</f>
        <v>0</v>
      </c>
      <c r="P1435" s="2896">
        <f>'P - Ringfenced'!O21</f>
        <v>0</v>
      </c>
      <c r="Q1435" s="2896">
        <f>'P - Ringfenced'!P21</f>
        <v>0</v>
      </c>
      <c r="R1435" s="2896">
        <f>'P - Ringfenced'!Q21</f>
        <v>0</v>
      </c>
      <c r="S1435">
        <f>'P - Ringfenced'!S21</f>
        <v>0</v>
      </c>
      <c r="U1435">
        <f t="shared" si="383"/>
        <v>0</v>
      </c>
    </row>
    <row r="1436" spans="1:21">
      <c r="A1436" s="2895" t="str">
        <f>ORG!$S$1</f>
        <v>Apr 23</v>
      </c>
      <c r="B1436" t="str">
        <f>ORG!$M$1</f>
        <v>Public Health Wales Trust</v>
      </c>
      <c r="C1436" s="1453" t="s">
        <v>1363</v>
      </c>
      <c r="D1436">
        <v>22</v>
      </c>
      <c r="E1436" t="str">
        <f>'P - Ringfenced'!$B$5</f>
        <v>Table A: Allocation Paper (23/24 New Ring Fenced)</v>
      </c>
      <c r="F1436" t="str">
        <f>'P - Ringfenced'!A22</f>
        <v>Critical Care Funding (£18.7m)_Plan</v>
      </c>
      <c r="G1436" s="2896">
        <f>'P - Ringfenced'!F22</f>
        <v>0</v>
      </c>
      <c r="H1436" s="2896">
        <f>'P - Ringfenced'!G22</f>
        <v>0</v>
      </c>
      <c r="I1436" s="2896">
        <f>'P - Ringfenced'!H22</f>
        <v>0</v>
      </c>
      <c r="J1436" s="2896">
        <f>'P - Ringfenced'!I22</f>
        <v>0</v>
      </c>
      <c r="K1436" s="2896">
        <f>'P - Ringfenced'!J22</f>
        <v>0</v>
      </c>
      <c r="L1436" s="2896">
        <f>'P - Ringfenced'!K22</f>
        <v>0</v>
      </c>
      <c r="M1436" s="2896">
        <f>'P - Ringfenced'!L22</f>
        <v>0</v>
      </c>
      <c r="N1436" s="2896">
        <f>'P - Ringfenced'!M22</f>
        <v>0</v>
      </c>
      <c r="O1436" s="2896">
        <f>'P - Ringfenced'!N22</f>
        <v>0</v>
      </c>
      <c r="P1436" s="2896">
        <f>'P - Ringfenced'!O22</f>
        <v>0</v>
      </c>
      <c r="Q1436" s="2896">
        <f>'P - Ringfenced'!P22</f>
        <v>0</v>
      </c>
      <c r="R1436" s="2896">
        <f>'P - Ringfenced'!Q22</f>
        <v>0</v>
      </c>
      <c r="S1436">
        <f>'P - Ringfenced'!S22</f>
        <v>0</v>
      </c>
      <c r="U1436">
        <f t="shared" si="383"/>
        <v>0</v>
      </c>
    </row>
    <row r="1437" spans="1:21">
      <c r="A1437" s="2895" t="str">
        <f>ORG!$S$1</f>
        <v>Apr 23</v>
      </c>
      <c r="B1437" t="str">
        <f>ORG!$M$1</f>
        <v>Public Health Wales Trust</v>
      </c>
      <c r="C1437" s="1453" t="s">
        <v>1363</v>
      </c>
      <c r="D1437">
        <v>23</v>
      </c>
      <c r="E1437" t="str">
        <f>'P - Ringfenced'!$B$5</f>
        <v>Table A: Allocation Paper (23/24 New Ring Fenced)</v>
      </c>
      <c r="F1437" t="str">
        <f>'P - Ringfenced'!A23</f>
        <v>Critical Care Funding (£18.7m)_Actual/Forecast - not yet committed</v>
      </c>
      <c r="G1437" s="2896">
        <f>'P - Ringfenced'!F23</f>
        <v>0</v>
      </c>
      <c r="H1437" s="2896">
        <f>'P - Ringfenced'!G23</f>
        <v>0</v>
      </c>
      <c r="I1437" s="2896">
        <f>'P - Ringfenced'!H23</f>
        <v>0</v>
      </c>
      <c r="J1437" s="2896">
        <f>'P - Ringfenced'!I23</f>
        <v>0</v>
      </c>
      <c r="K1437" s="2896">
        <f>'P - Ringfenced'!J23</f>
        <v>0</v>
      </c>
      <c r="L1437" s="2896">
        <f>'P - Ringfenced'!K23</f>
        <v>0</v>
      </c>
      <c r="M1437" s="2896">
        <f>'P - Ringfenced'!L23</f>
        <v>0</v>
      </c>
      <c r="N1437" s="2896">
        <f>'P - Ringfenced'!M23</f>
        <v>0</v>
      </c>
      <c r="O1437" s="2896">
        <f>'P - Ringfenced'!N23</f>
        <v>0</v>
      </c>
      <c r="P1437" s="2896">
        <f>'P - Ringfenced'!O23</f>
        <v>0</v>
      </c>
      <c r="Q1437" s="2896">
        <f>'P - Ringfenced'!P23</f>
        <v>0</v>
      </c>
      <c r="R1437" s="2896">
        <f>'P - Ringfenced'!Q23</f>
        <v>0</v>
      </c>
      <c r="S1437">
        <f>'P - Ringfenced'!S23</f>
        <v>0</v>
      </c>
      <c r="U1437">
        <f t="shared" si="383"/>
        <v>0</v>
      </c>
    </row>
    <row r="1438" spans="1:21">
      <c r="A1438" s="2895" t="str">
        <f>ORG!$S$1</f>
        <v>Apr 23</v>
      </c>
      <c r="B1438" t="str">
        <f>ORG!$M$1</f>
        <v>Public Health Wales Trust</v>
      </c>
      <c r="C1438" s="1453" t="s">
        <v>1363</v>
      </c>
      <c r="D1438">
        <v>24</v>
      </c>
      <c r="E1438" t="str">
        <f>'P - Ringfenced'!$B$5</f>
        <v>Table A: Allocation Paper (23/24 New Ring Fenced)</v>
      </c>
      <c r="F1438" t="str">
        <f>'P - Ringfenced'!A24</f>
        <v>Critical Care Funding (£18.7m)_Actual/Forecast - committed</v>
      </c>
      <c r="G1438" s="2896">
        <f>'P - Ringfenced'!F24</f>
        <v>0</v>
      </c>
      <c r="H1438" s="2896">
        <f>'P - Ringfenced'!G24</f>
        <v>0</v>
      </c>
      <c r="I1438" s="2896">
        <f>'P - Ringfenced'!H24</f>
        <v>0</v>
      </c>
      <c r="J1438" s="2896">
        <f>'P - Ringfenced'!I24</f>
        <v>0</v>
      </c>
      <c r="K1438" s="2896">
        <f>'P - Ringfenced'!J24</f>
        <v>0</v>
      </c>
      <c r="L1438" s="2896">
        <f>'P - Ringfenced'!K24</f>
        <v>0</v>
      </c>
      <c r="M1438" s="2896">
        <f>'P - Ringfenced'!L24</f>
        <v>0</v>
      </c>
      <c r="N1438" s="2896">
        <f>'P - Ringfenced'!M24</f>
        <v>0</v>
      </c>
      <c r="O1438" s="2896">
        <f>'P - Ringfenced'!N24</f>
        <v>0</v>
      </c>
      <c r="P1438" s="2896">
        <f>'P - Ringfenced'!O24</f>
        <v>0</v>
      </c>
      <c r="Q1438" s="2896">
        <f>'P - Ringfenced'!P24</f>
        <v>0</v>
      </c>
      <c r="R1438" s="2896">
        <f>'P - Ringfenced'!Q24</f>
        <v>0</v>
      </c>
      <c r="S1438">
        <f>'P - Ringfenced'!S24</f>
        <v>0</v>
      </c>
      <c r="U1438">
        <f t="shared" si="383"/>
        <v>0</v>
      </c>
    </row>
    <row r="1439" spans="1:21">
      <c r="A1439" s="2895" t="str">
        <f>ORG!$S$1</f>
        <v>Apr 23</v>
      </c>
      <c r="B1439" t="str">
        <f>ORG!$M$1</f>
        <v>Public Health Wales Trust</v>
      </c>
      <c r="C1439" s="1453" t="s">
        <v>1363</v>
      </c>
      <c r="D1439">
        <v>25</v>
      </c>
      <c r="E1439" t="str">
        <f>'P - Ringfenced'!$B$5</f>
        <v>Table A: Allocation Paper (23/24 New Ring Fenced)</v>
      </c>
      <c r="F1439" t="str">
        <f>'P - Ringfenced'!A25</f>
        <v>Critical Care Funding (£18.7m)_Variance against current plan</v>
      </c>
      <c r="G1439" s="2896">
        <f>'P - Ringfenced'!F25</f>
        <v>0</v>
      </c>
      <c r="H1439" s="2896">
        <f>'P - Ringfenced'!G25</f>
        <v>0</v>
      </c>
      <c r="I1439" s="2896">
        <f>'P - Ringfenced'!H25</f>
        <v>0</v>
      </c>
      <c r="J1439" s="2896">
        <f>'P - Ringfenced'!I25</f>
        <v>0</v>
      </c>
      <c r="K1439" s="2896">
        <f>'P - Ringfenced'!J25</f>
        <v>0</v>
      </c>
      <c r="L1439" s="2896">
        <f>'P - Ringfenced'!K25</f>
        <v>0</v>
      </c>
      <c r="M1439" s="2896">
        <f>'P - Ringfenced'!L25</f>
        <v>0</v>
      </c>
      <c r="N1439" s="2896">
        <f>'P - Ringfenced'!M25</f>
        <v>0</v>
      </c>
      <c r="O1439" s="2896">
        <f>'P - Ringfenced'!N25</f>
        <v>0</v>
      </c>
      <c r="P1439" s="2896">
        <f>'P - Ringfenced'!O25</f>
        <v>0</v>
      </c>
      <c r="Q1439" s="2896">
        <f>'P - Ringfenced'!P25</f>
        <v>0</v>
      </c>
      <c r="R1439" s="2896">
        <f>'P - Ringfenced'!Q25</f>
        <v>0</v>
      </c>
      <c r="S1439">
        <f>'P - Ringfenced'!S25</f>
        <v>0</v>
      </c>
      <c r="U1439">
        <f t="shared" si="383"/>
        <v>0</v>
      </c>
    </row>
    <row r="1440" spans="1:21">
      <c r="A1440" s="2895" t="str">
        <f>ORG!$S$1</f>
        <v>Apr 23</v>
      </c>
      <c r="B1440" t="str">
        <f>ORG!$M$1</f>
        <v>Public Health Wales Trust</v>
      </c>
      <c r="C1440" s="1453" t="s">
        <v>1363</v>
      </c>
      <c r="D1440">
        <v>26</v>
      </c>
      <c r="E1440" t="str">
        <f>'P - Ringfenced'!$B$5</f>
        <v>Table A: Allocation Paper (23/24 New Ring Fenced)</v>
      </c>
      <c r="F1440">
        <f>'P - Ringfenced'!A26</f>
        <v>0</v>
      </c>
      <c r="G1440" s="2896">
        <f>'P - Ringfenced'!F26</f>
        <v>0</v>
      </c>
      <c r="H1440" s="2896">
        <f>'P - Ringfenced'!G26</f>
        <v>0</v>
      </c>
      <c r="I1440" s="2896">
        <f>'P - Ringfenced'!H26</f>
        <v>0</v>
      </c>
      <c r="J1440" s="2896">
        <f>'P - Ringfenced'!I26</f>
        <v>0</v>
      </c>
      <c r="K1440" s="2896">
        <f>'P - Ringfenced'!J26</f>
        <v>0</v>
      </c>
      <c r="L1440" s="2896">
        <f>'P - Ringfenced'!K26</f>
        <v>0</v>
      </c>
      <c r="M1440" s="2896">
        <f>'P - Ringfenced'!L26</f>
        <v>0</v>
      </c>
      <c r="N1440" s="2896">
        <f>'P - Ringfenced'!M26</f>
        <v>0</v>
      </c>
      <c r="O1440" s="2896">
        <f>'P - Ringfenced'!N26</f>
        <v>0</v>
      </c>
      <c r="P1440" s="2896">
        <f>'P - Ringfenced'!O26</f>
        <v>0</v>
      </c>
      <c r="Q1440" s="2896">
        <f>'P - Ringfenced'!P26</f>
        <v>0</v>
      </c>
      <c r="R1440" s="2896">
        <f>'P - Ringfenced'!Q26</f>
        <v>0</v>
      </c>
      <c r="S1440">
        <f>'P - Ringfenced'!S26</f>
        <v>0</v>
      </c>
      <c r="U1440">
        <f t="shared" si="383"/>
        <v>0</v>
      </c>
    </row>
    <row r="1441" spans="1:21">
      <c r="A1441" s="2895" t="str">
        <f>ORG!$S$1</f>
        <v>Apr 23</v>
      </c>
      <c r="B1441" t="str">
        <f>ORG!$M$1</f>
        <v>Public Health Wales Trust</v>
      </c>
      <c r="C1441" s="1453" t="s">
        <v>1363</v>
      </c>
      <c r="D1441">
        <v>27</v>
      </c>
      <c r="E1441" t="str">
        <f>'P - Ringfenced'!$B$5</f>
        <v>Table A: Allocation Paper (23/24 New Ring Fenced)</v>
      </c>
      <c r="F1441">
        <f>'P - Ringfenced'!A27</f>
        <v>0</v>
      </c>
      <c r="G1441" s="2896">
        <f>'P - Ringfenced'!F27</f>
        <v>0</v>
      </c>
      <c r="H1441" s="2896">
        <f>'P - Ringfenced'!G27</f>
        <v>0</v>
      </c>
      <c r="I1441" s="2896">
        <f>'P - Ringfenced'!H27</f>
        <v>0</v>
      </c>
      <c r="J1441" s="2896">
        <f>'P - Ringfenced'!I27</f>
        <v>0</v>
      </c>
      <c r="K1441" s="2896">
        <f>'P - Ringfenced'!J27</f>
        <v>0</v>
      </c>
      <c r="L1441" s="2896">
        <f>'P - Ringfenced'!K27</f>
        <v>0</v>
      </c>
      <c r="M1441" s="2896">
        <f>'P - Ringfenced'!L27</f>
        <v>0</v>
      </c>
      <c r="N1441" s="2896">
        <f>'P - Ringfenced'!M27</f>
        <v>0</v>
      </c>
      <c r="O1441" s="2896">
        <f>'P - Ringfenced'!N27</f>
        <v>0</v>
      </c>
      <c r="P1441" s="2896">
        <f>'P - Ringfenced'!O27</f>
        <v>0</v>
      </c>
      <c r="Q1441" s="2896">
        <f>'P - Ringfenced'!P27</f>
        <v>0</v>
      </c>
      <c r="R1441" s="2896">
        <f>'P - Ringfenced'!Q27</f>
        <v>0</v>
      </c>
      <c r="S1441">
        <f>'P - Ringfenced'!S27</f>
        <v>0</v>
      </c>
      <c r="U1441">
        <f t="shared" si="383"/>
        <v>0</v>
      </c>
    </row>
    <row r="1442" spans="1:21">
      <c r="A1442" s="2895" t="str">
        <f>ORG!$S$1</f>
        <v>Apr 23</v>
      </c>
      <c r="B1442" t="str">
        <f>ORG!$M$1</f>
        <v>Public Health Wales Trust</v>
      </c>
      <c r="C1442" s="1453" t="s">
        <v>1363</v>
      </c>
      <c r="D1442">
        <v>30</v>
      </c>
      <c r="E1442" t="str">
        <f>'P - Ringfenced'!$B$29</f>
        <v>Table B : Additional In-Year (23/24 Anticipated &amp; Allocated)</v>
      </c>
      <c r="F1442" t="str">
        <f>'P - Ringfenced'!A30</f>
        <v>Urgent Emergency Care Allocations_Plan</v>
      </c>
      <c r="G1442" s="2896">
        <f>'P - Ringfenced'!F30</f>
        <v>0</v>
      </c>
      <c r="H1442" s="2896">
        <f>'P - Ringfenced'!G30</f>
        <v>0</v>
      </c>
      <c r="I1442" s="2896">
        <f>'P - Ringfenced'!H30</f>
        <v>0</v>
      </c>
      <c r="J1442" s="2896">
        <f>'P - Ringfenced'!I30</f>
        <v>0</v>
      </c>
      <c r="K1442" s="2896">
        <f>'P - Ringfenced'!J30</f>
        <v>0</v>
      </c>
      <c r="L1442" s="2896">
        <f>'P - Ringfenced'!K30</f>
        <v>0</v>
      </c>
      <c r="M1442" s="2896">
        <f>'P - Ringfenced'!L30</f>
        <v>0</v>
      </c>
      <c r="N1442" s="2896">
        <f>'P - Ringfenced'!M30</f>
        <v>0</v>
      </c>
      <c r="O1442" s="2896">
        <f>'P - Ringfenced'!N30</f>
        <v>0</v>
      </c>
      <c r="P1442" s="2896">
        <f>'P - Ringfenced'!O30</f>
        <v>0</v>
      </c>
      <c r="Q1442" s="2896">
        <f>'P - Ringfenced'!P30</f>
        <v>0</v>
      </c>
      <c r="R1442" s="2896">
        <f>'P - Ringfenced'!Q30</f>
        <v>0</v>
      </c>
      <c r="S1442">
        <f>'P - Ringfenced'!S30</f>
        <v>0</v>
      </c>
      <c r="U1442">
        <f t="shared" si="383"/>
        <v>0</v>
      </c>
    </row>
    <row r="1443" spans="1:21">
      <c r="A1443" s="2895" t="str">
        <f>ORG!$S$1</f>
        <v>Apr 23</v>
      </c>
      <c r="B1443" t="str">
        <f>ORG!$M$1</f>
        <v>Public Health Wales Trust</v>
      </c>
      <c r="C1443" s="1453" t="s">
        <v>1363</v>
      </c>
      <c r="D1443">
        <v>31</v>
      </c>
      <c r="E1443" t="str">
        <f>'P - Ringfenced'!$B$29</f>
        <v>Table B : Additional In-Year (23/24 Anticipated &amp; Allocated)</v>
      </c>
      <c r="F1443" t="str">
        <f>'P - Ringfenced'!A31</f>
        <v>Urgent Emergency Care Allocations_Actual/Forecast - not yet committed</v>
      </c>
      <c r="G1443" s="2896">
        <f>'P - Ringfenced'!F31</f>
        <v>0</v>
      </c>
      <c r="H1443" s="2896">
        <f>'P - Ringfenced'!G31</f>
        <v>0</v>
      </c>
      <c r="I1443" s="2896">
        <f>'P - Ringfenced'!H31</f>
        <v>0</v>
      </c>
      <c r="J1443" s="2896">
        <f>'P - Ringfenced'!I31</f>
        <v>0</v>
      </c>
      <c r="K1443" s="2896">
        <f>'P - Ringfenced'!J31</f>
        <v>0</v>
      </c>
      <c r="L1443" s="2896">
        <f>'P - Ringfenced'!K31</f>
        <v>0</v>
      </c>
      <c r="M1443" s="2896">
        <f>'P - Ringfenced'!L31</f>
        <v>0</v>
      </c>
      <c r="N1443" s="2896">
        <f>'P - Ringfenced'!M31</f>
        <v>0</v>
      </c>
      <c r="O1443" s="2896">
        <f>'P - Ringfenced'!N31</f>
        <v>0</v>
      </c>
      <c r="P1443" s="2896">
        <f>'P - Ringfenced'!O31</f>
        <v>0</v>
      </c>
      <c r="Q1443" s="2896">
        <f>'P - Ringfenced'!P31</f>
        <v>0</v>
      </c>
      <c r="R1443" s="2896">
        <f>'P - Ringfenced'!Q31</f>
        <v>0</v>
      </c>
      <c r="S1443">
        <f>'P - Ringfenced'!S31</f>
        <v>0</v>
      </c>
      <c r="U1443">
        <f t="shared" si="383"/>
        <v>0</v>
      </c>
    </row>
    <row r="1444" spans="1:21">
      <c r="A1444" s="2895" t="str">
        <f>ORG!$S$1</f>
        <v>Apr 23</v>
      </c>
      <c r="B1444" t="str">
        <f>ORG!$M$1</f>
        <v>Public Health Wales Trust</v>
      </c>
      <c r="C1444" s="1453" t="s">
        <v>1363</v>
      </c>
      <c r="D1444">
        <v>32</v>
      </c>
      <c r="E1444" t="str">
        <f>'P - Ringfenced'!$B$29</f>
        <v>Table B : Additional In-Year (23/24 Anticipated &amp; Allocated)</v>
      </c>
      <c r="F1444" t="str">
        <f>'P - Ringfenced'!A32</f>
        <v>Urgent Emergency Care Allocations_Actual/Forecast - committed</v>
      </c>
      <c r="G1444" s="2896">
        <f>'P - Ringfenced'!F32</f>
        <v>0</v>
      </c>
      <c r="H1444" s="2896">
        <f>'P - Ringfenced'!G32</f>
        <v>0</v>
      </c>
      <c r="I1444" s="2896">
        <f>'P - Ringfenced'!H32</f>
        <v>0</v>
      </c>
      <c r="J1444" s="2896">
        <f>'P - Ringfenced'!I32</f>
        <v>0</v>
      </c>
      <c r="K1444" s="2896">
        <f>'P - Ringfenced'!J32</f>
        <v>0</v>
      </c>
      <c r="L1444" s="2896">
        <f>'P - Ringfenced'!K32</f>
        <v>0</v>
      </c>
      <c r="M1444" s="2896">
        <f>'P - Ringfenced'!L32</f>
        <v>0</v>
      </c>
      <c r="N1444" s="2896">
        <f>'P - Ringfenced'!M32</f>
        <v>0</v>
      </c>
      <c r="O1444" s="2896">
        <f>'P - Ringfenced'!N32</f>
        <v>0</v>
      </c>
      <c r="P1444" s="2896">
        <f>'P - Ringfenced'!O32</f>
        <v>0</v>
      </c>
      <c r="Q1444" s="2896">
        <f>'P - Ringfenced'!P32</f>
        <v>0</v>
      </c>
      <c r="R1444" s="2896">
        <f>'P - Ringfenced'!Q32</f>
        <v>0</v>
      </c>
      <c r="S1444">
        <f>'P - Ringfenced'!S32</f>
        <v>0</v>
      </c>
      <c r="U1444">
        <f t="shared" si="383"/>
        <v>0</v>
      </c>
    </row>
    <row r="1445" spans="1:21">
      <c r="A1445" s="2895" t="str">
        <f>ORG!$S$1</f>
        <v>Apr 23</v>
      </c>
      <c r="B1445" t="str">
        <f>ORG!$M$1</f>
        <v>Public Health Wales Trust</v>
      </c>
      <c r="C1445" s="1453" t="s">
        <v>1363</v>
      </c>
      <c r="D1445">
        <v>33</v>
      </c>
      <c r="E1445" t="str">
        <f>'P - Ringfenced'!$B$29</f>
        <v>Table B : Additional In-Year (23/24 Anticipated &amp; Allocated)</v>
      </c>
      <c r="F1445" t="str">
        <f>'P - Ringfenced'!A33</f>
        <v>Urgent Emergency Care Allocations_Variance against current plan</v>
      </c>
      <c r="G1445" s="2896">
        <f>'P - Ringfenced'!F33</f>
        <v>0</v>
      </c>
      <c r="H1445" s="2896">
        <f>'P - Ringfenced'!G33</f>
        <v>0</v>
      </c>
      <c r="I1445" s="2896">
        <f>'P - Ringfenced'!H33</f>
        <v>0</v>
      </c>
      <c r="J1445" s="2896">
        <f>'P - Ringfenced'!I33</f>
        <v>0</v>
      </c>
      <c r="K1445" s="2896">
        <f>'P - Ringfenced'!J33</f>
        <v>0</v>
      </c>
      <c r="L1445" s="2896">
        <f>'P - Ringfenced'!K33</f>
        <v>0</v>
      </c>
      <c r="M1445" s="2896">
        <f>'P - Ringfenced'!L33</f>
        <v>0</v>
      </c>
      <c r="N1445" s="2896">
        <f>'P - Ringfenced'!M33</f>
        <v>0</v>
      </c>
      <c r="O1445" s="2896">
        <f>'P - Ringfenced'!N33</f>
        <v>0</v>
      </c>
      <c r="P1445" s="2896">
        <f>'P - Ringfenced'!O33</f>
        <v>0</v>
      </c>
      <c r="Q1445" s="2896">
        <f>'P - Ringfenced'!P33</f>
        <v>0</v>
      </c>
      <c r="R1445" s="2896">
        <f>'P - Ringfenced'!Q33</f>
        <v>0</v>
      </c>
      <c r="S1445">
        <f>'P - Ringfenced'!S33</f>
        <v>0</v>
      </c>
      <c r="U1445">
        <f t="shared" si="383"/>
        <v>0</v>
      </c>
    </row>
    <row r="1446" spans="1:21">
      <c r="A1446" s="2895" t="str">
        <f>ORG!$S$1</f>
        <v>Apr 23</v>
      </c>
      <c r="B1446" t="str">
        <f>ORG!$M$1</f>
        <v>Public Health Wales Trust</v>
      </c>
      <c r="C1446" s="1453" t="s">
        <v>1363</v>
      </c>
      <c r="D1446">
        <v>34</v>
      </c>
      <c r="E1446" t="str">
        <f>'P - Ringfenced'!$B$29</f>
        <v>Table B : Additional In-Year (23/24 Anticipated &amp; Allocated)</v>
      </c>
      <c r="F1446" t="str">
        <f>'P - Ringfenced'!A34</f>
        <v>Mental Health (SIF) Allocations_Plan</v>
      </c>
      <c r="G1446" s="2896">
        <f>'P - Ringfenced'!F34</f>
        <v>0</v>
      </c>
      <c r="H1446" s="2896">
        <f>'P - Ringfenced'!G34</f>
        <v>0</v>
      </c>
      <c r="I1446" s="2896">
        <f>'P - Ringfenced'!H34</f>
        <v>0</v>
      </c>
      <c r="J1446" s="2896">
        <f>'P - Ringfenced'!I34</f>
        <v>0</v>
      </c>
      <c r="K1446" s="2896">
        <f>'P - Ringfenced'!J34</f>
        <v>0</v>
      </c>
      <c r="L1446" s="2896">
        <f>'P - Ringfenced'!K34</f>
        <v>0</v>
      </c>
      <c r="M1446" s="2896">
        <f>'P - Ringfenced'!L34</f>
        <v>0</v>
      </c>
      <c r="N1446" s="2896">
        <f>'P - Ringfenced'!M34</f>
        <v>0</v>
      </c>
      <c r="O1446" s="2896">
        <f>'P - Ringfenced'!N34</f>
        <v>0</v>
      </c>
      <c r="P1446" s="2896">
        <f>'P - Ringfenced'!O34</f>
        <v>0</v>
      </c>
      <c r="Q1446" s="2896">
        <f>'P - Ringfenced'!P34</f>
        <v>0</v>
      </c>
      <c r="R1446" s="2896">
        <f>'P - Ringfenced'!Q34</f>
        <v>0</v>
      </c>
      <c r="S1446">
        <f>'P - Ringfenced'!S34</f>
        <v>0</v>
      </c>
      <c r="U1446">
        <f t="shared" si="383"/>
        <v>0</v>
      </c>
    </row>
    <row r="1447" spans="1:21">
      <c r="A1447" s="2895" t="str">
        <f>ORG!$S$1</f>
        <v>Apr 23</v>
      </c>
      <c r="B1447" t="str">
        <f>ORG!$M$1</f>
        <v>Public Health Wales Trust</v>
      </c>
      <c r="C1447" s="1453" t="s">
        <v>1363</v>
      </c>
      <c r="D1447">
        <v>35</v>
      </c>
      <c r="E1447" t="str">
        <f>'P - Ringfenced'!$B$29</f>
        <v>Table B : Additional In-Year (23/24 Anticipated &amp; Allocated)</v>
      </c>
      <c r="F1447" t="str">
        <f>'P - Ringfenced'!A35</f>
        <v>Mental Health (SIF) Allocations_Actual/Forecast - not yet committed</v>
      </c>
      <c r="G1447" s="2896">
        <f>'P - Ringfenced'!F35</f>
        <v>0</v>
      </c>
      <c r="H1447" s="2896">
        <f>'P - Ringfenced'!G35</f>
        <v>0</v>
      </c>
      <c r="I1447" s="2896">
        <f>'P - Ringfenced'!H35</f>
        <v>0</v>
      </c>
      <c r="J1447" s="2896">
        <f>'P - Ringfenced'!I35</f>
        <v>0</v>
      </c>
      <c r="K1447" s="2896">
        <f>'P - Ringfenced'!J35</f>
        <v>0</v>
      </c>
      <c r="L1447" s="2896">
        <f>'P - Ringfenced'!K35</f>
        <v>0</v>
      </c>
      <c r="M1447" s="2896">
        <f>'P - Ringfenced'!L35</f>
        <v>0</v>
      </c>
      <c r="N1447" s="2896">
        <f>'P - Ringfenced'!M35</f>
        <v>0</v>
      </c>
      <c r="O1447" s="2896">
        <f>'P - Ringfenced'!N35</f>
        <v>0</v>
      </c>
      <c r="P1447" s="2896">
        <f>'P - Ringfenced'!O35</f>
        <v>0</v>
      </c>
      <c r="Q1447" s="2896">
        <f>'P - Ringfenced'!P35</f>
        <v>0</v>
      </c>
      <c r="R1447" s="2896">
        <f>'P - Ringfenced'!Q35</f>
        <v>0</v>
      </c>
      <c r="S1447">
        <f>'P - Ringfenced'!S35</f>
        <v>0</v>
      </c>
      <c r="U1447">
        <f t="shared" si="383"/>
        <v>0</v>
      </c>
    </row>
    <row r="1448" spans="1:21">
      <c r="A1448" s="2895" t="str">
        <f>ORG!$S$1</f>
        <v>Apr 23</v>
      </c>
      <c r="B1448" t="str">
        <f>ORG!$M$1</f>
        <v>Public Health Wales Trust</v>
      </c>
      <c r="C1448" s="1453" t="s">
        <v>1363</v>
      </c>
      <c r="D1448">
        <v>36</v>
      </c>
      <c r="E1448" t="str">
        <f>'P - Ringfenced'!$B$29</f>
        <v>Table B : Additional In-Year (23/24 Anticipated &amp; Allocated)</v>
      </c>
      <c r="F1448" t="str">
        <f>'P - Ringfenced'!A36</f>
        <v>Mental Health (SIF) Allocations_Actual/Forecast - committed</v>
      </c>
      <c r="G1448" s="2896">
        <f>'P - Ringfenced'!F36</f>
        <v>0</v>
      </c>
      <c r="H1448" s="2896">
        <f>'P - Ringfenced'!G36</f>
        <v>0</v>
      </c>
      <c r="I1448" s="2896">
        <f>'P - Ringfenced'!H36</f>
        <v>0</v>
      </c>
      <c r="J1448" s="2896">
        <f>'P - Ringfenced'!I36</f>
        <v>0</v>
      </c>
      <c r="K1448" s="2896">
        <f>'P - Ringfenced'!J36</f>
        <v>0</v>
      </c>
      <c r="L1448" s="2896">
        <f>'P - Ringfenced'!K36</f>
        <v>0</v>
      </c>
      <c r="M1448" s="2896">
        <f>'P - Ringfenced'!L36</f>
        <v>0</v>
      </c>
      <c r="N1448" s="2896">
        <f>'P - Ringfenced'!M36</f>
        <v>0</v>
      </c>
      <c r="O1448" s="2896">
        <f>'P - Ringfenced'!N36</f>
        <v>0</v>
      </c>
      <c r="P1448" s="2896">
        <f>'P - Ringfenced'!O36</f>
        <v>0</v>
      </c>
      <c r="Q1448" s="2896">
        <f>'P - Ringfenced'!P36</f>
        <v>0</v>
      </c>
      <c r="R1448" s="2896">
        <f>'P - Ringfenced'!Q36</f>
        <v>0</v>
      </c>
      <c r="S1448">
        <f>'P - Ringfenced'!S36</f>
        <v>0</v>
      </c>
      <c r="U1448">
        <f t="shared" si="383"/>
        <v>0</v>
      </c>
    </row>
    <row r="1449" spans="1:21">
      <c r="A1449" s="2895" t="str">
        <f>ORG!$S$1</f>
        <v>Apr 23</v>
      </c>
      <c r="B1449" t="str">
        <f>ORG!$M$1</f>
        <v>Public Health Wales Trust</v>
      </c>
      <c r="C1449" s="1453" t="s">
        <v>1363</v>
      </c>
      <c r="D1449">
        <v>37</v>
      </c>
      <c r="E1449" t="str">
        <f>'P - Ringfenced'!$B$29</f>
        <v>Table B : Additional In-Year (23/24 Anticipated &amp; Allocated)</v>
      </c>
      <c r="F1449" t="str">
        <f>'P - Ringfenced'!A37</f>
        <v>Mental Health (SIF) Allocations_Variance against current plan</v>
      </c>
      <c r="G1449" s="2896">
        <f>'P - Ringfenced'!F37</f>
        <v>0</v>
      </c>
      <c r="H1449" s="2896">
        <f>'P - Ringfenced'!G37</f>
        <v>0</v>
      </c>
      <c r="I1449" s="2896">
        <f>'P - Ringfenced'!H37</f>
        <v>0</v>
      </c>
      <c r="J1449" s="2896">
        <f>'P - Ringfenced'!I37</f>
        <v>0</v>
      </c>
      <c r="K1449" s="2896">
        <f>'P - Ringfenced'!J37</f>
        <v>0</v>
      </c>
      <c r="L1449" s="2896">
        <f>'P - Ringfenced'!K37</f>
        <v>0</v>
      </c>
      <c r="M1449" s="2896">
        <f>'P - Ringfenced'!L37</f>
        <v>0</v>
      </c>
      <c r="N1449" s="2896">
        <f>'P - Ringfenced'!M37</f>
        <v>0</v>
      </c>
      <c r="O1449" s="2896">
        <f>'P - Ringfenced'!N37</f>
        <v>0</v>
      </c>
      <c r="P1449" s="2896">
        <f>'P - Ringfenced'!O37</f>
        <v>0</v>
      </c>
      <c r="Q1449" s="2896">
        <f>'P - Ringfenced'!P37</f>
        <v>0</v>
      </c>
      <c r="R1449" s="2896">
        <f>'P - Ringfenced'!Q37</f>
        <v>0</v>
      </c>
      <c r="S1449">
        <f>'P - Ringfenced'!S37</f>
        <v>0</v>
      </c>
      <c r="U1449">
        <f t="shared" si="383"/>
        <v>0</v>
      </c>
    </row>
    <row r="1450" spans="1:21">
      <c r="A1450" s="2895" t="str">
        <f>ORG!$S$1</f>
        <v>Apr 23</v>
      </c>
      <c r="B1450" t="str">
        <f>ORG!$M$1</f>
        <v>Public Health Wales Trust</v>
      </c>
      <c r="C1450" s="1453" t="s">
        <v>1363</v>
      </c>
      <c r="D1450">
        <v>38</v>
      </c>
      <c r="E1450" t="str">
        <f>'P - Ringfenced'!$B$29</f>
        <v>Table B : Additional In-Year (23/24 Anticipated &amp; Allocated)</v>
      </c>
      <c r="F1450" t="str">
        <f>'P - Ringfenced'!A38</f>
        <v>Planned Care_Plan</v>
      </c>
      <c r="G1450" s="2896">
        <f>'P - Ringfenced'!F38</f>
        <v>0</v>
      </c>
      <c r="H1450" s="2896">
        <f>'P - Ringfenced'!G38</f>
        <v>0</v>
      </c>
      <c r="I1450" s="2896">
        <f>'P - Ringfenced'!H38</f>
        <v>0</v>
      </c>
      <c r="J1450" s="2896">
        <f>'P - Ringfenced'!I38</f>
        <v>0</v>
      </c>
      <c r="K1450" s="2896">
        <f>'P - Ringfenced'!J38</f>
        <v>0</v>
      </c>
      <c r="L1450" s="2896">
        <f>'P - Ringfenced'!K38</f>
        <v>0</v>
      </c>
      <c r="M1450" s="2896">
        <f>'P - Ringfenced'!L38</f>
        <v>0</v>
      </c>
      <c r="N1450" s="2896">
        <f>'P - Ringfenced'!M38</f>
        <v>0</v>
      </c>
      <c r="O1450" s="2896">
        <f>'P - Ringfenced'!N38</f>
        <v>0</v>
      </c>
      <c r="P1450" s="2896">
        <f>'P - Ringfenced'!O38</f>
        <v>0</v>
      </c>
      <c r="Q1450" s="2896">
        <f>'P - Ringfenced'!P38</f>
        <v>0</v>
      </c>
      <c r="R1450" s="2896">
        <f>'P - Ringfenced'!Q38</f>
        <v>0</v>
      </c>
      <c r="S1450">
        <f>'P - Ringfenced'!S38</f>
        <v>0</v>
      </c>
      <c r="U1450">
        <f t="shared" si="383"/>
        <v>0</v>
      </c>
    </row>
    <row r="1451" spans="1:21">
      <c r="A1451" s="2895" t="str">
        <f>ORG!$S$1</f>
        <v>Apr 23</v>
      </c>
      <c r="B1451" t="str">
        <f>ORG!$M$1</f>
        <v>Public Health Wales Trust</v>
      </c>
      <c r="C1451" s="1453" t="s">
        <v>1363</v>
      </c>
      <c r="D1451">
        <v>39</v>
      </c>
      <c r="E1451" t="str">
        <f>'P - Ringfenced'!$B$29</f>
        <v>Table B : Additional In-Year (23/24 Anticipated &amp; Allocated)</v>
      </c>
      <c r="F1451" t="str">
        <f>'P - Ringfenced'!A39</f>
        <v>Planned Care_Actual/Forecast - not yet committed</v>
      </c>
      <c r="G1451" s="2896">
        <f>'P - Ringfenced'!F39</f>
        <v>0</v>
      </c>
      <c r="H1451" s="2896">
        <f>'P - Ringfenced'!G39</f>
        <v>0</v>
      </c>
      <c r="I1451" s="2896">
        <f>'P - Ringfenced'!H39</f>
        <v>0</v>
      </c>
      <c r="J1451" s="2896">
        <f>'P - Ringfenced'!I39</f>
        <v>0</v>
      </c>
      <c r="K1451" s="2896">
        <f>'P - Ringfenced'!J39</f>
        <v>0</v>
      </c>
      <c r="L1451" s="2896">
        <f>'P - Ringfenced'!K39</f>
        <v>0</v>
      </c>
      <c r="M1451" s="2896">
        <f>'P - Ringfenced'!L39</f>
        <v>0</v>
      </c>
      <c r="N1451" s="2896">
        <f>'P - Ringfenced'!M39</f>
        <v>0</v>
      </c>
      <c r="O1451" s="2896">
        <f>'P - Ringfenced'!N39</f>
        <v>0</v>
      </c>
      <c r="P1451" s="2896">
        <f>'P - Ringfenced'!O39</f>
        <v>0</v>
      </c>
      <c r="Q1451" s="2896">
        <f>'P - Ringfenced'!P39</f>
        <v>0</v>
      </c>
      <c r="R1451" s="2896">
        <f>'P - Ringfenced'!Q39</f>
        <v>0</v>
      </c>
      <c r="S1451">
        <f>'P - Ringfenced'!S39</f>
        <v>0</v>
      </c>
      <c r="U1451">
        <f t="shared" si="383"/>
        <v>0</v>
      </c>
    </row>
    <row r="1452" spans="1:21">
      <c r="A1452" s="2895" t="str">
        <f>ORG!$S$1</f>
        <v>Apr 23</v>
      </c>
      <c r="B1452" t="str">
        <f>ORG!$M$1</f>
        <v>Public Health Wales Trust</v>
      </c>
      <c r="C1452" s="1453" t="s">
        <v>1363</v>
      </c>
      <c r="D1452">
        <v>40</v>
      </c>
      <c r="E1452" t="str">
        <f>'P - Ringfenced'!$B$29</f>
        <v>Table B : Additional In-Year (23/24 Anticipated &amp; Allocated)</v>
      </c>
      <c r="F1452" t="str">
        <f>'P - Ringfenced'!A40</f>
        <v>Planned Care_Actual/Forecast - committed</v>
      </c>
      <c r="G1452" s="2896">
        <f>'P - Ringfenced'!F40</f>
        <v>0</v>
      </c>
      <c r="H1452" s="2896">
        <f>'P - Ringfenced'!G40</f>
        <v>0</v>
      </c>
      <c r="I1452" s="2896">
        <f>'P - Ringfenced'!H40</f>
        <v>0</v>
      </c>
      <c r="J1452" s="2896">
        <f>'P - Ringfenced'!I40</f>
        <v>0</v>
      </c>
      <c r="K1452" s="2896">
        <f>'P - Ringfenced'!J40</f>
        <v>0</v>
      </c>
      <c r="L1452" s="2896">
        <f>'P - Ringfenced'!K40</f>
        <v>0</v>
      </c>
      <c r="M1452" s="2896">
        <f>'P - Ringfenced'!L40</f>
        <v>0</v>
      </c>
      <c r="N1452" s="2896">
        <f>'P - Ringfenced'!M40</f>
        <v>0</v>
      </c>
      <c r="O1452" s="2896">
        <f>'P - Ringfenced'!N40</f>
        <v>0</v>
      </c>
      <c r="P1452" s="2896">
        <f>'P - Ringfenced'!O40</f>
        <v>0</v>
      </c>
      <c r="Q1452" s="2896">
        <f>'P - Ringfenced'!P40</f>
        <v>0</v>
      </c>
      <c r="R1452" s="2896">
        <f>'P - Ringfenced'!Q40</f>
        <v>0</v>
      </c>
      <c r="S1452">
        <f>'P - Ringfenced'!S40</f>
        <v>0</v>
      </c>
      <c r="U1452">
        <f t="shared" si="383"/>
        <v>0</v>
      </c>
    </row>
    <row r="1453" spans="1:21">
      <c r="A1453" s="2895" t="str">
        <f>ORG!$S$1</f>
        <v>Apr 23</v>
      </c>
      <c r="B1453" t="str">
        <f>ORG!$M$1</f>
        <v>Public Health Wales Trust</v>
      </c>
      <c r="C1453" s="1453" t="s">
        <v>1363</v>
      </c>
      <c r="D1453">
        <v>41</v>
      </c>
      <c r="E1453" t="str">
        <f>'P - Ringfenced'!$B$29</f>
        <v>Table B : Additional In-Year (23/24 Anticipated &amp; Allocated)</v>
      </c>
      <c r="F1453" t="str">
        <f>'P - Ringfenced'!A41</f>
        <v>Planned Care_Variance against current plan</v>
      </c>
      <c r="G1453" s="2896">
        <f>'P - Ringfenced'!F41</f>
        <v>0</v>
      </c>
      <c r="H1453" s="2896">
        <f>'P - Ringfenced'!G41</f>
        <v>0</v>
      </c>
      <c r="I1453" s="2896">
        <f>'P - Ringfenced'!H41</f>
        <v>0</v>
      </c>
      <c r="J1453" s="2896">
        <f>'P - Ringfenced'!I41</f>
        <v>0</v>
      </c>
      <c r="K1453" s="2896">
        <f>'P - Ringfenced'!J41</f>
        <v>0</v>
      </c>
      <c r="L1453" s="2896">
        <f>'P - Ringfenced'!K41</f>
        <v>0</v>
      </c>
      <c r="M1453" s="2896">
        <f>'P - Ringfenced'!L41</f>
        <v>0</v>
      </c>
      <c r="N1453" s="2896">
        <f>'P - Ringfenced'!M41</f>
        <v>0</v>
      </c>
      <c r="O1453" s="2896">
        <f>'P - Ringfenced'!N41</f>
        <v>0</v>
      </c>
      <c r="P1453" s="2896">
        <f>'P - Ringfenced'!O41</f>
        <v>0</v>
      </c>
      <c r="Q1453" s="2896">
        <f>'P - Ringfenced'!P41</f>
        <v>0</v>
      </c>
      <c r="R1453" s="2896">
        <f>'P - Ringfenced'!Q41</f>
        <v>0</v>
      </c>
      <c r="S1453">
        <f>'P - Ringfenced'!S41</f>
        <v>0</v>
      </c>
      <c r="U1453">
        <f t="shared" si="383"/>
        <v>0</v>
      </c>
    </row>
    <row r="1454" spans="1:21">
      <c r="A1454" s="2895" t="str">
        <f>ORG!$S$1</f>
        <v>Apr 23</v>
      </c>
      <c r="B1454" t="str">
        <f>ORG!$M$1</f>
        <v>Public Health Wales Trust</v>
      </c>
      <c r="C1454" s="1453" t="s">
        <v>1363</v>
      </c>
      <c r="D1454">
        <v>42</v>
      </c>
      <c r="E1454" t="str">
        <f>'P - Ringfenced'!$B$29</f>
        <v>Table B : Additional In-Year (23/24 Anticipated &amp; Allocated)</v>
      </c>
      <c r="F1454" t="str">
        <f>'P - Ringfenced'!A42</f>
        <v>Value Based Health Care_Plan</v>
      </c>
      <c r="G1454" s="2896">
        <f>'P - Ringfenced'!F42</f>
        <v>0</v>
      </c>
      <c r="H1454" s="2896">
        <f>'P - Ringfenced'!G42</f>
        <v>0</v>
      </c>
      <c r="I1454" s="2896">
        <f>'P - Ringfenced'!H42</f>
        <v>0</v>
      </c>
      <c r="J1454" s="2896">
        <f>'P - Ringfenced'!I42</f>
        <v>0</v>
      </c>
      <c r="K1454" s="2896">
        <f>'P - Ringfenced'!J42</f>
        <v>0</v>
      </c>
      <c r="L1454" s="2896">
        <f>'P - Ringfenced'!K42</f>
        <v>0</v>
      </c>
      <c r="M1454" s="2896">
        <f>'P - Ringfenced'!L42</f>
        <v>0</v>
      </c>
      <c r="N1454" s="2896">
        <f>'P - Ringfenced'!M42</f>
        <v>0</v>
      </c>
      <c r="O1454" s="2896">
        <f>'P - Ringfenced'!N42</f>
        <v>0</v>
      </c>
      <c r="P1454" s="2896">
        <f>'P - Ringfenced'!O42</f>
        <v>0</v>
      </c>
      <c r="Q1454" s="2896">
        <f>'P - Ringfenced'!P42</f>
        <v>0</v>
      </c>
      <c r="R1454" s="2896">
        <f>'P - Ringfenced'!Q42</f>
        <v>0</v>
      </c>
      <c r="S1454">
        <f>'P - Ringfenced'!S42</f>
        <v>0</v>
      </c>
      <c r="U1454">
        <f t="shared" si="383"/>
        <v>0</v>
      </c>
    </row>
    <row r="1455" spans="1:21">
      <c r="A1455" s="2895" t="str">
        <f>ORG!$S$1</f>
        <v>Apr 23</v>
      </c>
      <c r="B1455" t="str">
        <f>ORG!$M$1</f>
        <v>Public Health Wales Trust</v>
      </c>
      <c r="C1455" s="1453" t="s">
        <v>1363</v>
      </c>
      <c r="D1455">
        <v>43</v>
      </c>
      <c r="E1455" t="str">
        <f>'P - Ringfenced'!$B$29</f>
        <v>Table B : Additional In-Year (23/24 Anticipated &amp; Allocated)</v>
      </c>
      <c r="F1455" t="str">
        <f>'P - Ringfenced'!A43</f>
        <v>Value Based Health Care_Actual/Forecast - not yet committed</v>
      </c>
      <c r="G1455" s="2896">
        <f>'P - Ringfenced'!F43</f>
        <v>0</v>
      </c>
      <c r="H1455" s="2896">
        <f>'P - Ringfenced'!G43</f>
        <v>0</v>
      </c>
      <c r="I1455" s="2896">
        <f>'P - Ringfenced'!H43</f>
        <v>0</v>
      </c>
      <c r="J1455" s="2896">
        <f>'P - Ringfenced'!I43</f>
        <v>0</v>
      </c>
      <c r="K1455" s="2896">
        <f>'P - Ringfenced'!J43</f>
        <v>0</v>
      </c>
      <c r="L1455" s="2896">
        <f>'P - Ringfenced'!K43</f>
        <v>0</v>
      </c>
      <c r="M1455" s="2896">
        <f>'P - Ringfenced'!L43</f>
        <v>0</v>
      </c>
      <c r="N1455" s="2896">
        <f>'P - Ringfenced'!M43</f>
        <v>0</v>
      </c>
      <c r="O1455" s="2896">
        <f>'P - Ringfenced'!N43</f>
        <v>0</v>
      </c>
      <c r="P1455" s="2896">
        <f>'P - Ringfenced'!O43</f>
        <v>0</v>
      </c>
      <c r="Q1455" s="2896">
        <f>'P - Ringfenced'!P43</f>
        <v>0</v>
      </c>
      <c r="R1455" s="2896">
        <f>'P - Ringfenced'!Q43</f>
        <v>0</v>
      </c>
      <c r="S1455">
        <f>'P - Ringfenced'!S43</f>
        <v>0</v>
      </c>
      <c r="U1455">
        <f t="shared" si="383"/>
        <v>0</v>
      </c>
    </row>
    <row r="1456" spans="1:21">
      <c r="A1456" s="2895" t="str">
        <f>ORG!$S$1</f>
        <v>Apr 23</v>
      </c>
      <c r="B1456" t="str">
        <f>ORG!$M$1</f>
        <v>Public Health Wales Trust</v>
      </c>
      <c r="C1456" s="1453" t="s">
        <v>1363</v>
      </c>
      <c r="D1456">
        <v>44</v>
      </c>
      <c r="E1456" t="str">
        <f>'P - Ringfenced'!$B$29</f>
        <v>Table B : Additional In-Year (23/24 Anticipated &amp; Allocated)</v>
      </c>
      <c r="F1456" t="str">
        <f>'P - Ringfenced'!A44</f>
        <v>Value Based Health Care_Actual/Forecast - committed</v>
      </c>
      <c r="G1456" s="2896">
        <f>'P - Ringfenced'!F44</f>
        <v>0</v>
      </c>
      <c r="H1456" s="2896">
        <f>'P - Ringfenced'!G44</f>
        <v>0</v>
      </c>
      <c r="I1456" s="2896">
        <f>'P - Ringfenced'!H44</f>
        <v>0</v>
      </c>
      <c r="J1456" s="2896">
        <f>'P - Ringfenced'!I44</f>
        <v>0</v>
      </c>
      <c r="K1456" s="2896">
        <f>'P - Ringfenced'!J44</f>
        <v>0</v>
      </c>
      <c r="L1456" s="2896">
        <f>'P - Ringfenced'!K44</f>
        <v>0</v>
      </c>
      <c r="M1456" s="2896">
        <f>'P - Ringfenced'!L44</f>
        <v>0</v>
      </c>
      <c r="N1456" s="2896">
        <f>'P - Ringfenced'!M44</f>
        <v>0</v>
      </c>
      <c r="O1456" s="2896">
        <f>'P - Ringfenced'!N44</f>
        <v>0</v>
      </c>
      <c r="P1456" s="2896">
        <f>'P - Ringfenced'!O44</f>
        <v>0</v>
      </c>
      <c r="Q1456" s="2896">
        <f>'P - Ringfenced'!P44</f>
        <v>0</v>
      </c>
      <c r="R1456" s="2896">
        <f>'P - Ringfenced'!Q44</f>
        <v>0</v>
      </c>
      <c r="S1456">
        <f>'P - Ringfenced'!S44</f>
        <v>0</v>
      </c>
      <c r="U1456">
        <f t="shared" si="383"/>
        <v>0</v>
      </c>
    </row>
    <row r="1457" spans="1:21">
      <c r="A1457" s="2895" t="str">
        <f>ORG!$S$1</f>
        <v>Apr 23</v>
      </c>
      <c r="B1457" t="str">
        <f>ORG!$M$1</f>
        <v>Public Health Wales Trust</v>
      </c>
      <c r="C1457" s="1453" t="s">
        <v>1363</v>
      </c>
      <c r="D1457">
        <v>45</v>
      </c>
      <c r="E1457" t="str">
        <f>'P - Ringfenced'!$B$29</f>
        <v>Table B : Additional In-Year (23/24 Anticipated &amp; Allocated)</v>
      </c>
      <c r="F1457" t="str">
        <f>'P - Ringfenced'!A45</f>
        <v>Value Based Health Care_Variance against current plan</v>
      </c>
      <c r="G1457" s="2896">
        <f>'P - Ringfenced'!F45</f>
        <v>0</v>
      </c>
      <c r="H1457" s="2896">
        <f>'P - Ringfenced'!G45</f>
        <v>0</v>
      </c>
      <c r="I1457" s="2896">
        <f>'P - Ringfenced'!H45</f>
        <v>0</v>
      </c>
      <c r="J1457" s="2896">
        <f>'P - Ringfenced'!I45</f>
        <v>0</v>
      </c>
      <c r="K1457" s="2896">
        <f>'P - Ringfenced'!J45</f>
        <v>0</v>
      </c>
      <c r="L1457" s="2896">
        <f>'P - Ringfenced'!K45</f>
        <v>0</v>
      </c>
      <c r="M1457" s="2896">
        <f>'P - Ringfenced'!L45</f>
        <v>0</v>
      </c>
      <c r="N1457" s="2896">
        <f>'P - Ringfenced'!M45</f>
        <v>0</v>
      </c>
      <c r="O1457" s="2896">
        <f>'P - Ringfenced'!N45</f>
        <v>0</v>
      </c>
      <c r="P1457" s="2896">
        <f>'P - Ringfenced'!O45</f>
        <v>0</v>
      </c>
      <c r="Q1457" s="2896">
        <f>'P - Ringfenced'!P45</f>
        <v>0</v>
      </c>
      <c r="R1457" s="2896">
        <f>'P - Ringfenced'!Q45</f>
        <v>0</v>
      </c>
      <c r="S1457">
        <f>'P - Ringfenced'!S45</f>
        <v>0</v>
      </c>
      <c r="U1457">
        <f t="shared" si="383"/>
        <v>0</v>
      </c>
    </row>
    <row r="1458" spans="1:21">
      <c r="A1458" s="2895" t="str">
        <f>ORG!$S$1</f>
        <v>Apr 23</v>
      </c>
      <c r="B1458" t="str">
        <f>ORG!$M$1</f>
        <v>Public Health Wales Trust</v>
      </c>
      <c r="C1458" s="1453" t="s">
        <v>1363</v>
      </c>
      <c r="D1458">
        <v>46</v>
      </c>
      <c r="E1458" t="str">
        <f>'P - Ringfenced'!$B$29</f>
        <v>Table B : Additional In-Year (23/24 Anticipated &amp; Allocated)</v>
      </c>
      <c r="F1458" t="str">
        <f>'P - Ringfenced'!A46</f>
        <v>Recovery_Plan</v>
      </c>
      <c r="G1458" s="2896">
        <f>'P - Ringfenced'!F46</f>
        <v>0</v>
      </c>
      <c r="H1458" s="2896">
        <f>'P - Ringfenced'!G46</f>
        <v>0</v>
      </c>
      <c r="I1458" s="2896">
        <f>'P - Ringfenced'!H46</f>
        <v>0</v>
      </c>
      <c r="J1458" s="2896">
        <f>'P - Ringfenced'!I46</f>
        <v>0</v>
      </c>
      <c r="K1458" s="2896">
        <f>'P - Ringfenced'!J46</f>
        <v>0</v>
      </c>
      <c r="L1458" s="2896">
        <f>'P - Ringfenced'!K46</f>
        <v>0</v>
      </c>
      <c r="M1458" s="2896">
        <f>'P - Ringfenced'!L46</f>
        <v>0</v>
      </c>
      <c r="N1458" s="2896">
        <f>'P - Ringfenced'!M46</f>
        <v>0</v>
      </c>
      <c r="O1458" s="2896">
        <f>'P - Ringfenced'!N46</f>
        <v>0</v>
      </c>
      <c r="P1458" s="2896">
        <f>'P - Ringfenced'!O46</f>
        <v>0</v>
      </c>
      <c r="Q1458" s="2896">
        <f>'P - Ringfenced'!P46</f>
        <v>0</v>
      </c>
      <c r="R1458" s="2896">
        <f>'P - Ringfenced'!Q46</f>
        <v>0</v>
      </c>
      <c r="S1458">
        <f>'P - Ringfenced'!S46</f>
        <v>0</v>
      </c>
      <c r="U1458">
        <f t="shared" si="383"/>
        <v>0</v>
      </c>
    </row>
    <row r="1459" spans="1:21">
      <c r="A1459" s="2895" t="str">
        <f>ORG!$S$1</f>
        <v>Apr 23</v>
      </c>
      <c r="B1459" t="str">
        <f>ORG!$M$1</f>
        <v>Public Health Wales Trust</v>
      </c>
      <c r="C1459" s="1453" t="s">
        <v>1363</v>
      </c>
      <c r="D1459">
        <v>47</v>
      </c>
      <c r="E1459" t="str">
        <f>'P - Ringfenced'!$B$29</f>
        <v>Table B : Additional In-Year (23/24 Anticipated &amp; Allocated)</v>
      </c>
      <c r="F1459" t="str">
        <f>'P - Ringfenced'!A47</f>
        <v>Recovery_Actual/Forecast - not yet committed</v>
      </c>
      <c r="G1459" s="2896">
        <f>'P - Ringfenced'!F47</f>
        <v>0</v>
      </c>
      <c r="H1459" s="2896">
        <f>'P - Ringfenced'!G47</f>
        <v>0</v>
      </c>
      <c r="I1459" s="2896">
        <f>'P - Ringfenced'!H47</f>
        <v>0</v>
      </c>
      <c r="J1459" s="2896">
        <f>'P - Ringfenced'!I47</f>
        <v>0</v>
      </c>
      <c r="K1459" s="2896">
        <f>'P - Ringfenced'!J47</f>
        <v>0</v>
      </c>
      <c r="L1459" s="2896">
        <f>'P - Ringfenced'!K47</f>
        <v>0</v>
      </c>
      <c r="M1459" s="2896">
        <f>'P - Ringfenced'!L47</f>
        <v>0</v>
      </c>
      <c r="N1459" s="2896">
        <f>'P - Ringfenced'!M47</f>
        <v>0</v>
      </c>
      <c r="O1459" s="2896">
        <f>'P - Ringfenced'!N47</f>
        <v>0</v>
      </c>
      <c r="P1459" s="2896">
        <f>'P - Ringfenced'!O47</f>
        <v>0</v>
      </c>
      <c r="Q1459" s="2896">
        <f>'P - Ringfenced'!P47</f>
        <v>0</v>
      </c>
      <c r="R1459" s="2896">
        <f>'P - Ringfenced'!Q47</f>
        <v>0</v>
      </c>
      <c r="S1459">
        <f>'P - Ringfenced'!S47</f>
        <v>0</v>
      </c>
      <c r="U1459">
        <f t="shared" si="383"/>
        <v>0</v>
      </c>
    </row>
    <row r="1460" spans="1:21">
      <c r="A1460" s="2895" t="str">
        <f>ORG!$S$1</f>
        <v>Apr 23</v>
      </c>
      <c r="B1460" t="str">
        <f>ORG!$M$1</f>
        <v>Public Health Wales Trust</v>
      </c>
      <c r="C1460" s="1453" t="s">
        <v>1363</v>
      </c>
      <c r="D1460">
        <v>48</v>
      </c>
      <c r="E1460" t="str">
        <f>'P - Ringfenced'!$B$29</f>
        <v>Table B : Additional In-Year (23/24 Anticipated &amp; Allocated)</v>
      </c>
      <c r="F1460" t="str">
        <f>'P - Ringfenced'!A48</f>
        <v>Recovery_Actual/Forecast - committed</v>
      </c>
      <c r="G1460" s="2896">
        <f>'P - Ringfenced'!F48</f>
        <v>0</v>
      </c>
      <c r="H1460" s="2896">
        <f>'P - Ringfenced'!G48</f>
        <v>0</v>
      </c>
      <c r="I1460" s="2896">
        <f>'P - Ringfenced'!H48</f>
        <v>0</v>
      </c>
      <c r="J1460" s="2896">
        <f>'P - Ringfenced'!I48</f>
        <v>0</v>
      </c>
      <c r="K1460" s="2896">
        <f>'P - Ringfenced'!J48</f>
        <v>0</v>
      </c>
      <c r="L1460" s="2896">
        <f>'P - Ringfenced'!K48</f>
        <v>0</v>
      </c>
      <c r="M1460" s="2896">
        <f>'P - Ringfenced'!L48</f>
        <v>0</v>
      </c>
      <c r="N1460" s="2896">
        <f>'P - Ringfenced'!M48</f>
        <v>0</v>
      </c>
      <c r="O1460" s="2896">
        <f>'P - Ringfenced'!N48</f>
        <v>0</v>
      </c>
      <c r="P1460" s="2896">
        <f>'P - Ringfenced'!O48</f>
        <v>0</v>
      </c>
      <c r="Q1460" s="2896">
        <f>'P - Ringfenced'!P48</f>
        <v>0</v>
      </c>
      <c r="R1460" s="2896">
        <f>'P - Ringfenced'!Q48</f>
        <v>0</v>
      </c>
      <c r="S1460">
        <f>'P - Ringfenced'!S48</f>
        <v>0</v>
      </c>
      <c r="U1460">
        <f t="shared" si="383"/>
        <v>0</v>
      </c>
    </row>
    <row r="1461" spans="1:21">
      <c r="A1461" s="2895" t="str">
        <f>ORG!$S$1</f>
        <v>Apr 23</v>
      </c>
      <c r="B1461" t="str">
        <f>ORG!$M$1</f>
        <v>Public Health Wales Trust</v>
      </c>
      <c r="C1461" s="1453" t="s">
        <v>1363</v>
      </c>
      <c r="D1461">
        <v>49</v>
      </c>
      <c r="E1461" t="str">
        <f>'P - Ringfenced'!$B$29</f>
        <v>Table B : Additional In-Year (23/24 Anticipated &amp; Allocated)</v>
      </c>
      <c r="F1461" t="str">
        <f>'P - Ringfenced'!A49</f>
        <v>Recovery_Variance against current plan</v>
      </c>
      <c r="G1461" s="2896">
        <f>'P - Ringfenced'!F49</f>
        <v>0</v>
      </c>
      <c r="H1461" s="2896">
        <f>'P - Ringfenced'!G49</f>
        <v>0</v>
      </c>
      <c r="I1461" s="2896">
        <f>'P - Ringfenced'!H49</f>
        <v>0</v>
      </c>
      <c r="J1461" s="2896">
        <f>'P - Ringfenced'!I49</f>
        <v>0</v>
      </c>
      <c r="K1461" s="2896">
        <f>'P - Ringfenced'!J49</f>
        <v>0</v>
      </c>
      <c r="L1461" s="2896">
        <f>'P - Ringfenced'!K49</f>
        <v>0</v>
      </c>
      <c r="M1461" s="2896">
        <f>'P - Ringfenced'!L49</f>
        <v>0</v>
      </c>
      <c r="N1461" s="2896">
        <f>'P - Ringfenced'!M49</f>
        <v>0</v>
      </c>
      <c r="O1461" s="2896">
        <f>'P - Ringfenced'!N49</f>
        <v>0</v>
      </c>
      <c r="P1461" s="2896">
        <f>'P - Ringfenced'!O49</f>
        <v>0</v>
      </c>
      <c r="Q1461" s="2896">
        <f>'P - Ringfenced'!P49</f>
        <v>0</v>
      </c>
      <c r="R1461" s="2896">
        <f>'P - Ringfenced'!Q49</f>
        <v>0</v>
      </c>
      <c r="S1461">
        <f>'P - Ringfenced'!S49</f>
        <v>0</v>
      </c>
      <c r="U1461">
        <f t="shared" si="383"/>
        <v>0</v>
      </c>
    </row>
    <row r="1462" spans="1:21">
      <c r="A1462" s="2895" t="str">
        <f>ORG!$S$1</f>
        <v>Apr 23</v>
      </c>
      <c r="B1462" t="str">
        <f>ORG!$M$1</f>
        <v>Public Health Wales Trust</v>
      </c>
      <c r="C1462" s="1453" t="s">
        <v>1363</v>
      </c>
      <c r="D1462">
        <v>50</v>
      </c>
      <c r="E1462" t="str">
        <f>'P - Ringfenced'!$B$29</f>
        <v>Table B : Additional In-Year (23/24 Anticipated &amp; Allocated)</v>
      </c>
      <c r="F1462" t="str">
        <f>'P - Ringfenced'!A50</f>
        <v>Spare_Plan</v>
      </c>
      <c r="G1462" s="2896">
        <f>'P - Ringfenced'!F50</f>
        <v>0</v>
      </c>
      <c r="H1462" s="2896">
        <f>'P - Ringfenced'!G50</f>
        <v>0</v>
      </c>
      <c r="I1462" s="2896">
        <f>'P - Ringfenced'!H50</f>
        <v>0</v>
      </c>
      <c r="J1462" s="2896">
        <f>'P - Ringfenced'!I50</f>
        <v>0</v>
      </c>
      <c r="K1462" s="2896">
        <f>'P - Ringfenced'!J50</f>
        <v>0</v>
      </c>
      <c r="L1462" s="2896">
        <f>'P - Ringfenced'!K50</f>
        <v>0</v>
      </c>
      <c r="M1462" s="2896">
        <f>'P - Ringfenced'!L50</f>
        <v>0</v>
      </c>
      <c r="N1462" s="2896">
        <f>'P - Ringfenced'!M50</f>
        <v>0</v>
      </c>
      <c r="O1462" s="2896">
        <f>'P - Ringfenced'!N50</f>
        <v>0</v>
      </c>
      <c r="P1462" s="2896">
        <f>'P - Ringfenced'!O50</f>
        <v>0</v>
      </c>
      <c r="Q1462" s="2896">
        <f>'P - Ringfenced'!P50</f>
        <v>0</v>
      </c>
      <c r="R1462" s="2896">
        <f>'P - Ringfenced'!Q50</f>
        <v>0</v>
      </c>
      <c r="S1462">
        <f>'P - Ringfenced'!S50</f>
        <v>0</v>
      </c>
      <c r="U1462">
        <f t="shared" si="383"/>
        <v>0</v>
      </c>
    </row>
    <row r="1463" spans="1:21">
      <c r="A1463" s="2895" t="str">
        <f>ORG!$S$1</f>
        <v>Apr 23</v>
      </c>
      <c r="B1463" t="str">
        <f>ORG!$M$1</f>
        <v>Public Health Wales Trust</v>
      </c>
      <c r="C1463" s="1453" t="s">
        <v>1363</v>
      </c>
      <c r="D1463">
        <v>51</v>
      </c>
      <c r="E1463" t="str">
        <f>'P - Ringfenced'!$B$29</f>
        <v>Table B : Additional In-Year (23/24 Anticipated &amp; Allocated)</v>
      </c>
      <c r="F1463" t="str">
        <f>'P - Ringfenced'!A51</f>
        <v>Spare_Actual/Forecast - not yet committed</v>
      </c>
      <c r="G1463" s="2896">
        <f>'P - Ringfenced'!F51</f>
        <v>0</v>
      </c>
      <c r="H1463" s="2896">
        <f>'P - Ringfenced'!G51</f>
        <v>0</v>
      </c>
      <c r="I1463" s="2896">
        <f>'P - Ringfenced'!H51</f>
        <v>0</v>
      </c>
      <c r="J1463" s="2896">
        <f>'P - Ringfenced'!I51</f>
        <v>0</v>
      </c>
      <c r="K1463" s="2896">
        <f>'P - Ringfenced'!J51</f>
        <v>0</v>
      </c>
      <c r="L1463" s="2896">
        <f>'P - Ringfenced'!K51</f>
        <v>0</v>
      </c>
      <c r="M1463" s="2896">
        <f>'P - Ringfenced'!L51</f>
        <v>0</v>
      </c>
      <c r="N1463" s="2896">
        <f>'P - Ringfenced'!M51</f>
        <v>0</v>
      </c>
      <c r="O1463" s="2896">
        <f>'P - Ringfenced'!N51</f>
        <v>0</v>
      </c>
      <c r="P1463" s="2896">
        <f>'P - Ringfenced'!O51</f>
        <v>0</v>
      </c>
      <c r="Q1463" s="2896">
        <f>'P - Ringfenced'!P51</f>
        <v>0</v>
      </c>
      <c r="R1463" s="2896">
        <f>'P - Ringfenced'!Q51</f>
        <v>0</v>
      </c>
      <c r="S1463">
        <f>'P - Ringfenced'!S51</f>
        <v>0</v>
      </c>
      <c r="U1463">
        <f t="shared" si="383"/>
        <v>0</v>
      </c>
    </row>
    <row r="1464" spans="1:21">
      <c r="A1464" s="2895" t="str">
        <f>ORG!$S$1</f>
        <v>Apr 23</v>
      </c>
      <c r="B1464" t="str">
        <f>ORG!$M$1</f>
        <v>Public Health Wales Trust</v>
      </c>
      <c r="C1464" s="1453" t="s">
        <v>1363</v>
      </c>
      <c r="D1464">
        <v>52</v>
      </c>
      <c r="E1464" t="str">
        <f>'P - Ringfenced'!$B$29</f>
        <v>Table B : Additional In-Year (23/24 Anticipated &amp; Allocated)</v>
      </c>
      <c r="F1464" t="str">
        <f>'P - Ringfenced'!A52</f>
        <v>Spare_Actual/Forecast - committed</v>
      </c>
      <c r="G1464" s="2896">
        <f>'P - Ringfenced'!F52</f>
        <v>0</v>
      </c>
      <c r="H1464" s="2896">
        <f>'P - Ringfenced'!G52</f>
        <v>0</v>
      </c>
      <c r="I1464" s="2896">
        <f>'P - Ringfenced'!H52</f>
        <v>0</v>
      </c>
      <c r="J1464" s="2896">
        <f>'P - Ringfenced'!I52</f>
        <v>0</v>
      </c>
      <c r="K1464" s="2896">
        <f>'P - Ringfenced'!J52</f>
        <v>0</v>
      </c>
      <c r="L1464" s="2896">
        <f>'P - Ringfenced'!K52</f>
        <v>0</v>
      </c>
      <c r="M1464" s="2896">
        <f>'P - Ringfenced'!L52</f>
        <v>0</v>
      </c>
      <c r="N1464" s="2896">
        <f>'P - Ringfenced'!M52</f>
        <v>0</v>
      </c>
      <c r="O1464" s="2896">
        <f>'P - Ringfenced'!N52</f>
        <v>0</v>
      </c>
      <c r="P1464" s="2896">
        <f>'P - Ringfenced'!O52</f>
        <v>0</v>
      </c>
      <c r="Q1464" s="2896">
        <f>'P - Ringfenced'!P52</f>
        <v>0</v>
      </c>
      <c r="R1464" s="2896">
        <f>'P - Ringfenced'!Q52</f>
        <v>0</v>
      </c>
      <c r="S1464">
        <f>'P - Ringfenced'!S52</f>
        <v>0</v>
      </c>
      <c r="U1464">
        <f t="shared" si="383"/>
        <v>0</v>
      </c>
    </row>
    <row r="1465" spans="1:21">
      <c r="A1465" s="2895" t="str">
        <f>ORG!$S$1</f>
        <v>Apr 23</v>
      </c>
      <c r="B1465" t="str">
        <f>ORG!$M$1</f>
        <v>Public Health Wales Trust</v>
      </c>
      <c r="C1465" s="1453" t="s">
        <v>1363</v>
      </c>
      <c r="D1465">
        <v>53</v>
      </c>
      <c r="E1465" t="str">
        <f>'P - Ringfenced'!$B$29</f>
        <v>Table B : Additional In-Year (23/24 Anticipated &amp; Allocated)</v>
      </c>
      <c r="F1465" t="str">
        <f>'P - Ringfenced'!A53</f>
        <v>Spare_Variance against current plan</v>
      </c>
      <c r="G1465" s="2896">
        <f>'P - Ringfenced'!F53</f>
        <v>0</v>
      </c>
      <c r="H1465" s="2896">
        <f>'P - Ringfenced'!G53</f>
        <v>0</v>
      </c>
      <c r="I1465" s="2896">
        <f>'P - Ringfenced'!H53</f>
        <v>0</v>
      </c>
      <c r="J1465" s="2896">
        <f>'P - Ringfenced'!I53</f>
        <v>0</v>
      </c>
      <c r="K1465" s="2896">
        <f>'P - Ringfenced'!J53</f>
        <v>0</v>
      </c>
      <c r="L1465" s="2896">
        <f>'P - Ringfenced'!K53</f>
        <v>0</v>
      </c>
      <c r="M1465" s="2896">
        <f>'P - Ringfenced'!L53</f>
        <v>0</v>
      </c>
      <c r="N1465" s="2896">
        <f>'P - Ringfenced'!M53</f>
        <v>0</v>
      </c>
      <c r="O1465" s="2896">
        <f>'P - Ringfenced'!N53</f>
        <v>0</v>
      </c>
      <c r="P1465" s="2896">
        <f>'P - Ringfenced'!O53</f>
        <v>0</v>
      </c>
      <c r="Q1465" s="2896">
        <f>'P - Ringfenced'!P53</f>
        <v>0</v>
      </c>
      <c r="R1465" s="2896">
        <f>'P - Ringfenced'!Q53</f>
        <v>0</v>
      </c>
      <c r="S1465">
        <f>'P - Ringfenced'!S53</f>
        <v>0</v>
      </c>
      <c r="U1465">
        <f t="shared" si="383"/>
        <v>0</v>
      </c>
    </row>
    <row r="1466" spans="1:21">
      <c r="A1466" s="2895" t="str">
        <f>ORG!$S$1</f>
        <v>Apr 23</v>
      </c>
      <c r="B1466" t="str">
        <f>ORG!$M$1</f>
        <v>Public Health Wales Trust</v>
      </c>
      <c r="C1466" s="1453" t="s">
        <v>1363</v>
      </c>
      <c r="D1466">
        <v>54</v>
      </c>
      <c r="E1466" t="str">
        <f>'P - Ringfenced'!$B$29</f>
        <v>Table B : Additional In-Year (23/24 Anticipated &amp; Allocated)</v>
      </c>
      <c r="F1466">
        <f>'P - Ringfenced'!A54</f>
        <v>0</v>
      </c>
      <c r="G1466" s="2896">
        <f>'P - Ringfenced'!F54</f>
        <v>0</v>
      </c>
      <c r="H1466" s="2896">
        <f>'P - Ringfenced'!G54</f>
        <v>0</v>
      </c>
      <c r="I1466" s="2896">
        <f>'P - Ringfenced'!H54</f>
        <v>0</v>
      </c>
      <c r="J1466" s="2896">
        <f>'P - Ringfenced'!I54</f>
        <v>0</v>
      </c>
      <c r="K1466" s="2896">
        <f>'P - Ringfenced'!J54</f>
        <v>0</v>
      </c>
      <c r="L1466" s="2896">
        <f>'P - Ringfenced'!K54</f>
        <v>0</v>
      </c>
      <c r="M1466" s="2896">
        <f>'P - Ringfenced'!L54</f>
        <v>0</v>
      </c>
      <c r="N1466" s="2896">
        <f>'P - Ringfenced'!M54</f>
        <v>0</v>
      </c>
      <c r="O1466" s="2896">
        <f>'P - Ringfenced'!N54</f>
        <v>0</v>
      </c>
      <c r="P1466" s="2896">
        <f>'P - Ringfenced'!O54</f>
        <v>0</v>
      </c>
      <c r="Q1466" s="2896">
        <f>'P - Ringfenced'!P54</f>
        <v>0</v>
      </c>
      <c r="R1466" s="2896">
        <f>'P - Ringfenced'!Q54</f>
        <v>0</v>
      </c>
      <c r="S1466">
        <f>'P - Ringfenced'!S54</f>
        <v>0</v>
      </c>
      <c r="U1466">
        <f t="shared" si="383"/>
        <v>0</v>
      </c>
    </row>
    <row r="1467" spans="1:21">
      <c r="A1467" s="2895" t="str">
        <f>ORG!$S$1</f>
        <v>Apr 23</v>
      </c>
      <c r="B1467" t="str">
        <f>ORG!$M$1</f>
        <v>Public Health Wales Trust</v>
      </c>
      <c r="C1467" s="1453" t="s">
        <v>1363</v>
      </c>
      <c r="D1467">
        <v>55</v>
      </c>
      <c r="E1467" t="str">
        <f>'P - Ringfenced'!$B$29</f>
        <v>Table B : Additional In-Year (23/24 Anticipated &amp; Allocated)</v>
      </c>
      <c r="F1467">
        <f>'P - Ringfenced'!A55</f>
        <v>0</v>
      </c>
      <c r="G1467" s="2896">
        <f>'P - Ringfenced'!F55</f>
        <v>0</v>
      </c>
      <c r="H1467" s="2896">
        <f>'P - Ringfenced'!G55</f>
        <v>0</v>
      </c>
      <c r="I1467" s="2896">
        <f>'P - Ringfenced'!H55</f>
        <v>0</v>
      </c>
      <c r="J1467" s="2896">
        <f>'P - Ringfenced'!I55</f>
        <v>0</v>
      </c>
      <c r="K1467" s="2896">
        <f>'P - Ringfenced'!J55</f>
        <v>0</v>
      </c>
      <c r="L1467" s="2896">
        <f>'P - Ringfenced'!K55</f>
        <v>0</v>
      </c>
      <c r="M1467" s="2896">
        <f>'P - Ringfenced'!L55</f>
        <v>0</v>
      </c>
      <c r="N1467" s="2896">
        <f>'P - Ringfenced'!M55</f>
        <v>0</v>
      </c>
      <c r="O1467" s="2896">
        <f>'P - Ringfenced'!N55</f>
        <v>0</v>
      </c>
      <c r="P1467" s="2896">
        <f>'P - Ringfenced'!O55</f>
        <v>0</v>
      </c>
      <c r="Q1467" s="2896">
        <f>'P - Ringfenced'!P55</f>
        <v>0</v>
      </c>
      <c r="R1467" s="2896">
        <f>'P - Ringfenced'!Q55</f>
        <v>0</v>
      </c>
      <c r="S1467">
        <f>'P - Ringfenced'!S55</f>
        <v>0</v>
      </c>
      <c r="U1467">
        <f t="shared" si="383"/>
        <v>0</v>
      </c>
    </row>
    <row r="1468" spans="1:21">
      <c r="A1468" s="2895" t="str">
        <f>ORG!$S$1</f>
        <v>Apr 23</v>
      </c>
      <c r="B1468" t="str">
        <f>ORG!$M$1</f>
        <v>Public Health Wales Trust</v>
      </c>
      <c r="C1468" s="1453" t="s">
        <v>1363</v>
      </c>
      <c r="D1468">
        <v>56</v>
      </c>
      <c r="E1468" t="str">
        <f>'P - Ringfenced'!$B$29</f>
        <v>Table B : Additional In-Year (23/24 Anticipated &amp; Allocated)</v>
      </c>
      <c r="F1468">
        <f>'P - Ringfenced'!A56</f>
        <v>0</v>
      </c>
      <c r="G1468" s="2896">
        <f>'P - Ringfenced'!F56</f>
        <v>0</v>
      </c>
      <c r="H1468" s="2896">
        <f>'P - Ringfenced'!G56</f>
        <v>0</v>
      </c>
      <c r="I1468" s="2896">
        <f>'P - Ringfenced'!H56</f>
        <v>0</v>
      </c>
      <c r="J1468" s="2896">
        <f>'P - Ringfenced'!I56</f>
        <v>0</v>
      </c>
      <c r="K1468" s="2896">
        <f>'P - Ringfenced'!J56</f>
        <v>0</v>
      </c>
      <c r="L1468" s="2896">
        <f>'P - Ringfenced'!K56</f>
        <v>0</v>
      </c>
      <c r="M1468" s="2896">
        <f>'P - Ringfenced'!L56</f>
        <v>0</v>
      </c>
      <c r="N1468" s="2896">
        <f>'P - Ringfenced'!M56</f>
        <v>0</v>
      </c>
      <c r="O1468" s="2896">
        <f>'P - Ringfenced'!N56</f>
        <v>0</v>
      </c>
      <c r="P1468" s="2896">
        <f>'P - Ringfenced'!O56</f>
        <v>0</v>
      </c>
      <c r="Q1468" s="2896">
        <f>'P - Ringfenced'!P56</f>
        <v>0</v>
      </c>
      <c r="R1468" s="2896">
        <f>'P - Ringfenced'!Q56</f>
        <v>0</v>
      </c>
      <c r="S1468">
        <f>'P - Ringfenced'!S56</f>
        <v>0</v>
      </c>
      <c r="U1468">
        <f t="shared" si="383"/>
        <v>0</v>
      </c>
    </row>
    <row r="1469" spans="1:21">
      <c r="A1469" s="2895" t="str">
        <f>ORG!$S$1</f>
        <v>Apr 23</v>
      </c>
      <c r="B1469" t="str">
        <f>ORG!$M$1</f>
        <v>Public Health Wales Trust</v>
      </c>
      <c r="C1469" s="1453" t="s">
        <v>1363</v>
      </c>
      <c r="D1469">
        <v>59</v>
      </c>
      <c r="E1469" t="str">
        <f>LEFT('P - Ringfenced'!$B$58,FIND("(Confirm",'P - Ringfenced'!$B$58,1)-2)</f>
        <v>Urgent Emergency Care Allocations</v>
      </c>
      <c r="F1469">
        <f>'P - Ringfenced'!A59</f>
        <v>0</v>
      </c>
      <c r="G1469" s="2896">
        <f>'P - Ringfenced'!F59</f>
        <v>0</v>
      </c>
      <c r="H1469" s="2896">
        <f>'P - Ringfenced'!G59</f>
        <v>0</v>
      </c>
      <c r="I1469" s="2896">
        <f>'P - Ringfenced'!H59</f>
        <v>0</v>
      </c>
      <c r="J1469" s="2896">
        <f>'P - Ringfenced'!I59</f>
        <v>0</v>
      </c>
      <c r="K1469" s="2896">
        <f>'P - Ringfenced'!J59</f>
        <v>0</v>
      </c>
      <c r="L1469" s="2896">
        <f>'P - Ringfenced'!K59</f>
        <v>0</v>
      </c>
      <c r="M1469" s="2896">
        <f>'P - Ringfenced'!L59</f>
        <v>0</v>
      </c>
      <c r="N1469" s="2896">
        <f>'P - Ringfenced'!M59</f>
        <v>0</v>
      </c>
      <c r="O1469" s="2896">
        <f>'P - Ringfenced'!N59</f>
        <v>0</v>
      </c>
      <c r="P1469" s="2896">
        <f>'P - Ringfenced'!O59</f>
        <v>0</v>
      </c>
      <c r="Q1469" s="2896">
        <f>'P - Ringfenced'!P59</f>
        <v>0</v>
      </c>
      <c r="R1469" s="2896">
        <f>'P - Ringfenced'!Q59</f>
        <v>0</v>
      </c>
      <c r="S1469">
        <f>'P - Ringfenced'!S59</f>
        <v>0</v>
      </c>
      <c r="U1469">
        <f t="shared" si="383"/>
        <v>0</v>
      </c>
    </row>
    <row r="1470" spans="1:21">
      <c r="A1470" s="2895" t="str">
        <f>ORG!$S$1</f>
        <v>Apr 23</v>
      </c>
      <c r="B1470" t="str">
        <f>ORG!$M$1</f>
        <v>Public Health Wales Trust</v>
      </c>
      <c r="C1470" s="1453" t="s">
        <v>1363</v>
      </c>
      <c r="D1470">
        <v>60</v>
      </c>
      <c r="E1470" t="str">
        <f>LEFT('P - Ringfenced'!$B$58,FIND("(Confirm",'P - Ringfenced'!$B$58,1)-2)</f>
        <v>Urgent Emergency Care Allocations</v>
      </c>
      <c r="F1470">
        <f>'P - Ringfenced'!A60</f>
        <v>0</v>
      </c>
      <c r="G1470" s="2896">
        <f>'P - Ringfenced'!F60</f>
        <v>0</v>
      </c>
      <c r="H1470" s="2896">
        <f>'P - Ringfenced'!G60</f>
        <v>0</v>
      </c>
      <c r="I1470" s="2896">
        <f>'P - Ringfenced'!H60</f>
        <v>0</v>
      </c>
      <c r="J1470" s="2896">
        <f>'P - Ringfenced'!I60</f>
        <v>0</v>
      </c>
      <c r="K1470" s="2896">
        <f>'P - Ringfenced'!J60</f>
        <v>0</v>
      </c>
      <c r="L1470" s="2896">
        <f>'P - Ringfenced'!K60</f>
        <v>0</v>
      </c>
      <c r="M1470" s="2896">
        <f>'P - Ringfenced'!L60</f>
        <v>0</v>
      </c>
      <c r="N1470" s="2896">
        <f>'P - Ringfenced'!M60</f>
        <v>0</v>
      </c>
      <c r="O1470" s="2896">
        <f>'P - Ringfenced'!N60</f>
        <v>0</v>
      </c>
      <c r="P1470" s="2896">
        <f>'P - Ringfenced'!O60</f>
        <v>0</v>
      </c>
      <c r="Q1470" s="2896">
        <f>'P - Ringfenced'!P60</f>
        <v>0</v>
      </c>
      <c r="R1470" s="2896">
        <f>'P - Ringfenced'!Q60</f>
        <v>0</v>
      </c>
      <c r="S1470">
        <f>'P - Ringfenced'!S60</f>
        <v>0</v>
      </c>
      <c r="U1470">
        <f t="shared" si="383"/>
        <v>0</v>
      </c>
    </row>
    <row r="1471" spans="1:21">
      <c r="A1471" s="2895" t="str">
        <f>ORG!$S$1</f>
        <v>Apr 23</v>
      </c>
      <c r="B1471" t="str">
        <f>ORG!$M$1</f>
        <v>Public Health Wales Trust</v>
      </c>
      <c r="C1471" s="1453" t="s">
        <v>1363</v>
      </c>
      <c r="D1471">
        <v>61</v>
      </c>
      <c r="E1471" t="str">
        <f>LEFT('P - Ringfenced'!$B$58,FIND("(Confirm",'P - Ringfenced'!$B$58,1)-2)</f>
        <v>Urgent Emergency Care Allocations</v>
      </c>
      <c r="F1471">
        <f>'P - Ringfenced'!A61</f>
        <v>0</v>
      </c>
      <c r="G1471" s="2896">
        <f>'P - Ringfenced'!F61</f>
        <v>0</v>
      </c>
      <c r="H1471" s="2896">
        <f>'P - Ringfenced'!G61</f>
        <v>0</v>
      </c>
      <c r="I1471" s="2896">
        <f>'P - Ringfenced'!H61</f>
        <v>0</v>
      </c>
      <c r="J1471" s="2896">
        <f>'P - Ringfenced'!I61</f>
        <v>0</v>
      </c>
      <c r="K1471" s="2896">
        <f>'P - Ringfenced'!J61</f>
        <v>0</v>
      </c>
      <c r="L1471" s="2896">
        <f>'P - Ringfenced'!K61</f>
        <v>0</v>
      </c>
      <c r="M1471" s="2896">
        <f>'P - Ringfenced'!L61</f>
        <v>0</v>
      </c>
      <c r="N1471" s="2896">
        <f>'P - Ringfenced'!M61</f>
        <v>0</v>
      </c>
      <c r="O1471" s="2896">
        <f>'P - Ringfenced'!N61</f>
        <v>0</v>
      </c>
      <c r="P1471" s="2896">
        <f>'P - Ringfenced'!O61</f>
        <v>0</v>
      </c>
      <c r="Q1471" s="2896">
        <f>'P - Ringfenced'!P61</f>
        <v>0</v>
      </c>
      <c r="R1471" s="2896">
        <f>'P - Ringfenced'!Q61</f>
        <v>0</v>
      </c>
      <c r="S1471">
        <f>'P - Ringfenced'!S61</f>
        <v>0</v>
      </c>
      <c r="U1471">
        <f t="shared" si="383"/>
        <v>0</v>
      </c>
    </row>
    <row r="1472" spans="1:21">
      <c r="A1472" s="2895" t="str">
        <f>ORG!$S$1</f>
        <v>Apr 23</v>
      </c>
      <c r="B1472" t="str">
        <f>ORG!$M$1</f>
        <v>Public Health Wales Trust</v>
      </c>
      <c r="C1472" s="1453" t="s">
        <v>1363</v>
      </c>
      <c r="D1472">
        <v>62</v>
      </c>
      <c r="E1472" t="str">
        <f>LEFT('P - Ringfenced'!$B$58,FIND("(Confirm",'P - Ringfenced'!$B$58,1)-2)</f>
        <v>Urgent Emergency Care Allocations</v>
      </c>
      <c r="F1472">
        <f>'P - Ringfenced'!A62</f>
        <v>0</v>
      </c>
      <c r="G1472" s="2896">
        <f>'P - Ringfenced'!F62</f>
        <v>0</v>
      </c>
      <c r="H1472" s="2896">
        <f>'P - Ringfenced'!G62</f>
        <v>0</v>
      </c>
      <c r="I1472" s="2896">
        <f>'P - Ringfenced'!H62</f>
        <v>0</v>
      </c>
      <c r="J1472" s="2896">
        <f>'P - Ringfenced'!I62</f>
        <v>0</v>
      </c>
      <c r="K1472" s="2896">
        <f>'P - Ringfenced'!J62</f>
        <v>0</v>
      </c>
      <c r="L1472" s="2896">
        <f>'P - Ringfenced'!K62</f>
        <v>0</v>
      </c>
      <c r="M1472" s="2896">
        <f>'P - Ringfenced'!L62</f>
        <v>0</v>
      </c>
      <c r="N1472" s="2896">
        <f>'P - Ringfenced'!M62</f>
        <v>0</v>
      </c>
      <c r="O1472" s="2896">
        <f>'P - Ringfenced'!N62</f>
        <v>0</v>
      </c>
      <c r="P1472" s="2896">
        <f>'P - Ringfenced'!O62</f>
        <v>0</v>
      </c>
      <c r="Q1472" s="2896">
        <f>'P - Ringfenced'!P62</f>
        <v>0</v>
      </c>
      <c r="R1472" s="2896">
        <f>'P - Ringfenced'!Q62</f>
        <v>0</v>
      </c>
      <c r="S1472">
        <f>'P - Ringfenced'!S62</f>
        <v>0</v>
      </c>
      <c r="U1472">
        <f t="shared" si="383"/>
        <v>0</v>
      </c>
    </row>
    <row r="1473" spans="1:21">
      <c r="A1473" s="2895" t="str">
        <f>ORG!$S$1</f>
        <v>Apr 23</v>
      </c>
      <c r="B1473" t="str">
        <f>ORG!$M$1</f>
        <v>Public Health Wales Trust</v>
      </c>
      <c r="C1473" s="1453" t="s">
        <v>1363</v>
      </c>
      <c r="D1473">
        <v>63</v>
      </c>
      <c r="E1473" t="str">
        <f>LEFT('P - Ringfenced'!$B$58,FIND("(Confirm",'P - Ringfenced'!$B$58,1)-2)</f>
        <v>Urgent Emergency Care Allocations</v>
      </c>
      <c r="F1473">
        <f>'P - Ringfenced'!A63</f>
        <v>0</v>
      </c>
      <c r="G1473" s="2896">
        <f>'P - Ringfenced'!F63</f>
        <v>0</v>
      </c>
      <c r="H1473" s="2896">
        <f>'P - Ringfenced'!G63</f>
        <v>0</v>
      </c>
      <c r="I1473" s="2896">
        <f>'P - Ringfenced'!H63</f>
        <v>0</v>
      </c>
      <c r="J1473" s="2896">
        <f>'P - Ringfenced'!I63</f>
        <v>0</v>
      </c>
      <c r="K1473" s="2896">
        <f>'P - Ringfenced'!J63</f>
        <v>0</v>
      </c>
      <c r="L1473" s="2896">
        <f>'P - Ringfenced'!K63</f>
        <v>0</v>
      </c>
      <c r="M1473" s="2896">
        <f>'P - Ringfenced'!L63</f>
        <v>0</v>
      </c>
      <c r="N1473" s="2896">
        <f>'P - Ringfenced'!M63</f>
        <v>0</v>
      </c>
      <c r="O1473" s="2896">
        <f>'P - Ringfenced'!N63</f>
        <v>0</v>
      </c>
      <c r="P1473" s="2896">
        <f>'P - Ringfenced'!O63</f>
        <v>0</v>
      </c>
      <c r="Q1473" s="2896">
        <f>'P - Ringfenced'!P63</f>
        <v>0</v>
      </c>
      <c r="R1473" s="2896">
        <f>'P - Ringfenced'!Q63</f>
        <v>0</v>
      </c>
      <c r="S1473">
        <f>'P - Ringfenced'!S63</f>
        <v>0</v>
      </c>
      <c r="U1473">
        <f t="shared" si="383"/>
        <v>0</v>
      </c>
    </row>
    <row r="1474" spans="1:21">
      <c r="A1474" s="2895" t="str">
        <f>ORG!$S$1</f>
        <v>Apr 23</v>
      </c>
      <c r="B1474" t="str">
        <f>ORG!$M$1</f>
        <v>Public Health Wales Trust</v>
      </c>
      <c r="C1474" s="1453" t="s">
        <v>1363</v>
      </c>
      <c r="D1474">
        <v>64</v>
      </c>
      <c r="E1474" t="str">
        <f>LEFT('P - Ringfenced'!$B$58,FIND("(Confirm",'P - Ringfenced'!$B$58,1)-2)</f>
        <v>Urgent Emergency Care Allocations</v>
      </c>
      <c r="F1474">
        <f>'P - Ringfenced'!A64</f>
        <v>0</v>
      </c>
      <c r="G1474" s="2896">
        <f>'P - Ringfenced'!F64</f>
        <v>0</v>
      </c>
      <c r="H1474" s="2896">
        <f>'P - Ringfenced'!G64</f>
        <v>0</v>
      </c>
      <c r="I1474" s="2896">
        <f>'P - Ringfenced'!H64</f>
        <v>0</v>
      </c>
      <c r="J1474" s="2896">
        <f>'P - Ringfenced'!I64</f>
        <v>0</v>
      </c>
      <c r="K1474" s="2896">
        <f>'P - Ringfenced'!J64</f>
        <v>0</v>
      </c>
      <c r="L1474" s="2896">
        <f>'P - Ringfenced'!K64</f>
        <v>0</v>
      </c>
      <c r="M1474" s="2896">
        <f>'P - Ringfenced'!L64</f>
        <v>0</v>
      </c>
      <c r="N1474" s="2896">
        <f>'P - Ringfenced'!M64</f>
        <v>0</v>
      </c>
      <c r="O1474" s="2896">
        <f>'P - Ringfenced'!N64</f>
        <v>0</v>
      </c>
      <c r="P1474" s="2896">
        <f>'P - Ringfenced'!O64</f>
        <v>0</v>
      </c>
      <c r="Q1474" s="2896">
        <f>'P - Ringfenced'!P64</f>
        <v>0</v>
      </c>
      <c r="R1474" s="2896">
        <f>'P - Ringfenced'!Q64</f>
        <v>0</v>
      </c>
      <c r="S1474">
        <f>'P - Ringfenced'!S64</f>
        <v>0</v>
      </c>
      <c r="U1474">
        <f t="shared" si="383"/>
        <v>0</v>
      </c>
    </row>
    <row r="1475" spans="1:21">
      <c r="A1475" s="2895" t="str">
        <f>ORG!$S$1</f>
        <v>Apr 23</v>
      </c>
      <c r="B1475" t="str">
        <f>ORG!$M$1</f>
        <v>Public Health Wales Trust</v>
      </c>
      <c r="C1475" s="1453" t="s">
        <v>1363</v>
      </c>
      <c r="D1475">
        <v>65</v>
      </c>
      <c r="E1475" t="str">
        <f>LEFT('P - Ringfenced'!$B$58,FIND("(Confirm",'P - Ringfenced'!$B$58,1)-2)</f>
        <v>Urgent Emergency Care Allocations</v>
      </c>
      <c r="F1475">
        <f>'P - Ringfenced'!A65</f>
        <v>0</v>
      </c>
      <c r="G1475" s="2896">
        <f>'P - Ringfenced'!F65</f>
        <v>0</v>
      </c>
      <c r="H1475" s="2896">
        <f>'P - Ringfenced'!G65</f>
        <v>0</v>
      </c>
      <c r="I1475" s="2896">
        <f>'P - Ringfenced'!H65</f>
        <v>0</v>
      </c>
      <c r="J1475" s="2896">
        <f>'P - Ringfenced'!I65</f>
        <v>0</v>
      </c>
      <c r="K1475" s="2896">
        <f>'P - Ringfenced'!J65</f>
        <v>0</v>
      </c>
      <c r="L1475" s="2896">
        <f>'P - Ringfenced'!K65</f>
        <v>0</v>
      </c>
      <c r="M1475" s="2896">
        <f>'P - Ringfenced'!L65</f>
        <v>0</v>
      </c>
      <c r="N1475" s="2896">
        <f>'P - Ringfenced'!M65</f>
        <v>0</v>
      </c>
      <c r="O1475" s="2896">
        <f>'P - Ringfenced'!N65</f>
        <v>0</v>
      </c>
      <c r="P1475" s="2896">
        <f>'P - Ringfenced'!O65</f>
        <v>0</v>
      </c>
      <c r="Q1475" s="2896">
        <f>'P - Ringfenced'!P65</f>
        <v>0</v>
      </c>
      <c r="R1475" s="2896">
        <f>'P - Ringfenced'!Q65</f>
        <v>0</v>
      </c>
      <c r="S1475">
        <f>'P - Ringfenced'!S65</f>
        <v>0</v>
      </c>
      <c r="U1475">
        <f t="shared" si="383"/>
        <v>0</v>
      </c>
    </row>
    <row r="1476" spans="1:21">
      <c r="A1476" s="2895" t="str">
        <f>ORG!$S$1</f>
        <v>Apr 23</v>
      </c>
      <c r="B1476" t="str">
        <f>ORG!$M$1</f>
        <v>Public Health Wales Trust</v>
      </c>
      <c r="C1476" s="1453" t="s">
        <v>1363</v>
      </c>
      <c r="D1476">
        <v>66</v>
      </c>
      <c r="E1476" t="str">
        <f>LEFT('P - Ringfenced'!$B$58,FIND("(Confirm",'P - Ringfenced'!$B$58,1)-2)</f>
        <v>Urgent Emergency Care Allocations</v>
      </c>
      <c r="F1476" t="str">
        <f>'P - Ringfenced'!A66</f>
        <v>Urgent Emergency Care Allocations (Confirm in below text 'Allocated' or 'Anticipated')_Total</v>
      </c>
      <c r="G1476" s="2896">
        <f>'P - Ringfenced'!F66</f>
        <v>0</v>
      </c>
      <c r="H1476" s="2896">
        <f>'P - Ringfenced'!G66</f>
        <v>0</v>
      </c>
      <c r="I1476" s="2896">
        <f>'P - Ringfenced'!H66</f>
        <v>0</v>
      </c>
      <c r="J1476" s="2896">
        <f>'P - Ringfenced'!I66</f>
        <v>0</v>
      </c>
      <c r="K1476" s="2896">
        <f>'P - Ringfenced'!J66</f>
        <v>0</v>
      </c>
      <c r="L1476" s="2896">
        <f>'P - Ringfenced'!K66</f>
        <v>0</v>
      </c>
      <c r="M1476" s="2896">
        <f>'P - Ringfenced'!L66</f>
        <v>0</v>
      </c>
      <c r="N1476" s="2896">
        <f>'P - Ringfenced'!M66</f>
        <v>0</v>
      </c>
      <c r="O1476" s="2896">
        <f>'P - Ringfenced'!N66</f>
        <v>0</v>
      </c>
      <c r="P1476" s="2896">
        <f>'P - Ringfenced'!O66</f>
        <v>0</v>
      </c>
      <c r="Q1476" s="2896">
        <f>'P - Ringfenced'!P66</f>
        <v>0</v>
      </c>
      <c r="R1476" s="2896">
        <f>'P - Ringfenced'!Q66</f>
        <v>0</v>
      </c>
      <c r="S1476">
        <f>'P - Ringfenced'!S66</f>
        <v>0</v>
      </c>
      <c r="U1476">
        <f t="shared" si="383"/>
        <v>0</v>
      </c>
    </row>
    <row r="1477" spans="1:21">
      <c r="A1477" s="2895" t="str">
        <f>ORG!$S$1</f>
        <v>Apr 23</v>
      </c>
      <c r="B1477" t="str">
        <f>ORG!$M$1</f>
        <v>Public Health Wales Trust</v>
      </c>
      <c r="C1477" s="1453" t="s">
        <v>1363</v>
      </c>
      <c r="D1477">
        <v>67</v>
      </c>
      <c r="E1477" t="str">
        <f>LEFT('P - Ringfenced'!$B$58,FIND("(Confirm",'P - Ringfenced'!$B$58,1)-2)</f>
        <v>Urgent Emergency Care Allocations</v>
      </c>
      <c r="F1477">
        <f>'P - Ringfenced'!A67</f>
        <v>0</v>
      </c>
      <c r="G1477" s="2896">
        <f>'P - Ringfenced'!F67</f>
        <v>0</v>
      </c>
      <c r="H1477" s="2896">
        <f>'P - Ringfenced'!G67</f>
        <v>0</v>
      </c>
      <c r="I1477" s="2896">
        <f>'P - Ringfenced'!H67</f>
        <v>0</v>
      </c>
      <c r="J1477" s="2896">
        <f>'P - Ringfenced'!I67</f>
        <v>0</v>
      </c>
      <c r="K1477" s="2896">
        <f>'P - Ringfenced'!J67</f>
        <v>0</v>
      </c>
      <c r="L1477" s="2896">
        <f>'P - Ringfenced'!K67</f>
        <v>0</v>
      </c>
      <c r="M1477" s="2896">
        <f>'P - Ringfenced'!L67</f>
        <v>0</v>
      </c>
      <c r="N1477" s="2896">
        <f>'P - Ringfenced'!M67</f>
        <v>0</v>
      </c>
      <c r="O1477" s="2896">
        <f>'P - Ringfenced'!N67</f>
        <v>0</v>
      </c>
      <c r="P1477" s="2896">
        <f>'P - Ringfenced'!O67</f>
        <v>0</v>
      </c>
      <c r="Q1477" s="2896">
        <f>'P - Ringfenced'!P67</f>
        <v>0</v>
      </c>
      <c r="R1477" s="2896">
        <f>'P - Ringfenced'!Q67</f>
        <v>0</v>
      </c>
      <c r="S1477">
        <f>'P - Ringfenced'!S67</f>
        <v>0</v>
      </c>
      <c r="U1477">
        <f t="shared" si="383"/>
        <v>0</v>
      </c>
    </row>
    <row r="1478" spans="1:21">
      <c r="A1478" s="2895" t="str">
        <f>ORG!$S$1</f>
        <v>Apr 23</v>
      </c>
      <c r="B1478" t="str">
        <f>ORG!$M$1</f>
        <v>Public Health Wales Trust</v>
      </c>
      <c r="C1478" s="1453" t="s">
        <v>1363</v>
      </c>
      <c r="D1478">
        <v>68</v>
      </c>
      <c r="E1478" t="str">
        <f>LEFT('P - Ringfenced'!$B$68,FIND("(Confirm",'P - Ringfenced'!$B$68,1)-2)</f>
        <v>Mental Health (SIF) Allocations</v>
      </c>
      <c r="F1478">
        <f>'P - Ringfenced'!A68</f>
        <v>0</v>
      </c>
      <c r="G1478" s="2896">
        <f>'P - Ringfenced'!F68</f>
        <v>0</v>
      </c>
      <c r="H1478" s="2896">
        <f>'P - Ringfenced'!G68</f>
        <v>0</v>
      </c>
      <c r="I1478" s="2896">
        <f>'P - Ringfenced'!H68</f>
        <v>0</v>
      </c>
      <c r="J1478" s="2896">
        <f>'P - Ringfenced'!I68</f>
        <v>0</v>
      </c>
      <c r="K1478" s="2896">
        <f>'P - Ringfenced'!J68</f>
        <v>0</v>
      </c>
      <c r="L1478" s="2896">
        <f>'P - Ringfenced'!K68</f>
        <v>0</v>
      </c>
      <c r="M1478" s="2896">
        <f>'P - Ringfenced'!L68</f>
        <v>0</v>
      </c>
      <c r="N1478" s="2896">
        <f>'P - Ringfenced'!M68</f>
        <v>0</v>
      </c>
      <c r="O1478" s="2896">
        <f>'P - Ringfenced'!N68</f>
        <v>0</v>
      </c>
      <c r="P1478" s="2896">
        <f>'P - Ringfenced'!O68</f>
        <v>0</v>
      </c>
      <c r="Q1478" s="2896">
        <f>'P - Ringfenced'!P68</f>
        <v>0</v>
      </c>
      <c r="R1478" s="2896">
        <f>'P - Ringfenced'!Q68</f>
        <v>0</v>
      </c>
      <c r="S1478">
        <f>'P - Ringfenced'!S68</f>
        <v>0</v>
      </c>
      <c r="U1478">
        <f t="shared" si="383"/>
        <v>0</v>
      </c>
    </row>
    <row r="1479" spans="1:21">
      <c r="A1479" s="2895" t="str">
        <f>ORG!$S$1</f>
        <v>Apr 23</v>
      </c>
      <c r="B1479" t="str">
        <f>ORG!$M$1</f>
        <v>Public Health Wales Trust</v>
      </c>
      <c r="C1479" s="1453" t="s">
        <v>1363</v>
      </c>
      <c r="D1479">
        <v>69</v>
      </c>
      <c r="E1479" t="str">
        <f>LEFT('P - Ringfenced'!$B$68,FIND("(Confirm",'P - Ringfenced'!$B$68,1)-2)</f>
        <v>Mental Health (SIF) Allocations</v>
      </c>
      <c r="F1479">
        <f>'P - Ringfenced'!A69</f>
        <v>0</v>
      </c>
      <c r="G1479" s="2896">
        <f>'P - Ringfenced'!F69</f>
        <v>0</v>
      </c>
      <c r="H1479" s="2896">
        <f>'P - Ringfenced'!G69</f>
        <v>0</v>
      </c>
      <c r="I1479" s="2896">
        <f>'P - Ringfenced'!H69</f>
        <v>0</v>
      </c>
      <c r="J1479" s="2896">
        <f>'P - Ringfenced'!I69</f>
        <v>0</v>
      </c>
      <c r="K1479" s="2896">
        <f>'P - Ringfenced'!J69</f>
        <v>0</v>
      </c>
      <c r="L1479" s="2896">
        <f>'P - Ringfenced'!K69</f>
        <v>0</v>
      </c>
      <c r="M1479" s="2896">
        <f>'P - Ringfenced'!L69</f>
        <v>0</v>
      </c>
      <c r="N1479" s="2896">
        <f>'P - Ringfenced'!M69</f>
        <v>0</v>
      </c>
      <c r="O1479" s="2896">
        <f>'P - Ringfenced'!N69</f>
        <v>0</v>
      </c>
      <c r="P1479" s="2896">
        <f>'P - Ringfenced'!O69</f>
        <v>0</v>
      </c>
      <c r="Q1479" s="2896">
        <f>'P - Ringfenced'!P69</f>
        <v>0</v>
      </c>
      <c r="R1479" s="2896">
        <f>'P - Ringfenced'!Q69</f>
        <v>0</v>
      </c>
      <c r="S1479">
        <f>'P - Ringfenced'!S69</f>
        <v>0</v>
      </c>
      <c r="U1479">
        <f t="shared" si="383"/>
        <v>0</v>
      </c>
    </row>
    <row r="1480" spans="1:21">
      <c r="A1480" s="2895" t="str">
        <f>ORG!$S$1</f>
        <v>Apr 23</v>
      </c>
      <c r="B1480" t="str">
        <f>ORG!$M$1</f>
        <v>Public Health Wales Trust</v>
      </c>
      <c r="C1480" s="1453" t="s">
        <v>1363</v>
      </c>
      <c r="D1480">
        <v>70</v>
      </c>
      <c r="E1480" t="str">
        <f>LEFT('P - Ringfenced'!$B$68,FIND("(Confirm",'P - Ringfenced'!$B$68,1)-2)</f>
        <v>Mental Health (SIF) Allocations</v>
      </c>
      <c r="F1480">
        <f>'P - Ringfenced'!A70</f>
        <v>0</v>
      </c>
      <c r="G1480" s="2896">
        <f>'P - Ringfenced'!F70</f>
        <v>0</v>
      </c>
      <c r="H1480" s="2896">
        <f>'P - Ringfenced'!G70</f>
        <v>0</v>
      </c>
      <c r="I1480" s="2896">
        <f>'P - Ringfenced'!H70</f>
        <v>0</v>
      </c>
      <c r="J1480" s="2896">
        <f>'P - Ringfenced'!I70</f>
        <v>0</v>
      </c>
      <c r="K1480" s="2896">
        <f>'P - Ringfenced'!J70</f>
        <v>0</v>
      </c>
      <c r="L1480" s="2896">
        <f>'P - Ringfenced'!K70</f>
        <v>0</v>
      </c>
      <c r="M1480" s="2896">
        <f>'P - Ringfenced'!L70</f>
        <v>0</v>
      </c>
      <c r="N1480" s="2896">
        <f>'P - Ringfenced'!M70</f>
        <v>0</v>
      </c>
      <c r="O1480" s="2896">
        <f>'P - Ringfenced'!N70</f>
        <v>0</v>
      </c>
      <c r="P1480" s="2896">
        <f>'P - Ringfenced'!O70</f>
        <v>0</v>
      </c>
      <c r="Q1480" s="2896">
        <f>'P - Ringfenced'!P70</f>
        <v>0</v>
      </c>
      <c r="R1480" s="2896">
        <f>'P - Ringfenced'!Q70</f>
        <v>0</v>
      </c>
      <c r="S1480">
        <f>'P - Ringfenced'!S70</f>
        <v>0</v>
      </c>
      <c r="U1480">
        <f t="shared" si="383"/>
        <v>0</v>
      </c>
    </row>
    <row r="1481" spans="1:21">
      <c r="A1481" s="2895" t="str">
        <f>ORG!$S$1</f>
        <v>Apr 23</v>
      </c>
      <c r="B1481" t="str">
        <f>ORG!$M$1</f>
        <v>Public Health Wales Trust</v>
      </c>
      <c r="C1481" s="1453" t="s">
        <v>1363</v>
      </c>
      <c r="D1481">
        <v>71</v>
      </c>
      <c r="E1481" t="str">
        <f>LEFT('P - Ringfenced'!$B$68,FIND("(Confirm",'P - Ringfenced'!$B$68,1)-2)</f>
        <v>Mental Health (SIF) Allocations</v>
      </c>
      <c r="F1481">
        <f>'P - Ringfenced'!A71</f>
        <v>0</v>
      </c>
      <c r="G1481" s="2896">
        <f>'P - Ringfenced'!F71</f>
        <v>0</v>
      </c>
      <c r="H1481" s="2896">
        <f>'P - Ringfenced'!G71</f>
        <v>0</v>
      </c>
      <c r="I1481" s="2896">
        <f>'P - Ringfenced'!H71</f>
        <v>0</v>
      </c>
      <c r="J1481" s="2896">
        <f>'P - Ringfenced'!I71</f>
        <v>0</v>
      </c>
      <c r="K1481" s="2896">
        <f>'P - Ringfenced'!J71</f>
        <v>0</v>
      </c>
      <c r="L1481" s="2896">
        <f>'P - Ringfenced'!K71</f>
        <v>0</v>
      </c>
      <c r="M1481" s="2896">
        <f>'P - Ringfenced'!L71</f>
        <v>0</v>
      </c>
      <c r="N1481" s="2896">
        <f>'P - Ringfenced'!M71</f>
        <v>0</v>
      </c>
      <c r="O1481" s="2896">
        <f>'P - Ringfenced'!N71</f>
        <v>0</v>
      </c>
      <c r="P1481" s="2896">
        <f>'P - Ringfenced'!O71</f>
        <v>0</v>
      </c>
      <c r="Q1481" s="2896">
        <f>'P - Ringfenced'!P71</f>
        <v>0</v>
      </c>
      <c r="R1481" s="2896">
        <f>'P - Ringfenced'!Q71</f>
        <v>0</v>
      </c>
      <c r="S1481">
        <f>'P - Ringfenced'!S71</f>
        <v>0</v>
      </c>
      <c r="U1481">
        <f t="shared" ref="U1481:U1544" si="384">S1481+T1481</f>
        <v>0</v>
      </c>
    </row>
    <row r="1482" spans="1:21">
      <c r="A1482" s="2895" t="str">
        <f>ORG!$S$1</f>
        <v>Apr 23</v>
      </c>
      <c r="B1482" t="str">
        <f>ORG!$M$1</f>
        <v>Public Health Wales Trust</v>
      </c>
      <c r="C1482" s="1453" t="s">
        <v>1363</v>
      </c>
      <c r="D1482">
        <v>72</v>
      </c>
      <c r="E1482" t="str">
        <f>LEFT('P - Ringfenced'!$B$68,FIND("(Confirm",'P - Ringfenced'!$B$68,1)-2)</f>
        <v>Mental Health (SIF) Allocations</v>
      </c>
      <c r="F1482">
        <f>'P - Ringfenced'!A72</f>
        <v>0</v>
      </c>
      <c r="G1482" s="2896">
        <f>'P - Ringfenced'!F72</f>
        <v>0</v>
      </c>
      <c r="H1482" s="2896">
        <f>'P - Ringfenced'!G72</f>
        <v>0</v>
      </c>
      <c r="I1482" s="2896">
        <f>'P - Ringfenced'!H72</f>
        <v>0</v>
      </c>
      <c r="J1482" s="2896">
        <f>'P - Ringfenced'!I72</f>
        <v>0</v>
      </c>
      <c r="K1482" s="2896">
        <f>'P - Ringfenced'!J72</f>
        <v>0</v>
      </c>
      <c r="L1482" s="2896">
        <f>'P - Ringfenced'!K72</f>
        <v>0</v>
      </c>
      <c r="M1482" s="2896">
        <f>'P - Ringfenced'!L72</f>
        <v>0</v>
      </c>
      <c r="N1482" s="2896">
        <f>'P - Ringfenced'!M72</f>
        <v>0</v>
      </c>
      <c r="O1482" s="2896">
        <f>'P - Ringfenced'!N72</f>
        <v>0</v>
      </c>
      <c r="P1482" s="2896">
        <f>'P - Ringfenced'!O72</f>
        <v>0</v>
      </c>
      <c r="Q1482" s="2896">
        <f>'P - Ringfenced'!P72</f>
        <v>0</v>
      </c>
      <c r="R1482" s="2896">
        <f>'P - Ringfenced'!Q72</f>
        <v>0</v>
      </c>
      <c r="S1482">
        <f>'P - Ringfenced'!S72</f>
        <v>0</v>
      </c>
      <c r="U1482">
        <f t="shared" si="384"/>
        <v>0</v>
      </c>
    </row>
    <row r="1483" spans="1:21">
      <c r="A1483" s="2895" t="str">
        <f>ORG!$S$1</f>
        <v>Apr 23</v>
      </c>
      <c r="B1483" t="str">
        <f>ORG!$M$1</f>
        <v>Public Health Wales Trust</v>
      </c>
      <c r="C1483" s="1453" t="s">
        <v>1363</v>
      </c>
      <c r="D1483">
        <v>73</v>
      </c>
      <c r="E1483" t="str">
        <f>LEFT('P - Ringfenced'!$B$68,FIND("(Confirm",'P - Ringfenced'!$B$68,1)-2)</f>
        <v>Mental Health (SIF) Allocations</v>
      </c>
      <c r="F1483">
        <f>'P - Ringfenced'!A73</f>
        <v>0</v>
      </c>
      <c r="G1483" s="2896">
        <f>'P - Ringfenced'!F73</f>
        <v>0</v>
      </c>
      <c r="H1483" s="2896">
        <f>'P - Ringfenced'!G73</f>
        <v>0</v>
      </c>
      <c r="I1483" s="2896">
        <f>'P - Ringfenced'!H73</f>
        <v>0</v>
      </c>
      <c r="J1483" s="2896">
        <f>'P - Ringfenced'!I73</f>
        <v>0</v>
      </c>
      <c r="K1483" s="2896">
        <f>'P - Ringfenced'!J73</f>
        <v>0</v>
      </c>
      <c r="L1483" s="2896">
        <f>'P - Ringfenced'!K73</f>
        <v>0</v>
      </c>
      <c r="M1483" s="2896">
        <f>'P - Ringfenced'!L73</f>
        <v>0</v>
      </c>
      <c r="N1483" s="2896">
        <f>'P - Ringfenced'!M73</f>
        <v>0</v>
      </c>
      <c r="O1483" s="2896">
        <f>'P - Ringfenced'!N73</f>
        <v>0</v>
      </c>
      <c r="P1483" s="2896">
        <f>'P - Ringfenced'!O73</f>
        <v>0</v>
      </c>
      <c r="Q1483" s="2896">
        <f>'P - Ringfenced'!P73</f>
        <v>0</v>
      </c>
      <c r="R1483" s="2896">
        <f>'P - Ringfenced'!Q73</f>
        <v>0</v>
      </c>
      <c r="S1483">
        <f>'P - Ringfenced'!S73</f>
        <v>0</v>
      </c>
      <c r="U1483">
        <f t="shared" si="384"/>
        <v>0</v>
      </c>
    </row>
    <row r="1484" spans="1:21">
      <c r="A1484" s="2895" t="str">
        <f>ORG!$S$1</f>
        <v>Apr 23</v>
      </c>
      <c r="B1484" t="str">
        <f>ORG!$M$1</f>
        <v>Public Health Wales Trust</v>
      </c>
      <c r="C1484" s="1453" t="s">
        <v>1363</v>
      </c>
      <c r="D1484">
        <v>74</v>
      </c>
      <c r="E1484" t="str">
        <f>LEFT('P - Ringfenced'!$B$68,FIND("(Confirm",'P - Ringfenced'!$B$68,1)-2)</f>
        <v>Mental Health (SIF) Allocations</v>
      </c>
      <c r="F1484">
        <f>'P - Ringfenced'!A74</f>
        <v>0</v>
      </c>
      <c r="G1484" s="2896">
        <f>'P - Ringfenced'!F74</f>
        <v>0</v>
      </c>
      <c r="H1484" s="2896">
        <f>'P - Ringfenced'!G74</f>
        <v>0</v>
      </c>
      <c r="I1484" s="2896">
        <f>'P - Ringfenced'!H74</f>
        <v>0</v>
      </c>
      <c r="J1484" s="2896">
        <f>'P - Ringfenced'!I74</f>
        <v>0</v>
      </c>
      <c r="K1484" s="2896">
        <f>'P - Ringfenced'!J74</f>
        <v>0</v>
      </c>
      <c r="L1484" s="2896">
        <f>'P - Ringfenced'!K74</f>
        <v>0</v>
      </c>
      <c r="M1484" s="2896">
        <f>'P - Ringfenced'!L74</f>
        <v>0</v>
      </c>
      <c r="N1484" s="2896">
        <f>'P - Ringfenced'!M74</f>
        <v>0</v>
      </c>
      <c r="O1484" s="2896">
        <f>'P - Ringfenced'!N74</f>
        <v>0</v>
      </c>
      <c r="P1484" s="2896">
        <f>'P - Ringfenced'!O74</f>
        <v>0</v>
      </c>
      <c r="Q1484" s="2896">
        <f>'P - Ringfenced'!P74</f>
        <v>0</v>
      </c>
      <c r="R1484" s="2896">
        <f>'P - Ringfenced'!Q74</f>
        <v>0</v>
      </c>
      <c r="S1484">
        <f>'P - Ringfenced'!S74</f>
        <v>0</v>
      </c>
      <c r="U1484">
        <f t="shared" si="384"/>
        <v>0</v>
      </c>
    </row>
    <row r="1485" spans="1:21">
      <c r="A1485" s="2895" t="str">
        <f>ORG!$S$1</f>
        <v>Apr 23</v>
      </c>
      <c r="B1485" t="str">
        <f>ORG!$M$1</f>
        <v>Public Health Wales Trust</v>
      </c>
      <c r="C1485" s="1453" t="s">
        <v>1363</v>
      </c>
      <c r="D1485">
        <v>75</v>
      </c>
      <c r="E1485" t="str">
        <f>LEFT('P - Ringfenced'!$B$68,FIND("(Confirm",'P - Ringfenced'!$B$68,1)-2)</f>
        <v>Mental Health (SIF) Allocations</v>
      </c>
      <c r="F1485">
        <f>'P - Ringfenced'!A75</f>
        <v>0</v>
      </c>
      <c r="G1485" s="2896">
        <f>'P - Ringfenced'!F75</f>
        <v>0</v>
      </c>
      <c r="H1485" s="2896">
        <f>'P - Ringfenced'!G75</f>
        <v>0</v>
      </c>
      <c r="I1485" s="2896">
        <f>'P - Ringfenced'!H75</f>
        <v>0</v>
      </c>
      <c r="J1485" s="2896">
        <f>'P - Ringfenced'!I75</f>
        <v>0</v>
      </c>
      <c r="K1485" s="2896">
        <f>'P - Ringfenced'!J75</f>
        <v>0</v>
      </c>
      <c r="L1485" s="2896">
        <f>'P - Ringfenced'!K75</f>
        <v>0</v>
      </c>
      <c r="M1485" s="2896">
        <f>'P - Ringfenced'!L75</f>
        <v>0</v>
      </c>
      <c r="N1485" s="2896">
        <f>'P - Ringfenced'!M75</f>
        <v>0</v>
      </c>
      <c r="O1485" s="2896">
        <f>'P - Ringfenced'!N75</f>
        <v>0</v>
      </c>
      <c r="P1485" s="2896">
        <f>'P - Ringfenced'!O75</f>
        <v>0</v>
      </c>
      <c r="Q1485" s="2896">
        <f>'P - Ringfenced'!P75</f>
        <v>0</v>
      </c>
      <c r="R1485" s="2896">
        <f>'P - Ringfenced'!Q75</f>
        <v>0</v>
      </c>
      <c r="S1485">
        <f>'P - Ringfenced'!S75</f>
        <v>0</v>
      </c>
      <c r="U1485">
        <f t="shared" si="384"/>
        <v>0</v>
      </c>
    </row>
    <row r="1486" spans="1:21">
      <c r="A1486" s="2895" t="str">
        <f>ORG!$S$1</f>
        <v>Apr 23</v>
      </c>
      <c r="B1486" t="str">
        <f>ORG!$M$1</f>
        <v>Public Health Wales Trust</v>
      </c>
      <c r="C1486" s="1453" t="s">
        <v>1363</v>
      </c>
      <c r="D1486">
        <v>76</v>
      </c>
      <c r="E1486" t="str">
        <f>LEFT('P - Ringfenced'!$B$68,FIND("(Confirm",'P - Ringfenced'!$B$68,1)-2)</f>
        <v>Mental Health (SIF) Allocations</v>
      </c>
      <c r="F1486">
        <f>'P - Ringfenced'!A76</f>
        <v>0</v>
      </c>
      <c r="G1486" s="2896">
        <f>'P - Ringfenced'!F76</f>
        <v>0</v>
      </c>
      <c r="H1486" s="2896">
        <f>'P - Ringfenced'!G76</f>
        <v>0</v>
      </c>
      <c r="I1486" s="2896">
        <f>'P - Ringfenced'!H76</f>
        <v>0</v>
      </c>
      <c r="J1486" s="2896">
        <f>'P - Ringfenced'!I76</f>
        <v>0</v>
      </c>
      <c r="K1486" s="2896">
        <f>'P - Ringfenced'!J76</f>
        <v>0</v>
      </c>
      <c r="L1486" s="2896">
        <f>'P - Ringfenced'!K76</f>
        <v>0</v>
      </c>
      <c r="M1486" s="2896">
        <f>'P - Ringfenced'!L76</f>
        <v>0</v>
      </c>
      <c r="N1486" s="2896">
        <f>'P - Ringfenced'!M76</f>
        <v>0</v>
      </c>
      <c r="O1486" s="2896">
        <f>'P - Ringfenced'!N76</f>
        <v>0</v>
      </c>
      <c r="P1486" s="2896">
        <f>'P - Ringfenced'!O76</f>
        <v>0</v>
      </c>
      <c r="Q1486" s="2896">
        <f>'P - Ringfenced'!P76</f>
        <v>0</v>
      </c>
      <c r="R1486" s="2896">
        <f>'P - Ringfenced'!Q76</f>
        <v>0</v>
      </c>
      <c r="S1486">
        <f>'P - Ringfenced'!S76</f>
        <v>0</v>
      </c>
      <c r="U1486">
        <f t="shared" si="384"/>
        <v>0</v>
      </c>
    </row>
    <row r="1487" spans="1:21">
      <c r="A1487" s="2895" t="str">
        <f>ORG!$S$1</f>
        <v>Apr 23</v>
      </c>
      <c r="B1487" t="str">
        <f>ORG!$M$1</f>
        <v>Public Health Wales Trust</v>
      </c>
      <c r="C1487" s="1453" t="s">
        <v>1363</v>
      </c>
      <c r="D1487">
        <v>77</v>
      </c>
      <c r="E1487" t="str">
        <f>LEFT('P - Ringfenced'!$B$68,FIND("(Confirm",'P - Ringfenced'!$B$68,1)-2)</f>
        <v>Mental Health (SIF) Allocations</v>
      </c>
      <c r="F1487" t="str">
        <f>'P - Ringfenced'!A77</f>
        <v>Mental Health (SIF) Allocations (Confirm in below text 'Allocated' or 'Anticipated')_Total</v>
      </c>
      <c r="G1487" s="2896">
        <f>'P - Ringfenced'!F77</f>
        <v>0</v>
      </c>
      <c r="H1487" s="2896">
        <f>'P - Ringfenced'!G77</f>
        <v>0</v>
      </c>
      <c r="I1487" s="2896">
        <f>'P - Ringfenced'!H77</f>
        <v>0</v>
      </c>
      <c r="J1487" s="2896">
        <f>'P - Ringfenced'!I77</f>
        <v>0</v>
      </c>
      <c r="K1487" s="2896">
        <f>'P - Ringfenced'!J77</f>
        <v>0</v>
      </c>
      <c r="L1487" s="2896">
        <f>'P - Ringfenced'!K77</f>
        <v>0</v>
      </c>
      <c r="M1487" s="2896">
        <f>'P - Ringfenced'!L77</f>
        <v>0</v>
      </c>
      <c r="N1487" s="2896">
        <f>'P - Ringfenced'!M77</f>
        <v>0</v>
      </c>
      <c r="O1487" s="2896">
        <f>'P - Ringfenced'!N77</f>
        <v>0</v>
      </c>
      <c r="P1487" s="2896">
        <f>'P - Ringfenced'!O77</f>
        <v>0</v>
      </c>
      <c r="Q1487" s="2896">
        <f>'P - Ringfenced'!P77</f>
        <v>0</v>
      </c>
      <c r="R1487" s="2896">
        <f>'P - Ringfenced'!Q77</f>
        <v>0</v>
      </c>
      <c r="S1487">
        <f>'P - Ringfenced'!S77</f>
        <v>0</v>
      </c>
      <c r="U1487">
        <f t="shared" si="384"/>
        <v>0</v>
      </c>
    </row>
    <row r="1488" spans="1:21">
      <c r="A1488" s="2895" t="str">
        <f>ORG!$S$1</f>
        <v>Apr 23</v>
      </c>
      <c r="B1488" t="str">
        <f>ORG!$M$1</f>
        <v>Public Health Wales Trust</v>
      </c>
      <c r="C1488" s="1453" t="s">
        <v>1363</v>
      </c>
      <c r="D1488">
        <v>78</v>
      </c>
      <c r="E1488" t="str">
        <f>LEFT('P - Ringfenced'!$B$68,FIND("(Confirm",'P - Ringfenced'!$B$68,1)-2)</f>
        <v>Mental Health (SIF) Allocations</v>
      </c>
      <c r="F1488">
        <f>'P - Ringfenced'!A78</f>
        <v>0</v>
      </c>
      <c r="G1488" s="2896">
        <f>'P - Ringfenced'!F78</f>
        <v>0</v>
      </c>
      <c r="H1488" s="2896">
        <f>'P - Ringfenced'!G78</f>
        <v>0</v>
      </c>
      <c r="I1488" s="2896">
        <f>'P - Ringfenced'!H78</f>
        <v>0</v>
      </c>
      <c r="J1488" s="2896">
        <f>'P - Ringfenced'!I78</f>
        <v>0</v>
      </c>
      <c r="K1488" s="2896">
        <f>'P - Ringfenced'!J78</f>
        <v>0</v>
      </c>
      <c r="L1488" s="2896">
        <f>'P - Ringfenced'!K78</f>
        <v>0</v>
      </c>
      <c r="M1488" s="2896">
        <f>'P - Ringfenced'!L78</f>
        <v>0</v>
      </c>
      <c r="N1488" s="2896">
        <f>'P - Ringfenced'!M78</f>
        <v>0</v>
      </c>
      <c r="O1488" s="2896">
        <f>'P - Ringfenced'!N78</f>
        <v>0</v>
      </c>
      <c r="P1488" s="2896">
        <f>'P - Ringfenced'!O78</f>
        <v>0</v>
      </c>
      <c r="Q1488" s="2896">
        <f>'P - Ringfenced'!P78</f>
        <v>0</v>
      </c>
      <c r="R1488" s="2896">
        <f>'P - Ringfenced'!Q78</f>
        <v>0</v>
      </c>
      <c r="S1488">
        <f>'P - Ringfenced'!S78</f>
        <v>0</v>
      </c>
      <c r="U1488">
        <f t="shared" si="384"/>
        <v>0</v>
      </c>
    </row>
    <row r="1489" spans="1:21">
      <c r="A1489" s="2895" t="str">
        <f>ORG!$S$1</f>
        <v>Apr 23</v>
      </c>
      <c r="B1489" t="str">
        <f>ORG!$M$1</f>
        <v>Public Health Wales Trust</v>
      </c>
      <c r="C1489" s="1453" t="s">
        <v>1363</v>
      </c>
      <c r="D1489">
        <v>79</v>
      </c>
      <c r="E1489" t="str">
        <f>LEFT('P - Ringfenced'!$B$79,FIND("(Confirm",'P - Ringfenced'!$B$79,1)-2)</f>
        <v>Planned Care</v>
      </c>
      <c r="F1489">
        <f>'P - Ringfenced'!A79</f>
        <v>0</v>
      </c>
      <c r="G1489" s="2896">
        <f>'P - Ringfenced'!F79</f>
        <v>0</v>
      </c>
      <c r="H1489" s="2896">
        <f>'P - Ringfenced'!G79</f>
        <v>0</v>
      </c>
      <c r="I1489" s="2896">
        <f>'P - Ringfenced'!H79</f>
        <v>0</v>
      </c>
      <c r="J1489" s="2896">
        <f>'P - Ringfenced'!I79</f>
        <v>0</v>
      </c>
      <c r="K1489" s="2896">
        <f>'P - Ringfenced'!J79</f>
        <v>0</v>
      </c>
      <c r="L1489" s="2896">
        <f>'P - Ringfenced'!K79</f>
        <v>0</v>
      </c>
      <c r="M1489" s="2896">
        <f>'P - Ringfenced'!L79</f>
        <v>0</v>
      </c>
      <c r="N1489" s="2896">
        <f>'P - Ringfenced'!M79</f>
        <v>0</v>
      </c>
      <c r="O1489" s="2896">
        <f>'P - Ringfenced'!N79</f>
        <v>0</v>
      </c>
      <c r="P1489" s="2896">
        <f>'P - Ringfenced'!O79</f>
        <v>0</v>
      </c>
      <c r="Q1489" s="2896">
        <f>'P - Ringfenced'!P79</f>
        <v>0</v>
      </c>
      <c r="R1489" s="2896">
        <f>'P - Ringfenced'!Q79</f>
        <v>0</v>
      </c>
      <c r="S1489">
        <f>'P - Ringfenced'!S79</f>
        <v>0</v>
      </c>
      <c r="U1489">
        <f t="shared" si="384"/>
        <v>0</v>
      </c>
    </row>
    <row r="1490" spans="1:21">
      <c r="A1490" s="2895" t="str">
        <f>ORG!$S$1</f>
        <v>Apr 23</v>
      </c>
      <c r="B1490" t="str">
        <f>ORG!$M$1</f>
        <v>Public Health Wales Trust</v>
      </c>
      <c r="C1490" s="1453" t="s">
        <v>1363</v>
      </c>
      <c r="D1490">
        <v>80</v>
      </c>
      <c r="E1490" t="str">
        <f>LEFT('P - Ringfenced'!$B$79,FIND("(Confirm",'P - Ringfenced'!$B$79,1)-2)</f>
        <v>Planned Care</v>
      </c>
      <c r="F1490">
        <f>'P - Ringfenced'!A80</f>
        <v>0</v>
      </c>
      <c r="G1490" s="2896">
        <f>'P - Ringfenced'!F80</f>
        <v>0</v>
      </c>
      <c r="H1490" s="2896">
        <f>'P - Ringfenced'!G80</f>
        <v>0</v>
      </c>
      <c r="I1490" s="2896">
        <f>'P - Ringfenced'!H80</f>
        <v>0</v>
      </c>
      <c r="J1490" s="2896">
        <f>'P - Ringfenced'!I80</f>
        <v>0</v>
      </c>
      <c r="K1490" s="2896">
        <f>'P - Ringfenced'!J80</f>
        <v>0</v>
      </c>
      <c r="L1490" s="2896">
        <f>'P - Ringfenced'!K80</f>
        <v>0</v>
      </c>
      <c r="M1490" s="2896">
        <f>'P - Ringfenced'!L80</f>
        <v>0</v>
      </c>
      <c r="N1490" s="2896">
        <f>'P - Ringfenced'!M80</f>
        <v>0</v>
      </c>
      <c r="O1490" s="2896">
        <f>'P - Ringfenced'!N80</f>
        <v>0</v>
      </c>
      <c r="P1490" s="2896">
        <f>'P - Ringfenced'!O80</f>
        <v>0</v>
      </c>
      <c r="Q1490" s="2896">
        <f>'P - Ringfenced'!P80</f>
        <v>0</v>
      </c>
      <c r="R1490" s="2896">
        <f>'P - Ringfenced'!Q80</f>
        <v>0</v>
      </c>
      <c r="S1490">
        <f>'P - Ringfenced'!S80</f>
        <v>0</v>
      </c>
      <c r="U1490">
        <f t="shared" si="384"/>
        <v>0</v>
      </c>
    </row>
    <row r="1491" spans="1:21">
      <c r="A1491" s="2895" t="str">
        <f>ORG!$S$1</f>
        <v>Apr 23</v>
      </c>
      <c r="B1491" t="str">
        <f>ORG!$M$1</f>
        <v>Public Health Wales Trust</v>
      </c>
      <c r="C1491" s="1453" t="s">
        <v>1363</v>
      </c>
      <c r="D1491">
        <v>81</v>
      </c>
      <c r="E1491" t="str">
        <f>LEFT('P - Ringfenced'!$B$79,FIND("(Confirm",'P - Ringfenced'!$B$79,1)-2)</f>
        <v>Planned Care</v>
      </c>
      <c r="F1491">
        <f>'P - Ringfenced'!A81</f>
        <v>0</v>
      </c>
      <c r="G1491" s="2896">
        <f>'P - Ringfenced'!F81</f>
        <v>0</v>
      </c>
      <c r="H1491" s="2896">
        <f>'P - Ringfenced'!G81</f>
        <v>0</v>
      </c>
      <c r="I1491" s="2896">
        <f>'P - Ringfenced'!H81</f>
        <v>0</v>
      </c>
      <c r="J1491" s="2896">
        <f>'P - Ringfenced'!I81</f>
        <v>0</v>
      </c>
      <c r="K1491" s="2896">
        <f>'P - Ringfenced'!J81</f>
        <v>0</v>
      </c>
      <c r="L1491" s="2896">
        <f>'P - Ringfenced'!K81</f>
        <v>0</v>
      </c>
      <c r="M1491" s="2896">
        <f>'P - Ringfenced'!L81</f>
        <v>0</v>
      </c>
      <c r="N1491" s="2896">
        <f>'P - Ringfenced'!M81</f>
        <v>0</v>
      </c>
      <c r="O1491" s="2896">
        <f>'P - Ringfenced'!N81</f>
        <v>0</v>
      </c>
      <c r="P1491" s="2896">
        <f>'P - Ringfenced'!O81</f>
        <v>0</v>
      </c>
      <c r="Q1491" s="2896">
        <f>'P - Ringfenced'!P81</f>
        <v>0</v>
      </c>
      <c r="R1491" s="2896">
        <f>'P - Ringfenced'!Q81</f>
        <v>0</v>
      </c>
      <c r="S1491">
        <f>'P - Ringfenced'!S81</f>
        <v>0</v>
      </c>
      <c r="U1491">
        <f t="shared" si="384"/>
        <v>0</v>
      </c>
    </row>
    <row r="1492" spans="1:21">
      <c r="A1492" s="2895" t="str">
        <f>ORG!$S$1</f>
        <v>Apr 23</v>
      </c>
      <c r="B1492" t="str">
        <f>ORG!$M$1</f>
        <v>Public Health Wales Trust</v>
      </c>
      <c r="C1492" s="1453" t="s">
        <v>1363</v>
      </c>
      <c r="D1492">
        <v>82</v>
      </c>
      <c r="E1492" t="str">
        <f>LEFT('P - Ringfenced'!$B$79,FIND("(Confirm",'P - Ringfenced'!$B$79,1)-2)</f>
        <v>Planned Care</v>
      </c>
      <c r="F1492">
        <f>'P - Ringfenced'!A82</f>
        <v>0</v>
      </c>
      <c r="G1492" s="2896">
        <f>'P - Ringfenced'!F82</f>
        <v>0</v>
      </c>
      <c r="H1492" s="2896">
        <f>'P - Ringfenced'!G82</f>
        <v>0</v>
      </c>
      <c r="I1492" s="2896">
        <f>'P - Ringfenced'!H82</f>
        <v>0</v>
      </c>
      <c r="J1492" s="2896">
        <f>'P - Ringfenced'!I82</f>
        <v>0</v>
      </c>
      <c r="K1492" s="2896">
        <f>'P - Ringfenced'!J82</f>
        <v>0</v>
      </c>
      <c r="L1492" s="2896">
        <f>'P - Ringfenced'!K82</f>
        <v>0</v>
      </c>
      <c r="M1492" s="2896">
        <f>'P - Ringfenced'!L82</f>
        <v>0</v>
      </c>
      <c r="N1492" s="2896">
        <f>'P - Ringfenced'!M82</f>
        <v>0</v>
      </c>
      <c r="O1492" s="2896">
        <f>'P - Ringfenced'!N82</f>
        <v>0</v>
      </c>
      <c r="P1492" s="2896">
        <f>'P - Ringfenced'!O82</f>
        <v>0</v>
      </c>
      <c r="Q1492" s="2896">
        <f>'P - Ringfenced'!P82</f>
        <v>0</v>
      </c>
      <c r="R1492" s="2896">
        <f>'P - Ringfenced'!Q82</f>
        <v>0</v>
      </c>
      <c r="S1492">
        <f>'P - Ringfenced'!S82</f>
        <v>0</v>
      </c>
      <c r="U1492">
        <f t="shared" si="384"/>
        <v>0</v>
      </c>
    </row>
    <row r="1493" spans="1:21">
      <c r="A1493" s="2895" t="str">
        <f>ORG!$S$1</f>
        <v>Apr 23</v>
      </c>
      <c r="B1493" t="str">
        <f>ORG!$M$1</f>
        <v>Public Health Wales Trust</v>
      </c>
      <c r="C1493" s="1453" t="s">
        <v>1363</v>
      </c>
      <c r="D1493">
        <v>83</v>
      </c>
      <c r="E1493" t="str">
        <f>LEFT('P - Ringfenced'!$B$79,FIND("(Confirm",'P - Ringfenced'!$B$79,1)-2)</f>
        <v>Planned Care</v>
      </c>
      <c r="F1493">
        <f>'P - Ringfenced'!A83</f>
        <v>0</v>
      </c>
      <c r="G1493" s="2896">
        <f>'P - Ringfenced'!F83</f>
        <v>0</v>
      </c>
      <c r="H1493" s="2896">
        <f>'P - Ringfenced'!G83</f>
        <v>0</v>
      </c>
      <c r="I1493" s="2896">
        <f>'P - Ringfenced'!H83</f>
        <v>0</v>
      </c>
      <c r="J1493" s="2896">
        <f>'P - Ringfenced'!I83</f>
        <v>0</v>
      </c>
      <c r="K1493" s="2896">
        <f>'P - Ringfenced'!J83</f>
        <v>0</v>
      </c>
      <c r="L1493" s="2896">
        <f>'P - Ringfenced'!K83</f>
        <v>0</v>
      </c>
      <c r="M1493" s="2896">
        <f>'P - Ringfenced'!L83</f>
        <v>0</v>
      </c>
      <c r="N1493" s="2896">
        <f>'P - Ringfenced'!M83</f>
        <v>0</v>
      </c>
      <c r="O1493" s="2896">
        <f>'P - Ringfenced'!N83</f>
        <v>0</v>
      </c>
      <c r="P1493" s="2896">
        <f>'P - Ringfenced'!O83</f>
        <v>0</v>
      </c>
      <c r="Q1493" s="2896">
        <f>'P - Ringfenced'!P83</f>
        <v>0</v>
      </c>
      <c r="R1493" s="2896">
        <f>'P - Ringfenced'!Q83</f>
        <v>0</v>
      </c>
      <c r="S1493">
        <f>'P - Ringfenced'!S83</f>
        <v>0</v>
      </c>
      <c r="U1493">
        <f t="shared" si="384"/>
        <v>0</v>
      </c>
    </row>
    <row r="1494" spans="1:21">
      <c r="A1494" s="2895" t="str">
        <f>ORG!$S$1</f>
        <v>Apr 23</v>
      </c>
      <c r="B1494" t="str">
        <f>ORG!$M$1</f>
        <v>Public Health Wales Trust</v>
      </c>
      <c r="C1494" s="1453" t="s">
        <v>1363</v>
      </c>
      <c r="D1494">
        <v>84</v>
      </c>
      <c r="E1494" t="str">
        <f>LEFT('P - Ringfenced'!$B$79,FIND("(Confirm",'P - Ringfenced'!$B$79,1)-2)</f>
        <v>Planned Care</v>
      </c>
      <c r="F1494">
        <f>'P - Ringfenced'!A84</f>
        <v>0</v>
      </c>
      <c r="G1494" s="2896">
        <f>'P - Ringfenced'!F84</f>
        <v>0</v>
      </c>
      <c r="H1494" s="2896">
        <f>'P - Ringfenced'!G84</f>
        <v>0</v>
      </c>
      <c r="I1494" s="2896">
        <f>'P - Ringfenced'!H84</f>
        <v>0</v>
      </c>
      <c r="J1494" s="2896">
        <f>'P - Ringfenced'!I84</f>
        <v>0</v>
      </c>
      <c r="K1494" s="2896">
        <f>'P - Ringfenced'!J84</f>
        <v>0</v>
      </c>
      <c r="L1494" s="2896">
        <f>'P - Ringfenced'!K84</f>
        <v>0</v>
      </c>
      <c r="M1494" s="2896">
        <f>'P - Ringfenced'!L84</f>
        <v>0</v>
      </c>
      <c r="N1494" s="2896">
        <f>'P - Ringfenced'!M84</f>
        <v>0</v>
      </c>
      <c r="O1494" s="2896">
        <f>'P - Ringfenced'!N84</f>
        <v>0</v>
      </c>
      <c r="P1494" s="2896">
        <f>'P - Ringfenced'!O84</f>
        <v>0</v>
      </c>
      <c r="Q1494" s="2896">
        <f>'P - Ringfenced'!P84</f>
        <v>0</v>
      </c>
      <c r="R1494" s="2896">
        <f>'P - Ringfenced'!Q84</f>
        <v>0</v>
      </c>
      <c r="S1494">
        <f>'P - Ringfenced'!S84</f>
        <v>0</v>
      </c>
      <c r="U1494">
        <f t="shared" si="384"/>
        <v>0</v>
      </c>
    </row>
    <row r="1495" spans="1:21">
      <c r="A1495" s="2895" t="str">
        <f>ORG!$S$1</f>
        <v>Apr 23</v>
      </c>
      <c r="B1495" t="str">
        <f>ORG!$M$1</f>
        <v>Public Health Wales Trust</v>
      </c>
      <c r="C1495" s="1453" t="s">
        <v>1363</v>
      </c>
      <c r="D1495">
        <v>85</v>
      </c>
      <c r="E1495" t="str">
        <f>LEFT('P - Ringfenced'!$B$79,FIND("(Confirm",'P - Ringfenced'!$B$79,1)-2)</f>
        <v>Planned Care</v>
      </c>
      <c r="F1495">
        <f>'P - Ringfenced'!A85</f>
        <v>0</v>
      </c>
      <c r="G1495" s="2896">
        <f>'P - Ringfenced'!F85</f>
        <v>0</v>
      </c>
      <c r="H1495" s="2896">
        <f>'P - Ringfenced'!G85</f>
        <v>0</v>
      </c>
      <c r="I1495" s="2896">
        <f>'P - Ringfenced'!H85</f>
        <v>0</v>
      </c>
      <c r="J1495" s="2896">
        <f>'P - Ringfenced'!I85</f>
        <v>0</v>
      </c>
      <c r="K1495" s="2896">
        <f>'P - Ringfenced'!J85</f>
        <v>0</v>
      </c>
      <c r="L1495" s="2896">
        <f>'P - Ringfenced'!K85</f>
        <v>0</v>
      </c>
      <c r="M1495" s="2896">
        <f>'P - Ringfenced'!L85</f>
        <v>0</v>
      </c>
      <c r="N1495" s="2896">
        <f>'P - Ringfenced'!M85</f>
        <v>0</v>
      </c>
      <c r="O1495" s="2896">
        <f>'P - Ringfenced'!N85</f>
        <v>0</v>
      </c>
      <c r="P1495" s="2896">
        <f>'P - Ringfenced'!O85</f>
        <v>0</v>
      </c>
      <c r="Q1495" s="2896">
        <f>'P - Ringfenced'!P85</f>
        <v>0</v>
      </c>
      <c r="R1495" s="2896">
        <f>'P - Ringfenced'!Q85</f>
        <v>0</v>
      </c>
      <c r="S1495">
        <f>'P - Ringfenced'!S85</f>
        <v>0</v>
      </c>
      <c r="U1495">
        <f t="shared" si="384"/>
        <v>0</v>
      </c>
    </row>
    <row r="1496" spans="1:21">
      <c r="A1496" s="2895" t="str">
        <f>ORG!$S$1</f>
        <v>Apr 23</v>
      </c>
      <c r="B1496" t="str">
        <f>ORG!$M$1</f>
        <v>Public Health Wales Trust</v>
      </c>
      <c r="C1496" s="1453" t="s">
        <v>1363</v>
      </c>
      <c r="D1496">
        <v>86</v>
      </c>
      <c r="E1496" t="str">
        <f>LEFT('P - Ringfenced'!$B$79,FIND("(Confirm",'P - Ringfenced'!$B$79,1)-2)</f>
        <v>Planned Care</v>
      </c>
      <c r="F1496">
        <f>'P - Ringfenced'!A86</f>
        <v>0</v>
      </c>
      <c r="G1496" s="2896">
        <f>'P - Ringfenced'!F86</f>
        <v>0</v>
      </c>
      <c r="H1496" s="2896">
        <f>'P - Ringfenced'!G86</f>
        <v>0</v>
      </c>
      <c r="I1496" s="2896">
        <f>'P - Ringfenced'!H86</f>
        <v>0</v>
      </c>
      <c r="J1496" s="2896">
        <f>'P - Ringfenced'!I86</f>
        <v>0</v>
      </c>
      <c r="K1496" s="2896">
        <f>'P - Ringfenced'!J86</f>
        <v>0</v>
      </c>
      <c r="L1496" s="2896">
        <f>'P - Ringfenced'!K86</f>
        <v>0</v>
      </c>
      <c r="M1496" s="2896">
        <f>'P - Ringfenced'!L86</f>
        <v>0</v>
      </c>
      <c r="N1496" s="2896">
        <f>'P - Ringfenced'!M86</f>
        <v>0</v>
      </c>
      <c r="O1496" s="2896">
        <f>'P - Ringfenced'!N86</f>
        <v>0</v>
      </c>
      <c r="P1496" s="2896">
        <f>'P - Ringfenced'!O86</f>
        <v>0</v>
      </c>
      <c r="Q1496" s="2896">
        <f>'P - Ringfenced'!P86</f>
        <v>0</v>
      </c>
      <c r="R1496" s="2896">
        <f>'P - Ringfenced'!Q86</f>
        <v>0</v>
      </c>
      <c r="S1496">
        <f>'P - Ringfenced'!S86</f>
        <v>0</v>
      </c>
      <c r="U1496">
        <f t="shared" si="384"/>
        <v>0</v>
      </c>
    </row>
    <row r="1497" spans="1:21">
      <c r="A1497" s="2895" t="str">
        <f>ORG!$S$1</f>
        <v>Apr 23</v>
      </c>
      <c r="B1497" t="str">
        <f>ORG!$M$1</f>
        <v>Public Health Wales Trust</v>
      </c>
      <c r="C1497" s="1453" t="s">
        <v>1363</v>
      </c>
      <c r="D1497">
        <v>87</v>
      </c>
      <c r="E1497" t="str">
        <f>LEFT('P - Ringfenced'!$B$79,FIND("(Confirm",'P - Ringfenced'!$B$79,1)-2)</f>
        <v>Planned Care</v>
      </c>
      <c r="F1497">
        <f>'P - Ringfenced'!A87</f>
        <v>0</v>
      </c>
      <c r="G1497" s="2896">
        <f>'P - Ringfenced'!F87</f>
        <v>0</v>
      </c>
      <c r="H1497" s="2896">
        <f>'P - Ringfenced'!G87</f>
        <v>0</v>
      </c>
      <c r="I1497" s="2896">
        <f>'P - Ringfenced'!H87</f>
        <v>0</v>
      </c>
      <c r="J1497" s="2896">
        <f>'P - Ringfenced'!I87</f>
        <v>0</v>
      </c>
      <c r="K1497" s="2896">
        <f>'P - Ringfenced'!J87</f>
        <v>0</v>
      </c>
      <c r="L1497" s="2896">
        <f>'P - Ringfenced'!K87</f>
        <v>0</v>
      </c>
      <c r="M1497" s="2896">
        <f>'P - Ringfenced'!L87</f>
        <v>0</v>
      </c>
      <c r="N1497" s="2896">
        <f>'P - Ringfenced'!M87</f>
        <v>0</v>
      </c>
      <c r="O1497" s="2896">
        <f>'P - Ringfenced'!N87</f>
        <v>0</v>
      </c>
      <c r="P1497" s="2896">
        <f>'P - Ringfenced'!O87</f>
        <v>0</v>
      </c>
      <c r="Q1497" s="2896">
        <f>'P - Ringfenced'!P87</f>
        <v>0</v>
      </c>
      <c r="R1497" s="2896">
        <f>'P - Ringfenced'!Q87</f>
        <v>0</v>
      </c>
      <c r="S1497">
        <f>'P - Ringfenced'!S87</f>
        <v>0</v>
      </c>
      <c r="U1497">
        <f t="shared" si="384"/>
        <v>0</v>
      </c>
    </row>
    <row r="1498" spans="1:21">
      <c r="A1498" s="2895" t="str">
        <f>ORG!$S$1</f>
        <v>Apr 23</v>
      </c>
      <c r="B1498" t="str">
        <f>ORG!$M$1</f>
        <v>Public Health Wales Trust</v>
      </c>
      <c r="C1498" s="1453" t="s">
        <v>1363</v>
      </c>
      <c r="D1498">
        <v>88</v>
      </c>
      <c r="E1498" t="str">
        <f>LEFT('P - Ringfenced'!$B$79,FIND("(Confirm",'P - Ringfenced'!$B$79,1)-2)</f>
        <v>Planned Care</v>
      </c>
      <c r="F1498" t="str">
        <f>'P - Ringfenced'!A88</f>
        <v>Planned Care (Confirm in below text 'Allocated' or 'Anticipated')_Total</v>
      </c>
      <c r="G1498" s="2896">
        <f>'P - Ringfenced'!F88</f>
        <v>0</v>
      </c>
      <c r="H1498" s="2896">
        <f>'P - Ringfenced'!G88</f>
        <v>0</v>
      </c>
      <c r="I1498" s="2896">
        <f>'P - Ringfenced'!H88</f>
        <v>0</v>
      </c>
      <c r="J1498" s="2896">
        <f>'P - Ringfenced'!I88</f>
        <v>0</v>
      </c>
      <c r="K1498" s="2896">
        <f>'P - Ringfenced'!J88</f>
        <v>0</v>
      </c>
      <c r="L1498" s="2896">
        <f>'P - Ringfenced'!K88</f>
        <v>0</v>
      </c>
      <c r="M1498" s="2896">
        <f>'P - Ringfenced'!L88</f>
        <v>0</v>
      </c>
      <c r="N1498" s="2896">
        <f>'P - Ringfenced'!M88</f>
        <v>0</v>
      </c>
      <c r="O1498" s="2896">
        <f>'P - Ringfenced'!N88</f>
        <v>0</v>
      </c>
      <c r="P1498" s="2896">
        <f>'P - Ringfenced'!O88</f>
        <v>0</v>
      </c>
      <c r="Q1498" s="2896">
        <f>'P - Ringfenced'!P88</f>
        <v>0</v>
      </c>
      <c r="R1498" s="2896">
        <f>'P - Ringfenced'!Q88</f>
        <v>0</v>
      </c>
      <c r="S1498">
        <f>'P - Ringfenced'!S88</f>
        <v>0</v>
      </c>
      <c r="U1498">
        <f t="shared" si="384"/>
        <v>0</v>
      </c>
    </row>
    <row r="1499" spans="1:21">
      <c r="A1499" s="2895" t="str">
        <f>ORG!$S$1</f>
        <v>Apr 23</v>
      </c>
      <c r="B1499" t="str">
        <f>ORG!$M$1</f>
        <v>Public Health Wales Trust</v>
      </c>
      <c r="C1499" s="1453" t="s">
        <v>1363</v>
      </c>
      <c r="D1499">
        <v>89</v>
      </c>
      <c r="E1499" t="str">
        <f>LEFT('P - Ringfenced'!$B$90,FIND("(Confirm",'P - Ringfenced'!$B$90,1)-2)</f>
        <v>Value Based Health Care</v>
      </c>
      <c r="F1499">
        <f>'P - Ringfenced'!A89</f>
        <v>0</v>
      </c>
      <c r="G1499" s="2896">
        <f>'P - Ringfenced'!F89</f>
        <v>0</v>
      </c>
      <c r="H1499" s="2896">
        <f>'P - Ringfenced'!G89</f>
        <v>0</v>
      </c>
      <c r="I1499" s="2896">
        <f>'P - Ringfenced'!H89</f>
        <v>0</v>
      </c>
      <c r="J1499" s="2896">
        <f>'P - Ringfenced'!I89</f>
        <v>0</v>
      </c>
      <c r="K1499" s="2896">
        <f>'P - Ringfenced'!J89</f>
        <v>0</v>
      </c>
      <c r="L1499" s="2896">
        <f>'P - Ringfenced'!K89</f>
        <v>0</v>
      </c>
      <c r="M1499" s="2896">
        <f>'P - Ringfenced'!L89</f>
        <v>0</v>
      </c>
      <c r="N1499" s="2896">
        <f>'P - Ringfenced'!M89</f>
        <v>0</v>
      </c>
      <c r="O1499" s="2896">
        <f>'P - Ringfenced'!N89</f>
        <v>0</v>
      </c>
      <c r="P1499" s="2896">
        <f>'P - Ringfenced'!O89</f>
        <v>0</v>
      </c>
      <c r="Q1499" s="2896">
        <f>'P - Ringfenced'!P89</f>
        <v>0</v>
      </c>
      <c r="R1499" s="2896">
        <f>'P - Ringfenced'!Q89</f>
        <v>0</v>
      </c>
      <c r="S1499">
        <f>'P - Ringfenced'!S89</f>
        <v>0</v>
      </c>
      <c r="U1499">
        <f t="shared" si="384"/>
        <v>0</v>
      </c>
    </row>
    <row r="1500" spans="1:21">
      <c r="A1500" s="2895" t="str">
        <f>ORG!$S$1</f>
        <v>Apr 23</v>
      </c>
      <c r="B1500" t="str">
        <f>ORG!$M$1</f>
        <v>Public Health Wales Trust</v>
      </c>
      <c r="C1500" s="1453" t="s">
        <v>1363</v>
      </c>
      <c r="D1500">
        <v>90</v>
      </c>
      <c r="E1500" t="str">
        <f>LEFT('P - Ringfenced'!$B$90,FIND("(Confirm",'P - Ringfenced'!$B$90,1)-2)</f>
        <v>Value Based Health Care</v>
      </c>
      <c r="F1500">
        <f>'P - Ringfenced'!A90</f>
        <v>0</v>
      </c>
      <c r="G1500" s="2896">
        <f>'P - Ringfenced'!F90</f>
        <v>0</v>
      </c>
      <c r="H1500" s="2896">
        <f>'P - Ringfenced'!G90</f>
        <v>0</v>
      </c>
      <c r="I1500" s="2896">
        <f>'P - Ringfenced'!H90</f>
        <v>0</v>
      </c>
      <c r="J1500" s="2896">
        <f>'P - Ringfenced'!I90</f>
        <v>0</v>
      </c>
      <c r="K1500" s="2896">
        <f>'P - Ringfenced'!J90</f>
        <v>0</v>
      </c>
      <c r="L1500" s="2896">
        <f>'P - Ringfenced'!K90</f>
        <v>0</v>
      </c>
      <c r="M1500" s="2896">
        <f>'P - Ringfenced'!L90</f>
        <v>0</v>
      </c>
      <c r="N1500" s="2896">
        <f>'P - Ringfenced'!M90</f>
        <v>0</v>
      </c>
      <c r="O1500" s="2896">
        <f>'P - Ringfenced'!N90</f>
        <v>0</v>
      </c>
      <c r="P1500" s="2896">
        <f>'P - Ringfenced'!O90</f>
        <v>0</v>
      </c>
      <c r="Q1500" s="2896">
        <f>'P - Ringfenced'!P90</f>
        <v>0</v>
      </c>
      <c r="R1500" s="2896">
        <f>'P - Ringfenced'!Q90</f>
        <v>0</v>
      </c>
      <c r="S1500">
        <f>'P - Ringfenced'!S90</f>
        <v>0</v>
      </c>
      <c r="U1500">
        <f t="shared" si="384"/>
        <v>0</v>
      </c>
    </row>
    <row r="1501" spans="1:21">
      <c r="A1501" s="2895" t="str">
        <f>ORG!$S$1</f>
        <v>Apr 23</v>
      </c>
      <c r="B1501" t="str">
        <f>ORG!$M$1</f>
        <v>Public Health Wales Trust</v>
      </c>
      <c r="C1501" s="1453" t="s">
        <v>1363</v>
      </c>
      <c r="D1501">
        <v>91</v>
      </c>
      <c r="E1501" t="str">
        <f>LEFT('P - Ringfenced'!$B$90,FIND("(Confirm",'P - Ringfenced'!$B$90,1)-2)</f>
        <v>Value Based Health Care</v>
      </c>
      <c r="F1501">
        <f>'P - Ringfenced'!A91</f>
        <v>0</v>
      </c>
      <c r="G1501" s="2896">
        <f>'P - Ringfenced'!F91</f>
        <v>0</v>
      </c>
      <c r="H1501" s="2896">
        <f>'P - Ringfenced'!G91</f>
        <v>0</v>
      </c>
      <c r="I1501" s="2896">
        <f>'P - Ringfenced'!H91</f>
        <v>0</v>
      </c>
      <c r="J1501" s="2896">
        <f>'P - Ringfenced'!I91</f>
        <v>0</v>
      </c>
      <c r="K1501" s="2896">
        <f>'P - Ringfenced'!J91</f>
        <v>0</v>
      </c>
      <c r="L1501" s="2896">
        <f>'P - Ringfenced'!K91</f>
        <v>0</v>
      </c>
      <c r="M1501" s="2896">
        <f>'P - Ringfenced'!L91</f>
        <v>0</v>
      </c>
      <c r="N1501" s="2896">
        <f>'P - Ringfenced'!M91</f>
        <v>0</v>
      </c>
      <c r="O1501" s="2896">
        <f>'P - Ringfenced'!N91</f>
        <v>0</v>
      </c>
      <c r="P1501" s="2896">
        <f>'P - Ringfenced'!O91</f>
        <v>0</v>
      </c>
      <c r="Q1501" s="2896">
        <f>'P - Ringfenced'!P91</f>
        <v>0</v>
      </c>
      <c r="R1501" s="2896">
        <f>'P - Ringfenced'!Q91</f>
        <v>0</v>
      </c>
      <c r="S1501">
        <f>'P - Ringfenced'!S91</f>
        <v>0</v>
      </c>
      <c r="U1501">
        <f t="shared" si="384"/>
        <v>0</v>
      </c>
    </row>
    <row r="1502" spans="1:21">
      <c r="A1502" s="2895" t="str">
        <f>ORG!$S$1</f>
        <v>Apr 23</v>
      </c>
      <c r="B1502" t="str">
        <f>ORG!$M$1</f>
        <v>Public Health Wales Trust</v>
      </c>
      <c r="C1502" s="1453" t="s">
        <v>1363</v>
      </c>
      <c r="D1502">
        <v>92</v>
      </c>
      <c r="E1502" t="str">
        <f>LEFT('P - Ringfenced'!$B$90,FIND("(Confirm",'P - Ringfenced'!$B$90,1)-2)</f>
        <v>Value Based Health Care</v>
      </c>
      <c r="F1502">
        <f>'P - Ringfenced'!A92</f>
        <v>0</v>
      </c>
      <c r="G1502" s="2896">
        <f>'P - Ringfenced'!F92</f>
        <v>0</v>
      </c>
      <c r="H1502" s="2896">
        <f>'P - Ringfenced'!G92</f>
        <v>0</v>
      </c>
      <c r="I1502" s="2896">
        <f>'P - Ringfenced'!H92</f>
        <v>0</v>
      </c>
      <c r="J1502" s="2896">
        <f>'P - Ringfenced'!I92</f>
        <v>0</v>
      </c>
      <c r="K1502" s="2896">
        <f>'P - Ringfenced'!J92</f>
        <v>0</v>
      </c>
      <c r="L1502" s="2896">
        <f>'P - Ringfenced'!K92</f>
        <v>0</v>
      </c>
      <c r="M1502" s="2896">
        <f>'P - Ringfenced'!L92</f>
        <v>0</v>
      </c>
      <c r="N1502" s="2896">
        <f>'P - Ringfenced'!M92</f>
        <v>0</v>
      </c>
      <c r="O1502" s="2896">
        <f>'P - Ringfenced'!N92</f>
        <v>0</v>
      </c>
      <c r="P1502" s="2896">
        <f>'P - Ringfenced'!O92</f>
        <v>0</v>
      </c>
      <c r="Q1502" s="2896">
        <f>'P - Ringfenced'!P92</f>
        <v>0</v>
      </c>
      <c r="R1502" s="2896">
        <f>'P - Ringfenced'!Q92</f>
        <v>0</v>
      </c>
      <c r="S1502">
        <f>'P - Ringfenced'!S92</f>
        <v>0</v>
      </c>
      <c r="U1502">
        <f t="shared" si="384"/>
        <v>0</v>
      </c>
    </row>
    <row r="1503" spans="1:21">
      <c r="A1503" s="2895" t="str">
        <f>ORG!$S$1</f>
        <v>Apr 23</v>
      </c>
      <c r="B1503" t="str">
        <f>ORG!$M$1</f>
        <v>Public Health Wales Trust</v>
      </c>
      <c r="C1503" s="1453" t="s">
        <v>1363</v>
      </c>
      <c r="D1503">
        <v>93</v>
      </c>
      <c r="E1503" t="str">
        <f>LEFT('P - Ringfenced'!$B$90,FIND("(Confirm",'P - Ringfenced'!$B$90,1)-2)</f>
        <v>Value Based Health Care</v>
      </c>
      <c r="F1503">
        <f>'P - Ringfenced'!A93</f>
        <v>0</v>
      </c>
      <c r="G1503" s="2896">
        <f>'P - Ringfenced'!F93</f>
        <v>0</v>
      </c>
      <c r="H1503" s="2896">
        <f>'P - Ringfenced'!G93</f>
        <v>0</v>
      </c>
      <c r="I1503" s="2896">
        <f>'P - Ringfenced'!H93</f>
        <v>0</v>
      </c>
      <c r="J1503" s="2896">
        <f>'P - Ringfenced'!I93</f>
        <v>0</v>
      </c>
      <c r="K1503" s="2896">
        <f>'P - Ringfenced'!J93</f>
        <v>0</v>
      </c>
      <c r="L1503" s="2896">
        <f>'P - Ringfenced'!K93</f>
        <v>0</v>
      </c>
      <c r="M1503" s="2896">
        <f>'P - Ringfenced'!L93</f>
        <v>0</v>
      </c>
      <c r="N1503" s="2896">
        <f>'P - Ringfenced'!M93</f>
        <v>0</v>
      </c>
      <c r="O1503" s="2896">
        <f>'P - Ringfenced'!N93</f>
        <v>0</v>
      </c>
      <c r="P1503" s="2896">
        <f>'P - Ringfenced'!O93</f>
        <v>0</v>
      </c>
      <c r="Q1503" s="2896">
        <f>'P - Ringfenced'!P93</f>
        <v>0</v>
      </c>
      <c r="R1503" s="2896">
        <f>'P - Ringfenced'!Q93</f>
        <v>0</v>
      </c>
      <c r="S1503">
        <f>'P - Ringfenced'!S93</f>
        <v>0</v>
      </c>
      <c r="U1503">
        <f t="shared" si="384"/>
        <v>0</v>
      </c>
    </row>
    <row r="1504" spans="1:21">
      <c r="A1504" s="2895" t="str">
        <f>ORG!$S$1</f>
        <v>Apr 23</v>
      </c>
      <c r="B1504" t="str">
        <f>ORG!$M$1</f>
        <v>Public Health Wales Trust</v>
      </c>
      <c r="C1504" s="1453" t="s">
        <v>1363</v>
      </c>
      <c r="D1504">
        <v>94</v>
      </c>
      <c r="E1504" t="str">
        <f>LEFT('P - Ringfenced'!$B$90,FIND("(Confirm",'P - Ringfenced'!$B$90,1)-2)</f>
        <v>Value Based Health Care</v>
      </c>
      <c r="F1504">
        <f>'P - Ringfenced'!A94</f>
        <v>0</v>
      </c>
      <c r="G1504" s="2896">
        <f>'P - Ringfenced'!F94</f>
        <v>0</v>
      </c>
      <c r="H1504" s="2896">
        <f>'P - Ringfenced'!G94</f>
        <v>0</v>
      </c>
      <c r="I1504" s="2896">
        <f>'P - Ringfenced'!H94</f>
        <v>0</v>
      </c>
      <c r="J1504" s="2896">
        <f>'P - Ringfenced'!I94</f>
        <v>0</v>
      </c>
      <c r="K1504" s="2896">
        <f>'P - Ringfenced'!J94</f>
        <v>0</v>
      </c>
      <c r="L1504" s="2896">
        <f>'P - Ringfenced'!K94</f>
        <v>0</v>
      </c>
      <c r="M1504" s="2896">
        <f>'P - Ringfenced'!L94</f>
        <v>0</v>
      </c>
      <c r="N1504" s="2896">
        <f>'P - Ringfenced'!M94</f>
        <v>0</v>
      </c>
      <c r="O1504" s="2896">
        <f>'P - Ringfenced'!N94</f>
        <v>0</v>
      </c>
      <c r="P1504" s="2896">
        <f>'P - Ringfenced'!O94</f>
        <v>0</v>
      </c>
      <c r="Q1504" s="2896">
        <f>'P - Ringfenced'!P94</f>
        <v>0</v>
      </c>
      <c r="R1504" s="2896">
        <f>'P - Ringfenced'!Q94</f>
        <v>0</v>
      </c>
      <c r="S1504">
        <f>'P - Ringfenced'!S94</f>
        <v>0</v>
      </c>
      <c r="U1504">
        <f t="shared" si="384"/>
        <v>0</v>
      </c>
    </row>
    <row r="1505" spans="1:21">
      <c r="A1505" s="2895" t="str">
        <f>ORG!$S$1</f>
        <v>Apr 23</v>
      </c>
      <c r="B1505" t="str">
        <f>ORG!$M$1</f>
        <v>Public Health Wales Trust</v>
      </c>
      <c r="C1505" s="1453" t="s">
        <v>1363</v>
      </c>
      <c r="D1505">
        <v>95</v>
      </c>
      <c r="E1505" t="str">
        <f>LEFT('P - Ringfenced'!$B$90,FIND("(Confirm",'P - Ringfenced'!$B$90,1)-2)</f>
        <v>Value Based Health Care</v>
      </c>
      <c r="F1505">
        <f>'P - Ringfenced'!A95</f>
        <v>0</v>
      </c>
      <c r="G1505" s="2896">
        <f>'P - Ringfenced'!F95</f>
        <v>0</v>
      </c>
      <c r="H1505" s="2896">
        <f>'P - Ringfenced'!G95</f>
        <v>0</v>
      </c>
      <c r="I1505" s="2896">
        <f>'P - Ringfenced'!H95</f>
        <v>0</v>
      </c>
      <c r="J1505" s="2896">
        <f>'P - Ringfenced'!I95</f>
        <v>0</v>
      </c>
      <c r="K1505" s="2896">
        <f>'P - Ringfenced'!J95</f>
        <v>0</v>
      </c>
      <c r="L1505" s="2896">
        <f>'P - Ringfenced'!K95</f>
        <v>0</v>
      </c>
      <c r="M1505" s="2896">
        <f>'P - Ringfenced'!L95</f>
        <v>0</v>
      </c>
      <c r="N1505" s="2896">
        <f>'P - Ringfenced'!M95</f>
        <v>0</v>
      </c>
      <c r="O1505" s="2896">
        <f>'P - Ringfenced'!N95</f>
        <v>0</v>
      </c>
      <c r="P1505" s="2896">
        <f>'P - Ringfenced'!O95</f>
        <v>0</v>
      </c>
      <c r="Q1505" s="2896">
        <f>'P - Ringfenced'!P95</f>
        <v>0</v>
      </c>
      <c r="R1505" s="2896">
        <f>'P - Ringfenced'!Q95</f>
        <v>0</v>
      </c>
      <c r="S1505">
        <f>'P - Ringfenced'!S95</f>
        <v>0</v>
      </c>
      <c r="U1505">
        <f t="shared" si="384"/>
        <v>0</v>
      </c>
    </row>
    <row r="1506" spans="1:21">
      <c r="A1506" s="2895" t="str">
        <f>ORG!$S$1</f>
        <v>Apr 23</v>
      </c>
      <c r="B1506" t="str">
        <f>ORG!$M$1</f>
        <v>Public Health Wales Trust</v>
      </c>
      <c r="C1506" s="1453" t="s">
        <v>1363</v>
      </c>
      <c r="D1506">
        <v>96</v>
      </c>
      <c r="E1506" t="str">
        <f>LEFT('P - Ringfenced'!$B$90,FIND("(Confirm",'P - Ringfenced'!$B$90,1)-2)</f>
        <v>Value Based Health Care</v>
      </c>
      <c r="F1506">
        <f>'P - Ringfenced'!A96</f>
        <v>0</v>
      </c>
      <c r="G1506" s="2896">
        <f>'P - Ringfenced'!F96</f>
        <v>0</v>
      </c>
      <c r="H1506" s="2896">
        <f>'P - Ringfenced'!G96</f>
        <v>0</v>
      </c>
      <c r="I1506" s="2896">
        <f>'P - Ringfenced'!H96</f>
        <v>0</v>
      </c>
      <c r="J1506" s="2896">
        <f>'P - Ringfenced'!I96</f>
        <v>0</v>
      </c>
      <c r="K1506" s="2896">
        <f>'P - Ringfenced'!J96</f>
        <v>0</v>
      </c>
      <c r="L1506" s="2896">
        <f>'P - Ringfenced'!K96</f>
        <v>0</v>
      </c>
      <c r="M1506" s="2896">
        <f>'P - Ringfenced'!L96</f>
        <v>0</v>
      </c>
      <c r="N1506" s="2896">
        <f>'P - Ringfenced'!M96</f>
        <v>0</v>
      </c>
      <c r="O1506" s="2896">
        <f>'P - Ringfenced'!N96</f>
        <v>0</v>
      </c>
      <c r="P1506" s="2896">
        <f>'P - Ringfenced'!O96</f>
        <v>0</v>
      </c>
      <c r="Q1506" s="2896">
        <f>'P - Ringfenced'!P96</f>
        <v>0</v>
      </c>
      <c r="R1506" s="2896">
        <f>'P - Ringfenced'!Q96</f>
        <v>0</v>
      </c>
      <c r="S1506">
        <f>'P - Ringfenced'!S96</f>
        <v>0</v>
      </c>
      <c r="U1506">
        <f t="shared" si="384"/>
        <v>0</v>
      </c>
    </row>
    <row r="1507" spans="1:21">
      <c r="A1507" s="2895" t="str">
        <f>ORG!$S$1</f>
        <v>Apr 23</v>
      </c>
      <c r="B1507" t="str">
        <f>ORG!$M$1</f>
        <v>Public Health Wales Trust</v>
      </c>
      <c r="C1507" s="1453" t="s">
        <v>1363</v>
      </c>
      <c r="D1507">
        <v>97</v>
      </c>
      <c r="E1507" t="str">
        <f>LEFT('P - Ringfenced'!$B$90,FIND("(Confirm",'P - Ringfenced'!$B$90,1)-2)</f>
        <v>Value Based Health Care</v>
      </c>
      <c r="F1507">
        <f>'P - Ringfenced'!A97</f>
        <v>0</v>
      </c>
      <c r="G1507" s="2896">
        <f>'P - Ringfenced'!F97</f>
        <v>0</v>
      </c>
      <c r="H1507" s="2896">
        <f>'P - Ringfenced'!G97</f>
        <v>0</v>
      </c>
      <c r="I1507" s="2896">
        <f>'P - Ringfenced'!H97</f>
        <v>0</v>
      </c>
      <c r="J1507" s="2896">
        <f>'P - Ringfenced'!I97</f>
        <v>0</v>
      </c>
      <c r="K1507" s="2896">
        <f>'P - Ringfenced'!J97</f>
        <v>0</v>
      </c>
      <c r="L1507" s="2896">
        <f>'P - Ringfenced'!K97</f>
        <v>0</v>
      </c>
      <c r="M1507" s="2896">
        <f>'P - Ringfenced'!L97</f>
        <v>0</v>
      </c>
      <c r="N1507" s="2896">
        <f>'P - Ringfenced'!M97</f>
        <v>0</v>
      </c>
      <c r="O1507" s="2896">
        <f>'P - Ringfenced'!N97</f>
        <v>0</v>
      </c>
      <c r="P1507" s="2896">
        <f>'P - Ringfenced'!O97</f>
        <v>0</v>
      </c>
      <c r="Q1507" s="2896">
        <f>'P - Ringfenced'!P97</f>
        <v>0</v>
      </c>
      <c r="R1507" s="2896">
        <f>'P - Ringfenced'!Q97</f>
        <v>0</v>
      </c>
      <c r="S1507">
        <f>'P - Ringfenced'!S97</f>
        <v>0</v>
      </c>
      <c r="U1507">
        <f t="shared" si="384"/>
        <v>0</v>
      </c>
    </row>
    <row r="1508" spans="1:21">
      <c r="A1508" s="2895" t="str">
        <f>ORG!$S$1</f>
        <v>Apr 23</v>
      </c>
      <c r="B1508" t="str">
        <f>ORG!$M$1</f>
        <v>Public Health Wales Trust</v>
      </c>
      <c r="C1508" s="1453" t="s">
        <v>1363</v>
      </c>
      <c r="D1508">
        <v>98</v>
      </c>
      <c r="E1508" t="str">
        <f>LEFT('P - Ringfenced'!$B$90,FIND("(Confirm",'P - Ringfenced'!$B$90,1)-2)</f>
        <v>Value Based Health Care</v>
      </c>
      <c r="F1508" t="str">
        <f>'P - Ringfenced'!A98</f>
        <v>Value Based Health Care (Confirm in below text 'Allocated' or 'Anticipated')_Total</v>
      </c>
      <c r="G1508" s="2896">
        <f>'P - Ringfenced'!F98</f>
        <v>0</v>
      </c>
      <c r="H1508" s="2896">
        <f>'P - Ringfenced'!G98</f>
        <v>0</v>
      </c>
      <c r="I1508" s="2896">
        <f>'P - Ringfenced'!H98</f>
        <v>0</v>
      </c>
      <c r="J1508" s="2896">
        <f>'P - Ringfenced'!I98</f>
        <v>0</v>
      </c>
      <c r="K1508" s="2896">
        <f>'P - Ringfenced'!J98</f>
        <v>0</v>
      </c>
      <c r="L1508" s="2896">
        <f>'P - Ringfenced'!K98</f>
        <v>0</v>
      </c>
      <c r="M1508" s="2896">
        <f>'P - Ringfenced'!L98</f>
        <v>0</v>
      </c>
      <c r="N1508" s="2896">
        <f>'P - Ringfenced'!M98</f>
        <v>0</v>
      </c>
      <c r="O1508" s="2896">
        <f>'P - Ringfenced'!N98</f>
        <v>0</v>
      </c>
      <c r="P1508" s="2896">
        <f>'P - Ringfenced'!O98</f>
        <v>0</v>
      </c>
      <c r="Q1508" s="2896">
        <f>'P - Ringfenced'!P98</f>
        <v>0</v>
      </c>
      <c r="R1508" s="2896">
        <f>'P - Ringfenced'!Q98</f>
        <v>0</v>
      </c>
      <c r="S1508">
        <f>'P - Ringfenced'!S98</f>
        <v>0</v>
      </c>
      <c r="U1508">
        <f t="shared" si="384"/>
        <v>0</v>
      </c>
    </row>
    <row r="1509" spans="1:21">
      <c r="A1509" s="2895" t="str">
        <f>ORG!$S$1</f>
        <v>Apr 23</v>
      </c>
      <c r="B1509" t="str">
        <f>ORG!$M$1</f>
        <v>Public Health Wales Trust</v>
      </c>
      <c r="C1509" s="1453" t="s">
        <v>1363</v>
      </c>
      <c r="D1509">
        <v>99</v>
      </c>
      <c r="E1509" t="str">
        <f>LEFT('P - Ringfenced'!$B$90,FIND("(Confirm",'P - Ringfenced'!$B$90,1)-2)</f>
        <v>Value Based Health Care</v>
      </c>
      <c r="F1509">
        <f>'P - Ringfenced'!A99</f>
        <v>0</v>
      </c>
      <c r="G1509" s="2896">
        <f>'P - Ringfenced'!F99</f>
        <v>0</v>
      </c>
      <c r="H1509" s="2896">
        <f>'P - Ringfenced'!G99</f>
        <v>0</v>
      </c>
      <c r="I1509" s="2896">
        <f>'P - Ringfenced'!H99</f>
        <v>0</v>
      </c>
      <c r="J1509" s="2896">
        <f>'P - Ringfenced'!I99</f>
        <v>0</v>
      </c>
      <c r="K1509" s="2896">
        <f>'P - Ringfenced'!J99</f>
        <v>0</v>
      </c>
      <c r="L1509" s="2896">
        <f>'P - Ringfenced'!K99</f>
        <v>0</v>
      </c>
      <c r="M1509" s="2896">
        <f>'P - Ringfenced'!L99</f>
        <v>0</v>
      </c>
      <c r="N1509" s="2896">
        <f>'P - Ringfenced'!M99</f>
        <v>0</v>
      </c>
      <c r="O1509" s="2896">
        <f>'P - Ringfenced'!N99</f>
        <v>0</v>
      </c>
      <c r="P1509" s="2896">
        <f>'P - Ringfenced'!O99</f>
        <v>0</v>
      </c>
      <c r="Q1509" s="2896">
        <f>'P - Ringfenced'!P99</f>
        <v>0</v>
      </c>
      <c r="R1509" s="2896">
        <f>'P - Ringfenced'!Q99</f>
        <v>0</v>
      </c>
      <c r="S1509">
        <f>'P - Ringfenced'!S99</f>
        <v>0</v>
      </c>
      <c r="U1509">
        <f t="shared" si="384"/>
        <v>0</v>
      </c>
    </row>
    <row r="1510" spans="1:21">
      <c r="A1510" s="2895" t="str">
        <f>ORG!$S$1</f>
        <v>Apr 23</v>
      </c>
      <c r="B1510" t="str">
        <f>ORG!$M$1</f>
        <v>Public Health Wales Trust</v>
      </c>
      <c r="C1510" s="1453" t="s">
        <v>1363</v>
      </c>
      <c r="D1510">
        <v>100</v>
      </c>
      <c r="E1510" t="str">
        <f>LEFT('P - Ringfenced'!$B$90,FIND("(Confirm",'P - Ringfenced'!$B$90,1)-2)</f>
        <v>Value Based Health Care</v>
      </c>
      <c r="F1510">
        <f>'P - Ringfenced'!A100</f>
        <v>0</v>
      </c>
      <c r="G1510" s="2896">
        <f>'P - Ringfenced'!F100</f>
        <v>0</v>
      </c>
      <c r="H1510" s="2896">
        <f>'P - Ringfenced'!G100</f>
        <v>0</v>
      </c>
      <c r="I1510" s="2896">
        <f>'P - Ringfenced'!H100</f>
        <v>0</v>
      </c>
      <c r="J1510" s="2896">
        <f>'P - Ringfenced'!I100</f>
        <v>0</v>
      </c>
      <c r="K1510" s="2896">
        <f>'P - Ringfenced'!J100</f>
        <v>0</v>
      </c>
      <c r="L1510" s="2896">
        <f>'P - Ringfenced'!K100</f>
        <v>0</v>
      </c>
      <c r="M1510" s="2896">
        <f>'P - Ringfenced'!L100</f>
        <v>0</v>
      </c>
      <c r="N1510" s="2896">
        <f>'P - Ringfenced'!M100</f>
        <v>0</v>
      </c>
      <c r="O1510" s="2896">
        <f>'P - Ringfenced'!N100</f>
        <v>0</v>
      </c>
      <c r="P1510" s="2896">
        <f>'P - Ringfenced'!O100</f>
        <v>0</v>
      </c>
      <c r="Q1510" s="2896">
        <f>'P - Ringfenced'!P100</f>
        <v>0</v>
      </c>
      <c r="R1510" s="2896">
        <f>'P - Ringfenced'!Q100</f>
        <v>0</v>
      </c>
      <c r="S1510">
        <f>'P - Ringfenced'!S100</f>
        <v>0</v>
      </c>
      <c r="U1510">
        <f t="shared" si="384"/>
        <v>0</v>
      </c>
    </row>
    <row r="1511" spans="1:21">
      <c r="A1511" s="2895" t="str">
        <f>ORG!$S$1</f>
        <v>Apr 23</v>
      </c>
      <c r="B1511" t="str">
        <f>ORG!$M$1</f>
        <v>Public Health Wales Trust</v>
      </c>
      <c r="C1511" s="1453" t="s">
        <v>1363</v>
      </c>
      <c r="D1511">
        <v>101</v>
      </c>
      <c r="E1511" t="str">
        <f>LEFT('P - Ringfenced'!$B$101,FIND("(Confirm",'P - Ringfenced'!$B$101,1)-2)</f>
        <v>Recovery</v>
      </c>
      <c r="F1511">
        <f>'P - Ringfenced'!A101</f>
        <v>0</v>
      </c>
      <c r="G1511" s="2896">
        <f>'P - Ringfenced'!F101</f>
        <v>0</v>
      </c>
      <c r="H1511" s="2896">
        <f>'P - Ringfenced'!G101</f>
        <v>0</v>
      </c>
      <c r="I1511" s="2896">
        <f>'P - Ringfenced'!H101</f>
        <v>0</v>
      </c>
      <c r="J1511" s="2896">
        <f>'P - Ringfenced'!I101</f>
        <v>0</v>
      </c>
      <c r="K1511" s="2896">
        <f>'P - Ringfenced'!J101</f>
        <v>0</v>
      </c>
      <c r="L1511" s="2896">
        <f>'P - Ringfenced'!K101</f>
        <v>0</v>
      </c>
      <c r="M1511" s="2896">
        <f>'P - Ringfenced'!L101</f>
        <v>0</v>
      </c>
      <c r="N1511" s="2896">
        <f>'P - Ringfenced'!M101</f>
        <v>0</v>
      </c>
      <c r="O1511" s="2896">
        <f>'P - Ringfenced'!N101</f>
        <v>0</v>
      </c>
      <c r="P1511" s="2896">
        <f>'P - Ringfenced'!O101</f>
        <v>0</v>
      </c>
      <c r="Q1511" s="2896">
        <f>'P - Ringfenced'!P101</f>
        <v>0</v>
      </c>
      <c r="R1511" s="2896">
        <f>'P - Ringfenced'!Q101</f>
        <v>0</v>
      </c>
      <c r="S1511">
        <f>'P - Ringfenced'!S101</f>
        <v>0</v>
      </c>
      <c r="U1511">
        <f t="shared" si="384"/>
        <v>0</v>
      </c>
    </row>
    <row r="1512" spans="1:21">
      <c r="A1512" s="2895" t="str">
        <f>ORG!$S$1</f>
        <v>Apr 23</v>
      </c>
      <c r="B1512" t="str">
        <f>ORG!$M$1</f>
        <v>Public Health Wales Trust</v>
      </c>
      <c r="C1512" s="1453" t="s">
        <v>1363</v>
      </c>
      <c r="D1512">
        <v>102</v>
      </c>
      <c r="E1512" t="str">
        <f>LEFT('P - Ringfenced'!$B$101,FIND("(Confirm",'P - Ringfenced'!$B$101,1)-2)</f>
        <v>Recovery</v>
      </c>
      <c r="F1512">
        <f>'P - Ringfenced'!A102</f>
        <v>0</v>
      </c>
      <c r="G1512" s="2896">
        <f>'P - Ringfenced'!F102</f>
        <v>0</v>
      </c>
      <c r="H1512" s="2896">
        <f>'P - Ringfenced'!G102</f>
        <v>0</v>
      </c>
      <c r="I1512" s="2896">
        <f>'P - Ringfenced'!H102</f>
        <v>0</v>
      </c>
      <c r="J1512" s="2896">
        <f>'P - Ringfenced'!I102</f>
        <v>0</v>
      </c>
      <c r="K1512" s="2896">
        <f>'P - Ringfenced'!J102</f>
        <v>0</v>
      </c>
      <c r="L1512" s="2896">
        <f>'P - Ringfenced'!K102</f>
        <v>0</v>
      </c>
      <c r="M1512" s="2896">
        <f>'P - Ringfenced'!L102</f>
        <v>0</v>
      </c>
      <c r="N1512" s="2896">
        <f>'P - Ringfenced'!M102</f>
        <v>0</v>
      </c>
      <c r="O1512" s="2896">
        <f>'P - Ringfenced'!N102</f>
        <v>0</v>
      </c>
      <c r="P1512" s="2896">
        <f>'P - Ringfenced'!O102</f>
        <v>0</v>
      </c>
      <c r="Q1512" s="2896">
        <f>'P - Ringfenced'!P102</f>
        <v>0</v>
      </c>
      <c r="R1512" s="2896">
        <f>'P - Ringfenced'!Q102</f>
        <v>0</v>
      </c>
      <c r="S1512">
        <f>'P - Ringfenced'!S102</f>
        <v>0</v>
      </c>
      <c r="U1512">
        <f t="shared" si="384"/>
        <v>0</v>
      </c>
    </row>
    <row r="1513" spans="1:21">
      <c r="A1513" s="2895" t="str">
        <f>ORG!$S$1</f>
        <v>Apr 23</v>
      </c>
      <c r="B1513" t="str">
        <f>ORG!$M$1</f>
        <v>Public Health Wales Trust</v>
      </c>
      <c r="C1513" s="1453" t="s">
        <v>1363</v>
      </c>
      <c r="D1513">
        <v>103</v>
      </c>
      <c r="E1513" t="str">
        <f>LEFT('P - Ringfenced'!$B$101,FIND("(Confirm",'P - Ringfenced'!$B$101,1)-2)</f>
        <v>Recovery</v>
      </c>
      <c r="F1513">
        <f>'P - Ringfenced'!A103</f>
        <v>0</v>
      </c>
      <c r="G1513" s="2896">
        <f>'P - Ringfenced'!F103</f>
        <v>0</v>
      </c>
      <c r="H1513" s="2896">
        <f>'P - Ringfenced'!G103</f>
        <v>0</v>
      </c>
      <c r="I1513" s="2896">
        <f>'P - Ringfenced'!H103</f>
        <v>0</v>
      </c>
      <c r="J1513" s="2896">
        <f>'P - Ringfenced'!I103</f>
        <v>0</v>
      </c>
      <c r="K1513" s="2896">
        <f>'P - Ringfenced'!J103</f>
        <v>0</v>
      </c>
      <c r="L1513" s="2896">
        <f>'P - Ringfenced'!K103</f>
        <v>0</v>
      </c>
      <c r="M1513" s="2896">
        <f>'P - Ringfenced'!L103</f>
        <v>0</v>
      </c>
      <c r="N1513" s="2896">
        <f>'P - Ringfenced'!M103</f>
        <v>0</v>
      </c>
      <c r="O1513" s="2896">
        <f>'P - Ringfenced'!N103</f>
        <v>0</v>
      </c>
      <c r="P1513" s="2896">
        <f>'P - Ringfenced'!O103</f>
        <v>0</v>
      </c>
      <c r="Q1513" s="2896">
        <f>'P - Ringfenced'!P103</f>
        <v>0</v>
      </c>
      <c r="R1513" s="2896">
        <f>'P - Ringfenced'!Q103</f>
        <v>0</v>
      </c>
      <c r="S1513">
        <f>'P - Ringfenced'!S103</f>
        <v>0</v>
      </c>
      <c r="U1513">
        <f t="shared" si="384"/>
        <v>0</v>
      </c>
    </row>
    <row r="1514" spans="1:21">
      <c r="A1514" s="2895" t="str">
        <f>ORG!$S$1</f>
        <v>Apr 23</v>
      </c>
      <c r="B1514" t="str">
        <f>ORG!$M$1</f>
        <v>Public Health Wales Trust</v>
      </c>
      <c r="C1514" s="1453" t="s">
        <v>1363</v>
      </c>
      <c r="D1514">
        <v>104</v>
      </c>
      <c r="E1514" t="str">
        <f>LEFT('P - Ringfenced'!$B$101,FIND("(Confirm",'P - Ringfenced'!$B$101,1)-2)</f>
        <v>Recovery</v>
      </c>
      <c r="F1514">
        <f>'P - Ringfenced'!A104</f>
        <v>0</v>
      </c>
      <c r="G1514" s="2896">
        <f>'P - Ringfenced'!F104</f>
        <v>0</v>
      </c>
      <c r="H1514" s="2896">
        <f>'P - Ringfenced'!G104</f>
        <v>0</v>
      </c>
      <c r="I1514" s="2896">
        <f>'P - Ringfenced'!H104</f>
        <v>0</v>
      </c>
      <c r="J1514" s="2896">
        <f>'P - Ringfenced'!I104</f>
        <v>0</v>
      </c>
      <c r="K1514" s="2896">
        <f>'P - Ringfenced'!J104</f>
        <v>0</v>
      </c>
      <c r="L1514" s="2896">
        <f>'P - Ringfenced'!K104</f>
        <v>0</v>
      </c>
      <c r="M1514" s="2896">
        <f>'P - Ringfenced'!L104</f>
        <v>0</v>
      </c>
      <c r="N1514" s="2896">
        <f>'P - Ringfenced'!M104</f>
        <v>0</v>
      </c>
      <c r="O1514" s="2896">
        <f>'P - Ringfenced'!N104</f>
        <v>0</v>
      </c>
      <c r="P1514" s="2896">
        <f>'P - Ringfenced'!O104</f>
        <v>0</v>
      </c>
      <c r="Q1514" s="2896">
        <f>'P - Ringfenced'!P104</f>
        <v>0</v>
      </c>
      <c r="R1514" s="2896">
        <f>'P - Ringfenced'!Q104</f>
        <v>0</v>
      </c>
      <c r="S1514">
        <f>'P - Ringfenced'!S104</f>
        <v>0</v>
      </c>
      <c r="U1514">
        <f t="shared" si="384"/>
        <v>0</v>
      </c>
    </row>
    <row r="1515" spans="1:21">
      <c r="A1515" s="2895" t="str">
        <f>ORG!$S$1</f>
        <v>Apr 23</v>
      </c>
      <c r="B1515" t="str">
        <f>ORG!$M$1</f>
        <v>Public Health Wales Trust</v>
      </c>
      <c r="C1515" s="1453" t="s">
        <v>1363</v>
      </c>
      <c r="D1515">
        <v>105</v>
      </c>
      <c r="E1515" t="str">
        <f>LEFT('P - Ringfenced'!$B$101,FIND("(Confirm",'P - Ringfenced'!$B$101,1)-2)</f>
        <v>Recovery</v>
      </c>
      <c r="F1515">
        <f>'P - Ringfenced'!A105</f>
        <v>0</v>
      </c>
      <c r="G1515" s="2896">
        <f>'P - Ringfenced'!F105</f>
        <v>0</v>
      </c>
      <c r="H1515" s="2896">
        <f>'P - Ringfenced'!G105</f>
        <v>0</v>
      </c>
      <c r="I1515" s="2896">
        <f>'P - Ringfenced'!H105</f>
        <v>0</v>
      </c>
      <c r="J1515" s="2896">
        <f>'P - Ringfenced'!I105</f>
        <v>0</v>
      </c>
      <c r="K1515" s="2896">
        <f>'P - Ringfenced'!J105</f>
        <v>0</v>
      </c>
      <c r="L1515" s="2896">
        <f>'P - Ringfenced'!K105</f>
        <v>0</v>
      </c>
      <c r="M1515" s="2896">
        <f>'P - Ringfenced'!L105</f>
        <v>0</v>
      </c>
      <c r="N1515" s="2896">
        <f>'P - Ringfenced'!M105</f>
        <v>0</v>
      </c>
      <c r="O1515" s="2896">
        <f>'P - Ringfenced'!N105</f>
        <v>0</v>
      </c>
      <c r="P1515" s="2896">
        <f>'P - Ringfenced'!O105</f>
        <v>0</v>
      </c>
      <c r="Q1515" s="2896">
        <f>'P - Ringfenced'!P105</f>
        <v>0</v>
      </c>
      <c r="R1515" s="2896">
        <f>'P - Ringfenced'!Q105</f>
        <v>0</v>
      </c>
      <c r="S1515">
        <f>'P - Ringfenced'!S105</f>
        <v>0</v>
      </c>
      <c r="U1515">
        <f t="shared" si="384"/>
        <v>0</v>
      </c>
    </row>
    <row r="1516" spans="1:21">
      <c r="A1516" s="2895" t="str">
        <f>ORG!$S$1</f>
        <v>Apr 23</v>
      </c>
      <c r="B1516" t="str">
        <f>ORG!$M$1</f>
        <v>Public Health Wales Trust</v>
      </c>
      <c r="C1516" s="1453" t="s">
        <v>1363</v>
      </c>
      <c r="D1516">
        <v>106</v>
      </c>
      <c r="E1516" t="str">
        <f>LEFT('P - Ringfenced'!$B$101,FIND("(Confirm",'P - Ringfenced'!$B$101,1)-2)</f>
        <v>Recovery</v>
      </c>
      <c r="F1516">
        <f>'P - Ringfenced'!A106</f>
        <v>0</v>
      </c>
      <c r="G1516" s="2896">
        <f>'P - Ringfenced'!F106</f>
        <v>0</v>
      </c>
      <c r="H1516" s="2896">
        <f>'P - Ringfenced'!G106</f>
        <v>0</v>
      </c>
      <c r="I1516" s="2896">
        <f>'P - Ringfenced'!H106</f>
        <v>0</v>
      </c>
      <c r="J1516" s="2896">
        <f>'P - Ringfenced'!I106</f>
        <v>0</v>
      </c>
      <c r="K1516" s="2896">
        <f>'P - Ringfenced'!J106</f>
        <v>0</v>
      </c>
      <c r="L1516" s="2896">
        <f>'P - Ringfenced'!K106</f>
        <v>0</v>
      </c>
      <c r="M1516" s="2896">
        <f>'P - Ringfenced'!L106</f>
        <v>0</v>
      </c>
      <c r="N1516" s="2896">
        <f>'P - Ringfenced'!M106</f>
        <v>0</v>
      </c>
      <c r="O1516" s="2896">
        <f>'P - Ringfenced'!N106</f>
        <v>0</v>
      </c>
      <c r="P1516" s="2896">
        <f>'P - Ringfenced'!O106</f>
        <v>0</v>
      </c>
      <c r="Q1516" s="2896">
        <f>'P - Ringfenced'!P106</f>
        <v>0</v>
      </c>
      <c r="R1516" s="2896">
        <f>'P - Ringfenced'!Q106</f>
        <v>0</v>
      </c>
      <c r="S1516">
        <f>'P - Ringfenced'!S106</f>
        <v>0</v>
      </c>
      <c r="U1516">
        <f t="shared" si="384"/>
        <v>0</v>
      </c>
    </row>
    <row r="1517" spans="1:21">
      <c r="A1517" s="2895" t="str">
        <f>ORG!$S$1</f>
        <v>Apr 23</v>
      </c>
      <c r="B1517" t="str">
        <f>ORG!$M$1</f>
        <v>Public Health Wales Trust</v>
      </c>
      <c r="C1517" s="1453" t="s">
        <v>1363</v>
      </c>
      <c r="D1517">
        <v>107</v>
      </c>
      <c r="E1517" t="str">
        <f>LEFT('P - Ringfenced'!$B$101,FIND("(Confirm",'P - Ringfenced'!$B$101,1)-2)</f>
        <v>Recovery</v>
      </c>
      <c r="F1517">
        <f>'P - Ringfenced'!A107</f>
        <v>0</v>
      </c>
      <c r="G1517" s="2896">
        <f>'P - Ringfenced'!F107</f>
        <v>0</v>
      </c>
      <c r="H1517" s="2896">
        <f>'P - Ringfenced'!G107</f>
        <v>0</v>
      </c>
      <c r="I1517" s="2896">
        <f>'P - Ringfenced'!H107</f>
        <v>0</v>
      </c>
      <c r="J1517" s="2896">
        <f>'P - Ringfenced'!I107</f>
        <v>0</v>
      </c>
      <c r="K1517" s="2896">
        <f>'P - Ringfenced'!J107</f>
        <v>0</v>
      </c>
      <c r="L1517" s="2896">
        <f>'P - Ringfenced'!K107</f>
        <v>0</v>
      </c>
      <c r="M1517" s="2896">
        <f>'P - Ringfenced'!L107</f>
        <v>0</v>
      </c>
      <c r="N1517" s="2896">
        <f>'P - Ringfenced'!M107</f>
        <v>0</v>
      </c>
      <c r="O1517" s="2896">
        <f>'P - Ringfenced'!N107</f>
        <v>0</v>
      </c>
      <c r="P1517" s="2896">
        <f>'P - Ringfenced'!O107</f>
        <v>0</v>
      </c>
      <c r="Q1517" s="2896">
        <f>'P - Ringfenced'!P107</f>
        <v>0</v>
      </c>
      <c r="R1517" s="2896">
        <f>'P - Ringfenced'!Q107</f>
        <v>0</v>
      </c>
      <c r="S1517">
        <f>'P - Ringfenced'!S107</f>
        <v>0</v>
      </c>
      <c r="U1517">
        <f t="shared" si="384"/>
        <v>0</v>
      </c>
    </row>
    <row r="1518" spans="1:21">
      <c r="A1518" s="2895" t="str">
        <f>ORG!$S$1</f>
        <v>Apr 23</v>
      </c>
      <c r="B1518" t="str">
        <f>ORG!$M$1</f>
        <v>Public Health Wales Trust</v>
      </c>
      <c r="C1518" s="1453" t="s">
        <v>1363</v>
      </c>
      <c r="D1518">
        <v>108</v>
      </c>
      <c r="E1518" t="str">
        <f>LEFT('P - Ringfenced'!$B$101,FIND("(Confirm",'P - Ringfenced'!$B$101,1)-2)</f>
        <v>Recovery</v>
      </c>
      <c r="F1518">
        <f>'P - Ringfenced'!A108</f>
        <v>0</v>
      </c>
      <c r="G1518" s="2896">
        <f>'P - Ringfenced'!F108</f>
        <v>0</v>
      </c>
      <c r="H1518" s="2896">
        <f>'P - Ringfenced'!G108</f>
        <v>0</v>
      </c>
      <c r="I1518" s="2896">
        <f>'P - Ringfenced'!H108</f>
        <v>0</v>
      </c>
      <c r="J1518" s="2896">
        <f>'P - Ringfenced'!I108</f>
        <v>0</v>
      </c>
      <c r="K1518" s="2896">
        <f>'P - Ringfenced'!J108</f>
        <v>0</v>
      </c>
      <c r="L1518" s="2896">
        <f>'P - Ringfenced'!K108</f>
        <v>0</v>
      </c>
      <c r="M1518" s="2896">
        <f>'P - Ringfenced'!L108</f>
        <v>0</v>
      </c>
      <c r="N1518" s="2896">
        <f>'P - Ringfenced'!M108</f>
        <v>0</v>
      </c>
      <c r="O1518" s="2896">
        <f>'P - Ringfenced'!N108</f>
        <v>0</v>
      </c>
      <c r="P1518" s="2896">
        <f>'P - Ringfenced'!O108</f>
        <v>0</v>
      </c>
      <c r="Q1518" s="2896">
        <f>'P - Ringfenced'!P108</f>
        <v>0</v>
      </c>
      <c r="R1518" s="2896">
        <f>'P - Ringfenced'!Q108</f>
        <v>0</v>
      </c>
      <c r="S1518">
        <f>'P - Ringfenced'!S108</f>
        <v>0</v>
      </c>
      <c r="U1518">
        <f t="shared" si="384"/>
        <v>0</v>
      </c>
    </row>
    <row r="1519" spans="1:21">
      <c r="A1519" s="2895" t="str">
        <f>ORG!$S$1</f>
        <v>Apr 23</v>
      </c>
      <c r="B1519" t="str">
        <f>ORG!$M$1</f>
        <v>Public Health Wales Trust</v>
      </c>
      <c r="C1519" s="1453" t="s">
        <v>1363</v>
      </c>
      <c r="D1519">
        <v>109</v>
      </c>
      <c r="E1519" t="str">
        <f>LEFT('P - Ringfenced'!$B$101,FIND("(Confirm",'P - Ringfenced'!$B$101,1)-2)</f>
        <v>Recovery</v>
      </c>
      <c r="F1519" t="str">
        <f>'P - Ringfenced'!A109</f>
        <v>Recovery (Confirm in below text 'Allocated' or 'Anticipated')_Total</v>
      </c>
      <c r="G1519" s="2896">
        <f>'P - Ringfenced'!F109</f>
        <v>0</v>
      </c>
      <c r="H1519" s="2896">
        <f>'P - Ringfenced'!G109</f>
        <v>0</v>
      </c>
      <c r="I1519" s="2896">
        <f>'P - Ringfenced'!H109</f>
        <v>0</v>
      </c>
      <c r="J1519" s="2896">
        <f>'P - Ringfenced'!I109</f>
        <v>0</v>
      </c>
      <c r="K1519" s="2896">
        <f>'P - Ringfenced'!J109</f>
        <v>0</v>
      </c>
      <c r="L1519" s="2896">
        <f>'P - Ringfenced'!K109</f>
        <v>0</v>
      </c>
      <c r="M1519" s="2896">
        <f>'P - Ringfenced'!L109</f>
        <v>0</v>
      </c>
      <c r="N1519" s="2896">
        <f>'P - Ringfenced'!M109</f>
        <v>0</v>
      </c>
      <c r="O1519" s="2896">
        <f>'P - Ringfenced'!N109</f>
        <v>0</v>
      </c>
      <c r="P1519" s="2896">
        <f>'P - Ringfenced'!O109</f>
        <v>0</v>
      </c>
      <c r="Q1519" s="2896">
        <f>'P - Ringfenced'!P109</f>
        <v>0</v>
      </c>
      <c r="R1519" s="2896">
        <f>'P - Ringfenced'!Q109</f>
        <v>0</v>
      </c>
      <c r="S1519">
        <f>'P - Ringfenced'!S109</f>
        <v>0</v>
      </c>
      <c r="U1519">
        <f t="shared" si="384"/>
        <v>0</v>
      </c>
    </row>
    <row r="1520" spans="1:21">
      <c r="A1520" s="2895" t="str">
        <f>ORG!$S$1</f>
        <v>Apr 23</v>
      </c>
      <c r="B1520" t="str">
        <f>ORG!$M$1</f>
        <v>Public Health Wales Trust</v>
      </c>
      <c r="C1520" s="1453" t="s">
        <v>1363</v>
      </c>
      <c r="D1520">
        <v>110</v>
      </c>
      <c r="E1520" t="str">
        <f>LEFT('P - Ringfenced'!$B$101,FIND("(Confirm",'P - Ringfenced'!$B$101,1)-2)</f>
        <v>Recovery</v>
      </c>
      <c r="F1520">
        <f>'P - Ringfenced'!A110</f>
        <v>0</v>
      </c>
      <c r="G1520" s="2896">
        <f>'P - Ringfenced'!F110</f>
        <v>0</v>
      </c>
      <c r="H1520" s="2896">
        <f>'P - Ringfenced'!G110</f>
        <v>0</v>
      </c>
      <c r="I1520" s="2896">
        <f>'P - Ringfenced'!H110</f>
        <v>0</v>
      </c>
      <c r="J1520" s="2896">
        <f>'P - Ringfenced'!I110</f>
        <v>0</v>
      </c>
      <c r="K1520" s="2896">
        <f>'P - Ringfenced'!J110</f>
        <v>0</v>
      </c>
      <c r="L1520" s="2896">
        <f>'P - Ringfenced'!K110</f>
        <v>0</v>
      </c>
      <c r="M1520" s="2896">
        <f>'P - Ringfenced'!L110</f>
        <v>0</v>
      </c>
      <c r="N1520" s="2896">
        <f>'P - Ringfenced'!M110</f>
        <v>0</v>
      </c>
      <c r="O1520" s="2896">
        <f>'P - Ringfenced'!N110</f>
        <v>0</v>
      </c>
      <c r="P1520" s="2896">
        <f>'P - Ringfenced'!O110</f>
        <v>0</v>
      </c>
      <c r="Q1520" s="2896">
        <f>'P - Ringfenced'!P110</f>
        <v>0</v>
      </c>
      <c r="R1520" s="2896">
        <f>'P - Ringfenced'!Q110</f>
        <v>0</v>
      </c>
      <c r="S1520">
        <f>'P - Ringfenced'!S110</f>
        <v>0</v>
      </c>
      <c r="U1520">
        <f t="shared" si="384"/>
        <v>0</v>
      </c>
    </row>
    <row r="1521" spans="1:21">
      <c r="A1521" s="2895" t="str">
        <f>ORG!$S$1</f>
        <v>Apr 23</v>
      </c>
      <c r="B1521" t="str">
        <f>ORG!$M$1</f>
        <v>Public Health Wales Trust</v>
      </c>
      <c r="C1521" s="1453" t="s">
        <v>1363</v>
      </c>
      <c r="D1521">
        <v>111</v>
      </c>
      <c r="E1521" t="str">
        <f>LEFT('P - Ringfenced'!$B$101,FIND("(Confirm",'P - Ringfenced'!$B$101,1)-2)</f>
        <v>Recovery</v>
      </c>
      <c r="F1521">
        <f>'P - Ringfenced'!A111</f>
        <v>0</v>
      </c>
      <c r="G1521" s="2896">
        <f>'P - Ringfenced'!F111</f>
        <v>0</v>
      </c>
      <c r="H1521" s="2896">
        <f>'P - Ringfenced'!G111</f>
        <v>0</v>
      </c>
      <c r="I1521" s="2896">
        <f>'P - Ringfenced'!H111</f>
        <v>0</v>
      </c>
      <c r="J1521" s="2896">
        <f>'P - Ringfenced'!I111</f>
        <v>0</v>
      </c>
      <c r="K1521" s="2896">
        <f>'P - Ringfenced'!J111</f>
        <v>0</v>
      </c>
      <c r="L1521" s="2896">
        <f>'P - Ringfenced'!K111</f>
        <v>0</v>
      </c>
      <c r="M1521" s="2896">
        <f>'P - Ringfenced'!L111</f>
        <v>0</v>
      </c>
      <c r="N1521" s="2896">
        <f>'P - Ringfenced'!M111</f>
        <v>0</v>
      </c>
      <c r="O1521" s="2896">
        <f>'P - Ringfenced'!N111</f>
        <v>0</v>
      </c>
      <c r="P1521" s="2896">
        <f>'P - Ringfenced'!O111</f>
        <v>0</v>
      </c>
      <c r="Q1521" s="2896">
        <f>'P - Ringfenced'!P111</f>
        <v>0</v>
      </c>
      <c r="R1521" s="2896">
        <f>'P - Ringfenced'!Q111</f>
        <v>0</v>
      </c>
      <c r="S1521">
        <f>'P - Ringfenced'!S111</f>
        <v>0</v>
      </c>
      <c r="U1521">
        <f t="shared" si="384"/>
        <v>0</v>
      </c>
    </row>
    <row r="1522" spans="1:21">
      <c r="A1522" s="2895" t="str">
        <f>ORG!$S$1</f>
        <v>Apr 23</v>
      </c>
      <c r="B1522" t="str">
        <f>ORG!$M$1</f>
        <v>Public Health Wales Trust</v>
      </c>
      <c r="C1522" s="1453" t="s">
        <v>1363</v>
      </c>
      <c r="D1522">
        <v>112</v>
      </c>
      <c r="E1522" t="str">
        <f>LEFT('P - Ringfenced'!$B$112,FIND("(Confirm",'P - Ringfenced'!$B$112,1)-2)</f>
        <v>Spare</v>
      </c>
      <c r="F1522">
        <f>'P - Ringfenced'!A112</f>
        <v>0</v>
      </c>
      <c r="G1522" s="2896">
        <f>'P - Ringfenced'!F112</f>
        <v>0</v>
      </c>
      <c r="H1522" s="2896">
        <f>'P - Ringfenced'!G112</f>
        <v>0</v>
      </c>
      <c r="I1522" s="2896">
        <f>'P - Ringfenced'!H112</f>
        <v>0</v>
      </c>
      <c r="J1522" s="2896">
        <f>'P - Ringfenced'!I112</f>
        <v>0</v>
      </c>
      <c r="K1522" s="2896">
        <f>'P - Ringfenced'!J112</f>
        <v>0</v>
      </c>
      <c r="L1522" s="2896">
        <f>'P - Ringfenced'!K112</f>
        <v>0</v>
      </c>
      <c r="M1522" s="2896">
        <f>'P - Ringfenced'!L112</f>
        <v>0</v>
      </c>
      <c r="N1522" s="2896">
        <f>'P - Ringfenced'!M112</f>
        <v>0</v>
      </c>
      <c r="O1522" s="2896">
        <f>'P - Ringfenced'!N112</f>
        <v>0</v>
      </c>
      <c r="P1522" s="2896">
        <f>'P - Ringfenced'!O112</f>
        <v>0</v>
      </c>
      <c r="Q1522" s="2896">
        <f>'P - Ringfenced'!P112</f>
        <v>0</v>
      </c>
      <c r="R1522" s="2896">
        <f>'P - Ringfenced'!Q112</f>
        <v>0</v>
      </c>
      <c r="S1522">
        <f>'P - Ringfenced'!S112</f>
        <v>0</v>
      </c>
      <c r="U1522">
        <f t="shared" si="384"/>
        <v>0</v>
      </c>
    </row>
    <row r="1523" spans="1:21">
      <c r="A1523" s="2895" t="str">
        <f>ORG!$S$1</f>
        <v>Apr 23</v>
      </c>
      <c r="B1523" t="str">
        <f>ORG!$M$1</f>
        <v>Public Health Wales Trust</v>
      </c>
      <c r="C1523" s="1453" t="s">
        <v>1363</v>
      </c>
      <c r="D1523">
        <v>113</v>
      </c>
      <c r="E1523" t="str">
        <f>LEFT('P - Ringfenced'!$B$112,FIND("(Confirm",'P - Ringfenced'!$B$112,1)-2)</f>
        <v>Spare</v>
      </c>
      <c r="F1523">
        <f>'P - Ringfenced'!A113</f>
        <v>0</v>
      </c>
      <c r="G1523" s="2896">
        <f>'P - Ringfenced'!F113</f>
        <v>0</v>
      </c>
      <c r="H1523" s="2896">
        <f>'P - Ringfenced'!G113</f>
        <v>0</v>
      </c>
      <c r="I1523" s="2896">
        <f>'P - Ringfenced'!H113</f>
        <v>0</v>
      </c>
      <c r="J1523" s="2896">
        <f>'P - Ringfenced'!I113</f>
        <v>0</v>
      </c>
      <c r="K1523" s="2896">
        <f>'P - Ringfenced'!J113</f>
        <v>0</v>
      </c>
      <c r="L1523" s="2896">
        <f>'P - Ringfenced'!K113</f>
        <v>0</v>
      </c>
      <c r="M1523" s="2896">
        <f>'P - Ringfenced'!L113</f>
        <v>0</v>
      </c>
      <c r="N1523" s="2896">
        <f>'P - Ringfenced'!M113</f>
        <v>0</v>
      </c>
      <c r="O1523" s="2896">
        <f>'P - Ringfenced'!N113</f>
        <v>0</v>
      </c>
      <c r="P1523" s="2896">
        <f>'P - Ringfenced'!O113</f>
        <v>0</v>
      </c>
      <c r="Q1523" s="2896">
        <f>'P - Ringfenced'!P113</f>
        <v>0</v>
      </c>
      <c r="R1523" s="2896">
        <f>'P - Ringfenced'!Q113</f>
        <v>0</v>
      </c>
      <c r="S1523">
        <f>'P - Ringfenced'!S113</f>
        <v>0</v>
      </c>
      <c r="U1523">
        <f t="shared" si="384"/>
        <v>0</v>
      </c>
    </row>
    <row r="1524" spans="1:21">
      <c r="A1524" s="2895" t="str">
        <f>ORG!$S$1</f>
        <v>Apr 23</v>
      </c>
      <c r="B1524" t="str">
        <f>ORG!$M$1</f>
        <v>Public Health Wales Trust</v>
      </c>
      <c r="C1524" s="1453" t="s">
        <v>1363</v>
      </c>
      <c r="D1524">
        <v>114</v>
      </c>
      <c r="E1524" t="str">
        <f>LEFT('P - Ringfenced'!$B$112,FIND("(Confirm",'P - Ringfenced'!$B$112,1)-2)</f>
        <v>Spare</v>
      </c>
      <c r="F1524">
        <f>'P - Ringfenced'!A114</f>
        <v>0</v>
      </c>
      <c r="G1524" s="2896">
        <f>'P - Ringfenced'!F114</f>
        <v>0</v>
      </c>
      <c r="H1524" s="2896">
        <f>'P - Ringfenced'!G114</f>
        <v>0</v>
      </c>
      <c r="I1524" s="2896">
        <f>'P - Ringfenced'!H114</f>
        <v>0</v>
      </c>
      <c r="J1524" s="2896">
        <f>'P - Ringfenced'!I114</f>
        <v>0</v>
      </c>
      <c r="K1524" s="2896">
        <f>'P - Ringfenced'!J114</f>
        <v>0</v>
      </c>
      <c r="L1524" s="2896">
        <f>'P - Ringfenced'!K114</f>
        <v>0</v>
      </c>
      <c r="M1524" s="2896">
        <f>'P - Ringfenced'!L114</f>
        <v>0</v>
      </c>
      <c r="N1524" s="2896">
        <f>'P - Ringfenced'!M114</f>
        <v>0</v>
      </c>
      <c r="O1524" s="2896">
        <f>'P - Ringfenced'!N114</f>
        <v>0</v>
      </c>
      <c r="P1524" s="2896">
        <f>'P - Ringfenced'!O114</f>
        <v>0</v>
      </c>
      <c r="Q1524" s="2896">
        <f>'P - Ringfenced'!P114</f>
        <v>0</v>
      </c>
      <c r="R1524" s="2896">
        <f>'P - Ringfenced'!Q114</f>
        <v>0</v>
      </c>
      <c r="S1524">
        <f>'P - Ringfenced'!S114</f>
        <v>0</v>
      </c>
      <c r="U1524">
        <f t="shared" si="384"/>
        <v>0</v>
      </c>
    </row>
    <row r="1525" spans="1:21">
      <c r="A1525" s="2895" t="str">
        <f>ORG!$S$1</f>
        <v>Apr 23</v>
      </c>
      <c r="B1525" t="str">
        <f>ORG!$M$1</f>
        <v>Public Health Wales Trust</v>
      </c>
      <c r="C1525" s="1453" t="s">
        <v>1363</v>
      </c>
      <c r="D1525">
        <v>115</v>
      </c>
      <c r="E1525" t="str">
        <f>LEFT('P - Ringfenced'!$B$112,FIND("(Confirm",'P - Ringfenced'!$B$112,1)-2)</f>
        <v>Spare</v>
      </c>
      <c r="F1525">
        <f>'P - Ringfenced'!A115</f>
        <v>0</v>
      </c>
      <c r="G1525" s="2896">
        <f>'P - Ringfenced'!F115</f>
        <v>0</v>
      </c>
      <c r="H1525" s="2896">
        <f>'P - Ringfenced'!G115</f>
        <v>0</v>
      </c>
      <c r="I1525" s="2896">
        <f>'P - Ringfenced'!H115</f>
        <v>0</v>
      </c>
      <c r="J1525" s="2896">
        <f>'P - Ringfenced'!I115</f>
        <v>0</v>
      </c>
      <c r="K1525" s="2896">
        <f>'P - Ringfenced'!J115</f>
        <v>0</v>
      </c>
      <c r="L1525" s="2896">
        <f>'P - Ringfenced'!K115</f>
        <v>0</v>
      </c>
      <c r="M1525" s="2896">
        <f>'P - Ringfenced'!L115</f>
        <v>0</v>
      </c>
      <c r="N1525" s="2896">
        <f>'P - Ringfenced'!M115</f>
        <v>0</v>
      </c>
      <c r="O1525" s="2896">
        <f>'P - Ringfenced'!N115</f>
        <v>0</v>
      </c>
      <c r="P1525" s="2896">
        <f>'P - Ringfenced'!O115</f>
        <v>0</v>
      </c>
      <c r="Q1525" s="2896">
        <f>'P - Ringfenced'!P115</f>
        <v>0</v>
      </c>
      <c r="R1525" s="2896">
        <f>'P - Ringfenced'!Q115</f>
        <v>0</v>
      </c>
      <c r="S1525">
        <f>'P - Ringfenced'!S115</f>
        <v>0</v>
      </c>
      <c r="U1525">
        <f t="shared" si="384"/>
        <v>0</v>
      </c>
    </row>
    <row r="1526" spans="1:21">
      <c r="A1526" s="2895" t="str">
        <f>ORG!$S$1</f>
        <v>Apr 23</v>
      </c>
      <c r="B1526" t="str">
        <f>ORG!$M$1</f>
        <v>Public Health Wales Trust</v>
      </c>
      <c r="C1526" s="1453" t="s">
        <v>1363</v>
      </c>
      <c r="D1526">
        <v>116</v>
      </c>
      <c r="E1526" t="str">
        <f>LEFT('P - Ringfenced'!$B$112,FIND("(Confirm",'P - Ringfenced'!$B$112,1)-2)</f>
        <v>Spare</v>
      </c>
      <c r="F1526">
        <f>'P - Ringfenced'!A116</f>
        <v>0</v>
      </c>
      <c r="G1526" s="2896">
        <f>'P - Ringfenced'!F116</f>
        <v>0</v>
      </c>
      <c r="H1526" s="2896">
        <f>'P - Ringfenced'!G116</f>
        <v>0</v>
      </c>
      <c r="I1526" s="2896">
        <f>'P - Ringfenced'!H116</f>
        <v>0</v>
      </c>
      <c r="J1526" s="2896">
        <f>'P - Ringfenced'!I116</f>
        <v>0</v>
      </c>
      <c r="K1526" s="2896">
        <f>'P - Ringfenced'!J116</f>
        <v>0</v>
      </c>
      <c r="L1526" s="2896">
        <f>'P - Ringfenced'!K116</f>
        <v>0</v>
      </c>
      <c r="M1526" s="2896">
        <f>'P - Ringfenced'!L116</f>
        <v>0</v>
      </c>
      <c r="N1526" s="2896">
        <f>'P - Ringfenced'!M116</f>
        <v>0</v>
      </c>
      <c r="O1526" s="2896">
        <f>'P - Ringfenced'!N116</f>
        <v>0</v>
      </c>
      <c r="P1526" s="2896">
        <f>'P - Ringfenced'!O116</f>
        <v>0</v>
      </c>
      <c r="Q1526" s="2896">
        <f>'P - Ringfenced'!P116</f>
        <v>0</v>
      </c>
      <c r="R1526" s="2896">
        <f>'P - Ringfenced'!Q116</f>
        <v>0</v>
      </c>
      <c r="S1526">
        <f>'P - Ringfenced'!S116</f>
        <v>0</v>
      </c>
      <c r="U1526">
        <f t="shared" si="384"/>
        <v>0</v>
      </c>
    </row>
    <row r="1527" spans="1:21">
      <c r="A1527" s="2895" t="str">
        <f>ORG!$S$1</f>
        <v>Apr 23</v>
      </c>
      <c r="B1527" t="str">
        <f>ORG!$M$1</f>
        <v>Public Health Wales Trust</v>
      </c>
      <c r="C1527" s="1453" t="s">
        <v>1363</v>
      </c>
      <c r="D1527">
        <v>117</v>
      </c>
      <c r="E1527" t="str">
        <f>LEFT('P - Ringfenced'!$B$112,FIND("(Confirm",'P - Ringfenced'!$B$112,1)-2)</f>
        <v>Spare</v>
      </c>
      <c r="F1527">
        <f>'P - Ringfenced'!A117</f>
        <v>0</v>
      </c>
      <c r="G1527" s="2896">
        <f>'P - Ringfenced'!F117</f>
        <v>0</v>
      </c>
      <c r="H1527" s="2896">
        <f>'P - Ringfenced'!G117</f>
        <v>0</v>
      </c>
      <c r="I1527" s="2896">
        <f>'P - Ringfenced'!H117</f>
        <v>0</v>
      </c>
      <c r="J1527" s="2896">
        <f>'P - Ringfenced'!I117</f>
        <v>0</v>
      </c>
      <c r="K1527" s="2896">
        <f>'P - Ringfenced'!J117</f>
        <v>0</v>
      </c>
      <c r="L1527" s="2896">
        <f>'P - Ringfenced'!K117</f>
        <v>0</v>
      </c>
      <c r="M1527" s="2896">
        <f>'P - Ringfenced'!L117</f>
        <v>0</v>
      </c>
      <c r="N1527" s="2896">
        <f>'P - Ringfenced'!M117</f>
        <v>0</v>
      </c>
      <c r="O1527" s="2896">
        <f>'P - Ringfenced'!N117</f>
        <v>0</v>
      </c>
      <c r="P1527" s="2896">
        <f>'P - Ringfenced'!O117</f>
        <v>0</v>
      </c>
      <c r="Q1527" s="2896">
        <f>'P - Ringfenced'!P117</f>
        <v>0</v>
      </c>
      <c r="R1527" s="2896">
        <f>'P - Ringfenced'!Q117</f>
        <v>0</v>
      </c>
      <c r="S1527">
        <f>'P - Ringfenced'!S117</f>
        <v>0</v>
      </c>
      <c r="U1527">
        <f t="shared" si="384"/>
        <v>0</v>
      </c>
    </row>
    <row r="1528" spans="1:21">
      <c r="A1528" s="2895" t="str">
        <f>ORG!$S$1</f>
        <v>Apr 23</v>
      </c>
      <c r="B1528" t="str">
        <f>ORG!$M$1</f>
        <v>Public Health Wales Trust</v>
      </c>
      <c r="C1528" s="1453" t="s">
        <v>1363</v>
      </c>
      <c r="D1528">
        <v>118</v>
      </c>
      <c r="E1528" t="str">
        <f>LEFT('P - Ringfenced'!$B$112,FIND("(Confirm",'P - Ringfenced'!$B$112,1)-2)</f>
        <v>Spare</v>
      </c>
      <c r="F1528">
        <f>'P - Ringfenced'!A118</f>
        <v>0</v>
      </c>
      <c r="G1528" s="2896">
        <f>'P - Ringfenced'!F118</f>
        <v>0</v>
      </c>
      <c r="H1528" s="2896">
        <f>'P - Ringfenced'!G118</f>
        <v>0</v>
      </c>
      <c r="I1528" s="2896">
        <f>'P - Ringfenced'!H118</f>
        <v>0</v>
      </c>
      <c r="J1528" s="2896">
        <f>'P - Ringfenced'!I118</f>
        <v>0</v>
      </c>
      <c r="K1528" s="2896">
        <f>'P - Ringfenced'!J118</f>
        <v>0</v>
      </c>
      <c r="L1528" s="2896">
        <f>'P - Ringfenced'!K118</f>
        <v>0</v>
      </c>
      <c r="M1528" s="2896">
        <f>'P - Ringfenced'!L118</f>
        <v>0</v>
      </c>
      <c r="N1528" s="2896">
        <f>'P - Ringfenced'!M118</f>
        <v>0</v>
      </c>
      <c r="O1528" s="2896">
        <f>'P - Ringfenced'!N118</f>
        <v>0</v>
      </c>
      <c r="P1528" s="2896">
        <f>'P - Ringfenced'!O118</f>
        <v>0</v>
      </c>
      <c r="Q1528" s="2896">
        <f>'P - Ringfenced'!P118</f>
        <v>0</v>
      </c>
      <c r="R1528" s="2896">
        <f>'P - Ringfenced'!Q118</f>
        <v>0</v>
      </c>
      <c r="S1528">
        <f>'P - Ringfenced'!S118</f>
        <v>0</v>
      </c>
      <c r="U1528">
        <f t="shared" si="384"/>
        <v>0</v>
      </c>
    </row>
    <row r="1529" spans="1:21">
      <c r="A1529" s="2895" t="str">
        <f>ORG!$S$1</f>
        <v>Apr 23</v>
      </c>
      <c r="B1529" t="str">
        <f>ORG!$M$1</f>
        <v>Public Health Wales Trust</v>
      </c>
      <c r="C1529" s="1453" t="s">
        <v>1363</v>
      </c>
      <c r="D1529">
        <v>119</v>
      </c>
      <c r="E1529" t="str">
        <f>LEFT('P - Ringfenced'!$B$112,FIND("(Confirm",'P - Ringfenced'!$B$112,1)-2)</f>
        <v>Spare</v>
      </c>
      <c r="F1529">
        <f>'P - Ringfenced'!A119</f>
        <v>0</v>
      </c>
      <c r="G1529" s="2896">
        <f>'P - Ringfenced'!F119</f>
        <v>0</v>
      </c>
      <c r="H1529" s="2896">
        <f>'P - Ringfenced'!G119</f>
        <v>0</v>
      </c>
      <c r="I1529" s="2896">
        <f>'P - Ringfenced'!H119</f>
        <v>0</v>
      </c>
      <c r="J1529" s="2896">
        <f>'P - Ringfenced'!I119</f>
        <v>0</v>
      </c>
      <c r="K1529" s="2896">
        <f>'P - Ringfenced'!J119</f>
        <v>0</v>
      </c>
      <c r="L1529" s="2896">
        <f>'P - Ringfenced'!K119</f>
        <v>0</v>
      </c>
      <c r="M1529" s="2896">
        <f>'P - Ringfenced'!L119</f>
        <v>0</v>
      </c>
      <c r="N1529" s="2896">
        <f>'P - Ringfenced'!M119</f>
        <v>0</v>
      </c>
      <c r="O1529" s="2896">
        <f>'P - Ringfenced'!N119</f>
        <v>0</v>
      </c>
      <c r="P1529" s="2896">
        <f>'P - Ringfenced'!O119</f>
        <v>0</v>
      </c>
      <c r="Q1529" s="2896">
        <f>'P - Ringfenced'!P119</f>
        <v>0</v>
      </c>
      <c r="R1529" s="2896">
        <f>'P - Ringfenced'!Q119</f>
        <v>0</v>
      </c>
      <c r="S1529">
        <f>'P - Ringfenced'!S119</f>
        <v>0</v>
      </c>
      <c r="U1529">
        <f t="shared" si="384"/>
        <v>0</v>
      </c>
    </row>
    <row r="1530" spans="1:21">
      <c r="A1530" s="2895" t="str">
        <f>ORG!$S$1</f>
        <v>Apr 23</v>
      </c>
      <c r="B1530" t="str">
        <f>ORG!$M$1</f>
        <v>Public Health Wales Trust</v>
      </c>
      <c r="C1530" s="1453" t="s">
        <v>1363</v>
      </c>
      <c r="D1530">
        <v>120</v>
      </c>
      <c r="E1530" t="str">
        <f>LEFT('P - Ringfenced'!$B$112,FIND("(Confirm",'P - Ringfenced'!$B$112,1)-2)</f>
        <v>Spare</v>
      </c>
      <c r="F1530" t="str">
        <f>'P - Ringfenced'!A120</f>
        <v>Spare (Confirm in below text 'Allocated' or 'Anticipated')_Total</v>
      </c>
      <c r="G1530" s="2896">
        <f>'P - Ringfenced'!F120</f>
        <v>0</v>
      </c>
      <c r="H1530" s="2896">
        <f>'P - Ringfenced'!G120</f>
        <v>0</v>
      </c>
      <c r="I1530" s="2896">
        <f>'P - Ringfenced'!H120</f>
        <v>0</v>
      </c>
      <c r="J1530" s="2896">
        <f>'P - Ringfenced'!I120</f>
        <v>0</v>
      </c>
      <c r="K1530" s="2896">
        <f>'P - Ringfenced'!J120</f>
        <v>0</v>
      </c>
      <c r="L1530" s="2896">
        <f>'P - Ringfenced'!K120</f>
        <v>0</v>
      </c>
      <c r="M1530" s="2896">
        <f>'P - Ringfenced'!L120</f>
        <v>0</v>
      </c>
      <c r="N1530" s="2896">
        <f>'P - Ringfenced'!M120</f>
        <v>0</v>
      </c>
      <c r="O1530" s="2896">
        <f>'P - Ringfenced'!N120</f>
        <v>0</v>
      </c>
      <c r="P1530" s="2896">
        <f>'P - Ringfenced'!O120</f>
        <v>0</v>
      </c>
      <c r="Q1530" s="2896">
        <f>'P - Ringfenced'!P120</f>
        <v>0</v>
      </c>
      <c r="R1530" s="2896">
        <f>'P - Ringfenced'!Q120</f>
        <v>0</v>
      </c>
      <c r="S1530">
        <f>'P - Ringfenced'!S120</f>
        <v>0</v>
      </c>
      <c r="U1530">
        <f t="shared" si="384"/>
        <v>0</v>
      </c>
    </row>
    <row r="1531" spans="1:21">
      <c r="A1531" s="2895" t="str">
        <f>ORG!$S$1</f>
        <v>Apr 23</v>
      </c>
      <c r="B1531" t="str">
        <f>ORG!$M$1</f>
        <v>Public Health Wales Trust</v>
      </c>
      <c r="C1531" s="1453"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5" t="str">
        <f>ORG!$S$1</f>
        <v>Apr 23</v>
      </c>
      <c r="B1532" t="str">
        <f>ORG!$M$1</f>
        <v>Public Health Wales Trust</v>
      </c>
      <c r="C1532" s="1453"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6">
        <f>'P - Ringfenced'!D10</f>
        <v>0</v>
      </c>
      <c r="U1532">
        <f t="shared" si="384"/>
        <v>0</v>
      </c>
    </row>
    <row r="1533" spans="1:21">
      <c r="A1533" s="2895" t="str">
        <f>ORG!$S$1</f>
        <v>Apr 23</v>
      </c>
      <c r="B1533" t="str">
        <f>ORG!$M$1</f>
        <v>Public Health Wales Trust</v>
      </c>
      <c r="C1533" s="1453" t="s">
        <v>1363</v>
      </c>
      <c r="D1533">
        <v>0</v>
      </c>
      <c r="E1533" t="str">
        <f t="shared" si="385"/>
        <v>WG Alloc_Regional Integration Fund (£132.7m)_Plan</v>
      </c>
      <c r="F1533" t="str">
        <f>IF(RIGHT(F1428,5)="_Plan",F1428&amp;"_WG Annual Allocation",0)</f>
        <v>Regional Integration Fund (£132.7m)_Plan_WG Annual Allocation</v>
      </c>
      <c r="S1533" s="2896">
        <f>'P - Ringfenced'!D14</f>
        <v>0</v>
      </c>
      <c r="U1533">
        <f t="shared" si="384"/>
        <v>0</v>
      </c>
    </row>
    <row r="1534" spans="1:21">
      <c r="A1534" s="2895" t="str">
        <f>ORG!$S$1</f>
        <v>Apr 23</v>
      </c>
      <c r="B1534" t="str">
        <f>ORG!$M$1</f>
        <v>Public Health Wales Trust</v>
      </c>
      <c r="C1534" s="1453" t="s">
        <v>1363</v>
      </c>
      <c r="D1534">
        <v>0</v>
      </c>
      <c r="E1534" t="str">
        <f t="shared" si="385"/>
        <v>WG Alloc_Genomics for Precision Medicine Strategy (£10.1m)_Plan</v>
      </c>
      <c r="F1534" t="str">
        <f>IF(RIGHT(F1432,5)="_Plan",F1432&amp;"_WG Annual Allocation",0)</f>
        <v>Genomics for Precision Medicine Strategy (£10.1m)_Plan_WG Annual Allocation</v>
      </c>
      <c r="S1534" s="2896">
        <f>'P - Ringfenced'!D18</f>
        <v>0</v>
      </c>
      <c r="U1534">
        <f t="shared" si="384"/>
        <v>0</v>
      </c>
    </row>
    <row r="1535" spans="1:21">
      <c r="A1535" s="2895" t="str">
        <f>ORG!$S$1</f>
        <v>Apr 23</v>
      </c>
      <c r="B1535" t="str">
        <f>ORG!$M$1</f>
        <v>Public Health Wales Trust</v>
      </c>
      <c r="C1535" s="1453" t="s">
        <v>1363</v>
      </c>
      <c r="D1535">
        <v>0</v>
      </c>
      <c r="E1535" t="str">
        <f t="shared" si="385"/>
        <v>WG Alloc_Critical Care Funding (£18.7m)_Plan</v>
      </c>
      <c r="F1535" t="str">
        <f>IF(RIGHT(F1436,5)="_Plan",F1436&amp;"_WG Annual Allocation",0)</f>
        <v>Critical Care Funding (£18.7m)_Plan_WG Annual Allocation</v>
      </c>
      <c r="S1535" s="2896">
        <f>'P - Ringfenced'!D22</f>
        <v>0</v>
      </c>
      <c r="U1535">
        <f t="shared" si="384"/>
        <v>0</v>
      </c>
    </row>
    <row r="1536" spans="1:21">
      <c r="A1536" s="2895" t="str">
        <f>ORG!$S$1</f>
        <v>Apr 23</v>
      </c>
      <c r="B1536" t="str">
        <f>ORG!$M$1</f>
        <v>Public Health Wales Trust</v>
      </c>
      <c r="C1536" s="1453" t="s">
        <v>1363</v>
      </c>
      <c r="D1536">
        <v>0</v>
      </c>
      <c r="E1536" t="str">
        <f t="shared" si="385"/>
        <v>WG Alloc_Urgent Emergency Care Allocations_Plan</v>
      </c>
      <c r="F1536" t="str">
        <f>IF(RIGHT(F1442,5)="_Plan",F1442&amp;"_WG Annual Allocation",0)</f>
        <v>Urgent Emergency Care Allocations_Plan_WG Annual Allocation</v>
      </c>
      <c r="S1536" s="2896">
        <f>'P - Ringfenced'!D30</f>
        <v>0</v>
      </c>
      <c r="U1536">
        <f t="shared" si="384"/>
        <v>0</v>
      </c>
    </row>
    <row r="1537" spans="1:21">
      <c r="A1537" s="2895" t="str">
        <f>ORG!$S$1</f>
        <v>Apr 23</v>
      </c>
      <c r="B1537" t="str">
        <f>ORG!$M$1</f>
        <v>Public Health Wales Trust</v>
      </c>
      <c r="C1537" s="1453" t="s">
        <v>1363</v>
      </c>
      <c r="D1537">
        <v>0</v>
      </c>
      <c r="E1537" t="str">
        <f t="shared" si="385"/>
        <v>WG Alloc_Mental Health (SIF) Allocations_Plan</v>
      </c>
      <c r="F1537" t="str">
        <f>IF(RIGHT(F1446,5)="_Plan",F1446&amp;"_WG Annual Allocation",0)</f>
        <v>Mental Health (SIF) Allocations_Plan_WG Annual Allocation</v>
      </c>
      <c r="S1537" s="2896">
        <f>'P - Ringfenced'!D34</f>
        <v>0</v>
      </c>
      <c r="U1537">
        <f t="shared" si="384"/>
        <v>0</v>
      </c>
    </row>
    <row r="1538" spans="1:21">
      <c r="A1538" s="2895" t="str">
        <f>ORG!$S$1</f>
        <v>Apr 23</v>
      </c>
      <c r="B1538" t="str">
        <f>ORG!$M$1</f>
        <v>Public Health Wales Trust</v>
      </c>
      <c r="C1538" s="1453" t="s">
        <v>1363</v>
      </c>
      <c r="D1538">
        <v>0</v>
      </c>
      <c r="E1538" t="str">
        <f t="shared" si="385"/>
        <v>WG Alloc_Planned Care_Plan</v>
      </c>
      <c r="F1538" t="str">
        <f>IF(RIGHT(F1450,5)="_Plan",F1450&amp;"_WG Annual Allocation",0)</f>
        <v>Planned Care_Plan_WG Annual Allocation</v>
      </c>
      <c r="S1538" s="2896">
        <f>'P - Ringfenced'!D38</f>
        <v>0</v>
      </c>
      <c r="U1538">
        <f t="shared" si="384"/>
        <v>0</v>
      </c>
    </row>
    <row r="1539" spans="1:21">
      <c r="A1539" s="2895" t="str">
        <f>ORG!$S$1</f>
        <v>Apr 23</v>
      </c>
      <c r="B1539" t="str">
        <f>ORG!$M$1</f>
        <v>Public Health Wales Trust</v>
      </c>
      <c r="C1539" s="1453" t="s">
        <v>1363</v>
      </c>
      <c r="D1539">
        <v>0</v>
      </c>
      <c r="E1539" t="str">
        <f t="shared" si="385"/>
        <v>WG Alloc_Value Based Health Care_Plan</v>
      </c>
      <c r="F1539" t="str">
        <f>IF(RIGHT(F1454,5)="_Plan",F1454&amp;"_WG Annual Allocation",0)</f>
        <v>Value Based Health Care_Plan_WG Annual Allocation</v>
      </c>
      <c r="S1539" s="2896">
        <f>'P - Ringfenced'!D42</f>
        <v>0</v>
      </c>
      <c r="U1539">
        <f t="shared" si="384"/>
        <v>0</v>
      </c>
    </row>
    <row r="1540" spans="1:21">
      <c r="A1540" s="2895" t="str">
        <f>ORG!$S$1</f>
        <v>Apr 23</v>
      </c>
      <c r="B1540" t="str">
        <f>ORG!$M$1</f>
        <v>Public Health Wales Trust</v>
      </c>
      <c r="C1540" s="1453" t="s">
        <v>1363</v>
      </c>
      <c r="D1540">
        <v>0</v>
      </c>
      <c r="E1540" t="str">
        <f t="shared" si="385"/>
        <v>WG Alloc_Recovery_Plan</v>
      </c>
      <c r="F1540" t="str">
        <f>IF(RIGHT(F1458,5)="_Plan",F1458&amp;"_WG Annual Allocation",0)</f>
        <v>Recovery_Plan_WG Annual Allocation</v>
      </c>
      <c r="S1540" s="2896">
        <f>'P - Ringfenced'!D46</f>
        <v>0</v>
      </c>
      <c r="U1540">
        <f t="shared" si="384"/>
        <v>0</v>
      </c>
    </row>
    <row r="1541" spans="1:21">
      <c r="A1541" s="2895" t="str">
        <f>ORG!$S$1</f>
        <v>Apr 23</v>
      </c>
      <c r="B1541" t="str">
        <f>ORG!$M$1</f>
        <v>Public Health Wales Trust</v>
      </c>
      <c r="C1541" s="1453" t="s">
        <v>1363</v>
      </c>
      <c r="D1541">
        <v>0</v>
      </c>
      <c r="E1541" t="str">
        <f t="shared" si="385"/>
        <v>WG Alloc_Spare_Plan</v>
      </c>
      <c r="F1541" t="str">
        <f>IF(RIGHT(F1462,5)="_Plan",F1462&amp;"_WG Annual Allocation",0)</f>
        <v>Spare_Plan_WG Annual Allocation</v>
      </c>
      <c r="S1541" s="2896">
        <f>'P - Ringfenced'!D50</f>
        <v>0</v>
      </c>
      <c r="U1541">
        <f t="shared" si="384"/>
        <v>0</v>
      </c>
    </row>
    <row r="1542" spans="1:21">
      <c r="A1542" s="2895" t="str">
        <f>ORG!$S$1</f>
        <v>Apr 23</v>
      </c>
      <c r="B1542" t="str">
        <f>ORG!$M$1</f>
        <v>Public Health Wales Trust</v>
      </c>
      <c r="C1542" s="1453"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5" t="str">
        <f>ORG!$S$1</f>
        <v>Apr 23</v>
      </c>
      <c r="B1543" t="str">
        <f>ORG!$M$1</f>
        <v>Public Health Wales Trust</v>
      </c>
      <c r="C1543" s="1453"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6">
        <f>'P - Ringfenced'!E10</f>
        <v>0</v>
      </c>
      <c r="U1543">
        <f t="shared" si="384"/>
        <v>0</v>
      </c>
    </row>
    <row r="1544" spans="1:21">
      <c r="A1544" s="2895" t="str">
        <f>ORG!$S$1</f>
        <v>Apr 23</v>
      </c>
      <c r="B1544" t="str">
        <f>ORG!$M$1</f>
        <v>Public Health Wales Trust</v>
      </c>
      <c r="C1544" s="1453" t="s">
        <v>1363</v>
      </c>
      <c r="D1544">
        <v>0</v>
      </c>
      <c r="E1544" t="str">
        <f t="shared" si="386"/>
        <v>Current Plan_Regional Integration Fund (£132.7m)_Plan</v>
      </c>
      <c r="F1544" t="str">
        <f>IF(RIGHT(F1428,5)="_Plan",F1428&amp;"_Current Plan",0)</f>
        <v>Regional Integration Fund (£132.7m)_Plan_Current Plan</v>
      </c>
      <c r="S1544" s="2896">
        <f>'P - Ringfenced'!E14</f>
        <v>0</v>
      </c>
      <c r="U1544">
        <f t="shared" si="384"/>
        <v>0</v>
      </c>
    </row>
    <row r="1545" spans="1:21">
      <c r="A1545" s="2895" t="str">
        <f>ORG!$S$1</f>
        <v>Apr 23</v>
      </c>
      <c r="B1545" t="str">
        <f>ORG!$M$1</f>
        <v>Public Health Wales Trust</v>
      </c>
      <c r="C1545" s="1453" t="s">
        <v>1363</v>
      </c>
      <c r="D1545">
        <v>0</v>
      </c>
      <c r="E1545" t="str">
        <f t="shared" si="386"/>
        <v>Current Plan_Genomics for Precision Medicine Strategy (£10.1m)_Plan</v>
      </c>
      <c r="F1545" t="str">
        <f>IF(RIGHT(F1432,5)="_Plan",F1432&amp;"_Current Plan",0)</f>
        <v>Genomics for Precision Medicine Strategy (£10.1m)_Plan_Current Plan</v>
      </c>
      <c r="S1545" s="2896">
        <f>'P - Ringfenced'!E18</f>
        <v>0</v>
      </c>
      <c r="U1545">
        <f t="shared" ref="U1545:U1608" si="387">S1545+T1545</f>
        <v>0</v>
      </c>
    </row>
    <row r="1546" spans="1:21">
      <c r="A1546" s="2895" t="str">
        <f>ORG!$S$1</f>
        <v>Apr 23</v>
      </c>
      <c r="B1546" t="str">
        <f>ORG!$M$1</f>
        <v>Public Health Wales Trust</v>
      </c>
      <c r="C1546" s="1453" t="s">
        <v>1363</v>
      </c>
      <c r="D1546">
        <v>0</v>
      </c>
      <c r="E1546" t="str">
        <f t="shared" si="386"/>
        <v>Current Plan_Critical Care Funding (£18.7m)_Plan</v>
      </c>
      <c r="F1546" t="str">
        <f>IF(RIGHT(F1436,5)="_Plan",F1436&amp;"_Current Plan",0)</f>
        <v>Critical Care Funding (£18.7m)_Plan_Current Plan</v>
      </c>
      <c r="S1546" s="2896">
        <f>'P - Ringfenced'!E22</f>
        <v>0</v>
      </c>
      <c r="U1546">
        <f t="shared" si="387"/>
        <v>0</v>
      </c>
    </row>
    <row r="1547" spans="1:21">
      <c r="A1547" s="2895" t="str">
        <f>ORG!$S$1</f>
        <v>Apr 23</v>
      </c>
      <c r="B1547" t="str">
        <f>ORG!$M$1</f>
        <v>Public Health Wales Trust</v>
      </c>
      <c r="C1547" s="1453" t="s">
        <v>1363</v>
      </c>
      <c r="D1547">
        <v>0</v>
      </c>
      <c r="E1547" t="str">
        <f t="shared" si="386"/>
        <v>Current Plan_Urgent Emergency Care Allocations_Plan</v>
      </c>
      <c r="F1547" t="str">
        <f>IF(RIGHT(F1442,5)="_Plan",F1442&amp;"_Current Plan",0)</f>
        <v>Urgent Emergency Care Allocations_Plan_Current Plan</v>
      </c>
      <c r="S1547" s="2896">
        <f>'P - Ringfenced'!E30</f>
        <v>0</v>
      </c>
      <c r="U1547">
        <f t="shared" si="387"/>
        <v>0</v>
      </c>
    </row>
    <row r="1548" spans="1:21">
      <c r="A1548" s="2895" t="str">
        <f>ORG!$S$1</f>
        <v>Apr 23</v>
      </c>
      <c r="B1548" t="str">
        <f>ORG!$M$1</f>
        <v>Public Health Wales Trust</v>
      </c>
      <c r="C1548" s="1453" t="s">
        <v>1363</v>
      </c>
      <c r="D1548">
        <v>0</v>
      </c>
      <c r="E1548" t="str">
        <f t="shared" si="386"/>
        <v>Current Plan_Mental Health (SIF) Allocations_Plan</v>
      </c>
      <c r="F1548" t="str">
        <f>IF(RIGHT(F1446,5)="_Plan",F1446&amp;"_Current Plan",0)</f>
        <v>Mental Health (SIF) Allocations_Plan_Current Plan</v>
      </c>
      <c r="S1548" s="2896">
        <f>'P - Ringfenced'!E34</f>
        <v>0</v>
      </c>
      <c r="U1548">
        <f t="shared" si="387"/>
        <v>0</v>
      </c>
    </row>
    <row r="1549" spans="1:21">
      <c r="A1549" s="2895" t="str">
        <f>ORG!$S$1</f>
        <v>Apr 23</v>
      </c>
      <c r="B1549" t="str">
        <f>ORG!$M$1</f>
        <v>Public Health Wales Trust</v>
      </c>
      <c r="C1549" s="1453" t="s">
        <v>1363</v>
      </c>
      <c r="D1549">
        <v>0</v>
      </c>
      <c r="E1549" t="str">
        <f t="shared" si="386"/>
        <v>Current Plan_Planned Care_Plan</v>
      </c>
      <c r="F1549" t="str">
        <f>IF(RIGHT(F1450,5)="_Plan",F1450&amp;"_Current Plan",0)</f>
        <v>Planned Care_Plan_Current Plan</v>
      </c>
      <c r="S1549" s="2896">
        <f>'P - Ringfenced'!E38</f>
        <v>0</v>
      </c>
      <c r="U1549">
        <f t="shared" si="387"/>
        <v>0</v>
      </c>
    </row>
    <row r="1550" spans="1:21">
      <c r="A1550" s="2895" t="str">
        <f>ORG!$S$1</f>
        <v>Apr 23</v>
      </c>
      <c r="B1550" t="str">
        <f>ORG!$M$1</f>
        <v>Public Health Wales Trust</v>
      </c>
      <c r="C1550" s="1453" t="s">
        <v>1363</v>
      </c>
      <c r="D1550">
        <v>0</v>
      </c>
      <c r="E1550" t="str">
        <f t="shared" si="386"/>
        <v>Current Plan_Value Based Health Care_Plan</v>
      </c>
      <c r="F1550" t="str">
        <f>IF(RIGHT(F1454,5)="_Plan",F1454&amp;"_Current Plan",0)</f>
        <v>Value Based Health Care_Plan_Current Plan</v>
      </c>
      <c r="S1550" s="2896">
        <f>'P - Ringfenced'!E42</f>
        <v>0</v>
      </c>
      <c r="U1550">
        <f t="shared" si="387"/>
        <v>0</v>
      </c>
    </row>
    <row r="1551" spans="1:21">
      <c r="A1551" s="2895" t="str">
        <f>ORG!$S$1</f>
        <v>Apr 23</v>
      </c>
      <c r="B1551" t="str">
        <f>ORG!$M$1</f>
        <v>Public Health Wales Trust</v>
      </c>
      <c r="C1551" s="1453" t="s">
        <v>1363</v>
      </c>
      <c r="D1551">
        <v>0</v>
      </c>
      <c r="E1551" t="str">
        <f t="shared" si="386"/>
        <v>Current Plan_Recovery_Plan</v>
      </c>
      <c r="F1551" t="str">
        <f>IF(RIGHT(F1458,5)="_Plan",F1458&amp;"_Current Plan",0)</f>
        <v>Recovery_Plan_Current Plan</v>
      </c>
      <c r="S1551" s="2896">
        <f>'P - Ringfenced'!E46</f>
        <v>0</v>
      </c>
      <c r="U1551">
        <f t="shared" si="387"/>
        <v>0</v>
      </c>
    </row>
    <row r="1552" spans="1:21">
      <c r="A1552" s="2895" t="str">
        <f>ORG!$S$1</f>
        <v>Apr 23</v>
      </c>
      <c r="B1552" t="str">
        <f>ORG!$M$1</f>
        <v>Public Health Wales Trust</v>
      </c>
      <c r="C1552" s="1453" t="s">
        <v>1363</v>
      </c>
      <c r="D1552">
        <v>0</v>
      </c>
      <c r="E1552" t="str">
        <f t="shared" si="386"/>
        <v>Current Plan_Spare_Plan</v>
      </c>
      <c r="F1552" t="str">
        <f>IF(RIGHT(F1462,5)="_Plan",F1462&amp;"_Current Plan",0)</f>
        <v>Spare_Plan_Current Plan</v>
      </c>
      <c r="S1552" s="2896">
        <f>'P - Ringfenced'!E50</f>
        <v>0</v>
      </c>
      <c r="U1552">
        <f t="shared" si="387"/>
        <v>0</v>
      </c>
    </row>
    <row r="1553" spans="1:21">
      <c r="A1553" s="2895" t="str">
        <f>ORG!$S$1</f>
        <v>Apr 23</v>
      </c>
      <c r="B1553" t="str">
        <f>ORG!$M$1</f>
        <v>Public Health Wales Trust</v>
      </c>
      <c r="C1553" s="1453" t="s">
        <v>1363</v>
      </c>
      <c r="D1553">
        <v>0</v>
      </c>
      <c r="E1553" t="str">
        <f>"WG Alloc_"&amp;E1469</f>
        <v>WG Alloc_Urgent Emergency Care Allocations</v>
      </c>
      <c r="F1553">
        <f>'P - Ringfenced'!A59</f>
        <v>0</v>
      </c>
      <c r="S1553" s="2896">
        <f>'P - Ringfenced'!D59</f>
        <v>0</v>
      </c>
      <c r="U1553">
        <f t="shared" si="387"/>
        <v>0</v>
      </c>
    </row>
    <row r="1554" spans="1:21">
      <c r="A1554" s="2895" t="str">
        <f>ORG!$S$1</f>
        <v>Apr 23</v>
      </c>
      <c r="B1554" t="str">
        <f>ORG!$M$1</f>
        <v>Public Health Wales Trust</v>
      </c>
      <c r="C1554" s="1453" t="s">
        <v>1363</v>
      </c>
      <c r="D1554">
        <v>0</v>
      </c>
      <c r="E1554" t="str">
        <f t="shared" ref="E1554:E1560" si="388">"WG Alloc_"&amp;E1470</f>
        <v>WG Alloc_Urgent Emergency Care Allocations</v>
      </c>
      <c r="F1554">
        <f>'P - Ringfenced'!A60</f>
        <v>0</v>
      </c>
      <c r="S1554" s="2896">
        <f>'P - Ringfenced'!D60</f>
        <v>0</v>
      </c>
      <c r="U1554">
        <f t="shared" si="387"/>
        <v>0</v>
      </c>
    </row>
    <row r="1555" spans="1:21">
      <c r="A1555" s="2895" t="str">
        <f>ORG!$S$1</f>
        <v>Apr 23</v>
      </c>
      <c r="B1555" t="str">
        <f>ORG!$M$1</f>
        <v>Public Health Wales Trust</v>
      </c>
      <c r="C1555" s="1453" t="s">
        <v>1363</v>
      </c>
      <c r="D1555">
        <v>0</v>
      </c>
      <c r="E1555" t="str">
        <f t="shared" si="388"/>
        <v>WG Alloc_Urgent Emergency Care Allocations</v>
      </c>
      <c r="F1555">
        <f>'P - Ringfenced'!A61</f>
        <v>0</v>
      </c>
      <c r="S1555" s="2896">
        <f>'P - Ringfenced'!D61</f>
        <v>0</v>
      </c>
      <c r="U1555">
        <f t="shared" si="387"/>
        <v>0</v>
      </c>
    </row>
    <row r="1556" spans="1:21">
      <c r="A1556" s="2895" t="str">
        <f>ORG!$S$1</f>
        <v>Apr 23</v>
      </c>
      <c r="B1556" t="str">
        <f>ORG!$M$1</f>
        <v>Public Health Wales Trust</v>
      </c>
      <c r="C1556" s="1453" t="s">
        <v>1363</v>
      </c>
      <c r="D1556">
        <v>0</v>
      </c>
      <c r="E1556" t="str">
        <f t="shared" si="388"/>
        <v>WG Alloc_Urgent Emergency Care Allocations</v>
      </c>
      <c r="F1556">
        <f>'P - Ringfenced'!A62</f>
        <v>0</v>
      </c>
      <c r="S1556" s="2896">
        <f>'P - Ringfenced'!D62</f>
        <v>0</v>
      </c>
      <c r="U1556">
        <f t="shared" si="387"/>
        <v>0</v>
      </c>
    </row>
    <row r="1557" spans="1:21">
      <c r="A1557" s="2895" t="str">
        <f>ORG!$S$1</f>
        <v>Apr 23</v>
      </c>
      <c r="B1557" t="str">
        <f>ORG!$M$1</f>
        <v>Public Health Wales Trust</v>
      </c>
      <c r="C1557" s="1453" t="s">
        <v>1363</v>
      </c>
      <c r="D1557">
        <v>0</v>
      </c>
      <c r="E1557" t="str">
        <f t="shared" si="388"/>
        <v>WG Alloc_Urgent Emergency Care Allocations</v>
      </c>
      <c r="F1557">
        <f>'P - Ringfenced'!A63</f>
        <v>0</v>
      </c>
      <c r="S1557" s="2896">
        <f>'P - Ringfenced'!D63</f>
        <v>0</v>
      </c>
      <c r="U1557">
        <f t="shared" si="387"/>
        <v>0</v>
      </c>
    </row>
    <row r="1558" spans="1:21">
      <c r="A1558" s="2895" t="str">
        <f>ORG!$S$1</f>
        <v>Apr 23</v>
      </c>
      <c r="B1558" t="str">
        <f>ORG!$M$1</f>
        <v>Public Health Wales Trust</v>
      </c>
      <c r="C1558" s="1453" t="s">
        <v>1363</v>
      </c>
      <c r="D1558">
        <v>0</v>
      </c>
      <c r="E1558" t="str">
        <f t="shared" si="388"/>
        <v>WG Alloc_Urgent Emergency Care Allocations</v>
      </c>
      <c r="F1558">
        <f>'P - Ringfenced'!A64</f>
        <v>0</v>
      </c>
      <c r="S1558" s="2896">
        <f>'P - Ringfenced'!D64</f>
        <v>0</v>
      </c>
      <c r="U1558">
        <f t="shared" si="387"/>
        <v>0</v>
      </c>
    </row>
    <row r="1559" spans="1:21">
      <c r="A1559" s="2895" t="str">
        <f>ORG!$S$1</f>
        <v>Apr 23</v>
      </c>
      <c r="B1559" t="str">
        <f>ORG!$M$1</f>
        <v>Public Health Wales Trust</v>
      </c>
      <c r="C1559" s="1453" t="s">
        <v>1363</v>
      </c>
      <c r="D1559">
        <v>0</v>
      </c>
      <c r="E1559" t="str">
        <f t="shared" si="388"/>
        <v>WG Alloc_Urgent Emergency Care Allocations</v>
      </c>
      <c r="F1559">
        <f>'P - Ringfenced'!A65</f>
        <v>0</v>
      </c>
      <c r="S1559" s="2896">
        <f>'P - Ringfenced'!D65</f>
        <v>0</v>
      </c>
      <c r="U1559">
        <f t="shared" si="387"/>
        <v>0</v>
      </c>
    </row>
    <row r="1560" spans="1:21">
      <c r="A1560" s="2895" t="str">
        <f>ORG!$S$1</f>
        <v>Apr 23</v>
      </c>
      <c r="B1560" t="str">
        <f>ORG!$M$1</f>
        <v>Public Health Wales Trust</v>
      </c>
      <c r="C1560" s="1453" t="s">
        <v>1363</v>
      </c>
      <c r="D1560">
        <v>0</v>
      </c>
      <c r="E1560" t="str">
        <f t="shared" si="388"/>
        <v>WG Alloc_Urgent Emergency Care Allocations</v>
      </c>
      <c r="F1560" t="str">
        <f>'P - Ringfenced'!A66</f>
        <v>Urgent Emergency Care Allocations (Confirm in below text 'Allocated' or 'Anticipated')_Total</v>
      </c>
      <c r="S1560" s="2896">
        <f>'P - Ringfenced'!D66</f>
        <v>0</v>
      </c>
      <c r="U1560">
        <f t="shared" si="387"/>
        <v>0</v>
      </c>
    </row>
    <row r="1561" spans="1:21">
      <c r="A1561" s="2895" t="str">
        <f>ORG!$S$1</f>
        <v>Apr 23</v>
      </c>
      <c r="B1561" t="str">
        <f>ORG!$M$1</f>
        <v>Public Health Wales Trust</v>
      </c>
      <c r="C1561" s="1453" t="s">
        <v>1363</v>
      </c>
      <c r="D1561">
        <v>0</v>
      </c>
      <c r="E1561" t="str">
        <f>"Current Plan_"&amp;E1469</f>
        <v>Current Plan_Urgent Emergency Care Allocations</v>
      </c>
      <c r="F1561">
        <f>'P - Ringfenced'!A59</f>
        <v>0</v>
      </c>
      <c r="S1561" s="2896">
        <f>'P - Ringfenced'!E59</f>
        <v>0</v>
      </c>
      <c r="U1561">
        <f t="shared" si="387"/>
        <v>0</v>
      </c>
    </row>
    <row r="1562" spans="1:21">
      <c r="A1562" s="2895" t="str">
        <f>ORG!$S$1</f>
        <v>Apr 23</v>
      </c>
      <c r="B1562" t="str">
        <f>ORG!$M$1</f>
        <v>Public Health Wales Trust</v>
      </c>
      <c r="C1562" s="1453" t="s">
        <v>1363</v>
      </c>
      <c r="D1562">
        <v>0</v>
      </c>
      <c r="E1562" t="str">
        <f t="shared" ref="E1562:E1568" si="389">"Current Plan_"&amp;E1470</f>
        <v>Current Plan_Urgent Emergency Care Allocations</v>
      </c>
      <c r="F1562">
        <f>'P - Ringfenced'!A60</f>
        <v>0</v>
      </c>
      <c r="S1562" s="2896">
        <f>'P - Ringfenced'!E60</f>
        <v>0</v>
      </c>
      <c r="U1562">
        <f t="shared" si="387"/>
        <v>0</v>
      </c>
    </row>
    <row r="1563" spans="1:21">
      <c r="A1563" s="2895" t="str">
        <f>ORG!$S$1</f>
        <v>Apr 23</v>
      </c>
      <c r="B1563" t="str">
        <f>ORG!$M$1</f>
        <v>Public Health Wales Trust</v>
      </c>
      <c r="C1563" s="1453" t="s">
        <v>1363</v>
      </c>
      <c r="D1563">
        <v>0</v>
      </c>
      <c r="E1563" t="str">
        <f t="shared" si="389"/>
        <v>Current Plan_Urgent Emergency Care Allocations</v>
      </c>
      <c r="F1563">
        <f>'P - Ringfenced'!A61</f>
        <v>0</v>
      </c>
      <c r="S1563" s="2896">
        <f>'P - Ringfenced'!E61</f>
        <v>0</v>
      </c>
      <c r="U1563">
        <f t="shared" si="387"/>
        <v>0</v>
      </c>
    </row>
    <row r="1564" spans="1:21">
      <c r="A1564" s="2895" t="str">
        <f>ORG!$S$1</f>
        <v>Apr 23</v>
      </c>
      <c r="B1564" t="str">
        <f>ORG!$M$1</f>
        <v>Public Health Wales Trust</v>
      </c>
      <c r="C1564" s="1453" t="s">
        <v>1363</v>
      </c>
      <c r="D1564">
        <v>0</v>
      </c>
      <c r="E1564" t="str">
        <f t="shared" si="389"/>
        <v>Current Plan_Urgent Emergency Care Allocations</v>
      </c>
      <c r="F1564">
        <f>'P - Ringfenced'!A62</f>
        <v>0</v>
      </c>
      <c r="S1564" s="2896">
        <f>'P - Ringfenced'!E62</f>
        <v>0</v>
      </c>
      <c r="U1564">
        <f t="shared" si="387"/>
        <v>0</v>
      </c>
    </row>
    <row r="1565" spans="1:21">
      <c r="A1565" s="2895" t="str">
        <f>ORG!$S$1</f>
        <v>Apr 23</v>
      </c>
      <c r="B1565" t="str">
        <f>ORG!$M$1</f>
        <v>Public Health Wales Trust</v>
      </c>
      <c r="C1565" s="1453" t="s">
        <v>1363</v>
      </c>
      <c r="D1565">
        <v>0</v>
      </c>
      <c r="E1565" t="str">
        <f t="shared" si="389"/>
        <v>Current Plan_Urgent Emergency Care Allocations</v>
      </c>
      <c r="F1565">
        <f>'P - Ringfenced'!A63</f>
        <v>0</v>
      </c>
      <c r="S1565" s="2896">
        <f>'P - Ringfenced'!E63</f>
        <v>0</v>
      </c>
      <c r="U1565">
        <f t="shared" si="387"/>
        <v>0</v>
      </c>
    </row>
    <row r="1566" spans="1:21">
      <c r="A1566" s="2895" t="str">
        <f>ORG!$S$1</f>
        <v>Apr 23</v>
      </c>
      <c r="B1566" t="str">
        <f>ORG!$M$1</f>
        <v>Public Health Wales Trust</v>
      </c>
      <c r="C1566" s="1453" t="s">
        <v>1363</v>
      </c>
      <c r="D1566">
        <v>0</v>
      </c>
      <c r="E1566" t="str">
        <f t="shared" si="389"/>
        <v>Current Plan_Urgent Emergency Care Allocations</v>
      </c>
      <c r="F1566">
        <f>'P - Ringfenced'!A64</f>
        <v>0</v>
      </c>
      <c r="S1566" s="2896">
        <f>'P - Ringfenced'!E64</f>
        <v>0</v>
      </c>
      <c r="U1566">
        <f t="shared" si="387"/>
        <v>0</v>
      </c>
    </row>
    <row r="1567" spans="1:21">
      <c r="A1567" s="2895" t="str">
        <f>ORG!$S$1</f>
        <v>Apr 23</v>
      </c>
      <c r="B1567" t="str">
        <f>ORG!$M$1</f>
        <v>Public Health Wales Trust</v>
      </c>
      <c r="C1567" s="1453" t="s">
        <v>1363</v>
      </c>
      <c r="D1567">
        <v>0</v>
      </c>
      <c r="E1567" t="str">
        <f t="shared" si="389"/>
        <v>Current Plan_Urgent Emergency Care Allocations</v>
      </c>
      <c r="F1567">
        <f>'P - Ringfenced'!A65</f>
        <v>0</v>
      </c>
      <c r="S1567" s="2896">
        <f>'P - Ringfenced'!E65</f>
        <v>0</v>
      </c>
      <c r="U1567">
        <f t="shared" si="387"/>
        <v>0</v>
      </c>
    </row>
    <row r="1568" spans="1:21">
      <c r="A1568" s="2895" t="str">
        <f>ORG!$S$1</f>
        <v>Apr 23</v>
      </c>
      <c r="B1568" t="str">
        <f>ORG!$M$1</f>
        <v>Public Health Wales Trust</v>
      </c>
      <c r="C1568" s="1453" t="s">
        <v>1363</v>
      </c>
      <c r="D1568">
        <v>0</v>
      </c>
      <c r="E1568" t="str">
        <f t="shared" si="389"/>
        <v>Current Plan_Urgent Emergency Care Allocations</v>
      </c>
      <c r="F1568" t="str">
        <f>'P - Ringfenced'!A66</f>
        <v>Urgent Emergency Care Allocations (Confirm in below text 'Allocated' or 'Anticipated')_Total</v>
      </c>
      <c r="S1568" s="2896">
        <f>'P - Ringfenced'!E66</f>
        <v>0</v>
      </c>
      <c r="U1568">
        <f t="shared" si="387"/>
        <v>0</v>
      </c>
    </row>
    <row r="1569" spans="1:21">
      <c r="A1569" s="2895" t="str">
        <f>ORG!$S$1</f>
        <v>Apr 23</v>
      </c>
      <c r="B1569" t="str">
        <f>ORG!$M$1</f>
        <v>Public Health Wales Trust</v>
      </c>
      <c r="C1569" s="1453" t="s">
        <v>1363</v>
      </c>
      <c r="D1569">
        <v>0</v>
      </c>
      <c r="E1569" t="str">
        <f>"£000s_"&amp;E1469</f>
        <v>£000s_Urgent Emergency Care Allocations</v>
      </c>
      <c r="F1569">
        <f>'P - Ringfenced'!A59</f>
        <v>0</v>
      </c>
      <c r="S1569" s="2896">
        <f>'P - Ringfenced'!C59</f>
        <v>0</v>
      </c>
      <c r="U1569">
        <f t="shared" si="387"/>
        <v>0</v>
      </c>
    </row>
    <row r="1570" spans="1:21">
      <c r="A1570" s="2895" t="str">
        <f>ORG!$S$1</f>
        <v>Apr 23</v>
      </c>
      <c r="B1570" t="str">
        <f>ORG!$M$1</f>
        <v>Public Health Wales Trust</v>
      </c>
      <c r="C1570" s="1453" t="s">
        <v>1363</v>
      </c>
      <c r="D1570">
        <v>0</v>
      </c>
      <c r="E1570" t="str">
        <f t="shared" ref="E1570:E1576" si="390">"£000s_"&amp;E1470</f>
        <v>£000s_Urgent Emergency Care Allocations</v>
      </c>
      <c r="F1570">
        <f>'P - Ringfenced'!A60</f>
        <v>0</v>
      </c>
      <c r="S1570" s="2896">
        <f>'P - Ringfenced'!C60</f>
        <v>0</v>
      </c>
      <c r="U1570">
        <f t="shared" si="387"/>
        <v>0</v>
      </c>
    </row>
    <row r="1571" spans="1:21">
      <c r="A1571" s="2895" t="str">
        <f>ORG!$S$1</f>
        <v>Apr 23</v>
      </c>
      <c r="B1571" t="str">
        <f>ORG!$M$1</f>
        <v>Public Health Wales Trust</v>
      </c>
      <c r="C1571" s="1453" t="s">
        <v>1363</v>
      </c>
      <c r="D1571">
        <v>0</v>
      </c>
      <c r="E1571" t="str">
        <f t="shared" si="390"/>
        <v>£000s_Urgent Emergency Care Allocations</v>
      </c>
      <c r="F1571">
        <f>'P - Ringfenced'!A61</f>
        <v>0</v>
      </c>
      <c r="S1571" s="2896">
        <f>'P - Ringfenced'!C61</f>
        <v>0</v>
      </c>
      <c r="U1571">
        <f t="shared" si="387"/>
        <v>0</v>
      </c>
    </row>
    <row r="1572" spans="1:21">
      <c r="A1572" s="2895" t="str">
        <f>ORG!$S$1</f>
        <v>Apr 23</v>
      </c>
      <c r="B1572" t="str">
        <f>ORG!$M$1</f>
        <v>Public Health Wales Trust</v>
      </c>
      <c r="C1572" s="1453" t="s">
        <v>1363</v>
      </c>
      <c r="D1572">
        <v>0</v>
      </c>
      <c r="E1572" t="str">
        <f t="shared" si="390"/>
        <v>£000s_Urgent Emergency Care Allocations</v>
      </c>
      <c r="F1572">
        <f>'P - Ringfenced'!A62</f>
        <v>0</v>
      </c>
      <c r="S1572" s="2896">
        <f>'P - Ringfenced'!C62</f>
        <v>0</v>
      </c>
      <c r="U1572">
        <f t="shared" si="387"/>
        <v>0</v>
      </c>
    </row>
    <row r="1573" spans="1:21">
      <c r="A1573" s="2895" t="str">
        <f>ORG!$S$1</f>
        <v>Apr 23</v>
      </c>
      <c r="B1573" t="str">
        <f>ORG!$M$1</f>
        <v>Public Health Wales Trust</v>
      </c>
      <c r="C1573" s="1453" t="s">
        <v>1363</v>
      </c>
      <c r="D1573">
        <v>0</v>
      </c>
      <c r="E1573" t="str">
        <f t="shared" si="390"/>
        <v>£000s_Urgent Emergency Care Allocations</v>
      </c>
      <c r="F1573">
        <f>'P - Ringfenced'!A63</f>
        <v>0</v>
      </c>
      <c r="S1573" s="2896">
        <f>'P - Ringfenced'!C63</f>
        <v>0</v>
      </c>
      <c r="U1573">
        <f t="shared" si="387"/>
        <v>0</v>
      </c>
    </row>
    <row r="1574" spans="1:21">
      <c r="A1574" s="2895" t="str">
        <f>ORG!$S$1</f>
        <v>Apr 23</v>
      </c>
      <c r="B1574" t="str">
        <f>ORG!$M$1</f>
        <v>Public Health Wales Trust</v>
      </c>
      <c r="C1574" s="1453" t="s">
        <v>1363</v>
      </c>
      <c r="D1574">
        <v>0</v>
      </c>
      <c r="E1574" t="str">
        <f t="shared" si="390"/>
        <v>£000s_Urgent Emergency Care Allocations</v>
      </c>
      <c r="F1574">
        <f>'P - Ringfenced'!A64</f>
        <v>0</v>
      </c>
      <c r="S1574" s="2896">
        <f>'P - Ringfenced'!C64</f>
        <v>0</v>
      </c>
      <c r="U1574">
        <f t="shared" si="387"/>
        <v>0</v>
      </c>
    </row>
    <row r="1575" spans="1:21">
      <c r="A1575" s="2895" t="str">
        <f>ORG!$S$1</f>
        <v>Apr 23</v>
      </c>
      <c r="B1575" t="str">
        <f>ORG!$M$1</f>
        <v>Public Health Wales Trust</v>
      </c>
      <c r="C1575" s="1453" t="s">
        <v>1363</v>
      </c>
      <c r="D1575">
        <v>0</v>
      </c>
      <c r="E1575" t="str">
        <f t="shared" si="390"/>
        <v>£000s_Urgent Emergency Care Allocations</v>
      </c>
      <c r="F1575">
        <f>'P - Ringfenced'!A65</f>
        <v>0</v>
      </c>
      <c r="S1575" s="2896">
        <f>'P - Ringfenced'!C65</f>
        <v>0</v>
      </c>
      <c r="U1575">
        <f t="shared" si="387"/>
        <v>0</v>
      </c>
    </row>
    <row r="1576" spans="1:21">
      <c r="A1576" s="2895" t="str">
        <f>ORG!$S$1</f>
        <v>Apr 23</v>
      </c>
      <c r="B1576" t="str">
        <f>ORG!$M$1</f>
        <v>Public Health Wales Trust</v>
      </c>
      <c r="C1576" s="1453" t="s">
        <v>1363</v>
      </c>
      <c r="D1576">
        <v>0</v>
      </c>
      <c r="E1576" t="str">
        <f t="shared" si="390"/>
        <v>£000s_Urgent Emergency Care Allocations</v>
      </c>
      <c r="F1576" t="str">
        <f>'P - Ringfenced'!A66</f>
        <v>Urgent Emergency Care Allocations (Confirm in below text 'Allocated' or 'Anticipated')_Total</v>
      </c>
      <c r="S1576" s="2896">
        <f>'P - Ringfenced'!C66</f>
        <v>0</v>
      </c>
      <c r="U1576">
        <f t="shared" si="387"/>
        <v>0</v>
      </c>
    </row>
    <row r="1577" spans="1:21">
      <c r="A1577" s="2895" t="str">
        <f>ORG!$S$1</f>
        <v>Apr 23</v>
      </c>
      <c r="B1577" t="str">
        <f>ORG!$M$1</f>
        <v>Public Health Wales Trust</v>
      </c>
      <c r="C1577" s="1453" t="s">
        <v>1363</v>
      </c>
      <c r="D1577">
        <v>0</v>
      </c>
      <c r="E1577" t="str">
        <f>"£000s_"&amp;E1478</f>
        <v>£000s_Mental Health (SIF) Allocations</v>
      </c>
      <c r="F1577">
        <f>'P - Ringfenced'!A69</f>
        <v>0</v>
      </c>
      <c r="S1577" s="2896">
        <f>'P - Ringfenced'!C69</f>
        <v>0</v>
      </c>
      <c r="U1577">
        <f t="shared" si="387"/>
        <v>0</v>
      </c>
    </row>
    <row r="1578" spans="1:21">
      <c r="A1578" s="2895" t="str">
        <f>ORG!$S$1</f>
        <v>Apr 23</v>
      </c>
      <c r="B1578" t="str">
        <f>ORG!$M$1</f>
        <v>Public Health Wales Trust</v>
      </c>
      <c r="C1578" s="1453" t="s">
        <v>1363</v>
      </c>
      <c r="D1578">
        <v>0</v>
      </c>
      <c r="E1578" t="str">
        <f t="shared" ref="E1578:E1585" si="391">"£000s_"&amp;E1479</f>
        <v>£000s_Mental Health (SIF) Allocations</v>
      </c>
      <c r="F1578">
        <f>'P - Ringfenced'!A70</f>
        <v>0</v>
      </c>
      <c r="S1578" s="2896">
        <f>'P - Ringfenced'!C70</f>
        <v>0</v>
      </c>
      <c r="U1578">
        <f t="shared" si="387"/>
        <v>0</v>
      </c>
    </row>
    <row r="1579" spans="1:21">
      <c r="A1579" s="2895" t="str">
        <f>ORG!$S$1</f>
        <v>Apr 23</v>
      </c>
      <c r="B1579" t="str">
        <f>ORG!$M$1</f>
        <v>Public Health Wales Trust</v>
      </c>
      <c r="C1579" s="1453" t="s">
        <v>1363</v>
      </c>
      <c r="D1579">
        <v>0</v>
      </c>
      <c r="E1579" t="str">
        <f t="shared" si="391"/>
        <v>£000s_Mental Health (SIF) Allocations</v>
      </c>
      <c r="F1579">
        <f>'P - Ringfenced'!A71</f>
        <v>0</v>
      </c>
      <c r="S1579" s="2896">
        <f>'P - Ringfenced'!C71</f>
        <v>0</v>
      </c>
      <c r="U1579">
        <f t="shared" si="387"/>
        <v>0</v>
      </c>
    </row>
    <row r="1580" spans="1:21">
      <c r="A1580" s="2895" t="str">
        <f>ORG!$S$1</f>
        <v>Apr 23</v>
      </c>
      <c r="B1580" t="str">
        <f>ORG!$M$1</f>
        <v>Public Health Wales Trust</v>
      </c>
      <c r="C1580" s="1453" t="s">
        <v>1363</v>
      </c>
      <c r="D1580">
        <v>0</v>
      </c>
      <c r="E1580" t="str">
        <f t="shared" si="391"/>
        <v>£000s_Mental Health (SIF) Allocations</v>
      </c>
      <c r="F1580">
        <f>'P - Ringfenced'!A72</f>
        <v>0</v>
      </c>
      <c r="S1580" s="2896">
        <f>'P - Ringfenced'!C72</f>
        <v>0</v>
      </c>
      <c r="U1580">
        <f t="shared" si="387"/>
        <v>0</v>
      </c>
    </row>
    <row r="1581" spans="1:21">
      <c r="A1581" s="2895" t="str">
        <f>ORG!$S$1</f>
        <v>Apr 23</v>
      </c>
      <c r="B1581" t="str">
        <f>ORG!$M$1</f>
        <v>Public Health Wales Trust</v>
      </c>
      <c r="C1581" s="1453" t="s">
        <v>1363</v>
      </c>
      <c r="D1581">
        <v>0</v>
      </c>
      <c r="E1581" t="str">
        <f t="shared" si="391"/>
        <v>£000s_Mental Health (SIF) Allocations</v>
      </c>
      <c r="F1581">
        <f>'P - Ringfenced'!A73</f>
        <v>0</v>
      </c>
      <c r="S1581" s="2896">
        <f>'P - Ringfenced'!C73</f>
        <v>0</v>
      </c>
      <c r="U1581">
        <f t="shared" si="387"/>
        <v>0</v>
      </c>
    </row>
    <row r="1582" spans="1:21">
      <c r="A1582" s="2895" t="str">
        <f>ORG!$S$1</f>
        <v>Apr 23</v>
      </c>
      <c r="B1582" t="str">
        <f>ORG!$M$1</f>
        <v>Public Health Wales Trust</v>
      </c>
      <c r="C1582" s="1453" t="s">
        <v>1363</v>
      </c>
      <c r="D1582">
        <v>0</v>
      </c>
      <c r="E1582" t="str">
        <f t="shared" si="391"/>
        <v>£000s_Mental Health (SIF) Allocations</v>
      </c>
      <c r="F1582">
        <f>'P - Ringfenced'!A74</f>
        <v>0</v>
      </c>
      <c r="S1582" s="2896">
        <f>'P - Ringfenced'!C74</f>
        <v>0</v>
      </c>
      <c r="U1582">
        <f t="shared" si="387"/>
        <v>0</v>
      </c>
    </row>
    <row r="1583" spans="1:21">
      <c r="A1583" s="2895" t="str">
        <f>ORG!$S$1</f>
        <v>Apr 23</v>
      </c>
      <c r="B1583" t="str">
        <f>ORG!$M$1</f>
        <v>Public Health Wales Trust</v>
      </c>
      <c r="C1583" s="1453" t="s">
        <v>1363</v>
      </c>
      <c r="D1583">
        <v>0</v>
      </c>
      <c r="E1583" t="str">
        <f t="shared" si="391"/>
        <v>£000s_Mental Health (SIF) Allocations</v>
      </c>
      <c r="F1583">
        <f>'P - Ringfenced'!A75</f>
        <v>0</v>
      </c>
      <c r="S1583" s="2896">
        <f>'P - Ringfenced'!C75</f>
        <v>0</v>
      </c>
      <c r="U1583">
        <f t="shared" si="387"/>
        <v>0</v>
      </c>
    </row>
    <row r="1584" spans="1:21">
      <c r="A1584" s="2895" t="str">
        <f>ORG!$S$1</f>
        <v>Apr 23</v>
      </c>
      <c r="B1584" t="str">
        <f>ORG!$M$1</f>
        <v>Public Health Wales Trust</v>
      </c>
      <c r="C1584" s="1453" t="s">
        <v>1363</v>
      </c>
      <c r="D1584">
        <v>0</v>
      </c>
      <c r="E1584" t="str">
        <f t="shared" si="391"/>
        <v>£000s_Mental Health (SIF) Allocations</v>
      </c>
      <c r="F1584">
        <f>'P - Ringfenced'!A76</f>
        <v>0</v>
      </c>
      <c r="S1584" s="2896">
        <f>'P - Ringfenced'!C76</f>
        <v>0</v>
      </c>
      <c r="U1584">
        <f t="shared" si="387"/>
        <v>0</v>
      </c>
    </row>
    <row r="1585" spans="1:21">
      <c r="A1585" s="2895" t="str">
        <f>ORG!$S$1</f>
        <v>Apr 23</v>
      </c>
      <c r="B1585" t="str">
        <f>ORG!$M$1</f>
        <v>Public Health Wales Trust</v>
      </c>
      <c r="C1585" s="1453" t="s">
        <v>1363</v>
      </c>
      <c r="D1585">
        <v>0</v>
      </c>
      <c r="E1585" t="str">
        <f t="shared" si="391"/>
        <v>£000s_Mental Health (SIF) Allocations</v>
      </c>
      <c r="F1585" t="str">
        <f>'P - Ringfenced'!A77</f>
        <v>Mental Health (SIF) Allocations (Confirm in below text 'Allocated' or 'Anticipated')_Total</v>
      </c>
      <c r="S1585" s="2896">
        <f>'P - Ringfenced'!C77</f>
        <v>0</v>
      </c>
      <c r="U1585">
        <f t="shared" si="387"/>
        <v>0</v>
      </c>
    </row>
    <row r="1586" spans="1:21">
      <c r="A1586" s="2895" t="str">
        <f>ORG!$S$1</f>
        <v>Apr 23</v>
      </c>
      <c r="B1586" t="str">
        <f>ORG!$M$1</f>
        <v>Public Health Wales Trust</v>
      </c>
      <c r="C1586" s="1453" t="s">
        <v>1363</v>
      </c>
      <c r="D1586">
        <v>0</v>
      </c>
      <c r="E1586" t="str">
        <f>"£000s_"&amp;E1489</f>
        <v>£000s_Planned Care</v>
      </c>
      <c r="F1586">
        <f>'P - Ringfenced'!A80</f>
        <v>0</v>
      </c>
      <c r="S1586">
        <f>'P - Ringfenced'!C80</f>
        <v>0</v>
      </c>
      <c r="U1586">
        <f t="shared" si="387"/>
        <v>0</v>
      </c>
    </row>
    <row r="1587" spans="1:21">
      <c r="A1587" s="2895" t="str">
        <f>ORG!$S$1</f>
        <v>Apr 23</v>
      </c>
      <c r="B1587" t="str">
        <f>ORG!$M$1</f>
        <v>Public Health Wales Trust</v>
      </c>
      <c r="C1587" s="1453" t="s">
        <v>1363</v>
      </c>
      <c r="D1587">
        <v>0</v>
      </c>
      <c r="E1587" t="str">
        <f t="shared" ref="E1587:E1594" si="392">"£000s_"&amp;E1490</f>
        <v>£000s_Planned Care</v>
      </c>
      <c r="F1587">
        <f>'P - Ringfenced'!A81</f>
        <v>0</v>
      </c>
      <c r="S1587">
        <f>'P - Ringfenced'!C81</f>
        <v>0</v>
      </c>
      <c r="U1587">
        <f t="shared" si="387"/>
        <v>0</v>
      </c>
    </row>
    <row r="1588" spans="1:21">
      <c r="A1588" s="2895" t="str">
        <f>ORG!$S$1</f>
        <v>Apr 23</v>
      </c>
      <c r="B1588" t="str">
        <f>ORG!$M$1</f>
        <v>Public Health Wales Trust</v>
      </c>
      <c r="C1588" s="1453" t="s">
        <v>1363</v>
      </c>
      <c r="D1588">
        <v>0</v>
      </c>
      <c r="E1588" t="str">
        <f t="shared" si="392"/>
        <v>£000s_Planned Care</v>
      </c>
      <c r="F1588">
        <f>'P - Ringfenced'!A82</f>
        <v>0</v>
      </c>
      <c r="S1588">
        <f>'P - Ringfenced'!C82</f>
        <v>0</v>
      </c>
      <c r="U1588">
        <f t="shared" si="387"/>
        <v>0</v>
      </c>
    </row>
    <row r="1589" spans="1:21">
      <c r="A1589" s="2895" t="str">
        <f>ORG!$S$1</f>
        <v>Apr 23</v>
      </c>
      <c r="B1589" t="str">
        <f>ORG!$M$1</f>
        <v>Public Health Wales Trust</v>
      </c>
      <c r="C1589" s="1453" t="s">
        <v>1363</v>
      </c>
      <c r="D1589">
        <v>0</v>
      </c>
      <c r="E1589" t="str">
        <f t="shared" si="392"/>
        <v>£000s_Planned Care</v>
      </c>
      <c r="F1589">
        <f>'P - Ringfenced'!A83</f>
        <v>0</v>
      </c>
      <c r="S1589">
        <f>'P - Ringfenced'!C83</f>
        <v>0</v>
      </c>
      <c r="U1589">
        <f t="shared" si="387"/>
        <v>0</v>
      </c>
    </row>
    <row r="1590" spans="1:21">
      <c r="A1590" s="2895" t="str">
        <f>ORG!$S$1</f>
        <v>Apr 23</v>
      </c>
      <c r="B1590" t="str">
        <f>ORG!$M$1</f>
        <v>Public Health Wales Trust</v>
      </c>
      <c r="C1590" s="1453" t="s">
        <v>1363</v>
      </c>
      <c r="D1590">
        <v>0</v>
      </c>
      <c r="E1590" t="str">
        <f t="shared" si="392"/>
        <v>£000s_Planned Care</v>
      </c>
      <c r="F1590">
        <f>'P - Ringfenced'!A84</f>
        <v>0</v>
      </c>
      <c r="S1590">
        <f>'P - Ringfenced'!C84</f>
        <v>0</v>
      </c>
      <c r="U1590">
        <f t="shared" si="387"/>
        <v>0</v>
      </c>
    </row>
    <row r="1591" spans="1:21">
      <c r="A1591" s="2895" t="str">
        <f>ORG!$S$1</f>
        <v>Apr 23</v>
      </c>
      <c r="B1591" t="str">
        <f>ORG!$M$1</f>
        <v>Public Health Wales Trust</v>
      </c>
      <c r="C1591" s="1453" t="s">
        <v>1363</v>
      </c>
      <c r="D1591">
        <v>0</v>
      </c>
      <c r="E1591" t="str">
        <f t="shared" si="392"/>
        <v>£000s_Planned Care</v>
      </c>
      <c r="F1591">
        <f>'P - Ringfenced'!A85</f>
        <v>0</v>
      </c>
      <c r="S1591">
        <f>'P - Ringfenced'!C85</f>
        <v>0</v>
      </c>
      <c r="U1591">
        <f t="shared" si="387"/>
        <v>0</v>
      </c>
    </row>
    <row r="1592" spans="1:21">
      <c r="A1592" s="2895" t="str">
        <f>ORG!$S$1</f>
        <v>Apr 23</v>
      </c>
      <c r="B1592" t="str">
        <f>ORG!$M$1</f>
        <v>Public Health Wales Trust</v>
      </c>
      <c r="C1592" s="1453" t="s">
        <v>1363</v>
      </c>
      <c r="D1592">
        <v>0</v>
      </c>
      <c r="E1592" t="str">
        <f t="shared" si="392"/>
        <v>£000s_Planned Care</v>
      </c>
      <c r="F1592">
        <f>'P - Ringfenced'!A86</f>
        <v>0</v>
      </c>
      <c r="S1592">
        <f>'P - Ringfenced'!C86</f>
        <v>0</v>
      </c>
      <c r="U1592">
        <f t="shared" si="387"/>
        <v>0</v>
      </c>
    </row>
    <row r="1593" spans="1:21">
      <c r="A1593" s="2895" t="str">
        <f>ORG!$S$1</f>
        <v>Apr 23</v>
      </c>
      <c r="B1593" t="str">
        <f>ORG!$M$1</f>
        <v>Public Health Wales Trust</v>
      </c>
      <c r="C1593" s="1453" t="s">
        <v>1363</v>
      </c>
      <c r="D1593">
        <v>0</v>
      </c>
      <c r="E1593" t="str">
        <f t="shared" si="392"/>
        <v>£000s_Planned Care</v>
      </c>
      <c r="F1593">
        <f>'P - Ringfenced'!A87</f>
        <v>0</v>
      </c>
      <c r="S1593">
        <f>'P - Ringfenced'!C87</f>
        <v>0</v>
      </c>
      <c r="U1593">
        <f t="shared" si="387"/>
        <v>0</v>
      </c>
    </row>
    <row r="1594" spans="1:21">
      <c r="A1594" s="2895" t="str">
        <f>ORG!$S$1</f>
        <v>Apr 23</v>
      </c>
      <c r="B1594" t="str">
        <f>ORG!$M$1</f>
        <v>Public Health Wales Trust</v>
      </c>
      <c r="C1594" s="1453"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5" t="str">
        <f>ORG!$S$1</f>
        <v>Apr 23</v>
      </c>
      <c r="B1595" t="str">
        <f>ORG!$M$1</f>
        <v>Public Health Wales Trust</v>
      </c>
      <c r="C1595" s="1453" t="s">
        <v>1363</v>
      </c>
      <c r="D1595">
        <v>0</v>
      </c>
      <c r="E1595" t="str">
        <f>"£000s_"&amp;E1499</f>
        <v>£000s_Value Based Health Care</v>
      </c>
      <c r="F1595">
        <f>'P - Ringfenced'!A91</f>
        <v>0</v>
      </c>
      <c r="S1595">
        <f>'P - Ringfenced'!C91</f>
        <v>0</v>
      </c>
      <c r="U1595">
        <f t="shared" si="387"/>
        <v>0</v>
      </c>
    </row>
    <row r="1596" spans="1:21">
      <c r="A1596" s="2895" t="str">
        <f>ORG!$S$1</f>
        <v>Apr 23</v>
      </c>
      <c r="B1596" t="str">
        <f>ORG!$M$1</f>
        <v>Public Health Wales Trust</v>
      </c>
      <c r="C1596" s="1453" t="s">
        <v>1363</v>
      </c>
      <c r="D1596">
        <v>0</v>
      </c>
      <c r="E1596" t="str">
        <f t="shared" ref="E1596:E1602" si="393">"£000s_"&amp;E1500</f>
        <v>£000s_Value Based Health Care</v>
      </c>
      <c r="F1596">
        <f>'P - Ringfenced'!A92</f>
        <v>0</v>
      </c>
      <c r="S1596">
        <f>'P - Ringfenced'!C92</f>
        <v>0</v>
      </c>
      <c r="U1596">
        <f t="shared" si="387"/>
        <v>0</v>
      </c>
    </row>
    <row r="1597" spans="1:21">
      <c r="A1597" s="2895" t="str">
        <f>ORG!$S$1</f>
        <v>Apr 23</v>
      </c>
      <c r="B1597" t="str">
        <f>ORG!$M$1</f>
        <v>Public Health Wales Trust</v>
      </c>
      <c r="C1597" s="1453" t="s">
        <v>1363</v>
      </c>
      <c r="D1597">
        <v>0</v>
      </c>
      <c r="E1597" t="str">
        <f t="shared" si="393"/>
        <v>£000s_Value Based Health Care</v>
      </c>
      <c r="F1597">
        <f>'P - Ringfenced'!A93</f>
        <v>0</v>
      </c>
      <c r="S1597">
        <f>'P - Ringfenced'!C93</f>
        <v>0</v>
      </c>
      <c r="U1597">
        <f t="shared" si="387"/>
        <v>0</v>
      </c>
    </row>
    <row r="1598" spans="1:21">
      <c r="A1598" s="2895" t="str">
        <f>ORG!$S$1</f>
        <v>Apr 23</v>
      </c>
      <c r="B1598" t="str">
        <f>ORG!$M$1</f>
        <v>Public Health Wales Trust</v>
      </c>
      <c r="C1598" s="1453" t="s">
        <v>1363</v>
      </c>
      <c r="D1598">
        <v>0</v>
      </c>
      <c r="E1598" t="str">
        <f t="shared" si="393"/>
        <v>£000s_Value Based Health Care</v>
      </c>
      <c r="F1598">
        <f>'P - Ringfenced'!A94</f>
        <v>0</v>
      </c>
      <c r="S1598">
        <f>'P - Ringfenced'!C94</f>
        <v>0</v>
      </c>
      <c r="U1598">
        <f t="shared" si="387"/>
        <v>0</v>
      </c>
    </row>
    <row r="1599" spans="1:21">
      <c r="A1599" s="2895" t="str">
        <f>ORG!$S$1</f>
        <v>Apr 23</v>
      </c>
      <c r="B1599" t="str">
        <f>ORG!$M$1</f>
        <v>Public Health Wales Trust</v>
      </c>
      <c r="C1599" s="1453" t="s">
        <v>1363</v>
      </c>
      <c r="D1599">
        <v>0</v>
      </c>
      <c r="E1599" t="str">
        <f t="shared" si="393"/>
        <v>£000s_Value Based Health Care</v>
      </c>
      <c r="F1599">
        <f>'P - Ringfenced'!A95</f>
        <v>0</v>
      </c>
      <c r="S1599">
        <f>'P - Ringfenced'!C95</f>
        <v>0</v>
      </c>
      <c r="U1599">
        <f t="shared" si="387"/>
        <v>0</v>
      </c>
    </row>
    <row r="1600" spans="1:21">
      <c r="A1600" s="2895" t="str">
        <f>ORG!$S$1</f>
        <v>Apr 23</v>
      </c>
      <c r="B1600" t="str">
        <f>ORG!$M$1</f>
        <v>Public Health Wales Trust</v>
      </c>
      <c r="C1600" s="1453" t="s">
        <v>1363</v>
      </c>
      <c r="D1600">
        <v>0</v>
      </c>
      <c r="E1600" t="str">
        <f t="shared" si="393"/>
        <v>£000s_Value Based Health Care</v>
      </c>
      <c r="F1600">
        <f>'P - Ringfenced'!A96</f>
        <v>0</v>
      </c>
      <c r="S1600">
        <f>'P - Ringfenced'!C96</f>
        <v>0</v>
      </c>
      <c r="U1600">
        <f t="shared" si="387"/>
        <v>0</v>
      </c>
    </row>
    <row r="1601" spans="1:21">
      <c r="A1601" s="2895" t="str">
        <f>ORG!$S$1</f>
        <v>Apr 23</v>
      </c>
      <c r="B1601" t="str">
        <f>ORG!$M$1</f>
        <v>Public Health Wales Trust</v>
      </c>
      <c r="C1601" s="1453" t="s">
        <v>1363</v>
      </c>
      <c r="D1601">
        <v>0</v>
      </c>
      <c r="E1601" t="str">
        <f t="shared" si="393"/>
        <v>£000s_Value Based Health Care</v>
      </c>
      <c r="F1601">
        <f>'P - Ringfenced'!A97</f>
        <v>0</v>
      </c>
      <c r="S1601">
        <f>'P - Ringfenced'!C97</f>
        <v>0</v>
      </c>
      <c r="U1601">
        <f t="shared" si="387"/>
        <v>0</v>
      </c>
    </row>
    <row r="1602" spans="1:21">
      <c r="A1602" s="2895" t="str">
        <f>ORG!$S$1</f>
        <v>Apr 23</v>
      </c>
      <c r="B1602" t="str">
        <f>ORG!$M$1</f>
        <v>Public Health Wales Trust</v>
      </c>
      <c r="C1602" s="1453"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5" t="str">
        <f>ORG!$S$1</f>
        <v>Apr 23</v>
      </c>
      <c r="B1603" t="str">
        <f>ORG!$M$1</f>
        <v>Public Health Wales Trust</v>
      </c>
      <c r="C1603" s="1453" t="s">
        <v>1363</v>
      </c>
      <c r="D1603">
        <v>0</v>
      </c>
      <c r="E1603" t="str">
        <f>"£000s_"&amp;E1511</f>
        <v>£000s_Recovery</v>
      </c>
      <c r="F1603">
        <f>'P - Ringfenced'!A102</f>
        <v>0</v>
      </c>
      <c r="S1603">
        <f>'P - Ringfenced'!C102</f>
        <v>0</v>
      </c>
      <c r="U1603">
        <f t="shared" si="387"/>
        <v>0</v>
      </c>
    </row>
    <row r="1604" spans="1:21">
      <c r="A1604" s="2895" t="str">
        <f>ORG!$S$1</f>
        <v>Apr 23</v>
      </c>
      <c r="B1604" t="str">
        <f>ORG!$M$1</f>
        <v>Public Health Wales Trust</v>
      </c>
      <c r="C1604" s="1453" t="s">
        <v>1363</v>
      </c>
      <c r="D1604">
        <v>0</v>
      </c>
      <c r="E1604" t="str">
        <f t="shared" ref="E1604:E1610" si="394">"£000s_"&amp;E1512</f>
        <v>£000s_Recovery</v>
      </c>
      <c r="F1604">
        <f>'P - Ringfenced'!A103</f>
        <v>0</v>
      </c>
      <c r="S1604">
        <f>'P - Ringfenced'!C103</f>
        <v>0</v>
      </c>
      <c r="U1604">
        <f t="shared" si="387"/>
        <v>0</v>
      </c>
    </row>
    <row r="1605" spans="1:21">
      <c r="A1605" s="2895" t="str">
        <f>ORG!$S$1</f>
        <v>Apr 23</v>
      </c>
      <c r="B1605" t="str">
        <f>ORG!$M$1</f>
        <v>Public Health Wales Trust</v>
      </c>
      <c r="C1605" s="1453" t="s">
        <v>1363</v>
      </c>
      <c r="D1605">
        <v>0</v>
      </c>
      <c r="E1605" t="str">
        <f t="shared" si="394"/>
        <v>£000s_Recovery</v>
      </c>
      <c r="F1605">
        <f>'P - Ringfenced'!A104</f>
        <v>0</v>
      </c>
      <c r="S1605">
        <f>'P - Ringfenced'!C104</f>
        <v>0</v>
      </c>
      <c r="U1605">
        <f t="shared" si="387"/>
        <v>0</v>
      </c>
    </row>
    <row r="1606" spans="1:21">
      <c r="A1606" s="2895" t="str">
        <f>ORG!$S$1</f>
        <v>Apr 23</v>
      </c>
      <c r="B1606" t="str">
        <f>ORG!$M$1</f>
        <v>Public Health Wales Trust</v>
      </c>
      <c r="C1606" s="1453" t="s">
        <v>1363</v>
      </c>
      <c r="D1606">
        <v>0</v>
      </c>
      <c r="E1606" t="str">
        <f t="shared" si="394"/>
        <v>£000s_Recovery</v>
      </c>
      <c r="F1606">
        <f>'P - Ringfenced'!A105</f>
        <v>0</v>
      </c>
      <c r="S1606">
        <f>'P - Ringfenced'!C105</f>
        <v>0</v>
      </c>
      <c r="U1606">
        <f t="shared" si="387"/>
        <v>0</v>
      </c>
    </row>
    <row r="1607" spans="1:21">
      <c r="A1607" s="2895" t="str">
        <f>ORG!$S$1</f>
        <v>Apr 23</v>
      </c>
      <c r="B1607" t="str">
        <f>ORG!$M$1</f>
        <v>Public Health Wales Trust</v>
      </c>
      <c r="C1607" s="1453" t="s">
        <v>1363</v>
      </c>
      <c r="D1607">
        <v>0</v>
      </c>
      <c r="E1607" t="str">
        <f t="shared" si="394"/>
        <v>£000s_Recovery</v>
      </c>
      <c r="F1607">
        <f>'P - Ringfenced'!A106</f>
        <v>0</v>
      </c>
      <c r="S1607">
        <f>'P - Ringfenced'!C106</f>
        <v>0</v>
      </c>
      <c r="U1607">
        <f t="shared" si="387"/>
        <v>0</v>
      </c>
    </row>
    <row r="1608" spans="1:21">
      <c r="A1608" s="2895" t="str">
        <f>ORG!$S$1</f>
        <v>Apr 23</v>
      </c>
      <c r="B1608" t="str">
        <f>ORG!$M$1</f>
        <v>Public Health Wales Trust</v>
      </c>
      <c r="C1608" s="1453" t="s">
        <v>1363</v>
      </c>
      <c r="D1608">
        <v>0</v>
      </c>
      <c r="E1608" t="str">
        <f t="shared" si="394"/>
        <v>£000s_Recovery</v>
      </c>
      <c r="F1608">
        <f>'P - Ringfenced'!A107</f>
        <v>0</v>
      </c>
      <c r="S1608">
        <f>'P - Ringfenced'!C107</f>
        <v>0</v>
      </c>
      <c r="U1608">
        <f t="shared" si="387"/>
        <v>0</v>
      </c>
    </row>
    <row r="1609" spans="1:21">
      <c r="A1609" s="2895" t="str">
        <f>ORG!$S$1</f>
        <v>Apr 23</v>
      </c>
      <c r="B1609" t="str">
        <f>ORG!$M$1</f>
        <v>Public Health Wales Trust</v>
      </c>
      <c r="C1609" s="1453" t="s">
        <v>1363</v>
      </c>
      <c r="D1609">
        <v>0</v>
      </c>
      <c r="E1609" t="str">
        <f t="shared" si="394"/>
        <v>£000s_Recovery</v>
      </c>
      <c r="F1609">
        <f>'P - Ringfenced'!A108</f>
        <v>0</v>
      </c>
      <c r="S1609">
        <f>'P - Ringfenced'!C108</f>
        <v>0</v>
      </c>
      <c r="U1609">
        <f t="shared" ref="U1609:U1670" si="395">S1609+T1609</f>
        <v>0</v>
      </c>
    </row>
    <row r="1610" spans="1:21">
      <c r="A1610" s="2895" t="str">
        <f>ORG!$S$1</f>
        <v>Apr 23</v>
      </c>
      <c r="B1610" t="str">
        <f>ORG!$M$1</f>
        <v>Public Health Wales Trust</v>
      </c>
      <c r="C1610" s="1453" t="s">
        <v>1363</v>
      </c>
      <c r="D1610">
        <v>0</v>
      </c>
      <c r="E1610" t="str">
        <f t="shared" si="394"/>
        <v>£000s_Recovery</v>
      </c>
      <c r="F1610" t="str">
        <f>'P - Ringfenced'!A109</f>
        <v>Recovery (Confirm in below text 'Allocated' or 'Anticipated')_Total</v>
      </c>
      <c r="S1610">
        <f>'P - Ringfenced'!C109</f>
        <v>0</v>
      </c>
      <c r="U1610">
        <f t="shared" si="395"/>
        <v>0</v>
      </c>
    </row>
    <row r="1611" spans="1:21">
      <c r="A1611" s="2895" t="str">
        <f>ORG!$S$1</f>
        <v>Apr 23</v>
      </c>
      <c r="B1611" t="str">
        <f>ORG!$M$1</f>
        <v>Public Health Wales Trust</v>
      </c>
      <c r="C1611" s="1453" t="s">
        <v>1363</v>
      </c>
      <c r="D1611">
        <v>0</v>
      </c>
      <c r="E1611" t="str">
        <f>"£000s_"&amp;E1522</f>
        <v>£000s_Spare</v>
      </c>
      <c r="F1611">
        <f>'P - Ringfenced'!A113</f>
        <v>0</v>
      </c>
      <c r="S1611">
        <f>'P - Ringfenced'!C113</f>
        <v>0</v>
      </c>
      <c r="U1611">
        <f t="shared" si="395"/>
        <v>0</v>
      </c>
    </row>
    <row r="1612" spans="1:21">
      <c r="A1612" s="2895" t="str">
        <f>ORG!$S$1</f>
        <v>Apr 23</v>
      </c>
      <c r="B1612" t="str">
        <f>ORG!$M$1</f>
        <v>Public Health Wales Trust</v>
      </c>
      <c r="C1612" s="1453" t="s">
        <v>1363</v>
      </c>
      <c r="D1612">
        <v>0</v>
      </c>
      <c r="E1612" t="str">
        <f t="shared" ref="E1612:E1618" si="396">"£000s_"&amp;E1523</f>
        <v>£000s_Spare</v>
      </c>
      <c r="F1612">
        <f>'P - Ringfenced'!A114</f>
        <v>0</v>
      </c>
      <c r="S1612">
        <f>'P - Ringfenced'!C114</f>
        <v>0</v>
      </c>
      <c r="U1612">
        <f t="shared" si="395"/>
        <v>0</v>
      </c>
    </row>
    <row r="1613" spans="1:21">
      <c r="A1613" s="2895" t="str">
        <f>ORG!$S$1</f>
        <v>Apr 23</v>
      </c>
      <c r="B1613" t="str">
        <f>ORG!$M$1</f>
        <v>Public Health Wales Trust</v>
      </c>
      <c r="C1613" s="1453" t="s">
        <v>1363</v>
      </c>
      <c r="D1613">
        <v>0</v>
      </c>
      <c r="E1613" t="str">
        <f t="shared" si="396"/>
        <v>£000s_Spare</v>
      </c>
      <c r="F1613">
        <f>'P - Ringfenced'!A115</f>
        <v>0</v>
      </c>
      <c r="S1613">
        <f>'P - Ringfenced'!C115</f>
        <v>0</v>
      </c>
      <c r="U1613">
        <f t="shared" si="395"/>
        <v>0</v>
      </c>
    </row>
    <row r="1614" spans="1:21">
      <c r="A1614" s="2895" t="str">
        <f>ORG!$S$1</f>
        <v>Apr 23</v>
      </c>
      <c r="B1614" t="str">
        <f>ORG!$M$1</f>
        <v>Public Health Wales Trust</v>
      </c>
      <c r="C1614" s="1453" t="s">
        <v>1363</v>
      </c>
      <c r="D1614">
        <v>0</v>
      </c>
      <c r="E1614" t="str">
        <f t="shared" si="396"/>
        <v>£000s_Spare</v>
      </c>
      <c r="F1614">
        <f>'P - Ringfenced'!A116</f>
        <v>0</v>
      </c>
      <c r="S1614">
        <f>'P - Ringfenced'!C116</f>
        <v>0</v>
      </c>
      <c r="U1614">
        <f t="shared" si="395"/>
        <v>0</v>
      </c>
    </row>
    <row r="1615" spans="1:21">
      <c r="A1615" s="2895" t="str">
        <f>ORG!$S$1</f>
        <v>Apr 23</v>
      </c>
      <c r="B1615" t="str">
        <f>ORG!$M$1</f>
        <v>Public Health Wales Trust</v>
      </c>
      <c r="C1615" s="1453" t="s">
        <v>1363</v>
      </c>
      <c r="D1615">
        <v>0</v>
      </c>
      <c r="E1615" t="str">
        <f t="shared" si="396"/>
        <v>£000s_Spare</v>
      </c>
      <c r="F1615">
        <f>'P - Ringfenced'!A117</f>
        <v>0</v>
      </c>
      <c r="S1615">
        <f>'P - Ringfenced'!C117</f>
        <v>0</v>
      </c>
      <c r="U1615">
        <f t="shared" si="395"/>
        <v>0</v>
      </c>
    </row>
    <row r="1616" spans="1:21">
      <c r="A1616" s="2895" t="str">
        <f>ORG!$S$1</f>
        <v>Apr 23</v>
      </c>
      <c r="B1616" t="str">
        <f>ORG!$M$1</f>
        <v>Public Health Wales Trust</v>
      </c>
      <c r="C1616" s="1453" t="s">
        <v>1363</v>
      </c>
      <c r="D1616">
        <v>0</v>
      </c>
      <c r="E1616" t="str">
        <f t="shared" si="396"/>
        <v>£000s_Spare</v>
      </c>
      <c r="F1616">
        <f>'P - Ringfenced'!A118</f>
        <v>0</v>
      </c>
      <c r="S1616">
        <f>'P - Ringfenced'!C118</f>
        <v>0</v>
      </c>
      <c r="U1616">
        <f t="shared" si="395"/>
        <v>0</v>
      </c>
    </row>
    <row r="1617" spans="1:21">
      <c r="A1617" s="2895" t="str">
        <f>ORG!$S$1</f>
        <v>Apr 23</v>
      </c>
      <c r="B1617" t="str">
        <f>ORG!$M$1</f>
        <v>Public Health Wales Trust</v>
      </c>
      <c r="C1617" s="1453" t="s">
        <v>1363</v>
      </c>
      <c r="D1617">
        <v>0</v>
      </c>
      <c r="E1617" t="str">
        <f t="shared" si="396"/>
        <v>£000s_Spare</v>
      </c>
      <c r="F1617">
        <f>'P - Ringfenced'!A119</f>
        <v>0</v>
      </c>
      <c r="S1617">
        <f>'P - Ringfenced'!C119</f>
        <v>0</v>
      </c>
      <c r="U1617">
        <f t="shared" si="395"/>
        <v>0</v>
      </c>
    </row>
    <row r="1618" spans="1:21">
      <c r="A1618" s="2895" t="str">
        <f>ORG!$S$1</f>
        <v>Apr 23</v>
      </c>
      <c r="B1618" t="str">
        <f>ORG!$M$1</f>
        <v>Public Health Wales Trust</v>
      </c>
      <c r="C1618" s="1453" t="s">
        <v>1363</v>
      </c>
      <c r="D1618">
        <v>0</v>
      </c>
      <c r="E1618" t="str">
        <f t="shared" si="396"/>
        <v>£000s_Spare</v>
      </c>
      <c r="F1618" t="str">
        <f>'P - Ringfenced'!A120</f>
        <v>Spare (Confirm in below text 'Allocated' or 'Anticipated')_Total</v>
      </c>
      <c r="S1618">
        <f>'P - Ringfenced'!C120</f>
        <v>0</v>
      </c>
      <c r="U1618">
        <f t="shared" si="395"/>
        <v>0</v>
      </c>
    </row>
    <row r="1619" spans="1:21">
      <c r="A1619" s="2895" t="str">
        <f>ORG!$S$1</f>
        <v>Apr 23</v>
      </c>
      <c r="B1619" t="str">
        <f>ORG!$M$1</f>
        <v>Public Health Wales Trust</v>
      </c>
      <c r="C1619" t="str">
        <f>'B1 - SOCNE SOCNI Movement'!$A$3</f>
        <v>Table B1 - SOCNE / SOCNI Movement</v>
      </c>
      <c r="D1619" s="2896">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5" t="str">
        <f>ORG!$S$1</f>
        <v>Apr 23</v>
      </c>
      <c r="B1620" t="str">
        <f>ORG!$M$1</f>
        <v>Public Health Wales Trust</v>
      </c>
      <c r="C1620" t="str">
        <f>'B1 - SOCNE SOCNI Movement'!$A$3</f>
        <v>Table B1 - SOCNE / SOCNI Movement</v>
      </c>
      <c r="D1620" s="2896">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5" t="str">
        <f>ORG!$S$1</f>
        <v>Apr 23</v>
      </c>
      <c r="B1621" t="str">
        <f>ORG!$M$1</f>
        <v>Public Health Wales Trust</v>
      </c>
      <c r="C1621" t="str">
        <f>'B1 - SOCNE SOCNI Movement'!$A$3</f>
        <v>Table B1 - SOCNE / SOCNI Movement</v>
      </c>
      <c r="D1621" s="2896">
        <f>'B1 - SOCNE SOCNI Movement'!B10</f>
        <v>3</v>
      </c>
      <c r="E1621" t="str">
        <f>'B1 - SOCNE SOCNI Movement'!$C$8</f>
        <v>TABLE B: MONTHLY POSITIONS - MONTHLY MOVEMENT ANALYSIS</v>
      </c>
      <c r="F1621" t="str">
        <f>'B1 - SOCNE SOCNI Movement'!C12</f>
        <v>Welsh NHS Local Health Boards &amp; Trusts Income</v>
      </c>
      <c r="G1621">
        <f>'B1 - SOCNE SOCNI Movement'!D12</f>
        <v>1922</v>
      </c>
      <c r="H1621">
        <f>'B1 - SOCNE SOCNI Movement'!E12</f>
        <v>1887</v>
      </c>
      <c r="I1621">
        <f>'B1 - SOCNE SOCNI Movement'!F12</f>
        <v>1887</v>
      </c>
      <c r="J1621">
        <f>'B1 - SOCNE SOCNI Movement'!G12</f>
        <v>1887</v>
      </c>
      <c r="K1621">
        <f>'B1 - SOCNE SOCNI Movement'!H12</f>
        <v>1887</v>
      </c>
      <c r="L1621">
        <f>'B1 - SOCNE SOCNI Movement'!I12</f>
        <v>1887</v>
      </c>
      <c r="M1621">
        <f>'B1 - SOCNE SOCNI Movement'!J12</f>
        <v>1887</v>
      </c>
      <c r="N1621">
        <f>'B1 - SOCNE SOCNI Movement'!K12</f>
        <v>1887</v>
      </c>
      <c r="O1621">
        <f>'B1 - SOCNE SOCNI Movement'!L12</f>
        <v>1887</v>
      </c>
      <c r="P1621">
        <f>'B1 - SOCNE SOCNI Movement'!M12</f>
        <v>1887</v>
      </c>
      <c r="Q1621">
        <f>'B1 - SOCNE SOCNI Movement'!N12</f>
        <v>1887</v>
      </c>
      <c r="R1621">
        <f>'B1 - SOCNE SOCNI Movement'!O12</f>
        <v>1888</v>
      </c>
      <c r="S1621">
        <f>'B1 - SOCNE SOCNI Movement'!P12</f>
        <v>22680</v>
      </c>
      <c r="U1621">
        <f t="shared" si="395"/>
        <v>22680</v>
      </c>
    </row>
    <row r="1622" spans="1:21">
      <c r="A1622" s="2895" t="str">
        <f>ORG!$S$1</f>
        <v>Apr 23</v>
      </c>
      <c r="B1622" t="str">
        <f>ORG!$M$1</f>
        <v>Public Health Wales Trust</v>
      </c>
      <c r="C1622" t="str">
        <f>'B1 - SOCNE SOCNI Movement'!$A$3</f>
        <v>Table B1 - SOCNE / SOCNI Movement</v>
      </c>
      <c r="D1622" s="2896">
        <f>'B1 - SOCNE SOCNI Movement'!B11</f>
        <v>4</v>
      </c>
      <c r="E1622" t="str">
        <f>'B1 - SOCNE SOCNI Movement'!$C$8</f>
        <v>TABLE B: MONTHLY POSITIONS - MONTHLY MOVEMENT ANALYSIS</v>
      </c>
      <c r="F1622" t="str">
        <f>'B1 - SOCNE SOCNI Movement'!C13</f>
        <v>WHSSC Income</v>
      </c>
      <c r="G1622">
        <f>'B1 - SOCNE SOCNI Movement'!D13</f>
        <v>16</v>
      </c>
      <c r="H1622">
        <f>'B1 - SOCNE SOCNI Movement'!E13</f>
        <v>0</v>
      </c>
      <c r="I1622">
        <f>'B1 - SOCNE SOCNI Movement'!F13</f>
        <v>0</v>
      </c>
      <c r="J1622">
        <f>'B1 - SOCNE SOCNI Movement'!G13</f>
        <v>0</v>
      </c>
      <c r="K1622">
        <f>'B1 - SOCNE SOCNI Movement'!H13</f>
        <v>0</v>
      </c>
      <c r="L1622">
        <f>'B1 - SOCNE SOCNI Movement'!I13</f>
        <v>0</v>
      </c>
      <c r="M1622">
        <f>'B1 - SOCNE SOCNI Movement'!J13</f>
        <v>0</v>
      </c>
      <c r="N1622">
        <f>'B1 - SOCNE SOCNI Movement'!K13</f>
        <v>0</v>
      </c>
      <c r="O1622">
        <f>'B1 - SOCNE SOCNI Movement'!L13</f>
        <v>0</v>
      </c>
      <c r="P1622">
        <f>'B1 - SOCNE SOCNI Movement'!M13</f>
        <v>0</v>
      </c>
      <c r="Q1622">
        <f>'B1 - SOCNE SOCNI Movement'!N13</f>
        <v>0</v>
      </c>
      <c r="R1622">
        <f>'B1 - SOCNE SOCNI Movement'!O13</f>
        <v>0</v>
      </c>
      <c r="S1622">
        <f>'B1 - SOCNE SOCNI Movement'!P13</f>
        <v>16</v>
      </c>
      <c r="U1622">
        <f t="shared" si="395"/>
        <v>16</v>
      </c>
    </row>
    <row r="1623" spans="1:21">
      <c r="A1623" s="2895" t="str">
        <f>ORG!$S$1</f>
        <v>Apr 23</v>
      </c>
      <c r="B1623" t="str">
        <f>ORG!$M$1</f>
        <v>Public Health Wales Trust</v>
      </c>
      <c r="C1623" t="str">
        <f>'B1 - SOCNE SOCNI Movement'!$A$3</f>
        <v>Table B1 - SOCNE / SOCNI Movement</v>
      </c>
      <c r="D1623" s="2896">
        <f>'B1 - SOCNE SOCNI Movement'!B12</f>
        <v>5</v>
      </c>
      <c r="E1623" t="str">
        <f>'B1 - SOCNE SOCNI Movement'!$C$8</f>
        <v>TABLE B: MONTHLY POSITIONS - MONTHLY MOVEMENT ANALYSIS</v>
      </c>
      <c r="F1623" t="str">
        <f>'B1 - SOCNE SOCNI Movement'!C14</f>
        <v>Welsh Government Income (Non RRL)</v>
      </c>
      <c r="G1623">
        <f>'B1 - SOCNE SOCNI Movement'!D14</f>
        <v>15778</v>
      </c>
      <c r="H1623">
        <f>'B1 - SOCNE SOCNI Movement'!E14</f>
        <v>15815.933909250894</v>
      </c>
      <c r="I1623">
        <f>'B1 - SOCNE SOCNI Movement'!F14</f>
        <v>16204.246342926086</v>
      </c>
      <c r="J1623">
        <f>'B1 - SOCNE SOCNI Movement'!G14</f>
        <v>15856.744234250895</v>
      </c>
      <c r="K1623">
        <f>'B1 - SOCNE SOCNI Movement'!H14</f>
        <v>15826.244234250895</v>
      </c>
      <c r="L1623">
        <f>'B1 - SOCNE SOCNI Movement'!I14</f>
        <v>16365.78735125942</v>
      </c>
      <c r="M1623">
        <f>'B1 - SOCNE SOCNI Movement'!J14</f>
        <v>16125.747946985817</v>
      </c>
      <c r="N1623">
        <f>'B1 - SOCNE SOCNI Movement'!K14</f>
        <v>16041.968375841603</v>
      </c>
      <c r="O1623">
        <f>'B1 - SOCNE SOCNI Movement'!L14</f>
        <v>16553.305338652484</v>
      </c>
      <c r="P1623">
        <f>'B1 - SOCNE SOCNI Movement'!M14</f>
        <v>16074.747946985817</v>
      </c>
      <c r="Q1623">
        <f>'B1 - SOCNE SOCNI Movement'!N14</f>
        <v>16042.722954697387</v>
      </c>
      <c r="R1623">
        <f>'B1 - SOCNE SOCNI Movement'!O14</f>
        <v>17098.564175874708</v>
      </c>
      <c r="S1623">
        <f>'B1 - SOCNE SOCNI Movement'!P14</f>
        <v>193784.01281097601</v>
      </c>
      <c r="U1623">
        <f t="shared" si="395"/>
        <v>193784.01281097601</v>
      </c>
    </row>
    <row r="1624" spans="1:21">
      <c r="A1624" s="2895" t="str">
        <f>ORG!$S$1</f>
        <v>Apr 23</v>
      </c>
      <c r="B1624" t="str">
        <f>ORG!$M$1</f>
        <v>Public Health Wales Trust</v>
      </c>
      <c r="C1624" t="str">
        <f>'B1 - SOCNE SOCNI Movement'!$A$3</f>
        <v>Table B1 - SOCNE / SOCNI Movement</v>
      </c>
      <c r="D1624" s="2896">
        <f>'B1 - SOCNE SOCNI Movement'!B13</f>
        <v>6</v>
      </c>
      <c r="E1624" t="str">
        <f>'B1 - SOCNE SOCNI Movement'!$C$8</f>
        <v>TABLE B: MONTHLY POSITIONS - MONTHLY MOVEMENT ANALYSIS</v>
      </c>
      <c r="F1624" t="str">
        <f>'B1 - SOCNE SOCNI Movement'!C15</f>
        <v>Other Income</v>
      </c>
      <c r="G1624">
        <f>'B1 - SOCNE SOCNI Movement'!D15</f>
        <v>481</v>
      </c>
      <c r="H1624">
        <f>'B1 - SOCNE SOCNI Movement'!E15</f>
        <v>309</v>
      </c>
      <c r="I1624">
        <f>'B1 - SOCNE SOCNI Movement'!F15</f>
        <v>309</v>
      </c>
      <c r="J1624">
        <f>'B1 - SOCNE SOCNI Movement'!G15</f>
        <v>309</v>
      </c>
      <c r="K1624">
        <f>'B1 - SOCNE SOCNI Movement'!H15</f>
        <v>301</v>
      </c>
      <c r="L1624">
        <f>'B1 - SOCNE SOCNI Movement'!I15</f>
        <v>301</v>
      </c>
      <c r="M1624">
        <f>'B1 - SOCNE SOCNI Movement'!J15</f>
        <v>301</v>
      </c>
      <c r="N1624">
        <f>'B1 - SOCNE SOCNI Movement'!K15</f>
        <v>301</v>
      </c>
      <c r="O1624">
        <f>'B1 - SOCNE SOCNI Movement'!L15</f>
        <v>301</v>
      </c>
      <c r="P1624">
        <f>'B1 - SOCNE SOCNI Movement'!M15</f>
        <v>301</v>
      </c>
      <c r="Q1624">
        <f>'B1 - SOCNE SOCNI Movement'!N15</f>
        <v>301</v>
      </c>
      <c r="R1624">
        <f>'B1 - SOCNE SOCNI Movement'!O15</f>
        <v>302</v>
      </c>
      <c r="S1624">
        <f>'B1 - SOCNE SOCNI Movement'!P15</f>
        <v>3817</v>
      </c>
      <c r="U1624">
        <f t="shared" si="395"/>
        <v>3817</v>
      </c>
    </row>
    <row r="1625" spans="1:21">
      <c r="A1625" s="2895" t="str">
        <f>ORG!$S$1</f>
        <v>Apr 23</v>
      </c>
      <c r="B1625" t="str">
        <f>ORG!$M$1</f>
        <v>Public Health Wales Trust</v>
      </c>
      <c r="C1625" t="str">
        <f>'B1 - SOCNE SOCNI Movement'!$A$3</f>
        <v>Table B1 - SOCNE / SOCNI Movement</v>
      </c>
      <c r="D1625" s="2896">
        <f>'B1 - SOCNE SOCNI Movement'!B14</f>
        <v>7</v>
      </c>
      <c r="E1625" t="str">
        <f>'B1 - SOCNE SOCNI Movement'!$C$8</f>
        <v>TABLE B: MONTHLY POSITIONS - MONTHLY MOVEMENT ANALYSIS</v>
      </c>
      <c r="F1625" t="str">
        <f>'B1 - SOCNE SOCNI Movement'!C16</f>
        <v>Total Income</v>
      </c>
      <c r="G1625">
        <f>'B1 - SOCNE SOCNI Movement'!D16</f>
        <v>18197</v>
      </c>
      <c r="H1625">
        <f>'B1 - SOCNE SOCNI Movement'!E16</f>
        <v>18011.933909250896</v>
      </c>
      <c r="I1625">
        <f>'B1 - SOCNE SOCNI Movement'!F16</f>
        <v>18400.246342926086</v>
      </c>
      <c r="J1625">
        <f>'B1 - SOCNE SOCNI Movement'!G16</f>
        <v>18052.744234250895</v>
      </c>
      <c r="K1625">
        <f>'B1 - SOCNE SOCNI Movement'!H16</f>
        <v>18014.244234250895</v>
      </c>
      <c r="L1625">
        <f>'B1 - SOCNE SOCNI Movement'!I16</f>
        <v>18553.78735125942</v>
      </c>
      <c r="M1625">
        <f>'B1 - SOCNE SOCNI Movement'!J16</f>
        <v>18313.747946985815</v>
      </c>
      <c r="N1625">
        <f>'B1 - SOCNE SOCNI Movement'!K16</f>
        <v>18229.968375841603</v>
      </c>
      <c r="O1625">
        <f>'B1 - SOCNE SOCNI Movement'!L16</f>
        <v>18741.305338652484</v>
      </c>
      <c r="P1625">
        <f>'B1 - SOCNE SOCNI Movement'!M16</f>
        <v>18262.747946985815</v>
      </c>
      <c r="Q1625">
        <f>'B1 - SOCNE SOCNI Movement'!N16</f>
        <v>18230.722954697387</v>
      </c>
      <c r="R1625">
        <f>'B1 - SOCNE SOCNI Movement'!O16</f>
        <v>19288.564175874708</v>
      </c>
      <c r="S1625">
        <f>'B1 - SOCNE SOCNI Movement'!P16</f>
        <v>220297.01281097601</v>
      </c>
      <c r="U1625">
        <f t="shared" si="395"/>
        <v>220297.01281097601</v>
      </c>
    </row>
    <row r="1626" spans="1:21">
      <c r="A1626" s="2895" t="str">
        <f>ORG!$S$1</f>
        <v>Apr 23</v>
      </c>
      <c r="B1626" t="str">
        <f>ORG!$M$1</f>
        <v>Public Health Wales Trust</v>
      </c>
      <c r="C1626" t="str">
        <f>'B1 - SOCNE SOCNI Movement'!$A$3</f>
        <v>Table B1 - SOCNE / SOCNI Movement</v>
      </c>
      <c r="D1626" s="2896">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5" t="str">
        <f>ORG!$S$1</f>
        <v>Apr 23</v>
      </c>
      <c r="B1627" t="str">
        <f>ORG!$M$1</f>
        <v>Public Health Wales Trust</v>
      </c>
      <c r="C1627" t="str">
        <f>'B1 - SOCNE SOCNI Movement'!$A$3</f>
        <v>Table B1 - SOCNE / SOCNI Movement</v>
      </c>
      <c r="D1627" s="2896">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5" t="str">
        <f>ORG!$S$1</f>
        <v>Apr 23</v>
      </c>
      <c r="B1628" t="str">
        <f>ORG!$M$1</f>
        <v>Public Health Wales Trust</v>
      </c>
      <c r="C1628" t="str">
        <f>'B1 - SOCNE SOCNI Movement'!$A$3</f>
        <v>Table B1 - SOCNE / SOCNI Movement</v>
      </c>
      <c r="D1628" s="2896">
        <f>'B1 - SOCNE SOCNI Movement'!B17</f>
        <v>10</v>
      </c>
      <c r="E1628" t="str">
        <f>'B1 - SOCNE SOCNI Movement'!$C$8</f>
        <v>TABLE B: MONTHLY POSITIONS - MONTHLY MOVEMENT ANALYSIS</v>
      </c>
      <c r="F1628" t="str">
        <f>'B1 - SOCNE SOCNI Movement'!C19</f>
        <v>Provided Services - Pay</v>
      </c>
      <c r="G1628">
        <f>'B1 - SOCNE SOCNI Movement'!D19</f>
        <v>10151</v>
      </c>
      <c r="H1628">
        <f>'B1 - SOCNE SOCNI Movement'!E19</f>
        <v>9831.948833333332</v>
      </c>
      <c r="I1628">
        <f>'B1 - SOCNE SOCNI Movement'!F19</f>
        <v>9872.6593499999999</v>
      </c>
      <c r="J1628">
        <f>'B1 - SOCNE SOCNI Movement'!G19</f>
        <v>9902.2591583333324</v>
      </c>
      <c r="K1628">
        <f>'B1 - SOCNE SOCNI Movement'!H19</f>
        <v>9895.2591583333324</v>
      </c>
      <c r="L1628">
        <f>'B1 - SOCNE SOCNI Movement'!I19</f>
        <v>9904.7003583333335</v>
      </c>
      <c r="M1628">
        <f>'B1 - SOCNE SOCNI Movement'!J19</f>
        <v>9899.5761133333326</v>
      </c>
      <c r="N1628">
        <f>'B1 - SOCNE SOCNI Movement'!K19</f>
        <v>9899.5761133333326</v>
      </c>
      <c r="O1628">
        <f>'B1 - SOCNE SOCNI Movement'!L19</f>
        <v>9888.6128800000006</v>
      </c>
      <c r="P1628">
        <f>'B1 - SOCNE SOCNI Movement'!M19</f>
        <v>9886.5761133333326</v>
      </c>
      <c r="Q1628">
        <f>'B1 - SOCNE SOCNI Movement'!N19</f>
        <v>9867.2591583333324</v>
      </c>
      <c r="R1628">
        <f>'B1 - SOCNE SOCNI Movement'!O19</f>
        <v>9878.2622222222217</v>
      </c>
      <c r="S1628">
        <f>'B1 - SOCNE SOCNI Movement'!P19</f>
        <v>118877.68945888888</v>
      </c>
      <c r="U1628">
        <f t="shared" si="395"/>
        <v>118877.68945888888</v>
      </c>
    </row>
    <row r="1629" spans="1:21">
      <c r="A1629" s="2895" t="str">
        <f>ORG!$S$1</f>
        <v>Apr 23</v>
      </c>
      <c r="B1629" t="str">
        <f>ORG!$M$1</f>
        <v>Public Health Wales Trust</v>
      </c>
      <c r="C1629" t="str">
        <f>'B1 - SOCNE SOCNI Movement'!$A$3</f>
        <v>Table B1 - SOCNE / SOCNI Movement</v>
      </c>
      <c r="D1629" s="2896">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7712.1790000000001</v>
      </c>
      <c r="H1629">
        <f>'B1 - SOCNE SOCNI Movement'!E20</f>
        <v>7896.1640759175616</v>
      </c>
      <c r="I1629">
        <f>'B1 - SOCNE SOCNI Movement'!F20</f>
        <v>8243.7659929260863</v>
      </c>
      <c r="J1629">
        <f>'B1 - SOCNE SOCNI Movement'!G20</f>
        <v>7866.6640759175616</v>
      </c>
      <c r="K1629">
        <f>'B1 - SOCNE SOCNI Movement'!H20</f>
        <v>7835.1640759175616</v>
      </c>
      <c r="L1629">
        <f>'B1 - SOCNE SOCNI Movement'!I20</f>
        <v>8365.2659929260863</v>
      </c>
      <c r="M1629">
        <f>'B1 - SOCNE SOCNI Movement'!J20</f>
        <v>8130.3508336524837</v>
      </c>
      <c r="N1629">
        <f>'B1 - SOCNE SOCNI Movement'!K20</f>
        <v>8046.5712625082688</v>
      </c>
      <c r="O1629">
        <f>'B1 - SOCNE SOCNI Movement'!L20</f>
        <v>8568.8714586524839</v>
      </c>
      <c r="P1629">
        <f>'B1 - SOCNE SOCNI Movement'!M20</f>
        <v>8092.3508336524837</v>
      </c>
      <c r="Q1629">
        <f>'B1 - SOCNE SOCNI Movement'!N20</f>
        <v>8079.6427963640544</v>
      </c>
      <c r="R1629">
        <f>'B1 - SOCNE SOCNI Movement'!O20</f>
        <v>9176.4809536524845</v>
      </c>
      <c r="S1629">
        <f>'B1 - SOCNE SOCNI Movement'!P20</f>
        <v>98013.471352087116</v>
      </c>
      <c r="U1629">
        <f t="shared" si="395"/>
        <v>98013.471352087116</v>
      </c>
    </row>
    <row r="1630" spans="1:21">
      <c r="A1630" s="2895" t="str">
        <f>ORG!$S$1</f>
        <v>Apr 23</v>
      </c>
      <c r="B1630" t="str">
        <f>ORG!$M$1</f>
        <v>Public Health Wales Trust</v>
      </c>
      <c r="C1630" t="str">
        <f>'B1 - SOCNE SOCNI Movement'!$A$3</f>
        <v>Table B1 - SOCNE / SOCNI Movement</v>
      </c>
      <c r="D1630" s="2896">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5" t="str">
        <f>ORG!$S$1</f>
        <v>Apr 23</v>
      </c>
      <c r="B1631" t="str">
        <f>ORG!$M$1</f>
        <v>Public Health Wales Trust</v>
      </c>
      <c r="C1631" t="str">
        <f>'B1 - SOCNE SOCNI Movement'!$A$3</f>
        <v>Table B1 - SOCNE / SOCNI Movement</v>
      </c>
      <c r="D1631" s="2896">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5" t="str">
        <f>ORG!$S$1</f>
        <v>Apr 23</v>
      </c>
      <c r="B1632" t="str">
        <f>ORG!$M$1</f>
        <v>Public Health Wales Trust</v>
      </c>
      <c r="C1632" t="str">
        <f>'B1 - SOCNE SOCNI Movement'!$A$3</f>
        <v>Table B1 - SOCNE / SOCNI Movement</v>
      </c>
      <c r="D1632" s="2896">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5" t="str">
        <f>ORG!$S$1</f>
        <v>Apr 23</v>
      </c>
      <c r="B1633" t="str">
        <f>ORG!$M$1</f>
        <v>Public Health Wales Trust</v>
      </c>
      <c r="C1633" t="str">
        <f>'B1 - SOCNE SOCNI Movement'!$A$3</f>
        <v>Table B1 - SOCNE / SOCNI Movement</v>
      </c>
      <c r="D1633" s="2896">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5" t="str">
        <f>ORG!$S$1</f>
        <v>Apr 23</v>
      </c>
      <c r="B1634" t="str">
        <f>ORG!$M$1</f>
        <v>Public Health Wales Trust</v>
      </c>
      <c r="C1634" t="str">
        <f>'B1 - SOCNE SOCNI Movement'!$A$3</f>
        <v>Table B1 - SOCNE / SOCNI Movement</v>
      </c>
      <c r="D1634" s="2896">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5" t="str">
        <f>ORG!$S$1</f>
        <v>Apr 23</v>
      </c>
      <c r="B1635" t="str">
        <f>ORG!$M$1</f>
        <v>Public Health Wales Trust</v>
      </c>
      <c r="C1635" t="str">
        <f>'B1 - SOCNE SOCNI Movement'!$A$3</f>
        <v>Table B1 - SOCNE / SOCNI Movement</v>
      </c>
      <c r="D1635" s="2896">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5" t="str">
        <f>ORG!$S$1</f>
        <v>Apr 23</v>
      </c>
      <c r="B1636" t="str">
        <f>ORG!$M$1</f>
        <v>Public Health Wales Trust</v>
      </c>
      <c r="C1636" t="str">
        <f>'B1 - SOCNE SOCNI Movement'!$A$3</f>
        <v>Table B1 - SOCNE / SOCNI Movement</v>
      </c>
      <c r="D1636" s="2896">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5" t="str">
        <f>ORG!$S$1</f>
        <v>Apr 23</v>
      </c>
      <c r="B1637" t="str">
        <f>ORG!$M$1</f>
        <v>Public Health Wales Trust</v>
      </c>
      <c r="C1637" t="str">
        <f>'B1 - SOCNE SOCNI Movement'!$A$3</f>
        <v>Table B1 - SOCNE / SOCNI Movement</v>
      </c>
      <c r="D1637" s="2896">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5" t="str">
        <f>ORG!$S$1</f>
        <v>Apr 23</v>
      </c>
      <c r="B1638" t="str">
        <f>ORG!$M$1</f>
        <v>Public Health Wales Trust</v>
      </c>
      <c r="C1638" t="str">
        <f>'B1 - SOCNE SOCNI Movement'!$A$3</f>
        <v>Table B1 - SOCNE / SOCNI Movement</v>
      </c>
      <c r="D1638" s="2896">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5" t="str">
        <f>ORG!$S$1</f>
        <v>Apr 23</v>
      </c>
      <c r="B1639" t="str">
        <f>ORG!$M$1</f>
        <v>Public Health Wales Trust</v>
      </c>
      <c r="C1639" t="str">
        <f>'B1 - SOCNE SOCNI Movement'!$A$3</f>
        <v>Table B1 - SOCNE / SOCNI Movement</v>
      </c>
      <c r="D1639" s="2896">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5" t="str">
        <f>ORG!$S$1</f>
        <v>Apr 23</v>
      </c>
      <c r="B1640" t="str">
        <f>ORG!$M$1</f>
        <v>Public Health Wales Trust</v>
      </c>
      <c r="C1640" t="str">
        <f>'B1 - SOCNE SOCNI Movement'!$A$3</f>
        <v>Table B1 - SOCNE / SOCNI Movement</v>
      </c>
      <c r="D1640" s="2896">
        <f>'B1 - SOCNE SOCNI Movement'!B29</f>
        <v>22</v>
      </c>
      <c r="E1640" t="str">
        <f>'B1 - SOCNE SOCNI Movement'!$C$8</f>
        <v>TABLE B: MONTHLY POSITIONS - MONTHLY MOVEMENT ANALYSIS</v>
      </c>
      <c r="F1640" t="str">
        <f>'B1 - SOCNE SOCNI Movement'!C31</f>
        <v>DEL Depreciation\Accelerated Depreciation\Impairments</v>
      </c>
      <c r="G1640">
        <f>'B1 - SOCNE SOCNI Movement'!D31</f>
        <v>283.82100000000003</v>
      </c>
      <c r="H1640">
        <f>'B1 - SOCNE SOCNI Movement'!E31</f>
        <v>283.82100000000003</v>
      </c>
      <c r="I1640">
        <f>'B1 - SOCNE SOCNI Movement'!F31</f>
        <v>283.82100000000003</v>
      </c>
      <c r="J1640">
        <f>'B1 - SOCNE SOCNI Movement'!G31</f>
        <v>283.82100000000003</v>
      </c>
      <c r="K1640">
        <f>'B1 - SOCNE SOCNI Movement'!H31</f>
        <v>283.82100000000003</v>
      </c>
      <c r="L1640">
        <f>'B1 - SOCNE SOCNI Movement'!I31</f>
        <v>283.82100000000003</v>
      </c>
      <c r="M1640">
        <f>'B1 - SOCNE SOCNI Movement'!J31</f>
        <v>283.82100000000003</v>
      </c>
      <c r="N1640">
        <f>'B1 - SOCNE SOCNI Movement'!K31</f>
        <v>283.82100000000003</v>
      </c>
      <c r="O1640">
        <f>'B1 - SOCNE SOCNI Movement'!L31</f>
        <v>283.82100000000003</v>
      </c>
      <c r="P1640">
        <f>'B1 - SOCNE SOCNI Movement'!M31</f>
        <v>283.82100000000003</v>
      </c>
      <c r="Q1640">
        <f>'B1 - SOCNE SOCNI Movement'!N31</f>
        <v>283.82100000000003</v>
      </c>
      <c r="R1640">
        <f>'B1 - SOCNE SOCNI Movement'!O31</f>
        <v>283.82100000000003</v>
      </c>
      <c r="S1640">
        <f>'B1 - SOCNE SOCNI Movement'!P31</f>
        <v>3405.8519999999994</v>
      </c>
      <c r="U1640">
        <f t="shared" si="395"/>
        <v>3405.8519999999994</v>
      </c>
    </row>
    <row r="1641" spans="1:21">
      <c r="A1641" s="2895" t="str">
        <f>ORG!$S$1</f>
        <v>Apr 23</v>
      </c>
      <c r="B1641" t="str">
        <f>ORG!$M$1</f>
        <v>Public Health Wales Trust</v>
      </c>
      <c r="C1641" t="str">
        <f>'B1 - SOCNE SOCNI Movement'!$A$3</f>
        <v>Table B1 - SOCNE / SOCNI Movement</v>
      </c>
      <c r="D1641" s="2896">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v>
      </c>
      <c r="I1641">
        <f>'B1 - SOCNE SOCNI Movement'!F32</f>
        <v>0</v>
      </c>
      <c r="J1641">
        <f>'B1 - SOCNE SOCNI Movement'!G32</f>
        <v>0</v>
      </c>
      <c r="K1641">
        <f>'B1 - SOCNE SOCNI Movement'!H32</f>
        <v>0</v>
      </c>
      <c r="L1641">
        <f>'B1 - SOCNE SOCNI Movement'!I32</f>
        <v>0</v>
      </c>
      <c r="M1641">
        <f>'B1 - SOCNE SOCNI Movement'!J32</f>
        <v>0</v>
      </c>
      <c r="N1641">
        <f>'B1 - SOCNE SOCNI Movement'!K32</f>
        <v>0</v>
      </c>
      <c r="O1641">
        <f>'B1 - SOCNE SOCNI Movement'!L32</f>
        <v>0</v>
      </c>
      <c r="P1641">
        <f>'B1 - SOCNE SOCNI Movement'!M32</f>
        <v>0</v>
      </c>
      <c r="Q1641">
        <f>'B1 - SOCNE SOCNI Movement'!N32</f>
        <v>0</v>
      </c>
      <c r="R1641">
        <f>'B1 - SOCNE SOCNI Movement'!O32</f>
        <v>0</v>
      </c>
      <c r="S1641">
        <f>'B1 - SOCNE SOCNI Movement'!P32</f>
        <v>0</v>
      </c>
      <c r="U1641">
        <f t="shared" si="395"/>
        <v>0</v>
      </c>
    </row>
    <row r="1642" spans="1:21">
      <c r="A1642" s="2895" t="str">
        <f>ORG!$S$1</f>
        <v>Apr 23</v>
      </c>
      <c r="B1642" t="str">
        <f>ORG!$M$1</f>
        <v>Public Health Wales Trust</v>
      </c>
      <c r="C1642" t="str">
        <f>'B1 - SOCNE SOCNI Movement'!$A$3</f>
        <v>Table B1 - SOCNE / SOCNI Movement</v>
      </c>
      <c r="D1642" s="2896">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5" t="str">
        <f>ORG!$S$1</f>
        <v>Apr 23</v>
      </c>
      <c r="B1643" t="str">
        <f>ORG!$M$1</f>
        <v>Public Health Wales Trust</v>
      </c>
      <c r="C1643" t="str">
        <f>'B1 - SOCNE SOCNI Movement'!$A$3</f>
        <v>Table B1 - SOCNE / SOCNI Movement</v>
      </c>
      <c r="D1643" s="2896">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0</v>
      </c>
      <c r="O1643">
        <f>'B1 - SOCNE SOCNI Movement'!L34</f>
        <v>0</v>
      </c>
      <c r="P1643">
        <f>'B1 - SOCNE SOCNI Movement'!M34</f>
        <v>0</v>
      </c>
      <c r="Q1643">
        <f>'B1 - SOCNE SOCNI Movement'!N34</f>
        <v>0</v>
      </c>
      <c r="R1643">
        <f>'B1 - SOCNE SOCNI Movement'!O34</f>
        <v>0</v>
      </c>
      <c r="S1643">
        <f>'B1 - SOCNE SOCNI Movement'!P34</f>
        <v>0</v>
      </c>
      <c r="U1643">
        <f t="shared" si="395"/>
        <v>0</v>
      </c>
    </row>
    <row r="1644" spans="1:21">
      <c r="A1644" s="2895" t="str">
        <f>ORG!$S$1</f>
        <v>Apr 23</v>
      </c>
      <c r="B1644" t="str">
        <f>ORG!$M$1</f>
        <v>Public Health Wales Trust</v>
      </c>
      <c r="C1644" t="str">
        <f>'B1 - SOCNE SOCNI Movement'!$A$3</f>
        <v>Table B1 - SOCNE / SOCNI Movement</v>
      </c>
      <c r="D1644" s="2896">
        <f>'B1 - SOCNE SOCNI Movement'!B33</f>
        <v>26</v>
      </c>
      <c r="E1644" t="str">
        <f>'B1 - SOCNE SOCNI Movement'!$C$8</f>
        <v>TABLE B: MONTHLY POSITIONS - MONTHLY MOVEMENT ANALYSIS</v>
      </c>
      <c r="F1644" t="str">
        <f>'B1 - SOCNE SOCNI Movement'!C35</f>
        <v>Total Expenditure</v>
      </c>
      <c r="G1644">
        <f>'B1 - SOCNE SOCNI Movement'!D35</f>
        <v>18147</v>
      </c>
      <c r="H1644">
        <f>'B1 - SOCNE SOCNI Movement'!E35</f>
        <v>18011.933909250893</v>
      </c>
      <c r="I1644">
        <f>'B1 - SOCNE SOCNI Movement'!F35</f>
        <v>18400.246342926086</v>
      </c>
      <c r="J1644">
        <f>'B1 - SOCNE SOCNI Movement'!G35</f>
        <v>18052.744234250895</v>
      </c>
      <c r="K1644">
        <f>'B1 - SOCNE SOCNI Movement'!H35</f>
        <v>18014.244234250895</v>
      </c>
      <c r="L1644">
        <f>'B1 - SOCNE SOCNI Movement'!I35</f>
        <v>18553.78735125942</v>
      </c>
      <c r="M1644">
        <f>'B1 - SOCNE SOCNI Movement'!J35</f>
        <v>18313.747946985815</v>
      </c>
      <c r="N1644">
        <f>'B1 - SOCNE SOCNI Movement'!K35</f>
        <v>18229.968375841603</v>
      </c>
      <c r="O1644">
        <f>'B1 - SOCNE SOCNI Movement'!L35</f>
        <v>18741.305338652484</v>
      </c>
      <c r="P1644">
        <f>'B1 - SOCNE SOCNI Movement'!M35</f>
        <v>18262.747946985815</v>
      </c>
      <c r="Q1644">
        <f>'B1 - SOCNE SOCNI Movement'!N35</f>
        <v>18230.722954697387</v>
      </c>
      <c r="R1644">
        <f>'B1 - SOCNE SOCNI Movement'!O35</f>
        <v>19338.564175874704</v>
      </c>
      <c r="S1644">
        <f>'B1 - SOCNE SOCNI Movement'!P35</f>
        <v>220297.01281097595</v>
      </c>
      <c r="U1644">
        <f t="shared" si="395"/>
        <v>220297.01281097595</v>
      </c>
    </row>
    <row r="1645" spans="1:21">
      <c r="A1645" s="2895" t="str">
        <f>ORG!$S$1</f>
        <v>Apr 23</v>
      </c>
      <c r="B1645" t="str">
        <f>ORG!$M$1</f>
        <v>Public Health Wales Trust</v>
      </c>
      <c r="C1645" t="str">
        <f>'B1 - SOCNE SOCNI Movement'!$A$3</f>
        <v>Table B1 - SOCNE / SOCNI Movement</v>
      </c>
      <c r="D1645" s="2896">
        <f>'B1 - SOCNE SOCNI Movement'!B34</f>
        <v>27</v>
      </c>
      <c r="E1645" t="str">
        <f>'B1 - SOCNE SOCNI Movement'!$C$8</f>
        <v>TABLE B: MONTHLY POSITIONS - MONTHLY MOVEMENT ANALYSIS</v>
      </c>
      <c r="F1645" t="str">
        <f>'B1 - SOCNE SOCNI Movement'!C36</f>
        <v>Forecast Outturn</v>
      </c>
      <c r="G1645">
        <f>'B1 - SOCNE SOCNI Movement'!D36</f>
        <v>50</v>
      </c>
      <c r="H1645">
        <f>'B1 - SOCNE SOCNI Movement'!E36</f>
        <v>3.637978807091713E-12</v>
      </c>
      <c r="I1645">
        <f>'B1 - SOCNE SOCNI Movement'!F36</f>
        <v>0</v>
      </c>
      <c r="J1645">
        <f>'B1 - SOCNE SOCNI Movement'!G36</f>
        <v>0</v>
      </c>
      <c r="K1645">
        <f>'B1 - SOCNE SOCNI Movement'!H36</f>
        <v>0</v>
      </c>
      <c r="L1645">
        <f>'B1 - SOCNE SOCNI Movement'!I36</f>
        <v>0</v>
      </c>
      <c r="M1645">
        <f>'B1 - SOCNE SOCNI Movement'!J36</f>
        <v>0</v>
      </c>
      <c r="N1645">
        <f>'B1 - SOCNE SOCNI Movement'!K36</f>
        <v>0</v>
      </c>
      <c r="O1645">
        <f>'B1 - SOCNE SOCNI Movement'!L36</f>
        <v>0</v>
      </c>
      <c r="P1645">
        <f>'B1 - SOCNE SOCNI Movement'!M36</f>
        <v>0</v>
      </c>
      <c r="Q1645">
        <f>'B1 - SOCNE SOCNI Movement'!N36</f>
        <v>0</v>
      </c>
      <c r="R1645">
        <f>'B1 - SOCNE SOCNI Movement'!O36</f>
        <v>-49.999999999996362</v>
      </c>
      <c r="S1645">
        <f>'B1 - SOCNE SOCNI Movement'!P36</f>
        <v>7.2759576141834259E-12</v>
      </c>
      <c r="U1645">
        <f t="shared" si="395"/>
        <v>7.2759576141834259E-12</v>
      </c>
    </row>
    <row r="1646" spans="1:21">
      <c r="A1646" s="2895" t="str">
        <f>ORG!$S$1</f>
        <v>Apr 23</v>
      </c>
      <c r="B1646" t="str">
        <f>ORG!$M$1</f>
        <v>Public Health Wales Trust</v>
      </c>
      <c r="C1646" t="str">
        <f>'B1 - SOCNE SOCNI Movement'!$A$3</f>
        <v>Table B1 - SOCNE / SOCNI Movement</v>
      </c>
      <c r="D1646" s="2896">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5" t="str">
        <f>ORG!$S$1</f>
        <v>Apr 23</v>
      </c>
      <c r="B1647" t="str">
        <f>ORG!$M$1</f>
        <v>Public Health Wales Trust</v>
      </c>
      <c r="C1647" t="str">
        <f>'B1 - SOCNE SOCNI Movement'!$A$3</f>
        <v>Table B1 - SOCNE / SOCNI Movement</v>
      </c>
      <c r="D1647" s="2896">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5" t="str">
        <f>ORG!$S$1</f>
        <v>Apr 23</v>
      </c>
      <c r="B1648" t="str">
        <f>ORG!$M$1</f>
        <v>Public Health Wales Trust</v>
      </c>
      <c r="C1648" t="str">
        <f>'B1 - SOCNE SOCNI Movement'!$A$3</f>
        <v>Table B1 - SOCNE / SOCNI Movement</v>
      </c>
      <c r="D1648" s="2896">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5" t="str">
        <f>ORG!$S$1</f>
        <v>Apr 23</v>
      </c>
      <c r="B1649" t="str">
        <f>ORG!$M$1</f>
        <v>Public Health Wales Trust</v>
      </c>
      <c r="C1649" t="str">
        <f>'B1 - SOCNE SOCNI Movement'!$A$3</f>
        <v>Table B1 - SOCNE / SOCNI Movement</v>
      </c>
      <c r="D1649" s="2896">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5" t="str">
        <f>ORG!$S$1</f>
        <v>Apr 23</v>
      </c>
      <c r="B1650" t="str">
        <f>ORG!$M$1</f>
        <v>Public Health Wales Trust</v>
      </c>
      <c r="C1650" t="str">
        <f>'B1 - SOCNE SOCNI Movement'!$A$3</f>
        <v>Table B1 - SOCNE / SOCNI Movement</v>
      </c>
      <c r="D1650" s="2896">
        <f>'B1 - SOCNE SOCNI Movement'!B41</f>
        <v>32</v>
      </c>
      <c r="E1650" t="str">
        <f>'B1 - SOCNE SOCNI Movement'!$C$8</f>
        <v>TABLE B: MONTHLY POSITIONS - MONTHLY MOVEMENT ANALYSIS</v>
      </c>
      <c r="F1650" t="str">
        <f>'B1 - SOCNE SOCNI Movement'!C43</f>
        <v>Welsh NHS Local Health Boards &amp; Trusts Income</v>
      </c>
      <c r="G1650">
        <f>'B1 - SOCNE SOCNI Movement'!D43</f>
        <v>0</v>
      </c>
      <c r="H1650">
        <f>'B1 - SOCNE SOCNI Movement'!E43</f>
        <v>0</v>
      </c>
      <c r="I1650">
        <f>'B1 - SOCNE SOCNI Movement'!F43</f>
        <v>0</v>
      </c>
      <c r="J1650">
        <f>'B1 - SOCNE SOCNI Movement'!G43</f>
        <v>0</v>
      </c>
      <c r="K1650">
        <f>'B1 - SOCNE SOCNI Movement'!H43</f>
        <v>0</v>
      </c>
      <c r="L1650">
        <f>'B1 - SOCNE SOCNI Movement'!I43</f>
        <v>0</v>
      </c>
      <c r="M1650">
        <f>'B1 - SOCNE SOCNI Movement'!J43</f>
        <v>0</v>
      </c>
      <c r="N1650">
        <f>'B1 - SOCNE SOCNI Movement'!K43</f>
        <v>0</v>
      </c>
      <c r="O1650">
        <f>'B1 - SOCNE SOCNI Movement'!L43</f>
        <v>0</v>
      </c>
      <c r="P1650">
        <f>'B1 - SOCNE SOCNI Movement'!M43</f>
        <v>0</v>
      </c>
      <c r="Q1650">
        <f>'B1 - SOCNE SOCNI Movement'!N43</f>
        <v>0</v>
      </c>
      <c r="R1650">
        <f>'B1 - SOCNE SOCNI Movement'!O43</f>
        <v>0</v>
      </c>
      <c r="S1650">
        <f>'B1 - SOCNE SOCNI Movement'!P43</f>
        <v>0</v>
      </c>
      <c r="U1650">
        <f t="shared" si="395"/>
        <v>0</v>
      </c>
    </row>
    <row r="1651" spans="1:21">
      <c r="A1651" s="2895" t="str">
        <f>ORG!$S$1</f>
        <v>Apr 23</v>
      </c>
      <c r="B1651" t="str">
        <f>ORG!$M$1</f>
        <v>Public Health Wales Trust</v>
      </c>
      <c r="C1651" t="str">
        <f>'B1 - SOCNE SOCNI Movement'!$A$3</f>
        <v>Table B1 - SOCNE / SOCNI Movement</v>
      </c>
      <c r="D1651" s="2896">
        <f>'B1 - SOCNE SOCNI Movement'!B42</f>
        <v>33</v>
      </c>
      <c r="E1651" t="str">
        <f>'B1 - SOCNE SOCNI Movement'!$C$8</f>
        <v>TABLE B: MONTHLY POSITIONS - MONTHLY MOVEMENT ANALYSIS</v>
      </c>
      <c r="F1651" t="str">
        <f>'B1 - SOCNE SOCNI Movement'!C44</f>
        <v>WHSSC Income</v>
      </c>
      <c r="G1651">
        <f>'B1 - SOCNE SOCNI Movement'!D44</f>
        <v>0</v>
      </c>
      <c r="H1651">
        <f>'B1 - SOCNE SOCNI Movement'!E44</f>
        <v>0</v>
      </c>
      <c r="I1651">
        <f>'B1 - SOCNE SOCNI Movement'!F44</f>
        <v>0</v>
      </c>
      <c r="J1651">
        <f>'B1 - SOCNE SOCNI Movement'!G44</f>
        <v>0</v>
      </c>
      <c r="K1651">
        <f>'B1 - SOCNE SOCNI Movement'!H44</f>
        <v>0</v>
      </c>
      <c r="L1651">
        <f>'B1 - SOCNE SOCNI Movement'!I44</f>
        <v>0</v>
      </c>
      <c r="M1651">
        <f>'B1 - SOCNE SOCNI Movement'!J44</f>
        <v>0</v>
      </c>
      <c r="N1651">
        <f>'B1 - SOCNE SOCNI Movement'!K44</f>
        <v>0</v>
      </c>
      <c r="O1651">
        <f>'B1 - SOCNE SOCNI Movement'!L44</f>
        <v>0</v>
      </c>
      <c r="P1651">
        <f>'B1 - SOCNE SOCNI Movement'!M44</f>
        <v>0</v>
      </c>
      <c r="Q1651">
        <f>'B1 - SOCNE SOCNI Movement'!N44</f>
        <v>0</v>
      </c>
      <c r="R1651">
        <f>'B1 - SOCNE SOCNI Movement'!O44</f>
        <v>0</v>
      </c>
      <c r="S1651">
        <f>'B1 - SOCNE SOCNI Movement'!P44</f>
        <v>0</v>
      </c>
      <c r="U1651">
        <f t="shared" si="395"/>
        <v>0</v>
      </c>
    </row>
    <row r="1652" spans="1:21">
      <c r="A1652" s="2895" t="str">
        <f>ORG!$S$1</f>
        <v>Apr 23</v>
      </c>
      <c r="B1652" t="str">
        <f>ORG!$M$1</f>
        <v>Public Health Wales Trust</v>
      </c>
      <c r="C1652" t="str">
        <f>'B1 - SOCNE SOCNI Movement'!$A$3</f>
        <v>Table B1 - SOCNE / SOCNI Movement</v>
      </c>
      <c r="D1652" s="2896">
        <f>'B1 - SOCNE SOCNI Movement'!B43</f>
        <v>34</v>
      </c>
      <c r="E1652" t="str">
        <f>'B1 - SOCNE SOCNI Movement'!$C$8</f>
        <v>TABLE B: MONTHLY POSITIONS - MONTHLY MOVEMENT ANALYSIS</v>
      </c>
      <c r="F1652" t="str">
        <f>'B1 - SOCNE SOCNI Movement'!C45</f>
        <v>Welsh Government Income (Non RRL)</v>
      </c>
      <c r="G1652">
        <f>'B1 - SOCNE SOCNI Movement'!D45</f>
        <v>0</v>
      </c>
      <c r="H1652">
        <f>'B1 - SOCNE SOCNI Movement'!E45</f>
        <v>0</v>
      </c>
      <c r="I1652">
        <f>'B1 - SOCNE SOCNI Movement'!F45</f>
        <v>0</v>
      </c>
      <c r="J1652">
        <f>'B1 - SOCNE SOCNI Movement'!G45</f>
        <v>0</v>
      </c>
      <c r="K1652">
        <f>'B1 - SOCNE SOCNI Movement'!H45</f>
        <v>0</v>
      </c>
      <c r="L1652">
        <f>'B1 - SOCNE SOCNI Movement'!I45</f>
        <v>0</v>
      </c>
      <c r="M1652">
        <f>'B1 - SOCNE SOCNI Movement'!J45</f>
        <v>0</v>
      </c>
      <c r="N1652">
        <f>'B1 - SOCNE SOCNI Movement'!K45</f>
        <v>0</v>
      </c>
      <c r="O1652">
        <f>'B1 - SOCNE SOCNI Movement'!L45</f>
        <v>0</v>
      </c>
      <c r="P1652">
        <f>'B1 - SOCNE SOCNI Movement'!M45</f>
        <v>0</v>
      </c>
      <c r="Q1652">
        <f>'B1 - SOCNE SOCNI Movement'!N45</f>
        <v>0</v>
      </c>
      <c r="R1652">
        <f>'B1 - SOCNE SOCNI Movement'!O45</f>
        <v>0</v>
      </c>
      <c r="S1652">
        <f>'B1 - SOCNE SOCNI Movement'!P45</f>
        <v>0</v>
      </c>
      <c r="U1652">
        <f t="shared" si="395"/>
        <v>0</v>
      </c>
    </row>
    <row r="1653" spans="1:21">
      <c r="A1653" s="2895" t="str">
        <f>ORG!$S$1</f>
        <v>Apr 23</v>
      </c>
      <c r="B1653" t="str">
        <f>ORG!$M$1</f>
        <v>Public Health Wales Trust</v>
      </c>
      <c r="C1653" t="str">
        <f>'B1 - SOCNE SOCNI Movement'!$A$3</f>
        <v>Table B1 - SOCNE / SOCNI Movement</v>
      </c>
      <c r="D1653" s="2896">
        <f>'B1 - SOCNE SOCNI Movement'!B44</f>
        <v>35</v>
      </c>
      <c r="E1653" t="str">
        <f>'B1 - SOCNE SOCNI Movement'!$C$8</f>
        <v>TABLE B: MONTHLY POSITIONS - MONTHLY MOVEMENT ANALYSIS</v>
      </c>
      <c r="F1653" t="str">
        <f>'B1 - SOCNE SOCNI Movement'!C46</f>
        <v>Other Income</v>
      </c>
      <c r="G1653">
        <f>'B1 - SOCNE SOCNI Movement'!D46</f>
        <v>0</v>
      </c>
      <c r="H1653">
        <f>'B1 - SOCNE SOCNI Movement'!E46</f>
        <v>0</v>
      </c>
      <c r="I1653">
        <f>'B1 - SOCNE SOCNI Movement'!F46</f>
        <v>0</v>
      </c>
      <c r="J1653">
        <f>'B1 - SOCNE SOCNI Movement'!G46</f>
        <v>0</v>
      </c>
      <c r="K1653">
        <f>'B1 - SOCNE SOCNI Movement'!H46</f>
        <v>0</v>
      </c>
      <c r="L1653">
        <f>'B1 - SOCNE SOCNI Movement'!I46</f>
        <v>0</v>
      </c>
      <c r="M1653">
        <f>'B1 - SOCNE SOCNI Movement'!J46</f>
        <v>0</v>
      </c>
      <c r="N1653">
        <f>'B1 - SOCNE SOCNI Movement'!K46</f>
        <v>0</v>
      </c>
      <c r="O1653">
        <f>'B1 - SOCNE SOCNI Movement'!L46</f>
        <v>0</v>
      </c>
      <c r="P1653">
        <f>'B1 - SOCNE SOCNI Movement'!M46</f>
        <v>0</v>
      </c>
      <c r="Q1653">
        <f>'B1 - SOCNE SOCNI Movement'!N46</f>
        <v>0</v>
      </c>
      <c r="R1653">
        <f>'B1 - SOCNE SOCNI Movement'!O46</f>
        <v>0</v>
      </c>
      <c r="S1653">
        <f>'B1 - SOCNE SOCNI Movement'!P46</f>
        <v>0</v>
      </c>
      <c r="U1653">
        <f t="shared" si="395"/>
        <v>0</v>
      </c>
    </row>
    <row r="1654" spans="1:21">
      <c r="A1654" s="2895" t="str">
        <f>ORG!$S$1</f>
        <v>Apr 23</v>
      </c>
      <c r="B1654" t="str">
        <f>ORG!$M$1</f>
        <v>Public Health Wales Trust</v>
      </c>
      <c r="C1654" t="str">
        <f>'B1 - SOCNE SOCNI Movement'!$A$3</f>
        <v>Table B1 - SOCNE / SOCNI Movement</v>
      </c>
      <c r="D1654" s="2896">
        <f>'B1 - SOCNE SOCNI Movement'!B45</f>
        <v>36</v>
      </c>
      <c r="E1654" t="str">
        <f>'B1 - SOCNE SOCNI Movement'!$C$8</f>
        <v>TABLE B: MONTHLY POSITIONS - MONTHLY MOVEMENT ANALYSIS</v>
      </c>
      <c r="F1654" t="str">
        <f>'B1 - SOCNE SOCNI Movement'!C47</f>
        <v>Total Income</v>
      </c>
      <c r="G1654">
        <f>'B1 - SOCNE SOCNI Movement'!D47</f>
        <v>0</v>
      </c>
      <c r="H1654">
        <f>'B1 - SOCNE SOCNI Movement'!E47</f>
        <v>0</v>
      </c>
      <c r="I1654">
        <f>'B1 - SOCNE SOCNI Movement'!F47</f>
        <v>0</v>
      </c>
      <c r="J1654">
        <f>'B1 - SOCNE SOCNI Movement'!G47</f>
        <v>0</v>
      </c>
      <c r="K1654">
        <f>'B1 - SOCNE SOCNI Movement'!H47</f>
        <v>0</v>
      </c>
      <c r="L1654">
        <f>'B1 - SOCNE SOCNI Movement'!I47</f>
        <v>0</v>
      </c>
      <c r="M1654">
        <f>'B1 - SOCNE SOCNI Movement'!J47</f>
        <v>0</v>
      </c>
      <c r="N1654">
        <f>'B1 - SOCNE SOCNI Movement'!K47</f>
        <v>0</v>
      </c>
      <c r="O1654">
        <f>'B1 - SOCNE SOCNI Movement'!L47</f>
        <v>0</v>
      </c>
      <c r="P1654">
        <f>'B1 - SOCNE SOCNI Movement'!M47</f>
        <v>0</v>
      </c>
      <c r="Q1654">
        <f>'B1 - SOCNE SOCNI Movement'!N47</f>
        <v>0</v>
      </c>
      <c r="R1654">
        <f>'B1 - SOCNE SOCNI Movement'!O47</f>
        <v>0</v>
      </c>
      <c r="S1654">
        <f>'B1 - SOCNE SOCNI Movement'!P47</f>
        <v>0</v>
      </c>
      <c r="U1654">
        <f t="shared" si="395"/>
        <v>0</v>
      </c>
    </row>
    <row r="1655" spans="1:21">
      <c r="A1655" s="2895" t="str">
        <f>ORG!$S$1</f>
        <v>Apr 23</v>
      </c>
      <c r="B1655" t="str">
        <f>ORG!$M$1</f>
        <v>Public Health Wales Trust</v>
      </c>
      <c r="C1655" t="str">
        <f>'B1 - SOCNE SOCNI Movement'!$A$3</f>
        <v>Table B1 - SOCNE / SOCNI Movement</v>
      </c>
      <c r="D1655" s="2896">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5" t="str">
        <f>ORG!$S$1</f>
        <v>Apr 23</v>
      </c>
      <c r="B1656" t="str">
        <f>ORG!$M$1</f>
        <v>Public Health Wales Trust</v>
      </c>
      <c r="C1656" t="str">
        <f>'B1 - SOCNE SOCNI Movement'!$A$3</f>
        <v>Table B1 - SOCNE / SOCNI Movement</v>
      </c>
      <c r="D1656" s="2896">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5" t="str">
        <f>ORG!$S$1</f>
        <v>Apr 23</v>
      </c>
      <c r="B1657" t="str">
        <f>ORG!$M$1</f>
        <v>Public Health Wales Trust</v>
      </c>
      <c r="C1657" t="str">
        <f>'B1 - SOCNE SOCNI Movement'!$A$3</f>
        <v>Table B1 - SOCNE / SOCNI Movement</v>
      </c>
      <c r="D1657" s="2896">
        <f>'B1 - SOCNE SOCNI Movement'!B48</f>
        <v>39</v>
      </c>
      <c r="E1657" t="str">
        <f>'B1 - SOCNE SOCNI Movement'!$C$8</f>
        <v>TABLE B: MONTHLY POSITIONS - MONTHLY MOVEMENT ANALYSIS</v>
      </c>
      <c r="F1657" t="str">
        <f>'B1 - SOCNE SOCNI Movement'!C50</f>
        <v>Provided Services - Pay</v>
      </c>
      <c r="G1657">
        <f>'B1 - SOCNE SOCNI Movement'!D50</f>
        <v>0</v>
      </c>
      <c r="H1657">
        <f>'B1 - SOCNE SOCNI Movement'!E50</f>
        <v>0</v>
      </c>
      <c r="I1657">
        <f>'B1 - SOCNE SOCNI Movement'!F50</f>
        <v>0</v>
      </c>
      <c r="J1657">
        <f>'B1 - SOCNE SOCNI Movement'!G50</f>
        <v>0</v>
      </c>
      <c r="K1657">
        <f>'B1 - SOCNE SOCNI Movement'!H50</f>
        <v>0</v>
      </c>
      <c r="L1657">
        <f>'B1 - SOCNE SOCNI Movement'!I50</f>
        <v>0</v>
      </c>
      <c r="M1657">
        <f>'B1 - SOCNE SOCNI Movement'!J50</f>
        <v>0</v>
      </c>
      <c r="N1657">
        <f>'B1 - SOCNE SOCNI Movement'!K50</f>
        <v>0</v>
      </c>
      <c r="O1657">
        <f>'B1 - SOCNE SOCNI Movement'!L50</f>
        <v>0</v>
      </c>
      <c r="P1657">
        <f>'B1 - SOCNE SOCNI Movement'!M50</f>
        <v>0</v>
      </c>
      <c r="Q1657">
        <f>'B1 - SOCNE SOCNI Movement'!N50</f>
        <v>0</v>
      </c>
      <c r="R1657">
        <f>'B1 - SOCNE SOCNI Movement'!O50</f>
        <v>0</v>
      </c>
      <c r="S1657">
        <f>'B1 - SOCNE SOCNI Movement'!P50</f>
        <v>0</v>
      </c>
      <c r="U1657">
        <f t="shared" si="395"/>
        <v>0</v>
      </c>
    </row>
    <row r="1658" spans="1:21">
      <c r="A1658" s="2895" t="str">
        <f>ORG!$S$1</f>
        <v>Apr 23</v>
      </c>
      <c r="B1658" t="str">
        <f>ORG!$M$1</f>
        <v>Public Health Wales Trust</v>
      </c>
      <c r="C1658" t="str">
        <f>'B1 - SOCNE SOCNI Movement'!$A$3</f>
        <v>Table B1 - SOCNE / SOCNI Movement</v>
      </c>
      <c r="D1658" s="2896">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0</v>
      </c>
      <c r="H1658">
        <f>'B1 - SOCNE SOCNI Movement'!E51</f>
        <v>0</v>
      </c>
      <c r="I1658">
        <f>'B1 - SOCNE SOCNI Movement'!F51</f>
        <v>0</v>
      </c>
      <c r="J1658">
        <f>'B1 - SOCNE SOCNI Movement'!G51</f>
        <v>0</v>
      </c>
      <c r="K1658">
        <f>'B1 - SOCNE SOCNI Movement'!H51</f>
        <v>0</v>
      </c>
      <c r="L1658">
        <f>'B1 - SOCNE SOCNI Movement'!I51</f>
        <v>0</v>
      </c>
      <c r="M1658">
        <f>'B1 - SOCNE SOCNI Movement'!J51</f>
        <v>0</v>
      </c>
      <c r="N1658">
        <f>'B1 - SOCNE SOCNI Movement'!K51</f>
        <v>0</v>
      </c>
      <c r="O1658">
        <f>'B1 - SOCNE SOCNI Movement'!L51</f>
        <v>0</v>
      </c>
      <c r="P1658">
        <f>'B1 - SOCNE SOCNI Movement'!M51</f>
        <v>0</v>
      </c>
      <c r="Q1658">
        <f>'B1 - SOCNE SOCNI Movement'!N51</f>
        <v>0</v>
      </c>
      <c r="R1658">
        <f>'B1 - SOCNE SOCNI Movement'!O51</f>
        <v>0</v>
      </c>
      <c r="S1658">
        <f>'B1 - SOCNE SOCNI Movement'!P51</f>
        <v>0</v>
      </c>
      <c r="U1658">
        <f t="shared" si="395"/>
        <v>0</v>
      </c>
    </row>
    <row r="1659" spans="1:21">
      <c r="A1659" s="2895" t="str">
        <f>ORG!$S$1</f>
        <v>Apr 23</v>
      </c>
      <c r="B1659" t="str">
        <f>ORG!$M$1</f>
        <v>Public Health Wales Trust</v>
      </c>
      <c r="C1659" t="str">
        <f>'B1 - SOCNE SOCNI Movement'!$A$3</f>
        <v>Table B1 - SOCNE / SOCNI Movement</v>
      </c>
      <c r="D1659" s="2896">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5" t="str">
        <f>ORG!$S$1</f>
        <v>Apr 23</v>
      </c>
      <c r="B1660" t="str">
        <f>ORG!$M$1</f>
        <v>Public Health Wales Trust</v>
      </c>
      <c r="C1660" t="str">
        <f>'B1 - SOCNE SOCNI Movement'!$A$3</f>
        <v>Table B1 - SOCNE / SOCNI Movement</v>
      </c>
      <c r="D1660" s="2896">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5" t="str">
        <f>ORG!$S$1</f>
        <v>Apr 23</v>
      </c>
      <c r="B1661" t="str">
        <f>ORG!$M$1</f>
        <v>Public Health Wales Trust</v>
      </c>
      <c r="C1661" t="str">
        <f>'B1 - SOCNE SOCNI Movement'!$A$3</f>
        <v>Table B1 - SOCNE / SOCNI Movement</v>
      </c>
      <c r="D1661" s="2896">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5" t="str">
        <f>ORG!$S$1</f>
        <v>Apr 23</v>
      </c>
      <c r="B1662" t="str">
        <f>ORG!$M$1</f>
        <v>Public Health Wales Trust</v>
      </c>
      <c r="C1662" t="str">
        <f>'B1 - SOCNE SOCNI Movement'!$A$3</f>
        <v>Table B1 - SOCNE / SOCNI Movement</v>
      </c>
      <c r="D1662" s="2896">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5" t="str">
        <f>ORG!$S$1</f>
        <v>Apr 23</v>
      </c>
      <c r="B1663" t="str">
        <f>ORG!$M$1</f>
        <v>Public Health Wales Trust</v>
      </c>
      <c r="C1663" t="str">
        <f>'B1 - SOCNE SOCNI Movement'!$A$3</f>
        <v>Table B1 - SOCNE / SOCNI Movement</v>
      </c>
      <c r="D1663" s="2896">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5" t="str">
        <f>ORG!$S$1</f>
        <v>Apr 23</v>
      </c>
      <c r="B1664" t="str">
        <f>ORG!$M$1</f>
        <v>Public Health Wales Trust</v>
      </c>
      <c r="C1664" t="str">
        <f>'B1 - SOCNE SOCNI Movement'!$A$3</f>
        <v>Table B1 - SOCNE / SOCNI Movement</v>
      </c>
      <c r="D1664" s="2896">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5" t="str">
        <f>ORG!$S$1</f>
        <v>Apr 23</v>
      </c>
      <c r="B1665" t="str">
        <f>ORG!$M$1</f>
        <v>Public Health Wales Trust</v>
      </c>
      <c r="C1665" t="str">
        <f>'B1 - SOCNE SOCNI Movement'!$A$3</f>
        <v>Table B1 - SOCNE / SOCNI Movement</v>
      </c>
      <c r="D1665" s="2896">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5" t="str">
        <f>ORG!$S$1</f>
        <v>Apr 23</v>
      </c>
      <c r="B1666" t="str">
        <f>ORG!$M$1</f>
        <v>Public Health Wales Trust</v>
      </c>
      <c r="C1666" t="str">
        <f>'B1 - SOCNE SOCNI Movement'!$A$3</f>
        <v>Table B1 - SOCNE / SOCNI Movement</v>
      </c>
      <c r="D1666" s="2896">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5" t="str">
        <f>ORG!$S$1</f>
        <v>Apr 23</v>
      </c>
      <c r="B1667" t="str">
        <f>ORG!$M$1</f>
        <v>Public Health Wales Trust</v>
      </c>
      <c r="C1667" t="str">
        <f>'B1 - SOCNE SOCNI Movement'!$A$3</f>
        <v>Table B1 - SOCNE / SOCNI Movement</v>
      </c>
      <c r="D1667" s="2896">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5" t="str">
        <f>ORG!$S$1</f>
        <v>Apr 23</v>
      </c>
      <c r="B1668" t="str">
        <f>ORG!$M$1</f>
        <v>Public Health Wales Trust</v>
      </c>
      <c r="C1668" t="str">
        <f>'B1 - SOCNE SOCNI Movement'!$A$3</f>
        <v>Table B1 - SOCNE / SOCNI Movement</v>
      </c>
      <c r="D1668" s="2896">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5" t="str">
        <f>ORG!$S$1</f>
        <v>Apr 23</v>
      </c>
      <c r="B1669" t="str">
        <f>ORG!$M$1</f>
        <v>Public Health Wales Trust</v>
      </c>
      <c r="C1669" t="str">
        <f>'B1 - SOCNE SOCNI Movement'!$A$3</f>
        <v>Table B1 - SOCNE / SOCNI Movement</v>
      </c>
      <c r="D1669" s="2896">
        <f>'B1 - SOCNE SOCNI Movement'!B60</f>
        <v>51</v>
      </c>
      <c r="E1669" t="str">
        <f>'B1 - SOCNE SOCNI Movement'!$C$8</f>
        <v>TABLE B: MONTHLY POSITIONS - MONTHLY MOVEMENT ANALYSIS</v>
      </c>
      <c r="F1669" t="str">
        <f>'B1 - SOCNE SOCNI Movement'!C62</f>
        <v>DEL Depreciation\Accelerated Depreciation\Impairments</v>
      </c>
      <c r="G1669">
        <f>'B1 - SOCNE SOCNI Movement'!D62</f>
        <v>0</v>
      </c>
      <c r="H1669">
        <f>'B1 - SOCNE SOCNI Movement'!E62</f>
        <v>0</v>
      </c>
      <c r="I1669">
        <f>'B1 - SOCNE SOCNI Movement'!F62</f>
        <v>0</v>
      </c>
      <c r="J1669">
        <f>'B1 - SOCNE SOCNI Movement'!G62</f>
        <v>0</v>
      </c>
      <c r="K1669">
        <f>'B1 - SOCNE SOCNI Movement'!H62</f>
        <v>0</v>
      </c>
      <c r="L1669">
        <f>'B1 - SOCNE SOCNI Movement'!I62</f>
        <v>0</v>
      </c>
      <c r="M1669">
        <f>'B1 - SOCNE SOCNI Movement'!J62</f>
        <v>0</v>
      </c>
      <c r="N1669">
        <f>'B1 - SOCNE SOCNI Movement'!K62</f>
        <v>0</v>
      </c>
      <c r="O1669">
        <f>'B1 - SOCNE SOCNI Movement'!L62</f>
        <v>0</v>
      </c>
      <c r="P1669">
        <f>'B1 - SOCNE SOCNI Movement'!M62</f>
        <v>0</v>
      </c>
      <c r="Q1669">
        <f>'B1 - SOCNE SOCNI Movement'!N62</f>
        <v>0</v>
      </c>
      <c r="R1669">
        <f>'B1 - SOCNE SOCNI Movement'!O62</f>
        <v>0</v>
      </c>
      <c r="S1669">
        <f>'B1 - SOCNE SOCNI Movement'!P62</f>
        <v>0</v>
      </c>
      <c r="U1669">
        <f t="shared" si="395"/>
        <v>0</v>
      </c>
    </row>
    <row r="1670" spans="1:21">
      <c r="A1670" s="2895" t="str">
        <f>ORG!$S$1</f>
        <v>Apr 23</v>
      </c>
      <c r="B1670" t="str">
        <f>ORG!$M$1</f>
        <v>Public Health Wales Trust</v>
      </c>
      <c r="C1670" t="str">
        <f>'B1 - SOCNE SOCNI Movement'!$A$3</f>
        <v>Table B1 - SOCNE / SOCNI Movement</v>
      </c>
      <c r="D1670" s="2896">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0</v>
      </c>
      <c r="I1670">
        <f>'B1 - SOCNE SOCNI Movement'!F63</f>
        <v>0</v>
      </c>
      <c r="J1670">
        <f>'B1 - SOCNE SOCNI Movement'!G63</f>
        <v>0</v>
      </c>
      <c r="K1670">
        <f>'B1 - SOCNE SOCNI Movement'!H63</f>
        <v>0</v>
      </c>
      <c r="L1670">
        <f>'B1 - SOCNE SOCNI Movement'!I63</f>
        <v>0</v>
      </c>
      <c r="M1670">
        <f>'B1 - SOCNE SOCNI Movement'!J63</f>
        <v>0</v>
      </c>
      <c r="N1670">
        <f>'B1 - SOCNE SOCNI Movement'!K63</f>
        <v>0</v>
      </c>
      <c r="O1670">
        <f>'B1 - SOCNE SOCNI Movement'!L63</f>
        <v>0</v>
      </c>
      <c r="P1670">
        <f>'B1 - SOCNE SOCNI Movement'!M63</f>
        <v>0</v>
      </c>
      <c r="Q1670">
        <f>'B1 - SOCNE SOCNI Movement'!N63</f>
        <v>0</v>
      </c>
      <c r="R1670">
        <f>'B1 - SOCNE SOCNI Movement'!O63</f>
        <v>0</v>
      </c>
      <c r="S1670">
        <f>'B1 - SOCNE SOCNI Movement'!P63</f>
        <v>0</v>
      </c>
      <c r="U1670">
        <f t="shared" si="395"/>
        <v>0</v>
      </c>
    </row>
    <row r="1671" spans="1:21">
      <c r="A1671" s="2895" t="str">
        <f>ORG!$S$1</f>
        <v>Apr 23</v>
      </c>
      <c r="B1671" t="str">
        <f>ORG!$M$1</f>
        <v>Public Health Wales Trust</v>
      </c>
      <c r="C1671" t="str">
        <f>'B1 - SOCNE SOCNI Movement'!$A$3</f>
        <v>Table B1 - SOCNE / SOCNI Movement</v>
      </c>
      <c r="D1671" s="2896">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5" t="str">
        <f>ORG!$S$1</f>
        <v>Apr 23</v>
      </c>
      <c r="B1672" t="str">
        <f>ORG!$M$1</f>
        <v>Public Health Wales Trust</v>
      </c>
      <c r="C1672" t="str">
        <f>'B1 - SOCNE SOCNI Movement'!$A$3</f>
        <v>Table B1 - SOCNE / SOCNI Movement</v>
      </c>
      <c r="D1672" s="2896">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5" t="str">
        <f>ORG!$S$1</f>
        <v>Apr 23</v>
      </c>
      <c r="B1673" t="str">
        <f>ORG!$M$1</f>
        <v>Public Health Wales Trust</v>
      </c>
      <c r="C1673" t="str">
        <f>'B1 - SOCNE SOCNI Movement'!$A$3</f>
        <v>Table B1 - SOCNE / SOCNI Movement</v>
      </c>
      <c r="D1673" s="2896">
        <f>'B1 - SOCNE SOCNI Movement'!B64</f>
        <v>55</v>
      </c>
      <c r="E1673" t="str">
        <f>'B1 - SOCNE SOCNI Movement'!$C$8</f>
        <v>TABLE B: MONTHLY POSITIONS - MONTHLY MOVEMENT ANALYSIS</v>
      </c>
      <c r="F1673" t="str">
        <f>'B1 - SOCNE SOCNI Movement'!C66</f>
        <v>Total Expenditure</v>
      </c>
      <c r="G1673">
        <f>'B1 - SOCNE SOCNI Movement'!D66</f>
        <v>0</v>
      </c>
      <c r="H1673">
        <f>'B1 - SOCNE SOCNI Movement'!E66</f>
        <v>0</v>
      </c>
      <c r="I1673">
        <f>'B1 - SOCNE SOCNI Movement'!F66</f>
        <v>0</v>
      </c>
      <c r="J1673">
        <f>'B1 - SOCNE SOCNI Movement'!G66</f>
        <v>0</v>
      </c>
      <c r="K1673">
        <f>'B1 - SOCNE SOCNI Movement'!H66</f>
        <v>0</v>
      </c>
      <c r="L1673">
        <f>'B1 - SOCNE SOCNI Movement'!I66</f>
        <v>0</v>
      </c>
      <c r="M1673">
        <f>'B1 - SOCNE SOCNI Movement'!J66</f>
        <v>0</v>
      </c>
      <c r="N1673">
        <f>'B1 - SOCNE SOCNI Movement'!K66</f>
        <v>0</v>
      </c>
      <c r="O1673">
        <f>'B1 - SOCNE SOCNI Movement'!L66</f>
        <v>0</v>
      </c>
      <c r="P1673">
        <f>'B1 - SOCNE SOCNI Movement'!M66</f>
        <v>0</v>
      </c>
      <c r="Q1673">
        <f>'B1 - SOCNE SOCNI Movement'!N66</f>
        <v>0</v>
      </c>
      <c r="R1673">
        <f>'B1 - SOCNE SOCNI Movement'!O66</f>
        <v>0</v>
      </c>
      <c r="S1673">
        <f>'B1 - SOCNE SOCNI Movement'!P66</f>
        <v>0</v>
      </c>
      <c r="U1673">
        <f t="shared" si="397"/>
        <v>0</v>
      </c>
    </row>
    <row r="1674" spans="1:21">
      <c r="A1674" s="2895" t="str">
        <f>ORG!$S$1</f>
        <v>Apr 23</v>
      </c>
      <c r="B1674" t="str">
        <f>ORG!$M$1</f>
        <v>Public Health Wales Trust</v>
      </c>
      <c r="C1674" t="str">
        <f>'B1 - SOCNE SOCNI Movement'!$A$3</f>
        <v>Table B1 - SOCNE / SOCNI Movement</v>
      </c>
      <c r="D1674" s="2896">
        <f>'B1 - SOCNE SOCNI Movement'!B65</f>
        <v>56</v>
      </c>
      <c r="E1674" t="str">
        <f>'B1 - SOCNE SOCNI Movement'!$C$8</f>
        <v>TABLE B: MONTHLY POSITIONS - MONTHLY MOVEMENT ANALYSIS</v>
      </c>
      <c r="F1674" t="str">
        <f>'B1 - SOCNE SOCNI Movement'!C67</f>
        <v>Forecast Outturn</v>
      </c>
      <c r="G1674">
        <f>'B1 - SOCNE SOCNI Movement'!D67</f>
        <v>0</v>
      </c>
      <c r="H1674">
        <f>'B1 - SOCNE SOCNI Movement'!E67</f>
        <v>0</v>
      </c>
      <c r="I1674">
        <f>'B1 - SOCNE SOCNI Movement'!F67</f>
        <v>0</v>
      </c>
      <c r="J1674">
        <f>'B1 - SOCNE SOCNI Movement'!G67</f>
        <v>0</v>
      </c>
      <c r="K1674">
        <f>'B1 - SOCNE SOCNI Movement'!H67</f>
        <v>0</v>
      </c>
      <c r="L1674">
        <f>'B1 - SOCNE SOCNI Movement'!I67</f>
        <v>0</v>
      </c>
      <c r="M1674">
        <f>'B1 - SOCNE SOCNI Movement'!J67</f>
        <v>0</v>
      </c>
      <c r="N1674">
        <f>'B1 - SOCNE SOCNI Movement'!K67</f>
        <v>0</v>
      </c>
      <c r="O1674">
        <f>'B1 - SOCNE SOCNI Movement'!L67</f>
        <v>0</v>
      </c>
      <c r="P1674">
        <f>'B1 - SOCNE SOCNI Movement'!M67</f>
        <v>0</v>
      </c>
      <c r="Q1674">
        <f>'B1 - SOCNE SOCNI Movement'!N67</f>
        <v>0</v>
      </c>
      <c r="R1674">
        <f>'B1 - SOCNE SOCNI Movement'!O67</f>
        <v>0</v>
      </c>
      <c r="S1674">
        <f>'B1 - SOCNE SOCNI Movement'!P67</f>
        <v>0</v>
      </c>
      <c r="U1674">
        <f t="shared" si="397"/>
        <v>0</v>
      </c>
    </row>
    <row r="1675" spans="1:21">
      <c r="A1675" s="2895" t="str">
        <f>ORG!$S$1</f>
        <v>Apr 23</v>
      </c>
      <c r="B1675" t="str">
        <f>ORG!$M$1</f>
        <v>Public Health Wales Trust</v>
      </c>
      <c r="C1675" t="str">
        <f>'B1 - SOCNE SOCNI Movement'!$A$3</f>
        <v>Table B1 - SOCNE / SOCNI Movement</v>
      </c>
      <c r="D1675" s="2896">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5" t="str">
        <f>ORG!$S$1</f>
        <v>Apr 23</v>
      </c>
      <c r="B1676" t="str">
        <f>ORG!$M$1</f>
        <v>Public Health Wales Trust</v>
      </c>
      <c r="C1676" t="str">
        <f>'B1 - SOCNE SOCNI Movement'!$A$3</f>
        <v>Table B1 - SOCNE / SOCNI Movement</v>
      </c>
      <c r="D1676" s="2896">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5" t="str">
        <f>ORG!$S$1</f>
        <v>Apr 23</v>
      </c>
      <c r="B1677" t="str">
        <f>ORG!$M$1</f>
        <v>Public Health Wales Trust</v>
      </c>
      <c r="C1677" t="str">
        <f>'B1 - SOCNE SOCNI Movement'!$A$3</f>
        <v>Table B1 - SOCNE / SOCNI Movement</v>
      </c>
      <c r="D1677" s="2896">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5" t="str">
        <f>ORG!$S$1</f>
        <v>Apr 23</v>
      </c>
      <c r="B1678" t="str">
        <f>ORG!$M$1</f>
        <v>Public Health Wales Trust</v>
      </c>
      <c r="C1678" t="str">
        <f>'B1 - SOCNE SOCNI Movement'!$A$3</f>
        <v>Table B1 - SOCNE / SOCNI Movement</v>
      </c>
      <c r="D1678" s="2896">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5" t="str">
        <f>ORG!$S$1</f>
        <v>Apr 23</v>
      </c>
      <c r="B1679" t="str">
        <f>ORG!$M$1</f>
        <v>Public Health Wales Trust</v>
      </c>
      <c r="C1679" t="str">
        <f>'B1 - SOCNE SOCNI Movement'!$A$3</f>
        <v>Table B1 - SOCNE / SOCNI Movement</v>
      </c>
      <c r="D1679" s="2896">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1887</v>
      </c>
      <c r="I1679">
        <f>'B1 - SOCNE SOCNI Movement'!F76</f>
        <v>1887</v>
      </c>
      <c r="J1679">
        <f>'B1 - SOCNE SOCNI Movement'!G76</f>
        <v>1887</v>
      </c>
      <c r="K1679">
        <f>'B1 - SOCNE SOCNI Movement'!H76</f>
        <v>1887</v>
      </c>
      <c r="L1679">
        <f>'B1 - SOCNE SOCNI Movement'!I76</f>
        <v>1887</v>
      </c>
      <c r="M1679">
        <f>'B1 - SOCNE SOCNI Movement'!J76</f>
        <v>1887</v>
      </c>
      <c r="N1679">
        <f>'B1 - SOCNE SOCNI Movement'!K76</f>
        <v>1887</v>
      </c>
      <c r="O1679">
        <f>'B1 - SOCNE SOCNI Movement'!L76</f>
        <v>1887</v>
      </c>
      <c r="P1679">
        <f>'B1 - SOCNE SOCNI Movement'!M76</f>
        <v>1887</v>
      </c>
      <c r="Q1679">
        <f>'B1 - SOCNE SOCNI Movement'!N76</f>
        <v>1887</v>
      </c>
      <c r="R1679">
        <f>'B1 - SOCNE SOCNI Movement'!O76</f>
        <v>1888</v>
      </c>
      <c r="S1679">
        <f>'B1 - SOCNE SOCNI Movement'!P76</f>
        <v>22680</v>
      </c>
      <c r="U1679">
        <f t="shared" si="397"/>
        <v>22680</v>
      </c>
    </row>
    <row r="1680" spans="1:21">
      <c r="A1680" s="2895" t="str">
        <f>ORG!$S$1</f>
        <v>Apr 23</v>
      </c>
      <c r="B1680" t="str">
        <f>ORG!$M$1</f>
        <v>Public Health Wales Trust</v>
      </c>
      <c r="C1680" t="str">
        <f>'B1 - SOCNE SOCNI Movement'!$A$3</f>
        <v>Table B1 - SOCNE / SOCNI Movement</v>
      </c>
      <c r="D1680" s="2896">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0</v>
      </c>
      <c r="I1680">
        <f>'B1 - SOCNE SOCNI Movement'!F77</f>
        <v>0</v>
      </c>
      <c r="J1680">
        <f>'B1 - SOCNE SOCNI Movement'!G77</f>
        <v>0</v>
      </c>
      <c r="K1680">
        <f>'B1 - SOCNE SOCNI Movement'!H77</f>
        <v>0</v>
      </c>
      <c r="L1680">
        <f>'B1 - SOCNE SOCNI Movement'!I77</f>
        <v>0</v>
      </c>
      <c r="M1680">
        <f>'B1 - SOCNE SOCNI Movement'!J77</f>
        <v>0</v>
      </c>
      <c r="N1680">
        <f>'B1 - SOCNE SOCNI Movement'!K77</f>
        <v>0</v>
      </c>
      <c r="O1680">
        <f>'B1 - SOCNE SOCNI Movement'!L77</f>
        <v>0</v>
      </c>
      <c r="P1680">
        <f>'B1 - SOCNE SOCNI Movement'!M77</f>
        <v>0</v>
      </c>
      <c r="Q1680">
        <f>'B1 - SOCNE SOCNI Movement'!N77</f>
        <v>0</v>
      </c>
      <c r="R1680">
        <f>'B1 - SOCNE SOCNI Movement'!O77</f>
        <v>0</v>
      </c>
      <c r="S1680">
        <f>'B1 - SOCNE SOCNI Movement'!P77</f>
        <v>16</v>
      </c>
      <c r="U1680">
        <f t="shared" si="397"/>
        <v>16</v>
      </c>
    </row>
    <row r="1681" spans="1:21">
      <c r="A1681" s="2895" t="str">
        <f>ORG!$S$1</f>
        <v>Apr 23</v>
      </c>
      <c r="B1681" t="str">
        <f>ORG!$M$1</f>
        <v>Public Health Wales Trust</v>
      </c>
      <c r="C1681" t="str">
        <f>'B1 - SOCNE SOCNI Movement'!$A$3</f>
        <v>Table B1 - SOCNE / SOCNI Movement</v>
      </c>
      <c r="D1681" s="2896">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15815.933909250894</v>
      </c>
      <c r="I1681">
        <f>'B1 - SOCNE SOCNI Movement'!F78</f>
        <v>16204.246342926086</v>
      </c>
      <c r="J1681">
        <f>'B1 - SOCNE SOCNI Movement'!G78</f>
        <v>15856.744234250895</v>
      </c>
      <c r="K1681">
        <f>'B1 - SOCNE SOCNI Movement'!H78</f>
        <v>15826.244234250895</v>
      </c>
      <c r="L1681">
        <f>'B1 - SOCNE SOCNI Movement'!I78</f>
        <v>16365.78735125942</v>
      </c>
      <c r="M1681">
        <f>'B1 - SOCNE SOCNI Movement'!J78</f>
        <v>16125.747946985817</v>
      </c>
      <c r="N1681">
        <f>'B1 - SOCNE SOCNI Movement'!K78</f>
        <v>16041.968375841603</v>
      </c>
      <c r="O1681">
        <f>'B1 - SOCNE SOCNI Movement'!L78</f>
        <v>16553.305338652484</v>
      </c>
      <c r="P1681">
        <f>'B1 - SOCNE SOCNI Movement'!M78</f>
        <v>16074.747946985817</v>
      </c>
      <c r="Q1681">
        <f>'B1 - SOCNE SOCNI Movement'!N78</f>
        <v>16042.722954697387</v>
      </c>
      <c r="R1681">
        <f>'B1 - SOCNE SOCNI Movement'!O78</f>
        <v>17098.564175874708</v>
      </c>
      <c r="S1681">
        <f>'B1 - SOCNE SOCNI Movement'!P78</f>
        <v>193784.01281097601</v>
      </c>
      <c r="U1681">
        <f t="shared" si="397"/>
        <v>193784.01281097601</v>
      </c>
    </row>
    <row r="1682" spans="1:21">
      <c r="A1682" s="2895" t="str">
        <f>ORG!$S$1</f>
        <v>Apr 23</v>
      </c>
      <c r="B1682" t="str">
        <f>ORG!$M$1</f>
        <v>Public Health Wales Trust</v>
      </c>
      <c r="C1682" t="str">
        <f>'B1 - SOCNE SOCNI Movement'!$A$3</f>
        <v>Table B1 - SOCNE / SOCNI Movement</v>
      </c>
      <c r="D1682" s="2896">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309</v>
      </c>
      <c r="I1682">
        <f>'B1 - SOCNE SOCNI Movement'!F79</f>
        <v>309</v>
      </c>
      <c r="J1682">
        <f>'B1 - SOCNE SOCNI Movement'!G79</f>
        <v>309</v>
      </c>
      <c r="K1682">
        <f>'B1 - SOCNE SOCNI Movement'!H79</f>
        <v>301</v>
      </c>
      <c r="L1682">
        <f>'B1 - SOCNE SOCNI Movement'!I79</f>
        <v>301</v>
      </c>
      <c r="M1682">
        <f>'B1 - SOCNE SOCNI Movement'!J79</f>
        <v>301</v>
      </c>
      <c r="N1682">
        <f>'B1 - SOCNE SOCNI Movement'!K79</f>
        <v>301</v>
      </c>
      <c r="O1682">
        <f>'B1 - SOCNE SOCNI Movement'!L79</f>
        <v>301</v>
      </c>
      <c r="P1682">
        <f>'B1 - SOCNE SOCNI Movement'!M79</f>
        <v>301</v>
      </c>
      <c r="Q1682">
        <f>'B1 - SOCNE SOCNI Movement'!N79</f>
        <v>301</v>
      </c>
      <c r="R1682">
        <f>'B1 - SOCNE SOCNI Movement'!O79</f>
        <v>302</v>
      </c>
      <c r="S1682">
        <f>'B1 - SOCNE SOCNI Movement'!P79</f>
        <v>3817</v>
      </c>
      <c r="U1682">
        <f t="shared" si="397"/>
        <v>3817</v>
      </c>
    </row>
    <row r="1683" spans="1:21">
      <c r="A1683" s="2895" t="str">
        <f>ORG!$S$1</f>
        <v>Apr 23</v>
      </c>
      <c r="B1683" t="str">
        <f>ORG!$M$1</f>
        <v>Public Health Wales Trust</v>
      </c>
      <c r="C1683" t="str">
        <f>'B1 - SOCNE SOCNI Movement'!$A$3</f>
        <v>Table B1 - SOCNE / SOCNI Movement</v>
      </c>
      <c r="D1683" s="2896">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18011.933909250896</v>
      </c>
      <c r="I1683">
        <f>'B1 - SOCNE SOCNI Movement'!F80</f>
        <v>18400.246342926086</v>
      </c>
      <c r="J1683">
        <f>'B1 - SOCNE SOCNI Movement'!G80</f>
        <v>18052.744234250895</v>
      </c>
      <c r="K1683">
        <f>'B1 - SOCNE SOCNI Movement'!H80</f>
        <v>18014.244234250895</v>
      </c>
      <c r="L1683">
        <f>'B1 - SOCNE SOCNI Movement'!I80</f>
        <v>18553.78735125942</v>
      </c>
      <c r="M1683">
        <f>'B1 - SOCNE SOCNI Movement'!J80</f>
        <v>18313.747946985815</v>
      </c>
      <c r="N1683">
        <f>'B1 - SOCNE SOCNI Movement'!K80</f>
        <v>18229.968375841603</v>
      </c>
      <c r="O1683">
        <f>'B1 - SOCNE SOCNI Movement'!L80</f>
        <v>18741.305338652484</v>
      </c>
      <c r="P1683">
        <f>'B1 - SOCNE SOCNI Movement'!M80</f>
        <v>18262.747946985815</v>
      </c>
      <c r="Q1683">
        <f>'B1 - SOCNE SOCNI Movement'!N80</f>
        <v>18230.722954697387</v>
      </c>
      <c r="R1683">
        <f>'B1 - SOCNE SOCNI Movement'!O80</f>
        <v>19288.564175874708</v>
      </c>
      <c r="S1683">
        <f>'B1 - SOCNE SOCNI Movement'!P80</f>
        <v>220297.01281097601</v>
      </c>
      <c r="U1683">
        <f t="shared" si="397"/>
        <v>220297.01281097601</v>
      </c>
    </row>
    <row r="1684" spans="1:21">
      <c r="A1684" s="2895" t="str">
        <f>ORG!$S$1</f>
        <v>Apr 23</v>
      </c>
      <c r="B1684" t="str">
        <f>ORG!$M$1</f>
        <v>Public Health Wales Trust</v>
      </c>
      <c r="C1684" t="str">
        <f>'B1 - SOCNE SOCNI Movement'!$A$3</f>
        <v>Table B1 - SOCNE / SOCNI Movement</v>
      </c>
      <c r="D1684" s="2896">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5" t="str">
        <f>ORG!$S$1</f>
        <v>Apr 23</v>
      </c>
      <c r="B1685" t="str">
        <f>ORG!$M$1</f>
        <v>Public Health Wales Trust</v>
      </c>
      <c r="C1685" t="str">
        <f>'B1 - SOCNE SOCNI Movement'!$A$3</f>
        <v>Table B1 - SOCNE / SOCNI Movement</v>
      </c>
      <c r="D1685" s="2896">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5" t="str">
        <f>ORG!$S$1</f>
        <v>Apr 23</v>
      </c>
      <c r="B1686" t="str">
        <f>ORG!$M$1</f>
        <v>Public Health Wales Trust</v>
      </c>
      <c r="C1686" t="str">
        <f>'B1 - SOCNE SOCNI Movement'!$A$3</f>
        <v>Table B1 - SOCNE / SOCNI Movement</v>
      </c>
      <c r="D1686" s="2896">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9831.948833333332</v>
      </c>
      <c r="I1686">
        <f>'B1 - SOCNE SOCNI Movement'!F83</f>
        <v>9872.6593499999999</v>
      </c>
      <c r="J1686">
        <f>'B1 - SOCNE SOCNI Movement'!G83</f>
        <v>9902.2591583333324</v>
      </c>
      <c r="K1686">
        <f>'B1 - SOCNE SOCNI Movement'!H83</f>
        <v>9895.2591583333324</v>
      </c>
      <c r="L1686">
        <f>'B1 - SOCNE SOCNI Movement'!I83</f>
        <v>9904.7003583333335</v>
      </c>
      <c r="M1686">
        <f>'B1 - SOCNE SOCNI Movement'!J83</f>
        <v>9899.5761133333326</v>
      </c>
      <c r="N1686">
        <f>'B1 - SOCNE SOCNI Movement'!K83</f>
        <v>9899.5761133333326</v>
      </c>
      <c r="O1686">
        <f>'B1 - SOCNE SOCNI Movement'!L83</f>
        <v>9888.6128800000006</v>
      </c>
      <c r="P1686">
        <f>'B1 - SOCNE SOCNI Movement'!M83</f>
        <v>9886.5761133333326</v>
      </c>
      <c r="Q1686">
        <f>'B1 - SOCNE SOCNI Movement'!N83</f>
        <v>9867.2591583333324</v>
      </c>
      <c r="R1686">
        <f>'B1 - SOCNE SOCNI Movement'!O83</f>
        <v>9878.2622222222217</v>
      </c>
      <c r="S1686">
        <f>'B1 - SOCNE SOCNI Movement'!P83</f>
        <v>118877.68945888888</v>
      </c>
      <c r="U1686">
        <f t="shared" si="397"/>
        <v>118877.68945888888</v>
      </c>
    </row>
    <row r="1687" spans="1:21">
      <c r="A1687" s="2895" t="str">
        <f>ORG!$S$1</f>
        <v>Apr 23</v>
      </c>
      <c r="B1687" t="str">
        <f>ORG!$M$1</f>
        <v>Public Health Wales Trust</v>
      </c>
      <c r="C1687" t="str">
        <f>'B1 - SOCNE SOCNI Movement'!$A$3</f>
        <v>Table B1 - SOCNE / SOCNI Movement</v>
      </c>
      <c r="D1687" s="2896">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7896.1640759175616</v>
      </c>
      <c r="I1687">
        <f>'B1 - SOCNE SOCNI Movement'!F84</f>
        <v>8243.7659929260863</v>
      </c>
      <c r="J1687">
        <f>'B1 - SOCNE SOCNI Movement'!G84</f>
        <v>7866.6640759175616</v>
      </c>
      <c r="K1687">
        <f>'B1 - SOCNE SOCNI Movement'!H84</f>
        <v>7835.1640759175616</v>
      </c>
      <c r="L1687">
        <f>'B1 - SOCNE SOCNI Movement'!I84</f>
        <v>8365.2659929260863</v>
      </c>
      <c r="M1687">
        <f>'B1 - SOCNE SOCNI Movement'!J84</f>
        <v>8130.3508336524837</v>
      </c>
      <c r="N1687">
        <f>'B1 - SOCNE SOCNI Movement'!K84</f>
        <v>8046.5712625082688</v>
      </c>
      <c r="O1687">
        <f>'B1 - SOCNE SOCNI Movement'!L84</f>
        <v>8568.8714586524839</v>
      </c>
      <c r="P1687">
        <f>'B1 - SOCNE SOCNI Movement'!M84</f>
        <v>8092.3508336524837</v>
      </c>
      <c r="Q1687">
        <f>'B1 - SOCNE SOCNI Movement'!N84</f>
        <v>8079.6427963640544</v>
      </c>
      <c r="R1687">
        <f>'B1 - SOCNE SOCNI Movement'!O84</f>
        <v>9176.4809536524845</v>
      </c>
      <c r="S1687">
        <f>'B1 - SOCNE SOCNI Movement'!P84</f>
        <v>98013.471352087116</v>
      </c>
      <c r="U1687">
        <f t="shared" si="397"/>
        <v>98013.471352087116</v>
      </c>
    </row>
    <row r="1688" spans="1:21">
      <c r="A1688" s="2895" t="str">
        <f>ORG!$S$1</f>
        <v>Apr 23</v>
      </c>
      <c r="B1688" t="str">
        <f>ORG!$M$1</f>
        <v>Public Health Wales Trust</v>
      </c>
      <c r="C1688" t="str">
        <f>'B1 - SOCNE SOCNI Movement'!$A$3</f>
        <v>Table B1 - SOCNE / SOCNI Movement</v>
      </c>
      <c r="D1688" s="2896">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5" t="str">
        <f>ORG!$S$1</f>
        <v>Apr 23</v>
      </c>
      <c r="B1689" t="str">
        <f>ORG!$M$1</f>
        <v>Public Health Wales Trust</v>
      </c>
      <c r="C1689" t="str">
        <f>'B1 - SOCNE SOCNI Movement'!$A$3</f>
        <v>Table B1 - SOCNE / SOCNI Movement</v>
      </c>
      <c r="D1689" s="2896">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5" t="str">
        <f>ORG!$S$1</f>
        <v>Apr 23</v>
      </c>
      <c r="B1690" t="str">
        <f>ORG!$M$1</f>
        <v>Public Health Wales Trust</v>
      </c>
      <c r="C1690" t="str">
        <f>'B1 - SOCNE SOCNI Movement'!$A$3</f>
        <v>Table B1 - SOCNE / SOCNI Movement</v>
      </c>
      <c r="D1690" s="2896">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5" t="str">
        <f>ORG!$S$1</f>
        <v>Apr 23</v>
      </c>
      <c r="B1691" t="str">
        <f>ORG!$M$1</f>
        <v>Public Health Wales Trust</v>
      </c>
      <c r="C1691" t="str">
        <f>'B1 - SOCNE SOCNI Movement'!$A$3</f>
        <v>Table B1 - SOCNE / SOCNI Movement</v>
      </c>
      <c r="D1691" s="2896">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5" t="str">
        <f>ORG!$S$1</f>
        <v>Apr 23</v>
      </c>
      <c r="B1692" t="str">
        <f>ORG!$M$1</f>
        <v>Public Health Wales Trust</v>
      </c>
      <c r="C1692" t="str">
        <f>'B1 - SOCNE SOCNI Movement'!$A$3</f>
        <v>Table B1 - SOCNE / SOCNI Movement</v>
      </c>
      <c r="D1692" s="2896">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5" t="str">
        <f>ORG!$S$1</f>
        <v>Apr 23</v>
      </c>
      <c r="B1693" t="str">
        <f>ORG!$M$1</f>
        <v>Public Health Wales Trust</v>
      </c>
      <c r="C1693" t="str">
        <f>'B1 - SOCNE SOCNI Movement'!$A$3</f>
        <v>Table B1 - SOCNE / SOCNI Movement</v>
      </c>
      <c r="D1693" s="2896">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5" t="str">
        <f>ORG!$S$1</f>
        <v>Apr 23</v>
      </c>
      <c r="B1694" t="str">
        <f>ORG!$M$1</f>
        <v>Public Health Wales Trust</v>
      </c>
      <c r="C1694" t="str">
        <f>'B1 - SOCNE SOCNI Movement'!$A$3</f>
        <v>Table B1 - SOCNE / SOCNI Movement</v>
      </c>
      <c r="D1694" s="2896">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5" t="str">
        <f>ORG!$S$1</f>
        <v>Apr 23</v>
      </c>
      <c r="B1695" t="str">
        <f>ORG!$M$1</f>
        <v>Public Health Wales Trust</v>
      </c>
      <c r="C1695" t="str">
        <f>'B1 - SOCNE SOCNI Movement'!$A$3</f>
        <v>Table B1 - SOCNE / SOCNI Movement</v>
      </c>
      <c r="D1695" s="2896">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5" t="str">
        <f>ORG!$S$1</f>
        <v>Apr 23</v>
      </c>
      <c r="B1696" t="str">
        <f>ORG!$M$1</f>
        <v>Public Health Wales Trust</v>
      </c>
      <c r="C1696" t="str">
        <f>'B1 - SOCNE SOCNI Movement'!$A$3</f>
        <v>Table B1 - SOCNE / SOCNI Movement</v>
      </c>
      <c r="D1696" s="2896">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5" t="str">
        <f>ORG!$S$1</f>
        <v>Apr 23</v>
      </c>
      <c r="B1697" t="str">
        <f>ORG!$M$1</f>
        <v>Public Health Wales Trust</v>
      </c>
      <c r="C1697" t="str">
        <f>'B1 - SOCNE SOCNI Movement'!$A$3</f>
        <v>Table B1 - SOCNE / SOCNI Movement</v>
      </c>
      <c r="D1697" s="2896">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5" t="str">
        <f>ORG!$S$1</f>
        <v>Apr 23</v>
      </c>
      <c r="B1698" t="str">
        <f>ORG!$M$1</f>
        <v>Public Health Wales Trust</v>
      </c>
      <c r="C1698" t="str">
        <f>'B1 - SOCNE SOCNI Movement'!$A$3</f>
        <v>Table B1 - SOCNE / SOCNI Movement</v>
      </c>
      <c r="D1698" s="2896">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283.82100000000003</v>
      </c>
      <c r="I1698">
        <f>'B1 - SOCNE SOCNI Movement'!F95</f>
        <v>283.82100000000003</v>
      </c>
      <c r="J1698">
        <f>'B1 - SOCNE SOCNI Movement'!G95</f>
        <v>283.82100000000003</v>
      </c>
      <c r="K1698">
        <f>'B1 - SOCNE SOCNI Movement'!H95</f>
        <v>283.82100000000003</v>
      </c>
      <c r="L1698">
        <f>'B1 - SOCNE SOCNI Movement'!I95</f>
        <v>283.82100000000003</v>
      </c>
      <c r="M1698">
        <f>'B1 - SOCNE SOCNI Movement'!J95</f>
        <v>283.82100000000003</v>
      </c>
      <c r="N1698">
        <f>'B1 - SOCNE SOCNI Movement'!K95</f>
        <v>283.82100000000003</v>
      </c>
      <c r="O1698">
        <f>'B1 - SOCNE SOCNI Movement'!L95</f>
        <v>283.82100000000003</v>
      </c>
      <c r="P1698">
        <f>'B1 - SOCNE SOCNI Movement'!M95</f>
        <v>283.82100000000003</v>
      </c>
      <c r="Q1698">
        <f>'B1 - SOCNE SOCNI Movement'!N95</f>
        <v>283.82100000000003</v>
      </c>
      <c r="R1698">
        <f>'B1 - SOCNE SOCNI Movement'!O95</f>
        <v>283.82100000000003</v>
      </c>
      <c r="S1698">
        <f>'B1 - SOCNE SOCNI Movement'!P95</f>
        <v>3405.8519999999994</v>
      </c>
      <c r="U1698">
        <f t="shared" si="397"/>
        <v>3405.8519999999994</v>
      </c>
    </row>
    <row r="1699" spans="1:21">
      <c r="A1699" s="2895" t="str">
        <f>ORG!$S$1</f>
        <v>Apr 23</v>
      </c>
      <c r="B1699" t="str">
        <f>ORG!$M$1</f>
        <v>Public Health Wales Trust</v>
      </c>
      <c r="C1699" t="str">
        <f>'B1 - SOCNE SOCNI Movement'!$A$3</f>
        <v>Table B1 - SOCNE / SOCNI Movement</v>
      </c>
      <c r="D1699" s="2896">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0</v>
      </c>
      <c r="I1699">
        <f>'B1 - SOCNE SOCNI Movement'!F96</f>
        <v>0</v>
      </c>
      <c r="J1699">
        <f>'B1 - SOCNE SOCNI Movement'!G96</f>
        <v>0</v>
      </c>
      <c r="K1699">
        <f>'B1 - SOCNE SOCNI Movement'!H96</f>
        <v>0</v>
      </c>
      <c r="L1699">
        <f>'B1 - SOCNE SOCNI Movement'!I96</f>
        <v>0</v>
      </c>
      <c r="M1699">
        <f>'B1 - SOCNE SOCNI Movement'!J96</f>
        <v>0</v>
      </c>
      <c r="N1699">
        <f>'B1 - SOCNE SOCNI Movement'!K96</f>
        <v>0</v>
      </c>
      <c r="O1699">
        <f>'B1 - SOCNE SOCNI Movement'!L96</f>
        <v>0</v>
      </c>
      <c r="P1699">
        <f>'B1 - SOCNE SOCNI Movement'!M96</f>
        <v>0</v>
      </c>
      <c r="Q1699">
        <f>'B1 - SOCNE SOCNI Movement'!N96</f>
        <v>0</v>
      </c>
      <c r="R1699">
        <f>'B1 - SOCNE SOCNI Movement'!O96</f>
        <v>0</v>
      </c>
      <c r="S1699">
        <f>'B1 - SOCNE SOCNI Movement'!P96</f>
        <v>0</v>
      </c>
      <c r="U1699">
        <f t="shared" si="397"/>
        <v>0</v>
      </c>
    </row>
    <row r="1700" spans="1:21">
      <c r="A1700" s="2895" t="str">
        <f>ORG!$S$1</f>
        <v>Apr 23</v>
      </c>
      <c r="B1700" t="str">
        <f>ORG!$M$1</f>
        <v>Public Health Wales Trust</v>
      </c>
      <c r="C1700" t="str">
        <f>'B1 - SOCNE SOCNI Movement'!$A$3</f>
        <v>Table B1 - SOCNE / SOCNI Movement</v>
      </c>
      <c r="D1700" s="2896">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5" t="str">
        <f>ORG!$S$1</f>
        <v>Apr 23</v>
      </c>
      <c r="B1701" t="str">
        <f>ORG!$M$1</f>
        <v>Public Health Wales Trust</v>
      </c>
      <c r="C1701" t="str">
        <f>'B1 - SOCNE SOCNI Movement'!$A$3</f>
        <v>Table B1 - SOCNE / SOCNI Movement</v>
      </c>
      <c r="D1701" s="2896">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0</v>
      </c>
      <c r="O1701">
        <f>'B1 - SOCNE SOCNI Movement'!L98</f>
        <v>0</v>
      </c>
      <c r="P1701">
        <f>'B1 - SOCNE SOCNI Movement'!M98</f>
        <v>0</v>
      </c>
      <c r="Q1701">
        <f>'B1 - SOCNE SOCNI Movement'!N98</f>
        <v>0</v>
      </c>
      <c r="R1701">
        <f>'B1 - SOCNE SOCNI Movement'!O98</f>
        <v>0</v>
      </c>
      <c r="S1701">
        <f>'B1 - SOCNE SOCNI Movement'!P98</f>
        <v>0</v>
      </c>
      <c r="U1701">
        <f t="shared" si="397"/>
        <v>0</v>
      </c>
    </row>
    <row r="1702" spans="1:21">
      <c r="A1702" s="2895" t="str">
        <f>ORG!$S$1</f>
        <v>Apr 23</v>
      </c>
      <c r="B1702" t="str">
        <f>ORG!$M$1</f>
        <v>Public Health Wales Trust</v>
      </c>
      <c r="C1702" t="str">
        <f>'B1 - SOCNE SOCNI Movement'!$A$3</f>
        <v>Table B1 - SOCNE / SOCNI Movement</v>
      </c>
      <c r="D1702" s="2896">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18011.933909250893</v>
      </c>
      <c r="I1702">
        <f>'B1 - SOCNE SOCNI Movement'!F99</f>
        <v>18400.246342926086</v>
      </c>
      <c r="J1702">
        <f>'B1 - SOCNE SOCNI Movement'!G99</f>
        <v>18052.744234250895</v>
      </c>
      <c r="K1702">
        <f>'B1 - SOCNE SOCNI Movement'!H99</f>
        <v>18014.244234250895</v>
      </c>
      <c r="L1702">
        <f>'B1 - SOCNE SOCNI Movement'!I99</f>
        <v>18553.78735125942</v>
      </c>
      <c r="M1702">
        <f>'B1 - SOCNE SOCNI Movement'!J99</f>
        <v>18313.747946985815</v>
      </c>
      <c r="N1702">
        <f>'B1 - SOCNE SOCNI Movement'!K99</f>
        <v>18229.968375841603</v>
      </c>
      <c r="O1702">
        <f>'B1 - SOCNE SOCNI Movement'!L99</f>
        <v>18741.305338652484</v>
      </c>
      <c r="P1702">
        <f>'B1 - SOCNE SOCNI Movement'!M99</f>
        <v>18262.747946985815</v>
      </c>
      <c r="Q1702">
        <f>'B1 - SOCNE SOCNI Movement'!N99</f>
        <v>18230.722954697387</v>
      </c>
      <c r="R1702">
        <f>'B1 - SOCNE SOCNI Movement'!O99</f>
        <v>19338.564175874704</v>
      </c>
      <c r="S1702">
        <f>'B1 - SOCNE SOCNI Movement'!P99</f>
        <v>220297.01281097595</v>
      </c>
      <c r="U1702">
        <f t="shared" si="397"/>
        <v>220297.01281097595</v>
      </c>
    </row>
    <row r="1703" spans="1:21">
      <c r="A1703" s="2895" t="str">
        <f>ORG!$S$1</f>
        <v>Apr 23</v>
      </c>
      <c r="B1703" t="str">
        <f>ORG!$M$1</f>
        <v>Public Health Wales Trust</v>
      </c>
      <c r="C1703" t="str">
        <f>'B1 - SOCNE SOCNI Movement'!$A$3</f>
        <v>Table B1 - SOCNE / SOCNI Movement</v>
      </c>
      <c r="D1703" s="2896">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3.637978807091713E-12</v>
      </c>
      <c r="I1703">
        <f>'B1 - SOCNE SOCNI Movement'!F100</f>
        <v>0</v>
      </c>
      <c r="J1703">
        <f>'B1 - SOCNE SOCNI Movement'!G100</f>
        <v>0</v>
      </c>
      <c r="K1703">
        <f>'B1 - SOCNE SOCNI Movement'!H100</f>
        <v>0</v>
      </c>
      <c r="L1703">
        <f>'B1 - SOCNE SOCNI Movement'!I100</f>
        <v>0</v>
      </c>
      <c r="M1703">
        <f>'B1 - SOCNE SOCNI Movement'!J100</f>
        <v>0</v>
      </c>
      <c r="N1703">
        <f>'B1 - SOCNE SOCNI Movement'!K100</f>
        <v>0</v>
      </c>
      <c r="O1703">
        <f>'B1 - SOCNE SOCNI Movement'!L100</f>
        <v>0</v>
      </c>
      <c r="P1703">
        <f>'B1 - SOCNE SOCNI Movement'!M100</f>
        <v>0</v>
      </c>
      <c r="Q1703">
        <f>'B1 - SOCNE SOCNI Movement'!N100</f>
        <v>0</v>
      </c>
      <c r="R1703">
        <f>'B1 - SOCNE SOCNI Movement'!O100</f>
        <v>-49.999999999996362</v>
      </c>
      <c r="S1703">
        <f>'B1 - SOCNE SOCNI Movement'!P100</f>
        <v>7.2759576141834259E-12</v>
      </c>
      <c r="U1703">
        <f t="shared" si="397"/>
        <v>7.2759576141834259E-12</v>
      </c>
    </row>
    <row r="1704" spans="1:21">
      <c r="A1704" s="2895" t="str">
        <f>ORG!$S$1</f>
        <v>Apr 23</v>
      </c>
      <c r="B1704" t="str">
        <f>ORG!$M$1</f>
        <v>Public Health Wales Trust</v>
      </c>
      <c r="C1704" t="str">
        <f>'B1 - SOCNE SOCNI Movement'!$A$3</f>
        <v>Table B1 - SOCNE / SOCNI Movement</v>
      </c>
      <c r="D1704" s="2896">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5" t="str">
        <f>ORG!$S$1</f>
        <v>Apr 23</v>
      </c>
      <c r="B1705" t="str">
        <f>ORG!$M$1</f>
        <v>Public Health Wales Trust</v>
      </c>
      <c r="C1705" t="str">
        <f>'B1 - SOCNE SOCNI Movement'!$A$3</f>
        <v>Table B1 - SOCNE / SOCNI Movement</v>
      </c>
      <c r="D1705" s="2896">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5" t="str">
        <f>ORG!$S$1</f>
        <v>Apr 23</v>
      </c>
      <c r="B1706" t="str">
        <f>ORG!$M$1</f>
        <v>Public Health Wales Trust</v>
      </c>
      <c r="C1706" t="str">
        <f>'B1 - SOCNE SOCNI Movement'!$A$3</f>
        <v>Table B1 - SOCNE / SOCNI Movement</v>
      </c>
      <c r="D1706" s="2896">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5" t="str">
        <f>ORG!$S$1</f>
        <v>Apr 23</v>
      </c>
      <c r="B1707" t="str">
        <f>ORG!$M$1</f>
        <v>Public Health Wales Trust</v>
      </c>
      <c r="C1707" t="str">
        <f>'B1 - SOCNE SOCNI Movement'!$A$3</f>
        <v>Table B1 - SOCNE / SOCNI Movement</v>
      </c>
      <c r="D1707" s="2896">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5" t="str">
        <f>ORG!$S$1</f>
        <v>Apr 23</v>
      </c>
      <c r="B1708" t="str">
        <f>ORG!$M$1</f>
        <v>Public Health Wales Trust</v>
      </c>
      <c r="C1708" t="str">
        <f>'B1 - SOCNE SOCNI Movement'!$A$3</f>
        <v>Table B1 - SOCNE / SOCNI Movement</v>
      </c>
      <c r="D1708" s="2896">
        <f>'B1 - SOCNE SOCNI Movement'!B12</f>
        <v>5</v>
      </c>
      <c r="E1708" t="str">
        <f>'B1 - SOCNE SOCNI Movement'!$S$8&amp;" "&amp;'B1 - SOCNE SOCNI Movement'!S11</f>
        <v>VARIANCE ANALYSIS £'m 0</v>
      </c>
      <c r="F1708" t="str">
        <f>'B1 - SOCNE SOCNI Movement'!C12</f>
        <v>Welsh NHS Local Health Boards &amp; Trusts Income</v>
      </c>
      <c r="S1708">
        <f>'B1 - SOCNE SOCNI Movement'!S12</f>
        <v>0</v>
      </c>
      <c r="U1708">
        <f t="shared" si="397"/>
        <v>0</v>
      </c>
    </row>
    <row r="1709" spans="1:21">
      <c r="A1709" s="2895" t="str">
        <f>ORG!$S$1</f>
        <v>Apr 23</v>
      </c>
      <c r="B1709" t="str">
        <f>ORG!$M$1</f>
        <v>Public Health Wales Trust</v>
      </c>
      <c r="C1709" t="str">
        <f>'B1 - SOCNE SOCNI Movement'!$A$3</f>
        <v>Table B1 - SOCNE / SOCNI Movement</v>
      </c>
      <c r="D1709" s="2896">
        <f>'B1 - SOCNE SOCNI Movement'!B13</f>
        <v>6</v>
      </c>
      <c r="E1709" t="str">
        <f>'B1 - SOCNE SOCNI Movement'!$S$8&amp;" "&amp;'B1 - SOCNE SOCNI Movement'!S12</f>
        <v>VARIANCE ANALYSIS £'m 0</v>
      </c>
      <c r="F1709" t="str">
        <f>'B1 - SOCNE SOCNI Movement'!C13</f>
        <v>WHSSC Income</v>
      </c>
      <c r="S1709">
        <f>'B1 - SOCNE SOCNI Movement'!S13</f>
        <v>0</v>
      </c>
      <c r="U1709">
        <f t="shared" si="397"/>
        <v>0</v>
      </c>
    </row>
    <row r="1710" spans="1:21">
      <c r="A1710" s="2895" t="str">
        <f>ORG!$S$1</f>
        <v>Apr 23</v>
      </c>
      <c r="B1710" t="str">
        <f>ORG!$M$1</f>
        <v>Public Health Wales Trust</v>
      </c>
      <c r="C1710" t="str">
        <f>'B1 - SOCNE SOCNI Movement'!$A$3</f>
        <v>Table B1 - SOCNE / SOCNI Movement</v>
      </c>
      <c r="D1710" s="2896">
        <f>'B1 - SOCNE SOCNI Movement'!B14</f>
        <v>7</v>
      </c>
      <c r="E1710" t="str">
        <f>'B1 - SOCNE SOCNI Movement'!$S$8&amp;" "&amp;'B1 - SOCNE SOCNI Movement'!S13</f>
        <v>VARIANCE ANALYSIS £'m 0</v>
      </c>
      <c r="F1710" t="str">
        <f>'B1 - SOCNE SOCNI Movement'!C14</f>
        <v>Welsh Government Income (Non RRL)</v>
      </c>
      <c r="S1710">
        <f>'B1 - SOCNE SOCNI Movement'!S14</f>
        <v>0</v>
      </c>
      <c r="U1710">
        <f t="shared" si="397"/>
        <v>0</v>
      </c>
    </row>
    <row r="1711" spans="1:21">
      <c r="A1711" s="2895" t="str">
        <f>ORG!$S$1</f>
        <v>Apr 23</v>
      </c>
      <c r="B1711" t="str">
        <f>ORG!$M$1</f>
        <v>Public Health Wales Trust</v>
      </c>
      <c r="C1711" t="str">
        <f>'B1 - SOCNE SOCNI Movement'!$A$3</f>
        <v>Table B1 - SOCNE / SOCNI Movement</v>
      </c>
      <c r="D1711" s="2896">
        <f>'B1 - SOCNE SOCNI Movement'!B15</f>
        <v>8</v>
      </c>
      <c r="E1711" t="str">
        <f>'B1 - SOCNE SOCNI Movement'!$S$8&amp;" "&amp;'B1 - SOCNE SOCNI Movement'!S14</f>
        <v>VARIANCE ANALYSIS £'m 0</v>
      </c>
      <c r="F1711" t="str">
        <f>'B1 - SOCNE SOCNI Movement'!C15</f>
        <v>Other Income</v>
      </c>
      <c r="S1711">
        <f>'B1 - SOCNE SOCNI Movement'!S15</f>
        <v>0</v>
      </c>
      <c r="U1711">
        <f t="shared" si="397"/>
        <v>0</v>
      </c>
    </row>
    <row r="1712" spans="1:21">
      <c r="A1712" s="2895" t="str">
        <f>ORG!$S$1</f>
        <v>Apr 23</v>
      </c>
      <c r="B1712" t="str">
        <f>ORG!$M$1</f>
        <v>Public Health Wales Trust</v>
      </c>
      <c r="C1712" t="str">
        <f>'B1 - SOCNE SOCNI Movement'!$A$3</f>
        <v>Table B1 - SOCNE / SOCNI Movement</v>
      </c>
      <c r="D1712" s="2896">
        <f>'B1 - SOCNE SOCNI Movement'!B16</f>
        <v>9</v>
      </c>
      <c r="E1712" t="str">
        <f>'B1 - SOCNE SOCNI Movement'!$S$8&amp;" "&amp;'B1 - SOCNE SOCNI Movement'!S15</f>
        <v>VARIANCE ANALYSIS £'m 0</v>
      </c>
      <c r="F1712" t="str">
        <f>'B1 - SOCNE SOCNI Movement'!C16</f>
        <v>Total Income</v>
      </c>
      <c r="S1712">
        <f>'B1 - SOCNE SOCNI Movement'!S16</f>
        <v>0</v>
      </c>
      <c r="U1712">
        <f t="shared" si="397"/>
        <v>0</v>
      </c>
    </row>
    <row r="1713" spans="1:21">
      <c r="A1713" s="2895" t="str">
        <f>ORG!$S$1</f>
        <v>Apr 23</v>
      </c>
      <c r="B1713" t="str">
        <f>ORG!$M$1</f>
        <v>Public Health Wales Trust</v>
      </c>
      <c r="C1713" t="str">
        <f>'B1 - SOCNE SOCNI Movement'!$A$3</f>
        <v>Table B1 - SOCNE / SOCNI Movement</v>
      </c>
      <c r="D1713" s="2896">
        <f>'B1 - SOCNE SOCNI Movement'!B17</f>
        <v>10</v>
      </c>
      <c r="E1713" t="str">
        <f>'B1 - SOCNE SOCNI Movement'!$S$8&amp;" "&amp;'B1 - SOCNE SOCNI Movement'!S16</f>
        <v>VARIANCE ANALYSIS £'m 0</v>
      </c>
      <c r="F1713" t="str">
        <f>'B1 - SOCNE SOCNI Movement'!C17</f>
        <v>Primary Care Contractor (excl. drugs, incl. NRL expenditure)</v>
      </c>
      <c r="S1713">
        <f>'B1 - SOCNE SOCNI Movement'!S17</f>
        <v>0</v>
      </c>
      <c r="U1713">
        <f t="shared" si="397"/>
        <v>0</v>
      </c>
    </row>
    <row r="1714" spans="1:21">
      <c r="A1714" s="2895" t="str">
        <f>ORG!$S$1</f>
        <v>Apr 23</v>
      </c>
      <c r="B1714" t="str">
        <f>ORG!$M$1</f>
        <v>Public Health Wales Trust</v>
      </c>
      <c r="C1714" t="str">
        <f>'B1 - SOCNE SOCNI Movement'!$A$3</f>
        <v>Table B1 - SOCNE / SOCNI Movement</v>
      </c>
      <c r="D1714" s="2896">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5" t="str">
        <f>ORG!$S$1</f>
        <v>Apr 23</v>
      </c>
      <c r="B1715" t="str">
        <f>ORG!$M$1</f>
        <v>Public Health Wales Trust</v>
      </c>
      <c r="C1715" t="str">
        <f>'B1 - SOCNE SOCNI Movement'!$A$3</f>
        <v>Table B1 - SOCNE / SOCNI Movement</v>
      </c>
      <c r="D1715" s="2896">
        <f>'B1 - SOCNE SOCNI Movement'!B19</f>
        <v>12</v>
      </c>
      <c r="E1715" t="str">
        <f>'B1 - SOCNE SOCNI Movement'!$S$8&amp;" "&amp;'B1 - SOCNE SOCNI Movement'!S18</f>
        <v>VARIANCE ANALYSIS £'m 0</v>
      </c>
      <c r="F1715" t="str">
        <f>'B1 - SOCNE SOCNI Movement'!C19</f>
        <v>Provided Services - Pay</v>
      </c>
      <c r="S1715">
        <f>'B1 - SOCNE SOCNI Movement'!S19</f>
        <v>0</v>
      </c>
      <c r="U1715">
        <f t="shared" si="397"/>
        <v>0</v>
      </c>
    </row>
    <row r="1716" spans="1:21">
      <c r="A1716" s="2895" t="str">
        <f>ORG!$S$1</f>
        <v>Apr 23</v>
      </c>
      <c r="B1716" t="str">
        <f>ORG!$M$1</f>
        <v>Public Health Wales Trust</v>
      </c>
      <c r="C1716" t="str">
        <f>'B1 - SOCNE SOCNI Movement'!$A$3</f>
        <v>Table B1 - SOCNE / SOCNI Movement</v>
      </c>
      <c r="D1716" s="2896">
        <f>'B1 - SOCNE SOCNI Movement'!B20</f>
        <v>13</v>
      </c>
      <c r="E1716" t="str">
        <f>'B1 - SOCNE SOCNI Movement'!$S$8&amp;" "&amp;'B1 - SOCNE SOCNI Movement'!S19</f>
        <v>VARIANCE ANALYSIS £'m 0</v>
      </c>
      <c r="F1716" t="str">
        <f>'B1 - SOCNE SOCNI Movement'!C20</f>
        <v>Provider Services - Non Pay (excluding drugs &amp; depreciation)</v>
      </c>
      <c r="S1716">
        <f>'B1 - SOCNE SOCNI Movement'!S20</f>
        <v>0</v>
      </c>
      <c r="U1716">
        <f t="shared" si="397"/>
        <v>0</v>
      </c>
    </row>
    <row r="1717" spans="1:21">
      <c r="A1717" s="2895" t="str">
        <f>ORG!$S$1</f>
        <v>Apr 23</v>
      </c>
      <c r="B1717" t="str">
        <f>ORG!$M$1</f>
        <v>Public Health Wales Trust</v>
      </c>
      <c r="C1717" t="str">
        <f>'B1 - SOCNE SOCNI Movement'!$A$3</f>
        <v>Table B1 - SOCNE / SOCNI Movement</v>
      </c>
      <c r="D1717" s="2896">
        <f>'B1 - SOCNE SOCNI Movement'!B21</f>
        <v>14</v>
      </c>
      <c r="E1717" t="str">
        <f>'B1 - SOCNE SOCNI Movement'!$S$8&amp;" "&amp;'B1 - SOCNE SOCNI Movement'!S20</f>
        <v>VARIANCE ANALYSIS £'m 0</v>
      </c>
      <c r="F1717" t="str">
        <f>'B1 - SOCNE SOCNI Movement'!C21</f>
        <v>Secondary Care - Drugs</v>
      </c>
      <c r="S1717">
        <f>'B1 - SOCNE SOCNI Movement'!S21</f>
        <v>0</v>
      </c>
      <c r="U1717">
        <f t="shared" si="397"/>
        <v>0</v>
      </c>
    </row>
    <row r="1718" spans="1:21">
      <c r="A1718" s="2895" t="str">
        <f>ORG!$S$1</f>
        <v>Apr 23</v>
      </c>
      <c r="B1718" t="str">
        <f>ORG!$M$1</f>
        <v>Public Health Wales Trust</v>
      </c>
      <c r="C1718" t="str">
        <f>'B1 - SOCNE SOCNI Movement'!$A$3</f>
        <v>Table B1 - SOCNE / SOCNI Movement</v>
      </c>
      <c r="D1718" s="2896">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5" t="str">
        <f>ORG!$S$1</f>
        <v>Apr 23</v>
      </c>
      <c r="B1719" t="str">
        <f>ORG!$M$1</f>
        <v>Public Health Wales Trust</v>
      </c>
      <c r="C1719" t="str">
        <f>'B1 - SOCNE SOCNI Movement'!$A$3</f>
        <v>Table B1 - SOCNE / SOCNI Movement</v>
      </c>
      <c r="D1719" s="2896">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5" t="str">
        <f>ORG!$S$1</f>
        <v>Apr 23</v>
      </c>
      <c r="B1720" t="str">
        <f>ORG!$M$1</f>
        <v>Public Health Wales Trust</v>
      </c>
      <c r="C1720" t="str">
        <f>'B1 - SOCNE SOCNI Movement'!$A$3</f>
        <v>Table B1 - SOCNE / SOCNI Movement</v>
      </c>
      <c r="D1720" s="2896">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5" t="str">
        <f>ORG!$S$1</f>
        <v>Apr 23</v>
      </c>
      <c r="B1721" t="str">
        <f>ORG!$M$1</f>
        <v>Public Health Wales Trust</v>
      </c>
      <c r="C1721" t="str">
        <f>'B1 - SOCNE SOCNI Movement'!$A$3</f>
        <v>Table B1 - SOCNE / SOCNI Movement</v>
      </c>
      <c r="D1721" s="2896">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5" t="str">
        <f>ORG!$S$1</f>
        <v>Apr 23</v>
      </c>
      <c r="B1722" t="str">
        <f>ORG!$M$1</f>
        <v>Public Health Wales Trust</v>
      </c>
      <c r="C1722" t="str">
        <f>'B1 - SOCNE SOCNI Movement'!$A$3</f>
        <v>Table B1 - SOCNE / SOCNI Movement</v>
      </c>
      <c r="D1722" s="2896">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5" t="str">
        <f>ORG!$S$1</f>
        <v>Apr 23</v>
      </c>
      <c r="B1723" t="str">
        <f>ORG!$M$1</f>
        <v>Public Health Wales Trust</v>
      </c>
      <c r="C1723" t="str">
        <f>'B1 - SOCNE SOCNI Movement'!$A$3</f>
        <v>Table B1 - SOCNE / SOCNI Movement</v>
      </c>
      <c r="D1723" s="2896">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5" t="str">
        <f>ORG!$S$1</f>
        <v>Apr 23</v>
      </c>
      <c r="B1724" t="str">
        <f>ORG!$M$1</f>
        <v>Public Health Wales Trust</v>
      </c>
      <c r="C1724" t="str">
        <f>'B1 - SOCNE SOCNI Movement'!$A$3</f>
        <v>Table B1 - SOCNE / SOCNI Movement</v>
      </c>
      <c r="D1724" s="2896">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5" t="str">
        <f>ORG!$S$1</f>
        <v>Apr 23</v>
      </c>
      <c r="B1725" t="str">
        <f>ORG!$M$1</f>
        <v>Public Health Wales Trust</v>
      </c>
      <c r="C1725" t="str">
        <f>'B1 - SOCNE SOCNI Movement'!$A$3</f>
        <v>Table B1 - SOCNE / SOCNI Movement</v>
      </c>
      <c r="D1725" s="2896">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5" t="str">
        <f>ORG!$S$1</f>
        <v>Apr 23</v>
      </c>
      <c r="B1726" t="str">
        <f>ORG!$M$1</f>
        <v>Public Health Wales Trust</v>
      </c>
      <c r="C1726" t="str">
        <f>'B1 - SOCNE SOCNI Movement'!$A$3</f>
        <v>Table B1 - SOCNE / SOCNI Movement</v>
      </c>
      <c r="D1726" s="2896">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5" t="str">
        <f>ORG!$S$1</f>
        <v>Apr 23</v>
      </c>
      <c r="B1727" t="str">
        <f>ORG!$M$1</f>
        <v>Public Health Wales Trust</v>
      </c>
      <c r="C1727" t="str">
        <f>'B1 - SOCNE SOCNI Movement'!$A$3</f>
        <v>Table B1 - SOCNE / SOCNI Movement</v>
      </c>
      <c r="D1727" s="2896">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0</v>
      </c>
      <c r="U1727">
        <f t="shared" si="397"/>
        <v>0</v>
      </c>
    </row>
    <row r="1728" spans="1:21">
      <c r="A1728" s="2895" t="str">
        <f>ORG!$S$1</f>
        <v>Apr 23</v>
      </c>
      <c r="B1728" t="str">
        <f>ORG!$M$1</f>
        <v>Public Health Wales Trust</v>
      </c>
      <c r="C1728" t="str">
        <f>'B1 - SOCNE SOCNI Movement'!$A$3</f>
        <v>Table B1 - SOCNE / SOCNI Movement</v>
      </c>
      <c r="D1728" s="2896">
        <f>'B1 - SOCNE SOCNI Movement'!B32</f>
        <v>25</v>
      </c>
      <c r="E1728" t="str">
        <f>'B1 - SOCNE SOCNI Movement'!$S$8&amp;" "&amp;'B1 - SOCNE SOCNI Movement'!S31</f>
        <v>VARIANCE ANALYSIS £'m 0</v>
      </c>
      <c r="F1728" t="str">
        <f>'B1 - SOCNE SOCNI Movement'!C32</f>
        <v>AME Donated Depreciation\Impairments</v>
      </c>
      <c r="S1728">
        <f>'B1 - SOCNE SOCNI Movement'!S32</f>
        <v>0</v>
      </c>
      <c r="U1728">
        <f t="shared" si="397"/>
        <v>0</v>
      </c>
    </row>
    <row r="1729" spans="1:21">
      <c r="A1729" s="2895" t="str">
        <f>ORG!$S$1</f>
        <v>Apr 23</v>
      </c>
      <c r="B1729" t="str">
        <f>ORG!$M$1</f>
        <v>Public Health Wales Trust</v>
      </c>
      <c r="C1729" t="str">
        <f>'B1 - SOCNE SOCNI Movement'!$A$3</f>
        <v>Table B1 - SOCNE / SOCNI Movement</v>
      </c>
      <c r="D1729" s="2896">
        <f>'B1 - SOCNE SOCNI Movement'!B33</f>
        <v>26</v>
      </c>
      <c r="E1729" t="str">
        <f>'B1 - SOCNE SOCNI Movement'!$S$8&amp;" "&amp;'B1 - SOCNE SOCNI Movement'!S32</f>
        <v>VARIANCE ANALYSIS £'m 0</v>
      </c>
      <c r="F1729" t="str">
        <f>'B1 - SOCNE SOCNI Movement'!C33</f>
        <v>Uncommitted Reserves &amp; Contingencies</v>
      </c>
      <c r="S1729">
        <f>'B1 - SOCNE SOCNI Movement'!S33</f>
        <v>0</v>
      </c>
      <c r="U1729">
        <f t="shared" si="397"/>
        <v>0</v>
      </c>
    </row>
    <row r="1730" spans="1:21">
      <c r="A1730" s="2895" t="str">
        <f>ORG!$S$1</f>
        <v>Apr 23</v>
      </c>
      <c r="B1730" t="str">
        <f>ORG!$M$1</f>
        <v>Public Health Wales Trust</v>
      </c>
      <c r="C1730" t="str">
        <f>'B1 - SOCNE SOCNI Movement'!$A$3</f>
        <v>Table B1 - SOCNE / SOCNI Movement</v>
      </c>
      <c r="D1730" s="2896">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5" t="str">
        <f>ORG!$S$1</f>
        <v>Apr 23</v>
      </c>
      <c r="B1731" t="str">
        <f>ORG!$M$1</f>
        <v>Public Health Wales Trust</v>
      </c>
      <c r="C1731" t="str">
        <f>'B1 - SOCNE SOCNI Movement'!$A$3</f>
        <v>Table B1 - SOCNE / SOCNI Movement</v>
      </c>
      <c r="D1731" s="2896">
        <f>'B1 - SOCNE SOCNI Movement'!B35</f>
        <v>28</v>
      </c>
      <c r="E1731" t="str">
        <f>'B1 - SOCNE SOCNI Movement'!$S$8&amp;" "&amp;'B1 - SOCNE SOCNI Movement'!S34</f>
        <v>VARIANCE ANALYSIS £'m 0</v>
      </c>
      <c r="F1731" t="str">
        <f>'B1 - SOCNE SOCNI Movement'!C35</f>
        <v>Total Expenditure</v>
      </c>
      <c r="S1731">
        <f>'B1 - SOCNE SOCNI Movement'!S35</f>
        <v>0</v>
      </c>
      <c r="U1731">
        <f t="shared" ref="U1731:U1786" si="398">S1731+T1731</f>
        <v>0</v>
      </c>
    </row>
    <row r="1732" spans="1:21">
      <c r="A1732" s="2895" t="str">
        <f>ORG!$S$1</f>
        <v>Apr 23</v>
      </c>
      <c r="B1732" t="str">
        <f>ORG!$M$1</f>
        <v>Public Health Wales Trust</v>
      </c>
      <c r="C1732" t="str">
        <f>'B1 - SOCNE SOCNI Movement'!$A$3</f>
        <v>Table B1 - SOCNE / SOCNI Movement</v>
      </c>
      <c r="D1732" s="2896">
        <f>'B1 - SOCNE SOCNI Movement'!B36</f>
        <v>29</v>
      </c>
      <c r="E1732" t="str">
        <f>'B1 - SOCNE SOCNI Movement'!$S$8&amp;" "&amp;'B1 - SOCNE SOCNI Movement'!S35</f>
        <v>VARIANCE ANALYSIS £'m 0</v>
      </c>
      <c r="F1732" t="str">
        <f>'B1 - SOCNE SOCNI Movement'!C36</f>
        <v>Forecast Outturn</v>
      </c>
      <c r="S1732">
        <f>'B1 - SOCNE SOCNI Movement'!S36</f>
        <v>0</v>
      </c>
      <c r="U1732">
        <f t="shared" si="398"/>
        <v>0</v>
      </c>
    </row>
    <row r="1733" spans="1:21">
      <c r="A1733" s="2895" t="str">
        <f>ORG!$S$1</f>
        <v>Apr 23</v>
      </c>
      <c r="B1733" t="str">
        <f>ORG!$M$1</f>
        <v>Public Health Wales Trust</v>
      </c>
      <c r="C1733" t="str">
        <f>'B1 - SOCNE SOCNI Movement'!$A$3</f>
        <v>Table B1 - SOCNE / SOCNI Movement</v>
      </c>
      <c r="D1733" s="2896">
        <f>'B1 - SOCNE SOCNI Movement'!B10</f>
        <v>3</v>
      </c>
      <c r="E1733" t="str">
        <f>'B1 - SOCNE SOCNI Movement'!$S$8&amp;" "&amp;'B1 - SOCNE SOCNI Movement'!S36</f>
        <v>VARIANCE ANALYSIS £'m 0</v>
      </c>
      <c r="F1733" t="str">
        <f>'B1 - SOCNE SOCNI Movement'!C10</f>
        <v>Revenue Resource Limit</v>
      </c>
      <c r="S1733">
        <f>'B1 - SOCNE SOCNI Movement'!T10</f>
        <v>0</v>
      </c>
      <c r="U1733">
        <f t="shared" si="398"/>
        <v>0</v>
      </c>
    </row>
    <row r="1734" spans="1:21">
      <c r="A1734" s="2895" t="str">
        <f>ORG!$S$1</f>
        <v>Apr 23</v>
      </c>
      <c r="B1734" t="str">
        <f>ORG!$M$1</f>
        <v>Public Health Wales Trust</v>
      </c>
      <c r="C1734" t="str">
        <f>'B1 - SOCNE SOCNI Movement'!$A$3</f>
        <v>Table B1 - SOCNE / SOCNI Movement</v>
      </c>
      <c r="D1734" s="2896">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5" t="str">
        <f>ORG!$S$1</f>
        <v>Apr 23</v>
      </c>
      <c r="B1735" t="str">
        <f>ORG!$M$1</f>
        <v>Public Health Wales Trust</v>
      </c>
      <c r="C1735" t="str">
        <f>'B1 - SOCNE SOCNI Movement'!$A$3</f>
        <v>Table B1 - SOCNE / SOCNI Movement</v>
      </c>
      <c r="D1735" s="2896">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1922</v>
      </c>
      <c r="U1735">
        <f t="shared" si="398"/>
        <v>1922</v>
      </c>
    </row>
    <row r="1736" spans="1:21">
      <c r="A1736" s="2895" t="str">
        <f>ORG!$S$1</f>
        <v>Apr 23</v>
      </c>
      <c r="B1736" t="str">
        <f>ORG!$M$1</f>
        <v>Public Health Wales Trust</v>
      </c>
      <c r="C1736" t="str">
        <f>'B1 - SOCNE SOCNI Movement'!$A$3</f>
        <v>Table B1 - SOCNE / SOCNI Movement</v>
      </c>
      <c r="D1736" s="2896">
        <f>'B1 - SOCNE SOCNI Movement'!B13</f>
        <v>6</v>
      </c>
      <c r="E1736" t="str">
        <f>'B1 - SOCNE SOCNI Movement'!$S$8&amp;" "&amp;'B1 - SOCNE SOCNI Movement'!S39</f>
        <v>VARIANCE ANALYSIS £'m PMF = Prior Month Forecast</v>
      </c>
      <c r="F1736" t="str">
        <f>'B1 - SOCNE SOCNI Movement'!C13</f>
        <v>WHSSC Income</v>
      </c>
      <c r="S1736">
        <f>'B1 - SOCNE SOCNI Movement'!T13</f>
        <v>16</v>
      </c>
      <c r="U1736">
        <f t="shared" si="398"/>
        <v>16</v>
      </c>
    </row>
    <row r="1737" spans="1:21">
      <c r="A1737" s="2895" t="str">
        <f>ORG!$S$1</f>
        <v>Apr 23</v>
      </c>
      <c r="B1737" t="str">
        <f>ORG!$M$1</f>
        <v>Public Health Wales Trust</v>
      </c>
      <c r="C1737" t="str">
        <f>'B1 - SOCNE SOCNI Movement'!$A$3</f>
        <v>Table B1 - SOCNE / SOCNI Movement</v>
      </c>
      <c r="D1737" s="2896">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15778</v>
      </c>
      <c r="U1737">
        <f t="shared" si="398"/>
        <v>15778</v>
      </c>
    </row>
    <row r="1738" spans="1:21">
      <c r="A1738" s="2895" t="str">
        <f>ORG!$S$1</f>
        <v>Apr 23</v>
      </c>
      <c r="B1738" t="str">
        <f>ORG!$M$1</f>
        <v>Public Health Wales Trust</v>
      </c>
      <c r="C1738" t="str">
        <f>'B1 - SOCNE SOCNI Movement'!$A$3</f>
        <v>Table B1 - SOCNE / SOCNI Movement</v>
      </c>
      <c r="D1738" s="2896">
        <f>'B1 - SOCNE SOCNI Movement'!B15</f>
        <v>8</v>
      </c>
      <c r="E1738" t="str">
        <f>'B1 - SOCNE SOCNI Movement'!$S$8&amp;" "&amp;'B1 - SOCNE SOCNI Movement'!S41</f>
        <v xml:space="preserve">VARIANCE ANALYSIS £'m </v>
      </c>
      <c r="F1738" t="str">
        <f>'B1 - SOCNE SOCNI Movement'!C15</f>
        <v>Other Income</v>
      </c>
      <c r="S1738">
        <f>'B1 - SOCNE SOCNI Movement'!T15</f>
        <v>481</v>
      </c>
      <c r="U1738">
        <f t="shared" si="398"/>
        <v>481</v>
      </c>
    </row>
    <row r="1739" spans="1:21">
      <c r="A1739" s="2895" t="str">
        <f>ORG!$S$1</f>
        <v>Apr 23</v>
      </c>
      <c r="B1739" t="str">
        <f>ORG!$M$1</f>
        <v>Public Health Wales Trust</v>
      </c>
      <c r="C1739" t="str">
        <f>'B1 - SOCNE SOCNI Movement'!$A$3</f>
        <v>Table B1 - SOCNE / SOCNI Movement</v>
      </c>
      <c r="D1739" s="2896">
        <f>'B1 - SOCNE SOCNI Movement'!B16</f>
        <v>9</v>
      </c>
      <c r="E1739" t="str">
        <f>'B1 - SOCNE SOCNI Movement'!$S$8&amp;" "&amp;'B1 - SOCNE SOCNI Movement'!S42</f>
        <v xml:space="preserve">VARIANCE ANALYSIS £'m </v>
      </c>
      <c r="F1739" t="str">
        <f>'B1 - SOCNE SOCNI Movement'!C16</f>
        <v>Total Income</v>
      </c>
      <c r="S1739">
        <f>'B1 - SOCNE SOCNI Movement'!T16</f>
        <v>18197</v>
      </c>
      <c r="U1739">
        <f t="shared" si="398"/>
        <v>18197</v>
      </c>
    </row>
    <row r="1740" spans="1:21">
      <c r="A1740" s="2895" t="str">
        <f>ORG!$S$1</f>
        <v>Apr 23</v>
      </c>
      <c r="B1740" t="str">
        <f>ORG!$M$1</f>
        <v>Public Health Wales Trust</v>
      </c>
      <c r="C1740" t="str">
        <f>'B1 - SOCNE SOCNI Movement'!$A$3</f>
        <v>Table B1 - SOCNE / SOCNI Movement</v>
      </c>
      <c r="D1740" s="2896">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5" t="str">
        <f>ORG!$S$1</f>
        <v>Apr 23</v>
      </c>
      <c r="B1741" t="str">
        <f>ORG!$M$1</f>
        <v>Public Health Wales Trust</v>
      </c>
      <c r="C1741" t="str">
        <f>'B1 - SOCNE SOCNI Movement'!$A$3</f>
        <v>Table B1 - SOCNE / SOCNI Movement</v>
      </c>
      <c r="D1741" s="2896">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5" t="str">
        <f>ORG!$S$1</f>
        <v>Apr 23</v>
      </c>
      <c r="B1742" t="str">
        <f>ORG!$M$1</f>
        <v>Public Health Wales Trust</v>
      </c>
      <c r="C1742" t="str">
        <f>'B1 - SOCNE SOCNI Movement'!$A$3</f>
        <v>Table B1 - SOCNE / SOCNI Movement</v>
      </c>
      <c r="D1742" s="2896">
        <f>'B1 - SOCNE SOCNI Movement'!B19</f>
        <v>12</v>
      </c>
      <c r="E1742" t="str">
        <f>'B1 - SOCNE SOCNI Movement'!$S$8&amp;" "&amp;'B1 - SOCNE SOCNI Movement'!S45</f>
        <v xml:space="preserve">VARIANCE ANALYSIS £'m </v>
      </c>
      <c r="F1742" t="str">
        <f>'B1 - SOCNE SOCNI Movement'!C19</f>
        <v>Provided Services - Pay</v>
      </c>
      <c r="S1742">
        <f>'B1 - SOCNE SOCNI Movement'!T19</f>
        <v>10151</v>
      </c>
      <c r="U1742">
        <f t="shared" si="398"/>
        <v>10151</v>
      </c>
    </row>
    <row r="1743" spans="1:21">
      <c r="A1743" s="2895" t="str">
        <f>ORG!$S$1</f>
        <v>Apr 23</v>
      </c>
      <c r="B1743" t="str">
        <f>ORG!$M$1</f>
        <v>Public Health Wales Trust</v>
      </c>
      <c r="C1743" t="str">
        <f>'B1 - SOCNE SOCNI Movement'!$A$3</f>
        <v>Table B1 - SOCNE / SOCNI Movement</v>
      </c>
      <c r="D1743" s="2896">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7712.1790000000001</v>
      </c>
      <c r="U1743">
        <f t="shared" si="398"/>
        <v>7712.1790000000001</v>
      </c>
    </row>
    <row r="1744" spans="1:21">
      <c r="A1744" s="2895" t="str">
        <f>ORG!$S$1</f>
        <v>Apr 23</v>
      </c>
      <c r="B1744" t="str">
        <f>ORG!$M$1</f>
        <v>Public Health Wales Trust</v>
      </c>
      <c r="C1744" t="str">
        <f>'B1 - SOCNE SOCNI Movement'!$A$3</f>
        <v>Table B1 - SOCNE / SOCNI Movement</v>
      </c>
      <c r="D1744" s="2896">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5" t="str">
        <f>ORG!$S$1</f>
        <v>Apr 23</v>
      </c>
      <c r="B1745" t="str">
        <f>ORG!$M$1</f>
        <v>Public Health Wales Trust</v>
      </c>
      <c r="C1745" t="str">
        <f>'B1 - SOCNE SOCNI Movement'!$A$3</f>
        <v>Table B1 - SOCNE / SOCNI Movement</v>
      </c>
      <c r="D1745" s="2896">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5" t="str">
        <f>ORG!$S$1</f>
        <v>Apr 23</v>
      </c>
      <c r="B1746" t="str">
        <f>ORG!$M$1</f>
        <v>Public Health Wales Trust</v>
      </c>
      <c r="C1746" t="str">
        <f>'B1 - SOCNE SOCNI Movement'!$A$3</f>
        <v>Table B1 - SOCNE / SOCNI Movement</v>
      </c>
      <c r="D1746" s="2896">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5" t="str">
        <f>ORG!$S$1</f>
        <v>Apr 23</v>
      </c>
      <c r="B1747" t="str">
        <f>ORG!$M$1</f>
        <v>Public Health Wales Trust</v>
      </c>
      <c r="C1747" t="str">
        <f>'B1 - SOCNE SOCNI Movement'!$A$3</f>
        <v>Table B1 - SOCNE / SOCNI Movement</v>
      </c>
      <c r="D1747" s="2896">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5" t="str">
        <f>ORG!$S$1</f>
        <v>Apr 23</v>
      </c>
      <c r="B1748" t="str">
        <f>ORG!$M$1</f>
        <v>Public Health Wales Trust</v>
      </c>
      <c r="C1748" t="str">
        <f>'B1 - SOCNE SOCNI Movement'!$A$3</f>
        <v>Table B1 - SOCNE / SOCNI Movement</v>
      </c>
      <c r="D1748" s="2896">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5" t="str">
        <f>ORG!$S$1</f>
        <v>Apr 23</v>
      </c>
      <c r="B1749" t="str">
        <f>ORG!$M$1</f>
        <v>Public Health Wales Trust</v>
      </c>
      <c r="C1749" t="str">
        <f>'B1 - SOCNE SOCNI Movement'!$A$3</f>
        <v>Table B1 - SOCNE / SOCNI Movement</v>
      </c>
      <c r="D1749" s="2896">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5" t="str">
        <f>ORG!$S$1</f>
        <v>Apr 23</v>
      </c>
      <c r="B1750" t="str">
        <f>ORG!$M$1</f>
        <v>Public Health Wales Trust</v>
      </c>
      <c r="C1750" t="str">
        <f>'B1 - SOCNE SOCNI Movement'!$A$3</f>
        <v>Table B1 - SOCNE / SOCNI Movement</v>
      </c>
      <c r="D1750" s="2896">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5" t="str">
        <f>ORG!$S$1</f>
        <v>Apr 23</v>
      </c>
      <c r="B1751" t="str">
        <f>ORG!$M$1</f>
        <v>Public Health Wales Trust</v>
      </c>
      <c r="C1751" t="str">
        <f>'B1 - SOCNE SOCNI Movement'!$A$3</f>
        <v>Table B1 - SOCNE / SOCNI Movement</v>
      </c>
      <c r="D1751" s="2896">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5" t="str">
        <f>ORG!$S$1</f>
        <v>Apr 23</v>
      </c>
      <c r="B1752" t="str">
        <f>ORG!$M$1</f>
        <v>Public Health Wales Trust</v>
      </c>
      <c r="C1752" t="str">
        <f>'B1 - SOCNE SOCNI Movement'!$A$3</f>
        <v>Table B1 - SOCNE / SOCNI Movement</v>
      </c>
      <c r="D1752" s="2896">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5" t="str">
        <f>ORG!$S$1</f>
        <v>Apr 23</v>
      </c>
      <c r="B1753" t="str">
        <f>ORG!$M$1</f>
        <v>Public Health Wales Trust</v>
      </c>
      <c r="C1753" t="str">
        <f>'B1 - SOCNE SOCNI Movement'!$A$3</f>
        <v>Table B1 - SOCNE / SOCNI Movement</v>
      </c>
      <c r="D1753" s="2896">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5" t="str">
        <f>ORG!$S$1</f>
        <v>Apr 23</v>
      </c>
      <c r="B1754" t="str">
        <f>ORG!$M$1</f>
        <v>Public Health Wales Trust</v>
      </c>
      <c r="C1754" t="str">
        <f>'B1 - SOCNE SOCNI Movement'!$A$3</f>
        <v>Table B1 - SOCNE / SOCNI Movement</v>
      </c>
      <c r="D1754" s="2896">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283.82100000000003</v>
      </c>
      <c r="U1754">
        <f t="shared" si="398"/>
        <v>283.82100000000003</v>
      </c>
    </row>
    <row r="1755" spans="1:21">
      <c r="A1755" s="2895" t="str">
        <f>ORG!$S$1</f>
        <v>Apr 23</v>
      </c>
      <c r="B1755" t="str">
        <f>ORG!$M$1</f>
        <v>Public Health Wales Trust</v>
      </c>
      <c r="C1755" t="str">
        <f>'B1 - SOCNE SOCNI Movement'!$A$3</f>
        <v>Table B1 - SOCNE / SOCNI Movement</v>
      </c>
      <c r="D1755" s="2896">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v>
      </c>
      <c r="U1755">
        <f t="shared" si="398"/>
        <v>0</v>
      </c>
    </row>
    <row r="1756" spans="1:21">
      <c r="A1756" s="2895" t="str">
        <f>ORG!$S$1</f>
        <v>Apr 23</v>
      </c>
      <c r="B1756" t="str">
        <f>ORG!$M$1</f>
        <v>Public Health Wales Trust</v>
      </c>
      <c r="C1756" t="str">
        <f>'B1 - SOCNE SOCNI Movement'!$A$3</f>
        <v>Table B1 - SOCNE / SOCNI Movement</v>
      </c>
      <c r="D1756" s="2896">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5" t="str">
        <f>ORG!$S$1</f>
        <v>Apr 23</v>
      </c>
      <c r="B1757" t="str">
        <f>ORG!$M$1</f>
        <v>Public Health Wales Trust</v>
      </c>
      <c r="C1757" t="str">
        <f>'B1 - SOCNE SOCNI Movement'!$A$3</f>
        <v>Table B1 - SOCNE / SOCNI Movement</v>
      </c>
      <c r="D1757" s="2896">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5" t="str">
        <f>ORG!$S$1</f>
        <v>Apr 23</v>
      </c>
      <c r="B1758" t="str">
        <f>ORG!$M$1</f>
        <v>Public Health Wales Trust</v>
      </c>
      <c r="C1758" t="str">
        <f>'B1 - SOCNE SOCNI Movement'!$A$3</f>
        <v>Table B1 - SOCNE / SOCNI Movement</v>
      </c>
      <c r="D1758" s="2896">
        <f>'B1 - SOCNE SOCNI Movement'!B35</f>
        <v>28</v>
      </c>
      <c r="E1758" t="str">
        <f>'B1 - SOCNE SOCNI Movement'!$S$8&amp;" "&amp;'B1 - SOCNE SOCNI Movement'!S61</f>
        <v xml:space="preserve">VARIANCE ANALYSIS £'m </v>
      </c>
      <c r="F1758" t="str">
        <f>'B1 - SOCNE SOCNI Movement'!C35</f>
        <v>Total Expenditure</v>
      </c>
      <c r="S1758">
        <f>'B1 - SOCNE SOCNI Movement'!T35</f>
        <v>18147</v>
      </c>
      <c r="U1758">
        <f t="shared" si="398"/>
        <v>18147</v>
      </c>
    </row>
    <row r="1759" spans="1:21">
      <c r="A1759" s="2895" t="str">
        <f>ORG!$S$1</f>
        <v>Apr 23</v>
      </c>
      <c r="B1759" t="str">
        <f>ORG!$M$1</f>
        <v>Public Health Wales Trust</v>
      </c>
      <c r="C1759" t="str">
        <f>'B1 - SOCNE SOCNI Movement'!$A$3</f>
        <v>Table B1 - SOCNE / SOCNI Movement</v>
      </c>
      <c r="D1759" s="2896">
        <f>'B1 - SOCNE SOCNI Movement'!B36</f>
        <v>29</v>
      </c>
      <c r="E1759" t="str">
        <f>'B1 - SOCNE SOCNI Movement'!$S$8&amp;" "&amp;'B1 - SOCNE SOCNI Movement'!S62</f>
        <v xml:space="preserve">VARIANCE ANALYSIS £'m </v>
      </c>
      <c r="F1759" t="str">
        <f>'B1 - SOCNE SOCNI Movement'!C36</f>
        <v>Forecast Outturn</v>
      </c>
      <c r="S1759">
        <f>'B1 - SOCNE SOCNI Movement'!T36</f>
        <v>50</v>
      </c>
      <c r="U1759">
        <f t="shared" si="398"/>
        <v>50</v>
      </c>
    </row>
    <row r="1760" spans="1:21">
      <c r="A1760" s="2895" t="str">
        <f>ORG!$S$1</f>
        <v>Apr 23</v>
      </c>
      <c r="B1760" t="str">
        <f>ORG!$M$1</f>
        <v>Public Health Wales Trust</v>
      </c>
      <c r="C1760" t="str">
        <f>'B1 - SOCNE SOCNI Movement'!$A$3</f>
        <v>Table B1 - SOCNE / SOCNI Movement</v>
      </c>
      <c r="D1760" s="2896">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5" t="str">
        <f>ORG!$S$1</f>
        <v>Apr 23</v>
      </c>
      <c r="B1761" t="str">
        <f>ORG!$M$1</f>
        <v>Public Health Wales Trust</v>
      </c>
      <c r="C1761" t="str">
        <f>'B1 - SOCNE SOCNI Movement'!$A$3</f>
        <v>Table B1 - SOCNE / SOCNI Movement</v>
      </c>
      <c r="D1761" s="2896">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5" t="str">
        <f>ORG!$S$1</f>
        <v>Apr 23</v>
      </c>
      <c r="B1762" t="str">
        <f>ORG!$M$1</f>
        <v>Public Health Wales Trust</v>
      </c>
      <c r="C1762" t="str">
        <f>'B1 - SOCNE SOCNI Movement'!$A$3</f>
        <v>Table B1 - SOCNE / SOCNI Movement</v>
      </c>
      <c r="D1762" s="2896">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22680</v>
      </c>
      <c r="U1762">
        <f t="shared" si="398"/>
        <v>22680</v>
      </c>
    </row>
    <row r="1763" spans="1:21">
      <c r="A1763" s="2895" t="str">
        <f>ORG!$S$1</f>
        <v>Apr 23</v>
      </c>
      <c r="B1763" t="str">
        <f>ORG!$M$1</f>
        <v>Public Health Wales Trust</v>
      </c>
      <c r="C1763" t="str">
        <f>'B1 - SOCNE SOCNI Movement'!$A$3</f>
        <v>Table B1 - SOCNE / SOCNI Movement</v>
      </c>
      <c r="D1763" s="2896">
        <f>'B1 - SOCNE SOCNI Movement'!B13</f>
        <v>6</v>
      </c>
      <c r="E1763" t="str">
        <f>'B1 - SOCNE SOCNI Movement'!$S$8&amp;" "&amp;'B1 - SOCNE SOCNI Movement'!S66</f>
        <v xml:space="preserve">VARIANCE ANALYSIS £'m </v>
      </c>
      <c r="F1763" t="str">
        <f>'B1 - SOCNE SOCNI Movement'!C13</f>
        <v>WHSSC Income</v>
      </c>
      <c r="S1763">
        <f>'B1 - SOCNE SOCNI Movement'!U13</f>
        <v>16</v>
      </c>
      <c r="U1763">
        <f t="shared" si="398"/>
        <v>16</v>
      </c>
    </row>
    <row r="1764" spans="1:21">
      <c r="A1764" s="2895" t="str">
        <f>ORG!$S$1</f>
        <v>Apr 23</v>
      </c>
      <c r="B1764" t="str">
        <f>ORG!$M$1</f>
        <v>Public Health Wales Trust</v>
      </c>
      <c r="C1764" t="str">
        <f>'B1 - SOCNE SOCNI Movement'!$A$3</f>
        <v>Table B1 - SOCNE / SOCNI Movement</v>
      </c>
      <c r="D1764" s="2896">
        <f>'B1 - SOCNE SOCNI Movement'!B14</f>
        <v>7</v>
      </c>
      <c r="E1764" t="str">
        <f>'B1 - SOCNE SOCNI Movement'!$S$8&amp;" "&amp;'B1 - SOCNE SOCNI Movement'!S67</f>
        <v xml:space="preserve">VARIANCE ANALYSIS £'m </v>
      </c>
      <c r="F1764" t="str">
        <f>'B1 - SOCNE SOCNI Movement'!C14</f>
        <v>Welsh Government Income (Non RRL)</v>
      </c>
      <c r="S1764">
        <f>'B1 - SOCNE SOCNI Movement'!U14</f>
        <v>193784.01281097601</v>
      </c>
      <c r="U1764">
        <f t="shared" si="398"/>
        <v>193784.01281097601</v>
      </c>
    </row>
    <row r="1765" spans="1:21">
      <c r="A1765" s="2895" t="str">
        <f>ORG!$S$1</f>
        <v>Apr 23</v>
      </c>
      <c r="B1765" t="str">
        <f>ORG!$M$1</f>
        <v>Public Health Wales Trust</v>
      </c>
      <c r="C1765" t="str">
        <f>'B1 - SOCNE SOCNI Movement'!$A$3</f>
        <v>Table B1 - SOCNE / SOCNI Movement</v>
      </c>
      <c r="D1765" s="2896">
        <f>'B1 - SOCNE SOCNI Movement'!B15</f>
        <v>8</v>
      </c>
      <c r="E1765" t="str">
        <f>'B1 - SOCNE SOCNI Movement'!$S$8&amp;" "&amp;'B1 - SOCNE SOCNI Movement'!S68</f>
        <v xml:space="preserve">VARIANCE ANALYSIS £'m </v>
      </c>
      <c r="F1765" t="str">
        <f>'B1 - SOCNE SOCNI Movement'!C15</f>
        <v>Other Income</v>
      </c>
      <c r="S1765">
        <f>'B1 - SOCNE SOCNI Movement'!U15</f>
        <v>3817</v>
      </c>
      <c r="U1765">
        <f t="shared" si="398"/>
        <v>3817</v>
      </c>
    </row>
    <row r="1766" spans="1:21">
      <c r="A1766" s="2895" t="str">
        <f>ORG!$S$1</f>
        <v>Apr 23</v>
      </c>
      <c r="B1766" t="str">
        <f>ORG!$M$1</f>
        <v>Public Health Wales Trust</v>
      </c>
      <c r="C1766" t="str">
        <f>'B1 - SOCNE SOCNI Movement'!$A$3</f>
        <v>Table B1 - SOCNE / SOCNI Movement</v>
      </c>
      <c r="D1766" s="2896">
        <f>'B1 - SOCNE SOCNI Movement'!B16</f>
        <v>9</v>
      </c>
      <c r="E1766" t="str">
        <f>'B1 - SOCNE SOCNI Movement'!$S$8&amp;" "&amp;'B1 - SOCNE SOCNI Movement'!S69</f>
        <v xml:space="preserve">VARIANCE ANALYSIS £'m </v>
      </c>
      <c r="F1766" t="str">
        <f>'B1 - SOCNE SOCNI Movement'!C16</f>
        <v>Total Income</v>
      </c>
      <c r="S1766">
        <f>'B1 - SOCNE SOCNI Movement'!U16</f>
        <v>220297.01281097601</v>
      </c>
      <c r="U1766">
        <f t="shared" si="398"/>
        <v>220297.01281097601</v>
      </c>
    </row>
    <row r="1767" spans="1:21">
      <c r="A1767" s="2895" t="str">
        <f>ORG!$S$1</f>
        <v>Apr 23</v>
      </c>
      <c r="B1767" t="str">
        <f>ORG!$M$1</f>
        <v>Public Health Wales Trust</v>
      </c>
      <c r="C1767" t="str">
        <f>'B1 - SOCNE SOCNI Movement'!$A$3</f>
        <v>Table B1 - SOCNE / SOCNI Movement</v>
      </c>
      <c r="D1767" s="2896">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5" t="str">
        <f>ORG!$S$1</f>
        <v>Apr 23</v>
      </c>
      <c r="B1768" t="str">
        <f>ORG!$M$1</f>
        <v>Public Health Wales Trust</v>
      </c>
      <c r="C1768" t="str">
        <f>'B1 - SOCNE SOCNI Movement'!$A$3</f>
        <v>Table B1 - SOCNE / SOCNI Movement</v>
      </c>
      <c r="D1768" s="2896">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5" t="str">
        <f>ORG!$S$1</f>
        <v>Apr 23</v>
      </c>
      <c r="B1769" t="str">
        <f>ORG!$M$1</f>
        <v>Public Health Wales Trust</v>
      </c>
      <c r="C1769" t="str">
        <f>'B1 - SOCNE SOCNI Movement'!$A$3</f>
        <v>Table B1 - SOCNE / SOCNI Movement</v>
      </c>
      <c r="D1769" s="2896">
        <f>'B1 - SOCNE SOCNI Movement'!B19</f>
        <v>12</v>
      </c>
      <c r="E1769" t="str">
        <f>'B1 - SOCNE SOCNI Movement'!$S$8&amp;" "&amp;'B1 - SOCNE SOCNI Movement'!S72</f>
        <v xml:space="preserve">VARIANCE ANALYSIS £'m </v>
      </c>
      <c r="F1769" t="str">
        <f>'B1 - SOCNE SOCNI Movement'!C19</f>
        <v>Provided Services - Pay</v>
      </c>
      <c r="S1769">
        <f>'B1 - SOCNE SOCNI Movement'!U19</f>
        <v>118877.68945888888</v>
      </c>
      <c r="U1769">
        <f t="shared" si="398"/>
        <v>118877.68945888888</v>
      </c>
    </row>
    <row r="1770" spans="1:21">
      <c r="A1770" s="2895" t="str">
        <f>ORG!$S$1</f>
        <v>Apr 23</v>
      </c>
      <c r="B1770" t="str">
        <f>ORG!$M$1</f>
        <v>Public Health Wales Trust</v>
      </c>
      <c r="C1770" t="str">
        <f>'B1 - SOCNE SOCNI Movement'!$A$3</f>
        <v>Table B1 - SOCNE / SOCNI Movement</v>
      </c>
      <c r="D1770" s="2896">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98013.471352087116</v>
      </c>
      <c r="U1770">
        <f t="shared" si="398"/>
        <v>98013.471352087116</v>
      </c>
    </row>
    <row r="1771" spans="1:21">
      <c r="A1771" s="2895" t="str">
        <f>ORG!$S$1</f>
        <v>Apr 23</v>
      </c>
      <c r="B1771" t="str">
        <f>ORG!$M$1</f>
        <v>Public Health Wales Trust</v>
      </c>
      <c r="C1771" t="str">
        <f>'B1 - SOCNE SOCNI Movement'!$A$3</f>
        <v>Table B1 - SOCNE / SOCNI Movement</v>
      </c>
      <c r="D1771" s="2896">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5" t="str">
        <f>ORG!$S$1</f>
        <v>Apr 23</v>
      </c>
      <c r="B1772" t="str">
        <f>ORG!$M$1</f>
        <v>Public Health Wales Trust</v>
      </c>
      <c r="C1772" t="str">
        <f>'B1 - SOCNE SOCNI Movement'!$A$3</f>
        <v>Table B1 - SOCNE / SOCNI Movement</v>
      </c>
      <c r="D1772" s="2896">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5" t="str">
        <f>ORG!$S$1</f>
        <v>Apr 23</v>
      </c>
      <c r="B1773" t="str">
        <f>ORG!$M$1</f>
        <v>Public Health Wales Trust</v>
      </c>
      <c r="C1773" t="str">
        <f>'B1 - SOCNE SOCNI Movement'!$A$3</f>
        <v>Table B1 - SOCNE / SOCNI Movement</v>
      </c>
      <c r="D1773" s="2896">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5" t="str">
        <f>ORG!$S$1</f>
        <v>Apr 23</v>
      </c>
      <c r="B1774" t="str">
        <f>ORG!$M$1</f>
        <v>Public Health Wales Trust</v>
      </c>
      <c r="C1774" t="str">
        <f>'B1 - SOCNE SOCNI Movement'!$A$3</f>
        <v>Table B1 - SOCNE / SOCNI Movement</v>
      </c>
      <c r="D1774" s="2896">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5" t="str">
        <f>ORG!$S$1</f>
        <v>Apr 23</v>
      </c>
      <c r="B1775" t="str">
        <f>ORG!$M$1</f>
        <v>Public Health Wales Trust</v>
      </c>
      <c r="C1775" t="str">
        <f>'B1 - SOCNE SOCNI Movement'!$A$3</f>
        <v>Table B1 - SOCNE / SOCNI Movement</v>
      </c>
      <c r="D1775" s="2896">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5" t="str">
        <f>ORG!$S$1</f>
        <v>Apr 23</v>
      </c>
      <c r="B1776" t="str">
        <f>ORG!$M$1</f>
        <v>Public Health Wales Trust</v>
      </c>
      <c r="C1776" t="str">
        <f>'B1 - SOCNE SOCNI Movement'!$A$3</f>
        <v>Table B1 - SOCNE / SOCNI Movement</v>
      </c>
      <c r="D1776" s="2896">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5" t="str">
        <f>ORG!$S$1</f>
        <v>Apr 23</v>
      </c>
      <c r="B1777" t="str">
        <f>ORG!$M$1</f>
        <v>Public Health Wales Trust</v>
      </c>
      <c r="C1777" t="str">
        <f>'B1 - SOCNE SOCNI Movement'!$A$3</f>
        <v>Table B1 - SOCNE / SOCNI Movement</v>
      </c>
      <c r="D1777" s="2896">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5" t="str">
        <f>ORG!$S$1</f>
        <v>Apr 23</v>
      </c>
      <c r="B1778" t="str">
        <f>ORG!$M$1</f>
        <v>Public Health Wales Trust</v>
      </c>
      <c r="C1778" t="str">
        <f>'B1 - SOCNE SOCNI Movement'!$A$3</f>
        <v>Table B1 - SOCNE / SOCNI Movement</v>
      </c>
      <c r="D1778" s="2896">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5" t="str">
        <f>ORG!$S$1</f>
        <v>Apr 23</v>
      </c>
      <c r="B1779" t="str">
        <f>ORG!$M$1</f>
        <v>Public Health Wales Trust</v>
      </c>
      <c r="C1779" t="str">
        <f>'B1 - SOCNE SOCNI Movement'!$A$3</f>
        <v>Table B1 - SOCNE / SOCNI Movement</v>
      </c>
      <c r="D1779" s="2896">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5" t="str">
        <f>ORG!$S$1</f>
        <v>Apr 23</v>
      </c>
      <c r="B1780" t="str">
        <f>ORG!$M$1</f>
        <v>Public Health Wales Trust</v>
      </c>
      <c r="C1780" t="str">
        <f>'B1 - SOCNE SOCNI Movement'!$A$3</f>
        <v>Table B1 - SOCNE / SOCNI Movement</v>
      </c>
      <c r="D1780" s="2896">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5" t="str">
        <f>ORG!$S$1</f>
        <v>Apr 23</v>
      </c>
      <c r="B1781" t="str">
        <f>ORG!$M$1</f>
        <v>Public Health Wales Trust</v>
      </c>
      <c r="C1781" t="str">
        <f>'B1 - SOCNE SOCNI Movement'!$A$3</f>
        <v>Table B1 - SOCNE / SOCNI Movement</v>
      </c>
      <c r="D1781" s="2896">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3405.8519999999994</v>
      </c>
      <c r="U1781">
        <f t="shared" si="398"/>
        <v>3405.8519999999994</v>
      </c>
    </row>
    <row r="1782" spans="1:21">
      <c r="A1782" s="2895" t="str">
        <f>ORG!$S$1</f>
        <v>Apr 23</v>
      </c>
      <c r="B1782" t="str">
        <f>ORG!$M$1</f>
        <v>Public Health Wales Trust</v>
      </c>
      <c r="C1782" t="str">
        <f>'B1 - SOCNE SOCNI Movement'!$A$3</f>
        <v>Table B1 - SOCNE / SOCNI Movement</v>
      </c>
      <c r="D1782" s="2896">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0</v>
      </c>
      <c r="U1782">
        <f t="shared" si="398"/>
        <v>0</v>
      </c>
    </row>
    <row r="1783" spans="1:21">
      <c r="A1783" s="2895" t="str">
        <f>ORG!$S$1</f>
        <v>Apr 23</v>
      </c>
      <c r="B1783" t="str">
        <f>ORG!$M$1</f>
        <v>Public Health Wales Trust</v>
      </c>
      <c r="C1783" t="str">
        <f>'B1 - SOCNE SOCNI Movement'!$A$3</f>
        <v>Table B1 - SOCNE / SOCNI Movement</v>
      </c>
      <c r="D1783" s="2896">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5" t="str">
        <f>ORG!$S$1</f>
        <v>Apr 23</v>
      </c>
      <c r="B1784" t="str">
        <f>ORG!$M$1</f>
        <v>Public Health Wales Trust</v>
      </c>
      <c r="C1784" t="str">
        <f>'B1 - SOCNE SOCNI Movement'!$A$3</f>
        <v>Table B1 - SOCNE / SOCNI Movement</v>
      </c>
      <c r="D1784" s="2896">
        <f>'B1 - SOCNE SOCNI Movement'!B34</f>
        <v>27</v>
      </c>
      <c r="E1784" t="str">
        <f>'B1 - SOCNE SOCNI Movement'!$S$8&amp;" "&amp;'B1 - SOCNE SOCNI Movement'!S87</f>
        <v xml:space="preserve">VARIANCE ANALYSIS £'m </v>
      </c>
      <c r="F1784" t="str">
        <f>'B1 - SOCNE SOCNI Movement'!C34</f>
        <v>Profit\Loss Disposal of Assets</v>
      </c>
      <c r="S1784">
        <f>'B1 - SOCNE SOCNI Movement'!U34</f>
        <v>0</v>
      </c>
      <c r="U1784">
        <f t="shared" si="398"/>
        <v>0</v>
      </c>
    </row>
    <row r="1785" spans="1:21">
      <c r="A1785" s="2895" t="str">
        <f>ORG!$S$1</f>
        <v>Apr 23</v>
      </c>
      <c r="B1785" t="str">
        <f>ORG!$M$1</f>
        <v>Public Health Wales Trust</v>
      </c>
      <c r="C1785" t="str">
        <f>'B1 - SOCNE SOCNI Movement'!$A$3</f>
        <v>Table B1 - SOCNE / SOCNI Movement</v>
      </c>
      <c r="D1785" s="2896">
        <f>'B1 - SOCNE SOCNI Movement'!B35</f>
        <v>28</v>
      </c>
      <c r="E1785" t="str">
        <f>'B1 - SOCNE SOCNI Movement'!$S$8&amp;" "&amp;'B1 - SOCNE SOCNI Movement'!S88</f>
        <v xml:space="preserve">VARIANCE ANALYSIS £'m </v>
      </c>
      <c r="F1785" t="str">
        <f>'B1 - SOCNE SOCNI Movement'!C35</f>
        <v>Total Expenditure</v>
      </c>
      <c r="S1785">
        <f>'B1 - SOCNE SOCNI Movement'!U35</f>
        <v>220297.01281097595</v>
      </c>
      <c r="U1785">
        <f t="shared" si="398"/>
        <v>220297.01281097595</v>
      </c>
    </row>
    <row r="1786" spans="1:21">
      <c r="A1786" s="2895" t="str">
        <f>ORG!$S$1</f>
        <v>Apr 23</v>
      </c>
      <c r="B1786" t="str">
        <f>ORG!$M$1</f>
        <v>Public Health Wales Trust</v>
      </c>
      <c r="C1786" t="str">
        <f>'B1 - SOCNE SOCNI Movement'!$A$3</f>
        <v>Table B1 - SOCNE / SOCNI Movement</v>
      </c>
      <c r="D1786" s="2896">
        <f>'B1 - SOCNE SOCNI Movement'!B36</f>
        <v>29</v>
      </c>
      <c r="E1786" t="str">
        <f>'B1 - SOCNE SOCNI Movement'!$S$8&amp;" "&amp;'B1 - SOCNE SOCNI Movement'!S89</f>
        <v xml:space="preserve">VARIANCE ANALYSIS £'m </v>
      </c>
      <c r="F1786" t="str">
        <f>'B1 - SOCNE SOCNI Movement'!C36</f>
        <v>Forecast Outturn</v>
      </c>
      <c r="S1786">
        <f>'B1 - SOCNE SOCNI Movement'!U36</f>
        <v>7.2759576141834259E-12</v>
      </c>
      <c r="U1786">
        <f t="shared" si="398"/>
        <v>7.2759576141834259E-12</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zoomScale="70" zoomScaleNormal="70" workbookViewId="0">
      <selection activeCell="B19" sqref="B19"/>
    </sheetView>
  </sheetViews>
  <sheetFormatPr defaultColWidth="8.921875" defaultRowHeight="15.5"/>
  <cols>
    <col min="1" max="1" width="5.15234375" customWidth="1"/>
    <col min="2" max="2" width="70.07421875" customWidth="1"/>
    <col min="6" max="6" width="2.4609375" style="414" customWidth="1"/>
    <col min="10" max="10" width="2.61328125" style="760" customWidth="1"/>
    <col min="11" max="11" width="0" style="760" hidden="1" customWidth="1"/>
    <col min="12" max="12" width="8.921875" style="760"/>
    <col min="13" max="13" width="54.61328125" style="754" customWidth="1"/>
    <col min="14" max="14" width="70.4609375" customWidth="1"/>
  </cols>
  <sheetData>
    <row r="1" spans="1:40" ht="30">
      <c r="A1" s="79" t="str">
        <f>+Summary!A1</f>
        <v>Public Health Wales Trust</v>
      </c>
      <c r="B1" s="71"/>
      <c r="C1" s="71"/>
      <c r="D1" s="71"/>
      <c r="E1" s="71"/>
      <c r="F1" s="323"/>
      <c r="G1" s="71"/>
      <c r="H1" s="70" t="s">
        <v>80</v>
      </c>
      <c r="I1" s="140" t="str">
        <f>+Summary!H1</f>
        <v>Apr 23</v>
      </c>
      <c r="J1" s="759"/>
      <c r="K1" s="759"/>
      <c r="L1" s="759"/>
      <c r="M1" s="254" t="s">
        <v>910</v>
      </c>
      <c r="N1" s="862" t="str">
        <f>IF($O$17&gt;0," If there are any validation errors, you must include an explanation within your narrative","")</f>
        <v/>
      </c>
      <c r="O1" s="746"/>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9"/>
      <c r="K2" s="759"/>
      <c r="L2" s="759"/>
      <c r="M2" s="254"/>
      <c r="N2" s="48"/>
      <c r="O2" s="746"/>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4"/>
      <c r="G3" s="48"/>
      <c r="H3" s="48"/>
      <c r="I3" s="48"/>
      <c r="J3" s="759"/>
      <c r="K3" s="759"/>
      <c r="L3" s="759"/>
      <c r="M3" s="1147" t="s">
        <v>462</v>
      </c>
      <c r="N3" s="269"/>
      <c r="O3" s="864"/>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1"/>
      <c r="C4" s="844" t="str">
        <f>"This Table is currently showing "&amp;$O$17&amp;" errors"</f>
        <v>This Table is currently showing 0 errors</v>
      </c>
      <c r="D4" s="48"/>
      <c r="E4" s="48"/>
      <c r="F4" s="845"/>
      <c r="G4" s="845"/>
      <c r="H4" s="845" t="str">
        <f>IF($O$17&gt;0," Check validations cell M1","")</f>
        <v/>
      </c>
      <c r="I4" s="48"/>
      <c r="J4" s="759"/>
      <c r="K4" s="759"/>
      <c r="L4" s="759"/>
      <c r="M4" s="776" t="s">
        <v>345</v>
      </c>
      <c r="N4" s="770" t="str">
        <f>IF('I - Capital RLM'!$F$60&gt;0,"There is data in one or more monthly columns without supporting narrative in column B","Ok")</f>
        <v>Ok</v>
      </c>
      <c r="O4" s="840">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9" t="str">
        <f>IF($O$17&lt;=0,"","Some errors will be resolved when complete rows have data or associated tables are completed")</f>
        <v/>
      </c>
      <c r="D5" s="48"/>
      <c r="E5" s="48"/>
      <c r="F5" s="854"/>
      <c r="G5" s="861"/>
      <c r="H5" s="861"/>
      <c r="I5" s="48"/>
      <c r="J5" s="759"/>
      <c r="K5" s="759"/>
      <c r="L5" s="759"/>
      <c r="M5" s="776" t="s">
        <v>346</v>
      </c>
      <c r="N5" s="770" t="str">
        <f>IF('I - Capital RLM'!$J$60&gt;0,"There is data in one or more monthly columns without supporting narrative in column B","Ok")</f>
        <v>Ok</v>
      </c>
      <c r="O5" s="840">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9"/>
      <c r="K6" s="759"/>
      <c r="L6" s="759"/>
      <c r="M6" s="776" t="s">
        <v>347</v>
      </c>
      <c r="N6" s="770" t="str">
        <f>IF('I - Capital RLM'!$F$93&gt;0,"There is data in one or more monthly columns without supporting narrative in column B","Ok")</f>
        <v>Ok</v>
      </c>
      <c r="O6" s="840">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c r="D7" s="71"/>
      <c r="E7" s="71"/>
      <c r="F7" s="323"/>
      <c r="G7" s="71"/>
      <c r="H7" s="71"/>
      <c r="I7" s="71"/>
      <c r="J7" s="759"/>
      <c r="K7" s="759"/>
      <c r="L7" s="759"/>
      <c r="M7" s="776" t="s">
        <v>348</v>
      </c>
      <c r="N7" s="770" t="str">
        <f>IF('I - Capital RLM'!$J$93&gt;0,"There is data in one or more monthly columns without supporting narrative in column B","Ok")</f>
        <v>Ok</v>
      </c>
      <c r="O7" s="840">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c r="D8" s="71"/>
      <c r="E8" s="71"/>
      <c r="F8" s="323"/>
      <c r="G8" s="71"/>
      <c r="H8" s="71"/>
      <c r="I8" s="71"/>
      <c r="J8" s="759"/>
      <c r="K8" s="759"/>
      <c r="L8" s="759"/>
      <c r="M8" s="776" t="s">
        <v>349</v>
      </c>
      <c r="N8" s="770" t="str">
        <f>IF('I - Capital RLM'!$F$106&gt;0,"There is data in one or more monthly columns without supporting narrative in column B","Ok")</f>
        <v>Ok</v>
      </c>
      <c r="O8" s="840">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9"/>
      <c r="K9" s="759"/>
      <c r="L9" s="759"/>
      <c r="M9" s="776" t="s">
        <v>350</v>
      </c>
      <c r="N9" s="770" t="str">
        <f>IF('I - Capital RLM'!$J$106&gt;0,"There is data in one or more monthly columns without supporting narrative in column B","Ok")</f>
        <v>Ok</v>
      </c>
      <c r="O9" s="840">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071" t="s">
        <v>111</v>
      </c>
      <c r="D10" s="3244"/>
      <c r="E10" s="3072"/>
      <c r="F10" s="389"/>
      <c r="G10" s="3071" t="s">
        <v>39</v>
      </c>
      <c r="H10" s="3244"/>
      <c r="I10" s="3072"/>
      <c r="J10" s="759"/>
      <c r="K10" s="759"/>
      <c r="L10" s="759"/>
      <c r="M10" s="776" t="s">
        <v>351</v>
      </c>
      <c r="N10" s="770" t="str">
        <f>IF('I - Capital RLM'!$F$110&gt;0,"There is data in one or more monthly columns without supporting narrative in column B","Ok")</f>
        <v>Ok</v>
      </c>
      <c r="O10" s="840">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9"/>
      <c r="K11" s="192" t="s">
        <v>83</v>
      </c>
      <c r="L11" s="759"/>
      <c r="M11" s="776" t="s">
        <v>352</v>
      </c>
      <c r="N11" s="770" t="str">
        <f>IF('I - Capital RLM'!$J$110&gt;0,"There is data in one or more monthly columns without supporting narrative in column B","Ok")</f>
        <v>Ok</v>
      </c>
      <c r="O11" s="840">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9"/>
      <c r="K12" s="392" t="s">
        <v>100</v>
      </c>
      <c r="L12" s="759"/>
      <c r="M12" s="776" t="s">
        <v>353</v>
      </c>
      <c r="N12" s="770" t="str">
        <f>IF('I - Capital RLM'!$F$124&gt;0,"There is data in one or more monthly columns without supporting narrative in column B","Ok")</f>
        <v>Ok</v>
      </c>
      <c r="O12" s="840">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90"/>
      <c r="K13" s="278"/>
      <c r="L13" s="759"/>
      <c r="M13" s="776" t="s">
        <v>354</v>
      </c>
      <c r="N13" s="770" t="str">
        <f>IF('I - Capital RLM'!$J$124&gt;0,"There is data in one or more monthly columns without supporting narrative in column B","Ok")</f>
        <v>Ok</v>
      </c>
      <c r="O13" s="840">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90"/>
      <c r="K14" s="281"/>
      <c r="L14" s="759"/>
      <c r="M14" s="776" t="s">
        <v>992</v>
      </c>
      <c r="N14" s="770" t="str">
        <f>IF('J - Capital In Year Schemes'!$N$3&gt;Summary!$K$1,"Ok",IF(ABS('I - Capital RLM'!$H$95-'J - Capital In Year Schemes'!$S$78)&lt;=2,"Ok","Should equal Total Capital spend on Table J, to a tolerance of 2k to allow roundings"))</f>
        <v>Ok</v>
      </c>
      <c r="O14" s="840">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90"/>
      <c r="K15" s="281"/>
      <c r="L15" s="759"/>
      <c r="M15" s="776" t="s">
        <v>909</v>
      </c>
      <c r="N15" s="770" t="str">
        <f>IF(ABS('I - Capital RLM'!$H$124-'K - Capital Disposals'!$F$30)&lt;=2,"Ok","Should equal Asset Disposals on Table K, to a tolerance of 2k to allow roundings")</f>
        <v>Ok</v>
      </c>
      <c r="O15" s="840">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90"/>
      <c r="K16" s="281"/>
      <c r="L16" s="759"/>
      <c r="M16" s="776"/>
      <c r="N16" s="770"/>
      <c r="O16" s="840"/>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90"/>
      <c r="K17" s="281"/>
      <c r="L17" s="759"/>
      <c r="M17" s="863"/>
      <c r="N17" s="856"/>
      <c r="O17" s="840">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90"/>
      <c r="K18" s="281"/>
      <c r="L18" s="759"/>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c r="C19" s="27"/>
      <c r="D19" s="27"/>
      <c r="E19" s="397">
        <f>+D19-C19</f>
        <v>0</v>
      </c>
      <c r="F19" s="398">
        <f>IF(AND(D19&gt;0,B19=""),1,0)</f>
        <v>0</v>
      </c>
      <c r="G19" s="27"/>
      <c r="H19" s="27"/>
      <c r="I19" s="397">
        <f t="shared" ref="I19:I59" si="1">+H19-G19</f>
        <v>0</v>
      </c>
      <c r="J19" s="791">
        <f>IF(AND(H19&gt;0,B19=""),1,0)</f>
        <v>0</v>
      </c>
      <c r="K19" s="1870"/>
      <c r="L19" s="2473">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c r="C20" s="27"/>
      <c r="D20" s="27"/>
      <c r="E20" s="397">
        <f t="shared" ref="E20:E59" si="2">+D20-C20</f>
        <v>0</v>
      </c>
      <c r="F20" s="398">
        <f t="shared" ref="F20:F59" si="3">IF(AND(D20&gt;0,B20=""),1,0)</f>
        <v>0</v>
      </c>
      <c r="G20" s="27"/>
      <c r="H20" s="27"/>
      <c r="I20" s="397">
        <f t="shared" si="1"/>
        <v>0</v>
      </c>
      <c r="J20" s="791">
        <f t="shared" ref="J20:J59" si="4">IF(AND(H20&gt;0,B20=""),1,0)</f>
        <v>0</v>
      </c>
      <c r="K20" s="1871"/>
      <c r="L20" s="2473">
        <f t="shared" ref="L20:L59" si="5">IF(AND(ABS(G20)+ABS(H20)&gt;0,K20=""),1,0)</f>
        <v>0</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c r="C21" s="27"/>
      <c r="D21" s="27"/>
      <c r="E21" s="397">
        <f t="shared" si="2"/>
        <v>0</v>
      </c>
      <c r="F21" s="398">
        <f t="shared" si="3"/>
        <v>0</v>
      </c>
      <c r="G21" s="27"/>
      <c r="H21" s="27"/>
      <c r="I21" s="397">
        <f t="shared" si="1"/>
        <v>0</v>
      </c>
      <c r="J21" s="791">
        <f t="shared" si="4"/>
        <v>0</v>
      </c>
      <c r="K21" s="1871"/>
      <c r="L21" s="2473">
        <f t="shared" si="5"/>
        <v>0</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580"/>
      <c r="C22" s="27"/>
      <c r="D22" s="27"/>
      <c r="E22" s="397">
        <f t="shared" si="2"/>
        <v>0</v>
      </c>
      <c r="F22" s="398">
        <f t="shared" si="3"/>
        <v>0</v>
      </c>
      <c r="G22" s="27"/>
      <c r="H22" s="27"/>
      <c r="I22" s="397">
        <f t="shared" si="1"/>
        <v>0</v>
      </c>
      <c r="J22" s="791">
        <f t="shared" si="4"/>
        <v>0</v>
      </c>
      <c r="K22" s="1871"/>
      <c r="L22" s="2473">
        <f t="shared" si="5"/>
        <v>0</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c r="C23" s="27"/>
      <c r="D23" s="27"/>
      <c r="E23" s="397">
        <f t="shared" si="2"/>
        <v>0</v>
      </c>
      <c r="F23" s="398">
        <f t="shared" si="3"/>
        <v>0</v>
      </c>
      <c r="G23" s="27"/>
      <c r="H23" s="27"/>
      <c r="I23" s="397">
        <f t="shared" si="1"/>
        <v>0</v>
      </c>
      <c r="J23" s="791">
        <f t="shared" si="4"/>
        <v>0</v>
      </c>
      <c r="K23" s="1871"/>
      <c r="L23" s="2473">
        <f t="shared" si="5"/>
        <v>0</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c r="C24" s="27"/>
      <c r="D24" s="27"/>
      <c r="E24" s="397">
        <f t="shared" si="2"/>
        <v>0</v>
      </c>
      <c r="F24" s="398">
        <f t="shared" si="3"/>
        <v>0</v>
      </c>
      <c r="G24" s="27"/>
      <c r="H24" s="27"/>
      <c r="I24" s="397">
        <f t="shared" si="1"/>
        <v>0</v>
      </c>
      <c r="J24" s="791">
        <f t="shared" si="4"/>
        <v>0</v>
      </c>
      <c r="K24" s="1871"/>
      <c r="L24" s="2473">
        <f t="shared" si="5"/>
        <v>0</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1">
        <f t="shared" si="4"/>
        <v>0</v>
      </c>
      <c r="K25" s="1871"/>
      <c r="L25" s="2473">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1">
        <f t="shared" si="4"/>
        <v>0</v>
      </c>
      <c r="K26" s="1871"/>
      <c r="L26" s="2473">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c r="C27" s="27"/>
      <c r="D27" s="27"/>
      <c r="E27" s="397">
        <f t="shared" si="2"/>
        <v>0</v>
      </c>
      <c r="F27" s="398">
        <f t="shared" si="3"/>
        <v>0</v>
      </c>
      <c r="G27" s="27"/>
      <c r="H27" s="27"/>
      <c r="I27" s="397">
        <f t="shared" si="1"/>
        <v>0</v>
      </c>
      <c r="J27" s="791">
        <f t="shared" si="4"/>
        <v>0</v>
      </c>
      <c r="K27" s="1871"/>
      <c r="L27" s="2473">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580"/>
      <c r="C28" s="27"/>
      <c r="D28" s="27"/>
      <c r="E28" s="397">
        <f t="shared" si="2"/>
        <v>0</v>
      </c>
      <c r="F28" s="398">
        <f t="shared" si="3"/>
        <v>0</v>
      </c>
      <c r="G28" s="27"/>
      <c r="H28" s="27"/>
      <c r="I28" s="397">
        <f t="shared" si="1"/>
        <v>0</v>
      </c>
      <c r="J28" s="791">
        <f t="shared" si="4"/>
        <v>0</v>
      </c>
      <c r="K28" s="1871"/>
      <c r="L28" s="2473">
        <f t="shared" si="5"/>
        <v>0</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1">
        <f t="shared" si="4"/>
        <v>0</v>
      </c>
      <c r="K29" s="1871"/>
      <c r="L29" s="2473">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1">
        <f t="shared" si="4"/>
        <v>0</v>
      </c>
      <c r="K30" s="1871"/>
      <c r="L30" s="2473">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1">
        <f t="shared" si="4"/>
        <v>0</v>
      </c>
      <c r="K31" s="1871"/>
      <c r="L31" s="2473">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1">
        <f t="shared" si="4"/>
        <v>0</v>
      </c>
      <c r="K32" s="1871"/>
      <c r="L32" s="2473">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1">
        <f t="shared" si="4"/>
        <v>0</v>
      </c>
      <c r="K33" s="1871"/>
      <c r="L33" s="2473">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1">
        <f t="shared" si="4"/>
        <v>0</v>
      </c>
      <c r="K34" s="1871"/>
      <c r="L34" s="2473">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1">
        <f t="shared" si="4"/>
        <v>0</v>
      </c>
      <c r="K35" s="1871"/>
      <c r="L35" s="2473">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1">
        <f t="shared" si="4"/>
        <v>0</v>
      </c>
      <c r="K36" s="1871"/>
      <c r="L36" s="2473">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1">
        <f t="shared" si="4"/>
        <v>0</v>
      </c>
      <c r="K37" s="1871"/>
      <c r="L37" s="2473">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1">
        <f t="shared" si="4"/>
        <v>0</v>
      </c>
      <c r="K38" s="1871"/>
      <c r="L38" s="2473">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1">
        <f t="shared" si="4"/>
        <v>0</v>
      </c>
      <c r="K39" s="1871"/>
      <c r="L39" s="2473">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1">
        <f t="shared" si="4"/>
        <v>0</v>
      </c>
      <c r="K40" s="1871"/>
      <c r="L40" s="2473">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1">
        <f t="shared" si="4"/>
        <v>0</v>
      </c>
      <c r="K41" s="1871"/>
      <c r="L41" s="2473">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1">
        <f t="shared" si="4"/>
        <v>0</v>
      </c>
      <c r="K42" s="1871"/>
      <c r="L42" s="2473">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1">
        <f t="shared" si="4"/>
        <v>0</v>
      </c>
      <c r="K43" s="1871"/>
      <c r="L43" s="2473">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1">
        <f t="shared" si="4"/>
        <v>0</v>
      </c>
      <c r="K44" s="1871"/>
      <c r="L44" s="2473">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1">
        <f t="shared" si="4"/>
        <v>0</v>
      </c>
      <c r="K45" s="1871"/>
      <c r="L45" s="2473">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1">
        <f t="shared" si="4"/>
        <v>0</v>
      </c>
      <c r="K46" s="1871"/>
      <c r="L46" s="2473">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1">
        <f t="shared" si="4"/>
        <v>0</v>
      </c>
      <c r="K47" s="1871"/>
      <c r="L47" s="2473">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1">
        <f t="shared" si="4"/>
        <v>0</v>
      </c>
      <c r="K48" s="1871"/>
      <c r="L48" s="2473">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1">
        <f t="shared" si="4"/>
        <v>0</v>
      </c>
      <c r="K49" s="1871"/>
      <c r="L49" s="2473">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1">
        <f t="shared" si="4"/>
        <v>0</v>
      </c>
      <c r="K50" s="1871"/>
      <c r="L50" s="2473">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1">
        <f t="shared" si="4"/>
        <v>0</v>
      </c>
      <c r="K51" s="1871"/>
      <c r="L51" s="2473">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1">
        <f t="shared" si="4"/>
        <v>0</v>
      </c>
      <c r="K52" s="1871"/>
      <c r="L52" s="2473">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1">
        <f t="shared" si="4"/>
        <v>0</v>
      </c>
      <c r="K53" s="1871"/>
      <c r="L53" s="2473">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1">
        <f t="shared" si="4"/>
        <v>0</v>
      </c>
      <c r="K54" s="1871"/>
      <c r="L54" s="2473">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1">
        <f t="shared" si="4"/>
        <v>0</v>
      </c>
      <c r="K55" s="1871"/>
      <c r="L55" s="2473">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1">
        <f t="shared" si="4"/>
        <v>0</v>
      </c>
      <c r="K56" s="1871"/>
      <c r="L56" s="2473">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1">
        <f t="shared" si="4"/>
        <v>0</v>
      </c>
      <c r="K57" s="1871"/>
      <c r="L57" s="2473">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1">
        <f t="shared" si="4"/>
        <v>0</v>
      </c>
      <c r="K58" s="1871"/>
      <c r="L58" s="2473">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4"/>
      <c r="C59" s="47"/>
      <c r="D59" s="47"/>
      <c r="E59" s="399">
        <f t="shared" si="2"/>
        <v>0</v>
      </c>
      <c r="F59" s="398">
        <f t="shared" si="3"/>
        <v>0</v>
      </c>
      <c r="G59" s="47"/>
      <c r="H59" s="47"/>
      <c r="I59" s="399">
        <f t="shared" si="1"/>
        <v>0</v>
      </c>
      <c r="J59" s="791">
        <f t="shared" si="4"/>
        <v>0</v>
      </c>
      <c r="K59" s="1872"/>
      <c r="L59" s="2473">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0</v>
      </c>
      <c r="D60" s="117">
        <f t="shared" si="6"/>
        <v>0</v>
      </c>
      <c r="E60" s="117">
        <f t="shared" si="6"/>
        <v>0</v>
      </c>
      <c r="F60" s="398">
        <f t="shared" si="6"/>
        <v>0</v>
      </c>
      <c r="G60" s="117">
        <f t="shared" si="6"/>
        <v>0</v>
      </c>
      <c r="H60" s="117">
        <f t="shared" si="6"/>
        <v>0</v>
      </c>
      <c r="I60" s="117">
        <f t="shared" si="6"/>
        <v>0</v>
      </c>
      <c r="J60" s="791">
        <f t="shared" si="6"/>
        <v>0</v>
      </c>
      <c r="K60" s="759"/>
      <c r="L60" s="759"/>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90"/>
      <c r="K61" s="759"/>
      <c r="L61" s="759"/>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90"/>
      <c r="K62" s="759"/>
      <c r="L62" s="759"/>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90"/>
      <c r="K63" s="759"/>
      <c r="L63" s="759"/>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c r="D64" s="27"/>
      <c r="E64" s="397">
        <f>+D64-C64</f>
        <v>0</v>
      </c>
      <c r="F64" s="323"/>
      <c r="G64" s="27"/>
      <c r="H64" s="27"/>
      <c r="I64" s="397">
        <f>+H64-G64</f>
        <v>0</v>
      </c>
      <c r="J64" s="790"/>
      <c r="K64" s="1870"/>
      <c r="L64" s="2473">
        <f>IF(AND(ABS(G64)+ABS(H64)&gt;0,K64=""),1,0)</f>
        <v>0</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c r="D65" s="27"/>
      <c r="E65" s="397">
        <f>+D65-C65</f>
        <v>0</v>
      </c>
      <c r="F65" s="323"/>
      <c r="G65" s="27"/>
      <c r="H65" s="27"/>
      <c r="I65" s="397">
        <f>+H65-G65</f>
        <v>0</v>
      </c>
      <c r="J65" s="790"/>
      <c r="K65" s="1871"/>
      <c r="L65" s="2473">
        <f>IF(AND(ABS(G65)+ABS(H65)&gt;0,K65=""),1,0)</f>
        <v>0</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90"/>
      <c r="K66" s="1871"/>
      <c r="L66" s="2473">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c r="D67" s="27"/>
      <c r="E67" s="397">
        <f>+D67-C67</f>
        <v>0</v>
      </c>
      <c r="F67" s="323"/>
      <c r="G67" s="27"/>
      <c r="H67" s="27"/>
      <c r="I67" s="397">
        <f>+H67-G67</f>
        <v>0</v>
      </c>
      <c r="J67" s="790"/>
      <c r="K67" s="1871"/>
      <c r="L67" s="2473">
        <f>IF(AND(ABS(G67)+ABS(H67)&gt;0,K67=""),1,0)</f>
        <v>0</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c r="D68" s="28"/>
      <c r="E68" s="403">
        <f>+D68-C68</f>
        <v>0</v>
      </c>
      <c r="F68" s="323"/>
      <c r="G68" s="28"/>
      <c r="H68" s="28"/>
      <c r="I68" s="403">
        <f>+H68-G68</f>
        <v>0</v>
      </c>
      <c r="J68" s="790"/>
      <c r="K68" s="1872"/>
      <c r="L68" s="2473">
        <f>IF(AND(ABS(G68)+ABS(H68)&gt;0,K68=""),1,0)</f>
        <v>0</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0</v>
      </c>
      <c r="D69" s="117">
        <f>SUM(D64:D68)</f>
        <v>0</v>
      </c>
      <c r="E69" s="117">
        <f>SUM(E64:E68)</f>
        <v>0</v>
      </c>
      <c r="F69" s="323"/>
      <c r="G69" s="117">
        <f>SUM(G64:G68)</f>
        <v>0</v>
      </c>
      <c r="H69" s="117">
        <f>SUM(H64:H68)</f>
        <v>0</v>
      </c>
      <c r="I69" s="117">
        <f>SUM(I64:I68)</f>
        <v>0</v>
      </c>
      <c r="J69" s="790"/>
      <c r="K69" s="759"/>
      <c r="L69" s="759"/>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90"/>
      <c r="K70" s="759"/>
      <c r="L70" s="759"/>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90"/>
      <c r="K71" s="759"/>
      <c r="L71" s="759"/>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90"/>
      <c r="K72" s="759"/>
      <c r="L72" s="759"/>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90">
        <f t="shared" ref="J73:J92" si="10">IF(AND(H73&gt;0,B73=""),1,0)</f>
        <v>0</v>
      </c>
      <c r="K73" s="1870"/>
      <c r="L73" s="2473">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90">
        <f t="shared" si="10"/>
        <v>0</v>
      </c>
      <c r="K74" s="1871"/>
      <c r="L74" s="2473">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90">
        <f t="shared" si="10"/>
        <v>0</v>
      </c>
      <c r="K75" s="1871"/>
      <c r="L75" s="2473">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90">
        <f t="shared" si="10"/>
        <v>0</v>
      </c>
      <c r="K76" s="1871"/>
      <c r="L76" s="2473">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90">
        <f t="shared" si="10"/>
        <v>0</v>
      </c>
      <c r="K77" s="1871"/>
      <c r="L77" s="2473">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90">
        <f t="shared" si="10"/>
        <v>0</v>
      </c>
      <c r="K78" s="1871"/>
      <c r="L78" s="2473">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90">
        <f t="shared" si="10"/>
        <v>0</v>
      </c>
      <c r="K79" s="1871"/>
      <c r="L79" s="2473">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90">
        <f t="shared" si="10"/>
        <v>0</v>
      </c>
      <c r="K80" s="1871"/>
      <c r="L80" s="2473">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90">
        <f t="shared" si="10"/>
        <v>0</v>
      </c>
      <c r="K81" s="1871"/>
      <c r="L81" s="2473">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90">
        <f t="shared" si="10"/>
        <v>0</v>
      </c>
      <c r="K82" s="1871"/>
      <c r="L82" s="2473">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90">
        <f t="shared" si="10"/>
        <v>0</v>
      </c>
      <c r="K83" s="1871"/>
      <c r="L83" s="2473">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90">
        <f t="shared" si="10"/>
        <v>0</v>
      </c>
      <c r="K84" s="1871"/>
      <c r="L84" s="2473">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90">
        <f t="shared" si="10"/>
        <v>0</v>
      </c>
      <c r="K85" s="1871"/>
      <c r="L85" s="2473">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90">
        <f t="shared" si="10"/>
        <v>0</v>
      </c>
      <c r="K86" s="1871"/>
      <c r="L86" s="2473">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90">
        <f t="shared" si="10"/>
        <v>0</v>
      </c>
      <c r="K87" s="1871"/>
      <c r="L87" s="2473">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90">
        <f t="shared" si="10"/>
        <v>0</v>
      </c>
      <c r="K88" s="1871"/>
      <c r="L88" s="2473">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90">
        <f t="shared" si="10"/>
        <v>0</v>
      </c>
      <c r="K89" s="1871"/>
      <c r="L89" s="2473">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90">
        <f t="shared" si="10"/>
        <v>0</v>
      </c>
      <c r="K90" s="1871"/>
      <c r="L90" s="2473">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90">
        <f t="shared" si="10"/>
        <v>0</v>
      </c>
      <c r="K91" s="1871"/>
      <c r="L91" s="2473">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90">
        <f t="shared" si="10"/>
        <v>0</v>
      </c>
      <c r="K92" s="1872"/>
      <c r="L92" s="2473">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90">
        <f t="shared" si="12"/>
        <v>0</v>
      </c>
      <c r="K93" s="759"/>
      <c r="L93" s="759"/>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90"/>
      <c r="K94" s="759"/>
      <c r="L94" s="759"/>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0</v>
      </c>
      <c r="D95" s="117">
        <f>+D60+D69+D93</f>
        <v>0</v>
      </c>
      <c r="E95" s="117">
        <f>IF(C95&lt;&gt;"",D95-C95,"")</f>
        <v>0</v>
      </c>
      <c r="F95" s="323"/>
      <c r="G95" s="117">
        <f>+G60+G69+G93</f>
        <v>0</v>
      </c>
      <c r="H95" s="117">
        <f>+H60+H69+H93</f>
        <v>0</v>
      </c>
      <c r="I95" s="117">
        <f>IF(G95&lt;&gt;"",H95-G95,"")</f>
        <v>0</v>
      </c>
      <c r="J95" s="790"/>
      <c r="K95" s="759"/>
      <c r="L95" s="759"/>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90"/>
      <c r="K96" s="759"/>
      <c r="L96" s="759"/>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90"/>
      <c r="K97" s="759"/>
      <c r="L97" s="759"/>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90"/>
      <c r="K98" s="759"/>
      <c r="L98" s="759"/>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90"/>
      <c r="K99" s="759"/>
      <c r="L99" s="759"/>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90"/>
      <c r="K100" s="759"/>
      <c r="L100" s="759"/>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90">
        <f>IF(AND(H101&gt;0,B101=""),1,0)</f>
        <v>0</v>
      </c>
      <c r="K101" s="1870"/>
      <c r="L101" s="2473">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90">
        <f>IF(AND(H102&gt;0,B102=""),1,0)</f>
        <v>0</v>
      </c>
      <c r="K102" s="1871"/>
      <c r="L102" s="2473">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90">
        <f>IF(AND(H103&gt;0,B103=""),1,0)</f>
        <v>0</v>
      </c>
      <c r="K103" s="1871"/>
      <c r="L103" s="2473">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90">
        <f>IF(AND(H104&gt;0,B104=""),1,0)</f>
        <v>0</v>
      </c>
      <c r="K104" s="1871"/>
      <c r="L104" s="2473">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90">
        <f>IF(AND(H105&gt;0,B105=""),1,0)</f>
        <v>0</v>
      </c>
      <c r="K105" s="1872"/>
      <c r="L105" s="2473">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90">
        <f t="shared" si="13"/>
        <v>0</v>
      </c>
      <c r="K106" s="759"/>
      <c r="L106" s="759"/>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90"/>
      <c r="K107" s="759"/>
      <c r="L107" s="759"/>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90"/>
      <c r="K108" s="759"/>
      <c r="L108" s="759"/>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90">
        <f>IF(AND(H109&gt;0,B109=""),1,0)</f>
        <v>0</v>
      </c>
      <c r="K109" s="1873"/>
      <c r="L109" s="2473">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90">
        <f>+J109</f>
        <v>0</v>
      </c>
      <c r="K110" s="759"/>
      <c r="L110" s="759"/>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90"/>
      <c r="K111" s="759"/>
      <c r="L111" s="759"/>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9"/>
      <c r="G112" s="402"/>
      <c r="H112" s="402"/>
      <c r="I112" s="402"/>
      <c r="J112" s="790"/>
      <c r="K112" s="759"/>
      <c r="L112" s="759"/>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c r="C113" s="27"/>
      <c r="D113" s="27"/>
      <c r="E113" s="397">
        <f t="shared" ref="E113:E123" si="15">+D113-C113</f>
        <v>0</v>
      </c>
      <c r="F113" s="323">
        <f t="shared" ref="F113:F123" si="16">IF(AND(D113&gt;0,B113=""),1,0)</f>
        <v>0</v>
      </c>
      <c r="G113" s="27"/>
      <c r="H113" s="27"/>
      <c r="I113" s="397">
        <f t="shared" ref="I113:I123" si="17">+H113-G113</f>
        <v>0</v>
      </c>
      <c r="J113" s="323">
        <f t="shared" ref="J113:J123" si="18">IF(AND(H113&gt;0,B113=""),1,0)</f>
        <v>0</v>
      </c>
      <c r="K113" s="1870"/>
      <c r="L113" s="2473">
        <f t="shared" ref="L113:L123" si="19">IF(AND(ABS(G113)+ABS(H113)&gt;0,K113=""),1,0)</f>
        <v>0</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c r="C114" s="27"/>
      <c r="D114" s="27"/>
      <c r="E114" s="397">
        <f t="shared" si="15"/>
        <v>0</v>
      </c>
      <c r="F114" s="323">
        <f t="shared" si="16"/>
        <v>0</v>
      </c>
      <c r="G114" s="27"/>
      <c r="H114" s="27"/>
      <c r="I114" s="397">
        <f t="shared" si="17"/>
        <v>0</v>
      </c>
      <c r="J114" s="323">
        <f t="shared" si="18"/>
        <v>0</v>
      </c>
      <c r="K114" s="1871"/>
      <c r="L114" s="2473">
        <f t="shared" si="19"/>
        <v>0</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c r="C115" s="27"/>
      <c r="D115" s="27"/>
      <c r="E115" s="397">
        <f t="shared" si="15"/>
        <v>0</v>
      </c>
      <c r="F115" s="323">
        <f t="shared" si="16"/>
        <v>0</v>
      </c>
      <c r="G115" s="27"/>
      <c r="H115" s="27"/>
      <c r="I115" s="397">
        <f t="shared" si="17"/>
        <v>0</v>
      </c>
      <c r="J115" s="323">
        <f>IF(AND(H115&gt;0,B115=""),1,0)</f>
        <v>0</v>
      </c>
      <c r="K115" s="1871"/>
      <c r="L115" s="2473">
        <f t="shared" si="19"/>
        <v>0</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c r="C116" s="27"/>
      <c r="D116" s="27"/>
      <c r="E116" s="397">
        <f t="shared" si="15"/>
        <v>0</v>
      </c>
      <c r="F116" s="323">
        <f t="shared" si="16"/>
        <v>0</v>
      </c>
      <c r="G116" s="27"/>
      <c r="H116" s="27"/>
      <c r="I116" s="397">
        <f t="shared" si="17"/>
        <v>0</v>
      </c>
      <c r="J116" s="323">
        <f t="shared" si="18"/>
        <v>0</v>
      </c>
      <c r="K116" s="1871"/>
      <c r="L116" s="2473">
        <f t="shared" si="19"/>
        <v>0</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1"/>
      <c r="L117" s="2473">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1"/>
      <c r="L118" s="2473">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1"/>
      <c r="L119" s="2473">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1"/>
      <c r="L120" s="2473">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1"/>
      <c r="L121" s="2473">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1"/>
      <c r="L122" s="2473">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2"/>
      <c r="L123" s="2473">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0</v>
      </c>
      <c r="E124" s="117">
        <f t="shared" si="20"/>
        <v>0</v>
      </c>
      <c r="F124" s="323">
        <f t="shared" si="20"/>
        <v>0</v>
      </c>
      <c r="G124" s="117">
        <f t="shared" si="20"/>
        <v>0</v>
      </c>
      <c r="H124" s="117">
        <f t="shared" si="20"/>
        <v>0</v>
      </c>
      <c r="I124" s="117">
        <f t="shared" si="20"/>
        <v>0</v>
      </c>
      <c r="J124" s="323">
        <f>SUM(J113:J123)</f>
        <v>0</v>
      </c>
      <c r="K124" s="759"/>
      <c r="L124" s="759"/>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90"/>
      <c r="K125" s="759"/>
      <c r="L125" s="759"/>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90"/>
      <c r="K126" s="759"/>
      <c r="L126" s="2473">
        <f>SUM(L19:L125)</f>
        <v>0</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90"/>
      <c r="K127" s="759"/>
      <c r="L127" s="759"/>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90"/>
      <c r="K128" s="759"/>
      <c r="L128" s="759"/>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0</v>
      </c>
      <c r="D129" s="117">
        <f>+D95-SUM(D106+D110+D124)+D126</f>
        <v>0</v>
      </c>
      <c r="E129" s="117">
        <f>+E95-SUM(E106+E110+E124)+E126</f>
        <v>0</v>
      </c>
      <c r="F129" s="323"/>
      <c r="G129" s="117">
        <f>+G95-SUM(G106+G110+G124)+G126</f>
        <v>0</v>
      </c>
      <c r="H129" s="117">
        <f>+H95-SUM(H106+H110+H124)+H126</f>
        <v>0</v>
      </c>
      <c r="I129" s="117">
        <f>+I95-SUM(I106+I110+I124)+I126</f>
        <v>0</v>
      </c>
      <c r="J129" s="790"/>
      <c r="K129" s="759"/>
      <c r="L129" s="759"/>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90"/>
      <c r="K130" s="759"/>
      <c r="L130" s="759"/>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0</v>
      </c>
      <c r="E131" s="358"/>
      <c r="F131" s="323"/>
      <c r="G131" s="358"/>
      <c r="H131" s="117">
        <f>+H129-C7</f>
        <v>0</v>
      </c>
      <c r="I131" s="358"/>
      <c r="J131" s="790"/>
      <c r="K131" s="759"/>
      <c r="L131" s="759"/>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90"/>
      <c r="K132" s="759"/>
      <c r="L132" s="759"/>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90"/>
      <c r="K133" s="759"/>
      <c r="L133" s="759"/>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90"/>
      <c r="K134" s="759"/>
      <c r="L134" s="759"/>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9"/>
      <c r="K135" s="759"/>
      <c r="L135" s="759"/>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9"/>
      <c r="K136" s="759"/>
      <c r="L136" s="759"/>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9"/>
      <c r="K137" s="759"/>
      <c r="L137" s="759"/>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9"/>
      <c r="K138" s="759"/>
      <c r="L138" s="759"/>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9"/>
      <c r="K139" s="759"/>
      <c r="L139" s="759"/>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9"/>
      <c r="K140" s="759"/>
      <c r="L140" s="759"/>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9"/>
      <c r="K141" s="759"/>
      <c r="L141" s="759"/>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9"/>
      <c r="K142" s="759"/>
      <c r="L142" s="759"/>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9"/>
      <c r="K143" s="759"/>
      <c r="L143" s="759"/>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9"/>
      <c r="K144" s="759"/>
      <c r="L144" s="759"/>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9"/>
      <c r="K145" s="759"/>
      <c r="L145" s="759"/>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9"/>
      <c r="K146" s="759"/>
      <c r="L146" s="759"/>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9"/>
      <c r="K147" s="759"/>
      <c r="L147" s="759"/>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9"/>
      <c r="K148" s="759"/>
      <c r="L148" s="759"/>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9"/>
      <c r="K149" s="759"/>
      <c r="L149" s="759"/>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9"/>
      <c r="K150" s="759"/>
      <c r="L150" s="759"/>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9"/>
      <c r="K151" s="759"/>
      <c r="L151" s="759"/>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9"/>
      <c r="K152" s="759"/>
      <c r="L152" s="759"/>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9"/>
      <c r="K153" s="759"/>
      <c r="L153" s="759"/>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9"/>
      <c r="K154" s="759"/>
      <c r="L154" s="759"/>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9"/>
      <c r="K155" s="759"/>
      <c r="L155" s="759"/>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9"/>
      <c r="K156" s="759"/>
      <c r="L156" s="759"/>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9"/>
      <c r="K157" s="759"/>
      <c r="L157" s="759"/>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9"/>
      <c r="K158" s="759"/>
      <c r="L158" s="759"/>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9"/>
      <c r="K159" s="759"/>
      <c r="L159" s="759"/>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9"/>
      <c r="K160" s="759"/>
      <c r="L160" s="759"/>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9"/>
      <c r="K161" s="759"/>
      <c r="L161" s="759"/>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9"/>
      <c r="K162" s="759"/>
      <c r="L162" s="759"/>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9"/>
      <c r="K163" s="759"/>
      <c r="L163" s="759"/>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9"/>
      <c r="K164" s="759"/>
      <c r="L164" s="759"/>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9"/>
      <c r="K165" s="759"/>
      <c r="L165" s="759"/>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9"/>
      <c r="K166" s="759"/>
      <c r="L166" s="759"/>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9"/>
      <c r="K167" s="759"/>
      <c r="L167" s="759"/>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9"/>
      <c r="K168" s="759"/>
      <c r="L168" s="759"/>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9"/>
      <c r="K169" s="759"/>
      <c r="L169" s="759"/>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9"/>
      <c r="K170" s="759"/>
      <c r="L170" s="759"/>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9"/>
      <c r="K171" s="759"/>
      <c r="L171" s="759"/>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9"/>
      <c r="K172" s="759"/>
      <c r="L172" s="759"/>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9"/>
      <c r="K173" s="759"/>
      <c r="L173" s="759"/>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9"/>
      <c r="K174" s="759"/>
      <c r="L174" s="759"/>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9"/>
      <c r="K175" s="759"/>
      <c r="L175" s="759"/>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9"/>
      <c r="K176" s="759"/>
      <c r="L176" s="759"/>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9"/>
      <c r="K177" s="759"/>
      <c r="L177" s="759"/>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9"/>
      <c r="K178" s="759"/>
      <c r="L178" s="759"/>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9"/>
      <c r="K179" s="759"/>
      <c r="L179" s="759"/>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9"/>
      <c r="K180" s="759"/>
      <c r="L180" s="759"/>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9"/>
      <c r="K181" s="759"/>
      <c r="L181" s="759"/>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9"/>
      <c r="K182" s="759"/>
      <c r="L182" s="759"/>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9"/>
      <c r="K183" s="759"/>
      <c r="L183" s="759"/>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9"/>
      <c r="K184" s="759"/>
      <c r="L184" s="759"/>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9"/>
      <c r="K185" s="759"/>
      <c r="L185" s="759"/>
      <c r="M185" s="766"/>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9"/>
      <c r="K186" s="759"/>
      <c r="L186" s="759"/>
      <c r="M186" s="766"/>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9"/>
      <c r="K187" s="759"/>
      <c r="L187" s="759"/>
      <c r="M187" s="766"/>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9"/>
      <c r="K188" s="759"/>
      <c r="L188" s="759"/>
      <c r="M188" s="766"/>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9"/>
      <c r="K189" s="759"/>
      <c r="L189" s="759"/>
      <c r="M189" s="766"/>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9"/>
      <c r="K190" s="759"/>
      <c r="L190" s="759"/>
      <c r="M190" s="766"/>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9"/>
      <c r="K191" s="759"/>
      <c r="L191" s="759"/>
      <c r="M191" s="766"/>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9"/>
      <c r="K192" s="759"/>
      <c r="L192" s="759"/>
      <c r="M192" s="766"/>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9"/>
      <c r="K193" s="759"/>
      <c r="L193" s="759"/>
      <c r="M193" s="766"/>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9"/>
      <c r="K194" s="759"/>
      <c r="L194" s="759"/>
      <c r="M194" s="766"/>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9"/>
      <c r="K195" s="759"/>
      <c r="L195" s="759"/>
      <c r="M195" s="766"/>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9"/>
      <c r="K196" s="759"/>
      <c r="L196" s="759"/>
      <c r="M196" s="766"/>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9"/>
      <c r="K197" s="759"/>
      <c r="L197" s="759"/>
      <c r="M197" s="766"/>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9"/>
      <c r="K198" s="759"/>
      <c r="L198" s="759"/>
      <c r="M198" s="766"/>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9"/>
      <c r="K199" s="759"/>
      <c r="L199" s="759"/>
      <c r="M199" s="766"/>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9"/>
      <c r="K200" s="759"/>
      <c r="L200" s="759"/>
      <c r="M200" s="766"/>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9"/>
      <c r="K201" s="759"/>
      <c r="L201" s="759"/>
      <c r="M201" s="766"/>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9"/>
      <c r="K202" s="759"/>
      <c r="L202" s="759"/>
      <c r="M202" s="766"/>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9"/>
      <c r="K203" s="759"/>
      <c r="L203" s="759"/>
      <c r="M203" s="766"/>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9"/>
      <c r="K204" s="759"/>
      <c r="L204" s="759"/>
      <c r="M204" s="766"/>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9"/>
      <c r="K205" s="759"/>
      <c r="L205" s="759"/>
      <c r="M205" s="766"/>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9"/>
      <c r="K206" s="759"/>
      <c r="L206" s="759"/>
      <c r="M206" s="766"/>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9"/>
      <c r="K207" s="759"/>
      <c r="L207" s="759"/>
      <c r="M207" s="766"/>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9"/>
      <c r="K208" s="759"/>
      <c r="L208" s="759"/>
      <c r="M208" s="766"/>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9"/>
      <c r="K209" s="759"/>
      <c r="L209" s="759"/>
      <c r="M209" s="766"/>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9"/>
      <c r="K210" s="759"/>
      <c r="L210" s="759"/>
      <c r="M210" s="766"/>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9"/>
      <c r="K211" s="759"/>
      <c r="L211" s="759"/>
      <c r="M211" s="766"/>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9"/>
      <c r="K212" s="759"/>
      <c r="L212" s="759"/>
      <c r="M212" s="766"/>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9"/>
      <c r="K213" s="759"/>
      <c r="L213" s="759"/>
      <c r="M213" s="766"/>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9"/>
      <c r="K214" s="759"/>
      <c r="L214" s="759"/>
      <c r="M214" s="766"/>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zoomScale="70" zoomScaleNormal="70" workbookViewId="0">
      <selection activeCell="C34" sqref="C34"/>
    </sheetView>
  </sheetViews>
  <sheetFormatPr defaultColWidth="8.921875" defaultRowHeight="15.5"/>
  <cols>
    <col min="1" max="1" width="5.61328125" customWidth="1"/>
    <col min="2" max="2" width="46.53515625" bestFit="1" customWidth="1"/>
    <col min="3" max="3" width="16" customWidth="1"/>
    <col min="21" max="24" width="8.921875" style="760"/>
    <col min="25" max="25" width="60.07421875" customWidth="1"/>
    <col min="26" max="26" width="91.6132812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Apr 23</v>
      </c>
      <c r="U1" s="759"/>
      <c r="V1" s="759"/>
      <c r="W1" s="759"/>
      <c r="X1" s="759"/>
      <c r="Y1" s="254" t="s">
        <v>904</v>
      </c>
      <c r="Z1" s="850" t="str">
        <f>IF($AA$24&gt;0," If there are any validation errors, you must include an explanation within your narrative","")</f>
        <v/>
      </c>
      <c r="AA1" s="746"/>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7" t="s">
        <v>969</v>
      </c>
      <c r="N2" s="2477">
        <v>2</v>
      </c>
      <c r="O2" s="71"/>
      <c r="P2" s="71"/>
      <c r="Q2" s="71"/>
      <c r="R2" s="71"/>
      <c r="S2" s="71"/>
      <c r="T2" s="71"/>
      <c r="U2" s="759"/>
      <c r="V2" s="759"/>
      <c r="W2" s="759"/>
      <c r="X2" s="759"/>
      <c r="Y2" s="48"/>
      <c r="Z2" s="48"/>
      <c r="AA2" s="864"/>
      <c r="AB2" s="788"/>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7" t="s">
        <v>968</v>
      </c>
      <c r="N3" s="2477">
        <v>2</v>
      </c>
      <c r="O3" s="71"/>
      <c r="P3" s="71"/>
      <c r="Q3" s="71"/>
      <c r="R3" s="71"/>
      <c r="S3" s="71"/>
      <c r="T3" s="71"/>
      <c r="U3" s="759"/>
      <c r="V3" s="759"/>
      <c r="W3" s="759"/>
      <c r="X3" s="759"/>
      <c r="Y3" s="777" t="s">
        <v>978</v>
      </c>
      <c r="Z3" s="774"/>
      <c r="AA3" s="840"/>
      <c r="AB3" s="788"/>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4" t="str">
        <f>"This Table is currently showing "&amp;$AA$24&amp;" errors"</f>
        <v>This Table is currently showing 0 errors</v>
      </c>
      <c r="D4" s="845"/>
      <c r="E4" s="48"/>
      <c r="F4" s="845" t="str">
        <f>IF($AA$24&gt;0," Check validations at cell X1","")</f>
        <v/>
      </c>
      <c r="G4" s="48"/>
      <c r="H4" s="48"/>
      <c r="I4" s="48"/>
      <c r="J4" s="52"/>
      <c r="K4" s="52"/>
      <c r="L4" s="69"/>
      <c r="M4" s="69"/>
      <c r="N4" s="69"/>
      <c r="O4" s="71"/>
      <c r="P4" s="71"/>
      <c r="Q4" s="71"/>
      <c r="R4" s="71"/>
      <c r="S4" s="71"/>
      <c r="T4" s="71"/>
      <c r="U4" s="759"/>
      <c r="V4" s="759"/>
      <c r="W4" s="759"/>
      <c r="X4" s="759"/>
      <c r="Y4" s="906" t="s">
        <v>979</v>
      </c>
      <c r="Z4" s="165" t="str">
        <f>IF($N$3&gt;Summary!$K$1,"Ok",IF('J - Capital In Year Schemes'!$U$45&gt;0,"There is data in one or more monthly columns without supporting narrative in column B","Ok"))</f>
        <v>Ok</v>
      </c>
      <c r="AA4" s="840">
        <f>IF(Z4="Ok",0,1)</f>
        <v>0</v>
      </c>
      <c r="AB4" s="788"/>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9"/>
      <c r="V5" s="759"/>
      <c r="W5" s="759"/>
      <c r="X5" s="759"/>
      <c r="Y5" s="906" t="s">
        <v>980</v>
      </c>
      <c r="Z5" s="165" t="str">
        <f>IF($N$3&gt;Summary!$K$1,"Ok",IF('J - Capital In Year Schemes'!$U$53&gt;0,"There is data in one or more monthly columns without supporting narrative in column B","Ok"))</f>
        <v>Ok</v>
      </c>
      <c r="AA5" s="840">
        <f>IF(Z5="Ok",0,1)</f>
        <v>0</v>
      </c>
      <c r="AB5" s="788"/>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6"/>
      <c r="E6" s="48"/>
      <c r="F6" s="1125">
        <v>1</v>
      </c>
      <c r="G6" s="1125">
        <v>2</v>
      </c>
      <c r="H6" s="1125">
        <v>3</v>
      </c>
      <c r="I6" s="1125">
        <v>4</v>
      </c>
      <c r="J6" s="1125">
        <v>5</v>
      </c>
      <c r="K6" s="1125">
        <v>6</v>
      </c>
      <c r="L6" s="1125">
        <v>7</v>
      </c>
      <c r="M6" s="1125">
        <v>8</v>
      </c>
      <c r="N6" s="1125">
        <v>9</v>
      </c>
      <c r="O6" s="1125">
        <v>10</v>
      </c>
      <c r="P6" s="1125">
        <v>11</v>
      </c>
      <c r="Q6" s="1125">
        <v>12</v>
      </c>
      <c r="R6" s="71"/>
      <c r="S6" s="71"/>
      <c r="T6" s="71"/>
      <c r="U6" s="759"/>
      <c r="V6" s="759"/>
      <c r="W6" s="759"/>
      <c r="X6" s="759"/>
      <c r="Y6" s="906" t="s">
        <v>981</v>
      </c>
      <c r="Z6" s="165" t="str">
        <f>IF($N$3&gt;Summary!$K$1,"Ok",IF('J - Capital In Year Schemes'!$U$76&gt;0,"There is data in one or more monthly columns without supporting narrative in column B","Ok"))</f>
        <v>Ok</v>
      </c>
      <c r="AA6" s="840">
        <f>IF(Z6="Ok",0,1)</f>
        <v>0</v>
      </c>
      <c r="AB6" s="788"/>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5">
        <f>IF(F6&lt;=VLOOKUP(Summary!$H$1,Summary!$V$1:$W$12,2,FALSE),1,0)</f>
        <v>1</v>
      </c>
      <c r="G7" s="1125">
        <f>IF(G6&lt;=VLOOKUP(Summary!$H$1,Summary!$V$1:$W$12,2,FALSE),1,0)</f>
        <v>0</v>
      </c>
      <c r="H7" s="1125">
        <f>IF(H6&lt;=VLOOKUP(Summary!$H$1,Summary!$V$1:$W$12,2,FALSE),1,0)</f>
        <v>0</v>
      </c>
      <c r="I7" s="1125">
        <f>IF(I6&lt;=VLOOKUP(Summary!$H$1,Summary!$V$1:$W$12,2,FALSE),1,0)</f>
        <v>0</v>
      </c>
      <c r="J7" s="1125">
        <f>IF(J6&lt;=VLOOKUP(Summary!$H$1,Summary!$V$1:$W$12,2,FALSE),1,0)</f>
        <v>0</v>
      </c>
      <c r="K7" s="1125">
        <f>IF(K6&lt;=VLOOKUP(Summary!$H$1,Summary!$V$1:$W$12,2,FALSE),1,0)</f>
        <v>0</v>
      </c>
      <c r="L7" s="1125">
        <f>IF(L6&lt;=VLOOKUP(Summary!$H$1,Summary!$V$1:$W$12,2,FALSE),1,0)</f>
        <v>0</v>
      </c>
      <c r="M7" s="1125">
        <f>IF(M6&lt;=VLOOKUP(Summary!$H$1,Summary!$V$1:$W$12,2,FALSE),1,0)</f>
        <v>0</v>
      </c>
      <c r="N7" s="1125">
        <f>IF(N6&lt;=VLOOKUP(Summary!$H$1,Summary!$V$1:$W$12,2,FALSE),1,0)</f>
        <v>0</v>
      </c>
      <c r="O7" s="1125">
        <f>IF(O6&lt;=VLOOKUP(Summary!$H$1,Summary!$V$1:$W$12,2,FALSE),1,0)</f>
        <v>0</v>
      </c>
      <c r="P7" s="1125">
        <f>IF(P6&lt;=VLOOKUP(Summary!$H$1,Summary!$V$1:$W$12,2,FALSE),1,0)</f>
        <v>0</v>
      </c>
      <c r="Q7" s="1125">
        <f>IF(Q6&lt;=VLOOKUP(Summary!$H$1,Summary!$V$1:$W$12,2,FALSE),1,0)</f>
        <v>0</v>
      </c>
      <c r="R7" s="71"/>
      <c r="S7" s="71"/>
      <c r="T7" s="71"/>
      <c r="U7" s="759"/>
      <c r="V7" s="759"/>
      <c r="W7" s="759"/>
      <c r="X7" s="759"/>
      <c r="Y7" s="259" t="s">
        <v>982</v>
      </c>
      <c r="Z7" s="260"/>
      <c r="AA7" s="840"/>
      <c r="AB7" s="788"/>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9"/>
      <c r="V8" s="759"/>
      <c r="W8" s="759"/>
      <c r="X8" s="759"/>
      <c r="Y8" s="906" t="s">
        <v>979</v>
      </c>
      <c r="Z8" s="165" t="str">
        <f>IF($N$3&gt;Summary!$K$1,"Ok",IF('J - Capital In Year Schemes'!$V$45&gt;0,"There is data in one or more monthly columns without supporting narrative in column C","Ok"))</f>
        <v>Ok</v>
      </c>
      <c r="AA8" s="840">
        <f t="shared" ref="AA8:AA23" si="0">IF(Z8="Ok",0,1)</f>
        <v>0</v>
      </c>
      <c r="AB8" s="788"/>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9"/>
      <c r="V9" s="759"/>
      <c r="W9" s="759"/>
      <c r="X9" s="759"/>
      <c r="Y9" s="906" t="s">
        <v>980</v>
      </c>
      <c r="Z9" s="165" t="str">
        <f>IF($N$3&gt;Summary!$K$1,"Ok",IF('J - Capital In Year Schemes'!$V$53&gt;0,"There is data in one or more monthly columns without supporting narrative in column C","Ok"))</f>
        <v>Ok</v>
      </c>
      <c r="AA9" s="840">
        <f t="shared" si="0"/>
        <v>0</v>
      </c>
      <c r="AB9" s="788"/>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9"/>
      <c r="V10" s="759"/>
      <c r="W10" s="759"/>
      <c r="X10" s="759"/>
      <c r="Y10" s="906" t="s">
        <v>981</v>
      </c>
      <c r="Z10" s="165" t="str">
        <f>IF($N$3&gt;Summary!$K$1,"Ok",IF('J - Capital In Year Schemes'!$V$76&gt;0,"There is data in one or more monthly columns without supporting narrative in column C","Ok"))</f>
        <v>Ok</v>
      </c>
      <c r="AA10" s="840">
        <f t="shared" si="0"/>
        <v>0</v>
      </c>
      <c r="AB10" s="788"/>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90"/>
      <c r="V11" s="790"/>
      <c r="W11" s="790"/>
      <c r="X11" s="759"/>
      <c r="Y11" s="259" t="s">
        <v>983</v>
      </c>
      <c r="Z11" s="260"/>
      <c r="AA11" s="840"/>
      <c r="AB11" s="788"/>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c r="C12" s="575"/>
      <c r="D12" s="28"/>
      <c r="E12" s="28"/>
      <c r="F12" s="28"/>
      <c r="G12" s="28"/>
      <c r="H12" s="28"/>
      <c r="I12" s="28"/>
      <c r="J12" s="28"/>
      <c r="K12" s="28"/>
      <c r="L12" s="28"/>
      <c r="M12" s="28"/>
      <c r="N12" s="28"/>
      <c r="O12" s="28"/>
      <c r="P12" s="28"/>
      <c r="Q12" s="28"/>
      <c r="R12" s="118">
        <f>SUMPRODUCT($F$7:$Q$7,F12:Q12)</f>
        <v>0</v>
      </c>
      <c r="S12" s="118">
        <f t="shared" ref="S12:S44" si="1">SUM(F12:Q12)</f>
        <v>0</v>
      </c>
      <c r="T12" s="5"/>
      <c r="U12" s="790">
        <f t="shared" ref="U12:U44" si="2">IF(AND(S12&gt;0,B12=""),1,0)</f>
        <v>0</v>
      </c>
      <c r="V12" s="790">
        <f t="shared" ref="V12:V44" si="3">IF(AND(B12&lt;&gt;"",C12=""),1,0)</f>
        <v>0</v>
      </c>
      <c r="W12" s="790">
        <f>IF(AND(S12&gt;0,T12=""),1,0)</f>
        <v>0</v>
      </c>
      <c r="X12" s="759"/>
      <c r="Y12" s="906" t="s">
        <v>979</v>
      </c>
      <c r="Z12" s="165" t="str">
        <f>IF($N$3&gt;Summary!$K$1,"Ok",IF('J - Capital In Year Schemes'!$W$45&gt;0,"There is data in one or more monthly columns without supporting narrative in column S","Ok"))</f>
        <v>Ok</v>
      </c>
      <c r="AA12" s="840">
        <f t="shared" si="0"/>
        <v>0</v>
      </c>
      <c r="AB12" s="788"/>
      <c r="AC12" s="790">
        <f>IF(D12-R12&lt;-1,1,0)</f>
        <v>0</v>
      </c>
      <c r="AD12" s="790">
        <f>IF(D12-S12&gt;1,1,0)</f>
        <v>0</v>
      </c>
      <c r="AE12" s="790">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c r="C13" s="576"/>
      <c r="D13" s="27"/>
      <c r="E13" s="27"/>
      <c r="F13" s="27"/>
      <c r="G13" s="27"/>
      <c r="H13" s="27"/>
      <c r="I13" s="27"/>
      <c r="J13" s="27"/>
      <c r="K13" s="27"/>
      <c r="L13" s="27"/>
      <c r="M13" s="27"/>
      <c r="N13" s="27"/>
      <c r="O13" s="27"/>
      <c r="P13" s="27"/>
      <c r="Q13" s="27"/>
      <c r="R13" s="196">
        <f t="shared" ref="R13:R43" si="4">SUMPRODUCT($F$7:$Q$7,F13:Q13)</f>
        <v>0</v>
      </c>
      <c r="S13" s="196">
        <f t="shared" si="1"/>
        <v>0</v>
      </c>
      <c r="T13" s="6"/>
      <c r="U13" s="790">
        <f t="shared" si="2"/>
        <v>0</v>
      </c>
      <c r="V13" s="790">
        <f t="shared" si="3"/>
        <v>0</v>
      </c>
      <c r="W13" s="790">
        <f t="shared" ref="W13:W44" si="5">IF(AND(S13&gt;0,T13=""),1,0)</f>
        <v>0</v>
      </c>
      <c r="X13" s="759"/>
      <c r="Y13" s="906" t="s">
        <v>980</v>
      </c>
      <c r="Z13" s="165" t="str">
        <f>IF($N$3&gt;Summary!$K$1,"Ok",IF('J - Capital In Year Schemes'!$W$53&gt;0,"There is data in one or more monthly columns without supporting narrative in column S","Ok"))</f>
        <v>Ok</v>
      </c>
      <c r="AA13" s="840">
        <f t="shared" si="0"/>
        <v>0</v>
      </c>
      <c r="AB13" s="788"/>
      <c r="AC13" s="790">
        <f t="shared" ref="AC13:AC44" si="6">IF(D13-R13&lt;-1,1,0)</f>
        <v>0</v>
      </c>
      <c r="AD13" s="790">
        <f t="shared" ref="AD13:AD44" si="7">IF(D13-S13&gt;1,1,0)</f>
        <v>0</v>
      </c>
      <c r="AE13" s="790">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c r="C14" s="576"/>
      <c r="D14" s="27"/>
      <c r="E14" s="27"/>
      <c r="F14" s="27"/>
      <c r="G14" s="27"/>
      <c r="H14" s="27"/>
      <c r="I14" s="27"/>
      <c r="J14" s="27"/>
      <c r="K14" s="27"/>
      <c r="L14" s="27"/>
      <c r="M14" s="27"/>
      <c r="N14" s="27"/>
      <c r="O14" s="27"/>
      <c r="P14" s="27"/>
      <c r="Q14" s="27"/>
      <c r="R14" s="196">
        <f t="shared" si="4"/>
        <v>0</v>
      </c>
      <c r="S14" s="196">
        <f t="shared" si="1"/>
        <v>0</v>
      </c>
      <c r="T14" s="6"/>
      <c r="U14" s="790">
        <f t="shared" si="2"/>
        <v>0</v>
      </c>
      <c r="V14" s="790">
        <f t="shared" si="3"/>
        <v>0</v>
      </c>
      <c r="W14" s="790">
        <f t="shared" si="5"/>
        <v>0</v>
      </c>
      <c r="X14" s="759"/>
      <c r="Y14" s="906" t="s">
        <v>981</v>
      </c>
      <c r="Z14" s="165" t="str">
        <f>IF($N$3&gt;Summary!$K$1,"Ok",IF('J - Capital In Year Schemes'!$W$76&gt;0,"There is data in one or more monthly columns without supporting narrative in column S","Ok"))</f>
        <v>Ok</v>
      </c>
      <c r="AA14" s="840">
        <f t="shared" si="0"/>
        <v>0</v>
      </c>
      <c r="AB14" s="788"/>
      <c r="AC14" s="790">
        <f t="shared" si="6"/>
        <v>0</v>
      </c>
      <c r="AD14" s="790">
        <f t="shared" si="7"/>
        <v>0</v>
      </c>
      <c r="AE14" s="790">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c r="C15" s="576"/>
      <c r="D15" s="27"/>
      <c r="E15" s="27"/>
      <c r="F15" s="27"/>
      <c r="G15" s="27"/>
      <c r="H15" s="27"/>
      <c r="I15" s="27"/>
      <c r="J15" s="27"/>
      <c r="K15" s="27"/>
      <c r="L15" s="27"/>
      <c r="M15" s="27"/>
      <c r="N15" s="27"/>
      <c r="O15" s="27"/>
      <c r="P15" s="27"/>
      <c r="Q15" s="27"/>
      <c r="R15" s="196">
        <f t="shared" si="4"/>
        <v>0</v>
      </c>
      <c r="S15" s="196">
        <f t="shared" si="1"/>
        <v>0</v>
      </c>
      <c r="T15" s="6"/>
      <c r="U15" s="790">
        <f t="shared" si="2"/>
        <v>0</v>
      </c>
      <c r="V15" s="790">
        <f t="shared" si="3"/>
        <v>0</v>
      </c>
      <c r="W15" s="790">
        <f t="shared" si="5"/>
        <v>0</v>
      </c>
      <c r="X15" s="759"/>
      <c r="Y15" s="259" t="s">
        <v>984</v>
      </c>
      <c r="Z15" s="260"/>
      <c r="AA15" s="840"/>
      <c r="AB15" s="788"/>
      <c r="AC15" s="790">
        <f t="shared" si="6"/>
        <v>0</v>
      </c>
      <c r="AD15" s="790">
        <f t="shared" si="7"/>
        <v>0</v>
      </c>
      <c r="AE15" s="790">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c r="C16" s="576"/>
      <c r="D16" s="27"/>
      <c r="E16" s="27"/>
      <c r="F16" s="27"/>
      <c r="G16" s="27"/>
      <c r="H16" s="27"/>
      <c r="I16" s="27"/>
      <c r="J16" s="27"/>
      <c r="K16" s="27"/>
      <c r="L16" s="27"/>
      <c r="M16" s="27"/>
      <c r="N16" s="27"/>
      <c r="O16" s="27"/>
      <c r="P16" s="27"/>
      <c r="Q16" s="27"/>
      <c r="R16" s="196">
        <f t="shared" si="4"/>
        <v>0</v>
      </c>
      <c r="S16" s="196">
        <f t="shared" si="1"/>
        <v>0</v>
      </c>
      <c r="T16" s="6"/>
      <c r="U16" s="790">
        <f t="shared" si="2"/>
        <v>0</v>
      </c>
      <c r="V16" s="790">
        <f t="shared" si="3"/>
        <v>0</v>
      </c>
      <c r="W16" s="790">
        <f t="shared" si="5"/>
        <v>0</v>
      </c>
      <c r="X16" s="759"/>
      <c r="Y16" s="906" t="s">
        <v>979</v>
      </c>
      <c r="Z16" s="165" t="str">
        <f>IF($N$2&gt;Summary!$K$1,"Ok",IF(U46="A","Ok","Does not match YTD total for Schemes on Table I"))</f>
        <v>Ok</v>
      </c>
      <c r="AA16" s="840">
        <f t="shared" si="0"/>
        <v>0</v>
      </c>
      <c r="AB16" s="788"/>
      <c r="AC16" s="790">
        <f t="shared" si="6"/>
        <v>0</v>
      </c>
      <c r="AD16" s="790">
        <f t="shared" si="7"/>
        <v>0</v>
      </c>
      <c r="AE16" s="790">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c r="C17" s="576"/>
      <c r="D17" s="27"/>
      <c r="E17" s="27"/>
      <c r="F17" s="27"/>
      <c r="G17" s="27"/>
      <c r="H17" s="27"/>
      <c r="I17" s="27"/>
      <c r="J17" s="27"/>
      <c r="K17" s="27"/>
      <c r="L17" s="27"/>
      <c r="M17" s="27"/>
      <c r="N17" s="27"/>
      <c r="O17" s="27"/>
      <c r="P17" s="27"/>
      <c r="Q17" s="27"/>
      <c r="R17" s="196">
        <f t="shared" si="4"/>
        <v>0</v>
      </c>
      <c r="S17" s="196">
        <f t="shared" si="1"/>
        <v>0</v>
      </c>
      <c r="T17" s="6"/>
      <c r="U17" s="790">
        <f t="shared" si="2"/>
        <v>0</v>
      </c>
      <c r="V17" s="790">
        <f t="shared" si="3"/>
        <v>0</v>
      </c>
      <c r="W17" s="790">
        <f t="shared" si="5"/>
        <v>0</v>
      </c>
      <c r="X17" s="759"/>
      <c r="Y17" s="906" t="s">
        <v>980</v>
      </c>
      <c r="Z17" s="165" t="str">
        <f>IF($N$2&gt;Summary!$K$1,"Ok",IF(U54="A","Ok","Does not match YTD total for Discretionary on Table I"))</f>
        <v>Ok</v>
      </c>
      <c r="AA17" s="840">
        <f t="shared" si="0"/>
        <v>0</v>
      </c>
      <c r="AB17" s="788"/>
      <c r="AC17" s="790">
        <f t="shared" si="6"/>
        <v>0</v>
      </c>
      <c r="AD17" s="790">
        <f t="shared" si="7"/>
        <v>0</v>
      </c>
      <c r="AE17" s="790">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90">
        <f t="shared" si="2"/>
        <v>0</v>
      </c>
      <c r="V18" s="790">
        <f t="shared" si="3"/>
        <v>0</v>
      </c>
      <c r="W18" s="790">
        <f t="shared" si="5"/>
        <v>0</v>
      </c>
      <c r="X18" s="759"/>
      <c r="Y18" s="906" t="s">
        <v>981</v>
      </c>
      <c r="Z18" s="165" t="str">
        <f>IF($N$2&gt;Summary!$K$1,"Ok",IF(U77="A","Ok","Does not match YTD total for Other Schemes on Table I"))</f>
        <v>Ok</v>
      </c>
      <c r="AA18" s="840">
        <f t="shared" si="0"/>
        <v>0</v>
      </c>
      <c r="AB18" s="788"/>
      <c r="AC18" s="790">
        <f t="shared" si="6"/>
        <v>0</v>
      </c>
      <c r="AD18" s="790">
        <f t="shared" si="7"/>
        <v>0</v>
      </c>
      <c r="AE18" s="790">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c r="C19" s="576"/>
      <c r="D19" s="27"/>
      <c r="E19" s="27"/>
      <c r="F19" s="27"/>
      <c r="G19" s="27"/>
      <c r="H19" s="27"/>
      <c r="I19" s="27"/>
      <c r="J19" s="27"/>
      <c r="K19" s="27"/>
      <c r="L19" s="27"/>
      <c r="M19" s="27"/>
      <c r="N19" s="27"/>
      <c r="O19" s="27"/>
      <c r="P19" s="27"/>
      <c r="Q19" s="27"/>
      <c r="R19" s="196">
        <f t="shared" si="4"/>
        <v>0</v>
      </c>
      <c r="S19" s="196">
        <f t="shared" si="1"/>
        <v>0</v>
      </c>
      <c r="T19" s="6"/>
      <c r="U19" s="790">
        <f t="shared" si="2"/>
        <v>0</v>
      </c>
      <c r="V19" s="790">
        <f t="shared" si="3"/>
        <v>0</v>
      </c>
      <c r="W19" s="790">
        <f t="shared" si="5"/>
        <v>0</v>
      </c>
      <c r="X19" s="759"/>
      <c r="Y19" s="906" t="s">
        <v>985</v>
      </c>
      <c r="Z19" s="165" t="str">
        <f>IF($N$3&gt;Summary!$K$1,"Ok",IF(ABS('I - Capital RLM'!$H$95-'J - Capital In Year Schemes'!$S$78)&lt;=2,"Ok","Should equal Total Capital spend on Table I, to a tolerance of 2k to allow roundings"))</f>
        <v>Ok</v>
      </c>
      <c r="AA19" s="840">
        <f t="shared" si="0"/>
        <v>0</v>
      </c>
      <c r="AB19" s="788"/>
      <c r="AC19" s="790">
        <f t="shared" si="6"/>
        <v>0</v>
      </c>
      <c r="AD19" s="790">
        <f t="shared" si="7"/>
        <v>0</v>
      </c>
      <c r="AE19" s="790">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c r="C20" s="576"/>
      <c r="D20" s="27"/>
      <c r="E20" s="27"/>
      <c r="F20" s="27"/>
      <c r="G20" s="27"/>
      <c r="H20" s="27"/>
      <c r="I20" s="27"/>
      <c r="J20" s="27"/>
      <c r="K20" s="27"/>
      <c r="L20" s="27"/>
      <c r="M20" s="27"/>
      <c r="N20" s="27"/>
      <c r="O20" s="27"/>
      <c r="P20" s="27"/>
      <c r="Q20" s="27"/>
      <c r="R20" s="196">
        <f t="shared" si="4"/>
        <v>0</v>
      </c>
      <c r="S20" s="196">
        <f t="shared" si="1"/>
        <v>0</v>
      </c>
      <c r="T20" s="6"/>
      <c r="U20" s="790">
        <f t="shared" si="2"/>
        <v>0</v>
      </c>
      <c r="V20" s="790">
        <f t="shared" si="3"/>
        <v>0</v>
      </c>
      <c r="W20" s="790">
        <f t="shared" si="5"/>
        <v>0</v>
      </c>
      <c r="X20" s="759"/>
      <c r="Y20" s="259" t="s">
        <v>986</v>
      </c>
      <c r="Z20" s="260"/>
      <c r="AA20" s="840"/>
      <c r="AB20" s="788"/>
      <c r="AC20" s="790">
        <f t="shared" si="6"/>
        <v>0</v>
      </c>
      <c r="AD20" s="790">
        <f t="shared" si="7"/>
        <v>0</v>
      </c>
      <c r="AE20" s="790">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90">
        <f t="shared" si="2"/>
        <v>0</v>
      </c>
      <c r="V21" s="790">
        <f t="shared" si="3"/>
        <v>0</v>
      </c>
      <c r="W21" s="790">
        <f t="shared" si="5"/>
        <v>0</v>
      </c>
      <c r="X21" s="759"/>
      <c r="Y21" s="906" t="s">
        <v>987</v>
      </c>
      <c r="Z21" s="165" t="str">
        <f>IF($N$3&gt;Summary!$K$1,"Ok",IF($AC$76&lt;&gt;0,"One or more schemes' Min value is less than YTD","Ok"))</f>
        <v>Ok</v>
      </c>
      <c r="AA21" s="840">
        <f t="shared" si="0"/>
        <v>0</v>
      </c>
      <c r="AB21" s="788"/>
      <c r="AC21" s="790">
        <f t="shared" si="6"/>
        <v>0</v>
      </c>
      <c r="AD21" s="790">
        <f t="shared" si="7"/>
        <v>0</v>
      </c>
      <c r="AE21" s="790">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90">
        <f t="shared" si="2"/>
        <v>0</v>
      </c>
      <c r="V22" s="790">
        <f t="shared" si="3"/>
        <v>0</v>
      </c>
      <c r="W22" s="790">
        <f t="shared" si="5"/>
        <v>0</v>
      </c>
      <c r="X22" s="759"/>
      <c r="Y22" s="906" t="s">
        <v>988</v>
      </c>
      <c r="Z22" s="165" t="str">
        <f>IF($N$3&gt;Summary!$K$1,"Ok",IF($AD$76&lt;&gt;0,"One or more schemes' Min value is more than Total","Ok"))</f>
        <v>Ok</v>
      </c>
      <c r="AA22" s="840">
        <f t="shared" si="0"/>
        <v>0</v>
      </c>
      <c r="AB22" s="320"/>
      <c r="AC22" s="790">
        <f t="shared" si="6"/>
        <v>0</v>
      </c>
      <c r="AD22" s="790">
        <f t="shared" si="7"/>
        <v>0</v>
      </c>
      <c r="AE22" s="790">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90">
        <f t="shared" si="2"/>
        <v>0</v>
      </c>
      <c r="V23" s="790">
        <f t="shared" si="3"/>
        <v>0</v>
      </c>
      <c r="W23" s="790">
        <f t="shared" si="5"/>
        <v>0</v>
      </c>
      <c r="X23" s="759"/>
      <c r="Y23" s="906" t="s">
        <v>989</v>
      </c>
      <c r="Z23" s="165" t="str">
        <f>IF($N$3&gt;Summary!$K$1,"Ok",IF($AE$76&lt;&gt;0,"One or more schemes' Max value is less than Total","Ok"))</f>
        <v>Ok</v>
      </c>
      <c r="AA23" s="840">
        <f t="shared" si="0"/>
        <v>0</v>
      </c>
      <c r="AB23" s="320"/>
      <c r="AC23" s="790">
        <f t="shared" si="6"/>
        <v>0</v>
      </c>
      <c r="AD23" s="790">
        <f t="shared" si="7"/>
        <v>0</v>
      </c>
      <c r="AE23" s="790">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90">
        <f t="shared" si="2"/>
        <v>0</v>
      </c>
      <c r="V24" s="790">
        <f t="shared" si="3"/>
        <v>0</v>
      </c>
      <c r="W24" s="790">
        <f t="shared" si="5"/>
        <v>0</v>
      </c>
      <c r="X24" s="759"/>
      <c r="Y24" s="207"/>
      <c r="Z24" s="207"/>
      <c r="AA24" s="840">
        <f>SUM(AA3:AA23)</f>
        <v>0</v>
      </c>
      <c r="AB24" s="320"/>
      <c r="AC24" s="790">
        <f t="shared" si="6"/>
        <v>0</v>
      </c>
      <c r="AD24" s="790">
        <f t="shared" si="7"/>
        <v>0</v>
      </c>
      <c r="AE24" s="790">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90">
        <f t="shared" si="2"/>
        <v>0</v>
      </c>
      <c r="V25" s="790">
        <f t="shared" si="3"/>
        <v>0</v>
      </c>
      <c r="W25" s="790">
        <f t="shared" si="5"/>
        <v>0</v>
      </c>
      <c r="X25" s="759"/>
      <c r="Y25" s="320"/>
      <c r="Z25" s="320"/>
      <c r="AA25" s="320"/>
      <c r="AB25" s="320"/>
      <c r="AC25" s="790">
        <f t="shared" si="6"/>
        <v>0</v>
      </c>
      <c r="AD25" s="790">
        <f t="shared" si="7"/>
        <v>0</v>
      </c>
      <c r="AE25" s="790">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90">
        <f t="shared" si="2"/>
        <v>0</v>
      </c>
      <c r="V26" s="790">
        <f t="shared" si="3"/>
        <v>0</v>
      </c>
      <c r="W26" s="790">
        <f t="shared" si="5"/>
        <v>0</v>
      </c>
      <c r="X26" s="759"/>
      <c r="Y26" s="320"/>
      <c r="Z26" s="320"/>
      <c r="AA26" s="320"/>
      <c r="AB26" s="320"/>
      <c r="AC26" s="790">
        <f t="shared" si="6"/>
        <v>0</v>
      </c>
      <c r="AD26" s="790">
        <f t="shared" si="7"/>
        <v>0</v>
      </c>
      <c r="AE26" s="790">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90">
        <f t="shared" si="2"/>
        <v>0</v>
      </c>
      <c r="V27" s="790">
        <f t="shared" si="3"/>
        <v>0</v>
      </c>
      <c r="W27" s="790">
        <f t="shared" si="5"/>
        <v>0</v>
      </c>
      <c r="X27" s="759"/>
      <c r="Y27" s="320"/>
      <c r="Z27" s="320"/>
      <c r="AA27" s="320"/>
      <c r="AB27" s="320"/>
      <c r="AC27" s="790">
        <f t="shared" si="6"/>
        <v>0</v>
      </c>
      <c r="AD27" s="790">
        <f t="shared" si="7"/>
        <v>0</v>
      </c>
      <c r="AE27" s="790">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90">
        <f t="shared" si="2"/>
        <v>0</v>
      </c>
      <c r="V28" s="790">
        <f t="shared" si="3"/>
        <v>0</v>
      </c>
      <c r="W28" s="790">
        <f t="shared" si="5"/>
        <v>0</v>
      </c>
      <c r="X28" s="759"/>
      <c r="Y28" s="320"/>
      <c r="Z28" s="320"/>
      <c r="AA28" s="320"/>
      <c r="AB28" s="320"/>
      <c r="AC28" s="790">
        <f t="shared" si="6"/>
        <v>0</v>
      </c>
      <c r="AD28" s="790">
        <f t="shared" si="7"/>
        <v>0</v>
      </c>
      <c r="AE28" s="790">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90">
        <f t="shared" si="2"/>
        <v>0</v>
      </c>
      <c r="V29" s="790">
        <f t="shared" si="3"/>
        <v>0</v>
      </c>
      <c r="W29" s="790">
        <f t="shared" si="5"/>
        <v>0</v>
      </c>
      <c r="X29" s="759"/>
      <c r="Y29" s="320"/>
      <c r="Z29" s="320"/>
      <c r="AA29" s="320"/>
      <c r="AB29" s="320"/>
      <c r="AC29" s="790">
        <f t="shared" si="6"/>
        <v>0</v>
      </c>
      <c r="AD29" s="790">
        <f t="shared" si="7"/>
        <v>0</v>
      </c>
      <c r="AE29" s="790">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90">
        <f t="shared" si="2"/>
        <v>0</v>
      </c>
      <c r="V30" s="790">
        <f t="shared" si="3"/>
        <v>0</v>
      </c>
      <c r="W30" s="790">
        <f t="shared" si="5"/>
        <v>0</v>
      </c>
      <c r="X30" s="759"/>
      <c r="Y30" s="320"/>
      <c r="Z30" s="320"/>
      <c r="AA30" s="320"/>
      <c r="AB30" s="320"/>
      <c r="AC30" s="790">
        <f t="shared" si="6"/>
        <v>0</v>
      </c>
      <c r="AD30" s="790">
        <f t="shared" si="7"/>
        <v>0</v>
      </c>
      <c r="AE30" s="790">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90">
        <f t="shared" si="2"/>
        <v>0</v>
      </c>
      <c r="V31" s="790">
        <f t="shared" si="3"/>
        <v>0</v>
      </c>
      <c r="W31" s="790">
        <f t="shared" si="5"/>
        <v>0</v>
      </c>
      <c r="X31" s="759"/>
      <c r="Y31" s="320"/>
      <c r="Z31" s="320"/>
      <c r="AA31" s="320"/>
      <c r="AB31" s="320"/>
      <c r="AC31" s="790">
        <f t="shared" si="6"/>
        <v>0</v>
      </c>
      <c r="AD31" s="790">
        <f t="shared" si="7"/>
        <v>0</v>
      </c>
      <c r="AE31" s="790">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90">
        <f t="shared" si="2"/>
        <v>0</v>
      </c>
      <c r="V32" s="790">
        <f t="shared" si="3"/>
        <v>0</v>
      </c>
      <c r="W32" s="790">
        <f t="shared" si="5"/>
        <v>0</v>
      </c>
      <c r="X32" s="759"/>
      <c r="Y32" s="320"/>
      <c r="Z32" s="320"/>
      <c r="AA32" s="320"/>
      <c r="AB32" s="320"/>
      <c r="AC32" s="790">
        <f t="shared" si="6"/>
        <v>0</v>
      </c>
      <c r="AD32" s="790">
        <f t="shared" si="7"/>
        <v>0</v>
      </c>
      <c r="AE32" s="790">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90">
        <f t="shared" si="2"/>
        <v>0</v>
      </c>
      <c r="V33" s="790">
        <f t="shared" si="3"/>
        <v>0</v>
      </c>
      <c r="W33" s="790">
        <f t="shared" si="5"/>
        <v>0</v>
      </c>
      <c r="X33" s="759"/>
      <c r="Y33" s="320"/>
      <c r="Z33" s="320"/>
      <c r="AA33" s="320"/>
      <c r="AB33" s="320"/>
      <c r="AC33" s="790">
        <f t="shared" si="6"/>
        <v>0</v>
      </c>
      <c r="AD33" s="790">
        <f t="shared" si="7"/>
        <v>0</v>
      </c>
      <c r="AE33" s="790">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90">
        <f t="shared" si="2"/>
        <v>0</v>
      </c>
      <c r="V34" s="790">
        <f t="shared" si="3"/>
        <v>0</v>
      </c>
      <c r="W34" s="790">
        <f t="shared" si="5"/>
        <v>0</v>
      </c>
      <c r="X34" s="759"/>
      <c r="Y34" s="320"/>
      <c r="Z34" s="320"/>
      <c r="AA34" s="320"/>
      <c r="AB34" s="320"/>
      <c r="AC34" s="790">
        <f t="shared" si="6"/>
        <v>0</v>
      </c>
      <c r="AD34" s="790">
        <f t="shared" si="7"/>
        <v>0</v>
      </c>
      <c r="AE34" s="790">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90">
        <f t="shared" si="2"/>
        <v>0</v>
      </c>
      <c r="V35" s="790">
        <f t="shared" si="3"/>
        <v>0</v>
      </c>
      <c r="W35" s="790">
        <f t="shared" si="5"/>
        <v>0</v>
      </c>
      <c r="X35" s="759"/>
      <c r="Y35" s="320"/>
      <c r="Z35" s="320"/>
      <c r="AA35" s="320"/>
      <c r="AB35" s="320"/>
      <c r="AC35" s="790">
        <f t="shared" si="6"/>
        <v>0</v>
      </c>
      <c r="AD35" s="790">
        <f t="shared" si="7"/>
        <v>0</v>
      </c>
      <c r="AE35" s="790">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90">
        <f t="shared" si="2"/>
        <v>0</v>
      </c>
      <c r="V36" s="790">
        <f t="shared" si="3"/>
        <v>0</v>
      </c>
      <c r="W36" s="790">
        <f t="shared" si="5"/>
        <v>0</v>
      </c>
      <c r="X36" s="759"/>
      <c r="Y36" s="320"/>
      <c r="Z36" s="320"/>
      <c r="AA36" s="320"/>
      <c r="AB36" s="320"/>
      <c r="AC36" s="790">
        <f t="shared" si="6"/>
        <v>0</v>
      </c>
      <c r="AD36" s="790">
        <f t="shared" si="7"/>
        <v>0</v>
      </c>
      <c r="AE36" s="790">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90">
        <f t="shared" si="2"/>
        <v>0</v>
      </c>
      <c r="V37" s="790">
        <f t="shared" si="3"/>
        <v>0</v>
      </c>
      <c r="W37" s="790">
        <f t="shared" si="5"/>
        <v>0</v>
      </c>
      <c r="X37" s="759"/>
      <c r="Y37" s="320"/>
      <c r="Z37" s="320"/>
      <c r="AA37" s="320"/>
      <c r="AB37" s="320"/>
      <c r="AC37" s="790">
        <f t="shared" si="6"/>
        <v>0</v>
      </c>
      <c r="AD37" s="790">
        <f t="shared" si="7"/>
        <v>0</v>
      </c>
      <c r="AE37" s="790">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90">
        <f t="shared" si="2"/>
        <v>0</v>
      </c>
      <c r="V38" s="790">
        <f t="shared" si="3"/>
        <v>0</v>
      </c>
      <c r="W38" s="790">
        <f t="shared" si="5"/>
        <v>0</v>
      </c>
      <c r="X38" s="759"/>
      <c r="Y38" s="320"/>
      <c r="Z38" s="320"/>
      <c r="AA38" s="320"/>
      <c r="AB38" s="320"/>
      <c r="AC38" s="790">
        <f t="shared" si="6"/>
        <v>0</v>
      </c>
      <c r="AD38" s="790">
        <f t="shared" si="7"/>
        <v>0</v>
      </c>
      <c r="AE38" s="790">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90">
        <f t="shared" si="2"/>
        <v>0</v>
      </c>
      <c r="V39" s="790">
        <f t="shared" si="3"/>
        <v>0</v>
      </c>
      <c r="W39" s="790">
        <f t="shared" si="5"/>
        <v>0</v>
      </c>
      <c r="X39" s="759"/>
      <c r="Y39" s="320"/>
      <c r="Z39" s="320"/>
      <c r="AA39" s="320"/>
      <c r="AB39" s="320"/>
      <c r="AC39" s="790">
        <f t="shared" si="6"/>
        <v>0</v>
      </c>
      <c r="AD39" s="790">
        <f t="shared" si="7"/>
        <v>0</v>
      </c>
      <c r="AE39" s="790">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90">
        <f t="shared" si="2"/>
        <v>0</v>
      </c>
      <c r="V40" s="790">
        <f t="shared" si="3"/>
        <v>0</v>
      </c>
      <c r="W40" s="790">
        <f t="shared" si="5"/>
        <v>0</v>
      </c>
      <c r="X40" s="759"/>
      <c r="Y40" s="320"/>
      <c r="Z40" s="320"/>
      <c r="AA40" s="320"/>
      <c r="AB40" s="320"/>
      <c r="AC40" s="790">
        <f t="shared" si="6"/>
        <v>0</v>
      </c>
      <c r="AD40" s="790">
        <f t="shared" si="7"/>
        <v>0</v>
      </c>
      <c r="AE40" s="790">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90">
        <f t="shared" si="2"/>
        <v>0</v>
      </c>
      <c r="V41" s="790">
        <f t="shared" si="3"/>
        <v>0</v>
      </c>
      <c r="W41" s="790">
        <f t="shared" si="5"/>
        <v>0</v>
      </c>
      <c r="X41" s="759"/>
      <c r="Y41" s="320"/>
      <c r="Z41" s="320"/>
      <c r="AA41" s="320"/>
      <c r="AB41" s="320"/>
      <c r="AC41" s="790">
        <f t="shared" si="6"/>
        <v>0</v>
      </c>
      <c r="AD41" s="790">
        <f t="shared" si="7"/>
        <v>0</v>
      </c>
      <c r="AE41" s="790">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90">
        <f t="shared" si="2"/>
        <v>0</v>
      </c>
      <c r="V42" s="790">
        <f t="shared" si="3"/>
        <v>0</v>
      </c>
      <c r="W42" s="790">
        <f t="shared" si="5"/>
        <v>0</v>
      </c>
      <c r="X42" s="759"/>
      <c r="Y42" s="320"/>
      <c r="Z42" s="320"/>
      <c r="AA42" s="320"/>
      <c r="AB42" s="320"/>
      <c r="AC42" s="790">
        <f t="shared" si="6"/>
        <v>0</v>
      </c>
      <c r="AD42" s="790">
        <f t="shared" si="7"/>
        <v>0</v>
      </c>
      <c r="AE42" s="790">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90">
        <f t="shared" si="2"/>
        <v>0</v>
      </c>
      <c r="V43" s="790">
        <f t="shared" si="3"/>
        <v>0</v>
      </c>
      <c r="W43" s="790">
        <f t="shared" si="5"/>
        <v>0</v>
      </c>
      <c r="X43" s="759"/>
      <c r="Y43" s="320"/>
      <c r="Z43" s="320"/>
      <c r="AA43" s="320"/>
      <c r="AB43" s="320"/>
      <c r="AC43" s="790">
        <f t="shared" si="6"/>
        <v>0</v>
      </c>
      <c r="AD43" s="790">
        <f t="shared" si="7"/>
        <v>0</v>
      </c>
      <c r="AE43" s="790">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90">
        <f t="shared" si="2"/>
        <v>0</v>
      </c>
      <c r="V44" s="790">
        <f t="shared" si="3"/>
        <v>0</v>
      </c>
      <c r="W44" s="790">
        <f t="shared" si="5"/>
        <v>0</v>
      </c>
      <c r="X44" s="759"/>
      <c r="Y44" s="320"/>
      <c r="Z44" s="320"/>
      <c r="AA44" s="320"/>
      <c r="AB44" s="320"/>
      <c r="AC44" s="790">
        <f t="shared" si="6"/>
        <v>0</v>
      </c>
      <c r="AD44" s="790">
        <f t="shared" si="7"/>
        <v>0</v>
      </c>
      <c r="AE44" s="790">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0</v>
      </c>
      <c r="E45" s="117">
        <f t="shared" ref="E45:S45" si="9">SUM(E12:E44)</f>
        <v>0</v>
      </c>
      <c r="F45" s="117">
        <f t="shared" si="9"/>
        <v>0</v>
      </c>
      <c r="G45" s="117">
        <f t="shared" si="9"/>
        <v>0</v>
      </c>
      <c r="H45" s="117">
        <f t="shared" si="9"/>
        <v>0</v>
      </c>
      <c r="I45" s="117">
        <f t="shared" si="9"/>
        <v>0</v>
      </c>
      <c r="J45" s="117">
        <f t="shared" si="9"/>
        <v>0</v>
      </c>
      <c r="K45" s="117">
        <f t="shared" si="9"/>
        <v>0</v>
      </c>
      <c r="L45" s="117">
        <f t="shared" si="9"/>
        <v>0</v>
      </c>
      <c r="M45" s="117">
        <f t="shared" si="9"/>
        <v>0</v>
      </c>
      <c r="N45" s="117">
        <f t="shared" si="9"/>
        <v>0</v>
      </c>
      <c r="O45" s="117">
        <f t="shared" si="9"/>
        <v>0</v>
      </c>
      <c r="P45" s="117">
        <f t="shared" si="9"/>
        <v>0</v>
      </c>
      <c r="Q45" s="117">
        <f t="shared" si="9"/>
        <v>0</v>
      </c>
      <c r="R45" s="117">
        <f>SUM(R12:R44)</f>
        <v>0</v>
      </c>
      <c r="S45" s="117">
        <f t="shared" si="9"/>
        <v>0</v>
      </c>
      <c r="T45" s="616">
        <f>+'I - Capital RLM'!D60</f>
        <v>0</v>
      </c>
      <c r="U45" s="790">
        <f>SUM(U12:U44)</f>
        <v>0</v>
      </c>
      <c r="V45" s="790">
        <f>SUM(V12:V44)</f>
        <v>0</v>
      </c>
      <c r="W45" s="790">
        <f>SUM(W12:W44)</f>
        <v>0</v>
      </c>
      <c r="X45" s="759"/>
      <c r="Y45" s="320"/>
      <c r="Z45" s="320"/>
      <c r="AA45" s="320"/>
      <c r="AB45" s="320"/>
      <c r="AC45" s="790"/>
      <c r="AD45" s="790"/>
      <c r="AE45" s="790"/>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0</v>
      </c>
      <c r="G46" s="323">
        <f>IF('B - Monthly Positions'!E$7=1,'J - Capital In Year Schemes'!G45,0)</f>
        <v>0</v>
      </c>
      <c r="H46" s="323">
        <f>IF('B - Monthly Positions'!F$7=1,'J - Capital In Year Schemes'!H45,0)</f>
        <v>0</v>
      </c>
      <c r="I46" s="323">
        <f>IF('B - Monthly Positions'!G$7=1,'J - Capital In Year Schemes'!I45,0)</f>
        <v>0</v>
      </c>
      <c r="J46" s="323">
        <f>IF('B - Monthly Positions'!H$7=1,'J - Capital In Year Schemes'!J45,0)</f>
        <v>0</v>
      </c>
      <c r="K46" s="323">
        <f>IF('B - Monthly Positions'!I$7=1,'J - Capital In Year Schemes'!K45,0)</f>
        <v>0</v>
      </c>
      <c r="L46" s="323">
        <f>IF('B - Monthly Positions'!J$7=1,'J - Capital In Year Schemes'!L45,0)</f>
        <v>0</v>
      </c>
      <c r="M46" s="323">
        <f>IF('B - Monthly Positions'!K$7=1,'J - Capital In Year Schemes'!M45,0)</f>
        <v>0</v>
      </c>
      <c r="N46" s="323">
        <f>IF('B - Monthly Positions'!L$7=1,'J - Capital In Year Schemes'!N45,0)</f>
        <v>0</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0</v>
      </c>
      <c r="U46" s="792" t="str">
        <f>IF(ABS(T46-T45)&lt;=2,"A","B")</f>
        <v>A</v>
      </c>
      <c r="V46" s="790"/>
      <c r="W46" s="790"/>
      <c r="X46" s="759"/>
      <c r="Y46" s="320"/>
      <c r="Z46" s="320"/>
      <c r="AA46" s="320"/>
      <c r="AB46" s="320"/>
      <c r="AC46" s="790"/>
      <c r="AD46" s="790"/>
      <c r="AE46" s="790"/>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90"/>
      <c r="V47" s="790"/>
      <c r="W47" s="790"/>
      <c r="X47" s="759"/>
      <c r="Y47" s="320"/>
      <c r="Z47" s="320"/>
      <c r="AA47" s="320"/>
      <c r="AB47" s="320"/>
      <c r="AC47" s="790"/>
      <c r="AD47" s="790"/>
      <c r="AE47" s="790"/>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c r="D48" s="32"/>
      <c r="E48" s="27"/>
      <c r="F48" s="27"/>
      <c r="G48" s="27"/>
      <c r="H48" s="27"/>
      <c r="I48" s="27"/>
      <c r="J48" s="27"/>
      <c r="K48" s="27"/>
      <c r="L48" s="27"/>
      <c r="M48" s="27"/>
      <c r="N48" s="27"/>
      <c r="O48" s="27"/>
      <c r="P48" s="27"/>
      <c r="Q48" s="27"/>
      <c r="R48" s="196">
        <f>SUMPRODUCT($F$7:$Q$7,F48:Q48)</f>
        <v>0</v>
      </c>
      <c r="S48" s="196">
        <f>SUM(F48:Q48)</f>
        <v>0</v>
      </c>
      <c r="T48" s="6"/>
      <c r="U48" s="790">
        <f>IF(AND(S48&gt;0,B48=""),1,0)</f>
        <v>0</v>
      </c>
      <c r="V48" s="790">
        <f>IF(AND(B48&lt;&gt;"",C48=""),1,0)</f>
        <v>1</v>
      </c>
      <c r="W48" s="790">
        <f>IF(AND(S48&gt;0,T48=""),1,0)</f>
        <v>0</v>
      </c>
      <c r="X48" s="759"/>
      <c r="Y48" s="320"/>
      <c r="Z48" s="320"/>
      <c r="AA48" s="320"/>
      <c r="AB48" s="320"/>
      <c r="AC48" s="790">
        <f>IF(D48-R48&lt;-1,1,0)</f>
        <v>0</v>
      </c>
      <c r="AD48" s="790">
        <f>IF(D48-S48&gt;1,1,0)</f>
        <v>0</v>
      </c>
      <c r="AE48" s="790">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80" t="s">
        <v>106</v>
      </c>
      <c r="C49" s="580"/>
      <c r="D49" s="32"/>
      <c r="E49" s="27"/>
      <c r="F49" s="27"/>
      <c r="G49" s="27"/>
      <c r="H49" s="27"/>
      <c r="I49" s="27"/>
      <c r="J49" s="27"/>
      <c r="K49" s="27"/>
      <c r="L49" s="27"/>
      <c r="M49" s="27"/>
      <c r="N49" s="27"/>
      <c r="O49" s="27"/>
      <c r="P49" s="27"/>
      <c r="Q49" s="27"/>
      <c r="R49" s="196">
        <f>SUMPRODUCT($F$7:$Q$7,F49:Q49)</f>
        <v>0</v>
      </c>
      <c r="S49" s="196">
        <f>SUM(F49:Q49)</f>
        <v>0</v>
      </c>
      <c r="T49" s="6"/>
      <c r="U49" s="790">
        <f>IF(AND(S49&gt;0,B49=""),1,0)</f>
        <v>0</v>
      </c>
      <c r="V49" s="790">
        <f>IF(AND(B49&lt;&gt;"",C49=""),1,0)</f>
        <v>1</v>
      </c>
      <c r="W49" s="790">
        <f>IF(AND(S49&gt;0,T49=""),1,0)</f>
        <v>0</v>
      </c>
      <c r="X49" s="759"/>
      <c r="Y49" s="320"/>
      <c r="Z49" s="320"/>
      <c r="AA49" s="320"/>
      <c r="AB49" s="320"/>
      <c r="AC49" s="790">
        <f>IF(D49-R49&lt;-1,1,0)</f>
        <v>0</v>
      </c>
      <c r="AD49" s="790">
        <f>IF(D49-S49&gt;1,1,0)</f>
        <v>0</v>
      </c>
      <c r="AE49" s="790">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580"/>
      <c r="D50" s="32"/>
      <c r="E50" s="27"/>
      <c r="F50" s="27"/>
      <c r="G50" s="27"/>
      <c r="H50" s="27"/>
      <c r="I50" s="27"/>
      <c r="J50" s="27"/>
      <c r="K50" s="27"/>
      <c r="L50" s="27"/>
      <c r="M50" s="27"/>
      <c r="N50" s="27"/>
      <c r="O50" s="27"/>
      <c r="P50" s="27"/>
      <c r="Q50" s="27"/>
      <c r="R50" s="196">
        <f>SUMPRODUCT($F$7:$Q$7,F50:Q50)</f>
        <v>0</v>
      </c>
      <c r="S50" s="196">
        <f>SUM(F50:Q50)</f>
        <v>0</v>
      </c>
      <c r="T50" s="6"/>
      <c r="U50" s="790">
        <f>IF(AND(S50&gt;0,B50=""),1,0)</f>
        <v>0</v>
      </c>
      <c r="V50" s="790">
        <f>IF(AND(B50&lt;&gt;"",C50=""),1,0)</f>
        <v>1</v>
      </c>
      <c r="W50" s="790">
        <f>IF(AND(S50&gt;0,T50=""),1,0)</f>
        <v>0</v>
      </c>
      <c r="X50" s="759"/>
      <c r="Y50" s="320"/>
      <c r="Z50" s="320"/>
      <c r="AA50" s="320"/>
      <c r="AB50" s="320"/>
      <c r="AC50" s="790">
        <f>IF(D50-R50&lt;-1,1,0)</f>
        <v>0</v>
      </c>
      <c r="AD50" s="790">
        <f>IF(D50-S50&gt;1,1,0)</f>
        <v>0</v>
      </c>
      <c r="AE50" s="790">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c r="D51" s="32"/>
      <c r="E51" s="27"/>
      <c r="F51" s="27"/>
      <c r="G51" s="27"/>
      <c r="H51" s="27"/>
      <c r="I51" s="27"/>
      <c r="J51" s="27"/>
      <c r="K51" s="27"/>
      <c r="L51" s="27"/>
      <c r="M51" s="27"/>
      <c r="N51" s="27"/>
      <c r="O51" s="27"/>
      <c r="P51" s="27"/>
      <c r="Q51" s="27"/>
      <c r="R51" s="196">
        <f>SUMPRODUCT($F$7:$Q$7,F51:Q51)</f>
        <v>0</v>
      </c>
      <c r="S51" s="196">
        <f>SUM(F51:Q51)</f>
        <v>0</v>
      </c>
      <c r="T51" s="6"/>
      <c r="U51" s="790">
        <f>IF(AND(S51&gt;0,B51=""),1,0)</f>
        <v>0</v>
      </c>
      <c r="V51" s="790">
        <f>IF(AND(B51&lt;&gt;"",C51=""),1,0)</f>
        <v>1</v>
      </c>
      <c r="W51" s="790">
        <f>IF(AND(S51&gt;0,T51=""),1,0)</f>
        <v>0</v>
      </c>
      <c r="X51" s="759"/>
      <c r="Y51" s="320"/>
      <c r="Z51" s="320"/>
      <c r="AA51" s="320"/>
      <c r="AB51" s="320"/>
      <c r="AC51" s="790">
        <f>IF(D51-R51&lt;-1,1,0)</f>
        <v>0</v>
      </c>
      <c r="AD51" s="790">
        <f>IF(D51-S51&gt;1,1,0)</f>
        <v>0</v>
      </c>
      <c r="AE51" s="790">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c r="D52" s="33"/>
      <c r="E52" s="28"/>
      <c r="F52" s="28"/>
      <c r="G52" s="28"/>
      <c r="H52" s="28"/>
      <c r="I52" s="28"/>
      <c r="J52" s="28"/>
      <c r="K52" s="28"/>
      <c r="L52" s="28"/>
      <c r="M52" s="28"/>
      <c r="N52" s="28"/>
      <c r="O52" s="28"/>
      <c r="P52" s="28"/>
      <c r="Q52" s="28"/>
      <c r="R52" s="118">
        <f>SUMPRODUCT($F$7:$Q$7,F52:Q52)</f>
        <v>0</v>
      </c>
      <c r="S52" s="118">
        <f>SUM(F52:Q52)</f>
        <v>0</v>
      </c>
      <c r="T52" s="5"/>
      <c r="U52" s="790">
        <f>IF(AND(S52&gt;0,B52=""),1,0)</f>
        <v>0</v>
      </c>
      <c r="V52" s="790">
        <f>IF(AND(B52&lt;&gt;"",C52=""),1,0)</f>
        <v>1</v>
      </c>
      <c r="W52" s="790">
        <f>IF(AND(S52&gt;0,T52=""),1,0)</f>
        <v>0</v>
      </c>
      <c r="X52" s="759"/>
      <c r="Y52" s="320"/>
      <c r="Z52" s="320"/>
      <c r="AA52" s="320"/>
      <c r="AB52" s="320"/>
      <c r="AC52" s="790">
        <f>IF(D52-R52&lt;-1,1,0)</f>
        <v>0</v>
      </c>
      <c r="AD52" s="790">
        <f>IF(D52-S52&gt;1,1,0)</f>
        <v>0</v>
      </c>
      <c r="AE52" s="790">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0</v>
      </c>
      <c r="E53" s="117">
        <f t="shared" ref="E53:S53" si="10">SUM(E48:E52)</f>
        <v>0</v>
      </c>
      <c r="F53" s="117">
        <f t="shared" si="10"/>
        <v>0</v>
      </c>
      <c r="G53" s="117">
        <f t="shared" si="10"/>
        <v>0</v>
      </c>
      <c r="H53" s="117">
        <f t="shared" si="10"/>
        <v>0</v>
      </c>
      <c r="I53" s="117">
        <f t="shared" si="10"/>
        <v>0</v>
      </c>
      <c r="J53" s="117">
        <f t="shared" si="10"/>
        <v>0</v>
      </c>
      <c r="K53" s="117">
        <f t="shared" si="10"/>
        <v>0</v>
      </c>
      <c r="L53" s="117">
        <f t="shared" si="10"/>
        <v>0</v>
      </c>
      <c r="M53" s="117">
        <f t="shared" si="10"/>
        <v>0</v>
      </c>
      <c r="N53" s="117">
        <f t="shared" si="10"/>
        <v>0</v>
      </c>
      <c r="O53" s="117">
        <f t="shared" si="10"/>
        <v>0</v>
      </c>
      <c r="P53" s="117">
        <f t="shared" si="10"/>
        <v>0</v>
      </c>
      <c r="Q53" s="117">
        <f t="shared" si="10"/>
        <v>0</v>
      </c>
      <c r="R53" s="117">
        <f t="shared" si="10"/>
        <v>0</v>
      </c>
      <c r="S53" s="117">
        <f t="shared" si="10"/>
        <v>0</v>
      </c>
      <c r="T53" s="615">
        <f>+'I - Capital RLM'!D69</f>
        <v>0</v>
      </c>
      <c r="U53" s="790">
        <f>SUM(U48:U52)</f>
        <v>0</v>
      </c>
      <c r="V53" s="790">
        <f>SUM(V48:V52)</f>
        <v>5</v>
      </c>
      <c r="W53" s="790">
        <f>SUM(W48:W52)</f>
        <v>0</v>
      </c>
      <c r="X53" s="759"/>
      <c r="Y53" s="320"/>
      <c r="Z53" s="320"/>
      <c r="AA53" s="320"/>
      <c r="AB53" s="320"/>
      <c r="AC53" s="790"/>
      <c r="AD53" s="790"/>
      <c r="AE53" s="790"/>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0</v>
      </c>
      <c r="G54" s="323">
        <f>IF('B - Monthly Positions'!E$7=1,'J - Capital In Year Schemes'!G53,0)</f>
        <v>0</v>
      </c>
      <c r="H54" s="323">
        <f>IF('B - Monthly Positions'!F$7=1,'J - Capital In Year Schemes'!H53,0)</f>
        <v>0</v>
      </c>
      <c r="I54" s="323">
        <f>IF('B - Monthly Positions'!G$7=1,'J - Capital In Year Schemes'!I53,0)</f>
        <v>0</v>
      </c>
      <c r="J54" s="323">
        <f>IF('B - Monthly Positions'!H$7=1,'J - Capital In Year Schemes'!J53,0)</f>
        <v>0</v>
      </c>
      <c r="K54" s="323">
        <f>IF('B - Monthly Positions'!I$7=1,'J - Capital In Year Schemes'!K53,0)</f>
        <v>0</v>
      </c>
      <c r="L54" s="323">
        <f>IF('B - Monthly Positions'!J$7=1,'J - Capital In Year Schemes'!L53,0)</f>
        <v>0</v>
      </c>
      <c r="M54" s="323">
        <f>IF('B - Monthly Positions'!K$7=1,'J - Capital In Year Schemes'!M53,0)</f>
        <v>0</v>
      </c>
      <c r="N54" s="323">
        <f>IF('B - Monthly Positions'!L$7=1,'J - Capital In Year Schemes'!N53,0)</f>
        <v>0</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0</v>
      </c>
      <c r="U54" s="792" t="str">
        <f>IF(ABS(T54-T53)&lt;=2,"A","B")</f>
        <v>A</v>
      </c>
      <c r="V54" s="790"/>
      <c r="W54" s="790"/>
      <c r="X54" s="759"/>
      <c r="Y54" s="320"/>
      <c r="Z54" s="320"/>
      <c r="AA54" s="320"/>
      <c r="AB54" s="320"/>
      <c r="AC54" s="790"/>
      <c r="AD54" s="790"/>
      <c r="AE54" s="790"/>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90"/>
      <c r="V55" s="790"/>
      <c r="W55" s="790"/>
      <c r="X55" s="759"/>
      <c r="Y55" s="320"/>
      <c r="Z55" s="320"/>
      <c r="AA55" s="320"/>
      <c r="AB55" s="320"/>
      <c r="AC55" s="790"/>
      <c r="AD55" s="790"/>
      <c r="AE55" s="790"/>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90">
        <f t="shared" ref="U56:U75" si="13">IF(AND(S56&gt;0,B56=""),1,0)</f>
        <v>0</v>
      </c>
      <c r="V56" s="790">
        <f t="shared" ref="V56:V75" si="14">IF(AND(B56&lt;&gt;"",C56=""),1,0)</f>
        <v>0</v>
      </c>
      <c r="W56" s="790">
        <f t="shared" ref="W56:W75" si="15">IF(AND(S56&gt;0,T56=""),1,0)</f>
        <v>0</v>
      </c>
      <c r="X56" s="759"/>
      <c r="Y56" s="320"/>
      <c r="Z56" s="320"/>
      <c r="AA56" s="320"/>
      <c r="AB56" s="320"/>
      <c r="AC56" s="790">
        <f t="shared" ref="AC56:AC75" si="16">IF(D56-R56&lt;-1,1,0)</f>
        <v>0</v>
      </c>
      <c r="AD56" s="790">
        <f t="shared" ref="AD56:AD75" si="17">IF(D56-S56&gt;1,1,0)</f>
        <v>0</v>
      </c>
      <c r="AE56" s="790">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90">
        <f t="shared" si="13"/>
        <v>0</v>
      </c>
      <c r="V57" s="790">
        <f t="shared" si="14"/>
        <v>0</v>
      </c>
      <c r="W57" s="790">
        <f t="shared" si="15"/>
        <v>0</v>
      </c>
      <c r="X57" s="759"/>
      <c r="Y57" s="320"/>
      <c r="Z57" s="320"/>
      <c r="AA57" s="320"/>
      <c r="AB57" s="320"/>
      <c r="AC57" s="790">
        <f t="shared" si="16"/>
        <v>0</v>
      </c>
      <c r="AD57" s="790">
        <f t="shared" si="17"/>
        <v>0</v>
      </c>
      <c r="AE57" s="790">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90">
        <f t="shared" si="13"/>
        <v>0</v>
      </c>
      <c r="V58" s="790">
        <f t="shared" si="14"/>
        <v>0</v>
      </c>
      <c r="W58" s="790">
        <f t="shared" si="15"/>
        <v>0</v>
      </c>
      <c r="X58" s="759"/>
      <c r="Y58" s="320"/>
      <c r="Z58" s="320"/>
      <c r="AA58" s="320"/>
      <c r="AB58" s="320"/>
      <c r="AC58" s="790">
        <f t="shared" si="16"/>
        <v>0</v>
      </c>
      <c r="AD58" s="790">
        <f t="shared" si="17"/>
        <v>0</v>
      </c>
      <c r="AE58" s="790">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90">
        <f t="shared" si="13"/>
        <v>0</v>
      </c>
      <c r="V59" s="790">
        <f t="shared" si="14"/>
        <v>0</v>
      </c>
      <c r="W59" s="790">
        <f t="shared" si="15"/>
        <v>0</v>
      </c>
      <c r="X59" s="759"/>
      <c r="Y59" s="320"/>
      <c r="Z59" s="320"/>
      <c r="AA59" s="320"/>
      <c r="AB59" s="320"/>
      <c r="AC59" s="790">
        <f t="shared" si="16"/>
        <v>0</v>
      </c>
      <c r="AD59" s="790">
        <f t="shared" si="17"/>
        <v>0</v>
      </c>
      <c r="AE59" s="790">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90">
        <f t="shared" si="13"/>
        <v>0</v>
      </c>
      <c r="V60" s="790">
        <f t="shared" si="14"/>
        <v>0</v>
      </c>
      <c r="W60" s="790">
        <f t="shared" si="15"/>
        <v>0</v>
      </c>
      <c r="X60" s="759"/>
      <c r="Y60" s="320"/>
      <c r="Z60" s="320"/>
      <c r="AA60" s="320"/>
      <c r="AB60" s="320"/>
      <c r="AC60" s="790">
        <f t="shared" si="16"/>
        <v>0</v>
      </c>
      <c r="AD60" s="790">
        <f t="shared" si="17"/>
        <v>0</v>
      </c>
      <c r="AE60" s="790">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90">
        <f t="shared" si="13"/>
        <v>0</v>
      </c>
      <c r="V61" s="790">
        <f t="shared" si="14"/>
        <v>0</v>
      </c>
      <c r="W61" s="790">
        <f t="shared" si="15"/>
        <v>0</v>
      </c>
      <c r="X61" s="759"/>
      <c r="Y61" s="320"/>
      <c r="Z61" s="320"/>
      <c r="AA61" s="320"/>
      <c r="AB61" s="320"/>
      <c r="AC61" s="790">
        <f t="shared" si="16"/>
        <v>0</v>
      </c>
      <c r="AD61" s="790">
        <f t="shared" si="17"/>
        <v>0</v>
      </c>
      <c r="AE61" s="790">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90">
        <f t="shared" si="13"/>
        <v>0</v>
      </c>
      <c r="V62" s="790">
        <f t="shared" si="14"/>
        <v>0</v>
      </c>
      <c r="W62" s="790">
        <f t="shared" si="15"/>
        <v>0</v>
      </c>
      <c r="X62" s="759"/>
      <c r="Y62" s="320"/>
      <c r="Z62" s="320"/>
      <c r="AA62" s="320"/>
      <c r="AB62" s="320"/>
      <c r="AC62" s="790">
        <f t="shared" si="16"/>
        <v>0</v>
      </c>
      <c r="AD62" s="790">
        <f t="shared" si="17"/>
        <v>0</v>
      </c>
      <c r="AE62" s="790">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90">
        <f t="shared" si="13"/>
        <v>0</v>
      </c>
      <c r="V63" s="790">
        <f t="shared" si="14"/>
        <v>0</v>
      </c>
      <c r="W63" s="790">
        <f t="shared" si="15"/>
        <v>0</v>
      </c>
      <c r="X63" s="759"/>
      <c r="Y63" s="320"/>
      <c r="Z63" s="320"/>
      <c r="AA63" s="320"/>
      <c r="AB63" s="320"/>
      <c r="AC63" s="790">
        <f t="shared" si="16"/>
        <v>0</v>
      </c>
      <c r="AD63" s="790">
        <f t="shared" si="17"/>
        <v>0</v>
      </c>
      <c r="AE63" s="790">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90">
        <f t="shared" si="13"/>
        <v>0</v>
      </c>
      <c r="V64" s="790">
        <f t="shared" si="14"/>
        <v>0</v>
      </c>
      <c r="W64" s="790">
        <f t="shared" si="15"/>
        <v>0</v>
      </c>
      <c r="X64" s="759"/>
      <c r="Y64" s="320"/>
      <c r="Z64" s="320"/>
      <c r="AA64" s="320"/>
      <c r="AB64" s="320"/>
      <c r="AC64" s="790">
        <f t="shared" si="16"/>
        <v>0</v>
      </c>
      <c r="AD64" s="790">
        <f t="shared" si="17"/>
        <v>0</v>
      </c>
      <c r="AE64" s="790">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90">
        <f t="shared" si="13"/>
        <v>0</v>
      </c>
      <c r="V65" s="790">
        <f t="shared" si="14"/>
        <v>0</v>
      </c>
      <c r="W65" s="790">
        <f t="shared" si="15"/>
        <v>0</v>
      </c>
      <c r="X65" s="759"/>
      <c r="Y65" s="320"/>
      <c r="Z65" s="320"/>
      <c r="AA65" s="320"/>
      <c r="AB65" s="320"/>
      <c r="AC65" s="790">
        <f t="shared" si="16"/>
        <v>0</v>
      </c>
      <c r="AD65" s="790">
        <f t="shared" si="17"/>
        <v>0</v>
      </c>
      <c r="AE65" s="790">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90">
        <f t="shared" si="13"/>
        <v>0</v>
      </c>
      <c r="V66" s="790">
        <f t="shared" si="14"/>
        <v>0</v>
      </c>
      <c r="W66" s="790">
        <f t="shared" si="15"/>
        <v>0</v>
      </c>
      <c r="X66" s="759"/>
      <c r="Y66" s="320"/>
      <c r="Z66" s="320"/>
      <c r="AA66" s="320"/>
      <c r="AB66" s="320"/>
      <c r="AC66" s="790">
        <f t="shared" si="16"/>
        <v>0</v>
      </c>
      <c r="AD66" s="790">
        <f t="shared" si="17"/>
        <v>0</v>
      </c>
      <c r="AE66" s="790">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90">
        <f t="shared" si="13"/>
        <v>0</v>
      </c>
      <c r="V67" s="790">
        <f t="shared" si="14"/>
        <v>0</v>
      </c>
      <c r="W67" s="790">
        <f t="shared" si="15"/>
        <v>0</v>
      </c>
      <c r="X67" s="759"/>
      <c r="Y67" s="320"/>
      <c r="Z67" s="320"/>
      <c r="AA67" s="320"/>
      <c r="AB67" s="320"/>
      <c r="AC67" s="790">
        <f t="shared" si="16"/>
        <v>0</v>
      </c>
      <c r="AD67" s="790">
        <f t="shared" si="17"/>
        <v>0</v>
      </c>
      <c r="AE67" s="790">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90">
        <f t="shared" si="13"/>
        <v>0</v>
      </c>
      <c r="V68" s="790">
        <f t="shared" si="14"/>
        <v>0</v>
      </c>
      <c r="W68" s="790">
        <f t="shared" si="15"/>
        <v>0</v>
      </c>
      <c r="X68" s="759"/>
      <c r="Y68" s="320"/>
      <c r="Z68" s="320"/>
      <c r="AA68" s="320"/>
      <c r="AB68" s="320"/>
      <c r="AC68" s="790">
        <f t="shared" si="16"/>
        <v>0</v>
      </c>
      <c r="AD68" s="790">
        <f t="shared" si="17"/>
        <v>0</v>
      </c>
      <c r="AE68" s="790">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90">
        <f t="shared" si="13"/>
        <v>0</v>
      </c>
      <c r="V69" s="790">
        <f t="shared" si="14"/>
        <v>0</v>
      </c>
      <c r="W69" s="790">
        <f t="shared" si="15"/>
        <v>0</v>
      </c>
      <c r="X69" s="759"/>
      <c r="Y69" s="320"/>
      <c r="Z69" s="320"/>
      <c r="AA69" s="320"/>
      <c r="AB69" s="320"/>
      <c r="AC69" s="790">
        <f t="shared" si="16"/>
        <v>0</v>
      </c>
      <c r="AD69" s="790">
        <f t="shared" si="17"/>
        <v>0</v>
      </c>
      <c r="AE69" s="790">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90">
        <f t="shared" si="13"/>
        <v>0</v>
      </c>
      <c r="V70" s="790">
        <f t="shared" si="14"/>
        <v>0</v>
      </c>
      <c r="W70" s="790">
        <f t="shared" si="15"/>
        <v>0</v>
      </c>
      <c r="X70" s="759"/>
      <c r="Y70" s="320"/>
      <c r="Z70" s="320"/>
      <c r="AA70" s="320"/>
      <c r="AB70" s="320"/>
      <c r="AC70" s="790">
        <f t="shared" si="16"/>
        <v>0</v>
      </c>
      <c r="AD70" s="790">
        <f t="shared" si="17"/>
        <v>0</v>
      </c>
      <c r="AE70" s="790">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90">
        <f t="shared" si="13"/>
        <v>0</v>
      </c>
      <c r="V71" s="790">
        <f t="shared" si="14"/>
        <v>0</v>
      </c>
      <c r="W71" s="790">
        <f t="shared" si="15"/>
        <v>0</v>
      </c>
      <c r="X71" s="759"/>
      <c r="Y71" s="320"/>
      <c r="Z71" s="320"/>
      <c r="AA71" s="320"/>
      <c r="AB71" s="320"/>
      <c r="AC71" s="790">
        <f t="shared" si="16"/>
        <v>0</v>
      </c>
      <c r="AD71" s="790">
        <f t="shared" si="17"/>
        <v>0</v>
      </c>
      <c r="AE71" s="790">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90">
        <f t="shared" si="13"/>
        <v>0</v>
      </c>
      <c r="V72" s="790">
        <f t="shared" si="14"/>
        <v>0</v>
      </c>
      <c r="W72" s="790">
        <f t="shared" si="15"/>
        <v>0</v>
      </c>
      <c r="X72" s="759"/>
      <c r="Y72" s="320"/>
      <c r="Z72" s="320"/>
      <c r="AA72" s="320"/>
      <c r="AB72" s="320"/>
      <c r="AC72" s="790">
        <f t="shared" si="16"/>
        <v>0</v>
      </c>
      <c r="AD72" s="790">
        <f t="shared" si="17"/>
        <v>0</v>
      </c>
      <c r="AE72" s="790">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90">
        <f t="shared" si="13"/>
        <v>0</v>
      </c>
      <c r="V73" s="790">
        <f t="shared" si="14"/>
        <v>0</v>
      </c>
      <c r="W73" s="790">
        <f t="shared" si="15"/>
        <v>0</v>
      </c>
      <c r="X73" s="759"/>
      <c r="Y73" s="320"/>
      <c r="Z73" s="320"/>
      <c r="AA73" s="320"/>
      <c r="AB73" s="320"/>
      <c r="AC73" s="790">
        <f t="shared" si="16"/>
        <v>0</v>
      </c>
      <c r="AD73" s="790">
        <f t="shared" si="17"/>
        <v>0</v>
      </c>
      <c r="AE73" s="790">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90">
        <f t="shared" si="13"/>
        <v>0</v>
      </c>
      <c r="V74" s="790">
        <f t="shared" si="14"/>
        <v>0</v>
      </c>
      <c r="W74" s="790">
        <f t="shared" si="15"/>
        <v>0</v>
      </c>
      <c r="X74" s="759"/>
      <c r="Y74" s="320"/>
      <c r="Z74" s="320"/>
      <c r="AA74" s="320"/>
      <c r="AB74" s="320"/>
      <c r="AC74" s="790">
        <f t="shared" si="16"/>
        <v>0</v>
      </c>
      <c r="AD74" s="790">
        <f t="shared" si="17"/>
        <v>0</v>
      </c>
      <c r="AE74" s="790">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90">
        <f t="shared" si="13"/>
        <v>0</v>
      </c>
      <c r="V75" s="790">
        <f t="shared" si="14"/>
        <v>0</v>
      </c>
      <c r="W75" s="790">
        <f t="shared" si="15"/>
        <v>0</v>
      </c>
      <c r="X75" s="759"/>
      <c r="Y75" s="320"/>
      <c r="Z75" s="320"/>
      <c r="AA75" s="320"/>
      <c r="AB75" s="320"/>
      <c r="AC75" s="790">
        <f t="shared" si="16"/>
        <v>0</v>
      </c>
      <c r="AD75" s="790">
        <f t="shared" si="17"/>
        <v>0</v>
      </c>
      <c r="AE75" s="790">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90">
        <f>SUM(U56:U75)</f>
        <v>0</v>
      </c>
      <c r="V76" s="790">
        <f>SUM(V56:V75)</f>
        <v>0</v>
      </c>
      <c r="W76" s="790">
        <f>SUM(W56:W75)</f>
        <v>0</v>
      </c>
      <c r="X76" s="759"/>
      <c r="Y76" s="320"/>
      <c r="Z76" s="320"/>
      <c r="AA76" s="320"/>
      <c r="AB76" s="320"/>
      <c r="AC76" s="788">
        <f>SUM(AC12:AC75)</f>
        <v>0</v>
      </c>
      <c r="AD76" s="788">
        <f>SUM(AD12:AD75)</f>
        <v>0</v>
      </c>
      <c r="AE76" s="788">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2" t="str">
        <f>IF(ABS(T77-T76)&lt;=2,"A","B")</f>
        <v>A</v>
      </c>
      <c r="V77" s="790"/>
      <c r="W77" s="790"/>
      <c r="X77" s="759"/>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0</v>
      </c>
      <c r="E78" s="117">
        <f t="shared" ref="E78:S78" si="20">+E45+E53+E76</f>
        <v>0</v>
      </c>
      <c r="F78" s="117">
        <f t="shared" si="20"/>
        <v>0</v>
      </c>
      <c r="G78" s="117">
        <f t="shared" si="20"/>
        <v>0</v>
      </c>
      <c r="H78" s="117">
        <f t="shared" si="20"/>
        <v>0</v>
      </c>
      <c r="I78" s="117">
        <f t="shared" si="20"/>
        <v>0</v>
      </c>
      <c r="J78" s="117">
        <f t="shared" si="20"/>
        <v>0</v>
      </c>
      <c r="K78" s="117">
        <f t="shared" si="20"/>
        <v>0</v>
      </c>
      <c r="L78" s="117">
        <f t="shared" si="20"/>
        <v>0</v>
      </c>
      <c r="M78" s="117">
        <f t="shared" si="20"/>
        <v>0</v>
      </c>
      <c r="N78" s="117">
        <f t="shared" si="20"/>
        <v>0</v>
      </c>
      <c r="O78" s="117">
        <f t="shared" si="20"/>
        <v>0</v>
      </c>
      <c r="P78" s="117">
        <f t="shared" si="20"/>
        <v>0</v>
      </c>
      <c r="Q78" s="117">
        <f t="shared" si="20"/>
        <v>0</v>
      </c>
      <c r="R78" s="117">
        <f>+R45+R53+R76</f>
        <v>0</v>
      </c>
      <c r="S78" s="117">
        <f t="shared" si="20"/>
        <v>0</v>
      </c>
      <c r="T78" s="274"/>
      <c r="U78" s="790"/>
      <c r="V78" s="790"/>
      <c r="W78" s="790"/>
      <c r="X78" s="759"/>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90"/>
      <c r="V79" s="790"/>
      <c r="W79" s="790"/>
      <c r="X79" s="759"/>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90"/>
      <c r="V80" s="790"/>
      <c r="W80" s="790"/>
      <c r="X80" s="759"/>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90"/>
      <c r="V81" s="790"/>
      <c r="W81" s="790"/>
      <c r="X81" s="759"/>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90"/>
      <c r="V82" s="790"/>
      <c r="W82" s="790"/>
      <c r="X82" s="759"/>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90"/>
      <c r="V83" s="790"/>
      <c r="W83" s="790"/>
      <c r="X83" s="759"/>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90"/>
      <c r="V84" s="790"/>
      <c r="W84" s="790"/>
      <c r="X84" s="759"/>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90"/>
      <c r="V85" s="790"/>
      <c r="W85" s="790"/>
      <c r="X85" s="759"/>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90"/>
      <c r="V86" s="790"/>
      <c r="W86" s="790"/>
      <c r="X86" s="759"/>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90"/>
      <c r="V87" s="790"/>
      <c r="W87" s="790"/>
      <c r="X87" s="759"/>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90"/>
      <c r="V88" s="790"/>
      <c r="W88" s="790"/>
      <c r="X88" s="759"/>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90"/>
      <c r="V89" s="790"/>
      <c r="W89" s="790"/>
      <c r="X89" s="759"/>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90"/>
      <c r="V90" s="790"/>
      <c r="W90" s="790"/>
      <c r="X90" s="759"/>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90"/>
      <c r="V91" s="790"/>
      <c r="W91" s="790"/>
      <c r="X91" s="759"/>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90"/>
      <c r="V92" s="790"/>
      <c r="W92" s="790"/>
      <c r="X92" s="759"/>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90"/>
      <c r="V93" s="790"/>
      <c r="W93" s="790"/>
      <c r="X93" s="759"/>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90"/>
      <c r="V94" s="790"/>
      <c r="W94" s="790"/>
      <c r="X94" s="759"/>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90"/>
      <c r="V95" s="790"/>
      <c r="W95" s="790"/>
      <c r="X95" s="759"/>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9"/>
      <c r="V96" s="759"/>
      <c r="W96" s="759"/>
      <c r="X96" s="759"/>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9"/>
      <c r="V97" s="759"/>
      <c r="W97" s="759"/>
      <c r="X97" s="759"/>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9"/>
      <c r="V98" s="759"/>
      <c r="W98" s="759"/>
      <c r="X98" s="759"/>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9"/>
      <c r="V99" s="759"/>
      <c r="W99" s="759"/>
      <c r="X99" s="759"/>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9"/>
      <c r="V100" s="759"/>
      <c r="W100" s="759"/>
      <c r="X100" s="759"/>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9"/>
      <c r="V101" s="759"/>
      <c r="W101" s="759"/>
      <c r="X101" s="759"/>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9"/>
      <c r="V102" s="759"/>
      <c r="W102" s="759"/>
      <c r="X102" s="759"/>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9"/>
      <c r="V103" s="759"/>
      <c r="W103" s="759"/>
      <c r="X103" s="759"/>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9"/>
      <c r="V104" s="759"/>
      <c r="W104" s="759"/>
      <c r="X104" s="759"/>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9"/>
      <c r="V105" s="759"/>
      <c r="W105" s="759"/>
      <c r="X105" s="759"/>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9"/>
      <c r="V106" s="759"/>
      <c r="W106" s="759"/>
      <c r="X106" s="759"/>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9"/>
      <c r="V107" s="759"/>
      <c r="W107" s="759"/>
      <c r="X107" s="759"/>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9"/>
      <c r="V108" s="759"/>
      <c r="W108" s="759"/>
      <c r="X108" s="759"/>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9"/>
      <c r="V109" s="759"/>
      <c r="W109" s="759"/>
      <c r="X109" s="759"/>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9"/>
      <c r="V110" s="759"/>
      <c r="W110" s="759"/>
      <c r="X110" s="759"/>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9"/>
      <c r="V111" s="759"/>
      <c r="W111" s="759"/>
      <c r="X111" s="759"/>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9"/>
      <c r="V112" s="759"/>
      <c r="W112" s="759"/>
      <c r="X112" s="759"/>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9"/>
      <c r="V113" s="759"/>
      <c r="W113" s="759"/>
      <c r="X113" s="759"/>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9"/>
      <c r="V114" s="759"/>
      <c r="W114" s="759"/>
      <c r="X114" s="759"/>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9"/>
      <c r="V115" s="759"/>
      <c r="W115" s="759"/>
      <c r="X115" s="759"/>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9"/>
      <c r="V116" s="759"/>
      <c r="W116" s="759"/>
      <c r="X116" s="759"/>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9"/>
      <c r="V117" s="759"/>
      <c r="W117" s="759"/>
      <c r="X117" s="759"/>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9"/>
      <c r="V118" s="759"/>
      <c r="W118" s="759"/>
      <c r="X118" s="759"/>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9"/>
      <c r="V119" s="759"/>
      <c r="W119" s="759"/>
      <c r="X119" s="759"/>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9"/>
      <c r="V120" s="759"/>
      <c r="W120" s="759"/>
      <c r="X120" s="759"/>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9"/>
      <c r="V121" s="759"/>
      <c r="W121" s="759"/>
      <c r="X121" s="759"/>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9"/>
      <c r="V122" s="759"/>
      <c r="W122" s="759"/>
      <c r="X122" s="759"/>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9"/>
      <c r="V123" s="759"/>
      <c r="W123" s="759"/>
      <c r="X123" s="759"/>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9"/>
      <c r="V124" s="759"/>
      <c r="W124" s="759"/>
      <c r="X124" s="759"/>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9"/>
      <c r="V125" s="759"/>
      <c r="W125" s="759"/>
      <c r="X125" s="759"/>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9"/>
      <c r="V126" s="759"/>
      <c r="W126" s="759"/>
      <c r="X126" s="759"/>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9"/>
      <c r="V127" s="759"/>
      <c r="W127" s="759"/>
      <c r="X127" s="759"/>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9"/>
      <c r="V128" s="759"/>
      <c r="W128" s="759"/>
      <c r="X128" s="759"/>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9"/>
      <c r="V129" s="759"/>
      <c r="W129" s="759"/>
      <c r="X129" s="759"/>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9"/>
      <c r="V130" s="759"/>
      <c r="W130" s="759"/>
      <c r="X130" s="759"/>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9"/>
      <c r="V131" s="759"/>
      <c r="W131" s="759"/>
      <c r="X131" s="759"/>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9"/>
      <c r="V132" s="759"/>
      <c r="W132" s="759"/>
      <c r="X132" s="759"/>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9"/>
      <c r="V133" s="759"/>
      <c r="W133" s="759"/>
      <c r="X133" s="759"/>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9"/>
      <c r="V134" s="759"/>
      <c r="W134" s="759"/>
      <c r="X134" s="759"/>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9"/>
      <c r="V135" s="759"/>
      <c r="W135" s="759"/>
      <c r="X135" s="759"/>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9"/>
      <c r="V136" s="759"/>
      <c r="W136" s="759"/>
      <c r="X136" s="759"/>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9"/>
      <c r="V137" s="759"/>
      <c r="W137" s="759"/>
      <c r="X137" s="759"/>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9"/>
      <c r="V138" s="759"/>
      <c r="W138" s="759"/>
      <c r="X138" s="759"/>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9"/>
      <c r="V139" s="759"/>
      <c r="W139" s="759"/>
      <c r="X139" s="759"/>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9"/>
      <c r="V140" s="759"/>
      <c r="W140" s="759"/>
      <c r="X140" s="759"/>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9"/>
      <c r="V141" s="759"/>
      <c r="W141" s="759"/>
      <c r="X141" s="759"/>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9"/>
      <c r="V142" s="759"/>
      <c r="W142" s="759"/>
      <c r="X142" s="759"/>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9"/>
      <c r="V143" s="759"/>
      <c r="W143" s="759"/>
      <c r="X143" s="759"/>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9"/>
      <c r="V144" s="759"/>
      <c r="W144" s="759"/>
      <c r="X144" s="759"/>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9"/>
      <c r="V145" s="759"/>
      <c r="W145" s="759"/>
      <c r="X145" s="759"/>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9"/>
      <c r="V146" s="759"/>
      <c r="W146" s="759"/>
      <c r="X146" s="759"/>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9"/>
      <c r="V147" s="759"/>
      <c r="W147" s="759"/>
      <c r="X147" s="759"/>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9"/>
      <c r="V148" s="759"/>
      <c r="W148" s="759"/>
      <c r="X148" s="759"/>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9"/>
      <c r="V149" s="759"/>
      <c r="W149" s="759"/>
      <c r="X149" s="759"/>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9"/>
      <c r="V150" s="759"/>
      <c r="W150" s="759"/>
      <c r="X150" s="759"/>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9"/>
      <c r="V151" s="759"/>
      <c r="W151" s="759"/>
      <c r="X151" s="759"/>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disablePrompts="1"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heetViews>
  <sheetFormatPr defaultColWidth="8.921875" defaultRowHeight="15.5"/>
  <cols>
    <col min="1" max="1" width="5.07421875" customWidth="1"/>
    <col min="2" max="2" width="54" customWidth="1"/>
    <col min="3" max="5" width="21.921875" customWidth="1"/>
    <col min="6" max="6" width="10.61328125" customWidth="1"/>
    <col min="8" max="8" width="9.61328125" customWidth="1"/>
    <col min="16" max="16" width="24.07421875" bestFit="1" customWidth="1"/>
    <col min="17" max="20" width="8.921875" style="754"/>
    <col min="25" max="25" width="44.152343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Apr 23</v>
      </c>
      <c r="P1" s="71"/>
      <c r="Q1" s="607"/>
      <c r="R1" s="607"/>
      <c r="S1" s="607"/>
      <c r="T1" s="607"/>
      <c r="U1" s="320"/>
      <c r="V1" s="320"/>
      <c r="W1" s="320"/>
      <c r="X1" s="320"/>
      <c r="Y1" s="254" t="s">
        <v>905</v>
      </c>
      <c r="Z1" s="850" t="str">
        <f>IF($AA$5&gt;0," If there are any validation errors, you must include an explanation within your narrative","")</f>
        <v/>
      </c>
      <c r="AA1" s="746"/>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7"/>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5" t="str">
        <f>"This Table is currently showing "&amp;$AA$5&amp;" errors"</f>
        <v>This Table is currently showing 0 errors</v>
      </c>
      <c r="D3" s="1005"/>
      <c r="E3" s="1005"/>
      <c r="F3" s="48"/>
      <c r="G3" s="845" t="str">
        <f>IF($AA$5&gt;0," Check validations at cell X1","")</f>
        <v/>
      </c>
      <c r="H3" s="48"/>
      <c r="I3" s="48"/>
      <c r="J3" s="48"/>
      <c r="K3" s="48"/>
      <c r="L3" s="48"/>
      <c r="M3" s="71"/>
      <c r="N3" s="71"/>
      <c r="O3" s="71"/>
      <c r="P3" s="71"/>
      <c r="Q3" s="607"/>
      <c r="R3" s="607"/>
      <c r="S3" s="607"/>
      <c r="T3" s="607"/>
      <c r="U3" s="320"/>
      <c r="V3" s="320"/>
      <c r="W3" s="320"/>
      <c r="X3" s="320"/>
      <c r="Y3" s="777" t="s">
        <v>289</v>
      </c>
      <c r="Z3" s="774"/>
      <c r="AA3" s="840"/>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40">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5"/>
      <c r="G5" s="48"/>
      <c r="H5" s="48"/>
      <c r="I5" s="48"/>
      <c r="J5" s="48"/>
      <c r="K5" s="48"/>
      <c r="L5" s="48"/>
      <c r="M5" s="71"/>
      <c r="N5" s="71"/>
      <c r="O5" s="71"/>
      <c r="P5" s="71"/>
      <c r="Q5" s="607"/>
      <c r="R5" s="607"/>
      <c r="S5" s="607"/>
      <c r="T5" s="607"/>
      <c r="U5" s="320"/>
      <c r="V5" s="320"/>
      <c r="W5" s="320"/>
      <c r="X5" s="320"/>
      <c r="Y5" s="207"/>
      <c r="Z5" s="207"/>
      <c r="AA5" s="840">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40"/>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3"/>
      <c r="Q7" s="787"/>
      <c r="R7" s="787"/>
      <c r="S7" s="787"/>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7"/>
      <c r="R8" s="787"/>
      <c r="S8" s="787"/>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7"/>
      <c r="R9" s="787"/>
      <c r="S9" s="787"/>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7"/>
      <c r="R10" s="787"/>
      <c r="S10" s="787"/>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1"/>
      <c r="C11" s="574"/>
      <c r="D11" s="574"/>
      <c r="E11" s="1043"/>
      <c r="F11" s="4"/>
      <c r="G11" s="4"/>
      <c r="H11" s="3"/>
      <c r="I11" s="167">
        <f>+G11-SUM(F11+H11)</f>
        <v>0</v>
      </c>
      <c r="J11" s="3259"/>
      <c r="K11" s="3252"/>
      <c r="L11" s="3252"/>
      <c r="M11" s="3252"/>
      <c r="N11" s="3252"/>
      <c r="O11" s="3252"/>
      <c r="P11" s="3253"/>
      <c r="Q11" s="787"/>
      <c r="R11" s="787"/>
      <c r="S11" s="787"/>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2"/>
      <c r="C12" s="574"/>
      <c r="D12" s="574"/>
      <c r="E12" s="1041"/>
      <c r="F12" s="4"/>
      <c r="G12" s="4"/>
      <c r="H12" s="3"/>
      <c r="I12" s="167">
        <f t="shared" ref="I12:I30" si="0">+G12-SUM(F12+H12)</f>
        <v>0</v>
      </c>
      <c r="J12" s="3259"/>
      <c r="K12" s="3252"/>
      <c r="L12" s="3252"/>
      <c r="M12" s="3252"/>
      <c r="N12" s="3252"/>
      <c r="O12" s="3252"/>
      <c r="P12" s="3253"/>
      <c r="Q12" s="787"/>
      <c r="R12" s="787"/>
      <c r="S12" s="787"/>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2"/>
      <c r="C13" s="574"/>
      <c r="D13" s="574"/>
      <c r="E13" s="1041"/>
      <c r="F13" s="4"/>
      <c r="G13" s="4"/>
      <c r="H13" s="3"/>
      <c r="I13" s="167">
        <f t="shared" si="0"/>
        <v>0</v>
      </c>
      <c r="J13" s="1031"/>
      <c r="K13" s="997"/>
      <c r="L13" s="997"/>
      <c r="M13" s="997"/>
      <c r="N13" s="997"/>
      <c r="O13" s="997"/>
      <c r="P13" s="998"/>
      <c r="Q13" s="787"/>
      <c r="R13" s="787"/>
      <c r="S13" s="787"/>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2"/>
      <c r="C14" s="574"/>
      <c r="D14" s="574"/>
      <c r="E14" s="1041"/>
      <c r="F14" s="4"/>
      <c r="G14" s="4"/>
      <c r="H14" s="3"/>
      <c r="I14" s="167">
        <f t="shared" si="0"/>
        <v>0</v>
      </c>
      <c r="J14" s="1031"/>
      <c r="K14" s="997"/>
      <c r="L14" s="997"/>
      <c r="M14" s="997"/>
      <c r="N14" s="997"/>
      <c r="O14" s="997"/>
      <c r="P14" s="998"/>
      <c r="Q14" s="787"/>
      <c r="R14" s="787"/>
      <c r="S14" s="787"/>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2"/>
      <c r="C15" s="574"/>
      <c r="D15" s="574"/>
      <c r="E15" s="1041"/>
      <c r="F15" s="4"/>
      <c r="G15" s="4"/>
      <c r="H15" s="3"/>
      <c r="I15" s="167">
        <f t="shared" si="0"/>
        <v>0</v>
      </c>
      <c r="J15" s="1031"/>
      <c r="K15" s="997"/>
      <c r="L15" s="997"/>
      <c r="M15" s="997"/>
      <c r="N15" s="997"/>
      <c r="O15" s="997"/>
      <c r="P15" s="998"/>
      <c r="Q15" s="787"/>
      <c r="R15" s="787"/>
      <c r="S15" s="787"/>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2"/>
      <c r="C16" s="574"/>
      <c r="D16" s="574"/>
      <c r="E16" s="1041"/>
      <c r="F16" s="4"/>
      <c r="G16" s="4"/>
      <c r="H16" s="3"/>
      <c r="I16" s="167">
        <f t="shared" si="0"/>
        <v>0</v>
      </c>
      <c r="J16" s="1031"/>
      <c r="K16" s="997"/>
      <c r="L16" s="997"/>
      <c r="M16" s="997"/>
      <c r="N16" s="997"/>
      <c r="O16" s="997"/>
      <c r="P16" s="998"/>
      <c r="Q16" s="787"/>
      <c r="R16" s="787"/>
      <c r="S16" s="787"/>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2"/>
      <c r="C17" s="574"/>
      <c r="D17" s="574"/>
      <c r="E17" s="1041"/>
      <c r="F17" s="4"/>
      <c r="G17" s="4"/>
      <c r="H17" s="3"/>
      <c r="I17" s="167">
        <f t="shared" si="0"/>
        <v>0</v>
      </c>
      <c r="J17" s="1031"/>
      <c r="K17" s="997"/>
      <c r="L17" s="997"/>
      <c r="M17" s="997"/>
      <c r="N17" s="997"/>
      <c r="O17" s="997"/>
      <c r="P17" s="998"/>
      <c r="Q17" s="787"/>
      <c r="R17" s="787"/>
      <c r="S17" s="787"/>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2"/>
      <c r="C18" s="574"/>
      <c r="D18" s="574"/>
      <c r="E18" s="1041"/>
      <c r="F18" s="4"/>
      <c r="G18" s="4"/>
      <c r="H18" s="3"/>
      <c r="I18" s="167">
        <f t="shared" si="0"/>
        <v>0</v>
      </c>
      <c r="J18" s="1031"/>
      <c r="K18" s="997"/>
      <c r="L18" s="997"/>
      <c r="M18" s="997"/>
      <c r="N18" s="997"/>
      <c r="O18" s="997"/>
      <c r="P18" s="998"/>
      <c r="Q18" s="787"/>
      <c r="R18" s="787"/>
      <c r="S18" s="787"/>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2"/>
      <c r="C19" s="574"/>
      <c r="D19" s="574"/>
      <c r="E19" s="1041"/>
      <c r="F19" s="4"/>
      <c r="G19" s="4"/>
      <c r="H19" s="3"/>
      <c r="I19" s="167">
        <f t="shared" si="0"/>
        <v>0</v>
      </c>
      <c r="J19" s="996"/>
      <c r="K19" s="997"/>
      <c r="L19" s="997"/>
      <c r="M19" s="997"/>
      <c r="N19" s="997"/>
      <c r="O19" s="997"/>
      <c r="P19" s="998"/>
      <c r="Q19" s="787"/>
      <c r="R19" s="787"/>
      <c r="S19" s="787"/>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2"/>
      <c r="C20" s="574"/>
      <c r="D20" s="574"/>
      <c r="E20" s="1041"/>
      <c r="F20" s="4"/>
      <c r="G20" s="4"/>
      <c r="H20" s="3"/>
      <c r="I20" s="167">
        <f t="shared" si="0"/>
        <v>0</v>
      </c>
      <c r="J20" s="1031"/>
      <c r="K20" s="997"/>
      <c r="L20" s="997"/>
      <c r="M20" s="997"/>
      <c r="N20" s="997"/>
      <c r="O20" s="997"/>
      <c r="P20" s="998"/>
      <c r="Q20" s="787"/>
      <c r="R20" s="787"/>
      <c r="S20" s="787"/>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2"/>
      <c r="C21" s="574"/>
      <c r="D21" s="574"/>
      <c r="E21" s="1041"/>
      <c r="F21" s="4"/>
      <c r="G21" s="4"/>
      <c r="H21" s="3"/>
      <c r="I21" s="167">
        <f t="shared" si="0"/>
        <v>0</v>
      </c>
      <c r="J21" s="3251"/>
      <c r="K21" s="3252"/>
      <c r="L21" s="3252"/>
      <c r="M21" s="3252"/>
      <c r="N21" s="3252"/>
      <c r="O21" s="3252"/>
      <c r="P21" s="3253"/>
      <c r="Q21" s="787"/>
      <c r="R21" s="787"/>
      <c r="S21" s="787"/>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2"/>
      <c r="C22" s="574"/>
      <c r="D22" s="574"/>
      <c r="E22" s="1041"/>
      <c r="F22" s="4"/>
      <c r="G22" s="4"/>
      <c r="H22" s="3"/>
      <c r="I22" s="167">
        <f t="shared" si="0"/>
        <v>0</v>
      </c>
      <c r="J22" s="3251"/>
      <c r="K22" s="3252"/>
      <c r="L22" s="3252"/>
      <c r="M22" s="3252"/>
      <c r="N22" s="3252"/>
      <c r="O22" s="3252"/>
      <c r="P22" s="3253"/>
      <c r="Q22" s="787"/>
      <c r="R22" s="787"/>
      <c r="S22" s="787"/>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2"/>
      <c r="C23" s="574"/>
      <c r="D23" s="574"/>
      <c r="E23" s="1041"/>
      <c r="F23" s="4"/>
      <c r="G23" s="4"/>
      <c r="H23" s="3"/>
      <c r="I23" s="167">
        <f t="shared" si="0"/>
        <v>0</v>
      </c>
      <c r="J23" s="3251"/>
      <c r="K23" s="3252"/>
      <c r="L23" s="3252"/>
      <c r="M23" s="3252"/>
      <c r="N23" s="3252"/>
      <c r="O23" s="3252"/>
      <c r="P23" s="3253"/>
      <c r="Q23" s="787"/>
      <c r="R23" s="787"/>
      <c r="S23" s="787"/>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2"/>
      <c r="C24" s="574"/>
      <c r="D24" s="574"/>
      <c r="E24" s="1041"/>
      <c r="F24" s="4"/>
      <c r="G24" s="4"/>
      <c r="H24" s="3"/>
      <c r="I24" s="167">
        <f t="shared" si="0"/>
        <v>0</v>
      </c>
      <c r="J24" s="3251"/>
      <c r="K24" s="3252"/>
      <c r="L24" s="3252"/>
      <c r="M24" s="3252"/>
      <c r="N24" s="3252"/>
      <c r="O24" s="3252"/>
      <c r="P24" s="3253"/>
      <c r="Q24" s="787"/>
      <c r="R24" s="787"/>
      <c r="S24" s="787"/>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2"/>
      <c r="C25" s="574"/>
      <c r="D25" s="574"/>
      <c r="E25" s="1041"/>
      <c r="F25" s="4"/>
      <c r="G25" s="4"/>
      <c r="H25" s="3"/>
      <c r="I25" s="167">
        <f t="shared" si="0"/>
        <v>0</v>
      </c>
      <c r="J25" s="3251"/>
      <c r="K25" s="3252"/>
      <c r="L25" s="3252"/>
      <c r="M25" s="3252"/>
      <c r="N25" s="3252"/>
      <c r="O25" s="3252"/>
      <c r="P25" s="3253"/>
      <c r="Q25" s="787"/>
      <c r="R25" s="787"/>
      <c r="S25" s="787"/>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2"/>
      <c r="C26" s="574"/>
      <c r="D26" s="574"/>
      <c r="E26" s="1041"/>
      <c r="F26" s="4"/>
      <c r="G26" s="4"/>
      <c r="H26" s="3"/>
      <c r="I26" s="167">
        <f t="shared" si="0"/>
        <v>0</v>
      </c>
      <c r="J26" s="3251"/>
      <c r="K26" s="3252"/>
      <c r="L26" s="3252"/>
      <c r="M26" s="3252"/>
      <c r="N26" s="3252"/>
      <c r="O26" s="3252"/>
      <c r="P26" s="3253"/>
      <c r="Q26" s="787"/>
      <c r="R26" s="787"/>
      <c r="S26" s="787"/>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2"/>
      <c r="C27" s="574"/>
      <c r="D27" s="574"/>
      <c r="E27" s="1041"/>
      <c r="F27" s="4"/>
      <c r="G27" s="4"/>
      <c r="H27" s="3"/>
      <c r="I27" s="167">
        <f t="shared" si="0"/>
        <v>0</v>
      </c>
      <c r="J27" s="3251"/>
      <c r="K27" s="3252"/>
      <c r="L27" s="3252"/>
      <c r="M27" s="3252"/>
      <c r="N27" s="3252"/>
      <c r="O27" s="3252"/>
      <c r="P27" s="3253"/>
      <c r="Q27" s="787"/>
      <c r="R27" s="787"/>
      <c r="S27" s="787"/>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2"/>
      <c r="C28" s="574"/>
      <c r="D28" s="574"/>
      <c r="E28" s="1041"/>
      <c r="F28" s="4"/>
      <c r="G28" s="4"/>
      <c r="H28" s="3"/>
      <c r="I28" s="167">
        <f t="shared" si="0"/>
        <v>0</v>
      </c>
      <c r="J28" s="3251"/>
      <c r="K28" s="3252"/>
      <c r="L28" s="3252"/>
      <c r="M28" s="3252"/>
      <c r="N28" s="3252"/>
      <c r="O28" s="3252"/>
      <c r="P28" s="3253"/>
      <c r="Q28" s="787"/>
      <c r="R28" s="787"/>
      <c r="S28" s="787"/>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2"/>
      <c r="C29" s="574"/>
      <c r="D29" s="574"/>
      <c r="E29" s="1041"/>
      <c r="F29" s="4"/>
      <c r="G29" s="4"/>
      <c r="H29" s="3"/>
      <c r="I29" s="167">
        <f t="shared" si="0"/>
        <v>0</v>
      </c>
      <c r="J29" s="3251"/>
      <c r="K29" s="3252"/>
      <c r="L29" s="3252"/>
      <c r="M29" s="3252"/>
      <c r="N29" s="3252"/>
      <c r="O29" s="3252"/>
      <c r="P29" s="3253"/>
      <c r="Q29" s="787"/>
      <c r="R29" s="787"/>
      <c r="S29" s="787"/>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2" t="s">
        <v>387</v>
      </c>
      <c r="C30" s="723"/>
      <c r="D30" s="723"/>
      <c r="E30" s="1042"/>
      <c r="F30" s="724">
        <f>SUM(F11:F29)</f>
        <v>0</v>
      </c>
      <c r="G30" s="724">
        <f>SUM(G11:G29)</f>
        <v>0</v>
      </c>
      <c r="H30" s="724">
        <f>SUM(H11:H29)</f>
        <v>0</v>
      </c>
      <c r="I30" s="167">
        <f t="shared" si="0"/>
        <v>0</v>
      </c>
      <c r="J30" s="3251"/>
      <c r="K30" s="3252"/>
      <c r="L30" s="3252"/>
      <c r="M30" s="3252"/>
      <c r="N30" s="3252"/>
      <c r="O30" s="3252"/>
      <c r="P30" s="3253"/>
      <c r="Q30" s="787"/>
      <c r="R30" s="787"/>
      <c r="S30" s="787"/>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7"/>
      <c r="R31" s="787"/>
      <c r="S31" s="787"/>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7"/>
      <c r="R32" s="787"/>
      <c r="S32" s="787"/>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7"/>
      <c r="R33" s="787"/>
      <c r="S33" s="787"/>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7"/>
      <c r="R34" s="787"/>
      <c r="S34" s="787"/>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3"/>
      <c r="C35" s="574"/>
      <c r="D35" s="574"/>
      <c r="E35" s="1041"/>
      <c r="F35" s="4"/>
      <c r="G35" s="4"/>
      <c r="H35" s="3"/>
      <c r="I35" s="167">
        <f>+G35-SUM(F35+H35)</f>
        <v>0</v>
      </c>
      <c r="J35" s="3251"/>
      <c r="K35" s="3252"/>
      <c r="L35" s="3252"/>
      <c r="M35" s="3252"/>
      <c r="N35" s="3252"/>
      <c r="O35" s="3252"/>
      <c r="P35" s="3253"/>
      <c r="Q35" s="787"/>
      <c r="R35" s="787"/>
      <c r="S35" s="787"/>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3"/>
      <c r="C36" s="574"/>
      <c r="D36" s="574"/>
      <c r="E36" s="1041"/>
      <c r="F36" s="4"/>
      <c r="G36" s="4"/>
      <c r="H36" s="3"/>
      <c r="I36" s="167">
        <f t="shared" ref="I36:I44" si="1">+G36-SUM(F36+H36)</f>
        <v>0</v>
      </c>
      <c r="J36" s="996"/>
      <c r="K36" s="997"/>
      <c r="L36" s="997"/>
      <c r="M36" s="997"/>
      <c r="N36" s="997"/>
      <c r="O36" s="997"/>
      <c r="P36" s="998"/>
      <c r="Q36" s="787"/>
      <c r="R36" s="787"/>
      <c r="S36" s="787"/>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3"/>
      <c r="C37" s="574"/>
      <c r="D37" s="574"/>
      <c r="E37" s="1041"/>
      <c r="F37" s="4"/>
      <c r="G37" s="4"/>
      <c r="H37" s="3"/>
      <c r="I37" s="167">
        <f t="shared" si="1"/>
        <v>0</v>
      </c>
      <c r="J37" s="996"/>
      <c r="K37" s="997"/>
      <c r="L37" s="997"/>
      <c r="M37" s="997"/>
      <c r="N37" s="997"/>
      <c r="O37" s="997"/>
      <c r="P37" s="998"/>
      <c r="Q37" s="787"/>
      <c r="R37" s="787"/>
      <c r="S37" s="787"/>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3"/>
      <c r="C38" s="574"/>
      <c r="D38" s="574"/>
      <c r="E38" s="1041"/>
      <c r="F38" s="4"/>
      <c r="G38" s="4"/>
      <c r="H38" s="3"/>
      <c r="I38" s="167">
        <f t="shared" si="1"/>
        <v>0</v>
      </c>
      <c r="J38" s="996"/>
      <c r="K38" s="997"/>
      <c r="L38" s="997"/>
      <c r="M38" s="997"/>
      <c r="N38" s="997"/>
      <c r="O38" s="997"/>
      <c r="P38" s="998"/>
      <c r="Q38" s="787"/>
      <c r="R38" s="787"/>
      <c r="S38" s="787"/>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3"/>
      <c r="C39" s="574"/>
      <c r="D39" s="574"/>
      <c r="E39" s="1041"/>
      <c r="F39" s="4"/>
      <c r="G39" s="4"/>
      <c r="H39" s="3"/>
      <c r="I39" s="167">
        <f t="shared" si="1"/>
        <v>0</v>
      </c>
      <c r="J39" s="996"/>
      <c r="K39" s="997"/>
      <c r="L39" s="997"/>
      <c r="M39" s="997"/>
      <c r="N39" s="997"/>
      <c r="O39" s="997"/>
      <c r="P39" s="998"/>
      <c r="Q39" s="787"/>
      <c r="R39" s="787"/>
      <c r="S39" s="787"/>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3"/>
      <c r="C40" s="574"/>
      <c r="D40" s="574"/>
      <c r="E40" s="1041"/>
      <c r="F40" s="4"/>
      <c r="G40" s="4"/>
      <c r="H40" s="3"/>
      <c r="I40" s="167">
        <f t="shared" si="1"/>
        <v>0</v>
      </c>
      <c r="J40" s="996"/>
      <c r="K40" s="997"/>
      <c r="L40" s="997"/>
      <c r="M40" s="997"/>
      <c r="N40" s="997"/>
      <c r="O40" s="997"/>
      <c r="P40" s="998"/>
      <c r="Q40" s="787"/>
      <c r="R40" s="787"/>
      <c r="S40" s="787"/>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3"/>
      <c r="C41" s="574"/>
      <c r="D41" s="574"/>
      <c r="E41" s="1041"/>
      <c r="F41" s="4"/>
      <c r="G41" s="4"/>
      <c r="H41" s="3"/>
      <c r="I41" s="167">
        <f t="shared" si="1"/>
        <v>0</v>
      </c>
      <c r="J41" s="996"/>
      <c r="K41" s="997"/>
      <c r="L41" s="997"/>
      <c r="M41" s="997"/>
      <c r="N41" s="997"/>
      <c r="O41" s="997"/>
      <c r="P41" s="998"/>
      <c r="Q41" s="787"/>
      <c r="R41" s="787"/>
      <c r="S41" s="787"/>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3"/>
      <c r="C42" s="574"/>
      <c r="D42" s="574"/>
      <c r="E42" s="1041"/>
      <c r="F42" s="4"/>
      <c r="G42" s="4"/>
      <c r="H42" s="3"/>
      <c r="I42" s="167">
        <f t="shared" si="1"/>
        <v>0</v>
      </c>
      <c r="J42" s="996"/>
      <c r="K42" s="997"/>
      <c r="L42" s="997"/>
      <c r="M42" s="997"/>
      <c r="N42" s="997"/>
      <c r="O42" s="997"/>
      <c r="P42" s="998"/>
      <c r="Q42" s="787"/>
      <c r="R42" s="787"/>
      <c r="S42" s="787"/>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3"/>
      <c r="C43" s="574"/>
      <c r="D43" s="574"/>
      <c r="E43" s="1041"/>
      <c r="F43" s="4"/>
      <c r="G43" s="4"/>
      <c r="H43" s="3"/>
      <c r="I43" s="167">
        <f t="shared" si="1"/>
        <v>0</v>
      </c>
      <c r="J43" s="996"/>
      <c r="K43" s="997"/>
      <c r="L43" s="997"/>
      <c r="M43" s="997"/>
      <c r="N43" s="997"/>
      <c r="O43" s="997"/>
      <c r="P43" s="998"/>
      <c r="Q43" s="787"/>
      <c r="R43" s="787"/>
      <c r="S43" s="787"/>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3"/>
      <c r="C44" s="574"/>
      <c r="D44" s="574"/>
      <c r="E44" s="1041"/>
      <c r="F44" s="4"/>
      <c r="G44" s="4"/>
      <c r="H44" s="3"/>
      <c r="I44" s="167">
        <f t="shared" si="1"/>
        <v>0</v>
      </c>
      <c r="J44" s="3251"/>
      <c r="K44" s="3252"/>
      <c r="L44" s="3252"/>
      <c r="M44" s="3252"/>
      <c r="N44" s="3252"/>
      <c r="O44" s="3252"/>
      <c r="P44" s="3253"/>
      <c r="Q44" s="787"/>
      <c r="R44" s="787"/>
      <c r="S44" s="787"/>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3"/>
      <c r="C45" s="574"/>
      <c r="D45" s="574"/>
      <c r="E45" s="1041"/>
      <c r="F45" s="4"/>
      <c r="G45" s="4"/>
      <c r="H45" s="3"/>
      <c r="I45" s="167">
        <f t="shared" ref="I45:I54" si="2">+G45-SUM(F45+H45)</f>
        <v>0</v>
      </c>
      <c r="J45" s="3251"/>
      <c r="K45" s="3252"/>
      <c r="L45" s="3252"/>
      <c r="M45" s="3252"/>
      <c r="N45" s="3252"/>
      <c r="O45" s="3252"/>
      <c r="P45" s="3253"/>
      <c r="Q45" s="787"/>
      <c r="R45" s="787"/>
      <c r="S45" s="787"/>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3"/>
      <c r="C46" s="574"/>
      <c r="D46" s="574"/>
      <c r="E46" s="1041"/>
      <c r="F46" s="4"/>
      <c r="G46" s="4"/>
      <c r="H46" s="3"/>
      <c r="I46" s="167">
        <f t="shared" si="2"/>
        <v>0</v>
      </c>
      <c r="J46" s="3251"/>
      <c r="K46" s="3252"/>
      <c r="L46" s="3252"/>
      <c r="M46" s="3252"/>
      <c r="N46" s="3252"/>
      <c r="O46" s="3252"/>
      <c r="P46" s="3253"/>
      <c r="Q46" s="787"/>
      <c r="R46" s="787"/>
      <c r="S46" s="787"/>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3"/>
      <c r="C47" s="574"/>
      <c r="D47" s="574"/>
      <c r="E47" s="1041"/>
      <c r="F47" s="4"/>
      <c r="G47" s="4"/>
      <c r="H47" s="3"/>
      <c r="I47" s="167">
        <f t="shared" si="2"/>
        <v>0</v>
      </c>
      <c r="J47" s="3251"/>
      <c r="K47" s="3252"/>
      <c r="L47" s="3252"/>
      <c r="M47" s="3252"/>
      <c r="N47" s="3252"/>
      <c r="O47" s="3252"/>
      <c r="P47" s="3253"/>
      <c r="Q47" s="787"/>
      <c r="R47" s="787"/>
      <c r="S47" s="787"/>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3"/>
      <c r="C48" s="574"/>
      <c r="D48" s="574"/>
      <c r="E48" s="1041"/>
      <c r="F48" s="4"/>
      <c r="G48" s="4"/>
      <c r="H48" s="3"/>
      <c r="I48" s="167">
        <f t="shared" si="2"/>
        <v>0</v>
      </c>
      <c r="J48" s="3251"/>
      <c r="K48" s="3252"/>
      <c r="L48" s="3252"/>
      <c r="M48" s="3252"/>
      <c r="N48" s="3252"/>
      <c r="O48" s="3252"/>
      <c r="P48" s="3253"/>
      <c r="Q48" s="787"/>
      <c r="R48" s="787"/>
      <c r="S48" s="787"/>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3"/>
      <c r="C49" s="574"/>
      <c r="D49" s="574"/>
      <c r="E49" s="1041"/>
      <c r="F49" s="4"/>
      <c r="G49" s="4"/>
      <c r="H49" s="3"/>
      <c r="I49" s="167">
        <f t="shared" si="2"/>
        <v>0</v>
      </c>
      <c r="J49" s="3251"/>
      <c r="K49" s="3252"/>
      <c r="L49" s="3252"/>
      <c r="M49" s="3252"/>
      <c r="N49" s="3252"/>
      <c r="O49" s="3252"/>
      <c r="P49" s="3253"/>
      <c r="Q49" s="787"/>
      <c r="R49" s="787"/>
      <c r="S49" s="787"/>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3"/>
      <c r="C50" s="574"/>
      <c r="D50" s="574"/>
      <c r="E50" s="1041"/>
      <c r="F50" s="4"/>
      <c r="G50" s="4"/>
      <c r="H50" s="3"/>
      <c r="I50" s="167">
        <f t="shared" si="2"/>
        <v>0</v>
      </c>
      <c r="J50" s="3251"/>
      <c r="K50" s="3252"/>
      <c r="L50" s="3252"/>
      <c r="M50" s="3252"/>
      <c r="N50" s="3252"/>
      <c r="O50" s="3252"/>
      <c r="P50" s="3253"/>
      <c r="Q50" s="787"/>
      <c r="R50" s="787"/>
      <c r="S50" s="787"/>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3"/>
      <c r="C51" s="574"/>
      <c r="D51" s="574"/>
      <c r="E51" s="1041"/>
      <c r="F51" s="4"/>
      <c r="G51" s="4"/>
      <c r="H51" s="3"/>
      <c r="I51" s="167">
        <f t="shared" si="2"/>
        <v>0</v>
      </c>
      <c r="J51" s="3251"/>
      <c r="K51" s="3252"/>
      <c r="L51" s="3252"/>
      <c r="M51" s="3252"/>
      <c r="N51" s="3252"/>
      <c r="O51" s="3252"/>
      <c r="P51" s="3253"/>
      <c r="Q51" s="787"/>
      <c r="R51" s="787"/>
      <c r="S51" s="787"/>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3"/>
      <c r="C52" s="574"/>
      <c r="D52" s="574"/>
      <c r="E52" s="1041"/>
      <c r="F52" s="4"/>
      <c r="G52" s="4"/>
      <c r="H52" s="3"/>
      <c r="I52" s="167">
        <f t="shared" si="2"/>
        <v>0</v>
      </c>
      <c r="J52" s="3251"/>
      <c r="K52" s="3252"/>
      <c r="L52" s="3252"/>
      <c r="M52" s="3252"/>
      <c r="N52" s="3252"/>
      <c r="O52" s="3252"/>
      <c r="P52" s="3253"/>
      <c r="Q52" s="787"/>
      <c r="R52" s="787"/>
      <c r="S52" s="787"/>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3"/>
      <c r="C53" s="574"/>
      <c r="D53" s="574"/>
      <c r="E53" s="1041"/>
      <c r="F53" s="4"/>
      <c r="G53" s="4"/>
      <c r="H53" s="3"/>
      <c r="I53" s="167">
        <f t="shared" si="2"/>
        <v>0</v>
      </c>
      <c r="J53" s="3251"/>
      <c r="K53" s="3252"/>
      <c r="L53" s="3252"/>
      <c r="M53" s="3252"/>
      <c r="N53" s="3252"/>
      <c r="O53" s="3252"/>
      <c r="P53" s="3253"/>
      <c r="Q53" s="787"/>
      <c r="R53" s="787"/>
      <c r="S53" s="787"/>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2" t="s">
        <v>388</v>
      </c>
      <c r="C54" s="723"/>
      <c r="D54" s="723"/>
      <c r="E54" s="1042"/>
      <c r="F54" s="724">
        <f>SUM(F35:F53)</f>
        <v>0</v>
      </c>
      <c r="G54" s="724">
        <f>SUM(G35:G53)</f>
        <v>0</v>
      </c>
      <c r="H54" s="724">
        <f>SUM(H35:H53)</f>
        <v>0</v>
      </c>
      <c r="I54" s="167">
        <f t="shared" si="2"/>
        <v>0</v>
      </c>
      <c r="J54" s="3251"/>
      <c r="K54" s="3252"/>
      <c r="L54" s="3252"/>
      <c r="M54" s="3252"/>
      <c r="N54" s="3252"/>
      <c r="O54" s="3252"/>
      <c r="P54" s="3253"/>
      <c r="Q54" s="787"/>
      <c r="R54" s="787"/>
      <c r="S54" s="787"/>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7"/>
      <c r="S55" s="788"/>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7"/>
      <c r="S56" s="788"/>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6"/>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6"/>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6"/>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6"/>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6"/>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6"/>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6"/>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6"/>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6"/>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6"/>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6"/>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6"/>
      <c r="R68" s="766"/>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6"/>
      <c r="R69" s="766"/>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6"/>
      <c r="R70" s="766"/>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6"/>
      <c r="R71" s="766"/>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6"/>
      <c r="R72" s="766"/>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6"/>
      <c r="R73" s="766"/>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6"/>
      <c r="R74" s="766"/>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6"/>
      <c r="R75" s="766"/>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6"/>
      <c r="R76" s="766"/>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6"/>
      <c r="R77" s="766"/>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6"/>
      <c r="R78" s="766"/>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6"/>
      <c r="R79" s="766"/>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6"/>
      <c r="R80" s="766"/>
      <c r="S80" s="766"/>
      <c r="T80" s="766"/>
      <c r="U80" s="71"/>
      <c r="V80" s="71"/>
    </row>
    <row r="81" spans="1:22">
      <c r="A81" s="71"/>
      <c r="B81" s="71"/>
      <c r="C81" s="71"/>
      <c r="D81" s="71"/>
      <c r="E81" s="71"/>
      <c r="F81" s="71"/>
      <c r="G81" s="71"/>
      <c r="H81" s="71"/>
      <c r="I81" s="71"/>
      <c r="J81" s="71"/>
      <c r="K81" s="71"/>
      <c r="L81" s="71"/>
      <c r="M81" s="71"/>
      <c r="N81" s="71"/>
      <c r="O81" s="71"/>
      <c r="P81" s="71"/>
      <c r="Q81" s="766"/>
      <c r="R81" s="766"/>
      <c r="S81" s="766"/>
      <c r="T81" s="766"/>
      <c r="U81" s="71"/>
      <c r="V81" s="71"/>
    </row>
    <row r="82" spans="1:22">
      <c r="A82" s="71"/>
      <c r="B82" s="71"/>
      <c r="C82" s="71"/>
      <c r="D82" s="71"/>
      <c r="E82" s="71"/>
      <c r="F82" s="71"/>
      <c r="G82" s="71"/>
      <c r="H82" s="71"/>
      <c r="I82" s="71"/>
      <c r="J82" s="71"/>
      <c r="K82" s="71"/>
      <c r="L82" s="71"/>
      <c r="M82" s="71"/>
      <c r="N82" s="71"/>
      <c r="O82" s="71"/>
      <c r="P82" s="71"/>
      <c r="Q82" s="766"/>
      <c r="R82" s="766"/>
      <c r="S82" s="766"/>
      <c r="T82" s="766"/>
      <c r="U82" s="71"/>
      <c r="V82" s="71"/>
    </row>
    <row r="83" spans="1:22">
      <c r="A83" s="71"/>
      <c r="B83" s="71"/>
      <c r="C83" s="71"/>
      <c r="D83" s="71"/>
      <c r="E83" s="71"/>
      <c r="F83" s="71"/>
      <c r="G83" s="71"/>
      <c r="H83" s="71"/>
      <c r="I83" s="71"/>
      <c r="J83" s="71"/>
      <c r="K83" s="71"/>
      <c r="L83" s="71"/>
      <c r="M83" s="71"/>
      <c r="N83" s="71"/>
      <c r="O83" s="71"/>
      <c r="P83" s="71"/>
      <c r="Q83" s="766"/>
      <c r="R83" s="766"/>
      <c r="S83" s="766"/>
      <c r="T83" s="766"/>
      <c r="U83" s="71"/>
      <c r="V83" s="71"/>
    </row>
    <row r="84" spans="1:22">
      <c r="A84" s="71"/>
      <c r="B84" s="71"/>
      <c r="C84" s="71"/>
      <c r="D84" s="71"/>
      <c r="E84" s="71"/>
      <c r="F84" s="71"/>
      <c r="G84" s="71"/>
      <c r="H84" s="71"/>
      <c r="I84" s="71"/>
      <c r="J84" s="71"/>
      <c r="K84" s="71"/>
      <c r="L84" s="71"/>
      <c r="M84" s="71"/>
      <c r="N84" s="71"/>
      <c r="O84" s="71"/>
      <c r="P84" s="71"/>
      <c r="Q84" s="766"/>
      <c r="R84" s="766"/>
      <c r="S84" s="766"/>
      <c r="T84" s="766"/>
      <c r="U84" s="71"/>
      <c r="V84" s="71"/>
    </row>
    <row r="85" spans="1:22">
      <c r="A85" s="71"/>
      <c r="B85" s="71"/>
      <c r="C85" s="71"/>
      <c r="D85" s="71"/>
      <c r="E85" s="71"/>
      <c r="F85" s="71"/>
      <c r="G85" s="71"/>
      <c r="H85" s="71"/>
      <c r="I85" s="71"/>
      <c r="J85" s="71"/>
      <c r="K85" s="71"/>
      <c r="L85" s="71"/>
      <c r="M85" s="71"/>
      <c r="N85" s="71"/>
      <c r="O85" s="71"/>
      <c r="P85" s="71"/>
      <c r="Q85" s="766"/>
      <c r="R85" s="766"/>
      <c r="S85" s="766"/>
      <c r="T85" s="766"/>
      <c r="U85" s="71"/>
      <c r="V85" s="71"/>
    </row>
    <row r="86" spans="1:22">
      <c r="A86" s="71"/>
      <c r="B86" s="71"/>
      <c r="C86" s="71"/>
      <c r="D86" s="71"/>
      <c r="E86" s="71"/>
      <c r="F86" s="71"/>
      <c r="G86" s="71"/>
      <c r="H86" s="71"/>
      <c r="I86" s="71"/>
      <c r="J86" s="71"/>
      <c r="K86" s="71"/>
      <c r="L86" s="71"/>
      <c r="M86" s="71"/>
      <c r="N86" s="71"/>
      <c r="O86" s="71"/>
      <c r="P86" s="71"/>
      <c r="Q86" s="766"/>
      <c r="R86" s="766"/>
      <c r="S86" s="766"/>
      <c r="T86" s="766"/>
      <c r="U86" s="71"/>
      <c r="V86" s="71"/>
    </row>
    <row r="87" spans="1:22">
      <c r="A87" s="71"/>
      <c r="B87" s="71"/>
      <c r="C87" s="71"/>
      <c r="D87" s="71"/>
      <c r="E87" s="71"/>
      <c r="F87" s="71"/>
      <c r="G87" s="71"/>
      <c r="H87" s="71"/>
      <c r="I87" s="71"/>
      <c r="J87" s="71"/>
      <c r="K87" s="71"/>
      <c r="L87" s="71"/>
      <c r="M87" s="71"/>
      <c r="N87" s="71"/>
      <c r="O87" s="71"/>
      <c r="P87" s="71"/>
      <c r="Q87" s="766"/>
      <c r="R87" s="766"/>
      <c r="S87" s="766"/>
      <c r="T87" s="766"/>
      <c r="U87" s="71"/>
      <c r="V87" s="71"/>
    </row>
    <row r="88" spans="1:22">
      <c r="A88" s="71"/>
      <c r="B88" s="71"/>
      <c r="C88" s="71"/>
      <c r="D88" s="71"/>
      <c r="E88" s="71"/>
      <c r="F88" s="71"/>
      <c r="G88" s="71"/>
      <c r="H88" s="71"/>
      <c r="I88" s="71"/>
      <c r="J88" s="71"/>
      <c r="K88" s="71"/>
      <c r="L88" s="71"/>
      <c r="M88" s="71"/>
      <c r="N88" s="71"/>
      <c r="O88" s="71"/>
      <c r="P88" s="71"/>
      <c r="Q88" s="766"/>
      <c r="R88" s="766"/>
      <c r="S88" s="766"/>
      <c r="T88" s="766"/>
      <c r="U88" s="71"/>
      <c r="V88" s="71"/>
    </row>
    <row r="89" spans="1:22">
      <c r="A89" s="71"/>
      <c r="B89" s="71"/>
      <c r="C89" s="71"/>
      <c r="D89" s="71"/>
      <c r="E89" s="71"/>
      <c r="F89" s="71"/>
      <c r="G89" s="71"/>
      <c r="H89" s="71"/>
      <c r="I89" s="71"/>
      <c r="J89" s="71"/>
      <c r="K89" s="71"/>
      <c r="L89" s="71"/>
      <c r="M89" s="71"/>
      <c r="N89" s="71"/>
      <c r="O89" s="71"/>
      <c r="P89" s="71"/>
      <c r="Q89" s="766"/>
      <c r="R89" s="766"/>
      <c r="S89" s="766"/>
      <c r="T89" s="766"/>
      <c r="U89" s="71"/>
      <c r="V89" s="71"/>
    </row>
    <row r="90" spans="1:22">
      <c r="A90" s="71"/>
      <c r="B90" s="71"/>
      <c r="C90" s="71"/>
      <c r="D90" s="71"/>
      <c r="E90" s="71"/>
      <c r="F90" s="71"/>
      <c r="G90" s="71"/>
      <c r="H90" s="71"/>
      <c r="I90" s="71"/>
      <c r="J90" s="71"/>
      <c r="K90" s="71"/>
      <c r="L90" s="71"/>
      <c r="M90" s="71"/>
      <c r="N90" s="71"/>
      <c r="O90" s="71"/>
      <c r="P90" s="71"/>
      <c r="Q90" s="766"/>
      <c r="R90" s="766"/>
      <c r="S90" s="766"/>
      <c r="T90" s="766"/>
      <c r="U90" s="71"/>
      <c r="V90" s="71"/>
    </row>
    <row r="91" spans="1:22">
      <c r="A91" s="71"/>
      <c r="B91" s="71"/>
      <c r="C91" s="71"/>
      <c r="D91" s="71"/>
      <c r="E91" s="71"/>
      <c r="F91" s="71"/>
      <c r="G91" s="71"/>
      <c r="H91" s="71"/>
      <c r="I91" s="71"/>
      <c r="J91" s="71"/>
      <c r="K91" s="71"/>
      <c r="L91" s="71"/>
      <c r="M91" s="71"/>
      <c r="N91" s="71"/>
      <c r="O91" s="71"/>
      <c r="P91" s="71"/>
      <c r="Q91" s="766"/>
      <c r="R91" s="766"/>
      <c r="S91" s="766"/>
      <c r="T91" s="766"/>
      <c r="U91" s="71"/>
      <c r="V91" s="71"/>
    </row>
    <row r="92" spans="1:22">
      <c r="A92" s="71"/>
      <c r="B92" s="71"/>
      <c r="C92" s="71"/>
      <c r="D92" s="71"/>
      <c r="E92" s="71"/>
      <c r="F92" s="71"/>
      <c r="G92" s="71"/>
      <c r="H92" s="71"/>
      <c r="I92" s="71"/>
      <c r="J92" s="71"/>
      <c r="K92" s="71"/>
      <c r="L92" s="71"/>
      <c r="M92" s="71"/>
      <c r="N92" s="71"/>
      <c r="O92" s="71"/>
      <c r="P92" s="71"/>
      <c r="Q92" s="766"/>
      <c r="R92" s="766"/>
      <c r="S92" s="766"/>
      <c r="T92" s="766"/>
      <c r="U92" s="71"/>
      <c r="V92" s="71"/>
    </row>
    <row r="93" spans="1:22">
      <c r="A93" s="71"/>
      <c r="B93" s="71"/>
      <c r="C93" s="71"/>
      <c r="D93" s="71"/>
      <c r="E93" s="71"/>
      <c r="F93" s="71"/>
      <c r="G93" s="71"/>
      <c r="H93" s="71"/>
      <c r="I93" s="71"/>
      <c r="J93" s="71"/>
      <c r="K93" s="71"/>
      <c r="L93" s="71"/>
      <c r="M93" s="71"/>
      <c r="N93" s="71"/>
      <c r="O93" s="71"/>
      <c r="P93" s="71"/>
      <c r="Q93" s="766"/>
      <c r="R93" s="766"/>
      <c r="S93" s="766"/>
      <c r="T93" s="766"/>
      <c r="U93" s="71"/>
      <c r="V93" s="71"/>
    </row>
    <row r="94" spans="1:22">
      <c r="A94" s="71"/>
      <c r="B94" s="71"/>
      <c r="C94" s="71"/>
      <c r="D94" s="71"/>
      <c r="E94" s="71"/>
      <c r="F94" s="71"/>
      <c r="G94" s="71"/>
      <c r="H94" s="71"/>
      <c r="I94" s="71"/>
      <c r="J94" s="71"/>
      <c r="K94" s="71"/>
      <c r="L94" s="71"/>
      <c r="M94" s="71"/>
      <c r="N94" s="71"/>
      <c r="O94" s="71"/>
      <c r="P94" s="71"/>
      <c r="Q94" s="766"/>
      <c r="R94" s="766"/>
      <c r="S94" s="766"/>
      <c r="T94" s="766"/>
      <c r="U94" s="71"/>
      <c r="V94" s="71"/>
    </row>
    <row r="95" spans="1:22">
      <c r="A95" s="71"/>
      <c r="B95" s="71"/>
      <c r="C95" s="71"/>
      <c r="D95" s="71"/>
      <c r="E95" s="71"/>
      <c r="F95" s="71"/>
      <c r="G95" s="71"/>
      <c r="H95" s="71"/>
      <c r="I95" s="71"/>
      <c r="J95" s="71"/>
      <c r="K95" s="71"/>
      <c r="L95" s="71"/>
      <c r="M95" s="71"/>
      <c r="N95" s="71"/>
      <c r="O95" s="71"/>
      <c r="P95" s="71"/>
      <c r="Q95" s="766"/>
      <c r="R95" s="766"/>
      <c r="S95" s="766"/>
      <c r="T95" s="766"/>
      <c r="U95" s="71"/>
      <c r="V95" s="71"/>
    </row>
    <row r="96" spans="1:22">
      <c r="A96" s="71"/>
      <c r="B96" s="71"/>
      <c r="C96" s="71"/>
      <c r="D96" s="71"/>
      <c r="E96" s="71"/>
      <c r="F96" s="71"/>
      <c r="G96" s="71"/>
      <c r="H96" s="71"/>
      <c r="I96" s="71"/>
      <c r="J96" s="71"/>
      <c r="K96" s="71"/>
      <c r="L96" s="71"/>
      <c r="M96" s="71"/>
      <c r="N96" s="71"/>
      <c r="O96" s="71"/>
      <c r="P96" s="71"/>
      <c r="Q96" s="766"/>
      <c r="R96" s="766"/>
      <c r="S96" s="766"/>
      <c r="T96" s="766"/>
      <c r="U96" s="71"/>
      <c r="V96" s="71"/>
    </row>
    <row r="97" spans="1:22">
      <c r="A97" s="71"/>
      <c r="B97" s="71"/>
      <c r="C97" s="71"/>
      <c r="D97" s="71"/>
      <c r="E97" s="71"/>
      <c r="F97" s="71"/>
      <c r="G97" s="71"/>
      <c r="H97" s="71"/>
      <c r="I97" s="71"/>
      <c r="J97" s="71"/>
      <c r="K97" s="71"/>
      <c r="L97" s="71"/>
      <c r="M97" s="71"/>
      <c r="N97" s="71"/>
      <c r="O97" s="71"/>
      <c r="P97" s="71"/>
      <c r="Q97" s="766"/>
      <c r="R97" s="766"/>
      <c r="S97" s="766"/>
      <c r="T97" s="766"/>
      <c r="U97" s="71"/>
      <c r="V97" s="71"/>
    </row>
    <row r="98" spans="1:22">
      <c r="A98" s="71"/>
      <c r="B98" s="71"/>
      <c r="C98" s="71"/>
      <c r="D98" s="71"/>
      <c r="E98" s="71"/>
      <c r="F98" s="71"/>
      <c r="G98" s="71"/>
      <c r="H98" s="71"/>
      <c r="I98" s="71"/>
      <c r="J98" s="71"/>
      <c r="K98" s="71"/>
      <c r="L98" s="71"/>
      <c r="M98" s="71"/>
      <c r="N98" s="71"/>
      <c r="O98" s="71"/>
      <c r="P98" s="71"/>
      <c r="Q98" s="766"/>
      <c r="R98" s="766"/>
      <c r="S98" s="766"/>
      <c r="T98" s="766"/>
      <c r="U98" s="71"/>
      <c r="V98" s="71"/>
    </row>
    <row r="99" spans="1:22">
      <c r="A99" s="71"/>
      <c r="B99" s="71"/>
      <c r="C99" s="71"/>
      <c r="D99" s="71"/>
      <c r="E99" s="71"/>
      <c r="F99" s="71"/>
      <c r="G99" s="71"/>
      <c r="H99" s="71"/>
      <c r="I99" s="71"/>
      <c r="J99" s="71"/>
      <c r="K99" s="71"/>
      <c r="L99" s="71"/>
      <c r="M99" s="71"/>
      <c r="N99" s="71"/>
      <c r="O99" s="71"/>
      <c r="P99" s="71"/>
      <c r="Q99" s="766"/>
      <c r="R99" s="766"/>
      <c r="S99" s="766"/>
      <c r="T99" s="766"/>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zoomScale="90" zoomScaleNormal="90" zoomScaleSheetLayoutView="85" workbookViewId="0"/>
  </sheetViews>
  <sheetFormatPr defaultColWidth="9.61328125" defaultRowHeight="15.5"/>
  <cols>
    <col min="1" max="1" width="5.921875" customWidth="1"/>
    <col min="2" max="2" width="58.84375" customWidth="1"/>
    <col min="3" max="6" width="14.61328125" customWidth="1"/>
    <col min="7" max="7" width="14.61328125" style="754" customWidth="1"/>
    <col min="8" max="8" width="35.61328125" style="754" bestFit="1" customWidth="1"/>
    <col min="9" max="9" width="75.61328125" customWidth="1"/>
    <col min="10" max="10" width="15.53515625" customWidth="1"/>
  </cols>
  <sheetData>
    <row r="1" spans="1:37" ht="38.25" customHeight="1">
      <c r="A1" s="1358" t="str">
        <f>Summary!A1</f>
        <v>Public Health Wales Trust</v>
      </c>
      <c r="B1" s="1642"/>
      <c r="C1" s="71"/>
      <c r="D1" s="150" t="s">
        <v>460</v>
      </c>
      <c r="E1" s="1641" t="str">
        <f>Summary!H1</f>
        <v>Apr 23</v>
      </c>
      <c r="F1" s="71"/>
      <c r="G1" s="766"/>
      <c r="H1" s="254" t="s">
        <v>906</v>
      </c>
      <c r="I1" s="1640" t="str">
        <f>IF($J$5&gt;0,"If there are any validation errors, you must include an explanation within your narrative","")</f>
        <v/>
      </c>
      <c r="J1" s="746"/>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6"/>
      <c r="H2" s="48"/>
      <c r="I2" s="773"/>
      <c r="J2" s="785"/>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9"/>
      <c r="B3" s="1639"/>
      <c r="C3" s="844" t="str">
        <f>"This Table is currently showing "&amp;$J$5&amp;" errors  "</f>
        <v xml:space="preserve">This Table is currently showing 0 errors  </v>
      </c>
      <c r="D3" s="48"/>
      <c r="E3" s="48"/>
      <c r="F3" s="48"/>
      <c r="G3" s="766"/>
      <c r="H3" s="255" t="s">
        <v>976</v>
      </c>
      <c r="I3" s="165" t="str">
        <f>IF($F$4&gt;Summary!$K$1,"Ok",IF(VLOOKUP(A1,Summary!Z1:AA16,2,0)="EFL",IF(G11+G10&lt;3,"Ok",IF(ABS('L - EFL'!$F$11-'B - Monthly Positions'!$P$37)&lt;=2,"Ok","Does not match Monthly Positions Year To Date Net Surplus / (Deficit)")),"Ok"))</f>
        <v>Ok</v>
      </c>
      <c r="J3" s="782">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8"/>
      <c r="C4" s="1196"/>
      <c r="D4" s="48"/>
      <c r="E4" s="857" t="s">
        <v>970</v>
      </c>
      <c r="F4" s="844">
        <v>3</v>
      </c>
      <c r="G4" s="766"/>
      <c r="H4" s="255" t="s">
        <v>977</v>
      </c>
      <c r="I4" s="165" t="str">
        <f>IF($F$4&gt;Summary!$K$1,"Ok",IF(VLOOKUP(A1,Summary!Z1:AA16,2,0)="EFL",IF(G11+G10&lt;3,"Ok",IF(ABS('L - EFL'!$D$11-'B - Monthly Positions'!$Q$37)&lt;=2,"Ok","Does not match Monthly Positions Year To Date Net Surplus / (Deficit)")),"Ok"))</f>
        <v>Ok</v>
      </c>
      <c r="J4" s="782">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6"/>
      <c r="H5" s="60"/>
      <c r="I5" s="55"/>
      <c r="J5" s="782">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6"/>
      <c r="H6" s="744"/>
      <c r="I6" s="48"/>
      <c r="J6" s="85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7" t="s">
        <v>775</v>
      </c>
      <c r="D7" s="1635" t="s">
        <v>775</v>
      </c>
      <c r="E7" s="1636" t="s">
        <v>774</v>
      </c>
      <c r="F7" s="1635" t="s">
        <v>41</v>
      </c>
      <c r="G7" s="766"/>
      <c r="H7" s="766"/>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4" t="s">
        <v>773</v>
      </c>
      <c r="D8" s="1632" t="s">
        <v>772</v>
      </c>
      <c r="E8" s="1633" t="s">
        <v>42</v>
      </c>
      <c r="F8" s="1632" t="s">
        <v>771</v>
      </c>
      <c r="G8" s="766"/>
      <c r="H8" s="766"/>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1" t="s">
        <v>50</v>
      </c>
      <c r="D9" s="1631" t="s">
        <v>50</v>
      </c>
      <c r="E9" s="1630" t="s">
        <v>50</v>
      </c>
      <c r="F9" s="1629" t="s">
        <v>50</v>
      </c>
      <c r="G9" s="766"/>
      <c r="H9" s="766"/>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7" t="s">
        <v>192</v>
      </c>
      <c r="B10" s="1628" t="s">
        <v>751</v>
      </c>
      <c r="C10" s="1627" t="s">
        <v>770</v>
      </c>
      <c r="D10" s="1627" t="s">
        <v>769</v>
      </c>
      <c r="E10" s="1626" t="s">
        <v>768</v>
      </c>
      <c r="F10" s="1625" t="s">
        <v>767</v>
      </c>
      <c r="G10" s="1603">
        <f>SUMIF(Summary!V1:V12,E1,Summary!W1:W12)</f>
        <v>1</v>
      </c>
      <c r="H10" s="766"/>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5">
        <v>1</v>
      </c>
      <c r="B11" s="1614" t="s">
        <v>766</v>
      </c>
      <c r="C11" s="1612"/>
      <c r="D11" s="1612"/>
      <c r="E11" s="1613">
        <f t="shared" ref="E11:E18" si="0">SUM(D11-C11)</f>
        <v>0</v>
      </c>
      <c r="F11" s="1612"/>
      <c r="G11" s="1603">
        <f>+IF(F11="",0,1)</f>
        <v>0</v>
      </c>
      <c r="H11" s="1603">
        <f>+IF(D11="",0,1)</f>
        <v>0</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5">
        <v>2</v>
      </c>
      <c r="B12" s="1614" t="s">
        <v>765</v>
      </c>
      <c r="C12" s="1612"/>
      <c r="D12" s="1612"/>
      <c r="E12" s="1613">
        <f t="shared" si="0"/>
        <v>0</v>
      </c>
      <c r="F12" s="1612"/>
      <c r="G12" s="1603"/>
      <c r="H12" s="766"/>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5">
        <v>3</v>
      </c>
      <c r="B13" s="1614" t="s">
        <v>764</v>
      </c>
      <c r="C13" s="1612"/>
      <c r="D13" s="1612"/>
      <c r="E13" s="1613">
        <f>SUM(D13-C13)</f>
        <v>0</v>
      </c>
      <c r="F13" s="1612"/>
      <c r="G13" s="1603"/>
      <c r="H13" s="766"/>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5">
        <v>4</v>
      </c>
      <c r="B14" s="1614" t="s">
        <v>763</v>
      </c>
      <c r="C14" s="1612"/>
      <c r="D14" s="1612"/>
      <c r="E14" s="1613">
        <f t="shared" si="0"/>
        <v>0</v>
      </c>
      <c r="F14" s="1612"/>
      <c r="G14" s="1603"/>
      <c r="H14" s="766"/>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5">
        <v>5</v>
      </c>
      <c r="B15" s="1614" t="s">
        <v>762</v>
      </c>
      <c r="C15" s="1612"/>
      <c r="D15" s="1612"/>
      <c r="E15" s="1613">
        <f t="shared" si="0"/>
        <v>0</v>
      </c>
      <c r="F15" s="1612"/>
      <c r="G15" s="1603"/>
      <c r="H15" s="766"/>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5">
        <v>6</v>
      </c>
      <c r="B16" s="1614" t="s">
        <v>761</v>
      </c>
      <c r="C16" s="1612"/>
      <c r="D16" s="1612"/>
      <c r="E16" s="1613">
        <f t="shared" si="0"/>
        <v>0</v>
      </c>
      <c r="F16" s="1612"/>
      <c r="G16" s="1603"/>
      <c r="H16" s="766"/>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5">
        <v>7</v>
      </c>
      <c r="B17" s="1614" t="s">
        <v>760</v>
      </c>
      <c r="C17" s="1612"/>
      <c r="D17" s="1612"/>
      <c r="E17" s="1613">
        <f t="shared" si="0"/>
        <v>0</v>
      </c>
      <c r="F17" s="1612"/>
      <c r="G17" s="1603"/>
      <c r="H17" s="766"/>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5">
        <v>8</v>
      </c>
      <c r="B18" s="1614" t="s">
        <v>759</v>
      </c>
      <c r="C18" s="1612"/>
      <c r="D18" s="1612"/>
      <c r="E18" s="1613">
        <f t="shared" si="0"/>
        <v>0</v>
      </c>
      <c r="F18" s="1612"/>
      <c r="G18" s="1603"/>
      <c r="H18" s="766"/>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1">
        <v>9</v>
      </c>
      <c r="B19" s="1616" t="s">
        <v>758</v>
      </c>
      <c r="C19" s="1608"/>
      <c r="D19" s="1608"/>
      <c r="E19" s="1609"/>
      <c r="F19" s="1608"/>
      <c r="G19" s="766"/>
      <c r="H19" s="766"/>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5">
        <v>10</v>
      </c>
      <c r="B20" s="1614" t="s">
        <v>757</v>
      </c>
      <c r="C20" s="1612"/>
      <c r="D20" s="1612"/>
      <c r="E20" s="1613">
        <f>SUM(D20-C20)</f>
        <v>0</v>
      </c>
      <c r="F20" s="1612"/>
      <c r="G20" s="1603"/>
      <c r="H20" s="766"/>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5">
        <v>11</v>
      </c>
      <c r="B21" s="1623" t="s">
        <v>1262</v>
      </c>
      <c r="C21" s="1612"/>
      <c r="D21" s="1612"/>
      <c r="E21" s="1613">
        <f>SUM(D21-C21)</f>
        <v>0</v>
      </c>
      <c r="F21" s="1612"/>
      <c r="G21" s="1603"/>
      <c r="H21" s="766"/>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1"/>
      <c r="B22" s="1616" t="s">
        <v>756</v>
      </c>
      <c r="C22" s="1608"/>
      <c r="D22" s="1608"/>
      <c r="E22" s="1609"/>
      <c r="F22" s="1608"/>
      <c r="G22" s="766"/>
      <c r="H22" s="766"/>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4">
        <v>12</v>
      </c>
      <c r="B23" s="1614" t="s">
        <v>58</v>
      </c>
      <c r="C23" s="1622"/>
      <c r="D23" s="1622"/>
      <c r="E23" s="1613">
        <f>SUM(D23-C23)</f>
        <v>0</v>
      </c>
      <c r="F23" s="1622"/>
      <c r="G23" s="1603"/>
      <c r="H23" s="766"/>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4">
        <v>13</v>
      </c>
      <c r="B24" s="1614" t="s">
        <v>755</v>
      </c>
      <c r="C24" s="1622"/>
      <c r="D24" s="1622"/>
      <c r="E24" s="1613">
        <f>SUM(D24-C24)</f>
        <v>0</v>
      </c>
      <c r="F24" s="1622"/>
      <c r="G24" s="1603"/>
      <c r="H24" s="766"/>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4">
        <v>14</v>
      </c>
      <c r="B25" s="1614" t="s">
        <v>754</v>
      </c>
      <c r="C25" s="1622"/>
      <c r="D25" s="1622"/>
      <c r="E25" s="1613">
        <f>SUM(D25-C25)</f>
        <v>0</v>
      </c>
      <c r="F25" s="1622"/>
      <c r="G25" s="1603"/>
      <c r="H25" s="766"/>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4">
        <v>15</v>
      </c>
      <c r="B26" s="1623" t="s">
        <v>753</v>
      </c>
      <c r="C26" s="1622"/>
      <c r="D26" s="1622"/>
      <c r="E26" s="1613">
        <f>SUM(D26-C26)</f>
        <v>0</v>
      </c>
      <c r="F26" s="1622"/>
      <c r="G26" s="1603"/>
      <c r="H26" s="766"/>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4">
        <v>16</v>
      </c>
      <c r="B27" s="1623" t="s">
        <v>61</v>
      </c>
      <c r="C27" s="1622"/>
      <c r="D27" s="1622"/>
      <c r="E27" s="1613">
        <f>SUM(D27-C27)</f>
        <v>0</v>
      </c>
      <c r="F27" s="1622"/>
      <c r="G27" s="1603"/>
      <c r="H27" s="766"/>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20">
        <v>17</v>
      </c>
      <c r="B28" s="1621" t="s">
        <v>752</v>
      </c>
      <c r="C28" s="1617">
        <f>SUM(C23:C27)</f>
        <v>0</v>
      </c>
      <c r="D28" s="1617">
        <f>SUM(D23:D27)</f>
        <v>0</v>
      </c>
      <c r="E28" s="1618">
        <f>SUM(E23:E27)</f>
        <v>0</v>
      </c>
      <c r="F28" s="1617">
        <f>SUM(F23:F27)</f>
        <v>0</v>
      </c>
      <c r="G28" s="766"/>
      <c r="H28" s="766"/>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20">
        <v>18</v>
      </c>
      <c r="B29" s="1619" t="s">
        <v>751</v>
      </c>
      <c r="C29" s="1617">
        <f>SUM(C11:C27)</f>
        <v>0</v>
      </c>
      <c r="D29" s="1617">
        <f>SUM(D11:D27)</f>
        <v>0</v>
      </c>
      <c r="E29" s="1618">
        <f>SUM(E11:E27)</f>
        <v>0</v>
      </c>
      <c r="F29" s="1617">
        <f>SUM(F11:F27)</f>
        <v>0</v>
      </c>
      <c r="G29" s="766"/>
      <c r="H29" s="766"/>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1"/>
      <c r="B30" s="1616" t="s">
        <v>750</v>
      </c>
      <c r="C30" s="1608"/>
      <c r="D30" s="1608"/>
      <c r="E30" s="1609"/>
      <c r="F30" s="1608"/>
      <c r="G30" s="766"/>
      <c r="H30" s="766"/>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5">
        <v>19</v>
      </c>
      <c r="B31" s="1614" t="s">
        <v>749</v>
      </c>
      <c r="C31" s="1612"/>
      <c r="D31" s="1612"/>
      <c r="E31" s="1613">
        <f>SUM(D31-C31)</f>
        <v>0</v>
      </c>
      <c r="F31" s="1612"/>
      <c r="G31" s="1603"/>
      <c r="H31" s="766"/>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5">
        <v>20</v>
      </c>
      <c r="B32" s="1614" t="s">
        <v>748</v>
      </c>
      <c r="C32" s="1612"/>
      <c r="D32" s="1612"/>
      <c r="E32" s="1613">
        <f>SUM(D32-C32)</f>
        <v>0</v>
      </c>
      <c r="F32" s="1612"/>
      <c r="G32" s="1603"/>
      <c r="H32" s="766"/>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5">
        <v>21</v>
      </c>
      <c r="B33" s="1614" t="s">
        <v>747</v>
      </c>
      <c r="C33" s="1612"/>
      <c r="D33" s="1612"/>
      <c r="E33" s="1613">
        <f>SUM(D33-C33)</f>
        <v>0</v>
      </c>
      <c r="F33" s="1612"/>
      <c r="G33" s="1603"/>
      <c r="H33" s="766"/>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5">
        <v>22</v>
      </c>
      <c r="B34" s="1614" t="s">
        <v>746</v>
      </c>
      <c r="C34" s="1612"/>
      <c r="D34" s="1612"/>
      <c r="E34" s="1613">
        <f>SUM(D34-C34)</f>
        <v>0</v>
      </c>
      <c r="F34" s="1612"/>
      <c r="G34" s="1603"/>
      <c r="H34" s="766"/>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1"/>
      <c r="B35" s="1610"/>
      <c r="C35" s="1608"/>
      <c r="D35" s="1608"/>
      <c r="E35" s="1609"/>
      <c r="F35" s="1608"/>
      <c r="G35" s="1603"/>
      <c r="H35" s="766"/>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7">
        <v>23</v>
      </c>
      <c r="B36" s="1606" t="s">
        <v>745</v>
      </c>
      <c r="C36" s="1604">
        <f>SUM(C31:C34)</f>
        <v>0</v>
      </c>
      <c r="D36" s="1604">
        <f>SUM(D31:D34)</f>
        <v>0</v>
      </c>
      <c r="E36" s="1605">
        <f>SUM(E31:E34)</f>
        <v>0</v>
      </c>
      <c r="F36" s="1604">
        <f>SUM(F31:F34)</f>
        <v>0</v>
      </c>
      <c r="G36" s="1603"/>
      <c r="H36" s="766"/>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2"/>
      <c r="B37" s="1601"/>
      <c r="C37" s="1601"/>
      <c r="D37" s="1601"/>
      <c r="E37" s="71"/>
      <c r="F37" s="1601"/>
      <c r="G37" s="766"/>
      <c r="H37" s="766"/>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600"/>
      <c r="B38" s="71"/>
      <c r="C38" s="71"/>
      <c r="D38" s="71"/>
      <c r="E38" s="71"/>
      <c r="F38" s="71"/>
      <c r="G38" s="766"/>
      <c r="H38" s="766"/>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600"/>
      <c r="B39" s="71"/>
      <c r="C39" s="71"/>
      <c r="D39" s="71"/>
      <c r="E39" s="71"/>
      <c r="F39" s="71"/>
      <c r="G39" s="766"/>
      <c r="H39" s="766"/>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600"/>
      <c r="B40" s="71"/>
      <c r="C40" s="71"/>
      <c r="D40" s="71"/>
      <c r="E40" s="71"/>
      <c r="F40" s="71"/>
      <c r="G40" s="766"/>
      <c r="H40" s="766"/>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600"/>
      <c r="B41" s="71"/>
      <c r="C41" s="71"/>
      <c r="D41" s="71"/>
      <c r="E41" s="71"/>
      <c r="F41" s="71"/>
      <c r="G41" s="766"/>
      <c r="H41" s="766"/>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600"/>
      <c r="B42" s="71"/>
      <c r="C42" s="71"/>
      <c r="D42" s="71"/>
      <c r="E42" s="71"/>
      <c r="F42" s="71"/>
      <c r="G42" s="766"/>
      <c r="H42" s="766"/>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600"/>
      <c r="B43" s="71"/>
      <c r="C43" s="71"/>
      <c r="D43" s="71"/>
      <c r="E43" s="71"/>
      <c r="F43" s="71"/>
      <c r="G43" s="766"/>
      <c r="H43" s="766"/>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600"/>
      <c r="B44" s="71"/>
      <c r="C44" s="71"/>
      <c r="D44" s="71"/>
      <c r="E44" s="71"/>
      <c r="F44" s="71"/>
      <c r="G44" s="766"/>
      <c r="H44" s="766"/>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600"/>
      <c r="B45" s="71"/>
      <c r="C45" s="71"/>
      <c r="D45" s="71"/>
      <c r="E45" s="71"/>
      <c r="F45" s="71"/>
      <c r="G45" s="766"/>
      <c r="H45" s="766"/>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600"/>
      <c r="B46" s="71"/>
      <c r="C46" s="71"/>
      <c r="D46" s="71"/>
      <c r="E46" s="71"/>
      <c r="F46" s="71"/>
      <c r="G46" s="766"/>
      <c r="H46" s="766"/>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600"/>
      <c r="B47" s="71"/>
      <c r="C47" s="71"/>
      <c r="D47" s="71"/>
      <c r="E47" s="71"/>
      <c r="F47" s="71"/>
      <c r="G47" s="766"/>
      <c r="H47" s="766"/>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600"/>
      <c r="B48" s="71"/>
      <c r="C48" s="71"/>
      <c r="D48" s="71"/>
      <c r="E48" s="71"/>
      <c r="F48" s="71"/>
      <c r="G48" s="766"/>
      <c r="H48" s="766"/>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600"/>
      <c r="B49" s="71"/>
      <c r="C49" s="71"/>
      <c r="D49" s="71"/>
      <c r="E49" s="71"/>
      <c r="F49" s="71"/>
      <c r="G49" s="766"/>
      <c r="H49" s="766"/>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600"/>
      <c r="B50" s="71"/>
      <c r="C50" s="71"/>
      <c r="D50" s="71"/>
      <c r="E50" s="71"/>
      <c r="F50" s="71"/>
      <c r="G50" s="766"/>
      <c r="H50" s="766"/>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600"/>
      <c r="B51" s="71"/>
      <c r="C51" s="71"/>
      <c r="D51" s="71"/>
      <c r="E51" s="71"/>
      <c r="F51" s="71"/>
      <c r="G51" s="766"/>
      <c r="H51" s="766"/>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600"/>
      <c r="B52" s="71"/>
      <c r="C52" s="71"/>
      <c r="D52" s="71"/>
      <c r="E52" s="71"/>
      <c r="F52" s="71"/>
      <c r="G52" s="766"/>
      <c r="H52" s="766"/>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600"/>
      <c r="B53" s="71"/>
      <c r="C53" s="71"/>
      <c r="D53" s="71"/>
      <c r="E53" s="71"/>
      <c r="F53" s="71"/>
      <c r="G53" s="766"/>
      <c r="H53" s="766"/>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600"/>
      <c r="B54" s="71"/>
      <c r="C54" s="71"/>
      <c r="D54" s="71"/>
      <c r="E54" s="71"/>
      <c r="F54" s="71"/>
      <c r="G54" s="766"/>
      <c r="H54" s="766"/>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600"/>
      <c r="B55" s="71"/>
      <c r="C55" s="71"/>
      <c r="D55" s="71"/>
      <c r="E55" s="71"/>
      <c r="F55" s="71"/>
      <c r="G55" s="766"/>
      <c r="H55" s="766"/>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600"/>
      <c r="B56" s="71"/>
      <c r="C56" s="71"/>
      <c r="D56" s="71"/>
      <c r="E56" s="71"/>
      <c r="F56" s="71"/>
      <c r="G56" s="766"/>
      <c r="H56" s="766"/>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600"/>
      <c r="B57" s="71"/>
      <c r="C57" s="71"/>
      <c r="D57" s="71"/>
      <c r="E57" s="71"/>
      <c r="F57" s="71"/>
      <c r="G57" s="766"/>
      <c r="H57" s="766"/>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600"/>
      <c r="B58" s="71"/>
      <c r="C58" s="71"/>
      <c r="D58" s="71"/>
      <c r="E58" s="71"/>
      <c r="F58" s="71"/>
      <c r="G58" s="766"/>
      <c r="H58" s="766"/>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600"/>
      <c r="B59" s="71"/>
      <c r="C59" s="71"/>
      <c r="D59" s="71"/>
      <c r="E59" s="71"/>
      <c r="F59" s="71"/>
      <c r="G59" s="766"/>
      <c r="H59" s="766"/>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600"/>
      <c r="B60" s="71"/>
      <c r="C60" s="71"/>
      <c r="D60" s="71"/>
      <c r="E60" s="71"/>
      <c r="F60" s="71"/>
      <c r="G60" s="766"/>
      <c r="H60" s="766"/>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600"/>
      <c r="B61" s="71"/>
      <c r="C61" s="71"/>
      <c r="D61" s="71"/>
      <c r="E61" s="71"/>
      <c r="F61" s="71"/>
      <c r="G61" s="766"/>
      <c r="H61" s="766"/>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600"/>
      <c r="B62" s="71"/>
      <c r="C62" s="71"/>
      <c r="D62" s="71"/>
      <c r="E62" s="71"/>
      <c r="F62" s="71"/>
      <c r="G62" s="766"/>
      <c r="H62" s="766"/>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600"/>
      <c r="B63" s="71"/>
      <c r="C63" s="71"/>
      <c r="D63" s="71"/>
      <c r="E63" s="71"/>
      <c r="F63" s="71"/>
      <c r="G63" s="766"/>
      <c r="H63" s="766"/>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600"/>
      <c r="B64" s="71"/>
      <c r="C64" s="71"/>
      <c r="D64" s="71"/>
      <c r="E64" s="71"/>
      <c r="F64" s="71"/>
      <c r="G64" s="766"/>
      <c r="H64" s="766"/>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600"/>
      <c r="B65" s="71"/>
      <c r="C65" s="71"/>
      <c r="D65" s="71"/>
      <c r="E65" s="71"/>
      <c r="F65" s="71"/>
      <c r="G65" s="766"/>
      <c r="H65" s="766"/>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600"/>
      <c r="B66" s="71"/>
      <c r="C66" s="71"/>
      <c r="D66" s="71"/>
      <c r="E66" s="71"/>
      <c r="F66" s="71"/>
      <c r="G66" s="766"/>
      <c r="H66" s="766"/>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600"/>
      <c r="B67" s="71"/>
      <c r="C67" s="71"/>
      <c r="D67" s="71"/>
      <c r="E67" s="71"/>
      <c r="F67" s="71"/>
      <c r="G67" s="766"/>
      <c r="H67" s="766"/>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600"/>
      <c r="B68" s="71"/>
      <c r="C68" s="71"/>
      <c r="D68" s="71"/>
      <c r="E68" s="71"/>
      <c r="F68" s="71"/>
      <c r="G68" s="766"/>
      <c r="H68" s="766"/>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600"/>
      <c r="B69" s="71"/>
      <c r="C69" s="71"/>
      <c r="D69" s="71"/>
      <c r="E69" s="71"/>
      <c r="F69" s="71"/>
      <c r="G69" s="766"/>
      <c r="H69" s="766"/>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600"/>
      <c r="B70" s="71"/>
      <c r="C70" s="71"/>
      <c r="D70" s="71"/>
      <c r="E70" s="71"/>
      <c r="F70" s="71"/>
      <c r="G70" s="766"/>
      <c r="H70" s="766"/>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600"/>
      <c r="B71" s="71"/>
      <c r="C71" s="71"/>
      <c r="D71" s="71"/>
      <c r="E71" s="71"/>
      <c r="F71" s="71"/>
      <c r="G71" s="766"/>
      <c r="H71" s="766"/>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600"/>
      <c r="B72" s="71"/>
      <c r="C72" s="71"/>
      <c r="D72" s="71"/>
      <c r="E72" s="71"/>
      <c r="F72" s="71"/>
      <c r="G72" s="766"/>
      <c r="H72" s="766"/>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600"/>
      <c r="B73" s="71"/>
      <c r="C73" s="71"/>
      <c r="D73" s="71"/>
      <c r="E73" s="71"/>
      <c r="F73" s="71"/>
      <c r="G73" s="766"/>
      <c r="H73" s="766"/>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600"/>
      <c r="B74" s="71"/>
      <c r="C74" s="71"/>
      <c r="D74" s="71"/>
      <c r="E74" s="71"/>
      <c r="F74" s="71"/>
      <c r="G74" s="766"/>
      <c r="H74" s="766"/>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600"/>
      <c r="B75" s="71"/>
      <c r="C75" s="71"/>
      <c r="D75" s="71"/>
      <c r="E75" s="71"/>
      <c r="F75" s="71"/>
      <c r="G75" s="766"/>
      <c r="H75" s="766"/>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600"/>
      <c r="B76" s="71"/>
      <c r="C76" s="71"/>
      <c r="D76" s="71"/>
      <c r="E76" s="71"/>
      <c r="F76" s="71"/>
      <c r="G76" s="766"/>
      <c r="H76" s="766"/>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600"/>
      <c r="B77" s="71"/>
      <c r="C77" s="71"/>
      <c r="D77" s="71"/>
      <c r="E77" s="71"/>
      <c r="F77" s="71"/>
      <c r="G77" s="766"/>
      <c r="H77" s="766"/>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600"/>
      <c r="B78" s="71"/>
      <c r="C78" s="71"/>
      <c r="D78" s="71"/>
      <c r="E78" s="71"/>
      <c r="F78" s="71"/>
      <c r="G78" s="766"/>
      <c r="H78" s="766"/>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600"/>
      <c r="B79" s="71"/>
      <c r="C79" s="71"/>
      <c r="D79" s="71"/>
      <c r="E79" s="71"/>
      <c r="F79" s="71"/>
      <c r="G79" s="766"/>
      <c r="H79" s="766"/>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600"/>
      <c r="B80" s="71"/>
      <c r="C80" s="71"/>
      <c r="D80" s="71"/>
      <c r="E80" s="71"/>
      <c r="F80" s="71"/>
      <c r="G80" s="766"/>
      <c r="H80" s="766"/>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600"/>
      <c r="B81" s="71"/>
      <c r="C81" s="71"/>
      <c r="D81" s="71"/>
      <c r="E81" s="71"/>
      <c r="F81" s="71"/>
      <c r="G81" s="766"/>
      <c r="H81" s="766"/>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600"/>
      <c r="B82" s="71"/>
      <c r="C82" s="71"/>
      <c r="D82" s="71"/>
      <c r="E82" s="71"/>
      <c r="F82" s="71"/>
      <c r="G82" s="766"/>
      <c r="H82" s="766"/>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600"/>
      <c r="B83" s="71"/>
      <c r="C83" s="71"/>
      <c r="D83" s="71"/>
      <c r="E83" s="71"/>
      <c r="F83" s="71"/>
      <c r="G83" s="766"/>
      <c r="H83" s="766"/>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600"/>
      <c r="B84" s="71"/>
      <c r="C84" s="71"/>
      <c r="D84" s="71"/>
      <c r="E84" s="71"/>
      <c r="F84" s="71"/>
      <c r="G84" s="766"/>
      <c r="H84" s="766"/>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600"/>
      <c r="B85" s="71"/>
      <c r="C85" s="71"/>
      <c r="D85" s="71"/>
      <c r="E85" s="71"/>
      <c r="F85" s="71"/>
      <c r="G85" s="766"/>
      <c r="H85" s="766"/>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600"/>
      <c r="B86" s="71"/>
      <c r="C86" s="71"/>
      <c r="D86" s="71"/>
      <c r="E86" s="71"/>
      <c r="F86" s="71"/>
      <c r="G86" s="766"/>
      <c r="H86" s="766"/>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600"/>
      <c r="B87" s="71"/>
      <c r="C87" s="71"/>
      <c r="D87" s="71"/>
      <c r="E87" s="71"/>
      <c r="F87" s="71"/>
      <c r="G87" s="766"/>
      <c r="H87" s="766"/>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600"/>
      <c r="B88" s="71"/>
      <c r="C88" s="71"/>
      <c r="D88" s="71"/>
      <c r="E88" s="71"/>
      <c r="F88" s="71"/>
      <c r="G88" s="766"/>
      <c r="H88" s="766"/>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600"/>
      <c r="B89" s="71"/>
      <c r="C89" s="71"/>
      <c r="D89" s="71"/>
      <c r="E89" s="71"/>
      <c r="F89" s="71"/>
      <c r="G89" s="766"/>
      <c r="H89" s="766"/>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600"/>
      <c r="B90" s="71"/>
      <c r="C90" s="71"/>
      <c r="D90" s="71"/>
      <c r="E90" s="71"/>
      <c r="F90" s="71"/>
      <c r="G90" s="766"/>
      <c r="H90" s="766"/>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600"/>
      <c r="B91" s="71"/>
      <c r="C91" s="71"/>
      <c r="D91" s="71"/>
      <c r="E91" s="71"/>
      <c r="F91" s="71"/>
      <c r="G91" s="766"/>
      <c r="H91" s="766"/>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600"/>
      <c r="B92" s="71"/>
      <c r="C92" s="71"/>
      <c r="D92" s="71"/>
      <c r="E92" s="71"/>
      <c r="F92" s="71"/>
      <c r="G92" s="766"/>
      <c r="H92" s="766"/>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600"/>
      <c r="B93" s="71"/>
      <c r="C93" s="71"/>
      <c r="D93" s="71"/>
      <c r="E93" s="71"/>
      <c r="F93" s="71"/>
      <c r="G93" s="766"/>
      <c r="H93" s="766"/>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600"/>
      <c r="B94" s="71"/>
      <c r="C94" s="71"/>
      <c r="D94" s="71"/>
      <c r="E94" s="71"/>
      <c r="F94" s="71"/>
      <c r="G94" s="766"/>
      <c r="H94" s="766"/>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600"/>
      <c r="B95" s="71"/>
      <c r="C95" s="71"/>
      <c r="D95" s="71"/>
      <c r="E95" s="71"/>
      <c r="F95" s="71"/>
      <c r="G95" s="766"/>
      <c r="H95" s="766"/>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600"/>
      <c r="B96" s="71"/>
      <c r="C96" s="71"/>
      <c r="D96" s="71"/>
      <c r="E96" s="71"/>
      <c r="F96" s="71"/>
      <c r="G96" s="766"/>
      <c r="H96" s="766"/>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600"/>
      <c r="B97" s="71"/>
      <c r="C97" s="71"/>
      <c r="D97" s="71"/>
      <c r="E97" s="71"/>
      <c r="F97" s="71"/>
      <c r="G97" s="766"/>
      <c r="H97" s="766"/>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600"/>
      <c r="B98" s="71"/>
      <c r="C98" s="71"/>
      <c r="D98" s="71"/>
      <c r="E98" s="71"/>
      <c r="F98" s="71"/>
      <c r="G98" s="766"/>
      <c r="H98" s="766"/>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600"/>
      <c r="B99" s="71"/>
      <c r="C99" s="71"/>
      <c r="D99" s="71"/>
      <c r="E99" s="71"/>
      <c r="F99" s="71"/>
      <c r="G99" s="766"/>
      <c r="H99" s="766"/>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600"/>
      <c r="B100" s="71"/>
      <c r="C100" s="71"/>
      <c r="D100" s="71"/>
      <c r="E100" s="71"/>
      <c r="F100" s="71"/>
      <c r="G100" s="766"/>
      <c r="H100" s="766"/>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600"/>
      <c r="B101" s="71"/>
      <c r="C101" s="71"/>
      <c r="D101" s="71"/>
      <c r="E101" s="71"/>
      <c r="F101" s="71"/>
      <c r="G101" s="766"/>
      <c r="H101" s="766"/>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6"/>
      <c r="H102" s="766"/>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6"/>
      <c r="H103" s="766"/>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6"/>
      <c r="H104" s="766"/>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6"/>
      <c r="H105" s="766"/>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6"/>
      <c r="H106" s="766"/>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6"/>
      <c r="H107" s="766"/>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6"/>
      <c r="H108" s="766"/>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6"/>
      <c r="H109" s="766"/>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6"/>
      <c r="H110" s="766"/>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6"/>
      <c r="H111" s="766"/>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6"/>
      <c r="H112" s="766"/>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6"/>
      <c r="H113" s="766"/>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6"/>
      <c r="H114" s="766"/>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6"/>
      <c r="H115" s="766"/>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6"/>
      <c r="H116" s="766"/>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6"/>
      <c r="H117" s="766"/>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6"/>
      <c r="H118" s="766"/>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6"/>
      <c r="H119" s="766"/>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6"/>
      <c r="H120" s="766"/>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6"/>
      <c r="H121" s="766"/>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6"/>
      <c r="H122" s="766"/>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6"/>
      <c r="H123" s="766"/>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6"/>
      <c r="H124" s="766"/>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6"/>
      <c r="H125" s="766"/>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6"/>
      <c r="H126" s="766"/>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6"/>
      <c r="H127" s="766"/>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6"/>
      <c r="H128" s="766"/>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6"/>
      <c r="H129" s="766"/>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6"/>
      <c r="H130" s="766"/>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6"/>
      <c r="H131" s="766"/>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K6" sqref="K6"/>
    </sheetView>
  </sheetViews>
  <sheetFormatPr defaultRowHeight="15.5"/>
  <cols>
    <col min="1" max="1" width="1.4609375" customWidth="1"/>
    <col min="2" max="2" width="48.921875" customWidth="1"/>
    <col min="3" max="3" width="10.61328125" customWidth="1"/>
    <col min="4" max="4" width="16.921875" customWidth="1"/>
    <col min="5" max="6" width="14.15234375" customWidth="1"/>
    <col min="7" max="7" width="20.921875" customWidth="1"/>
    <col min="8" max="8" width="29.53515625" customWidth="1"/>
    <col min="9" max="9" width="22.61328125" customWidth="1"/>
    <col min="10" max="10" width="24.921875" customWidth="1"/>
    <col min="11" max="11" width="72.53515625" customWidth="1"/>
    <col min="12" max="15" width="8.921875" style="1453"/>
    <col min="16" max="16" width="50.15234375" style="1453" bestFit="1" customWidth="1"/>
    <col min="17" max="17" width="102.53515625" style="1453" customWidth="1"/>
    <col min="18" max="43" width="8.921875" style="1453"/>
  </cols>
  <sheetData>
    <row r="1" spans="1:62">
      <c r="A1" s="808"/>
      <c r="B1" s="811" t="str">
        <f>+Summary!A1</f>
        <v>Public Health Wales Trust</v>
      </c>
      <c r="C1" s="882"/>
      <c r="D1" s="883"/>
      <c r="E1" s="883"/>
      <c r="F1" s="884"/>
      <c r="G1" s="809"/>
      <c r="H1" s="815"/>
      <c r="I1" s="1146" t="s">
        <v>461</v>
      </c>
      <c r="J1" s="989" t="str">
        <f>+Summary!H1</f>
        <v>Apr 23</v>
      </c>
      <c r="K1" s="808"/>
      <c r="L1" s="1748"/>
      <c r="M1" s="1748"/>
      <c r="N1" s="1748"/>
      <c r="O1" s="1748"/>
      <c r="P1" s="69"/>
      <c r="Q1" s="69"/>
      <c r="R1" s="69"/>
      <c r="S1" s="1160"/>
      <c r="T1" s="1748"/>
      <c r="U1" s="1748"/>
      <c r="V1" s="1748"/>
      <c r="W1" s="1748"/>
      <c r="X1" s="1748"/>
      <c r="Y1" s="1748"/>
      <c r="Z1" s="1748"/>
      <c r="AA1" s="1748"/>
      <c r="AB1" s="1748"/>
      <c r="AC1" s="1748"/>
      <c r="AD1" s="1748"/>
      <c r="AE1" s="1748"/>
      <c r="AF1" s="1748"/>
      <c r="AG1" s="1748"/>
      <c r="AH1" s="1748"/>
      <c r="AI1" s="1748"/>
      <c r="AJ1" s="1748"/>
      <c r="AK1" s="1748"/>
      <c r="AL1" s="1748"/>
      <c r="AM1" s="1748"/>
      <c r="AN1" s="1748"/>
      <c r="AO1" s="1748"/>
      <c r="AP1" s="1748"/>
      <c r="AQ1" s="1748"/>
      <c r="AR1" s="618"/>
      <c r="AS1" s="618"/>
      <c r="AT1" s="618"/>
      <c r="AU1" s="618"/>
      <c r="AV1" s="618"/>
      <c r="AW1" s="618"/>
      <c r="AX1" s="618"/>
      <c r="AY1" s="618"/>
      <c r="AZ1" s="618"/>
      <c r="BA1" s="618"/>
      <c r="BB1" s="618"/>
      <c r="BC1" s="1044" t="s">
        <v>400</v>
      </c>
      <c r="BD1" s="1045" t="s">
        <v>437</v>
      </c>
      <c r="BE1" s="2481" t="str">
        <f>Summary!V1</f>
        <v>Apr 23</v>
      </c>
      <c r="BF1" s="621">
        <f>+BH1-77</f>
        <v>44969</v>
      </c>
      <c r="BG1" s="621">
        <f>+BH1-119</f>
        <v>44927</v>
      </c>
      <c r="BH1" s="622">
        <v>45046</v>
      </c>
      <c r="BI1" s="620"/>
      <c r="BJ1" s="620"/>
    </row>
    <row r="2" spans="1:62">
      <c r="A2" s="808"/>
      <c r="B2" s="808"/>
      <c r="C2" s="885"/>
      <c r="D2" s="886"/>
      <c r="E2" s="886"/>
      <c r="F2" s="884"/>
      <c r="G2" s="809"/>
      <c r="H2" s="836" t="str">
        <f>"11 weeks before end of "&amp;J1&amp;" ="</f>
        <v>11 weeks before end of Apr 23 =</v>
      </c>
      <c r="I2" s="837">
        <f>VLOOKUP(J1,$BE$1:$BH$12,2,0)</f>
        <v>44969</v>
      </c>
      <c r="J2" s="808"/>
      <c r="K2" s="808"/>
      <c r="L2" s="1748"/>
      <c r="M2" s="1748"/>
      <c r="N2" s="1748"/>
      <c r="O2" s="1748"/>
      <c r="P2" s="69"/>
      <c r="Q2" s="69"/>
      <c r="R2" s="69"/>
      <c r="S2" s="1160"/>
      <c r="T2" s="1748"/>
      <c r="U2" s="1748"/>
      <c r="V2" s="1748"/>
      <c r="W2" s="1748"/>
      <c r="X2" s="1748"/>
      <c r="Y2" s="1748"/>
      <c r="Z2" s="1748"/>
      <c r="AA2" s="1748"/>
      <c r="AB2" s="1748"/>
      <c r="AC2" s="1748"/>
      <c r="AD2" s="1748"/>
      <c r="AE2" s="1748"/>
      <c r="AF2" s="1748"/>
      <c r="AG2" s="1748"/>
      <c r="AH2" s="1748"/>
      <c r="AI2" s="1748"/>
      <c r="AJ2" s="1748"/>
      <c r="AK2" s="1748"/>
      <c r="AL2" s="1748"/>
      <c r="AM2" s="1748"/>
      <c r="AN2" s="1748"/>
      <c r="AO2" s="1748"/>
      <c r="AP2" s="1748"/>
      <c r="AQ2" s="1748"/>
      <c r="AR2" s="618"/>
      <c r="AS2" s="618"/>
      <c r="AT2" s="618"/>
      <c r="AU2" s="618"/>
      <c r="AV2" s="618"/>
      <c r="AW2" s="618"/>
      <c r="AX2" s="618"/>
      <c r="AY2" s="618"/>
      <c r="AZ2" s="618"/>
      <c r="BA2" s="618"/>
      <c r="BB2" s="618"/>
      <c r="BC2" s="1044" t="s">
        <v>731</v>
      </c>
      <c r="BD2" s="1045" t="s">
        <v>735</v>
      </c>
      <c r="BE2" s="2481" t="str">
        <f>Summary!V2</f>
        <v>May 23</v>
      </c>
      <c r="BF2" s="621">
        <f t="shared" ref="BF2:BF12" si="0">+BH2-77</f>
        <v>45000</v>
      </c>
      <c r="BG2" s="621">
        <f t="shared" ref="BG2:BG12" si="1">+BH2-119</f>
        <v>44958</v>
      </c>
      <c r="BH2" s="622">
        <v>45077</v>
      </c>
      <c r="BI2" s="620"/>
      <c r="BJ2" s="620"/>
    </row>
    <row r="3" spans="1:62" ht="18" customHeight="1">
      <c r="A3" s="808"/>
      <c r="B3" s="811" t="s">
        <v>907</v>
      </c>
      <c r="C3" s="887"/>
      <c r="D3" s="886"/>
      <c r="E3" s="886"/>
      <c r="F3" s="884"/>
      <c r="G3" s="809"/>
      <c r="H3" s="838" t="str">
        <f>"17 weeks before end of "&amp;J1&amp;" ="</f>
        <v>17 weeks before end of Apr 23 =</v>
      </c>
      <c r="I3" s="839">
        <f>VLOOKUP(J1,$BE$1:$BH$12,3,0)</f>
        <v>44927</v>
      </c>
      <c r="J3" s="808"/>
      <c r="K3" s="818"/>
      <c r="L3" s="1748"/>
      <c r="M3" s="1748"/>
      <c r="N3" s="1748"/>
      <c r="O3" s="1748"/>
      <c r="P3" s="69"/>
      <c r="Q3" s="69"/>
      <c r="R3" s="69"/>
      <c r="S3" s="1160"/>
      <c r="T3" s="1748"/>
      <c r="U3" s="1748"/>
      <c r="V3" s="1748"/>
      <c r="W3" s="1748"/>
      <c r="X3" s="1748"/>
      <c r="Y3" s="1748"/>
      <c r="Z3" s="1748"/>
      <c r="AA3" s="1748"/>
      <c r="AB3" s="1748"/>
      <c r="AC3" s="1748"/>
      <c r="AD3" s="1748"/>
      <c r="AE3" s="1748"/>
      <c r="AF3" s="1748"/>
      <c r="AG3" s="1748"/>
      <c r="AH3" s="1748"/>
      <c r="AI3" s="1748"/>
      <c r="AJ3" s="1748"/>
      <c r="AK3" s="1748"/>
      <c r="AL3" s="1748"/>
      <c r="AM3" s="1748"/>
      <c r="AN3" s="1748"/>
      <c r="AO3" s="1748"/>
      <c r="AP3" s="1748"/>
      <c r="AQ3" s="1748"/>
      <c r="AR3" s="618"/>
      <c r="AS3" s="618"/>
      <c r="AT3" s="618"/>
      <c r="AU3" s="618"/>
      <c r="AV3" s="618"/>
      <c r="AW3" s="618"/>
      <c r="AX3" s="618"/>
      <c r="AY3" s="618"/>
      <c r="AZ3" s="618"/>
      <c r="BA3" s="618"/>
      <c r="BB3" s="618"/>
      <c r="BC3" s="1044" t="s">
        <v>401</v>
      </c>
      <c r="BD3" s="1045" t="s">
        <v>438</v>
      </c>
      <c r="BE3" s="2481" t="str">
        <f>Summary!V3</f>
        <v>Jun 23</v>
      </c>
      <c r="BF3" s="621">
        <f t="shared" si="0"/>
        <v>45030</v>
      </c>
      <c r="BG3" s="621">
        <f t="shared" si="1"/>
        <v>44988</v>
      </c>
      <c r="BH3" s="622">
        <v>45107</v>
      </c>
      <c r="BI3" s="620"/>
      <c r="BJ3" s="620"/>
    </row>
    <row r="4" spans="1:62" ht="16" thickBot="1">
      <c r="A4" s="808"/>
      <c r="B4" s="812"/>
      <c r="C4" s="810"/>
      <c r="D4" s="809"/>
      <c r="E4" s="809"/>
      <c r="F4" s="808"/>
      <c r="G4" s="809"/>
      <c r="H4" s="816"/>
      <c r="I4" s="817"/>
      <c r="J4" s="808"/>
      <c r="K4" s="808"/>
      <c r="L4" s="1748"/>
      <c r="M4" s="1748"/>
      <c r="N4" s="1748"/>
      <c r="O4" s="1748"/>
      <c r="P4" s="69"/>
      <c r="Q4" s="69"/>
      <c r="R4" s="69"/>
      <c r="S4" s="1160"/>
      <c r="T4" s="1748"/>
      <c r="U4" s="1748"/>
      <c r="V4" s="1748"/>
      <c r="W4" s="1748"/>
      <c r="X4" s="1748"/>
      <c r="Y4" s="1748"/>
      <c r="Z4" s="1748"/>
      <c r="AA4" s="1748"/>
      <c r="AB4" s="1748"/>
      <c r="AC4" s="1748"/>
      <c r="AD4" s="1748"/>
      <c r="AE4" s="1748"/>
      <c r="AF4" s="1748"/>
      <c r="AG4" s="1748"/>
      <c r="AH4" s="1748"/>
      <c r="AI4" s="1748"/>
      <c r="AJ4" s="1748"/>
      <c r="AK4" s="1748"/>
      <c r="AL4" s="1748"/>
      <c r="AM4" s="1748"/>
      <c r="AN4" s="1748"/>
      <c r="AO4" s="1748"/>
      <c r="AP4" s="1748"/>
      <c r="AQ4" s="1748"/>
      <c r="AR4" s="618"/>
      <c r="AS4" s="618"/>
      <c r="AT4" s="618"/>
      <c r="AU4" s="618"/>
      <c r="AV4" s="618"/>
      <c r="AW4" s="618"/>
      <c r="AX4" s="618"/>
      <c r="AY4" s="618"/>
      <c r="AZ4" s="618"/>
      <c r="BA4" s="618"/>
      <c r="BB4" s="618"/>
      <c r="BC4" s="1044" t="s">
        <v>402</v>
      </c>
      <c r="BD4" s="620" t="s">
        <v>370</v>
      </c>
      <c r="BE4" s="2481" t="str">
        <f>Summary!V4</f>
        <v>Jul 23</v>
      </c>
      <c r="BF4" s="621">
        <f t="shared" si="0"/>
        <v>45061</v>
      </c>
      <c r="BG4" s="621">
        <f t="shared" si="1"/>
        <v>45019</v>
      </c>
      <c r="BH4" s="622">
        <v>45138</v>
      </c>
      <c r="BI4" s="620"/>
      <c r="BJ4" s="620"/>
    </row>
    <row r="5" spans="1:62" ht="15.75" customHeight="1" thickBot="1">
      <c r="A5" s="811"/>
      <c r="B5" s="623" t="s">
        <v>371</v>
      </c>
      <c r="C5" s="624" t="s">
        <v>380</v>
      </c>
      <c r="D5" s="625" t="s">
        <v>379</v>
      </c>
      <c r="E5" s="626" t="s">
        <v>383</v>
      </c>
      <c r="F5" s="627" t="s">
        <v>384</v>
      </c>
      <c r="G5" s="625" t="s">
        <v>378</v>
      </c>
      <c r="H5" s="628" t="s">
        <v>516</v>
      </c>
      <c r="I5" s="629" t="s">
        <v>517</v>
      </c>
      <c r="J5" s="624" t="s">
        <v>372</v>
      </c>
      <c r="K5" s="624" t="s">
        <v>299</v>
      </c>
      <c r="L5" s="811"/>
      <c r="M5" s="811"/>
      <c r="N5" s="811"/>
      <c r="O5" s="811"/>
      <c r="P5" s="69"/>
      <c r="Q5" s="69"/>
      <c r="R5" s="69"/>
      <c r="S5" s="888"/>
      <c r="T5" s="811"/>
      <c r="U5" s="811"/>
      <c r="V5" s="811"/>
      <c r="W5" s="811"/>
      <c r="X5" s="811"/>
      <c r="Y5" s="811"/>
      <c r="Z5" s="811"/>
      <c r="AA5" s="811"/>
      <c r="AB5" s="811"/>
      <c r="AC5" s="811"/>
      <c r="AD5" s="811"/>
      <c r="AE5" s="811"/>
      <c r="AF5" s="811"/>
      <c r="AG5" s="811"/>
      <c r="AH5" s="811"/>
      <c r="AI5" s="811"/>
      <c r="AJ5" s="811"/>
      <c r="AK5" s="811"/>
      <c r="AL5" s="811"/>
      <c r="AM5" s="811"/>
      <c r="AN5" s="811"/>
      <c r="AO5" s="811"/>
      <c r="AP5" s="811"/>
      <c r="AQ5" s="811"/>
      <c r="AR5" s="630"/>
      <c r="AS5" s="630"/>
      <c r="AT5" s="630"/>
      <c r="AU5" s="630"/>
      <c r="AV5" s="630"/>
      <c r="AW5" s="630"/>
      <c r="AX5" s="630"/>
      <c r="AY5" s="630"/>
      <c r="AZ5" s="630"/>
      <c r="BA5" s="630"/>
      <c r="BB5" s="630"/>
      <c r="BC5" s="1044" t="s">
        <v>732</v>
      </c>
      <c r="BD5" s="1045" t="s">
        <v>736</v>
      </c>
      <c r="BE5" s="2481" t="str">
        <f>Summary!V5</f>
        <v>Aug 23</v>
      </c>
      <c r="BF5" s="621">
        <f t="shared" si="0"/>
        <v>45092</v>
      </c>
      <c r="BG5" s="621">
        <f t="shared" si="1"/>
        <v>45050</v>
      </c>
      <c r="BH5" s="622">
        <v>45169</v>
      </c>
      <c r="BI5" s="631"/>
      <c r="BJ5" s="631"/>
    </row>
    <row r="6" spans="1:62">
      <c r="A6" s="813"/>
      <c r="B6" s="632" t="s">
        <v>402</v>
      </c>
      <c r="C6" s="633">
        <v>50053490</v>
      </c>
      <c r="D6" s="634">
        <v>44946</v>
      </c>
      <c r="E6" s="635">
        <v>7570.11</v>
      </c>
      <c r="F6" s="636">
        <v>7570.11</v>
      </c>
      <c r="G6" s="826" t="str">
        <f>IF(D6="","",IF(D6&gt;$I$2,"No, less than 11 weeks","Yes, valid entry for period"))</f>
        <v>Yes, valid entry for period</v>
      </c>
      <c r="H6" s="827">
        <f>IF(F6="","",IF(D6&lt;$I$3,"",F6))</f>
        <v>7570.11</v>
      </c>
      <c r="I6" s="827" t="str">
        <f>IF(F6="","",IF(D6&gt;=$I$3,"",F6))</f>
        <v/>
      </c>
      <c r="J6" s="828">
        <f>IF(D6="","",SUM(D6+119))</f>
        <v>45065</v>
      </c>
      <c r="K6" s="647" t="s">
        <v>1422</v>
      </c>
      <c r="L6" s="813"/>
      <c r="M6" s="813"/>
      <c r="N6" s="813"/>
      <c r="O6" s="813"/>
      <c r="P6" s="69"/>
      <c r="Q6" s="69"/>
      <c r="R6" s="69"/>
      <c r="S6" s="889"/>
      <c r="T6" s="813"/>
      <c r="U6" s="813"/>
      <c r="V6" s="813"/>
      <c r="W6" s="813"/>
      <c r="X6" s="813"/>
      <c r="Y6" s="813"/>
      <c r="Z6" s="813"/>
      <c r="AA6" s="813"/>
      <c r="AB6" s="813"/>
      <c r="AC6" s="813"/>
      <c r="AD6" s="813"/>
      <c r="AE6" s="813"/>
      <c r="AF6" s="813"/>
      <c r="AG6" s="813"/>
      <c r="AH6" s="813"/>
      <c r="AI6" s="813"/>
      <c r="AJ6" s="813"/>
      <c r="AK6" s="813"/>
      <c r="AL6" s="813"/>
      <c r="AM6" s="813"/>
      <c r="AN6" s="813"/>
      <c r="AO6" s="813"/>
      <c r="AP6" s="813"/>
      <c r="AQ6" s="813"/>
      <c r="AR6" s="637"/>
      <c r="AS6" s="637"/>
      <c r="AT6" s="637"/>
      <c r="AU6" s="637"/>
      <c r="AV6" s="637"/>
      <c r="AW6" s="637"/>
      <c r="AX6" s="637"/>
      <c r="AY6" s="637"/>
      <c r="AZ6" s="637"/>
      <c r="BA6" s="637"/>
      <c r="BB6" s="637"/>
      <c r="BC6" s="1044" t="s">
        <v>407</v>
      </c>
      <c r="BD6" s="1045" t="s">
        <v>439</v>
      </c>
      <c r="BE6" s="2481" t="str">
        <f>Summary!V6</f>
        <v>Sep 23</v>
      </c>
      <c r="BF6" s="621">
        <f t="shared" si="0"/>
        <v>45122</v>
      </c>
      <c r="BG6" s="621">
        <f t="shared" si="1"/>
        <v>45080</v>
      </c>
      <c r="BH6" s="622">
        <v>45199</v>
      </c>
      <c r="BI6" s="638"/>
      <c r="BJ6" s="638"/>
    </row>
    <row r="7" spans="1:62">
      <c r="A7" s="814"/>
      <c r="B7" s="632" t="s">
        <v>49</v>
      </c>
      <c r="C7" s="633">
        <v>50053648</v>
      </c>
      <c r="D7" s="634">
        <v>44963</v>
      </c>
      <c r="E7" s="635">
        <v>3292.23</v>
      </c>
      <c r="F7" s="636">
        <v>3292.23</v>
      </c>
      <c r="G7" s="826" t="str">
        <f t="shared" ref="G7:G70" si="2">IF(D7="","",IF(D7&gt;$I$2,"No, less than 11 weeks","Yes, valid entry for period"))</f>
        <v>Yes, valid entry for period</v>
      </c>
      <c r="H7" s="829">
        <f t="shared" ref="H7:H70" si="3">IF(F7="","",IF(D7&lt;$I$3,"",F7))</f>
        <v>3292.23</v>
      </c>
      <c r="I7" s="829" t="str">
        <f t="shared" ref="I7:I70" si="4">IF(F7="","",IF(D7&gt;=$I$3,"",F7))</f>
        <v/>
      </c>
      <c r="J7" s="830">
        <f t="shared" ref="J7:J70" si="5">IF(D7="","",SUM(D7+119))</f>
        <v>45082</v>
      </c>
      <c r="K7" s="648" t="s">
        <v>1423</v>
      </c>
      <c r="L7" s="814"/>
      <c r="M7" s="814"/>
      <c r="N7" s="814"/>
      <c r="O7" s="814"/>
      <c r="P7" s="69"/>
      <c r="Q7" s="69"/>
      <c r="R7" s="69"/>
      <c r="S7" s="814"/>
      <c r="T7" s="814"/>
      <c r="U7" s="814"/>
      <c r="V7" s="814"/>
      <c r="W7" s="814"/>
      <c r="X7" s="814"/>
      <c r="Y7" s="814"/>
      <c r="Z7" s="814"/>
      <c r="AA7" s="814"/>
      <c r="AB7" s="814"/>
      <c r="AC7" s="814"/>
      <c r="AD7" s="814"/>
      <c r="AE7" s="814"/>
      <c r="AF7" s="814"/>
      <c r="AG7" s="814"/>
      <c r="AH7" s="814"/>
      <c r="AI7" s="814"/>
      <c r="AJ7" s="814"/>
      <c r="AK7" s="814"/>
      <c r="AL7" s="814"/>
      <c r="AM7" s="814"/>
      <c r="AN7" s="814"/>
      <c r="AO7" s="814"/>
      <c r="AP7" s="814"/>
      <c r="AQ7" s="814"/>
      <c r="AR7" s="639"/>
      <c r="AS7" s="639"/>
      <c r="AT7" s="639"/>
      <c r="AU7" s="639"/>
      <c r="AV7" s="639"/>
      <c r="AW7" s="639"/>
      <c r="AX7" s="639"/>
      <c r="AY7" s="639"/>
      <c r="AZ7" s="639"/>
      <c r="BA7" s="639"/>
      <c r="BB7" s="639"/>
      <c r="BC7" s="1044" t="s">
        <v>49</v>
      </c>
      <c r="BD7" s="1045" t="s">
        <v>49</v>
      </c>
      <c r="BE7" s="2481" t="str">
        <f>Summary!V7</f>
        <v>Oct 23</v>
      </c>
      <c r="BF7" s="621">
        <f t="shared" si="0"/>
        <v>45153</v>
      </c>
      <c r="BG7" s="621">
        <f t="shared" si="1"/>
        <v>45111</v>
      </c>
      <c r="BH7" s="622">
        <v>45230</v>
      </c>
      <c r="BI7" s="640"/>
      <c r="BJ7" s="640"/>
    </row>
    <row r="8" spans="1:62">
      <c r="A8" s="814"/>
      <c r="B8" s="632"/>
      <c r="C8" s="633"/>
      <c r="D8" s="634"/>
      <c r="E8" s="635"/>
      <c r="F8" s="636"/>
      <c r="G8" s="826" t="str">
        <f t="shared" si="2"/>
        <v/>
      </c>
      <c r="H8" s="829" t="str">
        <f t="shared" si="3"/>
        <v/>
      </c>
      <c r="I8" s="829" t="str">
        <f t="shared" si="4"/>
        <v/>
      </c>
      <c r="J8" s="830" t="str">
        <f t="shared" si="5"/>
        <v/>
      </c>
      <c r="K8" s="648"/>
      <c r="L8" s="814"/>
      <c r="M8" s="814"/>
      <c r="N8" s="814"/>
      <c r="O8" s="814"/>
      <c r="P8" s="814"/>
      <c r="Q8" s="814"/>
      <c r="R8" s="814"/>
      <c r="S8" s="814"/>
      <c r="T8" s="814"/>
      <c r="U8" s="814"/>
      <c r="V8" s="814"/>
      <c r="W8" s="814"/>
      <c r="X8" s="814"/>
      <c r="Y8" s="814"/>
      <c r="Z8" s="814"/>
      <c r="AA8" s="814"/>
      <c r="AB8" s="814"/>
      <c r="AC8" s="814"/>
      <c r="AD8" s="814"/>
      <c r="AE8" s="814"/>
      <c r="AF8" s="814"/>
      <c r="AG8" s="814"/>
      <c r="AH8" s="814"/>
      <c r="AI8" s="814"/>
      <c r="AJ8" s="814"/>
      <c r="AK8" s="814"/>
      <c r="AL8" s="814"/>
      <c r="AM8" s="814"/>
      <c r="AN8" s="814"/>
      <c r="AO8" s="814"/>
      <c r="AP8" s="814"/>
      <c r="AQ8" s="814"/>
      <c r="AR8" s="639"/>
      <c r="AS8" s="639"/>
      <c r="AT8" s="639"/>
      <c r="AU8" s="639"/>
      <c r="AV8" s="639"/>
      <c r="AW8" s="639"/>
      <c r="AX8" s="639"/>
      <c r="AY8" s="639"/>
      <c r="AZ8" s="639"/>
      <c r="BA8" s="639"/>
      <c r="BB8" s="639"/>
      <c r="BC8" s="620" t="s">
        <v>373</v>
      </c>
      <c r="BD8" s="620" t="s">
        <v>374</v>
      </c>
      <c r="BE8" s="2481" t="str">
        <f>Summary!V8</f>
        <v>Nov 23</v>
      </c>
      <c r="BF8" s="621">
        <f t="shared" si="0"/>
        <v>45183</v>
      </c>
      <c r="BG8" s="621">
        <f t="shared" si="1"/>
        <v>45141</v>
      </c>
      <c r="BH8" s="622">
        <v>45260</v>
      </c>
      <c r="BI8" s="640"/>
      <c r="BJ8" s="640"/>
    </row>
    <row r="9" spans="1:62">
      <c r="A9" s="814"/>
      <c r="B9" s="632"/>
      <c r="C9" s="633"/>
      <c r="D9" s="634"/>
      <c r="E9" s="635"/>
      <c r="F9" s="636"/>
      <c r="G9" s="826" t="str">
        <f t="shared" si="2"/>
        <v/>
      </c>
      <c r="H9" s="829" t="str">
        <f t="shared" si="3"/>
        <v/>
      </c>
      <c r="I9" s="829" t="str">
        <f t="shared" si="4"/>
        <v/>
      </c>
      <c r="J9" s="830" t="str">
        <f t="shared" si="5"/>
        <v/>
      </c>
      <c r="K9" s="648"/>
      <c r="L9" s="814"/>
      <c r="M9" s="814"/>
      <c r="N9" s="814"/>
      <c r="O9" s="814"/>
      <c r="P9" s="814"/>
      <c r="Q9" s="814"/>
      <c r="R9" s="814"/>
      <c r="S9" s="814"/>
      <c r="T9" s="814"/>
      <c r="U9" s="814"/>
      <c r="V9" s="814"/>
      <c r="W9" s="814"/>
      <c r="X9" s="814"/>
      <c r="Y9" s="814"/>
      <c r="Z9" s="814"/>
      <c r="AA9" s="814"/>
      <c r="AB9" s="814"/>
      <c r="AC9" s="814"/>
      <c r="AD9" s="814"/>
      <c r="AE9" s="814"/>
      <c r="AF9" s="814"/>
      <c r="AG9" s="814"/>
      <c r="AH9" s="814"/>
      <c r="AI9" s="814"/>
      <c r="AJ9" s="814"/>
      <c r="AK9" s="814"/>
      <c r="AL9" s="814"/>
      <c r="AM9" s="814"/>
      <c r="AN9" s="814"/>
      <c r="AO9" s="814"/>
      <c r="AP9" s="814"/>
      <c r="AQ9" s="814"/>
      <c r="AR9" s="639"/>
      <c r="AS9" s="639"/>
      <c r="AT9" s="639"/>
      <c r="AU9" s="639"/>
      <c r="AV9" s="639"/>
      <c r="AW9" s="639"/>
      <c r="AX9" s="639"/>
      <c r="AY9" s="639"/>
      <c r="AZ9" s="639"/>
      <c r="BA9" s="639"/>
      <c r="BB9" s="639"/>
      <c r="BC9" s="620" t="s">
        <v>375</v>
      </c>
      <c r="BD9" s="620" t="s">
        <v>376</v>
      </c>
      <c r="BE9" s="2481" t="str">
        <f>Summary!V9</f>
        <v>Dec 23</v>
      </c>
      <c r="BF9" s="621">
        <f t="shared" si="0"/>
        <v>45214</v>
      </c>
      <c r="BG9" s="621">
        <f t="shared" si="1"/>
        <v>45172</v>
      </c>
      <c r="BH9" s="622">
        <v>45291</v>
      </c>
      <c r="BI9" s="640"/>
      <c r="BJ9" s="640"/>
    </row>
    <row r="10" spans="1:62">
      <c r="A10" s="814"/>
      <c r="B10" s="632"/>
      <c r="C10" s="633"/>
      <c r="D10" s="634"/>
      <c r="E10" s="635"/>
      <c r="F10" s="636"/>
      <c r="G10" s="826" t="str">
        <f t="shared" si="2"/>
        <v/>
      </c>
      <c r="H10" s="829" t="str">
        <f t="shared" si="3"/>
        <v/>
      </c>
      <c r="I10" s="829" t="str">
        <f t="shared" si="4"/>
        <v/>
      </c>
      <c r="J10" s="830" t="str">
        <f t="shared" si="5"/>
        <v/>
      </c>
      <c r="K10" s="648"/>
      <c r="L10" s="814"/>
      <c r="M10" s="814"/>
      <c r="N10" s="814"/>
      <c r="O10" s="814"/>
      <c r="P10" s="814"/>
      <c r="Q10" s="814"/>
      <c r="R10" s="814"/>
      <c r="S10" s="814"/>
      <c r="T10" s="814"/>
      <c r="U10" s="814"/>
      <c r="V10" s="814"/>
      <c r="W10" s="814"/>
      <c r="X10" s="814"/>
      <c r="Y10" s="814"/>
      <c r="Z10" s="814"/>
      <c r="AA10" s="814"/>
      <c r="AB10" s="814"/>
      <c r="AC10" s="814"/>
      <c r="AD10" s="814"/>
      <c r="AE10" s="814"/>
      <c r="AF10" s="814"/>
      <c r="AG10" s="814"/>
      <c r="AH10" s="814"/>
      <c r="AI10" s="814"/>
      <c r="AJ10" s="814"/>
      <c r="AK10" s="814"/>
      <c r="AL10" s="814"/>
      <c r="AM10" s="814"/>
      <c r="AN10" s="814"/>
      <c r="AO10" s="814"/>
      <c r="AP10" s="814"/>
      <c r="AQ10" s="814"/>
      <c r="AR10" s="639"/>
      <c r="AS10" s="639"/>
      <c r="AT10" s="639"/>
      <c r="AU10" s="639"/>
      <c r="AV10" s="639"/>
      <c r="AW10" s="639"/>
      <c r="AX10" s="639"/>
      <c r="AY10" s="639"/>
      <c r="AZ10" s="639"/>
      <c r="BA10" s="639"/>
      <c r="BB10" s="639"/>
      <c r="BC10" s="620" t="s">
        <v>381</v>
      </c>
      <c r="BD10" s="620" t="s">
        <v>377</v>
      </c>
      <c r="BE10" s="2481" t="str">
        <f>Summary!V10</f>
        <v>Jan 24</v>
      </c>
      <c r="BF10" s="621">
        <f t="shared" si="0"/>
        <v>45245</v>
      </c>
      <c r="BG10" s="621">
        <f t="shared" si="1"/>
        <v>45203</v>
      </c>
      <c r="BH10" s="622">
        <v>45322</v>
      </c>
      <c r="BI10" s="640"/>
      <c r="BJ10" s="640"/>
    </row>
    <row r="11" spans="1:62">
      <c r="A11" s="814"/>
      <c r="B11" s="632"/>
      <c r="C11" s="633"/>
      <c r="D11" s="634"/>
      <c r="E11" s="635"/>
      <c r="F11" s="636"/>
      <c r="G11" s="826" t="str">
        <f t="shared" si="2"/>
        <v/>
      </c>
      <c r="H11" s="829" t="str">
        <f t="shared" si="3"/>
        <v/>
      </c>
      <c r="I11" s="829" t="str">
        <f t="shared" si="4"/>
        <v/>
      </c>
      <c r="J11" s="830" t="str">
        <f t="shared" si="5"/>
        <v/>
      </c>
      <c r="K11" s="648"/>
      <c r="L11" s="814"/>
      <c r="M11" s="814"/>
      <c r="N11" s="814"/>
      <c r="O11" s="814"/>
      <c r="P11" s="814"/>
      <c r="Q11" s="814"/>
      <c r="R11" s="814"/>
      <c r="S11" s="814"/>
      <c r="T11" s="814"/>
      <c r="U11" s="814"/>
      <c r="V11" s="814"/>
      <c r="W11" s="814"/>
      <c r="X11" s="814"/>
      <c r="Y11" s="814"/>
      <c r="Z11" s="814"/>
      <c r="AA11" s="814"/>
      <c r="AB11" s="814"/>
      <c r="AC11" s="814"/>
      <c r="AD11" s="814"/>
      <c r="AE11" s="814"/>
      <c r="AF11" s="814"/>
      <c r="AG11" s="814"/>
      <c r="AH11" s="814"/>
      <c r="AI11" s="814"/>
      <c r="AJ11" s="814"/>
      <c r="AK11" s="814"/>
      <c r="AL11" s="814"/>
      <c r="AM11" s="814"/>
      <c r="AN11" s="814"/>
      <c r="AO11" s="814"/>
      <c r="AP11" s="814"/>
      <c r="AQ11" s="814"/>
      <c r="AR11" s="639"/>
      <c r="AS11" s="639"/>
      <c r="AT11" s="639"/>
      <c r="AU11" s="639"/>
      <c r="AV11" s="639"/>
      <c r="AW11" s="639"/>
      <c r="AX11" s="639"/>
      <c r="AY11" s="639"/>
      <c r="AZ11" s="639"/>
      <c r="BA11" s="639"/>
      <c r="BB11" s="639"/>
      <c r="BC11" s="1045" t="s">
        <v>435</v>
      </c>
      <c r="BD11" s="1045" t="s">
        <v>435</v>
      </c>
      <c r="BE11" s="2481" t="str">
        <f>Summary!V11</f>
        <v>Feb 24</v>
      </c>
      <c r="BF11" s="621">
        <f t="shared" si="0"/>
        <v>45274</v>
      </c>
      <c r="BG11" s="621">
        <f t="shared" si="1"/>
        <v>45232</v>
      </c>
      <c r="BH11" s="622">
        <v>45351</v>
      </c>
      <c r="BI11" s="640"/>
      <c r="BJ11" s="640"/>
    </row>
    <row r="12" spans="1:62">
      <c r="A12" s="814"/>
      <c r="B12" s="632"/>
      <c r="C12" s="633"/>
      <c r="D12" s="634"/>
      <c r="E12" s="635"/>
      <c r="F12" s="636"/>
      <c r="G12" s="826" t="str">
        <f t="shared" si="2"/>
        <v/>
      </c>
      <c r="H12" s="829" t="str">
        <f t="shared" si="3"/>
        <v/>
      </c>
      <c r="I12" s="829" t="str">
        <f t="shared" si="4"/>
        <v/>
      </c>
      <c r="J12" s="830" t="str">
        <f t="shared" si="5"/>
        <v/>
      </c>
      <c r="K12" s="648"/>
      <c r="L12" s="814"/>
      <c r="M12" s="814"/>
      <c r="N12" s="814"/>
      <c r="O12" s="814"/>
      <c r="P12" s="814"/>
      <c r="Q12" s="814"/>
      <c r="R12" s="814"/>
      <c r="S12" s="814"/>
      <c r="T12" s="814"/>
      <c r="U12" s="814"/>
      <c r="V12" s="814"/>
      <c r="W12" s="814"/>
      <c r="X12" s="814"/>
      <c r="Y12" s="814"/>
      <c r="Z12" s="814"/>
      <c r="AA12" s="814"/>
      <c r="AB12" s="814"/>
      <c r="AC12" s="814"/>
      <c r="AD12" s="814"/>
      <c r="AE12" s="814"/>
      <c r="AF12" s="814"/>
      <c r="AG12" s="814"/>
      <c r="AH12" s="814"/>
      <c r="AI12" s="814"/>
      <c r="AJ12" s="814"/>
      <c r="AK12" s="814"/>
      <c r="AL12" s="814"/>
      <c r="AM12" s="814"/>
      <c r="AN12" s="814"/>
      <c r="AO12" s="814"/>
      <c r="AP12" s="814"/>
      <c r="AQ12" s="814"/>
      <c r="AR12" s="639"/>
      <c r="AS12" s="639"/>
      <c r="AT12" s="639"/>
      <c r="AU12" s="639"/>
      <c r="AV12" s="639"/>
      <c r="AW12" s="639"/>
      <c r="AX12" s="639"/>
      <c r="AY12" s="639"/>
      <c r="AZ12" s="639"/>
      <c r="BA12" s="639"/>
      <c r="BB12" s="639"/>
      <c r="BC12" s="1044" t="s">
        <v>170</v>
      </c>
      <c r="BD12" s="1045" t="s">
        <v>170</v>
      </c>
      <c r="BE12" s="2481" t="str">
        <f>Summary!V12</f>
        <v>Mar 24</v>
      </c>
      <c r="BF12" s="621">
        <f t="shared" si="0"/>
        <v>45305</v>
      </c>
      <c r="BG12" s="621">
        <f t="shared" si="1"/>
        <v>45263</v>
      </c>
      <c r="BH12" s="622">
        <v>45382</v>
      </c>
      <c r="BI12" s="640"/>
      <c r="BJ12" s="640"/>
    </row>
    <row r="13" spans="1:62">
      <c r="A13" s="814"/>
      <c r="B13" s="632"/>
      <c r="C13" s="633"/>
      <c r="D13" s="634"/>
      <c r="E13" s="635"/>
      <c r="F13" s="636"/>
      <c r="G13" s="826" t="str">
        <f t="shared" si="2"/>
        <v/>
      </c>
      <c r="H13" s="829" t="str">
        <f t="shared" si="3"/>
        <v/>
      </c>
      <c r="I13" s="829" t="str">
        <f t="shared" si="4"/>
        <v/>
      </c>
      <c r="J13" s="830" t="str">
        <f t="shared" si="5"/>
        <v/>
      </c>
      <c r="K13" s="648"/>
      <c r="L13" s="814"/>
      <c r="M13" s="814"/>
      <c r="N13" s="814"/>
      <c r="O13" s="814"/>
      <c r="P13" s="814"/>
      <c r="Q13" s="814"/>
      <c r="R13" s="814"/>
      <c r="S13" s="814"/>
      <c r="T13" s="814"/>
      <c r="U13" s="814"/>
      <c r="V13" s="814"/>
      <c r="W13" s="814"/>
      <c r="X13" s="814"/>
      <c r="Y13" s="814"/>
      <c r="Z13" s="814"/>
      <c r="AA13" s="814"/>
      <c r="AB13" s="814"/>
      <c r="AC13" s="814"/>
      <c r="AD13" s="814"/>
      <c r="AE13" s="814"/>
      <c r="AF13" s="814"/>
      <c r="AG13" s="814"/>
      <c r="AH13" s="814"/>
      <c r="AI13" s="814"/>
      <c r="AJ13" s="814"/>
      <c r="AK13" s="814"/>
      <c r="AL13" s="814"/>
      <c r="AM13" s="814"/>
      <c r="AN13" s="814"/>
      <c r="AO13" s="814"/>
      <c r="AP13" s="814"/>
      <c r="AQ13" s="814"/>
      <c r="AR13" s="639"/>
      <c r="AS13" s="639"/>
      <c r="AT13" s="639"/>
      <c r="AU13" s="639"/>
      <c r="AV13" s="639"/>
      <c r="AW13" s="639"/>
      <c r="AX13" s="639"/>
      <c r="AY13" s="639"/>
      <c r="AZ13" s="639"/>
      <c r="BA13" s="639"/>
      <c r="BB13" s="639"/>
      <c r="BC13" s="1044" t="s">
        <v>997</v>
      </c>
      <c r="BD13" s="1045" t="s">
        <v>998</v>
      </c>
      <c r="BE13" s="640" t="s">
        <v>386</v>
      </c>
      <c r="BF13" s="640"/>
      <c r="BG13" s="640"/>
      <c r="BH13" s="640"/>
      <c r="BI13" s="640"/>
      <c r="BJ13" s="640"/>
    </row>
    <row r="14" spans="1:62">
      <c r="A14" s="814"/>
      <c r="B14" s="632"/>
      <c r="C14" s="633"/>
      <c r="D14" s="634"/>
      <c r="E14" s="635"/>
      <c r="F14" s="636"/>
      <c r="G14" s="826" t="str">
        <f t="shared" si="2"/>
        <v/>
      </c>
      <c r="H14" s="829" t="str">
        <f t="shared" si="3"/>
        <v/>
      </c>
      <c r="I14" s="829" t="str">
        <f t="shared" si="4"/>
        <v/>
      </c>
      <c r="J14" s="830" t="str">
        <f t="shared" si="5"/>
        <v/>
      </c>
      <c r="K14" s="648"/>
      <c r="L14" s="814"/>
      <c r="M14" s="814"/>
      <c r="N14" s="814"/>
      <c r="O14" s="814"/>
      <c r="P14" s="814"/>
      <c r="Q14" s="814"/>
      <c r="R14" s="814"/>
      <c r="S14" s="814"/>
      <c r="T14" s="814"/>
      <c r="U14" s="814"/>
      <c r="V14" s="814"/>
      <c r="W14" s="814"/>
      <c r="X14" s="814"/>
      <c r="Y14" s="814"/>
      <c r="Z14" s="814"/>
      <c r="AA14" s="814"/>
      <c r="AB14" s="814"/>
      <c r="AC14" s="814"/>
      <c r="AD14" s="814"/>
      <c r="AE14" s="814"/>
      <c r="AF14" s="814"/>
      <c r="AG14" s="814"/>
      <c r="AH14" s="814"/>
      <c r="AI14" s="814"/>
      <c r="AJ14" s="814"/>
      <c r="AK14" s="814"/>
      <c r="AL14" s="814"/>
      <c r="AM14" s="814"/>
      <c r="AN14" s="814"/>
      <c r="AO14" s="814"/>
      <c r="AP14" s="814"/>
      <c r="AQ14" s="814"/>
      <c r="AR14" s="639"/>
      <c r="AS14" s="639"/>
      <c r="AT14" s="639"/>
      <c r="AU14" s="639"/>
      <c r="AV14" s="639"/>
      <c r="AW14" s="639"/>
      <c r="AX14" s="639"/>
      <c r="AY14" s="639"/>
      <c r="AZ14" s="639"/>
      <c r="BA14" s="639"/>
      <c r="BB14" s="639"/>
      <c r="BC14" s="1044" t="s">
        <v>1263</v>
      </c>
      <c r="BD14" s="1045" t="s">
        <v>436</v>
      </c>
      <c r="BE14" s="640"/>
      <c r="BF14" s="640"/>
      <c r="BG14" s="640"/>
      <c r="BH14" s="640"/>
      <c r="BI14" s="640"/>
      <c r="BJ14" s="640"/>
    </row>
    <row r="15" spans="1:62">
      <c r="A15" s="814"/>
      <c r="B15" s="632"/>
      <c r="C15" s="633"/>
      <c r="D15" s="634"/>
      <c r="E15" s="635"/>
      <c r="F15" s="636"/>
      <c r="G15" s="826" t="str">
        <f t="shared" si="2"/>
        <v/>
      </c>
      <c r="H15" s="829" t="str">
        <f t="shared" si="3"/>
        <v/>
      </c>
      <c r="I15" s="829" t="str">
        <f t="shared" si="4"/>
        <v/>
      </c>
      <c r="J15" s="830" t="str">
        <f t="shared" si="5"/>
        <v/>
      </c>
      <c r="K15" s="648"/>
      <c r="L15" s="814"/>
      <c r="M15" s="814"/>
      <c r="N15" s="814"/>
      <c r="O15" s="814"/>
      <c r="P15" s="814"/>
      <c r="Q15" s="814"/>
      <c r="R15" s="814"/>
      <c r="S15" s="814"/>
      <c r="T15" s="814"/>
      <c r="U15" s="814"/>
      <c r="V15" s="814"/>
      <c r="W15" s="814"/>
      <c r="X15" s="814"/>
      <c r="Y15" s="814"/>
      <c r="Z15" s="814"/>
      <c r="AA15" s="814"/>
      <c r="AB15" s="814"/>
      <c r="AC15" s="814"/>
      <c r="AD15" s="814"/>
      <c r="AE15" s="814"/>
      <c r="AF15" s="814"/>
      <c r="AG15" s="814"/>
      <c r="AH15" s="814"/>
      <c r="AI15" s="814"/>
      <c r="AJ15" s="814"/>
      <c r="AK15" s="814"/>
      <c r="AL15" s="814"/>
      <c r="AM15" s="814"/>
      <c r="AN15" s="814"/>
      <c r="AO15" s="814"/>
      <c r="AP15" s="814"/>
      <c r="AQ15" s="814"/>
      <c r="AR15" s="639"/>
      <c r="AS15" s="639"/>
      <c r="AT15" s="639"/>
      <c r="AU15" s="639"/>
      <c r="AV15" s="639"/>
      <c r="AW15" s="639"/>
      <c r="AX15" s="639"/>
      <c r="AY15" s="639"/>
      <c r="AZ15" s="639"/>
      <c r="BA15" s="639"/>
      <c r="BB15" s="639"/>
      <c r="BC15" s="1044" t="s">
        <v>537</v>
      </c>
      <c r="BD15" s="1045" t="s">
        <v>537</v>
      </c>
      <c r="BE15" s="640"/>
      <c r="BF15" s="640"/>
      <c r="BG15" s="640"/>
      <c r="BH15" s="640"/>
      <c r="BI15" s="640"/>
      <c r="BJ15" s="640"/>
    </row>
    <row r="16" spans="1:62">
      <c r="A16" s="814"/>
      <c r="B16" s="632"/>
      <c r="C16" s="633"/>
      <c r="D16" s="634"/>
      <c r="E16" s="635"/>
      <c r="F16" s="636"/>
      <c r="G16" s="826" t="str">
        <f t="shared" si="2"/>
        <v/>
      </c>
      <c r="H16" s="829" t="str">
        <f t="shared" si="3"/>
        <v/>
      </c>
      <c r="I16" s="829" t="str">
        <f t="shared" si="4"/>
        <v/>
      </c>
      <c r="J16" s="830" t="str">
        <f t="shared" si="5"/>
        <v/>
      </c>
      <c r="K16" s="648"/>
      <c r="L16" s="814"/>
      <c r="M16" s="814"/>
      <c r="N16" s="814"/>
      <c r="O16" s="814"/>
      <c r="P16" s="814"/>
      <c r="Q16" s="814"/>
      <c r="R16" s="814"/>
      <c r="S16" s="814"/>
      <c r="T16" s="814"/>
      <c r="U16" s="814"/>
      <c r="V16" s="814"/>
      <c r="W16" s="814"/>
      <c r="X16" s="814"/>
      <c r="Y16" s="814"/>
      <c r="Z16" s="814"/>
      <c r="AA16" s="814"/>
      <c r="AB16" s="814"/>
      <c r="AC16" s="814"/>
      <c r="AD16" s="814"/>
      <c r="AE16" s="814"/>
      <c r="AF16" s="814"/>
      <c r="AG16" s="814"/>
      <c r="AH16" s="814"/>
      <c r="AI16" s="814"/>
      <c r="AJ16" s="814"/>
      <c r="AK16" s="814"/>
      <c r="AL16" s="814"/>
      <c r="AM16" s="814"/>
      <c r="AN16" s="814"/>
      <c r="AO16" s="814"/>
      <c r="AP16" s="814"/>
      <c r="AQ16" s="814"/>
      <c r="AR16" s="639"/>
      <c r="AS16" s="639"/>
      <c r="AT16" s="639"/>
      <c r="AU16" s="639"/>
      <c r="AV16" s="639"/>
      <c r="AW16" s="639"/>
      <c r="AX16" s="639"/>
      <c r="AY16" s="639"/>
      <c r="AZ16" s="639"/>
      <c r="BA16" s="639"/>
      <c r="BB16" s="639"/>
      <c r="BC16" s="1045" t="s">
        <v>539</v>
      </c>
      <c r="BD16" s="1044" t="s">
        <v>538</v>
      </c>
      <c r="BE16" s="640"/>
      <c r="BF16" s="640"/>
      <c r="BG16" s="640"/>
      <c r="BH16" s="640"/>
      <c r="BI16" s="640"/>
      <c r="BJ16" s="640"/>
    </row>
    <row r="17" spans="1:62">
      <c r="A17" s="814"/>
      <c r="B17" s="632"/>
      <c r="C17" s="633"/>
      <c r="D17" s="634"/>
      <c r="E17" s="635"/>
      <c r="F17" s="636"/>
      <c r="G17" s="826" t="str">
        <f t="shared" si="2"/>
        <v/>
      </c>
      <c r="H17" s="829" t="str">
        <f t="shared" si="3"/>
        <v/>
      </c>
      <c r="I17" s="829" t="str">
        <f t="shared" si="4"/>
        <v/>
      </c>
      <c r="J17" s="830" t="str">
        <f t="shared" si="5"/>
        <v/>
      </c>
      <c r="K17" s="648"/>
      <c r="L17" s="814"/>
      <c r="M17" s="814"/>
      <c r="N17" s="814"/>
      <c r="O17" s="814"/>
      <c r="P17" s="814"/>
      <c r="Q17" s="814"/>
      <c r="R17" s="814"/>
      <c r="S17" s="814"/>
      <c r="T17" s="814"/>
      <c r="U17" s="814"/>
      <c r="V17" s="814"/>
      <c r="W17" s="814"/>
      <c r="X17" s="814"/>
      <c r="Y17" s="814"/>
      <c r="Z17" s="814"/>
      <c r="AA17" s="814"/>
      <c r="AB17" s="814"/>
      <c r="AC17" s="814"/>
      <c r="AD17" s="814"/>
      <c r="AE17" s="814"/>
      <c r="AF17" s="814"/>
      <c r="AG17" s="814"/>
      <c r="AH17" s="814"/>
      <c r="AI17" s="814"/>
      <c r="AJ17" s="814"/>
      <c r="AK17" s="814"/>
      <c r="AL17" s="814"/>
      <c r="AM17" s="814"/>
      <c r="AN17" s="814"/>
      <c r="AO17" s="814"/>
      <c r="AP17" s="814"/>
      <c r="AQ17" s="814"/>
      <c r="AR17" s="639"/>
      <c r="AS17" s="639"/>
      <c r="AT17" s="639"/>
      <c r="AU17" s="639"/>
      <c r="AV17" s="639"/>
      <c r="AW17" s="639"/>
      <c r="AX17" s="639"/>
      <c r="AY17" s="639"/>
      <c r="AZ17" s="639"/>
      <c r="BA17" s="639"/>
      <c r="BB17" s="639"/>
      <c r="BC17" s="1044" t="s">
        <v>742</v>
      </c>
      <c r="BD17" s="1045" t="s">
        <v>778</v>
      </c>
      <c r="BE17" s="640"/>
      <c r="BF17" s="640"/>
      <c r="BG17" s="640"/>
      <c r="BH17" s="640"/>
      <c r="BI17" s="640"/>
      <c r="BJ17" s="640"/>
    </row>
    <row r="18" spans="1:62">
      <c r="A18" s="814"/>
      <c r="B18" s="632"/>
      <c r="C18" s="633"/>
      <c r="D18" s="634"/>
      <c r="E18" s="635"/>
      <c r="F18" s="636"/>
      <c r="G18" s="826" t="str">
        <f t="shared" si="2"/>
        <v/>
      </c>
      <c r="H18" s="829" t="str">
        <f t="shared" si="3"/>
        <v/>
      </c>
      <c r="I18" s="829" t="str">
        <f t="shared" si="4"/>
        <v/>
      </c>
      <c r="J18" s="830" t="str">
        <f t="shared" si="5"/>
        <v/>
      </c>
      <c r="K18" s="648"/>
      <c r="L18" s="814"/>
      <c r="M18" s="814"/>
      <c r="N18" s="814"/>
      <c r="O18" s="814"/>
      <c r="P18" s="814"/>
      <c r="Q18" s="814"/>
      <c r="R18" s="814"/>
      <c r="S18" s="814"/>
      <c r="T18" s="814"/>
      <c r="U18" s="814"/>
      <c r="V18" s="814"/>
      <c r="W18" s="814"/>
      <c r="X18" s="814"/>
      <c r="Y18" s="814"/>
      <c r="Z18" s="814"/>
      <c r="AA18" s="814"/>
      <c r="AB18" s="814"/>
      <c r="AC18" s="814"/>
      <c r="AD18" s="814"/>
      <c r="AE18" s="814"/>
      <c r="AF18" s="814"/>
      <c r="AG18" s="814"/>
      <c r="AH18" s="814"/>
      <c r="AI18" s="814"/>
      <c r="AJ18" s="814"/>
      <c r="AK18" s="814"/>
      <c r="AL18" s="814"/>
      <c r="AM18" s="814"/>
      <c r="AN18" s="814"/>
      <c r="AO18" s="814"/>
      <c r="AP18" s="814"/>
      <c r="AQ18" s="814"/>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4"/>
      <c r="B19" s="632"/>
      <c r="C19" s="633"/>
      <c r="D19" s="634"/>
      <c r="E19" s="635"/>
      <c r="F19" s="636"/>
      <c r="G19" s="826" t="str">
        <f t="shared" si="2"/>
        <v/>
      </c>
      <c r="H19" s="829" t="str">
        <f t="shared" si="3"/>
        <v/>
      </c>
      <c r="I19" s="829" t="str">
        <f t="shared" si="4"/>
        <v/>
      </c>
      <c r="J19" s="830" t="str">
        <f t="shared" si="5"/>
        <v/>
      </c>
      <c r="K19" s="648"/>
      <c r="L19" s="814"/>
      <c r="M19" s="814"/>
      <c r="N19" s="814"/>
      <c r="O19" s="814"/>
      <c r="P19" s="814"/>
      <c r="Q19" s="814"/>
      <c r="R19" s="814"/>
      <c r="S19" s="814"/>
      <c r="T19" s="814"/>
      <c r="U19" s="814"/>
      <c r="V19" s="814"/>
      <c r="W19" s="814"/>
      <c r="X19" s="814"/>
      <c r="Y19" s="814"/>
      <c r="Z19" s="814"/>
      <c r="AA19" s="814"/>
      <c r="AB19" s="814"/>
      <c r="AC19" s="814"/>
      <c r="AD19" s="814"/>
      <c r="AE19" s="814"/>
      <c r="AF19" s="814"/>
      <c r="AG19" s="814"/>
      <c r="AH19" s="814"/>
      <c r="AI19" s="814"/>
      <c r="AJ19" s="814"/>
      <c r="AK19" s="814"/>
      <c r="AL19" s="814"/>
      <c r="AM19" s="814"/>
      <c r="AN19" s="814"/>
      <c r="AO19" s="814"/>
      <c r="AP19" s="814"/>
      <c r="AQ19" s="814"/>
      <c r="AR19" s="639"/>
      <c r="AS19" s="639"/>
      <c r="AT19" s="639"/>
      <c r="AU19" s="639"/>
      <c r="AV19" s="639"/>
      <c r="AW19" s="639"/>
      <c r="AX19" s="639"/>
      <c r="AY19" s="639"/>
      <c r="AZ19" s="639"/>
      <c r="BA19" s="639"/>
      <c r="BB19" s="639"/>
      <c r="BC19" s="619"/>
      <c r="BD19" s="640"/>
      <c r="BE19" s="640"/>
      <c r="BF19" s="640"/>
      <c r="BG19" s="640"/>
      <c r="BH19" s="640"/>
      <c r="BI19" s="640"/>
      <c r="BJ19" s="640"/>
    </row>
    <row r="20" spans="1:62">
      <c r="A20" s="814"/>
      <c r="B20" s="632"/>
      <c r="C20" s="633"/>
      <c r="D20" s="634"/>
      <c r="E20" s="635"/>
      <c r="F20" s="636"/>
      <c r="G20" s="826" t="str">
        <f t="shared" si="2"/>
        <v/>
      </c>
      <c r="H20" s="829" t="str">
        <f t="shared" si="3"/>
        <v/>
      </c>
      <c r="I20" s="829" t="str">
        <f t="shared" si="4"/>
        <v/>
      </c>
      <c r="J20" s="830" t="str">
        <f t="shared" si="5"/>
        <v/>
      </c>
      <c r="K20" s="648"/>
      <c r="L20" s="814"/>
      <c r="M20" s="814"/>
      <c r="N20" s="814"/>
      <c r="O20" s="814"/>
      <c r="P20" s="814"/>
      <c r="Q20" s="814"/>
      <c r="R20" s="814"/>
      <c r="S20" s="814"/>
      <c r="T20" s="814"/>
      <c r="U20" s="814"/>
      <c r="V20" s="814"/>
      <c r="W20" s="814"/>
      <c r="X20" s="814"/>
      <c r="Y20" s="814"/>
      <c r="Z20" s="814"/>
      <c r="AA20" s="814"/>
      <c r="AB20" s="814"/>
      <c r="AC20" s="814"/>
      <c r="AD20" s="814"/>
      <c r="AE20" s="814"/>
      <c r="AF20" s="814"/>
      <c r="AG20" s="814"/>
      <c r="AH20" s="814"/>
      <c r="AI20" s="814"/>
      <c r="AJ20" s="814"/>
      <c r="AK20" s="814"/>
      <c r="AL20" s="814"/>
      <c r="AM20" s="814"/>
      <c r="AN20" s="814"/>
      <c r="AO20" s="814"/>
      <c r="AP20" s="814"/>
      <c r="AQ20" s="814"/>
      <c r="AR20" s="639"/>
      <c r="AS20" s="639"/>
      <c r="AT20" s="639"/>
      <c r="AU20" s="639"/>
      <c r="AV20" s="639"/>
      <c r="AW20" s="639"/>
      <c r="AX20" s="639"/>
      <c r="AY20" s="639"/>
      <c r="AZ20" s="639"/>
      <c r="BA20" s="639"/>
      <c r="BB20" s="639"/>
      <c r="BC20" s="619"/>
      <c r="BD20" s="640"/>
      <c r="BE20" s="640"/>
      <c r="BF20" s="640"/>
      <c r="BG20" s="640"/>
      <c r="BH20" s="640"/>
      <c r="BI20" s="640"/>
      <c r="BJ20" s="640"/>
    </row>
    <row r="21" spans="1:62">
      <c r="A21" s="814"/>
      <c r="B21" s="632"/>
      <c r="C21" s="633"/>
      <c r="D21" s="634"/>
      <c r="E21" s="635"/>
      <c r="F21" s="636"/>
      <c r="G21" s="826" t="str">
        <f t="shared" si="2"/>
        <v/>
      </c>
      <c r="H21" s="829" t="str">
        <f t="shared" si="3"/>
        <v/>
      </c>
      <c r="I21" s="829" t="str">
        <f t="shared" si="4"/>
        <v/>
      </c>
      <c r="J21" s="830" t="str">
        <f t="shared" si="5"/>
        <v/>
      </c>
      <c r="K21" s="648"/>
      <c r="L21" s="814"/>
      <c r="M21" s="814"/>
      <c r="N21" s="814"/>
      <c r="O21" s="814"/>
      <c r="P21" s="814"/>
      <c r="Q21" s="814"/>
      <c r="R21" s="814"/>
      <c r="S21" s="814"/>
      <c r="T21" s="814"/>
      <c r="U21" s="814"/>
      <c r="V21" s="814"/>
      <c r="W21" s="814"/>
      <c r="X21" s="814"/>
      <c r="Y21" s="814"/>
      <c r="Z21" s="814"/>
      <c r="AA21" s="814"/>
      <c r="AB21" s="814"/>
      <c r="AC21" s="814"/>
      <c r="AD21" s="814"/>
      <c r="AE21" s="814"/>
      <c r="AF21" s="814"/>
      <c r="AG21" s="814"/>
      <c r="AH21" s="814"/>
      <c r="AI21" s="814"/>
      <c r="AJ21" s="814"/>
      <c r="AK21" s="814"/>
      <c r="AL21" s="814"/>
      <c r="AM21" s="814"/>
      <c r="AN21" s="814"/>
      <c r="AO21" s="814"/>
      <c r="AP21" s="814"/>
      <c r="AQ21" s="814"/>
      <c r="AR21" s="639"/>
      <c r="AS21" s="639"/>
      <c r="AT21" s="639"/>
      <c r="AU21" s="639"/>
      <c r="AV21" s="639"/>
      <c r="AW21" s="639"/>
      <c r="AX21" s="639"/>
      <c r="AY21" s="639"/>
      <c r="AZ21" s="639"/>
      <c r="BA21" s="639"/>
      <c r="BB21" s="639"/>
      <c r="BC21" s="619"/>
      <c r="BD21" s="640"/>
      <c r="BE21" s="640"/>
      <c r="BF21" s="640"/>
      <c r="BG21" s="640"/>
      <c r="BH21" s="640"/>
      <c r="BI21" s="640"/>
      <c r="BJ21" s="640"/>
    </row>
    <row r="22" spans="1:62">
      <c r="A22" s="814"/>
      <c r="B22" s="632"/>
      <c r="C22" s="633"/>
      <c r="D22" s="634"/>
      <c r="E22" s="635"/>
      <c r="F22" s="636"/>
      <c r="G22" s="826" t="str">
        <f t="shared" si="2"/>
        <v/>
      </c>
      <c r="H22" s="829" t="str">
        <f t="shared" si="3"/>
        <v/>
      </c>
      <c r="I22" s="829" t="str">
        <f t="shared" si="4"/>
        <v/>
      </c>
      <c r="J22" s="830" t="str">
        <f t="shared" si="5"/>
        <v/>
      </c>
      <c r="K22" s="648"/>
      <c r="L22" s="814"/>
      <c r="M22" s="814"/>
      <c r="N22" s="814"/>
      <c r="O22" s="814"/>
      <c r="P22" s="814"/>
      <c r="Q22" s="814"/>
      <c r="R22" s="814"/>
      <c r="S22" s="814"/>
      <c r="T22" s="814"/>
      <c r="U22" s="814"/>
      <c r="V22" s="814"/>
      <c r="W22" s="814"/>
      <c r="X22" s="814"/>
      <c r="Y22" s="814"/>
      <c r="Z22" s="814"/>
      <c r="AA22" s="814"/>
      <c r="AB22" s="814"/>
      <c r="AC22" s="814"/>
      <c r="AD22" s="814"/>
      <c r="AE22" s="814"/>
      <c r="AF22" s="814"/>
      <c r="AG22" s="814"/>
      <c r="AH22" s="814"/>
      <c r="AI22" s="814"/>
      <c r="AJ22" s="814"/>
      <c r="AK22" s="814"/>
      <c r="AL22" s="814"/>
      <c r="AM22" s="814"/>
      <c r="AN22" s="814"/>
      <c r="AO22" s="814"/>
      <c r="AP22" s="814"/>
      <c r="AQ22" s="814"/>
      <c r="AR22" s="639"/>
      <c r="AS22" s="639"/>
      <c r="AT22" s="639"/>
      <c r="AU22" s="639"/>
      <c r="AV22" s="639"/>
      <c r="AW22" s="639"/>
      <c r="AX22" s="639"/>
      <c r="AY22" s="639"/>
      <c r="AZ22" s="639"/>
      <c r="BA22" s="639"/>
      <c r="BB22" s="639"/>
      <c r="BC22" s="619"/>
      <c r="BD22" s="640"/>
      <c r="BE22" s="640"/>
      <c r="BF22" s="640"/>
      <c r="BG22" s="640"/>
      <c r="BH22" s="640"/>
      <c r="BI22" s="640"/>
      <c r="BJ22" s="640"/>
    </row>
    <row r="23" spans="1:62">
      <c r="A23" s="814"/>
      <c r="B23" s="632"/>
      <c r="C23" s="633"/>
      <c r="D23" s="634"/>
      <c r="E23" s="635"/>
      <c r="F23" s="636"/>
      <c r="G23" s="826" t="str">
        <f t="shared" si="2"/>
        <v/>
      </c>
      <c r="H23" s="829" t="str">
        <f t="shared" si="3"/>
        <v/>
      </c>
      <c r="I23" s="829" t="str">
        <f t="shared" si="4"/>
        <v/>
      </c>
      <c r="J23" s="830" t="str">
        <f t="shared" si="5"/>
        <v/>
      </c>
      <c r="K23" s="648"/>
      <c r="L23" s="814"/>
      <c r="M23" s="814"/>
      <c r="N23" s="814"/>
      <c r="O23" s="814"/>
      <c r="P23" s="814"/>
      <c r="Q23" s="814"/>
      <c r="R23" s="814"/>
      <c r="S23" s="814"/>
      <c r="T23" s="814"/>
      <c r="U23" s="814"/>
      <c r="V23" s="814"/>
      <c r="W23" s="814"/>
      <c r="X23" s="814"/>
      <c r="Y23" s="814"/>
      <c r="Z23" s="814"/>
      <c r="AA23" s="814"/>
      <c r="AB23" s="814"/>
      <c r="AC23" s="814"/>
      <c r="AD23" s="814"/>
      <c r="AE23" s="814"/>
      <c r="AF23" s="814"/>
      <c r="AG23" s="814"/>
      <c r="AH23" s="814"/>
      <c r="AI23" s="814"/>
      <c r="AJ23" s="814"/>
      <c r="AK23" s="814"/>
      <c r="AL23" s="814"/>
      <c r="AM23" s="814"/>
      <c r="AN23" s="814"/>
      <c r="AO23" s="814"/>
      <c r="AP23" s="814"/>
      <c r="AQ23" s="814"/>
      <c r="AR23" s="639"/>
      <c r="AS23" s="639"/>
      <c r="AT23" s="639"/>
      <c r="AU23" s="639"/>
      <c r="AV23" s="639"/>
      <c r="AW23" s="639"/>
      <c r="AX23" s="639"/>
      <c r="AY23" s="639"/>
      <c r="AZ23" s="639"/>
      <c r="BA23" s="639"/>
      <c r="BB23" s="639"/>
      <c r="BC23" s="619"/>
      <c r="BD23" s="640"/>
      <c r="BE23" s="640"/>
      <c r="BF23" s="640"/>
      <c r="BG23" s="640"/>
      <c r="BH23" s="640"/>
      <c r="BI23" s="640"/>
      <c r="BJ23" s="640"/>
    </row>
    <row r="24" spans="1:62">
      <c r="A24" s="814"/>
      <c r="B24" s="632"/>
      <c r="C24" s="633"/>
      <c r="D24" s="634"/>
      <c r="E24" s="635"/>
      <c r="F24" s="636"/>
      <c r="G24" s="826" t="str">
        <f t="shared" si="2"/>
        <v/>
      </c>
      <c r="H24" s="829" t="str">
        <f t="shared" si="3"/>
        <v/>
      </c>
      <c r="I24" s="829" t="str">
        <f t="shared" si="4"/>
        <v/>
      </c>
      <c r="J24" s="830" t="str">
        <f t="shared" si="5"/>
        <v/>
      </c>
      <c r="K24" s="648"/>
      <c r="L24" s="814"/>
      <c r="M24" s="814"/>
      <c r="N24" s="814"/>
      <c r="O24" s="814"/>
      <c r="P24" s="814"/>
      <c r="Q24" s="814"/>
      <c r="R24" s="814"/>
      <c r="S24" s="814"/>
      <c r="T24" s="814"/>
      <c r="U24" s="814"/>
      <c r="V24" s="814"/>
      <c r="W24" s="814"/>
      <c r="X24" s="814"/>
      <c r="Y24" s="814"/>
      <c r="Z24" s="814"/>
      <c r="AA24" s="814"/>
      <c r="AB24" s="814"/>
      <c r="AC24" s="814"/>
      <c r="AD24" s="814"/>
      <c r="AE24" s="814"/>
      <c r="AF24" s="814"/>
      <c r="AG24" s="814"/>
      <c r="AH24" s="814"/>
      <c r="AI24" s="814"/>
      <c r="AJ24" s="814"/>
      <c r="AK24" s="814"/>
      <c r="AL24" s="814"/>
      <c r="AM24" s="814"/>
      <c r="AN24" s="814"/>
      <c r="AO24" s="814"/>
      <c r="AP24" s="814"/>
      <c r="AQ24" s="814"/>
      <c r="AR24" s="639"/>
      <c r="AS24" s="639"/>
      <c r="AT24" s="639"/>
      <c r="AU24" s="639"/>
      <c r="AV24" s="639"/>
      <c r="AW24" s="639"/>
      <c r="AX24" s="639"/>
      <c r="AY24" s="639"/>
      <c r="AZ24" s="639"/>
      <c r="BA24" s="639"/>
      <c r="BB24" s="639"/>
      <c r="BC24" s="619"/>
      <c r="BD24" s="640"/>
      <c r="BE24" s="640"/>
      <c r="BF24" s="640"/>
      <c r="BG24" s="640"/>
      <c r="BH24" s="640"/>
      <c r="BI24" s="640"/>
      <c r="BJ24" s="640"/>
    </row>
    <row r="25" spans="1:62">
      <c r="A25" s="814"/>
      <c r="B25" s="632"/>
      <c r="C25" s="633"/>
      <c r="D25" s="634"/>
      <c r="E25" s="635"/>
      <c r="F25" s="636"/>
      <c r="G25" s="826" t="str">
        <f t="shared" si="2"/>
        <v/>
      </c>
      <c r="H25" s="829" t="str">
        <f t="shared" si="3"/>
        <v/>
      </c>
      <c r="I25" s="829" t="str">
        <f t="shared" si="4"/>
        <v/>
      </c>
      <c r="J25" s="830" t="str">
        <f t="shared" si="5"/>
        <v/>
      </c>
      <c r="K25" s="648"/>
      <c r="L25" s="814"/>
      <c r="M25" s="814"/>
      <c r="N25" s="814"/>
      <c r="O25" s="814"/>
      <c r="P25" s="814"/>
      <c r="Q25" s="814"/>
      <c r="R25" s="814"/>
      <c r="S25" s="814"/>
      <c r="T25" s="814"/>
      <c r="U25" s="814"/>
      <c r="V25" s="814"/>
      <c r="W25" s="814"/>
      <c r="X25" s="814"/>
      <c r="Y25" s="814"/>
      <c r="Z25" s="814"/>
      <c r="AA25" s="814"/>
      <c r="AB25" s="814"/>
      <c r="AC25" s="814"/>
      <c r="AD25" s="814"/>
      <c r="AE25" s="814"/>
      <c r="AF25" s="814"/>
      <c r="AG25" s="814"/>
      <c r="AH25" s="814"/>
      <c r="AI25" s="814"/>
      <c r="AJ25" s="814"/>
      <c r="AK25" s="814"/>
      <c r="AL25" s="814"/>
      <c r="AM25" s="814"/>
      <c r="AN25" s="814"/>
      <c r="AO25" s="814"/>
      <c r="AP25" s="814"/>
      <c r="AQ25" s="814"/>
      <c r="AR25" s="639"/>
      <c r="AS25" s="639"/>
      <c r="AT25" s="639"/>
      <c r="AU25" s="639"/>
      <c r="AV25" s="639"/>
      <c r="AW25" s="639"/>
      <c r="AX25" s="639"/>
      <c r="AY25" s="639"/>
      <c r="AZ25" s="639"/>
      <c r="BA25" s="639"/>
      <c r="BB25" s="639"/>
      <c r="BC25" s="619"/>
      <c r="BD25" s="640"/>
      <c r="BE25" s="640"/>
      <c r="BF25" s="640"/>
      <c r="BG25" s="640"/>
      <c r="BH25" s="640"/>
      <c r="BI25" s="640"/>
      <c r="BJ25" s="640"/>
    </row>
    <row r="26" spans="1:62">
      <c r="A26" s="814"/>
      <c r="B26" s="632"/>
      <c r="C26" s="633"/>
      <c r="D26" s="634"/>
      <c r="E26" s="635"/>
      <c r="F26" s="636"/>
      <c r="G26" s="826" t="str">
        <f t="shared" si="2"/>
        <v/>
      </c>
      <c r="H26" s="829" t="str">
        <f t="shared" si="3"/>
        <v/>
      </c>
      <c r="I26" s="829" t="str">
        <f t="shared" si="4"/>
        <v/>
      </c>
      <c r="J26" s="830" t="str">
        <f t="shared" si="5"/>
        <v/>
      </c>
      <c r="K26" s="648"/>
      <c r="L26" s="814"/>
      <c r="M26" s="814"/>
      <c r="N26" s="814"/>
      <c r="O26" s="814"/>
      <c r="P26" s="814"/>
      <c r="Q26" s="814"/>
      <c r="R26" s="814"/>
      <c r="S26" s="814"/>
      <c r="T26" s="814"/>
      <c r="U26" s="814"/>
      <c r="V26" s="814"/>
      <c r="W26" s="814"/>
      <c r="X26" s="814"/>
      <c r="Y26" s="814"/>
      <c r="Z26" s="814"/>
      <c r="AA26" s="814"/>
      <c r="AB26" s="814"/>
      <c r="AC26" s="814"/>
      <c r="AD26" s="814"/>
      <c r="AE26" s="814"/>
      <c r="AF26" s="814"/>
      <c r="AG26" s="814"/>
      <c r="AH26" s="814"/>
      <c r="AI26" s="814"/>
      <c r="AJ26" s="814"/>
      <c r="AK26" s="814"/>
      <c r="AL26" s="814"/>
      <c r="AM26" s="814"/>
      <c r="AN26" s="814"/>
      <c r="AO26" s="814"/>
      <c r="AP26" s="814"/>
      <c r="AQ26" s="814"/>
      <c r="AR26" s="639"/>
      <c r="AS26" s="639"/>
      <c r="AT26" s="639"/>
      <c r="AU26" s="639"/>
      <c r="AV26" s="639"/>
      <c r="AW26" s="639"/>
      <c r="AX26" s="639"/>
      <c r="AY26" s="639"/>
      <c r="AZ26" s="639"/>
      <c r="BA26" s="639"/>
      <c r="BB26" s="639"/>
      <c r="BC26" s="619"/>
      <c r="BD26" s="640"/>
      <c r="BE26" s="640"/>
      <c r="BF26" s="640"/>
      <c r="BG26" s="640"/>
      <c r="BH26" s="640"/>
      <c r="BI26" s="640"/>
      <c r="BJ26" s="640"/>
    </row>
    <row r="27" spans="1:62">
      <c r="A27" s="814"/>
      <c r="B27" s="632"/>
      <c r="C27" s="633"/>
      <c r="D27" s="634"/>
      <c r="E27" s="635"/>
      <c r="F27" s="636"/>
      <c r="G27" s="826" t="str">
        <f t="shared" si="2"/>
        <v/>
      </c>
      <c r="H27" s="829" t="str">
        <f t="shared" si="3"/>
        <v/>
      </c>
      <c r="I27" s="829" t="str">
        <f t="shared" si="4"/>
        <v/>
      </c>
      <c r="J27" s="830" t="str">
        <f t="shared" si="5"/>
        <v/>
      </c>
      <c r="K27" s="648"/>
      <c r="L27" s="814"/>
      <c r="M27" s="814"/>
      <c r="N27" s="814"/>
      <c r="O27" s="814"/>
      <c r="P27" s="814"/>
      <c r="Q27" s="814"/>
      <c r="R27" s="814"/>
      <c r="S27" s="814"/>
      <c r="T27" s="814"/>
      <c r="U27" s="814"/>
      <c r="V27" s="814"/>
      <c r="W27" s="814"/>
      <c r="X27" s="814"/>
      <c r="Y27" s="814"/>
      <c r="Z27" s="814"/>
      <c r="AA27" s="814"/>
      <c r="AB27" s="814"/>
      <c r="AC27" s="814"/>
      <c r="AD27" s="814"/>
      <c r="AE27" s="814"/>
      <c r="AF27" s="814"/>
      <c r="AG27" s="814"/>
      <c r="AH27" s="814"/>
      <c r="AI27" s="814"/>
      <c r="AJ27" s="814"/>
      <c r="AK27" s="814"/>
      <c r="AL27" s="814"/>
      <c r="AM27" s="814"/>
      <c r="AN27" s="814"/>
      <c r="AO27" s="814"/>
      <c r="AP27" s="814"/>
      <c r="AQ27" s="814"/>
      <c r="AR27" s="639"/>
      <c r="AS27" s="639"/>
      <c r="AT27" s="639"/>
      <c r="AU27" s="639"/>
      <c r="AV27" s="639"/>
      <c r="AW27" s="639"/>
      <c r="AX27" s="639"/>
      <c r="AY27" s="639"/>
      <c r="AZ27" s="639"/>
      <c r="BA27" s="639"/>
      <c r="BB27" s="639"/>
      <c r="BC27" s="619"/>
      <c r="BD27" s="640"/>
      <c r="BE27" s="640"/>
      <c r="BF27" s="640"/>
      <c r="BG27" s="640"/>
      <c r="BH27" s="640"/>
      <c r="BI27" s="640"/>
      <c r="BJ27" s="640"/>
    </row>
    <row r="28" spans="1:62">
      <c r="A28" s="814"/>
      <c r="B28" s="632"/>
      <c r="C28" s="633"/>
      <c r="D28" s="634"/>
      <c r="E28" s="635"/>
      <c r="F28" s="636"/>
      <c r="G28" s="826" t="str">
        <f t="shared" si="2"/>
        <v/>
      </c>
      <c r="H28" s="829" t="str">
        <f t="shared" si="3"/>
        <v/>
      </c>
      <c r="I28" s="829" t="str">
        <f t="shared" si="4"/>
        <v/>
      </c>
      <c r="J28" s="830" t="str">
        <f t="shared" si="5"/>
        <v/>
      </c>
      <c r="K28" s="648"/>
      <c r="L28" s="814"/>
      <c r="M28" s="814"/>
      <c r="N28" s="814"/>
      <c r="O28" s="814"/>
      <c r="P28" s="814"/>
      <c r="Q28" s="814"/>
      <c r="R28" s="814"/>
      <c r="S28" s="814"/>
      <c r="T28" s="814"/>
      <c r="U28" s="814"/>
      <c r="V28" s="814"/>
      <c r="W28" s="814"/>
      <c r="X28" s="814"/>
      <c r="Y28" s="814"/>
      <c r="Z28" s="814"/>
      <c r="AA28" s="814"/>
      <c r="AB28" s="814"/>
      <c r="AC28" s="814"/>
      <c r="AD28" s="814"/>
      <c r="AE28" s="814"/>
      <c r="AF28" s="814"/>
      <c r="AG28" s="814"/>
      <c r="AH28" s="814"/>
      <c r="AI28" s="814"/>
      <c r="AJ28" s="814"/>
      <c r="AK28" s="814"/>
      <c r="AL28" s="814"/>
      <c r="AM28" s="814"/>
      <c r="AN28" s="814"/>
      <c r="AO28" s="814"/>
      <c r="AP28" s="814"/>
      <c r="AQ28" s="814"/>
      <c r="AR28" s="639"/>
      <c r="AS28" s="639"/>
      <c r="AT28" s="639"/>
      <c r="AU28" s="639"/>
      <c r="AV28" s="639"/>
      <c r="AW28" s="639"/>
      <c r="AX28" s="639"/>
      <c r="AY28" s="639"/>
      <c r="AZ28" s="639"/>
      <c r="BA28" s="639"/>
      <c r="BB28" s="639"/>
      <c r="BC28" s="619"/>
      <c r="BD28" s="640"/>
      <c r="BE28" s="640"/>
      <c r="BF28" s="640"/>
      <c r="BG28" s="640"/>
      <c r="BH28" s="640"/>
      <c r="BI28" s="640"/>
      <c r="BJ28" s="640"/>
    </row>
    <row r="29" spans="1:62">
      <c r="A29" s="814"/>
      <c r="B29" s="632"/>
      <c r="C29" s="633"/>
      <c r="D29" s="634"/>
      <c r="E29" s="635"/>
      <c r="F29" s="636"/>
      <c r="G29" s="826" t="str">
        <f t="shared" si="2"/>
        <v/>
      </c>
      <c r="H29" s="829" t="str">
        <f t="shared" si="3"/>
        <v/>
      </c>
      <c r="I29" s="829" t="str">
        <f t="shared" si="4"/>
        <v/>
      </c>
      <c r="J29" s="830" t="str">
        <f t="shared" si="5"/>
        <v/>
      </c>
      <c r="K29" s="648"/>
      <c r="L29" s="814"/>
      <c r="M29" s="814"/>
      <c r="N29" s="814"/>
      <c r="O29" s="814"/>
      <c r="P29" s="814"/>
      <c r="Q29" s="814"/>
      <c r="R29" s="814"/>
      <c r="S29" s="814"/>
      <c r="T29" s="814"/>
      <c r="U29" s="814"/>
      <c r="V29" s="814"/>
      <c r="W29" s="814"/>
      <c r="X29" s="814"/>
      <c r="Y29" s="814"/>
      <c r="Z29" s="814"/>
      <c r="AA29" s="814"/>
      <c r="AB29" s="814"/>
      <c r="AC29" s="814"/>
      <c r="AD29" s="814"/>
      <c r="AE29" s="814"/>
      <c r="AF29" s="814"/>
      <c r="AG29" s="814"/>
      <c r="AH29" s="814"/>
      <c r="AI29" s="814"/>
      <c r="AJ29" s="814"/>
      <c r="AK29" s="814"/>
      <c r="AL29" s="814"/>
      <c r="AM29" s="814"/>
      <c r="AN29" s="814"/>
      <c r="AO29" s="814"/>
      <c r="AP29" s="814"/>
      <c r="AQ29" s="814"/>
      <c r="AR29" s="639"/>
      <c r="AS29" s="639"/>
      <c r="AT29" s="639"/>
      <c r="AU29" s="639"/>
      <c r="AV29" s="639"/>
      <c r="AW29" s="639"/>
      <c r="AX29" s="639"/>
      <c r="AY29" s="639"/>
      <c r="AZ29" s="639"/>
      <c r="BA29" s="639"/>
      <c r="BB29" s="639"/>
      <c r="BC29" s="619"/>
      <c r="BD29" s="640"/>
      <c r="BE29" s="640"/>
      <c r="BF29" s="640"/>
      <c r="BG29" s="640"/>
      <c r="BH29" s="640"/>
      <c r="BI29" s="640"/>
      <c r="BJ29" s="640"/>
    </row>
    <row r="30" spans="1:62">
      <c r="A30" s="814"/>
      <c r="B30" s="632"/>
      <c r="C30" s="633"/>
      <c r="D30" s="634"/>
      <c r="E30" s="635"/>
      <c r="F30" s="636"/>
      <c r="G30" s="826" t="str">
        <f t="shared" si="2"/>
        <v/>
      </c>
      <c r="H30" s="829" t="str">
        <f t="shared" si="3"/>
        <v/>
      </c>
      <c r="I30" s="829" t="str">
        <f t="shared" si="4"/>
        <v/>
      </c>
      <c r="J30" s="830" t="str">
        <f t="shared" si="5"/>
        <v/>
      </c>
      <c r="K30" s="648"/>
      <c r="L30" s="814"/>
      <c r="M30" s="814"/>
      <c r="N30" s="814"/>
      <c r="O30" s="814"/>
      <c r="P30" s="814"/>
      <c r="Q30" s="814"/>
      <c r="R30" s="814"/>
      <c r="S30" s="814"/>
      <c r="T30" s="814"/>
      <c r="U30" s="814"/>
      <c r="V30" s="814"/>
      <c r="W30" s="814"/>
      <c r="X30" s="814"/>
      <c r="Y30" s="814"/>
      <c r="Z30" s="814"/>
      <c r="AA30" s="814"/>
      <c r="AB30" s="814"/>
      <c r="AC30" s="814"/>
      <c r="AD30" s="814"/>
      <c r="AE30" s="814"/>
      <c r="AF30" s="814"/>
      <c r="AG30" s="814"/>
      <c r="AH30" s="814"/>
      <c r="AI30" s="814"/>
      <c r="AJ30" s="814"/>
      <c r="AK30" s="814"/>
      <c r="AL30" s="814"/>
      <c r="AM30" s="814"/>
      <c r="AN30" s="814"/>
      <c r="AO30" s="814"/>
      <c r="AP30" s="814"/>
      <c r="AQ30" s="814"/>
      <c r="AR30" s="639"/>
      <c r="AS30" s="639"/>
      <c r="AT30" s="639"/>
      <c r="AU30" s="639"/>
      <c r="AV30" s="639"/>
      <c r="AW30" s="639"/>
      <c r="AX30" s="639"/>
      <c r="AY30" s="639"/>
      <c r="AZ30" s="639"/>
      <c r="BA30" s="639"/>
      <c r="BB30" s="639"/>
      <c r="BC30" s="619"/>
      <c r="BD30" s="640"/>
      <c r="BE30" s="640"/>
      <c r="BF30" s="640"/>
      <c r="BG30" s="640"/>
      <c r="BH30" s="640"/>
      <c r="BI30" s="640"/>
      <c r="BJ30" s="640"/>
    </row>
    <row r="31" spans="1:62">
      <c r="A31" s="814"/>
      <c r="B31" s="632"/>
      <c r="C31" s="633"/>
      <c r="D31" s="634"/>
      <c r="E31" s="635"/>
      <c r="F31" s="636"/>
      <c r="G31" s="831" t="str">
        <f t="shared" si="2"/>
        <v/>
      </c>
      <c r="H31" s="829" t="str">
        <f t="shared" si="3"/>
        <v/>
      </c>
      <c r="I31" s="829" t="str">
        <f t="shared" si="4"/>
        <v/>
      </c>
      <c r="J31" s="830" t="str">
        <f t="shared" si="5"/>
        <v/>
      </c>
      <c r="K31" s="648"/>
      <c r="L31" s="814"/>
      <c r="M31" s="814"/>
      <c r="N31" s="814"/>
      <c r="O31" s="814"/>
      <c r="P31" s="814"/>
      <c r="Q31" s="814"/>
      <c r="R31" s="814"/>
      <c r="S31" s="814"/>
      <c r="T31" s="814"/>
      <c r="U31" s="814"/>
      <c r="V31" s="814"/>
      <c r="W31" s="814"/>
      <c r="X31" s="814"/>
      <c r="Y31" s="814"/>
      <c r="Z31" s="814"/>
      <c r="AA31" s="814"/>
      <c r="AB31" s="814"/>
      <c r="AC31" s="814"/>
      <c r="AD31" s="814"/>
      <c r="AE31" s="814"/>
      <c r="AF31" s="814"/>
      <c r="AG31" s="814"/>
      <c r="AH31" s="814"/>
      <c r="AI31" s="814"/>
      <c r="AJ31" s="814"/>
      <c r="AK31" s="814"/>
      <c r="AL31" s="814"/>
      <c r="AM31" s="814"/>
      <c r="AN31" s="814"/>
      <c r="AO31" s="814"/>
      <c r="AP31" s="814"/>
      <c r="AQ31" s="814"/>
      <c r="AR31" s="639"/>
      <c r="AS31" s="639"/>
      <c r="AT31" s="639"/>
      <c r="AU31" s="639"/>
      <c r="AV31" s="639"/>
      <c r="AW31" s="639"/>
      <c r="AX31" s="639"/>
      <c r="AY31" s="639"/>
      <c r="AZ31" s="639"/>
      <c r="BA31" s="639"/>
      <c r="BB31" s="639"/>
      <c r="BC31" s="640"/>
      <c r="BD31" s="640"/>
      <c r="BE31" s="640"/>
      <c r="BF31" s="640"/>
      <c r="BG31" s="640"/>
      <c r="BH31" s="640"/>
      <c r="BI31" s="640"/>
      <c r="BJ31" s="640"/>
    </row>
    <row r="32" spans="1:62">
      <c r="A32" s="814"/>
      <c r="B32" s="632"/>
      <c r="C32" s="633"/>
      <c r="D32" s="634"/>
      <c r="E32" s="635"/>
      <c r="F32" s="636"/>
      <c r="G32" s="826" t="str">
        <f t="shared" si="2"/>
        <v/>
      </c>
      <c r="H32" s="829" t="str">
        <f t="shared" si="3"/>
        <v/>
      </c>
      <c r="I32" s="829" t="str">
        <f t="shared" si="4"/>
        <v/>
      </c>
      <c r="J32" s="830" t="str">
        <f t="shared" si="5"/>
        <v/>
      </c>
      <c r="K32" s="648"/>
      <c r="L32" s="814"/>
      <c r="M32" s="814"/>
      <c r="N32" s="814"/>
      <c r="O32" s="814"/>
      <c r="P32" s="814"/>
      <c r="Q32" s="814"/>
      <c r="R32" s="814"/>
      <c r="S32" s="814"/>
      <c r="T32" s="814"/>
      <c r="U32" s="814"/>
      <c r="V32" s="814"/>
      <c r="W32" s="814"/>
      <c r="X32" s="814"/>
      <c r="Y32" s="814"/>
      <c r="Z32" s="814"/>
      <c r="AA32" s="814"/>
      <c r="AB32" s="814"/>
      <c r="AC32" s="814"/>
      <c r="AD32" s="814"/>
      <c r="AE32" s="814"/>
      <c r="AF32" s="814"/>
      <c r="AG32" s="814"/>
      <c r="AH32" s="814"/>
      <c r="AI32" s="814"/>
      <c r="AJ32" s="814"/>
      <c r="AK32" s="814"/>
      <c r="AL32" s="814"/>
      <c r="AM32" s="814"/>
      <c r="AN32" s="814"/>
      <c r="AO32" s="814"/>
      <c r="AP32" s="814"/>
      <c r="AQ32" s="814"/>
      <c r="AR32" s="639"/>
      <c r="AS32" s="639"/>
      <c r="AT32" s="639"/>
      <c r="AU32" s="639"/>
      <c r="AV32" s="639"/>
      <c r="AW32" s="639"/>
      <c r="AX32" s="639"/>
      <c r="AY32" s="639"/>
      <c r="AZ32" s="639"/>
      <c r="BA32" s="639"/>
      <c r="BB32" s="639"/>
      <c r="BC32" s="640"/>
      <c r="BD32" s="640"/>
      <c r="BE32" s="640"/>
      <c r="BF32" s="640"/>
      <c r="BG32" s="640"/>
      <c r="BH32" s="640"/>
      <c r="BI32" s="640"/>
      <c r="BJ32" s="640"/>
    </row>
    <row r="33" spans="1:62">
      <c r="A33" s="814"/>
      <c r="B33" s="632"/>
      <c r="C33" s="633"/>
      <c r="D33" s="634"/>
      <c r="E33" s="635"/>
      <c r="F33" s="636"/>
      <c r="G33" s="826" t="str">
        <f t="shared" si="2"/>
        <v/>
      </c>
      <c r="H33" s="829" t="str">
        <f t="shared" si="3"/>
        <v/>
      </c>
      <c r="I33" s="829" t="str">
        <f t="shared" si="4"/>
        <v/>
      </c>
      <c r="J33" s="830" t="str">
        <f t="shared" si="5"/>
        <v/>
      </c>
      <c r="K33" s="648"/>
      <c r="L33" s="814"/>
      <c r="M33" s="814"/>
      <c r="N33" s="814"/>
      <c r="O33" s="814"/>
      <c r="P33" s="814"/>
      <c r="Q33" s="814"/>
      <c r="R33" s="814"/>
      <c r="S33" s="814"/>
      <c r="T33" s="814"/>
      <c r="U33" s="814"/>
      <c r="V33" s="814"/>
      <c r="W33" s="814"/>
      <c r="X33" s="814"/>
      <c r="Y33" s="814"/>
      <c r="Z33" s="814"/>
      <c r="AA33" s="814"/>
      <c r="AB33" s="814"/>
      <c r="AC33" s="814"/>
      <c r="AD33" s="814"/>
      <c r="AE33" s="814"/>
      <c r="AF33" s="814"/>
      <c r="AG33" s="814"/>
      <c r="AH33" s="814"/>
      <c r="AI33" s="814"/>
      <c r="AJ33" s="814"/>
      <c r="AK33" s="814"/>
      <c r="AL33" s="814"/>
      <c r="AM33" s="814"/>
      <c r="AN33" s="814"/>
      <c r="AO33" s="814"/>
      <c r="AP33" s="814"/>
      <c r="AQ33" s="814"/>
      <c r="AR33" s="639"/>
      <c r="AS33" s="639"/>
      <c r="AT33" s="639"/>
      <c r="AU33" s="639"/>
      <c r="AV33" s="639"/>
      <c r="AW33" s="639"/>
      <c r="AX33" s="639"/>
      <c r="AY33" s="639"/>
      <c r="AZ33" s="639"/>
      <c r="BA33" s="639"/>
      <c r="BB33" s="639"/>
      <c r="BC33" s="640"/>
      <c r="BD33" s="640"/>
      <c r="BE33" s="640"/>
      <c r="BF33" s="640"/>
      <c r="BG33" s="640"/>
      <c r="BH33" s="640"/>
      <c r="BI33" s="640"/>
      <c r="BJ33" s="640"/>
    </row>
    <row r="34" spans="1:62">
      <c r="A34" s="814"/>
      <c r="B34" s="632"/>
      <c r="C34" s="633"/>
      <c r="D34" s="634"/>
      <c r="E34" s="635"/>
      <c r="F34" s="636"/>
      <c r="G34" s="826" t="str">
        <f t="shared" si="2"/>
        <v/>
      </c>
      <c r="H34" s="829" t="str">
        <f t="shared" si="3"/>
        <v/>
      </c>
      <c r="I34" s="829" t="str">
        <f t="shared" si="4"/>
        <v/>
      </c>
      <c r="J34" s="830" t="str">
        <f t="shared" si="5"/>
        <v/>
      </c>
      <c r="K34" s="648"/>
      <c r="L34" s="814"/>
      <c r="M34" s="814"/>
      <c r="N34" s="814"/>
      <c r="O34" s="814"/>
      <c r="P34" s="814"/>
      <c r="Q34" s="814"/>
      <c r="R34" s="814"/>
      <c r="S34" s="814"/>
      <c r="T34" s="814"/>
      <c r="U34" s="814"/>
      <c r="V34" s="814"/>
      <c r="W34" s="814"/>
      <c r="X34" s="814"/>
      <c r="Y34" s="814"/>
      <c r="Z34" s="814"/>
      <c r="AA34" s="814"/>
      <c r="AB34" s="814"/>
      <c r="AC34" s="814"/>
      <c r="AD34" s="814"/>
      <c r="AE34" s="814"/>
      <c r="AF34" s="814"/>
      <c r="AG34" s="814"/>
      <c r="AH34" s="814"/>
      <c r="AI34" s="814"/>
      <c r="AJ34" s="814"/>
      <c r="AK34" s="814"/>
      <c r="AL34" s="814"/>
      <c r="AM34" s="814"/>
      <c r="AN34" s="814"/>
      <c r="AO34" s="814"/>
      <c r="AP34" s="814"/>
      <c r="AQ34" s="814"/>
      <c r="AR34" s="639"/>
      <c r="AS34" s="639"/>
      <c r="AT34" s="639"/>
      <c r="AU34" s="639"/>
      <c r="AV34" s="639"/>
      <c r="AW34" s="639"/>
      <c r="AX34" s="639"/>
      <c r="AY34" s="639"/>
      <c r="AZ34" s="639"/>
      <c r="BA34" s="639"/>
      <c r="BB34" s="639"/>
      <c r="BC34" s="640"/>
      <c r="BD34" s="640"/>
      <c r="BE34" s="640"/>
      <c r="BF34" s="640"/>
      <c r="BG34" s="640"/>
      <c r="BH34" s="640"/>
      <c r="BI34" s="640"/>
      <c r="BJ34" s="640"/>
    </row>
    <row r="35" spans="1:62">
      <c r="A35" s="814"/>
      <c r="B35" s="632"/>
      <c r="C35" s="633"/>
      <c r="D35" s="634"/>
      <c r="E35" s="635"/>
      <c r="F35" s="636"/>
      <c r="G35" s="826" t="str">
        <f t="shared" si="2"/>
        <v/>
      </c>
      <c r="H35" s="829" t="str">
        <f t="shared" si="3"/>
        <v/>
      </c>
      <c r="I35" s="829" t="str">
        <f t="shared" si="4"/>
        <v/>
      </c>
      <c r="J35" s="830" t="str">
        <f t="shared" si="5"/>
        <v/>
      </c>
      <c r="K35" s="648"/>
      <c r="L35" s="814"/>
      <c r="M35" s="814"/>
      <c r="N35" s="814"/>
      <c r="O35" s="814"/>
      <c r="P35" s="814"/>
      <c r="Q35" s="814"/>
      <c r="R35" s="814"/>
      <c r="S35" s="814"/>
      <c r="T35" s="814"/>
      <c r="U35" s="814"/>
      <c r="V35" s="814"/>
      <c r="W35" s="814"/>
      <c r="X35" s="814"/>
      <c r="Y35" s="814"/>
      <c r="Z35" s="814"/>
      <c r="AA35" s="814"/>
      <c r="AB35" s="814"/>
      <c r="AC35" s="814"/>
      <c r="AD35" s="814"/>
      <c r="AE35" s="814"/>
      <c r="AF35" s="814"/>
      <c r="AG35" s="814"/>
      <c r="AH35" s="814"/>
      <c r="AI35" s="814"/>
      <c r="AJ35" s="814"/>
      <c r="AK35" s="814"/>
      <c r="AL35" s="814"/>
      <c r="AM35" s="814"/>
      <c r="AN35" s="814"/>
      <c r="AO35" s="814"/>
      <c r="AP35" s="814"/>
      <c r="AQ35" s="814"/>
      <c r="AR35" s="639"/>
      <c r="AS35" s="639"/>
      <c r="AT35" s="639"/>
      <c r="AU35" s="639"/>
      <c r="AV35" s="639"/>
      <c r="AW35" s="639"/>
      <c r="AX35" s="639"/>
      <c r="AY35" s="639"/>
      <c r="AZ35" s="639"/>
      <c r="BA35" s="639"/>
      <c r="BB35" s="639"/>
      <c r="BC35" s="640"/>
      <c r="BD35" s="640"/>
      <c r="BE35" s="640"/>
      <c r="BF35" s="640"/>
      <c r="BG35" s="640"/>
      <c r="BH35" s="640"/>
      <c r="BI35" s="640"/>
      <c r="BJ35" s="640"/>
    </row>
    <row r="36" spans="1:62">
      <c r="A36" s="814"/>
      <c r="B36" s="632"/>
      <c r="C36" s="633"/>
      <c r="D36" s="634"/>
      <c r="E36" s="635"/>
      <c r="F36" s="636"/>
      <c r="G36" s="832" t="str">
        <f t="shared" si="2"/>
        <v/>
      </c>
      <c r="H36" s="829" t="str">
        <f t="shared" si="3"/>
        <v/>
      </c>
      <c r="I36" s="829" t="str">
        <f t="shared" si="4"/>
        <v/>
      </c>
      <c r="J36" s="830" t="str">
        <f t="shared" si="5"/>
        <v/>
      </c>
      <c r="K36" s="648"/>
      <c r="L36" s="814"/>
      <c r="M36" s="814"/>
      <c r="N36" s="814"/>
      <c r="O36" s="814"/>
      <c r="P36" s="814"/>
      <c r="Q36" s="814"/>
      <c r="R36" s="814"/>
      <c r="S36" s="814"/>
      <c r="T36" s="814"/>
      <c r="U36" s="814"/>
      <c r="V36" s="814"/>
      <c r="W36" s="814"/>
      <c r="X36" s="814"/>
      <c r="Y36" s="814"/>
      <c r="Z36" s="814"/>
      <c r="AA36" s="814"/>
      <c r="AB36" s="814"/>
      <c r="AC36" s="814"/>
      <c r="AD36" s="814"/>
      <c r="AE36" s="814"/>
      <c r="AF36" s="814"/>
      <c r="AG36" s="814"/>
      <c r="AH36" s="814"/>
      <c r="AI36" s="814"/>
      <c r="AJ36" s="814"/>
      <c r="AK36" s="814"/>
      <c r="AL36" s="814"/>
      <c r="AM36" s="814"/>
      <c r="AN36" s="814"/>
      <c r="AO36" s="814"/>
      <c r="AP36" s="814"/>
      <c r="AQ36" s="814"/>
      <c r="AR36" s="639"/>
      <c r="AS36" s="639"/>
      <c r="AT36" s="639"/>
      <c r="AU36" s="639"/>
      <c r="AV36" s="639"/>
      <c r="AW36" s="639"/>
      <c r="AX36" s="639"/>
      <c r="AY36" s="639"/>
      <c r="AZ36" s="639"/>
      <c r="BA36" s="639"/>
      <c r="BB36" s="639"/>
      <c r="BC36" s="640"/>
      <c r="BD36" s="640"/>
      <c r="BE36" s="640"/>
      <c r="BF36" s="640"/>
      <c r="BG36" s="640"/>
      <c r="BH36" s="640"/>
      <c r="BI36" s="640"/>
      <c r="BJ36" s="640"/>
    </row>
    <row r="37" spans="1:62">
      <c r="A37" s="814"/>
      <c r="B37" s="632"/>
      <c r="C37" s="633"/>
      <c r="D37" s="634"/>
      <c r="E37" s="635"/>
      <c r="F37" s="636"/>
      <c r="G37" s="832" t="str">
        <f t="shared" si="2"/>
        <v/>
      </c>
      <c r="H37" s="829" t="str">
        <f t="shared" si="3"/>
        <v/>
      </c>
      <c r="I37" s="829" t="str">
        <f t="shared" si="4"/>
        <v/>
      </c>
      <c r="J37" s="830" t="str">
        <f t="shared" si="5"/>
        <v/>
      </c>
      <c r="K37" s="648"/>
      <c r="L37" s="814"/>
      <c r="M37" s="814"/>
      <c r="N37" s="814"/>
      <c r="O37" s="814"/>
      <c r="P37" s="814"/>
      <c r="Q37" s="814"/>
      <c r="R37" s="814"/>
      <c r="S37" s="814"/>
      <c r="T37" s="814"/>
      <c r="U37" s="814"/>
      <c r="V37" s="814"/>
      <c r="W37" s="814"/>
      <c r="X37" s="814"/>
      <c r="Y37" s="814"/>
      <c r="Z37" s="814"/>
      <c r="AA37" s="814"/>
      <c r="AB37" s="814"/>
      <c r="AC37" s="814"/>
      <c r="AD37" s="814"/>
      <c r="AE37" s="814"/>
      <c r="AF37" s="814"/>
      <c r="AG37" s="814"/>
      <c r="AH37" s="814"/>
      <c r="AI37" s="814"/>
      <c r="AJ37" s="814"/>
      <c r="AK37" s="814"/>
      <c r="AL37" s="814"/>
      <c r="AM37" s="814"/>
      <c r="AN37" s="814"/>
      <c r="AO37" s="814"/>
      <c r="AP37" s="814"/>
      <c r="AQ37" s="814"/>
      <c r="AR37" s="639"/>
      <c r="AS37" s="639"/>
      <c r="AT37" s="639"/>
      <c r="AU37" s="639"/>
      <c r="AV37" s="639"/>
      <c r="AW37" s="639"/>
      <c r="AX37" s="639"/>
      <c r="AY37" s="639"/>
      <c r="AZ37" s="639"/>
      <c r="BA37" s="639"/>
      <c r="BB37" s="639"/>
      <c r="BC37" s="640"/>
      <c r="BD37" s="640"/>
      <c r="BE37" s="640"/>
      <c r="BF37" s="640"/>
      <c r="BG37" s="640"/>
      <c r="BH37" s="640"/>
      <c r="BI37" s="640"/>
      <c r="BJ37" s="640"/>
    </row>
    <row r="38" spans="1:62">
      <c r="A38" s="814"/>
      <c r="B38" s="632"/>
      <c r="C38" s="633"/>
      <c r="D38" s="634"/>
      <c r="E38" s="635"/>
      <c r="F38" s="636"/>
      <c r="G38" s="832" t="str">
        <f t="shared" si="2"/>
        <v/>
      </c>
      <c r="H38" s="829" t="str">
        <f t="shared" si="3"/>
        <v/>
      </c>
      <c r="I38" s="829" t="str">
        <f t="shared" si="4"/>
        <v/>
      </c>
      <c r="J38" s="830" t="str">
        <f t="shared" si="5"/>
        <v/>
      </c>
      <c r="K38" s="648"/>
      <c r="L38" s="814"/>
      <c r="M38" s="814"/>
      <c r="N38" s="814"/>
      <c r="O38" s="814"/>
      <c r="P38" s="814"/>
      <c r="Q38" s="814"/>
      <c r="R38" s="814"/>
      <c r="S38" s="814"/>
      <c r="T38" s="814"/>
      <c r="U38" s="814"/>
      <c r="V38" s="814"/>
      <c r="W38" s="814"/>
      <c r="X38" s="814"/>
      <c r="Y38" s="814"/>
      <c r="Z38" s="814"/>
      <c r="AA38" s="814"/>
      <c r="AB38" s="814"/>
      <c r="AC38" s="814"/>
      <c r="AD38" s="814"/>
      <c r="AE38" s="814"/>
      <c r="AF38" s="814"/>
      <c r="AG38" s="814"/>
      <c r="AH38" s="814"/>
      <c r="AI38" s="814"/>
      <c r="AJ38" s="814"/>
      <c r="AK38" s="814"/>
      <c r="AL38" s="814"/>
      <c r="AM38" s="814"/>
      <c r="AN38" s="814"/>
      <c r="AO38" s="814"/>
      <c r="AP38" s="814"/>
      <c r="AQ38" s="814"/>
      <c r="AR38" s="639"/>
      <c r="AS38" s="639"/>
      <c r="AT38" s="639"/>
      <c r="AU38" s="639"/>
      <c r="AV38" s="639"/>
      <c r="AW38" s="639"/>
      <c r="AX38" s="639"/>
      <c r="AY38" s="639"/>
      <c r="AZ38" s="639"/>
      <c r="BA38" s="639"/>
      <c r="BB38" s="639"/>
      <c r="BC38" s="640"/>
      <c r="BD38" s="640"/>
      <c r="BE38" s="640"/>
      <c r="BF38" s="640"/>
      <c r="BG38" s="640"/>
      <c r="BH38" s="640"/>
      <c r="BI38" s="640"/>
      <c r="BJ38" s="640"/>
    </row>
    <row r="39" spans="1:62">
      <c r="A39" s="814"/>
      <c r="B39" s="632"/>
      <c r="C39" s="633"/>
      <c r="D39" s="634"/>
      <c r="E39" s="635"/>
      <c r="F39" s="636"/>
      <c r="G39" s="832" t="str">
        <f t="shared" si="2"/>
        <v/>
      </c>
      <c r="H39" s="829" t="str">
        <f t="shared" si="3"/>
        <v/>
      </c>
      <c r="I39" s="829" t="str">
        <f t="shared" si="4"/>
        <v/>
      </c>
      <c r="J39" s="830" t="str">
        <f t="shared" si="5"/>
        <v/>
      </c>
      <c r="K39" s="648"/>
      <c r="L39" s="814"/>
      <c r="M39" s="814"/>
      <c r="N39" s="814"/>
      <c r="O39" s="814"/>
      <c r="P39" s="814"/>
      <c r="Q39" s="814"/>
      <c r="R39" s="814"/>
      <c r="S39" s="814"/>
      <c r="T39" s="814"/>
      <c r="U39" s="814"/>
      <c r="V39" s="814"/>
      <c r="W39" s="814"/>
      <c r="X39" s="814"/>
      <c r="Y39" s="814"/>
      <c r="Z39" s="814"/>
      <c r="AA39" s="814"/>
      <c r="AB39" s="814"/>
      <c r="AC39" s="814"/>
      <c r="AD39" s="814"/>
      <c r="AE39" s="814"/>
      <c r="AF39" s="814"/>
      <c r="AG39" s="814"/>
      <c r="AH39" s="814"/>
      <c r="AI39" s="814"/>
      <c r="AJ39" s="814"/>
      <c r="AK39" s="814"/>
      <c r="AL39" s="814"/>
      <c r="AM39" s="814"/>
      <c r="AN39" s="814"/>
      <c r="AO39" s="814"/>
      <c r="AP39" s="814"/>
      <c r="AQ39" s="814"/>
      <c r="AR39" s="639"/>
      <c r="AS39" s="639"/>
      <c r="AT39" s="639"/>
      <c r="AU39" s="639"/>
      <c r="AV39" s="639"/>
      <c r="AW39" s="639"/>
      <c r="AX39" s="639"/>
      <c r="AY39" s="639"/>
      <c r="AZ39" s="639"/>
      <c r="BA39" s="639"/>
      <c r="BB39" s="639"/>
      <c r="BC39" s="640"/>
      <c r="BD39" s="640"/>
      <c r="BE39" s="640"/>
      <c r="BF39" s="640"/>
      <c r="BG39" s="640"/>
      <c r="BH39" s="640"/>
      <c r="BI39" s="640"/>
      <c r="BJ39" s="640"/>
    </row>
    <row r="40" spans="1:62">
      <c r="A40" s="814"/>
      <c r="B40" s="632"/>
      <c r="C40" s="633"/>
      <c r="D40" s="634"/>
      <c r="E40" s="635"/>
      <c r="F40" s="636"/>
      <c r="G40" s="832" t="str">
        <f t="shared" si="2"/>
        <v/>
      </c>
      <c r="H40" s="829" t="str">
        <f t="shared" si="3"/>
        <v/>
      </c>
      <c r="I40" s="829" t="str">
        <f t="shared" si="4"/>
        <v/>
      </c>
      <c r="J40" s="830" t="str">
        <f t="shared" si="5"/>
        <v/>
      </c>
      <c r="K40" s="648"/>
      <c r="L40" s="814"/>
      <c r="M40" s="814"/>
      <c r="N40" s="814"/>
      <c r="O40" s="814"/>
      <c r="P40" s="814"/>
      <c r="Q40" s="814"/>
      <c r="R40" s="814"/>
      <c r="S40" s="814"/>
      <c r="T40" s="814"/>
      <c r="U40" s="814"/>
      <c r="V40" s="814"/>
      <c r="W40" s="814"/>
      <c r="X40" s="814"/>
      <c r="Y40" s="814"/>
      <c r="Z40" s="814"/>
      <c r="AA40" s="814"/>
      <c r="AB40" s="814"/>
      <c r="AC40" s="814"/>
      <c r="AD40" s="814"/>
      <c r="AE40" s="814"/>
      <c r="AF40" s="814"/>
      <c r="AG40" s="814"/>
      <c r="AH40" s="814"/>
      <c r="AI40" s="814"/>
      <c r="AJ40" s="814"/>
      <c r="AK40" s="814"/>
      <c r="AL40" s="814"/>
      <c r="AM40" s="814"/>
      <c r="AN40" s="814"/>
      <c r="AO40" s="814"/>
      <c r="AP40" s="814"/>
      <c r="AQ40" s="814"/>
      <c r="AR40" s="639"/>
      <c r="AS40" s="639"/>
      <c r="AT40" s="639"/>
      <c r="AU40" s="639"/>
      <c r="AV40" s="639"/>
      <c r="AW40" s="639"/>
      <c r="AX40" s="639"/>
      <c r="AY40" s="639"/>
      <c r="AZ40" s="639"/>
      <c r="BA40" s="639"/>
      <c r="BB40" s="639"/>
      <c r="BC40" s="640"/>
      <c r="BD40" s="640"/>
      <c r="BE40" s="640"/>
      <c r="BF40" s="640"/>
      <c r="BG40" s="640"/>
      <c r="BH40" s="640"/>
      <c r="BI40" s="640"/>
      <c r="BJ40" s="640"/>
    </row>
    <row r="41" spans="1:62">
      <c r="A41" s="814"/>
      <c r="B41" s="632"/>
      <c r="C41" s="633"/>
      <c r="D41" s="634"/>
      <c r="E41" s="635"/>
      <c r="F41" s="636"/>
      <c r="G41" s="832" t="str">
        <f t="shared" si="2"/>
        <v/>
      </c>
      <c r="H41" s="829" t="str">
        <f t="shared" si="3"/>
        <v/>
      </c>
      <c r="I41" s="829" t="str">
        <f t="shared" si="4"/>
        <v/>
      </c>
      <c r="J41" s="830" t="str">
        <f t="shared" si="5"/>
        <v/>
      </c>
      <c r="K41" s="648"/>
      <c r="L41" s="814"/>
      <c r="M41" s="814"/>
      <c r="N41" s="814"/>
      <c r="O41" s="814"/>
      <c r="P41" s="814"/>
      <c r="Q41" s="814"/>
      <c r="R41" s="814"/>
      <c r="S41" s="814"/>
      <c r="T41" s="814"/>
      <c r="U41" s="814"/>
      <c r="V41" s="814"/>
      <c r="W41" s="814"/>
      <c r="X41" s="814"/>
      <c r="Y41" s="814"/>
      <c r="Z41" s="814"/>
      <c r="AA41" s="814"/>
      <c r="AB41" s="814"/>
      <c r="AC41" s="814"/>
      <c r="AD41" s="814"/>
      <c r="AE41" s="814"/>
      <c r="AF41" s="814"/>
      <c r="AG41" s="814"/>
      <c r="AH41" s="814"/>
      <c r="AI41" s="814"/>
      <c r="AJ41" s="814"/>
      <c r="AK41" s="814"/>
      <c r="AL41" s="814"/>
      <c r="AM41" s="814"/>
      <c r="AN41" s="814"/>
      <c r="AO41" s="814"/>
      <c r="AP41" s="814"/>
      <c r="AQ41" s="814"/>
      <c r="AR41" s="639"/>
      <c r="AS41" s="639"/>
      <c r="AT41" s="639"/>
      <c r="AU41" s="639"/>
      <c r="AV41" s="639"/>
      <c r="AW41" s="639"/>
      <c r="AX41" s="639"/>
      <c r="AY41" s="639"/>
      <c r="AZ41" s="639"/>
      <c r="BA41" s="639"/>
      <c r="BB41" s="639"/>
      <c r="BC41" s="640"/>
      <c r="BD41" s="640"/>
      <c r="BE41" s="640"/>
      <c r="BF41" s="640"/>
      <c r="BG41" s="640"/>
      <c r="BH41" s="640"/>
      <c r="BI41" s="640"/>
      <c r="BJ41" s="640"/>
    </row>
    <row r="42" spans="1:62">
      <c r="A42" s="814"/>
      <c r="B42" s="632"/>
      <c r="C42" s="633"/>
      <c r="D42" s="634"/>
      <c r="E42" s="635"/>
      <c r="F42" s="636"/>
      <c r="G42" s="832" t="str">
        <f t="shared" si="2"/>
        <v/>
      </c>
      <c r="H42" s="829" t="str">
        <f t="shared" si="3"/>
        <v/>
      </c>
      <c r="I42" s="829" t="str">
        <f t="shared" si="4"/>
        <v/>
      </c>
      <c r="J42" s="830" t="str">
        <f t="shared" si="5"/>
        <v/>
      </c>
      <c r="K42" s="648"/>
      <c r="L42" s="814"/>
      <c r="M42" s="814"/>
      <c r="N42" s="814"/>
      <c r="O42" s="814"/>
      <c r="P42" s="814"/>
      <c r="Q42" s="814"/>
      <c r="R42" s="814"/>
      <c r="S42" s="814"/>
      <c r="T42" s="814"/>
      <c r="U42" s="814"/>
      <c r="V42" s="814"/>
      <c r="W42" s="814"/>
      <c r="X42" s="814"/>
      <c r="Y42" s="814"/>
      <c r="Z42" s="814"/>
      <c r="AA42" s="814"/>
      <c r="AB42" s="814"/>
      <c r="AC42" s="814"/>
      <c r="AD42" s="814"/>
      <c r="AE42" s="814"/>
      <c r="AF42" s="814"/>
      <c r="AG42" s="814"/>
      <c r="AH42" s="814"/>
      <c r="AI42" s="814"/>
      <c r="AJ42" s="814"/>
      <c r="AK42" s="814"/>
      <c r="AL42" s="814"/>
      <c r="AM42" s="814"/>
      <c r="AN42" s="814"/>
      <c r="AO42" s="814"/>
      <c r="AP42" s="814"/>
      <c r="AQ42" s="814"/>
      <c r="AR42" s="639"/>
      <c r="AS42" s="639"/>
      <c r="AT42" s="639"/>
      <c r="AU42" s="639"/>
      <c r="AV42" s="639"/>
      <c r="AW42" s="639"/>
      <c r="AX42" s="639"/>
      <c r="AY42" s="639"/>
      <c r="AZ42" s="639"/>
      <c r="BA42" s="639"/>
      <c r="BB42" s="639"/>
      <c r="BC42" s="640"/>
      <c r="BD42" s="640"/>
      <c r="BE42" s="640"/>
      <c r="BF42" s="640"/>
      <c r="BG42" s="640"/>
      <c r="BH42" s="640"/>
      <c r="BI42" s="640"/>
      <c r="BJ42" s="640"/>
    </row>
    <row r="43" spans="1:62">
      <c r="A43" s="814"/>
      <c r="B43" s="632"/>
      <c r="C43" s="633"/>
      <c r="D43" s="634"/>
      <c r="E43" s="635"/>
      <c r="F43" s="636"/>
      <c r="G43" s="832" t="str">
        <f t="shared" si="2"/>
        <v/>
      </c>
      <c r="H43" s="829" t="str">
        <f t="shared" si="3"/>
        <v/>
      </c>
      <c r="I43" s="829" t="str">
        <f t="shared" si="4"/>
        <v/>
      </c>
      <c r="J43" s="830" t="str">
        <f t="shared" si="5"/>
        <v/>
      </c>
      <c r="K43" s="648"/>
      <c r="L43" s="814"/>
      <c r="M43" s="814"/>
      <c r="N43" s="814"/>
      <c r="O43" s="814"/>
      <c r="P43" s="814"/>
      <c r="Q43" s="814"/>
      <c r="R43" s="814"/>
      <c r="S43" s="814"/>
      <c r="T43" s="814"/>
      <c r="U43" s="814"/>
      <c r="V43" s="814"/>
      <c r="W43" s="814"/>
      <c r="X43" s="814"/>
      <c r="Y43" s="814"/>
      <c r="Z43" s="814"/>
      <c r="AA43" s="814"/>
      <c r="AB43" s="814"/>
      <c r="AC43" s="814"/>
      <c r="AD43" s="814"/>
      <c r="AE43" s="814"/>
      <c r="AF43" s="814"/>
      <c r="AG43" s="814"/>
      <c r="AH43" s="814"/>
      <c r="AI43" s="814"/>
      <c r="AJ43" s="814"/>
      <c r="AK43" s="814"/>
      <c r="AL43" s="814"/>
      <c r="AM43" s="814"/>
      <c r="AN43" s="814"/>
      <c r="AO43" s="814"/>
      <c r="AP43" s="814"/>
      <c r="AQ43" s="814"/>
      <c r="AR43" s="639"/>
      <c r="AS43" s="639"/>
      <c r="AT43" s="639"/>
      <c r="AU43" s="639"/>
      <c r="AV43" s="639"/>
      <c r="AW43" s="639"/>
      <c r="AX43" s="639"/>
      <c r="AY43" s="639"/>
      <c r="AZ43" s="639"/>
      <c r="BA43" s="639"/>
      <c r="BB43" s="639"/>
      <c r="BC43" s="640"/>
      <c r="BD43" s="640"/>
      <c r="BE43" s="640"/>
      <c r="BF43" s="640"/>
      <c r="BG43" s="640"/>
      <c r="BH43" s="640"/>
      <c r="BI43" s="640"/>
      <c r="BJ43" s="640"/>
    </row>
    <row r="44" spans="1:62">
      <c r="A44" s="814"/>
      <c r="B44" s="632"/>
      <c r="C44" s="633"/>
      <c r="D44" s="634"/>
      <c r="E44" s="635"/>
      <c r="F44" s="636"/>
      <c r="G44" s="832" t="str">
        <f t="shared" si="2"/>
        <v/>
      </c>
      <c r="H44" s="829" t="str">
        <f t="shared" si="3"/>
        <v/>
      </c>
      <c r="I44" s="829" t="str">
        <f t="shared" si="4"/>
        <v/>
      </c>
      <c r="J44" s="830" t="str">
        <f t="shared" si="5"/>
        <v/>
      </c>
      <c r="K44" s="648"/>
      <c r="L44" s="814"/>
      <c r="M44" s="814"/>
      <c r="N44" s="814"/>
      <c r="O44" s="814"/>
      <c r="P44" s="814"/>
      <c r="Q44" s="814"/>
      <c r="R44" s="814"/>
      <c r="S44" s="814"/>
      <c r="T44" s="814"/>
      <c r="U44" s="814"/>
      <c r="V44" s="814"/>
      <c r="W44" s="814"/>
      <c r="X44" s="814"/>
      <c r="Y44" s="814"/>
      <c r="Z44" s="814"/>
      <c r="AA44" s="814"/>
      <c r="AB44" s="814"/>
      <c r="AC44" s="814"/>
      <c r="AD44" s="814"/>
      <c r="AE44" s="814"/>
      <c r="AF44" s="814"/>
      <c r="AG44" s="814"/>
      <c r="AH44" s="814"/>
      <c r="AI44" s="814"/>
      <c r="AJ44" s="814"/>
      <c r="AK44" s="814"/>
      <c r="AL44" s="814"/>
      <c r="AM44" s="814"/>
      <c r="AN44" s="814"/>
      <c r="AO44" s="814"/>
      <c r="AP44" s="814"/>
      <c r="AQ44" s="814"/>
      <c r="AR44" s="639"/>
      <c r="AS44" s="639"/>
      <c r="AT44" s="639"/>
      <c r="AU44" s="639"/>
      <c r="AV44" s="639"/>
      <c r="AW44" s="639"/>
      <c r="AX44" s="639"/>
      <c r="AY44" s="639"/>
      <c r="AZ44" s="639"/>
      <c r="BA44" s="639"/>
      <c r="BB44" s="639"/>
      <c r="BC44" s="640"/>
      <c r="BD44" s="640"/>
      <c r="BE44" s="640"/>
      <c r="BF44" s="640"/>
      <c r="BG44" s="640"/>
      <c r="BH44" s="640"/>
      <c r="BI44" s="640"/>
      <c r="BJ44" s="640"/>
    </row>
    <row r="45" spans="1:62">
      <c r="A45" s="814"/>
      <c r="B45" s="632"/>
      <c r="C45" s="633"/>
      <c r="D45" s="634"/>
      <c r="E45" s="635"/>
      <c r="F45" s="636"/>
      <c r="G45" s="832" t="str">
        <f t="shared" si="2"/>
        <v/>
      </c>
      <c r="H45" s="829" t="str">
        <f t="shared" si="3"/>
        <v/>
      </c>
      <c r="I45" s="829" t="str">
        <f t="shared" si="4"/>
        <v/>
      </c>
      <c r="J45" s="830" t="str">
        <f t="shared" si="5"/>
        <v/>
      </c>
      <c r="K45" s="648"/>
      <c r="L45" s="814"/>
      <c r="M45" s="814"/>
      <c r="N45" s="814"/>
      <c r="O45" s="814"/>
      <c r="P45" s="814"/>
      <c r="Q45" s="814"/>
      <c r="R45" s="814"/>
      <c r="S45" s="814"/>
      <c r="T45" s="814"/>
      <c r="U45" s="814"/>
      <c r="V45" s="814"/>
      <c r="W45" s="814"/>
      <c r="X45" s="814"/>
      <c r="Y45" s="814"/>
      <c r="Z45" s="814"/>
      <c r="AA45" s="814"/>
      <c r="AB45" s="814"/>
      <c r="AC45" s="814"/>
      <c r="AD45" s="814"/>
      <c r="AE45" s="814"/>
      <c r="AF45" s="814"/>
      <c r="AG45" s="814"/>
      <c r="AH45" s="814"/>
      <c r="AI45" s="814"/>
      <c r="AJ45" s="814"/>
      <c r="AK45" s="814"/>
      <c r="AL45" s="814"/>
      <c r="AM45" s="814"/>
      <c r="AN45" s="814"/>
      <c r="AO45" s="814"/>
      <c r="AP45" s="814"/>
      <c r="AQ45" s="814"/>
      <c r="AR45" s="639"/>
      <c r="AS45" s="639"/>
      <c r="AT45" s="639"/>
      <c r="AU45" s="639"/>
      <c r="AV45" s="639"/>
      <c r="AW45" s="639"/>
      <c r="AX45" s="639"/>
      <c r="AY45" s="639"/>
      <c r="AZ45" s="639"/>
      <c r="BA45" s="639"/>
      <c r="BB45" s="639"/>
      <c r="BC45" s="640"/>
      <c r="BD45" s="640"/>
      <c r="BE45" s="640"/>
      <c r="BF45" s="640"/>
      <c r="BG45" s="640"/>
      <c r="BH45" s="640"/>
      <c r="BI45" s="640"/>
      <c r="BJ45" s="640"/>
    </row>
    <row r="46" spans="1:62">
      <c r="A46" s="814"/>
      <c r="B46" s="632"/>
      <c r="C46" s="633"/>
      <c r="D46" s="634"/>
      <c r="E46" s="635"/>
      <c r="F46" s="636"/>
      <c r="G46" s="832" t="str">
        <f t="shared" si="2"/>
        <v/>
      </c>
      <c r="H46" s="829" t="str">
        <f t="shared" si="3"/>
        <v/>
      </c>
      <c r="I46" s="829" t="str">
        <f t="shared" si="4"/>
        <v/>
      </c>
      <c r="J46" s="830" t="str">
        <f t="shared" si="5"/>
        <v/>
      </c>
      <c r="K46" s="648"/>
      <c r="L46" s="814"/>
      <c r="M46" s="814"/>
      <c r="N46" s="814"/>
      <c r="O46" s="814"/>
      <c r="P46" s="814"/>
      <c r="Q46" s="814"/>
      <c r="R46" s="814"/>
      <c r="S46" s="814"/>
      <c r="T46" s="814"/>
      <c r="U46" s="814"/>
      <c r="V46" s="814"/>
      <c r="W46" s="814"/>
      <c r="X46" s="814"/>
      <c r="Y46" s="814"/>
      <c r="Z46" s="814"/>
      <c r="AA46" s="814"/>
      <c r="AB46" s="814"/>
      <c r="AC46" s="814"/>
      <c r="AD46" s="814"/>
      <c r="AE46" s="814"/>
      <c r="AF46" s="814"/>
      <c r="AG46" s="814"/>
      <c r="AH46" s="814"/>
      <c r="AI46" s="814"/>
      <c r="AJ46" s="814"/>
      <c r="AK46" s="814"/>
      <c r="AL46" s="814"/>
      <c r="AM46" s="814"/>
      <c r="AN46" s="814"/>
      <c r="AO46" s="814"/>
      <c r="AP46" s="814"/>
      <c r="AQ46" s="814"/>
      <c r="AR46" s="639"/>
      <c r="AS46" s="639"/>
      <c r="AT46" s="639"/>
      <c r="AU46" s="639"/>
      <c r="AV46" s="639"/>
      <c r="AW46" s="639"/>
      <c r="AX46" s="639"/>
      <c r="AY46" s="639"/>
      <c r="AZ46" s="639"/>
      <c r="BA46" s="639"/>
      <c r="BB46" s="639"/>
      <c r="BC46" s="640"/>
      <c r="BD46" s="640"/>
      <c r="BE46" s="640"/>
      <c r="BF46" s="640"/>
      <c r="BG46" s="640"/>
      <c r="BH46" s="640"/>
      <c r="BI46" s="640"/>
      <c r="BJ46" s="640"/>
    </row>
    <row r="47" spans="1:62">
      <c r="A47" s="814"/>
      <c r="B47" s="632"/>
      <c r="C47" s="633"/>
      <c r="D47" s="634"/>
      <c r="E47" s="635"/>
      <c r="F47" s="636"/>
      <c r="G47" s="832" t="str">
        <f t="shared" si="2"/>
        <v/>
      </c>
      <c r="H47" s="829" t="str">
        <f t="shared" si="3"/>
        <v/>
      </c>
      <c r="I47" s="829" t="str">
        <f t="shared" si="4"/>
        <v/>
      </c>
      <c r="J47" s="830" t="str">
        <f t="shared" si="5"/>
        <v/>
      </c>
      <c r="K47" s="648"/>
      <c r="L47" s="814"/>
      <c r="M47" s="814"/>
      <c r="N47" s="814"/>
      <c r="O47" s="814"/>
      <c r="P47" s="814"/>
      <c r="Q47" s="814"/>
      <c r="R47" s="814"/>
      <c r="S47" s="814"/>
      <c r="T47" s="814"/>
      <c r="U47" s="814"/>
      <c r="V47" s="814"/>
      <c r="W47" s="814"/>
      <c r="X47" s="814"/>
      <c r="Y47" s="814"/>
      <c r="Z47" s="814"/>
      <c r="AA47" s="814"/>
      <c r="AB47" s="814"/>
      <c r="AC47" s="814"/>
      <c r="AD47" s="814"/>
      <c r="AE47" s="814"/>
      <c r="AF47" s="814"/>
      <c r="AG47" s="814"/>
      <c r="AH47" s="814"/>
      <c r="AI47" s="814"/>
      <c r="AJ47" s="814"/>
      <c r="AK47" s="814"/>
      <c r="AL47" s="814"/>
      <c r="AM47" s="814"/>
      <c r="AN47" s="814"/>
      <c r="AO47" s="814"/>
      <c r="AP47" s="814"/>
      <c r="AQ47" s="814"/>
      <c r="AR47" s="639"/>
      <c r="AS47" s="639"/>
      <c r="AT47" s="639"/>
      <c r="AU47" s="639"/>
      <c r="AV47" s="639"/>
      <c r="AW47" s="639"/>
      <c r="AX47" s="639"/>
      <c r="AY47" s="639"/>
      <c r="AZ47" s="639"/>
      <c r="BA47" s="639"/>
      <c r="BB47" s="639"/>
      <c r="BC47" s="640"/>
      <c r="BD47" s="640"/>
      <c r="BE47" s="640"/>
      <c r="BF47" s="640"/>
      <c r="BG47" s="640"/>
      <c r="BH47" s="640"/>
      <c r="BI47" s="640"/>
      <c r="BJ47" s="640"/>
    </row>
    <row r="48" spans="1:62">
      <c r="A48" s="814"/>
      <c r="B48" s="632"/>
      <c r="C48" s="633"/>
      <c r="D48" s="634"/>
      <c r="E48" s="635"/>
      <c r="F48" s="636"/>
      <c r="G48" s="832" t="str">
        <f t="shared" si="2"/>
        <v/>
      </c>
      <c r="H48" s="829" t="str">
        <f t="shared" si="3"/>
        <v/>
      </c>
      <c r="I48" s="829" t="str">
        <f t="shared" si="4"/>
        <v/>
      </c>
      <c r="J48" s="830" t="str">
        <f t="shared" si="5"/>
        <v/>
      </c>
      <c r="K48" s="648"/>
      <c r="L48" s="814"/>
      <c r="M48" s="814"/>
      <c r="N48" s="814"/>
      <c r="O48" s="814"/>
      <c r="P48" s="814"/>
      <c r="Q48" s="814"/>
      <c r="R48" s="814"/>
      <c r="S48" s="814"/>
      <c r="T48" s="814"/>
      <c r="U48" s="814"/>
      <c r="V48" s="814"/>
      <c r="W48" s="814"/>
      <c r="X48" s="814"/>
      <c r="Y48" s="814"/>
      <c r="Z48" s="814"/>
      <c r="AA48" s="814"/>
      <c r="AB48" s="814"/>
      <c r="AC48" s="814"/>
      <c r="AD48" s="814"/>
      <c r="AE48" s="814"/>
      <c r="AF48" s="814"/>
      <c r="AG48" s="814"/>
      <c r="AH48" s="814"/>
      <c r="AI48" s="814"/>
      <c r="AJ48" s="814"/>
      <c r="AK48" s="814"/>
      <c r="AL48" s="814"/>
      <c r="AM48" s="814"/>
      <c r="AN48" s="814"/>
      <c r="AO48" s="814"/>
      <c r="AP48" s="814"/>
      <c r="AQ48" s="814"/>
      <c r="AR48" s="639"/>
      <c r="AS48" s="639"/>
      <c r="AT48" s="639"/>
      <c r="AU48" s="639"/>
      <c r="AV48" s="639"/>
      <c r="AW48" s="639"/>
      <c r="AX48" s="639"/>
      <c r="AY48" s="639"/>
      <c r="AZ48" s="639"/>
      <c r="BA48" s="639"/>
      <c r="BB48" s="639"/>
      <c r="BC48" s="640"/>
      <c r="BD48" s="640"/>
      <c r="BE48" s="640"/>
      <c r="BF48" s="640"/>
      <c r="BG48" s="640"/>
      <c r="BH48" s="640"/>
      <c r="BI48" s="640"/>
      <c r="BJ48" s="640"/>
    </row>
    <row r="49" spans="1:62">
      <c r="A49" s="814"/>
      <c r="B49" s="632"/>
      <c r="C49" s="633"/>
      <c r="D49" s="634"/>
      <c r="E49" s="635"/>
      <c r="F49" s="636"/>
      <c r="G49" s="832" t="str">
        <f t="shared" si="2"/>
        <v/>
      </c>
      <c r="H49" s="829" t="str">
        <f t="shared" si="3"/>
        <v/>
      </c>
      <c r="I49" s="829" t="str">
        <f t="shared" si="4"/>
        <v/>
      </c>
      <c r="J49" s="830" t="str">
        <f t="shared" si="5"/>
        <v/>
      </c>
      <c r="K49" s="648"/>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814"/>
      <c r="AM49" s="814"/>
      <c r="AN49" s="814"/>
      <c r="AO49" s="814"/>
      <c r="AP49" s="814"/>
      <c r="AQ49" s="814"/>
      <c r="AR49" s="639"/>
      <c r="AS49" s="639"/>
      <c r="AT49" s="639"/>
      <c r="AU49" s="639"/>
      <c r="AV49" s="639"/>
      <c r="AW49" s="639"/>
      <c r="AX49" s="639"/>
      <c r="AY49" s="639"/>
      <c r="AZ49" s="639"/>
      <c r="BA49" s="639"/>
      <c r="BB49" s="639"/>
      <c r="BC49" s="640"/>
      <c r="BD49" s="640"/>
      <c r="BE49" s="640"/>
      <c r="BF49" s="640"/>
      <c r="BG49" s="640"/>
      <c r="BH49" s="640"/>
      <c r="BI49" s="640"/>
      <c r="BJ49" s="640"/>
    </row>
    <row r="50" spans="1:62">
      <c r="A50" s="814"/>
      <c r="B50" s="632"/>
      <c r="C50" s="633"/>
      <c r="D50" s="634"/>
      <c r="E50" s="635"/>
      <c r="F50" s="636"/>
      <c r="G50" s="832" t="str">
        <f t="shared" si="2"/>
        <v/>
      </c>
      <c r="H50" s="829" t="str">
        <f t="shared" si="3"/>
        <v/>
      </c>
      <c r="I50" s="829" t="str">
        <f t="shared" si="4"/>
        <v/>
      </c>
      <c r="J50" s="830" t="str">
        <f t="shared" si="5"/>
        <v/>
      </c>
      <c r="K50" s="648"/>
      <c r="L50" s="814"/>
      <c r="M50" s="814"/>
      <c r="N50" s="814"/>
      <c r="O50" s="814"/>
      <c r="P50" s="814"/>
      <c r="Q50" s="814"/>
      <c r="R50" s="814"/>
      <c r="S50" s="814"/>
      <c r="T50" s="814"/>
      <c r="U50" s="814"/>
      <c r="V50" s="814"/>
      <c r="W50" s="814"/>
      <c r="X50" s="814"/>
      <c r="Y50" s="814"/>
      <c r="Z50" s="814"/>
      <c r="AA50" s="814"/>
      <c r="AB50" s="814"/>
      <c r="AC50" s="814"/>
      <c r="AD50" s="814"/>
      <c r="AE50" s="814"/>
      <c r="AF50" s="814"/>
      <c r="AG50" s="814"/>
      <c r="AH50" s="814"/>
      <c r="AI50" s="814"/>
      <c r="AJ50" s="814"/>
      <c r="AK50" s="814"/>
      <c r="AL50" s="814"/>
      <c r="AM50" s="814"/>
      <c r="AN50" s="814"/>
      <c r="AO50" s="814"/>
      <c r="AP50" s="814"/>
      <c r="AQ50" s="814"/>
      <c r="AR50" s="639"/>
      <c r="AS50" s="639"/>
      <c r="AT50" s="639"/>
      <c r="AU50" s="639"/>
      <c r="AV50" s="639"/>
      <c r="AW50" s="639"/>
      <c r="AX50" s="639"/>
      <c r="AY50" s="639"/>
      <c r="AZ50" s="639"/>
      <c r="BA50" s="639"/>
      <c r="BB50" s="639"/>
      <c r="BC50" s="640"/>
      <c r="BD50" s="640"/>
      <c r="BE50" s="640"/>
      <c r="BF50" s="640"/>
      <c r="BG50" s="640"/>
      <c r="BH50" s="640"/>
      <c r="BI50" s="640"/>
      <c r="BJ50" s="640"/>
    </row>
    <row r="51" spans="1:62">
      <c r="A51" s="814"/>
      <c r="B51" s="632"/>
      <c r="C51" s="633"/>
      <c r="D51" s="634"/>
      <c r="E51" s="635"/>
      <c r="F51" s="636"/>
      <c r="G51" s="832" t="str">
        <f t="shared" si="2"/>
        <v/>
      </c>
      <c r="H51" s="829" t="str">
        <f t="shared" si="3"/>
        <v/>
      </c>
      <c r="I51" s="829" t="str">
        <f t="shared" si="4"/>
        <v/>
      </c>
      <c r="J51" s="830" t="str">
        <f t="shared" si="5"/>
        <v/>
      </c>
      <c r="K51" s="648"/>
      <c r="L51" s="814"/>
      <c r="M51" s="814"/>
      <c r="N51" s="814"/>
      <c r="O51" s="814"/>
      <c r="P51" s="814"/>
      <c r="Q51" s="814"/>
      <c r="R51" s="814"/>
      <c r="S51" s="814"/>
      <c r="T51" s="814"/>
      <c r="U51" s="814"/>
      <c r="V51" s="814"/>
      <c r="W51" s="814"/>
      <c r="X51" s="814"/>
      <c r="Y51" s="814"/>
      <c r="Z51" s="814"/>
      <c r="AA51" s="814"/>
      <c r="AB51" s="814"/>
      <c r="AC51" s="814"/>
      <c r="AD51" s="814"/>
      <c r="AE51" s="814"/>
      <c r="AF51" s="814"/>
      <c r="AG51" s="814"/>
      <c r="AH51" s="814"/>
      <c r="AI51" s="814"/>
      <c r="AJ51" s="814"/>
      <c r="AK51" s="814"/>
      <c r="AL51" s="814"/>
      <c r="AM51" s="814"/>
      <c r="AN51" s="814"/>
      <c r="AO51" s="814"/>
      <c r="AP51" s="814"/>
      <c r="AQ51" s="814"/>
      <c r="AR51" s="639"/>
      <c r="AS51" s="639"/>
      <c r="AT51" s="639"/>
      <c r="AU51" s="639"/>
      <c r="AV51" s="639"/>
      <c r="AW51" s="639"/>
      <c r="AX51" s="639"/>
      <c r="AY51" s="639"/>
      <c r="AZ51" s="639"/>
      <c r="BA51" s="639"/>
      <c r="BB51" s="639"/>
      <c r="BC51" s="640"/>
      <c r="BD51" s="640"/>
      <c r="BE51" s="640"/>
      <c r="BF51" s="640"/>
      <c r="BG51" s="640"/>
      <c r="BH51" s="640"/>
      <c r="BI51" s="640"/>
      <c r="BJ51" s="640"/>
    </row>
    <row r="52" spans="1:62">
      <c r="A52" s="814"/>
      <c r="B52" s="632"/>
      <c r="C52" s="633"/>
      <c r="D52" s="634"/>
      <c r="E52" s="635"/>
      <c r="F52" s="636"/>
      <c r="G52" s="832" t="str">
        <f t="shared" si="2"/>
        <v/>
      </c>
      <c r="H52" s="829" t="str">
        <f t="shared" si="3"/>
        <v/>
      </c>
      <c r="I52" s="829" t="str">
        <f t="shared" si="4"/>
        <v/>
      </c>
      <c r="J52" s="830" t="str">
        <f t="shared" si="5"/>
        <v/>
      </c>
      <c r="K52" s="648"/>
      <c r="L52" s="814"/>
      <c r="M52" s="814"/>
      <c r="N52" s="814"/>
      <c r="O52" s="814"/>
      <c r="P52" s="814"/>
      <c r="Q52" s="814"/>
      <c r="R52" s="814"/>
      <c r="S52" s="814"/>
      <c r="T52" s="814"/>
      <c r="U52" s="814"/>
      <c r="V52" s="814"/>
      <c r="W52" s="814"/>
      <c r="X52" s="814"/>
      <c r="Y52" s="814"/>
      <c r="Z52" s="814"/>
      <c r="AA52" s="814"/>
      <c r="AB52" s="814"/>
      <c r="AC52" s="814"/>
      <c r="AD52" s="814"/>
      <c r="AE52" s="814"/>
      <c r="AF52" s="814"/>
      <c r="AG52" s="814"/>
      <c r="AH52" s="814"/>
      <c r="AI52" s="814"/>
      <c r="AJ52" s="814"/>
      <c r="AK52" s="814"/>
      <c r="AL52" s="814"/>
      <c r="AM52" s="814"/>
      <c r="AN52" s="814"/>
      <c r="AO52" s="814"/>
      <c r="AP52" s="814"/>
      <c r="AQ52" s="814"/>
      <c r="AR52" s="639"/>
      <c r="AS52" s="639"/>
      <c r="AT52" s="639"/>
      <c r="AU52" s="639"/>
      <c r="AV52" s="639"/>
      <c r="AW52" s="639"/>
      <c r="AX52" s="639"/>
      <c r="AY52" s="639"/>
      <c r="AZ52" s="639"/>
      <c r="BA52" s="639"/>
      <c r="BB52" s="639"/>
      <c r="BC52" s="640"/>
      <c r="BD52" s="640"/>
      <c r="BE52" s="640"/>
      <c r="BF52" s="640"/>
      <c r="BG52" s="640"/>
      <c r="BH52" s="640"/>
      <c r="BI52" s="640"/>
      <c r="BJ52" s="640"/>
    </row>
    <row r="53" spans="1:62">
      <c r="A53" s="814"/>
      <c r="B53" s="632"/>
      <c r="C53" s="633"/>
      <c r="D53" s="634"/>
      <c r="E53" s="635"/>
      <c r="F53" s="636"/>
      <c r="G53" s="832" t="str">
        <f t="shared" si="2"/>
        <v/>
      </c>
      <c r="H53" s="829" t="str">
        <f t="shared" si="3"/>
        <v/>
      </c>
      <c r="I53" s="829" t="str">
        <f t="shared" si="4"/>
        <v/>
      </c>
      <c r="J53" s="830" t="str">
        <f t="shared" si="5"/>
        <v/>
      </c>
      <c r="K53" s="648"/>
      <c r="L53" s="814"/>
      <c r="M53" s="814"/>
      <c r="N53" s="814"/>
      <c r="O53" s="814"/>
      <c r="P53" s="814"/>
      <c r="Q53" s="814"/>
      <c r="R53" s="814"/>
      <c r="S53" s="814"/>
      <c r="T53" s="814"/>
      <c r="U53" s="814"/>
      <c r="V53" s="814"/>
      <c r="W53" s="814"/>
      <c r="X53" s="814"/>
      <c r="Y53" s="814"/>
      <c r="Z53" s="814"/>
      <c r="AA53" s="814"/>
      <c r="AB53" s="814"/>
      <c r="AC53" s="814"/>
      <c r="AD53" s="814"/>
      <c r="AE53" s="814"/>
      <c r="AF53" s="814"/>
      <c r="AG53" s="814"/>
      <c r="AH53" s="814"/>
      <c r="AI53" s="814"/>
      <c r="AJ53" s="814"/>
      <c r="AK53" s="814"/>
      <c r="AL53" s="814"/>
      <c r="AM53" s="814"/>
      <c r="AN53" s="814"/>
      <c r="AO53" s="814"/>
      <c r="AP53" s="814"/>
      <c r="AQ53" s="814"/>
      <c r="AR53" s="639"/>
      <c r="AS53" s="639"/>
      <c r="AT53" s="639"/>
      <c r="AU53" s="639"/>
      <c r="AV53" s="639"/>
      <c r="AW53" s="639"/>
      <c r="AX53" s="639"/>
      <c r="AY53" s="639"/>
      <c r="AZ53" s="639"/>
      <c r="BA53" s="639"/>
      <c r="BB53" s="639"/>
      <c r="BC53" s="640"/>
      <c r="BD53" s="640"/>
      <c r="BE53" s="640"/>
      <c r="BF53" s="640"/>
      <c r="BG53" s="640"/>
      <c r="BH53" s="640"/>
      <c r="BI53" s="640"/>
      <c r="BJ53" s="640"/>
    </row>
    <row r="54" spans="1:62">
      <c r="A54" s="814"/>
      <c r="B54" s="632"/>
      <c r="C54" s="633"/>
      <c r="D54" s="634"/>
      <c r="E54" s="635"/>
      <c r="F54" s="636"/>
      <c r="G54" s="832" t="str">
        <f t="shared" si="2"/>
        <v/>
      </c>
      <c r="H54" s="829" t="str">
        <f t="shared" si="3"/>
        <v/>
      </c>
      <c r="I54" s="829" t="str">
        <f t="shared" si="4"/>
        <v/>
      </c>
      <c r="J54" s="830" t="str">
        <f t="shared" si="5"/>
        <v/>
      </c>
      <c r="K54" s="648"/>
      <c r="L54" s="814"/>
      <c r="M54" s="814"/>
      <c r="N54" s="814"/>
      <c r="O54" s="814"/>
      <c r="P54" s="814"/>
      <c r="Q54" s="814"/>
      <c r="R54" s="814"/>
      <c r="S54" s="814"/>
      <c r="T54" s="814"/>
      <c r="U54" s="814"/>
      <c r="V54" s="814"/>
      <c r="W54" s="814"/>
      <c r="X54" s="814"/>
      <c r="Y54" s="814"/>
      <c r="Z54" s="814"/>
      <c r="AA54" s="814"/>
      <c r="AB54" s="814"/>
      <c r="AC54" s="814"/>
      <c r="AD54" s="814"/>
      <c r="AE54" s="814"/>
      <c r="AF54" s="814"/>
      <c r="AG54" s="814"/>
      <c r="AH54" s="814"/>
      <c r="AI54" s="814"/>
      <c r="AJ54" s="814"/>
      <c r="AK54" s="814"/>
      <c r="AL54" s="814"/>
      <c r="AM54" s="814"/>
      <c r="AN54" s="814"/>
      <c r="AO54" s="814"/>
      <c r="AP54" s="814"/>
      <c r="AQ54" s="814"/>
      <c r="AR54" s="639"/>
      <c r="AS54" s="639"/>
      <c r="AT54" s="639"/>
      <c r="AU54" s="639"/>
      <c r="AV54" s="639"/>
      <c r="AW54" s="639"/>
      <c r="AX54" s="639"/>
      <c r="AY54" s="639"/>
      <c r="AZ54" s="639"/>
      <c r="BA54" s="639"/>
      <c r="BB54" s="639"/>
      <c r="BC54" s="640"/>
      <c r="BD54" s="640"/>
      <c r="BE54" s="640"/>
      <c r="BF54" s="640"/>
      <c r="BG54" s="640"/>
      <c r="BH54" s="640"/>
      <c r="BI54" s="640"/>
      <c r="BJ54" s="640"/>
    </row>
    <row r="55" spans="1:62">
      <c r="A55" s="814"/>
      <c r="B55" s="632"/>
      <c r="C55" s="633"/>
      <c r="D55" s="634"/>
      <c r="E55" s="635"/>
      <c r="F55" s="636"/>
      <c r="G55" s="832" t="str">
        <f t="shared" si="2"/>
        <v/>
      </c>
      <c r="H55" s="829" t="str">
        <f t="shared" si="3"/>
        <v/>
      </c>
      <c r="I55" s="829" t="str">
        <f t="shared" si="4"/>
        <v/>
      </c>
      <c r="J55" s="830" t="str">
        <f t="shared" si="5"/>
        <v/>
      </c>
      <c r="K55" s="648"/>
      <c r="L55" s="814"/>
      <c r="M55" s="814"/>
      <c r="N55" s="814"/>
      <c r="O55" s="814"/>
      <c r="P55" s="814"/>
      <c r="Q55" s="814"/>
      <c r="R55" s="814"/>
      <c r="S55" s="814"/>
      <c r="T55" s="814"/>
      <c r="U55" s="814"/>
      <c r="V55" s="814"/>
      <c r="W55" s="814"/>
      <c r="X55" s="814"/>
      <c r="Y55" s="814"/>
      <c r="Z55" s="814"/>
      <c r="AA55" s="814"/>
      <c r="AB55" s="814"/>
      <c r="AC55" s="814"/>
      <c r="AD55" s="814"/>
      <c r="AE55" s="814"/>
      <c r="AF55" s="814"/>
      <c r="AG55" s="814"/>
      <c r="AH55" s="814"/>
      <c r="AI55" s="814"/>
      <c r="AJ55" s="814"/>
      <c r="AK55" s="814"/>
      <c r="AL55" s="814"/>
      <c r="AM55" s="814"/>
      <c r="AN55" s="814"/>
      <c r="AO55" s="814"/>
      <c r="AP55" s="814"/>
      <c r="AQ55" s="814"/>
      <c r="AR55" s="639"/>
      <c r="AS55" s="639"/>
      <c r="AT55" s="639"/>
      <c r="AU55" s="639"/>
      <c r="AV55" s="639"/>
      <c r="AW55" s="639"/>
      <c r="AX55" s="639"/>
      <c r="AY55" s="639"/>
      <c r="AZ55" s="639"/>
      <c r="BA55" s="639"/>
      <c r="BB55" s="639"/>
      <c r="BC55" s="640"/>
      <c r="BD55" s="640"/>
      <c r="BE55" s="640"/>
      <c r="BF55" s="640"/>
      <c r="BG55" s="640"/>
      <c r="BH55" s="640"/>
      <c r="BI55" s="640"/>
      <c r="BJ55" s="640"/>
    </row>
    <row r="56" spans="1:62">
      <c r="A56" s="814"/>
      <c r="B56" s="632"/>
      <c r="C56" s="633"/>
      <c r="D56" s="634"/>
      <c r="E56" s="635"/>
      <c r="F56" s="636"/>
      <c r="G56" s="832" t="str">
        <f t="shared" si="2"/>
        <v/>
      </c>
      <c r="H56" s="829" t="str">
        <f t="shared" si="3"/>
        <v/>
      </c>
      <c r="I56" s="829" t="str">
        <f t="shared" si="4"/>
        <v/>
      </c>
      <c r="J56" s="830" t="str">
        <f t="shared" si="5"/>
        <v/>
      </c>
      <c r="K56" s="648"/>
      <c r="L56" s="814"/>
      <c r="M56" s="814"/>
      <c r="N56" s="814"/>
      <c r="O56" s="814"/>
      <c r="P56" s="814"/>
      <c r="Q56" s="814"/>
      <c r="R56" s="814"/>
      <c r="S56" s="814"/>
      <c r="T56" s="814"/>
      <c r="U56" s="814"/>
      <c r="V56" s="814"/>
      <c r="W56" s="814"/>
      <c r="X56" s="814"/>
      <c r="Y56" s="814"/>
      <c r="Z56" s="814"/>
      <c r="AA56" s="814"/>
      <c r="AB56" s="814"/>
      <c r="AC56" s="814"/>
      <c r="AD56" s="814"/>
      <c r="AE56" s="814"/>
      <c r="AF56" s="814"/>
      <c r="AG56" s="814"/>
      <c r="AH56" s="814"/>
      <c r="AI56" s="814"/>
      <c r="AJ56" s="814"/>
      <c r="AK56" s="814"/>
      <c r="AL56" s="814"/>
      <c r="AM56" s="814"/>
      <c r="AN56" s="814"/>
      <c r="AO56" s="814"/>
      <c r="AP56" s="814"/>
      <c r="AQ56" s="814"/>
      <c r="AR56" s="639"/>
      <c r="AS56" s="639"/>
      <c r="AT56" s="639"/>
      <c r="AU56" s="639"/>
      <c r="AV56" s="639"/>
      <c r="AW56" s="639"/>
      <c r="AX56" s="639"/>
      <c r="AY56" s="639"/>
      <c r="AZ56" s="639"/>
      <c r="BA56" s="639"/>
      <c r="BB56" s="639"/>
      <c r="BC56" s="640"/>
      <c r="BD56" s="640"/>
      <c r="BE56" s="640"/>
      <c r="BF56" s="640"/>
      <c r="BG56" s="640"/>
      <c r="BH56" s="640"/>
      <c r="BI56" s="640"/>
      <c r="BJ56" s="640"/>
    </row>
    <row r="57" spans="1:62">
      <c r="A57" s="814"/>
      <c r="B57" s="632"/>
      <c r="C57" s="633"/>
      <c r="D57" s="634"/>
      <c r="E57" s="635"/>
      <c r="F57" s="636"/>
      <c r="G57" s="832" t="str">
        <f t="shared" si="2"/>
        <v/>
      </c>
      <c r="H57" s="829" t="str">
        <f t="shared" si="3"/>
        <v/>
      </c>
      <c r="I57" s="829" t="str">
        <f t="shared" si="4"/>
        <v/>
      </c>
      <c r="J57" s="830" t="str">
        <f t="shared" si="5"/>
        <v/>
      </c>
      <c r="K57" s="648"/>
      <c r="L57" s="814"/>
      <c r="M57" s="814"/>
      <c r="N57" s="814"/>
      <c r="O57" s="814"/>
      <c r="P57" s="814"/>
      <c r="Q57" s="814"/>
      <c r="R57" s="814"/>
      <c r="S57" s="814"/>
      <c r="T57" s="814"/>
      <c r="U57" s="814"/>
      <c r="V57" s="814"/>
      <c r="W57" s="814"/>
      <c r="X57" s="814"/>
      <c r="Y57" s="814"/>
      <c r="Z57" s="814"/>
      <c r="AA57" s="814"/>
      <c r="AB57" s="814"/>
      <c r="AC57" s="814"/>
      <c r="AD57" s="814"/>
      <c r="AE57" s="814"/>
      <c r="AF57" s="814"/>
      <c r="AG57" s="814"/>
      <c r="AH57" s="814"/>
      <c r="AI57" s="814"/>
      <c r="AJ57" s="814"/>
      <c r="AK57" s="814"/>
      <c r="AL57" s="814"/>
      <c r="AM57" s="814"/>
      <c r="AN57" s="814"/>
      <c r="AO57" s="814"/>
      <c r="AP57" s="814"/>
      <c r="AQ57" s="814"/>
      <c r="AR57" s="639"/>
      <c r="AS57" s="639"/>
      <c r="AT57" s="639"/>
      <c r="AU57" s="639"/>
      <c r="AV57" s="639"/>
      <c r="AW57" s="639"/>
      <c r="AX57" s="639"/>
      <c r="AY57" s="639"/>
      <c r="AZ57" s="639"/>
      <c r="BA57" s="639"/>
      <c r="BB57" s="639"/>
      <c r="BC57" s="640"/>
      <c r="BD57" s="640"/>
      <c r="BE57" s="640"/>
      <c r="BF57" s="640"/>
      <c r="BG57" s="640"/>
      <c r="BH57" s="640"/>
      <c r="BI57" s="640"/>
      <c r="BJ57" s="640"/>
    </row>
    <row r="58" spans="1:62">
      <c r="A58" s="814"/>
      <c r="B58" s="632"/>
      <c r="C58" s="633"/>
      <c r="D58" s="634"/>
      <c r="E58" s="635"/>
      <c r="F58" s="636"/>
      <c r="G58" s="832" t="str">
        <f t="shared" si="2"/>
        <v/>
      </c>
      <c r="H58" s="829" t="str">
        <f t="shared" si="3"/>
        <v/>
      </c>
      <c r="I58" s="829" t="str">
        <f t="shared" si="4"/>
        <v/>
      </c>
      <c r="J58" s="830" t="str">
        <f t="shared" si="5"/>
        <v/>
      </c>
      <c r="K58" s="648"/>
      <c r="L58" s="814"/>
      <c r="M58" s="814"/>
      <c r="N58" s="814"/>
      <c r="O58" s="814"/>
      <c r="P58" s="814"/>
      <c r="Q58" s="814"/>
      <c r="R58" s="814"/>
      <c r="S58" s="814"/>
      <c r="T58" s="814"/>
      <c r="U58" s="814"/>
      <c r="V58" s="814"/>
      <c r="W58" s="814"/>
      <c r="X58" s="814"/>
      <c r="Y58" s="814"/>
      <c r="Z58" s="814"/>
      <c r="AA58" s="814"/>
      <c r="AB58" s="814"/>
      <c r="AC58" s="814"/>
      <c r="AD58" s="814"/>
      <c r="AE58" s="814"/>
      <c r="AF58" s="814"/>
      <c r="AG58" s="814"/>
      <c r="AH58" s="814"/>
      <c r="AI58" s="814"/>
      <c r="AJ58" s="814"/>
      <c r="AK58" s="814"/>
      <c r="AL58" s="814"/>
      <c r="AM58" s="814"/>
      <c r="AN58" s="814"/>
      <c r="AO58" s="814"/>
      <c r="AP58" s="814"/>
      <c r="AQ58" s="814"/>
      <c r="AR58" s="639"/>
      <c r="AS58" s="639"/>
      <c r="AT58" s="639"/>
      <c r="AU58" s="639"/>
      <c r="AV58" s="639"/>
      <c r="AW58" s="639"/>
      <c r="AX58" s="639"/>
      <c r="AY58" s="639"/>
      <c r="AZ58" s="639"/>
      <c r="BA58" s="639"/>
      <c r="BB58" s="639"/>
      <c r="BC58" s="640"/>
      <c r="BD58" s="640"/>
      <c r="BE58" s="640"/>
      <c r="BF58" s="640"/>
      <c r="BG58" s="640"/>
      <c r="BH58" s="640"/>
      <c r="BI58" s="640"/>
      <c r="BJ58" s="640"/>
    </row>
    <row r="59" spans="1:62">
      <c r="A59" s="814"/>
      <c r="B59" s="632"/>
      <c r="C59" s="633"/>
      <c r="D59" s="634"/>
      <c r="E59" s="635"/>
      <c r="F59" s="636"/>
      <c r="G59" s="832" t="str">
        <f t="shared" si="2"/>
        <v/>
      </c>
      <c r="H59" s="829" t="str">
        <f t="shared" si="3"/>
        <v/>
      </c>
      <c r="I59" s="829" t="str">
        <f t="shared" si="4"/>
        <v/>
      </c>
      <c r="J59" s="830" t="str">
        <f t="shared" si="5"/>
        <v/>
      </c>
      <c r="K59" s="648"/>
      <c r="L59" s="814"/>
      <c r="M59" s="814"/>
      <c r="N59" s="814"/>
      <c r="O59" s="814"/>
      <c r="P59" s="814"/>
      <c r="Q59" s="814"/>
      <c r="R59" s="814"/>
      <c r="S59" s="814"/>
      <c r="T59" s="814"/>
      <c r="U59" s="814"/>
      <c r="V59" s="814"/>
      <c r="W59" s="814"/>
      <c r="X59" s="814"/>
      <c r="Y59" s="814"/>
      <c r="Z59" s="814"/>
      <c r="AA59" s="814"/>
      <c r="AB59" s="814"/>
      <c r="AC59" s="814"/>
      <c r="AD59" s="814"/>
      <c r="AE59" s="814"/>
      <c r="AF59" s="814"/>
      <c r="AG59" s="814"/>
      <c r="AH59" s="814"/>
      <c r="AI59" s="814"/>
      <c r="AJ59" s="814"/>
      <c r="AK59" s="814"/>
      <c r="AL59" s="814"/>
      <c r="AM59" s="814"/>
      <c r="AN59" s="814"/>
      <c r="AO59" s="814"/>
      <c r="AP59" s="814"/>
      <c r="AQ59" s="814"/>
      <c r="AR59" s="639"/>
      <c r="AS59" s="639"/>
      <c r="AT59" s="639"/>
      <c r="AU59" s="639"/>
      <c r="AV59" s="639"/>
      <c r="AW59" s="639"/>
      <c r="AX59" s="639"/>
      <c r="AY59" s="639"/>
      <c r="AZ59" s="639"/>
      <c r="BA59" s="639"/>
      <c r="BB59" s="639"/>
      <c r="BC59" s="640"/>
      <c r="BD59" s="640"/>
      <c r="BE59" s="640"/>
      <c r="BF59" s="640"/>
      <c r="BG59" s="640"/>
      <c r="BH59" s="640"/>
      <c r="BI59" s="640"/>
      <c r="BJ59" s="640"/>
    </row>
    <row r="60" spans="1:62">
      <c r="A60" s="814"/>
      <c r="B60" s="632"/>
      <c r="C60" s="633"/>
      <c r="D60" s="634"/>
      <c r="E60" s="635"/>
      <c r="F60" s="636"/>
      <c r="G60" s="832" t="str">
        <f t="shared" si="2"/>
        <v/>
      </c>
      <c r="H60" s="829" t="str">
        <f t="shared" si="3"/>
        <v/>
      </c>
      <c r="I60" s="829" t="str">
        <f t="shared" si="4"/>
        <v/>
      </c>
      <c r="J60" s="830" t="str">
        <f t="shared" si="5"/>
        <v/>
      </c>
      <c r="K60" s="648"/>
      <c r="L60" s="814"/>
      <c r="M60" s="814"/>
      <c r="N60" s="814"/>
      <c r="O60" s="814"/>
      <c r="P60" s="814"/>
      <c r="Q60" s="814"/>
      <c r="R60" s="814"/>
      <c r="S60" s="814"/>
      <c r="T60" s="814"/>
      <c r="U60" s="814"/>
      <c r="V60" s="814"/>
      <c r="W60" s="814"/>
      <c r="X60" s="814"/>
      <c r="Y60" s="814"/>
      <c r="Z60" s="814"/>
      <c r="AA60" s="814"/>
      <c r="AB60" s="814"/>
      <c r="AC60" s="814"/>
      <c r="AD60" s="814"/>
      <c r="AE60" s="814"/>
      <c r="AF60" s="814"/>
      <c r="AG60" s="814"/>
      <c r="AH60" s="814"/>
      <c r="AI60" s="814"/>
      <c r="AJ60" s="814"/>
      <c r="AK60" s="814"/>
      <c r="AL60" s="814"/>
      <c r="AM60" s="814"/>
      <c r="AN60" s="814"/>
      <c r="AO60" s="814"/>
      <c r="AP60" s="814"/>
      <c r="AQ60" s="814"/>
      <c r="AR60" s="639"/>
      <c r="AS60" s="639"/>
      <c r="AT60" s="639"/>
      <c r="AU60" s="639"/>
      <c r="AV60" s="639"/>
      <c r="AW60" s="639"/>
      <c r="AX60" s="639"/>
      <c r="AY60" s="639"/>
      <c r="AZ60" s="639"/>
      <c r="BA60" s="639"/>
      <c r="BB60" s="639"/>
      <c r="BC60" s="640"/>
      <c r="BD60" s="640"/>
      <c r="BE60" s="640"/>
      <c r="BF60" s="640"/>
      <c r="BG60" s="640"/>
      <c r="BH60" s="640"/>
      <c r="BI60" s="640"/>
      <c r="BJ60" s="640"/>
    </row>
    <row r="61" spans="1:62">
      <c r="A61" s="814"/>
      <c r="B61" s="632"/>
      <c r="C61" s="633"/>
      <c r="D61" s="634"/>
      <c r="E61" s="635"/>
      <c r="F61" s="636"/>
      <c r="G61" s="832" t="str">
        <f t="shared" si="2"/>
        <v/>
      </c>
      <c r="H61" s="829" t="str">
        <f t="shared" si="3"/>
        <v/>
      </c>
      <c r="I61" s="829" t="str">
        <f t="shared" si="4"/>
        <v/>
      </c>
      <c r="J61" s="830" t="str">
        <f t="shared" si="5"/>
        <v/>
      </c>
      <c r="K61" s="648"/>
      <c r="L61" s="814"/>
      <c r="M61" s="814"/>
      <c r="N61" s="814"/>
      <c r="O61" s="814"/>
      <c r="P61" s="814"/>
      <c r="Q61" s="814"/>
      <c r="R61" s="814"/>
      <c r="S61" s="814"/>
      <c r="T61" s="814"/>
      <c r="U61" s="814"/>
      <c r="V61" s="814"/>
      <c r="W61" s="814"/>
      <c r="X61" s="814"/>
      <c r="Y61" s="814"/>
      <c r="Z61" s="814"/>
      <c r="AA61" s="814"/>
      <c r="AB61" s="814"/>
      <c r="AC61" s="814"/>
      <c r="AD61" s="814"/>
      <c r="AE61" s="814"/>
      <c r="AF61" s="814"/>
      <c r="AG61" s="814"/>
      <c r="AH61" s="814"/>
      <c r="AI61" s="814"/>
      <c r="AJ61" s="814"/>
      <c r="AK61" s="814"/>
      <c r="AL61" s="814"/>
      <c r="AM61" s="814"/>
      <c r="AN61" s="814"/>
      <c r="AO61" s="814"/>
      <c r="AP61" s="814"/>
      <c r="AQ61" s="814"/>
      <c r="AR61" s="639"/>
      <c r="AS61" s="639"/>
      <c r="AT61" s="639"/>
      <c r="AU61" s="639"/>
      <c r="AV61" s="639"/>
      <c r="AW61" s="639"/>
      <c r="AX61" s="639"/>
      <c r="AY61" s="639"/>
      <c r="AZ61" s="639"/>
      <c r="BA61" s="639"/>
      <c r="BB61" s="639"/>
      <c r="BC61" s="640"/>
      <c r="BD61" s="640"/>
      <c r="BE61" s="640"/>
      <c r="BF61" s="640"/>
      <c r="BG61" s="640"/>
      <c r="BH61" s="640"/>
      <c r="BI61" s="640"/>
      <c r="BJ61" s="640"/>
    </row>
    <row r="62" spans="1:62">
      <c r="A62" s="814"/>
      <c r="B62" s="632"/>
      <c r="C62" s="633"/>
      <c r="D62" s="634"/>
      <c r="E62" s="635"/>
      <c r="F62" s="636"/>
      <c r="G62" s="832" t="str">
        <f t="shared" si="2"/>
        <v/>
      </c>
      <c r="H62" s="829" t="str">
        <f t="shared" si="3"/>
        <v/>
      </c>
      <c r="I62" s="829" t="str">
        <f t="shared" si="4"/>
        <v/>
      </c>
      <c r="J62" s="830" t="str">
        <f t="shared" si="5"/>
        <v/>
      </c>
      <c r="K62" s="648"/>
      <c r="L62" s="814"/>
      <c r="M62" s="814"/>
      <c r="N62" s="814"/>
      <c r="O62" s="814"/>
      <c r="P62" s="814"/>
      <c r="Q62" s="814"/>
      <c r="R62" s="814"/>
      <c r="S62" s="814"/>
      <c r="T62" s="814"/>
      <c r="U62" s="814"/>
      <c r="V62" s="814"/>
      <c r="W62" s="814"/>
      <c r="X62" s="814"/>
      <c r="Y62" s="814"/>
      <c r="Z62" s="814"/>
      <c r="AA62" s="814"/>
      <c r="AB62" s="814"/>
      <c r="AC62" s="814"/>
      <c r="AD62" s="814"/>
      <c r="AE62" s="814"/>
      <c r="AF62" s="814"/>
      <c r="AG62" s="814"/>
      <c r="AH62" s="814"/>
      <c r="AI62" s="814"/>
      <c r="AJ62" s="814"/>
      <c r="AK62" s="814"/>
      <c r="AL62" s="814"/>
      <c r="AM62" s="814"/>
      <c r="AN62" s="814"/>
      <c r="AO62" s="814"/>
      <c r="AP62" s="814"/>
      <c r="AQ62" s="814"/>
      <c r="AR62" s="639"/>
      <c r="AS62" s="639"/>
      <c r="AT62" s="639"/>
      <c r="AU62" s="639"/>
      <c r="AV62" s="639"/>
      <c r="AW62" s="639"/>
      <c r="AX62" s="639"/>
      <c r="AY62" s="639"/>
      <c r="AZ62" s="639"/>
      <c r="BA62" s="639"/>
      <c r="BB62" s="639"/>
      <c r="BC62" s="640"/>
      <c r="BD62" s="640"/>
      <c r="BE62" s="640"/>
      <c r="BF62" s="640"/>
      <c r="BG62" s="640"/>
      <c r="BH62" s="640"/>
      <c r="BI62" s="640"/>
      <c r="BJ62" s="640"/>
    </row>
    <row r="63" spans="1:62">
      <c r="A63" s="814"/>
      <c r="B63" s="632"/>
      <c r="C63" s="633"/>
      <c r="D63" s="634"/>
      <c r="E63" s="635"/>
      <c r="F63" s="636"/>
      <c r="G63" s="832" t="str">
        <f t="shared" si="2"/>
        <v/>
      </c>
      <c r="H63" s="829" t="str">
        <f t="shared" si="3"/>
        <v/>
      </c>
      <c r="I63" s="829" t="str">
        <f t="shared" si="4"/>
        <v/>
      </c>
      <c r="J63" s="830" t="str">
        <f t="shared" si="5"/>
        <v/>
      </c>
      <c r="K63" s="648"/>
      <c r="L63" s="814"/>
      <c r="M63" s="814"/>
      <c r="N63" s="814"/>
      <c r="O63" s="814"/>
      <c r="P63" s="814"/>
      <c r="Q63" s="814"/>
      <c r="R63" s="814"/>
      <c r="S63" s="814"/>
      <c r="T63" s="814"/>
      <c r="U63" s="814"/>
      <c r="V63" s="814"/>
      <c r="W63" s="814"/>
      <c r="X63" s="814"/>
      <c r="Y63" s="814"/>
      <c r="Z63" s="814"/>
      <c r="AA63" s="814"/>
      <c r="AB63" s="814"/>
      <c r="AC63" s="814"/>
      <c r="AD63" s="814"/>
      <c r="AE63" s="814"/>
      <c r="AF63" s="814"/>
      <c r="AG63" s="814"/>
      <c r="AH63" s="814"/>
      <c r="AI63" s="814"/>
      <c r="AJ63" s="814"/>
      <c r="AK63" s="814"/>
      <c r="AL63" s="814"/>
      <c r="AM63" s="814"/>
      <c r="AN63" s="814"/>
      <c r="AO63" s="814"/>
      <c r="AP63" s="814"/>
      <c r="AQ63" s="814"/>
      <c r="AR63" s="639"/>
      <c r="AS63" s="639"/>
      <c r="AT63" s="639"/>
      <c r="AU63" s="639"/>
      <c r="AV63" s="639"/>
      <c r="AW63" s="639"/>
      <c r="AX63" s="639"/>
      <c r="AY63" s="639"/>
      <c r="AZ63" s="639"/>
      <c r="BA63" s="639"/>
      <c r="BB63" s="639"/>
      <c r="BC63" s="640"/>
      <c r="BD63" s="640"/>
      <c r="BE63" s="640"/>
      <c r="BF63" s="640"/>
      <c r="BG63" s="640"/>
      <c r="BH63" s="640"/>
      <c r="BI63" s="640"/>
      <c r="BJ63" s="640"/>
    </row>
    <row r="64" spans="1:62">
      <c r="A64" s="814"/>
      <c r="B64" s="632"/>
      <c r="C64" s="633"/>
      <c r="D64" s="634"/>
      <c r="E64" s="635"/>
      <c r="F64" s="636"/>
      <c r="G64" s="832" t="str">
        <f t="shared" si="2"/>
        <v/>
      </c>
      <c r="H64" s="829" t="str">
        <f t="shared" si="3"/>
        <v/>
      </c>
      <c r="I64" s="829" t="str">
        <f t="shared" si="4"/>
        <v/>
      </c>
      <c r="J64" s="830" t="str">
        <f t="shared" si="5"/>
        <v/>
      </c>
      <c r="K64" s="648"/>
      <c r="L64" s="814"/>
      <c r="M64" s="814"/>
      <c r="N64" s="814"/>
      <c r="O64" s="814"/>
      <c r="P64" s="814"/>
      <c r="Q64" s="814"/>
      <c r="R64" s="814"/>
      <c r="S64" s="814"/>
      <c r="T64" s="814"/>
      <c r="U64" s="814"/>
      <c r="V64" s="814"/>
      <c r="W64" s="814"/>
      <c r="X64" s="814"/>
      <c r="Y64" s="814"/>
      <c r="Z64" s="814"/>
      <c r="AA64" s="814"/>
      <c r="AB64" s="814"/>
      <c r="AC64" s="814"/>
      <c r="AD64" s="814"/>
      <c r="AE64" s="814"/>
      <c r="AF64" s="814"/>
      <c r="AG64" s="814"/>
      <c r="AH64" s="814"/>
      <c r="AI64" s="814"/>
      <c r="AJ64" s="814"/>
      <c r="AK64" s="814"/>
      <c r="AL64" s="814"/>
      <c r="AM64" s="814"/>
      <c r="AN64" s="814"/>
      <c r="AO64" s="814"/>
      <c r="AP64" s="814"/>
      <c r="AQ64" s="814"/>
      <c r="AR64" s="639"/>
      <c r="AS64" s="639"/>
      <c r="AT64" s="639"/>
      <c r="AU64" s="639"/>
      <c r="AV64" s="639"/>
      <c r="AW64" s="639"/>
      <c r="AX64" s="639"/>
      <c r="AY64" s="639"/>
      <c r="AZ64" s="639"/>
      <c r="BA64" s="639"/>
      <c r="BB64" s="639"/>
      <c r="BC64" s="639"/>
      <c r="BD64" s="639"/>
      <c r="BE64" s="639"/>
      <c r="BF64" s="639"/>
      <c r="BG64" s="639"/>
      <c r="BH64" s="639"/>
      <c r="BI64" s="639"/>
      <c r="BJ64" s="639"/>
    </row>
    <row r="65" spans="1:43">
      <c r="A65" s="814"/>
      <c r="B65" s="632"/>
      <c r="C65" s="633"/>
      <c r="D65" s="634"/>
      <c r="E65" s="635"/>
      <c r="F65" s="636"/>
      <c r="G65" s="832" t="str">
        <f t="shared" si="2"/>
        <v/>
      </c>
      <c r="H65" s="829" t="str">
        <f t="shared" si="3"/>
        <v/>
      </c>
      <c r="I65" s="829" t="str">
        <f t="shared" si="4"/>
        <v/>
      </c>
      <c r="J65" s="830" t="str">
        <f t="shared" si="5"/>
        <v/>
      </c>
      <c r="K65" s="648"/>
      <c r="L65" s="814"/>
      <c r="M65" s="814"/>
      <c r="N65" s="814"/>
      <c r="O65" s="814"/>
      <c r="P65" s="814"/>
      <c r="Q65" s="814"/>
      <c r="R65" s="814"/>
      <c r="S65" s="814"/>
      <c r="T65" s="814"/>
      <c r="U65" s="814"/>
      <c r="V65" s="814"/>
      <c r="W65" s="814"/>
      <c r="X65" s="814"/>
      <c r="Y65" s="814"/>
      <c r="Z65" s="814"/>
      <c r="AA65" s="814"/>
      <c r="AB65" s="69"/>
      <c r="AC65" s="69"/>
      <c r="AD65" s="69"/>
      <c r="AE65" s="69"/>
      <c r="AF65" s="69"/>
      <c r="AG65" s="69"/>
      <c r="AH65" s="69"/>
      <c r="AI65" s="69"/>
      <c r="AJ65" s="69"/>
      <c r="AK65" s="69"/>
      <c r="AL65" s="69"/>
      <c r="AM65" s="69"/>
      <c r="AN65" s="69"/>
      <c r="AO65" s="69"/>
      <c r="AP65" s="69"/>
      <c r="AQ65" s="69"/>
    </row>
    <row r="66" spans="1:43">
      <c r="A66" s="814"/>
      <c r="B66" s="632"/>
      <c r="C66" s="633"/>
      <c r="D66" s="634"/>
      <c r="E66" s="635"/>
      <c r="F66" s="636"/>
      <c r="G66" s="832" t="str">
        <f t="shared" si="2"/>
        <v/>
      </c>
      <c r="H66" s="829" t="str">
        <f t="shared" si="3"/>
        <v/>
      </c>
      <c r="I66" s="829" t="str">
        <f t="shared" si="4"/>
        <v/>
      </c>
      <c r="J66" s="830" t="str">
        <f t="shared" si="5"/>
        <v/>
      </c>
      <c r="K66" s="648"/>
      <c r="L66" s="814"/>
      <c r="M66" s="814"/>
      <c r="N66" s="814"/>
      <c r="O66" s="814"/>
      <c r="P66" s="814"/>
      <c r="Q66" s="814"/>
      <c r="R66" s="814"/>
      <c r="S66" s="814"/>
      <c r="T66" s="814"/>
      <c r="U66" s="814"/>
      <c r="V66" s="814"/>
      <c r="W66" s="814"/>
      <c r="X66" s="814"/>
      <c r="Y66" s="814"/>
      <c r="Z66" s="814"/>
      <c r="AA66" s="814"/>
      <c r="AB66" s="69"/>
      <c r="AC66" s="69"/>
      <c r="AD66" s="69"/>
      <c r="AE66" s="69"/>
      <c r="AF66" s="69"/>
      <c r="AG66" s="69"/>
      <c r="AH66" s="69"/>
      <c r="AI66" s="69"/>
      <c r="AJ66" s="69"/>
      <c r="AK66" s="69"/>
      <c r="AL66" s="69"/>
      <c r="AM66" s="69"/>
      <c r="AN66" s="69"/>
      <c r="AO66" s="69"/>
      <c r="AP66" s="69"/>
      <c r="AQ66" s="69"/>
    </row>
    <row r="67" spans="1:43">
      <c r="A67" s="814"/>
      <c r="B67" s="632"/>
      <c r="C67" s="633"/>
      <c r="D67" s="634"/>
      <c r="E67" s="635"/>
      <c r="F67" s="636"/>
      <c r="G67" s="832" t="str">
        <f t="shared" si="2"/>
        <v/>
      </c>
      <c r="H67" s="829" t="str">
        <f t="shared" si="3"/>
        <v/>
      </c>
      <c r="I67" s="829" t="str">
        <f t="shared" si="4"/>
        <v/>
      </c>
      <c r="J67" s="830" t="str">
        <f t="shared" si="5"/>
        <v/>
      </c>
      <c r="K67" s="648"/>
      <c r="L67" s="814"/>
      <c r="M67" s="814"/>
      <c r="N67" s="814"/>
      <c r="O67" s="814"/>
      <c r="P67" s="814"/>
      <c r="Q67" s="814"/>
      <c r="R67" s="814"/>
      <c r="S67" s="814"/>
      <c r="T67" s="814"/>
      <c r="U67" s="814"/>
      <c r="V67" s="814"/>
      <c r="W67" s="814"/>
      <c r="X67" s="814"/>
      <c r="Y67" s="814"/>
      <c r="Z67" s="814"/>
      <c r="AA67" s="814"/>
      <c r="AB67" s="69"/>
      <c r="AC67" s="69"/>
      <c r="AD67" s="69"/>
      <c r="AE67" s="69"/>
      <c r="AF67" s="69"/>
      <c r="AG67" s="69"/>
      <c r="AH67" s="69"/>
      <c r="AI67" s="69"/>
      <c r="AJ67" s="69"/>
      <c r="AK67" s="69"/>
      <c r="AL67" s="69"/>
      <c r="AM67" s="69"/>
      <c r="AN67" s="69"/>
      <c r="AO67" s="69"/>
      <c r="AP67" s="69"/>
      <c r="AQ67" s="69"/>
    </row>
    <row r="68" spans="1:43">
      <c r="A68" s="814"/>
      <c r="B68" s="632"/>
      <c r="C68" s="633"/>
      <c r="D68" s="634"/>
      <c r="E68" s="635"/>
      <c r="F68" s="636"/>
      <c r="G68" s="832" t="str">
        <f t="shared" si="2"/>
        <v/>
      </c>
      <c r="H68" s="829" t="str">
        <f t="shared" si="3"/>
        <v/>
      </c>
      <c r="I68" s="829" t="str">
        <f t="shared" si="4"/>
        <v/>
      </c>
      <c r="J68" s="830" t="str">
        <f t="shared" si="5"/>
        <v/>
      </c>
      <c r="K68" s="648"/>
      <c r="L68" s="814"/>
      <c r="M68" s="814"/>
      <c r="N68" s="814"/>
      <c r="O68" s="814"/>
      <c r="P68" s="814"/>
      <c r="Q68" s="814"/>
      <c r="R68" s="814"/>
      <c r="S68" s="814"/>
      <c r="T68" s="814"/>
      <c r="U68" s="814"/>
      <c r="V68" s="814"/>
      <c r="W68" s="814"/>
      <c r="X68" s="814"/>
      <c r="Y68" s="814"/>
      <c r="Z68" s="814"/>
      <c r="AA68" s="814"/>
      <c r="AB68" s="69"/>
      <c r="AC68" s="69"/>
      <c r="AD68" s="69"/>
      <c r="AE68" s="69"/>
      <c r="AF68" s="69"/>
      <c r="AG68" s="69"/>
      <c r="AH68" s="69"/>
      <c r="AI68" s="69"/>
      <c r="AJ68" s="69"/>
      <c r="AK68" s="69"/>
      <c r="AL68" s="69"/>
      <c r="AM68" s="69"/>
      <c r="AN68" s="69"/>
      <c r="AO68" s="69"/>
      <c r="AP68" s="69"/>
      <c r="AQ68" s="69"/>
    </row>
    <row r="69" spans="1:43">
      <c r="A69" s="814"/>
      <c r="B69" s="632"/>
      <c r="C69" s="633"/>
      <c r="D69" s="634"/>
      <c r="E69" s="635"/>
      <c r="F69" s="636"/>
      <c r="G69" s="832" t="str">
        <f t="shared" si="2"/>
        <v/>
      </c>
      <c r="H69" s="829" t="str">
        <f t="shared" si="3"/>
        <v/>
      </c>
      <c r="I69" s="829" t="str">
        <f t="shared" si="4"/>
        <v/>
      </c>
      <c r="J69" s="830" t="str">
        <f t="shared" si="5"/>
        <v/>
      </c>
      <c r="K69" s="648"/>
      <c r="L69" s="814"/>
      <c r="M69" s="814"/>
      <c r="N69" s="814"/>
      <c r="O69" s="814"/>
      <c r="P69" s="814"/>
      <c r="Q69" s="814"/>
      <c r="R69" s="814"/>
      <c r="S69" s="814"/>
      <c r="T69" s="814"/>
      <c r="U69" s="814"/>
      <c r="V69" s="814"/>
      <c r="W69" s="814"/>
      <c r="X69" s="814"/>
      <c r="Y69" s="814"/>
      <c r="Z69" s="814"/>
      <c r="AA69" s="814"/>
      <c r="AB69" s="69"/>
      <c r="AC69" s="69"/>
      <c r="AD69" s="69"/>
      <c r="AE69" s="69"/>
      <c r="AF69" s="69"/>
      <c r="AG69" s="69"/>
      <c r="AH69" s="69"/>
      <c r="AI69" s="69"/>
      <c r="AJ69" s="69"/>
      <c r="AK69" s="69"/>
      <c r="AL69" s="69"/>
      <c r="AM69" s="69"/>
      <c r="AN69" s="69"/>
      <c r="AO69" s="69"/>
      <c r="AP69" s="69"/>
      <c r="AQ69" s="69"/>
    </row>
    <row r="70" spans="1:43">
      <c r="A70" s="814"/>
      <c r="B70" s="632"/>
      <c r="C70" s="633"/>
      <c r="D70" s="634"/>
      <c r="E70" s="635"/>
      <c r="F70" s="636"/>
      <c r="G70" s="832" t="str">
        <f t="shared" si="2"/>
        <v/>
      </c>
      <c r="H70" s="829" t="str">
        <f t="shared" si="3"/>
        <v/>
      </c>
      <c r="I70" s="829" t="str">
        <f t="shared" si="4"/>
        <v/>
      </c>
      <c r="J70" s="830" t="str">
        <f t="shared" si="5"/>
        <v/>
      </c>
      <c r="K70" s="648"/>
      <c r="L70" s="814"/>
      <c r="M70" s="814"/>
      <c r="N70" s="814"/>
      <c r="O70" s="814"/>
      <c r="P70" s="814"/>
      <c r="Q70" s="814"/>
      <c r="R70" s="814"/>
      <c r="S70" s="814"/>
      <c r="T70" s="814"/>
      <c r="U70" s="814"/>
      <c r="V70" s="814"/>
      <c r="W70" s="814"/>
      <c r="X70" s="814"/>
      <c r="Y70" s="814"/>
      <c r="Z70" s="814"/>
      <c r="AA70" s="814"/>
      <c r="AB70" s="69"/>
      <c r="AC70" s="69"/>
      <c r="AD70" s="69"/>
      <c r="AE70" s="69"/>
      <c r="AF70" s="69"/>
      <c r="AG70" s="69"/>
      <c r="AH70" s="69"/>
      <c r="AI70" s="69"/>
      <c r="AJ70" s="69"/>
      <c r="AK70" s="69"/>
      <c r="AL70" s="69"/>
      <c r="AM70" s="69"/>
      <c r="AN70" s="69"/>
      <c r="AO70" s="69"/>
      <c r="AP70" s="69"/>
      <c r="AQ70" s="69"/>
    </row>
    <row r="71" spans="1:43">
      <c r="A71" s="814"/>
      <c r="B71" s="632"/>
      <c r="C71" s="633"/>
      <c r="D71" s="634"/>
      <c r="E71" s="635"/>
      <c r="F71" s="636"/>
      <c r="G71" s="832" t="str">
        <f t="shared" ref="G71:G134" si="6">IF(D71="","",IF(D71&gt;$I$2,"No, less than 11 weeks","Yes, valid entry for period"))</f>
        <v/>
      </c>
      <c r="H71" s="829" t="str">
        <f t="shared" ref="H71:H150" si="7">IF(F71="","",IF(D71&lt;$I$3,"",F71))</f>
        <v/>
      </c>
      <c r="I71" s="829" t="str">
        <f t="shared" ref="I71:I150" si="8">IF(F71="","",IF(D71&gt;=$I$3,"",F71))</f>
        <v/>
      </c>
      <c r="J71" s="830" t="str">
        <f t="shared" ref="J71:J134" si="9">IF(D71="","",SUM(D71+119))</f>
        <v/>
      </c>
      <c r="K71" s="648"/>
      <c r="L71" s="814"/>
      <c r="M71" s="814"/>
      <c r="N71" s="814"/>
      <c r="O71" s="814"/>
      <c r="P71" s="814"/>
      <c r="Q71" s="814"/>
      <c r="R71" s="814"/>
      <c r="S71" s="814"/>
      <c r="T71" s="814"/>
      <c r="U71" s="814"/>
      <c r="V71" s="814"/>
      <c r="W71" s="814"/>
      <c r="X71" s="814"/>
      <c r="Y71" s="814"/>
      <c r="Z71" s="814"/>
      <c r="AA71" s="814"/>
      <c r="AB71" s="69"/>
      <c r="AC71" s="69"/>
      <c r="AD71" s="69"/>
      <c r="AE71" s="69"/>
      <c r="AF71" s="69"/>
      <c r="AG71" s="69"/>
      <c r="AH71" s="69"/>
      <c r="AI71" s="69"/>
      <c r="AJ71" s="69"/>
      <c r="AK71" s="69"/>
      <c r="AL71" s="69"/>
      <c r="AM71" s="69"/>
      <c r="AN71" s="69"/>
      <c r="AO71" s="69"/>
      <c r="AP71" s="69"/>
      <c r="AQ71" s="69"/>
    </row>
    <row r="72" spans="1:43">
      <c r="A72" s="814"/>
      <c r="B72" s="632"/>
      <c r="C72" s="633"/>
      <c r="D72" s="634"/>
      <c r="E72" s="635"/>
      <c r="F72" s="636"/>
      <c r="G72" s="833" t="str">
        <f t="shared" si="6"/>
        <v/>
      </c>
      <c r="H72" s="829" t="str">
        <f t="shared" si="7"/>
        <v/>
      </c>
      <c r="I72" s="829" t="str">
        <f t="shared" si="8"/>
        <v/>
      </c>
      <c r="J72" s="830" t="str">
        <f t="shared" si="9"/>
        <v/>
      </c>
      <c r="K72" s="648"/>
      <c r="L72" s="814"/>
      <c r="M72" s="814"/>
      <c r="N72" s="814"/>
      <c r="O72" s="814"/>
      <c r="P72" s="814"/>
      <c r="Q72" s="814"/>
      <c r="R72" s="814"/>
      <c r="S72" s="814"/>
      <c r="T72" s="814"/>
      <c r="U72" s="814"/>
      <c r="V72" s="814"/>
      <c r="W72" s="814"/>
      <c r="X72" s="814"/>
      <c r="Y72" s="814"/>
      <c r="Z72" s="814"/>
      <c r="AA72" s="814"/>
      <c r="AB72" s="69"/>
      <c r="AC72" s="69"/>
      <c r="AD72" s="69"/>
      <c r="AE72" s="69"/>
      <c r="AF72" s="69"/>
      <c r="AG72" s="69"/>
      <c r="AH72" s="69"/>
      <c r="AI72" s="69"/>
      <c r="AJ72" s="69"/>
      <c r="AK72" s="69"/>
      <c r="AL72" s="69"/>
      <c r="AM72" s="69"/>
      <c r="AN72" s="69"/>
      <c r="AO72" s="69"/>
      <c r="AP72" s="69"/>
      <c r="AQ72" s="69"/>
    </row>
    <row r="73" spans="1:43">
      <c r="A73" s="814"/>
      <c r="B73" s="632"/>
      <c r="C73" s="633"/>
      <c r="D73" s="634"/>
      <c r="E73" s="635"/>
      <c r="F73" s="636"/>
      <c r="G73" s="832" t="str">
        <f t="shared" si="6"/>
        <v/>
      </c>
      <c r="H73" s="829" t="str">
        <f t="shared" si="7"/>
        <v/>
      </c>
      <c r="I73" s="829" t="str">
        <f t="shared" si="8"/>
        <v/>
      </c>
      <c r="J73" s="830" t="str">
        <f t="shared" si="9"/>
        <v/>
      </c>
      <c r="K73" s="648"/>
      <c r="L73" s="814"/>
      <c r="M73" s="814"/>
      <c r="N73" s="814"/>
      <c r="O73" s="814"/>
      <c r="P73" s="814"/>
      <c r="Q73" s="814"/>
      <c r="R73" s="814"/>
      <c r="S73" s="814"/>
      <c r="T73" s="814"/>
      <c r="U73" s="814"/>
      <c r="V73" s="814"/>
      <c r="W73" s="814"/>
      <c r="X73" s="814"/>
      <c r="Y73" s="814"/>
      <c r="Z73" s="814"/>
      <c r="AA73" s="814"/>
      <c r="AB73" s="69"/>
      <c r="AC73" s="69"/>
      <c r="AD73" s="69"/>
      <c r="AE73" s="69"/>
      <c r="AF73" s="69"/>
      <c r="AG73" s="69"/>
      <c r="AH73" s="69"/>
      <c r="AI73" s="69"/>
      <c r="AJ73" s="69"/>
      <c r="AK73" s="69"/>
      <c r="AL73" s="69"/>
      <c r="AM73" s="69"/>
      <c r="AN73" s="69"/>
      <c r="AO73" s="69"/>
      <c r="AP73" s="69"/>
      <c r="AQ73" s="69"/>
    </row>
    <row r="74" spans="1:43">
      <c r="A74" s="814"/>
      <c r="B74" s="632"/>
      <c r="C74" s="633"/>
      <c r="D74" s="634"/>
      <c r="E74" s="635"/>
      <c r="F74" s="636"/>
      <c r="G74" s="832" t="str">
        <f t="shared" si="6"/>
        <v/>
      </c>
      <c r="H74" s="829" t="str">
        <f t="shared" si="7"/>
        <v/>
      </c>
      <c r="I74" s="829" t="str">
        <f t="shared" si="8"/>
        <v/>
      </c>
      <c r="J74" s="830" t="str">
        <f t="shared" si="9"/>
        <v/>
      </c>
      <c r="K74" s="648"/>
      <c r="L74" s="814"/>
      <c r="M74" s="814"/>
      <c r="N74" s="814"/>
      <c r="O74" s="814"/>
      <c r="P74" s="814"/>
      <c r="Q74" s="814"/>
      <c r="R74" s="814"/>
      <c r="S74" s="814"/>
      <c r="T74" s="814"/>
      <c r="U74" s="814"/>
      <c r="V74" s="814"/>
      <c r="W74" s="814"/>
      <c r="X74" s="814"/>
      <c r="Y74" s="814"/>
      <c r="Z74" s="814"/>
      <c r="AA74" s="814"/>
      <c r="AB74" s="69"/>
      <c r="AC74" s="69"/>
      <c r="AD74" s="69"/>
      <c r="AE74" s="69"/>
      <c r="AF74" s="69"/>
      <c r="AG74" s="69"/>
      <c r="AH74" s="69"/>
      <c r="AI74" s="69"/>
      <c r="AJ74" s="69"/>
      <c r="AK74" s="69"/>
      <c r="AL74" s="69"/>
      <c r="AM74" s="69"/>
      <c r="AN74" s="69"/>
      <c r="AO74" s="69"/>
      <c r="AP74" s="69"/>
      <c r="AQ74" s="69"/>
    </row>
    <row r="75" spans="1:43">
      <c r="A75" s="814"/>
      <c r="B75" s="632"/>
      <c r="C75" s="633"/>
      <c r="D75" s="634"/>
      <c r="E75" s="635"/>
      <c r="F75" s="636"/>
      <c r="G75" s="832" t="str">
        <f t="shared" si="6"/>
        <v/>
      </c>
      <c r="H75" s="829" t="str">
        <f t="shared" si="7"/>
        <v/>
      </c>
      <c r="I75" s="829" t="str">
        <f t="shared" si="8"/>
        <v/>
      </c>
      <c r="J75" s="830" t="str">
        <f t="shared" si="9"/>
        <v/>
      </c>
      <c r="K75" s="648"/>
      <c r="L75" s="814"/>
      <c r="M75" s="814"/>
      <c r="N75" s="814"/>
      <c r="O75" s="814"/>
      <c r="P75" s="814"/>
      <c r="Q75" s="814"/>
      <c r="R75" s="814"/>
      <c r="S75" s="814"/>
      <c r="T75" s="814"/>
      <c r="U75" s="814"/>
      <c r="V75" s="814"/>
      <c r="W75" s="814"/>
      <c r="X75" s="814"/>
      <c r="Y75" s="814"/>
      <c r="Z75" s="814"/>
      <c r="AA75" s="814"/>
      <c r="AB75" s="69"/>
      <c r="AC75" s="69"/>
      <c r="AD75" s="69"/>
      <c r="AE75" s="69"/>
      <c r="AF75" s="69"/>
      <c r="AG75" s="69"/>
      <c r="AH75" s="69"/>
      <c r="AI75" s="69"/>
      <c r="AJ75" s="69"/>
      <c r="AK75" s="69"/>
      <c r="AL75" s="69"/>
      <c r="AM75" s="69"/>
      <c r="AN75" s="69"/>
      <c r="AO75" s="69"/>
      <c r="AP75" s="69"/>
      <c r="AQ75" s="69"/>
    </row>
    <row r="76" spans="1:43">
      <c r="A76" s="814"/>
      <c r="B76" s="632"/>
      <c r="C76" s="633"/>
      <c r="D76" s="634"/>
      <c r="E76" s="635"/>
      <c r="F76" s="636"/>
      <c r="G76" s="832" t="str">
        <f t="shared" si="6"/>
        <v/>
      </c>
      <c r="H76" s="829" t="str">
        <f t="shared" si="7"/>
        <v/>
      </c>
      <c r="I76" s="829" t="str">
        <f t="shared" si="8"/>
        <v/>
      </c>
      <c r="J76" s="830" t="str">
        <f t="shared" si="9"/>
        <v/>
      </c>
      <c r="K76" s="648"/>
      <c r="L76" s="814"/>
      <c r="M76" s="814"/>
      <c r="N76" s="814"/>
      <c r="O76" s="814"/>
      <c r="P76" s="814"/>
      <c r="Q76" s="814"/>
      <c r="R76" s="814"/>
      <c r="S76" s="814"/>
      <c r="T76" s="814"/>
      <c r="U76" s="814"/>
      <c r="V76" s="814"/>
      <c r="W76" s="814"/>
      <c r="X76" s="814"/>
      <c r="Y76" s="814"/>
      <c r="Z76" s="814"/>
      <c r="AA76" s="814"/>
      <c r="AB76" s="69"/>
      <c r="AC76" s="69"/>
      <c r="AD76" s="69"/>
      <c r="AE76" s="69"/>
      <c r="AF76" s="69"/>
      <c r="AG76" s="69"/>
      <c r="AH76" s="69"/>
      <c r="AI76" s="69"/>
      <c r="AJ76" s="69"/>
      <c r="AK76" s="69"/>
      <c r="AL76" s="69"/>
      <c r="AM76" s="69"/>
      <c r="AN76" s="69"/>
      <c r="AO76" s="69"/>
      <c r="AP76" s="69"/>
      <c r="AQ76" s="69"/>
    </row>
    <row r="77" spans="1:43">
      <c r="A77" s="814"/>
      <c r="B77" s="632"/>
      <c r="C77" s="633"/>
      <c r="D77" s="634"/>
      <c r="E77" s="635"/>
      <c r="F77" s="636"/>
      <c r="G77" s="832" t="str">
        <f t="shared" si="6"/>
        <v/>
      </c>
      <c r="H77" s="829" t="str">
        <f t="shared" si="7"/>
        <v/>
      </c>
      <c r="I77" s="829" t="str">
        <f t="shared" si="8"/>
        <v/>
      </c>
      <c r="J77" s="830" t="str">
        <f t="shared" si="9"/>
        <v/>
      </c>
      <c r="K77" s="648"/>
      <c r="L77" s="814"/>
      <c r="M77" s="814"/>
      <c r="N77" s="814"/>
      <c r="O77" s="814"/>
      <c r="P77" s="814"/>
      <c r="Q77" s="814"/>
      <c r="R77" s="814"/>
      <c r="S77" s="814"/>
      <c r="T77" s="814"/>
      <c r="U77" s="814"/>
      <c r="V77" s="814"/>
      <c r="W77" s="814"/>
      <c r="X77" s="814"/>
      <c r="Y77" s="814"/>
      <c r="Z77" s="814"/>
      <c r="AA77" s="814"/>
      <c r="AB77" s="69"/>
      <c r="AC77" s="69"/>
      <c r="AD77" s="69"/>
      <c r="AE77" s="69"/>
      <c r="AF77" s="69"/>
      <c r="AG77" s="69"/>
      <c r="AH77" s="69"/>
      <c r="AI77" s="69"/>
      <c r="AJ77" s="69"/>
      <c r="AK77" s="69"/>
      <c r="AL77" s="69"/>
      <c r="AM77" s="69"/>
      <c r="AN77" s="69"/>
      <c r="AO77" s="69"/>
      <c r="AP77" s="69"/>
      <c r="AQ77" s="69"/>
    </row>
    <row r="78" spans="1:43">
      <c r="A78" s="814"/>
      <c r="B78" s="632"/>
      <c r="C78" s="633"/>
      <c r="D78" s="634"/>
      <c r="E78" s="635"/>
      <c r="F78" s="636"/>
      <c r="G78" s="832" t="str">
        <f t="shared" si="6"/>
        <v/>
      </c>
      <c r="H78" s="829" t="str">
        <f t="shared" si="7"/>
        <v/>
      </c>
      <c r="I78" s="829" t="str">
        <f t="shared" si="8"/>
        <v/>
      </c>
      <c r="J78" s="830" t="str">
        <f t="shared" si="9"/>
        <v/>
      </c>
      <c r="K78" s="648"/>
      <c r="L78" s="814"/>
      <c r="M78" s="814"/>
      <c r="N78" s="814"/>
      <c r="O78" s="814"/>
      <c r="P78" s="814"/>
      <c r="Q78" s="814"/>
      <c r="R78" s="814"/>
      <c r="S78" s="814"/>
      <c r="T78" s="814"/>
      <c r="U78" s="814"/>
      <c r="V78" s="814"/>
      <c r="W78" s="814"/>
      <c r="X78" s="814"/>
      <c r="Y78" s="814"/>
      <c r="Z78" s="814"/>
      <c r="AA78" s="814"/>
      <c r="AB78" s="69"/>
      <c r="AC78" s="69"/>
      <c r="AD78" s="69"/>
      <c r="AE78" s="69"/>
      <c r="AF78" s="69"/>
      <c r="AG78" s="69"/>
      <c r="AH78" s="69"/>
      <c r="AI78" s="69"/>
      <c r="AJ78" s="69"/>
      <c r="AK78" s="69"/>
      <c r="AL78" s="69"/>
      <c r="AM78" s="69"/>
      <c r="AN78" s="69"/>
      <c r="AO78" s="69"/>
      <c r="AP78" s="69"/>
      <c r="AQ78" s="69"/>
    </row>
    <row r="79" spans="1:43">
      <c r="A79" s="814"/>
      <c r="B79" s="632"/>
      <c r="C79" s="633"/>
      <c r="D79" s="634"/>
      <c r="E79" s="635"/>
      <c r="F79" s="636"/>
      <c r="G79" s="832" t="str">
        <f t="shared" si="6"/>
        <v/>
      </c>
      <c r="H79" s="829" t="str">
        <f t="shared" si="7"/>
        <v/>
      </c>
      <c r="I79" s="829" t="str">
        <f t="shared" si="8"/>
        <v/>
      </c>
      <c r="J79" s="830" t="str">
        <f t="shared" si="9"/>
        <v/>
      </c>
      <c r="K79" s="648"/>
      <c r="L79" s="814"/>
      <c r="M79" s="814"/>
      <c r="N79" s="814"/>
      <c r="O79" s="814"/>
      <c r="P79" s="814"/>
      <c r="Q79" s="814"/>
      <c r="R79" s="814"/>
      <c r="S79" s="814"/>
      <c r="T79" s="814"/>
      <c r="U79" s="814"/>
      <c r="V79" s="814"/>
      <c r="W79" s="814"/>
      <c r="X79" s="814"/>
      <c r="Y79" s="814"/>
      <c r="Z79" s="814"/>
      <c r="AA79" s="814"/>
      <c r="AB79" s="69"/>
      <c r="AC79" s="69"/>
      <c r="AD79" s="69"/>
      <c r="AE79" s="69"/>
      <c r="AF79" s="69"/>
      <c r="AG79" s="69"/>
      <c r="AH79" s="69"/>
      <c r="AI79" s="69"/>
      <c r="AJ79" s="69"/>
      <c r="AK79" s="69"/>
      <c r="AL79" s="69"/>
      <c r="AM79" s="69"/>
      <c r="AN79" s="69"/>
      <c r="AO79" s="69"/>
      <c r="AP79" s="69"/>
      <c r="AQ79" s="69"/>
    </row>
    <row r="80" spans="1:43">
      <c r="A80" s="814"/>
      <c r="B80" s="632"/>
      <c r="C80" s="633"/>
      <c r="D80" s="634"/>
      <c r="E80" s="635"/>
      <c r="F80" s="636"/>
      <c r="G80" s="832" t="str">
        <f t="shared" si="6"/>
        <v/>
      </c>
      <c r="H80" s="829" t="str">
        <f t="shared" si="7"/>
        <v/>
      </c>
      <c r="I80" s="829" t="str">
        <f t="shared" si="8"/>
        <v/>
      </c>
      <c r="J80" s="830" t="str">
        <f t="shared" si="9"/>
        <v/>
      </c>
      <c r="K80" s="648"/>
      <c r="L80" s="814"/>
      <c r="M80" s="814"/>
      <c r="N80" s="814"/>
      <c r="O80" s="814"/>
      <c r="P80" s="814"/>
      <c r="Q80" s="814"/>
      <c r="R80" s="814"/>
      <c r="S80" s="814"/>
      <c r="T80" s="814"/>
      <c r="U80" s="814"/>
      <c r="V80" s="814"/>
      <c r="W80" s="814"/>
      <c r="X80" s="814"/>
      <c r="Y80" s="814"/>
      <c r="Z80" s="814"/>
      <c r="AA80" s="814"/>
      <c r="AB80" s="69"/>
      <c r="AC80" s="69"/>
      <c r="AD80" s="69"/>
      <c r="AE80" s="69"/>
      <c r="AF80" s="69"/>
      <c r="AG80" s="69"/>
      <c r="AH80" s="69"/>
      <c r="AI80" s="69"/>
      <c r="AJ80" s="69"/>
      <c r="AK80" s="69"/>
      <c r="AL80" s="69"/>
      <c r="AM80" s="69"/>
      <c r="AN80" s="69"/>
      <c r="AO80" s="69"/>
      <c r="AP80" s="69"/>
      <c r="AQ80" s="69"/>
    </row>
    <row r="81" spans="1:43">
      <c r="A81" s="814"/>
      <c r="B81" s="632"/>
      <c r="C81" s="633"/>
      <c r="D81" s="634"/>
      <c r="E81" s="635"/>
      <c r="F81" s="636"/>
      <c r="G81" s="832" t="str">
        <f t="shared" si="6"/>
        <v/>
      </c>
      <c r="H81" s="829" t="str">
        <f t="shared" si="7"/>
        <v/>
      </c>
      <c r="I81" s="829" t="str">
        <f t="shared" si="8"/>
        <v/>
      </c>
      <c r="J81" s="830" t="str">
        <f t="shared" si="9"/>
        <v/>
      </c>
      <c r="K81" s="648"/>
      <c r="L81" s="814"/>
      <c r="M81" s="814"/>
      <c r="N81" s="814"/>
      <c r="O81" s="814"/>
      <c r="P81" s="814"/>
      <c r="Q81" s="814"/>
      <c r="R81" s="814"/>
      <c r="S81" s="814"/>
      <c r="T81" s="814"/>
      <c r="U81" s="814"/>
      <c r="V81" s="814"/>
      <c r="W81" s="814"/>
      <c r="X81" s="814"/>
      <c r="Y81" s="814"/>
      <c r="Z81" s="814"/>
      <c r="AA81" s="814"/>
      <c r="AB81" s="69"/>
      <c r="AC81" s="69"/>
      <c r="AD81" s="69"/>
      <c r="AE81" s="69"/>
      <c r="AF81" s="69"/>
      <c r="AG81" s="69"/>
      <c r="AH81" s="69"/>
      <c r="AI81" s="69"/>
      <c r="AJ81" s="69"/>
      <c r="AK81" s="69"/>
      <c r="AL81" s="69"/>
      <c r="AM81" s="69"/>
      <c r="AN81" s="69"/>
      <c r="AO81" s="69"/>
      <c r="AP81" s="69"/>
      <c r="AQ81" s="69"/>
    </row>
    <row r="82" spans="1:43">
      <c r="A82" s="814"/>
      <c r="B82" s="632"/>
      <c r="C82" s="633"/>
      <c r="D82" s="634"/>
      <c r="E82" s="635"/>
      <c r="F82" s="636"/>
      <c r="G82" s="832" t="str">
        <f t="shared" si="6"/>
        <v/>
      </c>
      <c r="H82" s="829" t="str">
        <f t="shared" si="7"/>
        <v/>
      </c>
      <c r="I82" s="829" t="str">
        <f t="shared" si="8"/>
        <v/>
      </c>
      <c r="J82" s="830" t="str">
        <f t="shared" si="9"/>
        <v/>
      </c>
      <c r="K82" s="648"/>
      <c r="L82" s="814"/>
      <c r="M82" s="814"/>
      <c r="N82" s="814"/>
      <c r="O82" s="814"/>
      <c r="P82" s="814"/>
      <c r="Q82" s="814"/>
      <c r="R82" s="814"/>
      <c r="S82" s="814"/>
      <c r="T82" s="814"/>
      <c r="U82" s="814"/>
      <c r="V82" s="814"/>
      <c r="W82" s="814"/>
      <c r="X82" s="814"/>
      <c r="Y82" s="814"/>
      <c r="Z82" s="814"/>
      <c r="AA82" s="814"/>
      <c r="AB82" s="69"/>
      <c r="AC82" s="69"/>
      <c r="AD82" s="69"/>
      <c r="AE82" s="69"/>
      <c r="AF82" s="69"/>
      <c r="AG82" s="69"/>
      <c r="AH82" s="69"/>
      <c r="AI82" s="69"/>
      <c r="AJ82" s="69"/>
      <c r="AK82" s="69"/>
      <c r="AL82" s="69"/>
      <c r="AM82" s="69"/>
      <c r="AN82" s="69"/>
      <c r="AO82" s="69"/>
      <c r="AP82" s="69"/>
      <c r="AQ82" s="69"/>
    </row>
    <row r="83" spans="1:43">
      <c r="A83" s="814"/>
      <c r="B83" s="632"/>
      <c r="C83" s="633"/>
      <c r="D83" s="634"/>
      <c r="E83" s="635"/>
      <c r="F83" s="636"/>
      <c r="G83" s="832" t="str">
        <f t="shared" si="6"/>
        <v/>
      </c>
      <c r="H83" s="829" t="str">
        <f t="shared" si="7"/>
        <v/>
      </c>
      <c r="I83" s="829" t="str">
        <f t="shared" si="8"/>
        <v/>
      </c>
      <c r="J83" s="830" t="str">
        <f t="shared" si="9"/>
        <v/>
      </c>
      <c r="K83" s="648"/>
      <c r="L83" s="814"/>
      <c r="M83" s="814"/>
      <c r="N83" s="814"/>
      <c r="O83" s="814"/>
      <c r="P83" s="814"/>
      <c r="Q83" s="814"/>
      <c r="R83" s="814"/>
      <c r="S83" s="814"/>
      <c r="T83" s="814"/>
      <c r="U83" s="814"/>
      <c r="V83" s="814"/>
      <c r="W83" s="814"/>
      <c r="X83" s="814"/>
      <c r="Y83" s="814"/>
      <c r="Z83" s="814"/>
      <c r="AA83" s="814"/>
      <c r="AB83" s="69"/>
      <c r="AC83" s="69"/>
      <c r="AD83" s="69"/>
      <c r="AE83" s="69"/>
      <c r="AF83" s="69"/>
      <c r="AG83" s="69"/>
      <c r="AH83" s="69"/>
      <c r="AI83" s="69"/>
      <c r="AJ83" s="69"/>
      <c r="AK83" s="69"/>
      <c r="AL83" s="69"/>
      <c r="AM83" s="69"/>
      <c r="AN83" s="69"/>
      <c r="AO83" s="69"/>
      <c r="AP83" s="69"/>
      <c r="AQ83" s="69"/>
    </row>
    <row r="84" spans="1:43">
      <c r="A84" s="814"/>
      <c r="B84" s="632"/>
      <c r="C84" s="633"/>
      <c r="D84" s="634"/>
      <c r="E84" s="635"/>
      <c r="F84" s="636"/>
      <c r="G84" s="832" t="str">
        <f t="shared" si="6"/>
        <v/>
      </c>
      <c r="H84" s="829" t="str">
        <f t="shared" si="7"/>
        <v/>
      </c>
      <c r="I84" s="829" t="str">
        <f t="shared" si="8"/>
        <v/>
      </c>
      <c r="J84" s="830" t="str">
        <f t="shared" si="9"/>
        <v/>
      </c>
      <c r="K84" s="648"/>
      <c r="L84" s="814"/>
      <c r="M84" s="814"/>
      <c r="N84" s="814"/>
      <c r="O84" s="814"/>
      <c r="P84" s="814"/>
      <c r="Q84" s="814"/>
      <c r="R84" s="814"/>
      <c r="S84" s="814"/>
      <c r="T84" s="814"/>
      <c r="U84" s="814"/>
      <c r="V84" s="814"/>
      <c r="W84" s="814"/>
      <c r="X84" s="814"/>
      <c r="Y84" s="814"/>
      <c r="Z84" s="814"/>
      <c r="AA84" s="814"/>
      <c r="AB84" s="69"/>
      <c r="AC84" s="69"/>
      <c r="AD84" s="69"/>
      <c r="AE84" s="69"/>
      <c r="AF84" s="69"/>
      <c r="AG84" s="69"/>
      <c r="AH84" s="69"/>
      <c r="AI84" s="69"/>
      <c r="AJ84" s="69"/>
      <c r="AK84" s="69"/>
      <c r="AL84" s="69"/>
      <c r="AM84" s="69"/>
      <c r="AN84" s="69"/>
      <c r="AO84" s="69"/>
      <c r="AP84" s="69"/>
      <c r="AQ84" s="69"/>
    </row>
    <row r="85" spans="1:43">
      <c r="A85" s="814"/>
      <c r="B85" s="632"/>
      <c r="C85" s="633"/>
      <c r="D85" s="634"/>
      <c r="E85" s="635"/>
      <c r="F85" s="636"/>
      <c r="G85" s="832" t="str">
        <f t="shared" si="6"/>
        <v/>
      </c>
      <c r="H85" s="829" t="str">
        <f t="shared" si="7"/>
        <v/>
      </c>
      <c r="I85" s="829" t="str">
        <f t="shared" si="8"/>
        <v/>
      </c>
      <c r="J85" s="830" t="str">
        <f t="shared" si="9"/>
        <v/>
      </c>
      <c r="K85" s="648"/>
      <c r="L85" s="814"/>
      <c r="M85" s="814"/>
      <c r="N85" s="814"/>
      <c r="O85" s="814"/>
      <c r="P85" s="814"/>
      <c r="Q85" s="814"/>
      <c r="R85" s="814"/>
      <c r="S85" s="814"/>
      <c r="T85" s="814"/>
      <c r="U85" s="814"/>
      <c r="V85" s="814"/>
      <c r="W85" s="814"/>
      <c r="X85" s="814"/>
      <c r="Y85" s="814"/>
      <c r="Z85" s="814"/>
      <c r="AA85" s="814"/>
      <c r="AB85" s="69"/>
      <c r="AC85" s="69"/>
      <c r="AD85" s="69"/>
      <c r="AE85" s="69"/>
      <c r="AF85" s="69"/>
      <c r="AG85" s="69"/>
      <c r="AH85" s="69"/>
      <c r="AI85" s="69"/>
      <c r="AJ85" s="69"/>
      <c r="AK85" s="69"/>
      <c r="AL85" s="69"/>
      <c r="AM85" s="69"/>
      <c r="AN85" s="69"/>
      <c r="AO85" s="69"/>
      <c r="AP85" s="69"/>
      <c r="AQ85" s="69"/>
    </row>
    <row r="86" spans="1:43">
      <c r="A86" s="814"/>
      <c r="B86" s="632"/>
      <c r="C86" s="633"/>
      <c r="D86" s="634"/>
      <c r="E86" s="635"/>
      <c r="F86" s="636"/>
      <c r="G86" s="832" t="str">
        <f t="shared" si="6"/>
        <v/>
      </c>
      <c r="H86" s="829" t="str">
        <f t="shared" si="7"/>
        <v/>
      </c>
      <c r="I86" s="829" t="str">
        <f t="shared" si="8"/>
        <v/>
      </c>
      <c r="J86" s="830" t="str">
        <f t="shared" si="9"/>
        <v/>
      </c>
      <c r="K86" s="648"/>
      <c r="L86" s="814"/>
      <c r="M86" s="814"/>
      <c r="N86" s="814"/>
      <c r="O86" s="814"/>
      <c r="P86" s="814"/>
      <c r="Q86" s="814"/>
      <c r="R86" s="814"/>
      <c r="S86" s="814"/>
      <c r="T86" s="814"/>
      <c r="U86" s="814"/>
      <c r="V86" s="814"/>
      <c r="W86" s="814"/>
      <c r="X86" s="814"/>
      <c r="Y86" s="814"/>
      <c r="Z86" s="814"/>
      <c r="AA86" s="814"/>
      <c r="AB86" s="69"/>
      <c r="AC86" s="69"/>
      <c r="AD86" s="69"/>
      <c r="AE86" s="69"/>
      <c r="AF86" s="69"/>
      <c r="AG86" s="69"/>
      <c r="AH86" s="69"/>
      <c r="AI86" s="69"/>
      <c r="AJ86" s="69"/>
      <c r="AK86" s="69"/>
      <c r="AL86" s="69"/>
      <c r="AM86" s="69"/>
      <c r="AN86" s="69"/>
      <c r="AO86" s="69"/>
      <c r="AP86" s="69"/>
      <c r="AQ86" s="69"/>
    </row>
    <row r="87" spans="1:43">
      <c r="A87" s="814"/>
      <c r="B87" s="632"/>
      <c r="C87" s="633"/>
      <c r="D87" s="634"/>
      <c r="E87" s="635"/>
      <c r="F87" s="636"/>
      <c r="G87" s="832" t="str">
        <f t="shared" si="6"/>
        <v/>
      </c>
      <c r="H87" s="829" t="str">
        <f t="shared" si="7"/>
        <v/>
      </c>
      <c r="I87" s="829" t="str">
        <f t="shared" si="8"/>
        <v/>
      </c>
      <c r="J87" s="830" t="str">
        <f t="shared" si="9"/>
        <v/>
      </c>
      <c r="K87" s="648"/>
      <c r="L87" s="814"/>
      <c r="M87" s="814"/>
      <c r="N87" s="814"/>
      <c r="O87" s="814"/>
      <c r="P87" s="814"/>
      <c r="Q87" s="814"/>
      <c r="R87" s="814"/>
      <c r="S87" s="814"/>
      <c r="T87" s="814"/>
      <c r="U87" s="814"/>
      <c r="V87" s="814"/>
      <c r="W87" s="814"/>
      <c r="X87" s="814"/>
      <c r="Y87" s="814"/>
      <c r="Z87" s="814"/>
      <c r="AA87" s="814"/>
      <c r="AB87" s="69"/>
      <c r="AC87" s="69"/>
      <c r="AD87" s="69"/>
      <c r="AE87" s="69"/>
      <c r="AF87" s="69"/>
      <c r="AG87" s="69"/>
      <c r="AH87" s="69"/>
      <c r="AI87" s="69"/>
      <c r="AJ87" s="69"/>
      <c r="AK87" s="69"/>
      <c r="AL87" s="69"/>
      <c r="AM87" s="69"/>
      <c r="AN87" s="69"/>
      <c r="AO87" s="69"/>
      <c r="AP87" s="69"/>
      <c r="AQ87" s="69"/>
    </row>
    <row r="88" spans="1:43">
      <c r="A88" s="814"/>
      <c r="B88" s="632"/>
      <c r="C88" s="633"/>
      <c r="D88" s="634"/>
      <c r="E88" s="635"/>
      <c r="F88" s="636"/>
      <c r="G88" s="832" t="str">
        <f t="shared" si="6"/>
        <v/>
      </c>
      <c r="H88" s="829" t="str">
        <f t="shared" si="7"/>
        <v/>
      </c>
      <c r="I88" s="829" t="str">
        <f t="shared" si="8"/>
        <v/>
      </c>
      <c r="J88" s="830" t="str">
        <f t="shared" si="9"/>
        <v/>
      </c>
      <c r="K88" s="648"/>
      <c r="L88" s="814"/>
      <c r="M88" s="814"/>
      <c r="N88" s="814"/>
      <c r="O88" s="814"/>
      <c r="P88" s="814"/>
      <c r="Q88" s="814"/>
      <c r="R88" s="814"/>
      <c r="S88" s="814"/>
      <c r="T88" s="814"/>
      <c r="U88" s="814"/>
      <c r="V88" s="814"/>
      <c r="W88" s="814"/>
      <c r="X88" s="814"/>
      <c r="Y88" s="814"/>
      <c r="Z88" s="814"/>
      <c r="AA88" s="814"/>
      <c r="AB88" s="69"/>
      <c r="AC88" s="69"/>
      <c r="AD88" s="69"/>
      <c r="AE88" s="69"/>
      <c r="AF88" s="69"/>
      <c r="AG88" s="69"/>
      <c r="AH88" s="69"/>
      <c r="AI88" s="69"/>
      <c r="AJ88" s="69"/>
      <c r="AK88" s="69"/>
      <c r="AL88" s="69"/>
      <c r="AM88" s="69"/>
      <c r="AN88" s="69"/>
      <c r="AO88" s="69"/>
      <c r="AP88" s="69"/>
      <c r="AQ88" s="69"/>
    </row>
    <row r="89" spans="1:43">
      <c r="A89" s="814"/>
      <c r="B89" s="1184"/>
      <c r="C89" s="1185"/>
      <c r="D89" s="1186"/>
      <c r="E89" s="1187"/>
      <c r="F89" s="1188"/>
      <c r="G89" s="832" t="str">
        <f t="shared" si="6"/>
        <v/>
      </c>
      <c r="H89" s="829" t="str">
        <f t="shared" si="7"/>
        <v/>
      </c>
      <c r="I89" s="829" t="str">
        <f t="shared" si="8"/>
        <v/>
      </c>
      <c r="J89" s="830" t="str">
        <f t="shared" si="9"/>
        <v/>
      </c>
      <c r="K89" s="648"/>
      <c r="L89" s="814"/>
      <c r="M89" s="814"/>
      <c r="N89" s="814"/>
      <c r="O89" s="814"/>
      <c r="P89" s="814"/>
      <c r="Q89" s="814"/>
      <c r="R89" s="814"/>
      <c r="S89" s="814"/>
      <c r="T89" s="814"/>
      <c r="U89" s="814"/>
      <c r="V89" s="814"/>
      <c r="W89" s="814"/>
      <c r="X89" s="814"/>
      <c r="Y89" s="814"/>
      <c r="Z89" s="814"/>
      <c r="AA89" s="814"/>
      <c r="AB89" s="69"/>
      <c r="AC89" s="69"/>
      <c r="AD89" s="69"/>
      <c r="AE89" s="69"/>
      <c r="AF89" s="69"/>
      <c r="AG89" s="69"/>
      <c r="AH89" s="69"/>
      <c r="AI89" s="69"/>
      <c r="AJ89" s="69"/>
      <c r="AK89" s="69"/>
      <c r="AL89" s="69"/>
      <c r="AM89" s="69"/>
      <c r="AN89" s="69"/>
      <c r="AO89" s="69"/>
      <c r="AP89" s="69"/>
      <c r="AQ89" s="69"/>
    </row>
    <row r="90" spans="1:43">
      <c r="A90" s="814"/>
      <c r="B90" s="1184"/>
      <c r="C90" s="1185"/>
      <c r="D90" s="1186"/>
      <c r="E90" s="1187"/>
      <c r="F90" s="1188"/>
      <c r="G90" s="832" t="str">
        <f t="shared" si="6"/>
        <v/>
      </c>
      <c r="H90" s="829" t="str">
        <f t="shared" si="7"/>
        <v/>
      </c>
      <c r="I90" s="829" t="str">
        <f t="shared" si="8"/>
        <v/>
      </c>
      <c r="J90" s="830" t="str">
        <f t="shared" si="9"/>
        <v/>
      </c>
      <c r="K90" s="648"/>
      <c r="L90" s="814"/>
      <c r="M90" s="814"/>
      <c r="N90" s="814"/>
      <c r="O90" s="814"/>
      <c r="P90" s="814"/>
      <c r="Q90" s="814"/>
      <c r="R90" s="814"/>
      <c r="S90" s="814"/>
      <c r="T90" s="814"/>
      <c r="U90" s="814"/>
      <c r="V90" s="814"/>
      <c r="W90" s="814"/>
      <c r="X90" s="814"/>
      <c r="Y90" s="814"/>
      <c r="Z90" s="814"/>
      <c r="AA90" s="814"/>
      <c r="AB90" s="69"/>
      <c r="AC90" s="69"/>
      <c r="AD90" s="69"/>
      <c r="AE90" s="69"/>
      <c r="AF90" s="69"/>
      <c r="AG90" s="69"/>
      <c r="AH90" s="69"/>
      <c r="AI90" s="69"/>
      <c r="AJ90" s="69"/>
      <c r="AK90" s="69"/>
      <c r="AL90" s="69"/>
      <c r="AM90" s="69"/>
      <c r="AN90" s="69"/>
      <c r="AO90" s="69"/>
      <c r="AP90" s="69"/>
      <c r="AQ90" s="69"/>
    </row>
    <row r="91" spans="1:43">
      <c r="A91" s="814"/>
      <c r="B91" s="1184"/>
      <c r="C91" s="1185"/>
      <c r="D91" s="1186"/>
      <c r="E91" s="1187"/>
      <c r="F91" s="1188"/>
      <c r="G91" s="832" t="str">
        <f t="shared" si="6"/>
        <v/>
      </c>
      <c r="H91" s="829" t="str">
        <f t="shared" si="7"/>
        <v/>
      </c>
      <c r="I91" s="829" t="str">
        <f t="shared" si="8"/>
        <v/>
      </c>
      <c r="J91" s="830" t="str">
        <f t="shared" si="9"/>
        <v/>
      </c>
      <c r="K91" s="648"/>
      <c r="L91" s="814"/>
      <c r="M91" s="814"/>
      <c r="N91" s="814"/>
      <c r="O91" s="814"/>
      <c r="P91" s="814"/>
      <c r="Q91" s="814"/>
      <c r="R91" s="814"/>
      <c r="S91" s="814"/>
      <c r="T91" s="814"/>
      <c r="U91" s="814"/>
      <c r="V91" s="814"/>
      <c r="W91" s="814"/>
      <c r="X91" s="814"/>
      <c r="Y91" s="814"/>
      <c r="Z91" s="814"/>
      <c r="AA91" s="814"/>
      <c r="AB91" s="69"/>
      <c r="AC91" s="69"/>
      <c r="AD91" s="69"/>
      <c r="AE91" s="69"/>
      <c r="AF91" s="69"/>
      <c r="AG91" s="69"/>
      <c r="AH91" s="69"/>
      <c r="AI91" s="69"/>
      <c r="AJ91" s="69"/>
      <c r="AK91" s="69"/>
      <c r="AL91" s="69"/>
      <c r="AM91" s="69"/>
      <c r="AN91" s="69"/>
      <c r="AO91" s="69"/>
      <c r="AP91" s="69"/>
      <c r="AQ91" s="69"/>
    </row>
    <row r="92" spans="1:43">
      <c r="A92" s="814"/>
      <c r="B92" s="1184"/>
      <c r="C92" s="1185"/>
      <c r="D92" s="1186"/>
      <c r="E92" s="1187"/>
      <c r="F92" s="1188"/>
      <c r="G92" s="832" t="str">
        <f t="shared" si="6"/>
        <v/>
      </c>
      <c r="H92" s="829" t="str">
        <f t="shared" si="7"/>
        <v/>
      </c>
      <c r="I92" s="829" t="str">
        <f t="shared" si="8"/>
        <v/>
      </c>
      <c r="J92" s="830" t="str">
        <f t="shared" si="9"/>
        <v/>
      </c>
      <c r="K92" s="648"/>
      <c r="L92" s="814"/>
      <c r="M92" s="814"/>
      <c r="N92" s="814"/>
      <c r="O92" s="814"/>
      <c r="P92" s="814"/>
      <c r="Q92" s="814"/>
      <c r="R92" s="814"/>
      <c r="S92" s="814"/>
      <c r="T92" s="814"/>
      <c r="U92" s="814"/>
      <c r="V92" s="814"/>
      <c r="W92" s="814"/>
      <c r="X92" s="814"/>
      <c r="Y92" s="814"/>
      <c r="Z92" s="814"/>
      <c r="AA92" s="814"/>
      <c r="AB92" s="69"/>
      <c r="AC92" s="69"/>
      <c r="AD92" s="69"/>
      <c r="AE92" s="69"/>
      <c r="AF92" s="69"/>
      <c r="AG92" s="69"/>
      <c r="AH92" s="69"/>
      <c r="AI92" s="69"/>
      <c r="AJ92" s="69"/>
      <c r="AK92" s="69"/>
      <c r="AL92" s="69"/>
      <c r="AM92" s="69"/>
      <c r="AN92" s="69"/>
      <c r="AO92" s="69"/>
      <c r="AP92" s="69"/>
      <c r="AQ92" s="69"/>
    </row>
    <row r="93" spans="1:43">
      <c r="A93" s="814"/>
      <c r="B93" s="1184"/>
      <c r="C93" s="1185"/>
      <c r="D93" s="1186"/>
      <c r="E93" s="1187"/>
      <c r="F93" s="1188"/>
      <c r="G93" s="832" t="str">
        <f t="shared" si="6"/>
        <v/>
      </c>
      <c r="H93" s="829" t="str">
        <f t="shared" si="7"/>
        <v/>
      </c>
      <c r="I93" s="829" t="str">
        <f t="shared" si="8"/>
        <v/>
      </c>
      <c r="J93" s="830" t="str">
        <f t="shared" si="9"/>
        <v/>
      </c>
      <c r="K93" s="648"/>
      <c r="L93" s="814"/>
      <c r="M93" s="814"/>
      <c r="N93" s="814"/>
      <c r="O93" s="814"/>
      <c r="P93" s="814"/>
      <c r="Q93" s="814"/>
      <c r="R93" s="814"/>
      <c r="S93" s="814"/>
      <c r="T93" s="814"/>
      <c r="U93" s="814"/>
      <c r="V93" s="814"/>
      <c r="W93" s="814"/>
      <c r="X93" s="814"/>
      <c r="Y93" s="814"/>
      <c r="Z93" s="814"/>
      <c r="AA93" s="814"/>
      <c r="AB93" s="69"/>
      <c r="AC93" s="69"/>
      <c r="AD93" s="69"/>
      <c r="AE93" s="69"/>
      <c r="AF93" s="69"/>
      <c r="AG93" s="69"/>
      <c r="AH93" s="69"/>
      <c r="AI93" s="69"/>
      <c r="AJ93" s="69"/>
      <c r="AK93" s="69"/>
      <c r="AL93" s="69"/>
      <c r="AM93" s="69"/>
      <c r="AN93" s="69"/>
      <c r="AO93" s="69"/>
      <c r="AP93" s="69"/>
      <c r="AQ93" s="69"/>
    </row>
    <row r="94" spans="1:43">
      <c r="A94" s="814"/>
      <c r="B94" s="1184"/>
      <c r="C94" s="1185"/>
      <c r="D94" s="1186"/>
      <c r="E94" s="1187"/>
      <c r="F94" s="1188"/>
      <c r="G94" s="832" t="str">
        <f t="shared" si="6"/>
        <v/>
      </c>
      <c r="H94" s="829" t="str">
        <f t="shared" si="7"/>
        <v/>
      </c>
      <c r="I94" s="829" t="str">
        <f t="shared" si="8"/>
        <v/>
      </c>
      <c r="J94" s="830" t="str">
        <f t="shared" si="9"/>
        <v/>
      </c>
      <c r="K94" s="648"/>
      <c r="L94" s="814"/>
      <c r="M94" s="814"/>
      <c r="N94" s="814"/>
      <c r="O94" s="814"/>
      <c r="P94" s="814"/>
      <c r="Q94" s="814"/>
      <c r="R94" s="814"/>
      <c r="S94" s="814"/>
      <c r="T94" s="814"/>
      <c r="U94" s="814"/>
      <c r="V94" s="814"/>
      <c r="W94" s="814"/>
      <c r="X94" s="814"/>
      <c r="Y94" s="814"/>
      <c r="Z94" s="814"/>
      <c r="AA94" s="814"/>
      <c r="AB94" s="69"/>
      <c r="AC94" s="69"/>
      <c r="AD94" s="69"/>
      <c r="AE94" s="69"/>
      <c r="AF94" s="69"/>
      <c r="AG94" s="69"/>
      <c r="AH94" s="69"/>
      <c r="AI94" s="69"/>
      <c r="AJ94" s="69"/>
      <c r="AK94" s="69"/>
      <c r="AL94" s="69"/>
      <c r="AM94" s="69"/>
      <c r="AN94" s="69"/>
      <c r="AO94" s="69"/>
      <c r="AP94" s="69"/>
      <c r="AQ94" s="69"/>
    </row>
    <row r="95" spans="1:43">
      <c r="A95" s="814"/>
      <c r="B95" s="1184"/>
      <c r="C95" s="1185"/>
      <c r="D95" s="1186"/>
      <c r="E95" s="1187"/>
      <c r="F95" s="1188"/>
      <c r="G95" s="832" t="str">
        <f t="shared" si="6"/>
        <v/>
      </c>
      <c r="H95" s="829" t="str">
        <f t="shared" si="7"/>
        <v/>
      </c>
      <c r="I95" s="829" t="str">
        <f t="shared" si="8"/>
        <v/>
      </c>
      <c r="J95" s="830" t="str">
        <f t="shared" si="9"/>
        <v/>
      </c>
      <c r="K95" s="648"/>
      <c r="L95" s="814"/>
      <c r="M95" s="814"/>
      <c r="N95" s="814"/>
      <c r="O95" s="814"/>
      <c r="P95" s="814"/>
      <c r="Q95" s="814"/>
      <c r="R95" s="814"/>
      <c r="S95" s="814"/>
      <c r="T95" s="814"/>
      <c r="U95" s="814"/>
      <c r="V95" s="814"/>
      <c r="W95" s="814"/>
      <c r="X95" s="814"/>
      <c r="Y95" s="814"/>
      <c r="Z95" s="814"/>
      <c r="AA95" s="814"/>
      <c r="AB95" s="69"/>
      <c r="AC95" s="69"/>
      <c r="AD95" s="69"/>
      <c r="AE95" s="69"/>
      <c r="AF95" s="69"/>
      <c r="AG95" s="69"/>
      <c r="AH95" s="69"/>
      <c r="AI95" s="69"/>
      <c r="AJ95" s="69"/>
      <c r="AK95" s="69"/>
      <c r="AL95" s="69"/>
      <c r="AM95" s="69"/>
      <c r="AN95" s="69"/>
      <c r="AO95" s="69"/>
      <c r="AP95" s="69"/>
      <c r="AQ95" s="69"/>
    </row>
    <row r="96" spans="1:43">
      <c r="A96" s="814"/>
      <c r="B96" s="1184"/>
      <c r="C96" s="1185"/>
      <c r="D96" s="1186"/>
      <c r="E96" s="1187"/>
      <c r="F96" s="1188"/>
      <c r="G96" s="832" t="str">
        <f t="shared" si="6"/>
        <v/>
      </c>
      <c r="H96" s="829" t="str">
        <f t="shared" si="7"/>
        <v/>
      </c>
      <c r="I96" s="829" t="str">
        <f t="shared" si="8"/>
        <v/>
      </c>
      <c r="J96" s="830" t="str">
        <f t="shared" si="9"/>
        <v/>
      </c>
      <c r="K96" s="648"/>
      <c r="L96" s="814"/>
      <c r="M96" s="814"/>
      <c r="N96" s="814"/>
      <c r="O96" s="814"/>
      <c r="P96" s="814"/>
      <c r="Q96" s="814"/>
      <c r="R96" s="814"/>
      <c r="S96" s="814"/>
      <c r="T96" s="814"/>
      <c r="U96" s="814"/>
      <c r="V96" s="814"/>
      <c r="W96" s="814"/>
      <c r="X96" s="814"/>
      <c r="Y96" s="814"/>
      <c r="Z96" s="814"/>
      <c r="AA96" s="814"/>
      <c r="AB96" s="69"/>
      <c r="AC96" s="69"/>
      <c r="AD96" s="69"/>
      <c r="AE96" s="69"/>
      <c r="AF96" s="69"/>
      <c r="AG96" s="69"/>
      <c r="AH96" s="69"/>
      <c r="AI96" s="69"/>
      <c r="AJ96" s="69"/>
      <c r="AK96" s="69"/>
      <c r="AL96" s="69"/>
      <c r="AM96" s="69"/>
      <c r="AN96" s="69"/>
      <c r="AO96" s="69"/>
      <c r="AP96" s="69"/>
      <c r="AQ96" s="69"/>
    </row>
    <row r="97" spans="1:43">
      <c r="A97" s="814"/>
      <c r="B97" s="1184"/>
      <c r="C97" s="1185"/>
      <c r="D97" s="1186"/>
      <c r="E97" s="1187"/>
      <c r="F97" s="1188"/>
      <c r="G97" s="832" t="str">
        <f t="shared" si="6"/>
        <v/>
      </c>
      <c r="H97" s="829" t="str">
        <f t="shared" si="7"/>
        <v/>
      </c>
      <c r="I97" s="829" t="str">
        <f t="shared" si="8"/>
        <v/>
      </c>
      <c r="J97" s="830" t="str">
        <f t="shared" si="9"/>
        <v/>
      </c>
      <c r="K97" s="648"/>
      <c r="L97" s="814"/>
      <c r="M97" s="814"/>
      <c r="N97" s="814"/>
      <c r="O97" s="814"/>
      <c r="P97" s="814"/>
      <c r="Q97" s="814"/>
      <c r="R97" s="814"/>
      <c r="S97" s="814"/>
      <c r="T97" s="814"/>
      <c r="U97" s="814"/>
      <c r="V97" s="814"/>
      <c r="W97" s="814"/>
      <c r="X97" s="814"/>
      <c r="Y97" s="814"/>
      <c r="Z97" s="814"/>
      <c r="AA97" s="814"/>
      <c r="AB97" s="69"/>
      <c r="AC97" s="69"/>
      <c r="AD97" s="69"/>
      <c r="AE97" s="69"/>
      <c r="AF97" s="69"/>
      <c r="AG97" s="69"/>
      <c r="AH97" s="69"/>
      <c r="AI97" s="69"/>
      <c r="AJ97" s="69"/>
      <c r="AK97" s="69"/>
      <c r="AL97" s="69"/>
      <c r="AM97" s="69"/>
      <c r="AN97" s="69"/>
      <c r="AO97" s="69"/>
      <c r="AP97" s="69"/>
      <c r="AQ97" s="69"/>
    </row>
    <row r="98" spans="1:43">
      <c r="A98" s="814"/>
      <c r="B98" s="1184"/>
      <c r="C98" s="1185"/>
      <c r="D98" s="1186"/>
      <c r="E98" s="1187"/>
      <c r="F98" s="1188"/>
      <c r="G98" s="832" t="str">
        <f t="shared" si="6"/>
        <v/>
      </c>
      <c r="H98" s="829" t="str">
        <f t="shared" si="7"/>
        <v/>
      </c>
      <c r="I98" s="829" t="str">
        <f t="shared" si="8"/>
        <v/>
      </c>
      <c r="J98" s="830" t="str">
        <f t="shared" si="9"/>
        <v/>
      </c>
      <c r="K98" s="648"/>
      <c r="L98" s="814"/>
      <c r="M98" s="814"/>
      <c r="N98" s="814"/>
      <c r="O98" s="814"/>
      <c r="P98" s="814"/>
      <c r="Q98" s="814"/>
      <c r="R98" s="814"/>
      <c r="S98" s="814"/>
      <c r="T98" s="814"/>
      <c r="U98" s="814"/>
      <c r="V98" s="814"/>
      <c r="W98" s="814"/>
      <c r="X98" s="814"/>
      <c r="Y98" s="814"/>
      <c r="Z98" s="814"/>
      <c r="AA98" s="814"/>
      <c r="AB98" s="69"/>
      <c r="AC98" s="69"/>
      <c r="AD98" s="69"/>
      <c r="AE98" s="69"/>
      <c r="AF98" s="69"/>
      <c r="AG98" s="69"/>
      <c r="AH98" s="69"/>
      <c r="AI98" s="69"/>
      <c r="AJ98" s="69"/>
      <c r="AK98" s="69"/>
      <c r="AL98" s="69"/>
      <c r="AM98" s="69"/>
      <c r="AN98" s="69"/>
      <c r="AO98" s="69"/>
      <c r="AP98" s="69"/>
      <c r="AQ98" s="69"/>
    </row>
    <row r="99" spans="1:43">
      <c r="A99" s="814"/>
      <c r="B99" s="1184"/>
      <c r="C99" s="1185"/>
      <c r="D99" s="1186"/>
      <c r="E99" s="1187"/>
      <c r="F99" s="1188"/>
      <c r="G99" s="832" t="str">
        <f t="shared" si="6"/>
        <v/>
      </c>
      <c r="H99" s="829" t="str">
        <f t="shared" si="7"/>
        <v/>
      </c>
      <c r="I99" s="829" t="str">
        <f t="shared" si="8"/>
        <v/>
      </c>
      <c r="J99" s="830" t="str">
        <f t="shared" si="9"/>
        <v/>
      </c>
      <c r="K99" s="648"/>
      <c r="L99" s="814"/>
      <c r="M99" s="814"/>
      <c r="N99" s="814"/>
      <c r="O99" s="814"/>
      <c r="P99" s="814"/>
      <c r="Q99" s="814"/>
      <c r="R99" s="814"/>
      <c r="S99" s="814"/>
      <c r="T99" s="814"/>
      <c r="U99" s="814"/>
      <c r="V99" s="814"/>
      <c r="W99" s="814"/>
      <c r="X99" s="814"/>
      <c r="Y99" s="814"/>
      <c r="Z99" s="814"/>
      <c r="AA99" s="814"/>
      <c r="AB99" s="69"/>
      <c r="AC99" s="69"/>
      <c r="AD99" s="69"/>
      <c r="AE99" s="69"/>
      <c r="AF99" s="69"/>
      <c r="AG99" s="69"/>
      <c r="AH99" s="69"/>
      <c r="AI99" s="69"/>
      <c r="AJ99" s="69"/>
      <c r="AK99" s="69"/>
      <c r="AL99" s="69"/>
      <c r="AM99" s="69"/>
      <c r="AN99" s="69"/>
      <c r="AO99" s="69"/>
      <c r="AP99" s="69"/>
      <c r="AQ99" s="69"/>
    </row>
    <row r="100" spans="1:43">
      <c r="A100" s="814"/>
      <c r="B100" s="1184"/>
      <c r="C100" s="1185"/>
      <c r="D100" s="1186"/>
      <c r="E100" s="1187"/>
      <c r="F100" s="1188"/>
      <c r="G100" s="832" t="str">
        <f t="shared" si="6"/>
        <v/>
      </c>
      <c r="H100" s="829" t="str">
        <f t="shared" si="7"/>
        <v/>
      </c>
      <c r="I100" s="829" t="str">
        <f t="shared" si="8"/>
        <v/>
      </c>
      <c r="J100" s="830" t="str">
        <f t="shared" si="9"/>
        <v/>
      </c>
      <c r="K100" s="648"/>
      <c r="L100" s="814"/>
      <c r="M100" s="814"/>
      <c r="N100" s="814"/>
      <c r="O100" s="814"/>
      <c r="P100" s="814"/>
      <c r="Q100" s="814"/>
      <c r="R100" s="814"/>
      <c r="S100" s="814"/>
      <c r="T100" s="814"/>
      <c r="U100" s="814"/>
      <c r="V100" s="814"/>
      <c r="W100" s="814"/>
      <c r="X100" s="814"/>
      <c r="Y100" s="814"/>
      <c r="Z100" s="814"/>
      <c r="AA100" s="814"/>
      <c r="AB100" s="69"/>
      <c r="AC100" s="69"/>
      <c r="AD100" s="69"/>
      <c r="AE100" s="69"/>
      <c r="AF100" s="69"/>
      <c r="AG100" s="69"/>
      <c r="AH100" s="69"/>
      <c r="AI100" s="69"/>
      <c r="AJ100" s="69"/>
      <c r="AK100" s="69"/>
      <c r="AL100" s="69"/>
      <c r="AM100" s="69"/>
      <c r="AN100" s="69"/>
      <c r="AO100" s="69"/>
      <c r="AP100" s="69"/>
      <c r="AQ100" s="69"/>
    </row>
    <row r="101" spans="1:43">
      <c r="A101" s="814"/>
      <c r="B101" s="1184"/>
      <c r="C101" s="1185"/>
      <c r="D101" s="1186"/>
      <c r="E101" s="1187"/>
      <c r="F101" s="1188"/>
      <c r="G101" s="832" t="str">
        <f t="shared" si="6"/>
        <v/>
      </c>
      <c r="H101" s="829" t="str">
        <f t="shared" si="7"/>
        <v/>
      </c>
      <c r="I101" s="829" t="str">
        <f t="shared" si="8"/>
        <v/>
      </c>
      <c r="J101" s="830" t="str">
        <f t="shared" si="9"/>
        <v/>
      </c>
      <c r="K101" s="648"/>
      <c r="L101" s="814"/>
      <c r="M101" s="814"/>
      <c r="N101" s="814"/>
      <c r="O101" s="814"/>
      <c r="P101" s="814"/>
      <c r="Q101" s="814"/>
      <c r="R101" s="814"/>
      <c r="S101" s="814"/>
      <c r="T101" s="814"/>
      <c r="U101" s="814"/>
      <c r="V101" s="814"/>
      <c r="W101" s="814"/>
      <c r="X101" s="814"/>
      <c r="Y101" s="814"/>
      <c r="Z101" s="814"/>
      <c r="AA101" s="814"/>
      <c r="AB101" s="69"/>
      <c r="AC101" s="69"/>
      <c r="AD101" s="69"/>
      <c r="AE101" s="69"/>
      <c r="AF101" s="69"/>
      <c r="AG101" s="69"/>
      <c r="AH101" s="69"/>
      <c r="AI101" s="69"/>
      <c r="AJ101" s="69"/>
      <c r="AK101" s="69"/>
      <c r="AL101" s="69"/>
      <c r="AM101" s="69"/>
      <c r="AN101" s="69"/>
      <c r="AO101" s="69"/>
      <c r="AP101" s="69"/>
      <c r="AQ101" s="69"/>
    </row>
    <row r="102" spans="1:43">
      <c r="A102" s="814"/>
      <c r="B102" s="1184"/>
      <c r="C102" s="1185"/>
      <c r="D102" s="1186"/>
      <c r="E102" s="1187"/>
      <c r="F102" s="1188"/>
      <c r="G102" s="832" t="str">
        <f t="shared" si="6"/>
        <v/>
      </c>
      <c r="H102" s="829" t="str">
        <f t="shared" si="7"/>
        <v/>
      </c>
      <c r="I102" s="829" t="str">
        <f t="shared" si="8"/>
        <v/>
      </c>
      <c r="J102" s="830" t="str">
        <f t="shared" si="9"/>
        <v/>
      </c>
      <c r="K102" s="648"/>
      <c r="L102" s="814"/>
      <c r="M102" s="814"/>
      <c r="N102" s="814"/>
      <c r="O102" s="814"/>
      <c r="P102" s="814"/>
      <c r="Q102" s="814"/>
      <c r="R102" s="814"/>
      <c r="S102" s="814"/>
      <c r="T102" s="814"/>
      <c r="U102" s="814"/>
      <c r="V102" s="814"/>
      <c r="W102" s="814"/>
      <c r="X102" s="814"/>
      <c r="Y102" s="814"/>
      <c r="Z102" s="814"/>
      <c r="AA102" s="814"/>
      <c r="AB102" s="69"/>
      <c r="AC102" s="69"/>
      <c r="AD102" s="69"/>
      <c r="AE102" s="69"/>
      <c r="AF102" s="69"/>
      <c r="AG102" s="69"/>
      <c r="AH102" s="69"/>
      <c r="AI102" s="69"/>
      <c r="AJ102" s="69"/>
      <c r="AK102" s="69"/>
      <c r="AL102" s="69"/>
      <c r="AM102" s="69"/>
      <c r="AN102" s="69"/>
      <c r="AO102" s="69"/>
      <c r="AP102" s="69"/>
      <c r="AQ102" s="69"/>
    </row>
    <row r="103" spans="1:43">
      <c r="A103" s="814"/>
      <c r="B103" s="1184"/>
      <c r="C103" s="1185"/>
      <c r="D103" s="1186"/>
      <c r="E103" s="1187"/>
      <c r="F103" s="1188"/>
      <c r="G103" s="832" t="str">
        <f t="shared" si="6"/>
        <v/>
      </c>
      <c r="H103" s="829" t="str">
        <f t="shared" si="7"/>
        <v/>
      </c>
      <c r="I103" s="829" t="str">
        <f t="shared" si="8"/>
        <v/>
      </c>
      <c r="J103" s="830" t="str">
        <f t="shared" si="9"/>
        <v/>
      </c>
      <c r="K103" s="648"/>
      <c r="L103" s="814"/>
      <c r="M103" s="814"/>
      <c r="N103" s="814"/>
      <c r="O103" s="814"/>
      <c r="P103" s="814"/>
      <c r="Q103" s="814"/>
      <c r="R103" s="814"/>
      <c r="S103" s="814"/>
      <c r="T103" s="814"/>
      <c r="U103" s="814"/>
      <c r="V103" s="814"/>
      <c r="W103" s="814"/>
      <c r="X103" s="814"/>
      <c r="Y103" s="814"/>
      <c r="Z103" s="814"/>
      <c r="AA103" s="814"/>
      <c r="AB103" s="69"/>
      <c r="AC103" s="69"/>
      <c r="AD103" s="69"/>
      <c r="AE103" s="69"/>
      <c r="AF103" s="69"/>
      <c r="AG103" s="69"/>
      <c r="AH103" s="69"/>
      <c r="AI103" s="69"/>
      <c r="AJ103" s="69"/>
      <c r="AK103" s="69"/>
      <c r="AL103" s="69"/>
      <c r="AM103" s="69"/>
      <c r="AN103" s="69"/>
      <c r="AO103" s="69"/>
      <c r="AP103" s="69"/>
      <c r="AQ103" s="69"/>
    </row>
    <row r="104" spans="1:43">
      <c r="A104" s="814"/>
      <c r="B104" s="1184"/>
      <c r="C104" s="1185"/>
      <c r="D104" s="1186"/>
      <c r="E104" s="1187"/>
      <c r="F104" s="1188"/>
      <c r="G104" s="832" t="str">
        <f t="shared" si="6"/>
        <v/>
      </c>
      <c r="H104" s="829" t="str">
        <f t="shared" si="7"/>
        <v/>
      </c>
      <c r="I104" s="829" t="str">
        <f t="shared" si="8"/>
        <v/>
      </c>
      <c r="J104" s="830" t="str">
        <f t="shared" si="9"/>
        <v/>
      </c>
      <c r="K104" s="648"/>
      <c r="L104" s="814"/>
      <c r="M104" s="814"/>
      <c r="N104" s="814"/>
      <c r="O104" s="814"/>
      <c r="P104" s="814"/>
      <c r="Q104" s="814"/>
      <c r="R104" s="814"/>
      <c r="S104" s="814"/>
      <c r="T104" s="814"/>
      <c r="U104" s="814"/>
      <c r="V104" s="814"/>
      <c r="W104" s="814"/>
      <c r="X104" s="814"/>
      <c r="Y104" s="814"/>
      <c r="Z104" s="814"/>
      <c r="AA104" s="814"/>
      <c r="AB104" s="69"/>
      <c r="AC104" s="69"/>
      <c r="AD104" s="69"/>
      <c r="AE104" s="69"/>
      <c r="AF104" s="69"/>
      <c r="AG104" s="69"/>
      <c r="AH104" s="69"/>
      <c r="AI104" s="69"/>
      <c r="AJ104" s="69"/>
      <c r="AK104" s="69"/>
      <c r="AL104" s="69"/>
      <c r="AM104" s="69"/>
      <c r="AN104" s="69"/>
      <c r="AO104" s="69"/>
      <c r="AP104" s="69"/>
      <c r="AQ104" s="69"/>
    </row>
    <row r="105" spans="1:43">
      <c r="A105" s="814"/>
      <c r="B105" s="1184"/>
      <c r="C105" s="1185"/>
      <c r="D105" s="1186"/>
      <c r="E105" s="1187"/>
      <c r="F105" s="1188"/>
      <c r="G105" s="832" t="str">
        <f t="shared" si="6"/>
        <v/>
      </c>
      <c r="H105" s="829" t="str">
        <f t="shared" si="7"/>
        <v/>
      </c>
      <c r="I105" s="829" t="str">
        <f t="shared" si="8"/>
        <v/>
      </c>
      <c r="J105" s="830" t="str">
        <f t="shared" si="9"/>
        <v/>
      </c>
      <c r="K105" s="648"/>
      <c r="L105" s="814"/>
      <c r="M105" s="814"/>
      <c r="N105" s="814"/>
      <c r="O105" s="814"/>
      <c r="P105" s="814"/>
      <c r="Q105" s="814"/>
      <c r="R105" s="814"/>
      <c r="S105" s="814"/>
      <c r="T105" s="814"/>
      <c r="U105" s="814"/>
      <c r="V105" s="814"/>
      <c r="W105" s="814"/>
      <c r="X105" s="814"/>
      <c r="Y105" s="814"/>
      <c r="Z105" s="814"/>
      <c r="AA105" s="814"/>
      <c r="AB105" s="69"/>
      <c r="AC105" s="69"/>
      <c r="AD105" s="69"/>
      <c r="AE105" s="69"/>
      <c r="AF105" s="69"/>
      <c r="AG105" s="69"/>
      <c r="AH105" s="69"/>
      <c r="AI105" s="69"/>
      <c r="AJ105" s="69"/>
      <c r="AK105" s="69"/>
      <c r="AL105" s="69"/>
      <c r="AM105" s="69"/>
      <c r="AN105" s="69"/>
      <c r="AO105" s="69"/>
      <c r="AP105" s="69"/>
      <c r="AQ105" s="69"/>
    </row>
    <row r="106" spans="1:43">
      <c r="A106" s="814"/>
      <c r="B106" s="1184"/>
      <c r="C106" s="1185"/>
      <c r="D106" s="1186"/>
      <c r="E106" s="1187"/>
      <c r="F106" s="1188"/>
      <c r="G106" s="832" t="str">
        <f t="shared" si="6"/>
        <v/>
      </c>
      <c r="H106" s="829" t="str">
        <f t="shared" si="7"/>
        <v/>
      </c>
      <c r="I106" s="829" t="str">
        <f t="shared" si="8"/>
        <v/>
      </c>
      <c r="J106" s="830" t="str">
        <f t="shared" si="9"/>
        <v/>
      </c>
      <c r="K106" s="648"/>
      <c r="L106" s="814"/>
      <c r="M106" s="814"/>
      <c r="N106" s="814"/>
      <c r="O106" s="814"/>
      <c r="P106" s="814"/>
      <c r="Q106" s="814"/>
      <c r="R106" s="814"/>
      <c r="S106" s="814"/>
      <c r="T106" s="814"/>
      <c r="U106" s="814"/>
      <c r="V106" s="814"/>
      <c r="W106" s="814"/>
      <c r="X106" s="814"/>
      <c r="Y106" s="814"/>
      <c r="Z106" s="814"/>
      <c r="AA106" s="814"/>
      <c r="AB106" s="69"/>
      <c r="AC106" s="69"/>
      <c r="AD106" s="69"/>
      <c r="AE106" s="69"/>
      <c r="AF106" s="69"/>
      <c r="AG106" s="69"/>
      <c r="AH106" s="69"/>
      <c r="AI106" s="69"/>
      <c r="AJ106" s="69"/>
      <c r="AK106" s="69"/>
      <c r="AL106" s="69"/>
      <c r="AM106" s="69"/>
      <c r="AN106" s="69"/>
      <c r="AO106" s="69"/>
      <c r="AP106" s="69"/>
      <c r="AQ106" s="69"/>
    </row>
    <row r="107" spans="1:43">
      <c r="A107" s="814"/>
      <c r="B107" s="1184"/>
      <c r="C107" s="1185"/>
      <c r="D107" s="1186"/>
      <c r="E107" s="1187"/>
      <c r="F107" s="1188"/>
      <c r="G107" s="832" t="str">
        <f t="shared" si="6"/>
        <v/>
      </c>
      <c r="H107" s="829" t="str">
        <f t="shared" si="7"/>
        <v/>
      </c>
      <c r="I107" s="829" t="str">
        <f t="shared" si="8"/>
        <v/>
      </c>
      <c r="J107" s="830" t="str">
        <f t="shared" si="9"/>
        <v/>
      </c>
      <c r="K107" s="648"/>
      <c r="L107" s="814"/>
      <c r="M107" s="814"/>
      <c r="N107" s="814"/>
      <c r="O107" s="814"/>
      <c r="P107" s="814"/>
      <c r="Q107" s="814"/>
      <c r="R107" s="814"/>
      <c r="S107" s="814"/>
      <c r="T107" s="814"/>
      <c r="U107" s="814"/>
      <c r="V107" s="814"/>
      <c r="W107" s="814"/>
      <c r="X107" s="814"/>
      <c r="Y107" s="814"/>
      <c r="Z107" s="814"/>
      <c r="AA107" s="814"/>
      <c r="AB107" s="69"/>
      <c r="AC107" s="69"/>
      <c r="AD107" s="69"/>
      <c r="AE107" s="69"/>
      <c r="AF107" s="69"/>
      <c r="AG107" s="69"/>
      <c r="AH107" s="69"/>
      <c r="AI107" s="69"/>
      <c r="AJ107" s="69"/>
      <c r="AK107" s="69"/>
      <c r="AL107" s="69"/>
      <c r="AM107" s="69"/>
      <c r="AN107" s="69"/>
      <c r="AO107" s="69"/>
      <c r="AP107" s="69"/>
      <c r="AQ107" s="69"/>
    </row>
    <row r="108" spans="1:43">
      <c r="A108" s="814"/>
      <c r="B108" s="1184"/>
      <c r="C108" s="1185"/>
      <c r="D108" s="1186"/>
      <c r="E108" s="1187"/>
      <c r="F108" s="1188"/>
      <c r="G108" s="832" t="str">
        <f t="shared" si="6"/>
        <v/>
      </c>
      <c r="H108" s="829" t="str">
        <f t="shared" si="7"/>
        <v/>
      </c>
      <c r="I108" s="829" t="str">
        <f t="shared" si="8"/>
        <v/>
      </c>
      <c r="J108" s="830" t="str">
        <f t="shared" si="9"/>
        <v/>
      </c>
      <c r="K108" s="648"/>
      <c r="L108" s="814"/>
      <c r="M108" s="814"/>
      <c r="N108" s="814"/>
      <c r="O108" s="814"/>
      <c r="P108" s="814"/>
      <c r="Q108" s="814"/>
      <c r="R108" s="814"/>
      <c r="S108" s="814"/>
      <c r="T108" s="814"/>
      <c r="U108" s="814"/>
      <c r="V108" s="814"/>
      <c r="W108" s="814"/>
      <c r="X108" s="814"/>
      <c r="Y108" s="814"/>
      <c r="Z108" s="814"/>
      <c r="AA108" s="814"/>
      <c r="AB108" s="69"/>
      <c r="AC108" s="69"/>
      <c r="AD108" s="69"/>
      <c r="AE108" s="69"/>
      <c r="AF108" s="69"/>
      <c r="AG108" s="69"/>
      <c r="AH108" s="69"/>
      <c r="AI108" s="69"/>
      <c r="AJ108" s="69"/>
      <c r="AK108" s="69"/>
      <c r="AL108" s="69"/>
      <c r="AM108" s="69"/>
      <c r="AN108" s="69"/>
      <c r="AO108" s="69"/>
      <c r="AP108" s="69"/>
      <c r="AQ108" s="69"/>
    </row>
    <row r="109" spans="1:43">
      <c r="A109" s="814"/>
      <c r="B109" s="1184"/>
      <c r="C109" s="1185"/>
      <c r="D109" s="1186"/>
      <c r="E109" s="1187"/>
      <c r="F109" s="1188"/>
      <c r="G109" s="832" t="str">
        <f t="shared" si="6"/>
        <v/>
      </c>
      <c r="H109" s="829" t="str">
        <f t="shared" si="7"/>
        <v/>
      </c>
      <c r="I109" s="829" t="str">
        <f t="shared" si="8"/>
        <v/>
      </c>
      <c r="J109" s="830" t="str">
        <f t="shared" si="9"/>
        <v/>
      </c>
      <c r="K109" s="648"/>
      <c r="L109" s="814"/>
      <c r="M109" s="814"/>
      <c r="N109" s="814"/>
      <c r="O109" s="814"/>
      <c r="P109" s="814"/>
      <c r="Q109" s="814"/>
      <c r="R109" s="814"/>
      <c r="S109" s="814"/>
      <c r="T109" s="814"/>
      <c r="U109" s="814"/>
      <c r="V109" s="814"/>
      <c r="W109" s="814"/>
      <c r="X109" s="814"/>
      <c r="Y109" s="814"/>
      <c r="Z109" s="814"/>
      <c r="AA109" s="814"/>
      <c r="AB109" s="69"/>
      <c r="AC109" s="69"/>
      <c r="AD109" s="69"/>
      <c r="AE109" s="69"/>
      <c r="AF109" s="69"/>
      <c r="AG109" s="69"/>
      <c r="AH109" s="69"/>
      <c r="AI109" s="69"/>
      <c r="AJ109" s="69"/>
      <c r="AK109" s="69"/>
      <c r="AL109" s="69"/>
      <c r="AM109" s="69"/>
      <c r="AN109" s="69"/>
      <c r="AO109" s="69"/>
      <c r="AP109" s="69"/>
      <c r="AQ109" s="69"/>
    </row>
    <row r="110" spans="1:43">
      <c r="A110" s="814"/>
      <c r="B110" s="1184"/>
      <c r="C110" s="1185"/>
      <c r="D110" s="1186"/>
      <c r="E110" s="1187"/>
      <c r="F110" s="1188"/>
      <c r="G110" s="832" t="str">
        <f t="shared" si="6"/>
        <v/>
      </c>
      <c r="H110" s="829" t="str">
        <f t="shared" si="7"/>
        <v/>
      </c>
      <c r="I110" s="829" t="str">
        <f t="shared" si="8"/>
        <v/>
      </c>
      <c r="J110" s="830" t="str">
        <f t="shared" si="9"/>
        <v/>
      </c>
      <c r="K110" s="648"/>
      <c r="L110" s="814"/>
      <c r="M110" s="814"/>
      <c r="N110" s="814"/>
      <c r="O110" s="814"/>
      <c r="P110" s="814"/>
      <c r="Q110" s="814"/>
      <c r="R110" s="814"/>
      <c r="S110" s="814"/>
      <c r="T110" s="814"/>
      <c r="U110" s="814"/>
      <c r="V110" s="814"/>
      <c r="W110" s="814"/>
      <c r="X110" s="814"/>
      <c r="Y110" s="814"/>
      <c r="Z110" s="814"/>
      <c r="AA110" s="814"/>
      <c r="AB110" s="69"/>
      <c r="AC110" s="69"/>
      <c r="AD110" s="69"/>
      <c r="AE110" s="69"/>
      <c r="AF110" s="69"/>
      <c r="AG110" s="69"/>
      <c r="AH110" s="69"/>
      <c r="AI110" s="69"/>
      <c r="AJ110" s="69"/>
      <c r="AK110" s="69"/>
      <c r="AL110" s="69"/>
      <c r="AM110" s="69"/>
      <c r="AN110" s="69"/>
      <c r="AO110" s="69"/>
      <c r="AP110" s="69"/>
      <c r="AQ110" s="69"/>
    </row>
    <row r="111" spans="1:43">
      <c r="A111" s="814"/>
      <c r="B111" s="1184"/>
      <c r="C111" s="1185"/>
      <c r="D111" s="1186"/>
      <c r="E111" s="1187"/>
      <c r="F111" s="1188"/>
      <c r="G111" s="832" t="str">
        <f t="shared" si="6"/>
        <v/>
      </c>
      <c r="H111" s="829" t="str">
        <f t="shared" si="7"/>
        <v/>
      </c>
      <c r="I111" s="829" t="str">
        <f t="shared" si="8"/>
        <v/>
      </c>
      <c r="J111" s="830" t="str">
        <f t="shared" si="9"/>
        <v/>
      </c>
      <c r="K111" s="648"/>
      <c r="L111" s="814"/>
      <c r="M111" s="814"/>
      <c r="N111" s="814"/>
      <c r="O111" s="814"/>
      <c r="P111" s="814"/>
      <c r="Q111" s="814"/>
      <c r="R111" s="814"/>
      <c r="S111" s="814"/>
      <c r="T111" s="814"/>
      <c r="U111" s="814"/>
      <c r="V111" s="814"/>
      <c r="W111" s="814"/>
      <c r="X111" s="814"/>
      <c r="Y111" s="814"/>
      <c r="Z111" s="814"/>
      <c r="AA111" s="814"/>
      <c r="AB111" s="69"/>
      <c r="AC111" s="69"/>
      <c r="AD111" s="69"/>
      <c r="AE111" s="69"/>
      <c r="AF111" s="69"/>
      <c r="AG111" s="69"/>
      <c r="AH111" s="69"/>
      <c r="AI111" s="69"/>
      <c r="AJ111" s="69"/>
      <c r="AK111" s="69"/>
      <c r="AL111" s="69"/>
      <c r="AM111" s="69"/>
      <c r="AN111" s="69"/>
      <c r="AO111" s="69"/>
      <c r="AP111" s="69"/>
      <c r="AQ111" s="69"/>
    </row>
    <row r="112" spans="1:43">
      <c r="A112" s="814"/>
      <c r="B112" s="1184"/>
      <c r="C112" s="1185"/>
      <c r="D112" s="1186"/>
      <c r="E112" s="1187"/>
      <c r="F112" s="1188"/>
      <c r="G112" s="832" t="str">
        <f t="shared" si="6"/>
        <v/>
      </c>
      <c r="H112" s="829" t="str">
        <f t="shared" si="7"/>
        <v/>
      </c>
      <c r="I112" s="829" t="str">
        <f t="shared" si="8"/>
        <v/>
      </c>
      <c r="J112" s="830" t="str">
        <f t="shared" si="9"/>
        <v/>
      </c>
      <c r="K112" s="648"/>
      <c r="L112" s="814"/>
      <c r="M112" s="814"/>
      <c r="N112" s="814"/>
      <c r="O112" s="814"/>
      <c r="P112" s="814"/>
      <c r="Q112" s="814"/>
      <c r="R112" s="814"/>
      <c r="S112" s="814"/>
      <c r="T112" s="814"/>
      <c r="U112" s="814"/>
      <c r="V112" s="814"/>
      <c r="W112" s="814"/>
      <c r="X112" s="814"/>
      <c r="Y112" s="814"/>
      <c r="Z112" s="814"/>
      <c r="AA112" s="814"/>
      <c r="AB112" s="69"/>
      <c r="AC112" s="69"/>
      <c r="AD112" s="69"/>
      <c r="AE112" s="69"/>
      <c r="AF112" s="69"/>
      <c r="AG112" s="69"/>
      <c r="AH112" s="69"/>
      <c r="AI112" s="69"/>
      <c r="AJ112" s="69"/>
      <c r="AK112" s="69"/>
      <c r="AL112" s="69"/>
      <c r="AM112" s="69"/>
      <c r="AN112" s="69"/>
      <c r="AO112" s="69"/>
      <c r="AP112" s="69"/>
      <c r="AQ112" s="69"/>
    </row>
    <row r="113" spans="1:43">
      <c r="A113" s="814"/>
      <c r="B113" s="1184"/>
      <c r="C113" s="1185"/>
      <c r="D113" s="1186"/>
      <c r="E113" s="1187"/>
      <c r="F113" s="1188"/>
      <c r="G113" s="832" t="str">
        <f t="shared" si="6"/>
        <v/>
      </c>
      <c r="H113" s="829" t="str">
        <f t="shared" si="7"/>
        <v/>
      </c>
      <c r="I113" s="829" t="str">
        <f t="shared" si="8"/>
        <v/>
      </c>
      <c r="J113" s="830" t="str">
        <f t="shared" si="9"/>
        <v/>
      </c>
      <c r="K113" s="648"/>
      <c r="L113" s="814"/>
      <c r="M113" s="814"/>
      <c r="N113" s="814"/>
      <c r="O113" s="814"/>
      <c r="P113" s="814"/>
      <c r="Q113" s="814"/>
      <c r="R113" s="814"/>
      <c r="S113" s="814"/>
      <c r="T113" s="814"/>
      <c r="U113" s="814"/>
      <c r="V113" s="814"/>
      <c r="W113" s="814"/>
      <c r="X113" s="814"/>
      <c r="Y113" s="814"/>
      <c r="Z113" s="814"/>
      <c r="AA113" s="814"/>
      <c r="AB113" s="69"/>
      <c r="AC113" s="69"/>
      <c r="AD113" s="69"/>
      <c r="AE113" s="69"/>
      <c r="AF113" s="69"/>
      <c r="AG113" s="69"/>
      <c r="AH113" s="69"/>
      <c r="AI113" s="69"/>
      <c r="AJ113" s="69"/>
      <c r="AK113" s="69"/>
      <c r="AL113" s="69"/>
      <c r="AM113" s="69"/>
      <c r="AN113" s="69"/>
      <c r="AO113" s="69"/>
      <c r="AP113" s="69"/>
      <c r="AQ113" s="69"/>
    </row>
    <row r="114" spans="1:43">
      <c r="A114" s="814"/>
      <c r="B114" s="1184"/>
      <c r="C114" s="1185"/>
      <c r="D114" s="1186"/>
      <c r="E114" s="1187"/>
      <c r="F114" s="1188"/>
      <c r="G114" s="832" t="str">
        <f t="shared" si="6"/>
        <v/>
      </c>
      <c r="H114" s="829" t="str">
        <f t="shared" si="7"/>
        <v/>
      </c>
      <c r="I114" s="829" t="str">
        <f t="shared" si="8"/>
        <v/>
      </c>
      <c r="J114" s="830" t="str">
        <f t="shared" si="9"/>
        <v/>
      </c>
      <c r="K114" s="648"/>
      <c r="L114" s="814"/>
      <c r="M114" s="814"/>
      <c r="N114" s="814"/>
      <c r="O114" s="814"/>
      <c r="P114" s="814"/>
      <c r="Q114" s="814"/>
      <c r="R114" s="814"/>
      <c r="S114" s="814"/>
      <c r="T114" s="814"/>
      <c r="U114" s="814"/>
      <c r="V114" s="814"/>
      <c r="W114" s="814"/>
      <c r="X114" s="814"/>
      <c r="Y114" s="814"/>
      <c r="Z114" s="814"/>
      <c r="AA114" s="814"/>
      <c r="AB114" s="69"/>
      <c r="AC114" s="69"/>
      <c r="AD114" s="69"/>
      <c r="AE114" s="69"/>
      <c r="AF114" s="69"/>
      <c r="AG114" s="69"/>
      <c r="AH114" s="69"/>
      <c r="AI114" s="69"/>
      <c r="AJ114" s="69"/>
      <c r="AK114" s="69"/>
      <c r="AL114" s="69"/>
      <c r="AM114" s="69"/>
      <c r="AN114" s="69"/>
      <c r="AO114" s="69"/>
      <c r="AP114" s="69"/>
      <c r="AQ114" s="69"/>
    </row>
    <row r="115" spans="1:43">
      <c r="A115" s="814"/>
      <c r="B115" s="1184"/>
      <c r="C115" s="1185"/>
      <c r="D115" s="1186"/>
      <c r="E115" s="1187"/>
      <c r="F115" s="1188"/>
      <c r="G115" s="832" t="str">
        <f t="shared" si="6"/>
        <v/>
      </c>
      <c r="H115" s="829" t="str">
        <f t="shared" si="7"/>
        <v/>
      </c>
      <c r="I115" s="829" t="str">
        <f t="shared" si="8"/>
        <v/>
      </c>
      <c r="J115" s="830" t="str">
        <f t="shared" si="9"/>
        <v/>
      </c>
      <c r="K115" s="648"/>
      <c r="L115" s="814"/>
      <c r="M115" s="814"/>
      <c r="N115" s="814"/>
      <c r="O115" s="814"/>
      <c r="P115" s="814"/>
      <c r="Q115" s="814"/>
      <c r="R115" s="814"/>
      <c r="S115" s="814"/>
      <c r="T115" s="814"/>
      <c r="U115" s="814"/>
      <c r="V115" s="814"/>
      <c r="W115" s="814"/>
      <c r="X115" s="814"/>
      <c r="Y115" s="814"/>
      <c r="Z115" s="814"/>
      <c r="AA115" s="814"/>
      <c r="AB115" s="69"/>
      <c r="AC115" s="69"/>
      <c r="AD115" s="69"/>
      <c r="AE115" s="69"/>
      <c r="AF115" s="69"/>
      <c r="AG115" s="69"/>
      <c r="AH115" s="69"/>
      <c r="AI115" s="69"/>
      <c r="AJ115" s="69"/>
      <c r="AK115" s="69"/>
      <c r="AL115" s="69"/>
      <c r="AM115" s="69"/>
      <c r="AN115" s="69"/>
      <c r="AO115" s="69"/>
      <c r="AP115" s="69"/>
      <c r="AQ115" s="69"/>
    </row>
    <row r="116" spans="1:43">
      <c r="A116" s="814"/>
      <c r="B116" s="1184"/>
      <c r="C116" s="1185"/>
      <c r="D116" s="1186"/>
      <c r="E116" s="1187"/>
      <c r="F116" s="1188"/>
      <c r="G116" s="832" t="str">
        <f t="shared" si="6"/>
        <v/>
      </c>
      <c r="H116" s="829" t="str">
        <f t="shared" si="7"/>
        <v/>
      </c>
      <c r="I116" s="829" t="str">
        <f t="shared" si="8"/>
        <v/>
      </c>
      <c r="J116" s="830" t="str">
        <f t="shared" si="9"/>
        <v/>
      </c>
      <c r="K116" s="648"/>
      <c r="L116" s="814"/>
      <c r="M116" s="814"/>
      <c r="N116" s="814"/>
      <c r="O116" s="814"/>
      <c r="P116" s="814"/>
      <c r="Q116" s="814"/>
      <c r="R116" s="814"/>
      <c r="S116" s="814"/>
      <c r="T116" s="814"/>
      <c r="U116" s="814"/>
      <c r="V116" s="814"/>
      <c r="W116" s="814"/>
      <c r="X116" s="814"/>
      <c r="Y116" s="814"/>
      <c r="Z116" s="814"/>
      <c r="AA116" s="814"/>
      <c r="AB116" s="69"/>
      <c r="AC116" s="69"/>
      <c r="AD116" s="69"/>
      <c r="AE116" s="69"/>
      <c r="AF116" s="69"/>
      <c r="AG116" s="69"/>
      <c r="AH116" s="69"/>
      <c r="AI116" s="69"/>
      <c r="AJ116" s="69"/>
      <c r="AK116" s="69"/>
      <c r="AL116" s="69"/>
      <c r="AM116" s="69"/>
      <c r="AN116" s="69"/>
      <c r="AO116" s="69"/>
      <c r="AP116" s="69"/>
      <c r="AQ116" s="69"/>
    </row>
    <row r="117" spans="1:43">
      <c r="A117" s="814"/>
      <c r="B117" s="1184"/>
      <c r="C117" s="1185"/>
      <c r="D117" s="1186"/>
      <c r="E117" s="1187"/>
      <c r="F117" s="1188"/>
      <c r="G117" s="832" t="str">
        <f t="shared" si="6"/>
        <v/>
      </c>
      <c r="H117" s="829" t="str">
        <f t="shared" si="7"/>
        <v/>
      </c>
      <c r="I117" s="829" t="str">
        <f t="shared" si="8"/>
        <v/>
      </c>
      <c r="J117" s="830" t="str">
        <f t="shared" si="9"/>
        <v/>
      </c>
      <c r="K117" s="648"/>
      <c r="L117" s="814"/>
      <c r="M117" s="814"/>
      <c r="N117" s="814"/>
      <c r="O117" s="814"/>
      <c r="P117" s="814"/>
      <c r="Q117" s="814"/>
      <c r="R117" s="814"/>
      <c r="S117" s="814"/>
      <c r="T117" s="814"/>
      <c r="U117" s="814"/>
      <c r="V117" s="814"/>
      <c r="W117" s="814"/>
      <c r="X117" s="814"/>
      <c r="Y117" s="814"/>
      <c r="Z117" s="814"/>
      <c r="AA117" s="814"/>
      <c r="AB117" s="69"/>
      <c r="AC117" s="69"/>
      <c r="AD117" s="69"/>
      <c r="AE117" s="69"/>
      <c r="AF117" s="69"/>
      <c r="AG117" s="69"/>
      <c r="AH117" s="69"/>
      <c r="AI117" s="69"/>
      <c r="AJ117" s="69"/>
      <c r="AK117" s="69"/>
      <c r="AL117" s="69"/>
      <c r="AM117" s="69"/>
      <c r="AN117" s="69"/>
      <c r="AO117" s="69"/>
      <c r="AP117" s="69"/>
      <c r="AQ117" s="69"/>
    </row>
    <row r="118" spans="1:43">
      <c r="A118" s="814"/>
      <c r="B118" s="1184"/>
      <c r="C118" s="1185"/>
      <c r="D118" s="1186"/>
      <c r="E118" s="1187"/>
      <c r="F118" s="1188"/>
      <c r="G118" s="832" t="str">
        <f t="shared" si="6"/>
        <v/>
      </c>
      <c r="H118" s="829" t="str">
        <f t="shared" si="7"/>
        <v/>
      </c>
      <c r="I118" s="829" t="str">
        <f t="shared" si="8"/>
        <v/>
      </c>
      <c r="J118" s="830" t="str">
        <f t="shared" si="9"/>
        <v/>
      </c>
      <c r="K118" s="648"/>
      <c r="L118" s="814"/>
      <c r="M118" s="814"/>
      <c r="N118" s="814"/>
      <c r="O118" s="814"/>
      <c r="P118" s="814"/>
      <c r="Q118" s="814"/>
      <c r="R118" s="814"/>
      <c r="S118" s="814"/>
      <c r="T118" s="814"/>
      <c r="U118" s="814"/>
      <c r="V118" s="814"/>
      <c r="W118" s="814"/>
      <c r="X118" s="814"/>
      <c r="Y118" s="814"/>
      <c r="Z118" s="814"/>
      <c r="AA118" s="814"/>
      <c r="AB118" s="69"/>
      <c r="AC118" s="69"/>
      <c r="AD118" s="69"/>
      <c r="AE118" s="69"/>
      <c r="AF118" s="69"/>
      <c r="AG118" s="69"/>
      <c r="AH118" s="69"/>
      <c r="AI118" s="69"/>
      <c r="AJ118" s="69"/>
      <c r="AK118" s="69"/>
      <c r="AL118" s="69"/>
      <c r="AM118" s="69"/>
      <c r="AN118" s="69"/>
      <c r="AO118" s="69"/>
      <c r="AP118" s="69"/>
      <c r="AQ118" s="69"/>
    </row>
    <row r="119" spans="1:43">
      <c r="A119" s="814"/>
      <c r="B119" s="1184"/>
      <c r="C119" s="1185"/>
      <c r="D119" s="1186"/>
      <c r="E119" s="1187"/>
      <c r="F119" s="1188"/>
      <c r="G119" s="832" t="str">
        <f t="shared" si="6"/>
        <v/>
      </c>
      <c r="H119" s="829" t="str">
        <f t="shared" si="7"/>
        <v/>
      </c>
      <c r="I119" s="829" t="str">
        <f t="shared" si="8"/>
        <v/>
      </c>
      <c r="J119" s="830" t="str">
        <f t="shared" si="9"/>
        <v/>
      </c>
      <c r="K119" s="648"/>
      <c r="L119" s="814"/>
      <c r="M119" s="814"/>
      <c r="N119" s="814"/>
      <c r="O119" s="814"/>
      <c r="P119" s="814"/>
      <c r="Q119" s="814"/>
      <c r="R119" s="814"/>
      <c r="S119" s="814"/>
      <c r="T119" s="814"/>
      <c r="U119" s="814"/>
      <c r="V119" s="814"/>
      <c r="W119" s="814"/>
      <c r="X119" s="814"/>
      <c r="Y119" s="814"/>
      <c r="Z119" s="814"/>
      <c r="AA119" s="814"/>
      <c r="AB119" s="69"/>
      <c r="AC119" s="69"/>
      <c r="AD119" s="69"/>
      <c r="AE119" s="69"/>
      <c r="AF119" s="69"/>
      <c r="AG119" s="69"/>
      <c r="AH119" s="69"/>
      <c r="AI119" s="69"/>
      <c r="AJ119" s="69"/>
      <c r="AK119" s="69"/>
      <c r="AL119" s="69"/>
      <c r="AM119" s="69"/>
      <c r="AN119" s="69"/>
      <c r="AO119" s="69"/>
      <c r="AP119" s="69"/>
      <c r="AQ119" s="69"/>
    </row>
    <row r="120" spans="1:43">
      <c r="A120" s="814"/>
      <c r="B120" s="1184"/>
      <c r="C120" s="1185"/>
      <c r="D120" s="1186"/>
      <c r="E120" s="1187"/>
      <c r="F120" s="1188"/>
      <c r="G120" s="832" t="str">
        <f t="shared" si="6"/>
        <v/>
      </c>
      <c r="H120" s="829" t="str">
        <f t="shared" si="7"/>
        <v/>
      </c>
      <c r="I120" s="829" t="str">
        <f t="shared" si="8"/>
        <v/>
      </c>
      <c r="J120" s="830" t="str">
        <f t="shared" si="9"/>
        <v/>
      </c>
      <c r="K120" s="648"/>
      <c r="L120" s="814"/>
      <c r="M120" s="814"/>
      <c r="N120" s="814"/>
      <c r="O120" s="814"/>
      <c r="P120" s="814"/>
      <c r="Q120" s="814"/>
      <c r="R120" s="814"/>
      <c r="S120" s="814"/>
      <c r="T120" s="814"/>
      <c r="U120" s="814"/>
      <c r="V120" s="814"/>
      <c r="W120" s="814"/>
      <c r="X120" s="814"/>
      <c r="Y120" s="814"/>
      <c r="Z120" s="814"/>
      <c r="AA120" s="814"/>
      <c r="AB120" s="69"/>
      <c r="AC120" s="69"/>
      <c r="AD120" s="69"/>
      <c r="AE120" s="69"/>
      <c r="AF120" s="69"/>
      <c r="AG120" s="69"/>
      <c r="AH120" s="69"/>
      <c r="AI120" s="69"/>
      <c r="AJ120" s="69"/>
      <c r="AK120" s="69"/>
      <c r="AL120" s="69"/>
      <c r="AM120" s="69"/>
      <c r="AN120" s="69"/>
      <c r="AO120" s="69"/>
      <c r="AP120" s="69"/>
      <c r="AQ120" s="69"/>
    </row>
    <row r="121" spans="1:43">
      <c r="A121" s="814"/>
      <c r="B121" s="1184"/>
      <c r="C121" s="1185"/>
      <c r="D121" s="1186"/>
      <c r="E121" s="1187"/>
      <c r="F121" s="1188"/>
      <c r="G121" s="832" t="str">
        <f t="shared" si="6"/>
        <v/>
      </c>
      <c r="H121" s="829" t="str">
        <f t="shared" si="7"/>
        <v/>
      </c>
      <c r="I121" s="829" t="str">
        <f t="shared" si="8"/>
        <v/>
      </c>
      <c r="J121" s="830" t="str">
        <f t="shared" si="9"/>
        <v/>
      </c>
      <c r="K121" s="648"/>
      <c r="L121" s="814"/>
      <c r="M121" s="814"/>
      <c r="N121" s="814"/>
      <c r="O121" s="814"/>
      <c r="P121" s="814"/>
      <c r="Q121" s="814"/>
      <c r="R121" s="814"/>
      <c r="S121" s="814"/>
      <c r="T121" s="814"/>
      <c r="U121" s="814"/>
      <c r="V121" s="814"/>
      <c r="W121" s="814"/>
      <c r="X121" s="814"/>
      <c r="Y121" s="814"/>
      <c r="Z121" s="814"/>
      <c r="AA121" s="814"/>
      <c r="AB121" s="69"/>
      <c r="AC121" s="69"/>
      <c r="AD121" s="69"/>
      <c r="AE121" s="69"/>
      <c r="AF121" s="69"/>
      <c r="AG121" s="69"/>
      <c r="AH121" s="69"/>
      <c r="AI121" s="69"/>
      <c r="AJ121" s="69"/>
      <c r="AK121" s="69"/>
      <c r="AL121" s="69"/>
      <c r="AM121" s="69"/>
      <c r="AN121" s="69"/>
      <c r="AO121" s="69"/>
      <c r="AP121" s="69"/>
      <c r="AQ121" s="69"/>
    </row>
    <row r="122" spans="1:43">
      <c r="A122" s="814"/>
      <c r="B122" s="1184"/>
      <c r="C122" s="1185"/>
      <c r="D122" s="1186"/>
      <c r="E122" s="1187"/>
      <c r="F122" s="1188"/>
      <c r="G122" s="832" t="str">
        <f t="shared" si="6"/>
        <v/>
      </c>
      <c r="H122" s="829" t="str">
        <f t="shared" si="7"/>
        <v/>
      </c>
      <c r="I122" s="829" t="str">
        <f t="shared" si="8"/>
        <v/>
      </c>
      <c r="J122" s="830" t="str">
        <f t="shared" si="9"/>
        <v/>
      </c>
      <c r="K122" s="648"/>
      <c r="L122" s="814"/>
      <c r="M122" s="814"/>
      <c r="N122" s="814"/>
      <c r="O122" s="814"/>
      <c r="P122" s="814"/>
      <c r="Q122" s="814"/>
      <c r="R122" s="814"/>
      <c r="S122" s="814"/>
      <c r="T122" s="814"/>
      <c r="U122" s="814"/>
      <c r="V122" s="814"/>
      <c r="W122" s="814"/>
      <c r="X122" s="814"/>
      <c r="Y122" s="814"/>
      <c r="Z122" s="814"/>
      <c r="AA122" s="814"/>
      <c r="AB122" s="69"/>
      <c r="AC122" s="69"/>
      <c r="AD122" s="69"/>
      <c r="AE122" s="69"/>
      <c r="AF122" s="69"/>
      <c r="AG122" s="69"/>
      <c r="AH122" s="69"/>
      <c r="AI122" s="69"/>
      <c r="AJ122" s="69"/>
      <c r="AK122" s="69"/>
      <c r="AL122" s="69"/>
      <c r="AM122" s="69"/>
      <c r="AN122" s="69"/>
      <c r="AO122" s="69"/>
      <c r="AP122" s="69"/>
      <c r="AQ122" s="69"/>
    </row>
    <row r="123" spans="1:43">
      <c r="A123" s="814"/>
      <c r="B123" s="1184"/>
      <c r="C123" s="1185"/>
      <c r="D123" s="1186"/>
      <c r="E123" s="1187"/>
      <c r="F123" s="1188"/>
      <c r="G123" s="832" t="str">
        <f t="shared" si="6"/>
        <v/>
      </c>
      <c r="H123" s="829" t="str">
        <f t="shared" si="7"/>
        <v/>
      </c>
      <c r="I123" s="829" t="str">
        <f t="shared" si="8"/>
        <v/>
      </c>
      <c r="J123" s="830" t="str">
        <f t="shared" si="9"/>
        <v/>
      </c>
      <c r="K123" s="648"/>
      <c r="L123" s="814"/>
      <c r="M123" s="814"/>
      <c r="N123" s="814"/>
      <c r="O123" s="814"/>
      <c r="P123" s="814"/>
      <c r="Q123" s="814"/>
      <c r="R123" s="814"/>
      <c r="S123" s="814"/>
      <c r="T123" s="814"/>
      <c r="U123" s="814"/>
      <c r="V123" s="814"/>
      <c r="W123" s="814"/>
      <c r="X123" s="814"/>
      <c r="Y123" s="814"/>
      <c r="Z123" s="814"/>
      <c r="AA123" s="814"/>
      <c r="AB123" s="69"/>
      <c r="AC123" s="69"/>
      <c r="AD123" s="69"/>
      <c r="AE123" s="69"/>
      <c r="AF123" s="69"/>
      <c r="AG123" s="69"/>
      <c r="AH123" s="69"/>
      <c r="AI123" s="69"/>
      <c r="AJ123" s="69"/>
      <c r="AK123" s="69"/>
      <c r="AL123" s="69"/>
      <c r="AM123" s="69"/>
      <c r="AN123" s="69"/>
      <c r="AO123" s="69"/>
      <c r="AP123" s="69"/>
      <c r="AQ123" s="69"/>
    </row>
    <row r="124" spans="1:43">
      <c r="A124" s="814"/>
      <c r="B124" s="1184"/>
      <c r="C124" s="1185"/>
      <c r="D124" s="1186"/>
      <c r="E124" s="1187"/>
      <c r="F124" s="1188"/>
      <c r="G124" s="832" t="str">
        <f t="shared" si="6"/>
        <v/>
      </c>
      <c r="H124" s="829" t="str">
        <f t="shared" si="7"/>
        <v/>
      </c>
      <c r="I124" s="829" t="str">
        <f t="shared" si="8"/>
        <v/>
      </c>
      <c r="J124" s="830" t="str">
        <f t="shared" si="9"/>
        <v/>
      </c>
      <c r="K124" s="648"/>
      <c r="L124" s="814"/>
      <c r="M124" s="814"/>
      <c r="N124" s="814"/>
      <c r="O124" s="814"/>
      <c r="P124" s="814"/>
      <c r="Q124" s="814"/>
      <c r="R124" s="814"/>
      <c r="S124" s="814"/>
      <c r="T124" s="814"/>
      <c r="U124" s="814"/>
      <c r="V124" s="814"/>
      <c r="W124" s="814"/>
      <c r="X124" s="814"/>
      <c r="Y124" s="814"/>
      <c r="Z124" s="814"/>
      <c r="AA124" s="814"/>
      <c r="AB124" s="69"/>
      <c r="AC124" s="69"/>
      <c r="AD124" s="69"/>
      <c r="AE124" s="69"/>
      <c r="AF124" s="69"/>
      <c r="AG124" s="69"/>
      <c r="AH124" s="69"/>
      <c r="AI124" s="69"/>
      <c r="AJ124" s="69"/>
      <c r="AK124" s="69"/>
      <c r="AL124" s="69"/>
      <c r="AM124" s="69"/>
      <c r="AN124" s="69"/>
      <c r="AO124" s="69"/>
      <c r="AP124" s="69"/>
      <c r="AQ124" s="69"/>
    </row>
    <row r="125" spans="1:43">
      <c r="A125" s="814"/>
      <c r="B125" s="1184"/>
      <c r="C125" s="1185"/>
      <c r="D125" s="1186"/>
      <c r="E125" s="1187"/>
      <c r="F125" s="1188"/>
      <c r="G125" s="832" t="str">
        <f t="shared" si="6"/>
        <v/>
      </c>
      <c r="H125" s="829" t="str">
        <f t="shared" si="7"/>
        <v/>
      </c>
      <c r="I125" s="829" t="str">
        <f t="shared" si="8"/>
        <v/>
      </c>
      <c r="J125" s="830" t="str">
        <f t="shared" si="9"/>
        <v/>
      </c>
      <c r="K125" s="648"/>
      <c r="L125" s="814"/>
      <c r="M125" s="814"/>
      <c r="N125" s="814"/>
      <c r="O125" s="814"/>
      <c r="P125" s="814"/>
      <c r="Q125" s="814"/>
      <c r="R125" s="814"/>
      <c r="S125" s="814"/>
      <c r="T125" s="814"/>
      <c r="U125" s="814"/>
      <c r="V125" s="814"/>
      <c r="W125" s="814"/>
      <c r="X125" s="814"/>
      <c r="Y125" s="814"/>
      <c r="Z125" s="814"/>
      <c r="AA125" s="814"/>
      <c r="AB125" s="69"/>
      <c r="AC125" s="69"/>
      <c r="AD125" s="69"/>
      <c r="AE125" s="69"/>
      <c r="AF125" s="69"/>
      <c r="AG125" s="69"/>
      <c r="AH125" s="69"/>
      <c r="AI125" s="69"/>
      <c r="AJ125" s="69"/>
      <c r="AK125" s="69"/>
      <c r="AL125" s="69"/>
      <c r="AM125" s="69"/>
      <c r="AN125" s="69"/>
      <c r="AO125" s="69"/>
      <c r="AP125" s="69"/>
      <c r="AQ125" s="69"/>
    </row>
    <row r="126" spans="1:43">
      <c r="A126" s="814"/>
      <c r="B126" s="1184"/>
      <c r="C126" s="1185"/>
      <c r="D126" s="1186"/>
      <c r="E126" s="1187"/>
      <c r="F126" s="1188"/>
      <c r="G126" s="832" t="str">
        <f t="shared" si="6"/>
        <v/>
      </c>
      <c r="H126" s="829" t="str">
        <f t="shared" si="7"/>
        <v/>
      </c>
      <c r="I126" s="829" t="str">
        <f t="shared" si="8"/>
        <v/>
      </c>
      <c r="J126" s="830" t="str">
        <f t="shared" si="9"/>
        <v/>
      </c>
      <c r="K126" s="648"/>
      <c r="L126" s="814"/>
      <c r="M126" s="814"/>
      <c r="N126" s="814"/>
      <c r="O126" s="814"/>
      <c r="P126" s="814"/>
      <c r="Q126" s="814"/>
      <c r="R126" s="814"/>
      <c r="S126" s="814"/>
      <c r="T126" s="814"/>
      <c r="U126" s="814"/>
      <c r="V126" s="814"/>
      <c r="W126" s="814"/>
      <c r="X126" s="814"/>
      <c r="Y126" s="814"/>
      <c r="Z126" s="814"/>
      <c r="AA126" s="814"/>
      <c r="AB126" s="69"/>
      <c r="AC126" s="69"/>
      <c r="AD126" s="69"/>
      <c r="AE126" s="69"/>
      <c r="AF126" s="69"/>
      <c r="AG126" s="69"/>
      <c r="AH126" s="69"/>
      <c r="AI126" s="69"/>
      <c r="AJ126" s="69"/>
      <c r="AK126" s="69"/>
      <c r="AL126" s="69"/>
      <c r="AM126" s="69"/>
      <c r="AN126" s="69"/>
      <c r="AO126" s="69"/>
      <c r="AP126" s="69"/>
      <c r="AQ126" s="69"/>
    </row>
    <row r="127" spans="1:43">
      <c r="A127" s="814"/>
      <c r="B127" s="1184"/>
      <c r="C127" s="1185"/>
      <c r="D127" s="1186"/>
      <c r="E127" s="1187"/>
      <c r="F127" s="1188"/>
      <c r="G127" s="832" t="str">
        <f t="shared" si="6"/>
        <v/>
      </c>
      <c r="H127" s="829" t="str">
        <f t="shared" si="7"/>
        <v/>
      </c>
      <c r="I127" s="829" t="str">
        <f t="shared" si="8"/>
        <v/>
      </c>
      <c r="J127" s="830" t="str">
        <f t="shared" si="9"/>
        <v/>
      </c>
      <c r="K127" s="648"/>
      <c r="L127" s="814"/>
      <c r="M127" s="814"/>
      <c r="N127" s="814"/>
      <c r="O127" s="814"/>
      <c r="P127" s="814"/>
      <c r="Q127" s="814"/>
      <c r="R127" s="814"/>
      <c r="S127" s="814"/>
      <c r="T127" s="814"/>
      <c r="U127" s="814"/>
      <c r="V127" s="814"/>
      <c r="W127" s="814"/>
      <c r="X127" s="814"/>
      <c r="Y127" s="814"/>
      <c r="Z127" s="814"/>
      <c r="AA127" s="814"/>
      <c r="AB127" s="69"/>
      <c r="AC127" s="69"/>
      <c r="AD127" s="69"/>
      <c r="AE127" s="69"/>
      <c r="AF127" s="69"/>
      <c r="AG127" s="69"/>
      <c r="AH127" s="69"/>
      <c r="AI127" s="69"/>
      <c r="AJ127" s="69"/>
      <c r="AK127" s="69"/>
      <c r="AL127" s="69"/>
      <c r="AM127" s="69"/>
      <c r="AN127" s="69"/>
      <c r="AO127" s="69"/>
      <c r="AP127" s="69"/>
      <c r="AQ127" s="69"/>
    </row>
    <row r="128" spans="1:43">
      <c r="A128" s="814"/>
      <c r="B128" s="1184"/>
      <c r="C128" s="1185"/>
      <c r="D128" s="1186"/>
      <c r="E128" s="1187"/>
      <c r="F128" s="1188"/>
      <c r="G128" s="832" t="str">
        <f t="shared" si="6"/>
        <v/>
      </c>
      <c r="H128" s="829" t="str">
        <f t="shared" si="7"/>
        <v/>
      </c>
      <c r="I128" s="829" t="str">
        <f t="shared" si="8"/>
        <v/>
      </c>
      <c r="J128" s="830" t="str">
        <f t="shared" si="9"/>
        <v/>
      </c>
      <c r="K128" s="648"/>
      <c r="L128" s="814"/>
      <c r="M128" s="814"/>
      <c r="N128" s="814"/>
      <c r="O128" s="814"/>
      <c r="P128" s="814"/>
      <c r="Q128" s="814"/>
      <c r="R128" s="814"/>
      <c r="S128" s="814"/>
      <c r="T128" s="814"/>
      <c r="U128" s="814"/>
      <c r="V128" s="814"/>
      <c r="W128" s="814"/>
      <c r="X128" s="814"/>
      <c r="Y128" s="814"/>
      <c r="Z128" s="814"/>
      <c r="AA128" s="814"/>
      <c r="AB128" s="69"/>
      <c r="AC128" s="69"/>
      <c r="AD128" s="69"/>
      <c r="AE128" s="69"/>
      <c r="AF128" s="69"/>
      <c r="AG128" s="69"/>
      <c r="AH128" s="69"/>
      <c r="AI128" s="69"/>
      <c r="AJ128" s="69"/>
      <c r="AK128" s="69"/>
      <c r="AL128" s="69"/>
      <c r="AM128" s="69"/>
      <c r="AN128" s="69"/>
      <c r="AO128" s="69"/>
      <c r="AP128" s="69"/>
      <c r="AQ128" s="69"/>
    </row>
    <row r="129" spans="1:43">
      <c r="A129" s="814"/>
      <c r="B129" s="1184"/>
      <c r="C129" s="1185"/>
      <c r="D129" s="1186"/>
      <c r="E129" s="1187"/>
      <c r="F129" s="1188"/>
      <c r="G129" s="832" t="str">
        <f t="shared" si="6"/>
        <v/>
      </c>
      <c r="H129" s="829" t="str">
        <f t="shared" si="7"/>
        <v/>
      </c>
      <c r="I129" s="829" t="str">
        <f t="shared" si="8"/>
        <v/>
      </c>
      <c r="J129" s="830" t="str">
        <f t="shared" si="9"/>
        <v/>
      </c>
      <c r="K129" s="648"/>
      <c r="L129" s="814"/>
      <c r="M129" s="814"/>
      <c r="N129" s="814"/>
      <c r="O129" s="814"/>
      <c r="P129" s="814"/>
      <c r="Q129" s="814"/>
      <c r="R129" s="814"/>
      <c r="S129" s="814"/>
      <c r="T129" s="814"/>
      <c r="U129" s="814"/>
      <c r="V129" s="814"/>
      <c r="W129" s="814"/>
      <c r="X129" s="814"/>
      <c r="Y129" s="814"/>
      <c r="Z129" s="814"/>
      <c r="AA129" s="814"/>
      <c r="AB129" s="69"/>
      <c r="AC129" s="69"/>
      <c r="AD129" s="69"/>
      <c r="AE129" s="69"/>
      <c r="AF129" s="69"/>
      <c r="AG129" s="69"/>
      <c r="AH129" s="69"/>
      <c r="AI129" s="69"/>
      <c r="AJ129" s="69"/>
      <c r="AK129" s="69"/>
      <c r="AL129" s="69"/>
      <c r="AM129" s="69"/>
      <c r="AN129" s="69"/>
      <c r="AO129" s="69"/>
      <c r="AP129" s="69"/>
      <c r="AQ129" s="69"/>
    </row>
    <row r="130" spans="1:43">
      <c r="A130" s="814"/>
      <c r="B130" s="1184"/>
      <c r="C130" s="1185"/>
      <c r="D130" s="1186"/>
      <c r="E130" s="1187"/>
      <c r="F130" s="1188"/>
      <c r="G130" s="832" t="str">
        <f t="shared" si="6"/>
        <v/>
      </c>
      <c r="H130" s="829" t="str">
        <f t="shared" si="7"/>
        <v/>
      </c>
      <c r="I130" s="829" t="str">
        <f t="shared" si="8"/>
        <v/>
      </c>
      <c r="J130" s="830" t="str">
        <f t="shared" si="9"/>
        <v/>
      </c>
      <c r="K130" s="648"/>
      <c r="L130" s="814"/>
      <c r="M130" s="814"/>
      <c r="N130" s="814"/>
      <c r="O130" s="814"/>
      <c r="P130" s="814"/>
      <c r="Q130" s="814"/>
      <c r="R130" s="814"/>
      <c r="S130" s="814"/>
      <c r="T130" s="814"/>
      <c r="U130" s="814"/>
      <c r="V130" s="814"/>
      <c r="W130" s="814"/>
      <c r="X130" s="814"/>
      <c r="Y130" s="814"/>
      <c r="Z130" s="814"/>
      <c r="AA130" s="814"/>
      <c r="AB130" s="69"/>
      <c r="AC130" s="69"/>
      <c r="AD130" s="69"/>
      <c r="AE130" s="69"/>
      <c r="AF130" s="69"/>
      <c r="AG130" s="69"/>
      <c r="AH130" s="69"/>
      <c r="AI130" s="69"/>
      <c r="AJ130" s="69"/>
      <c r="AK130" s="69"/>
      <c r="AL130" s="69"/>
      <c r="AM130" s="69"/>
      <c r="AN130" s="69"/>
      <c r="AO130" s="69"/>
      <c r="AP130" s="69"/>
      <c r="AQ130" s="69"/>
    </row>
    <row r="131" spans="1:43">
      <c r="A131" s="814"/>
      <c r="B131" s="1184"/>
      <c r="C131" s="1185"/>
      <c r="D131" s="1186"/>
      <c r="E131" s="1187"/>
      <c r="F131" s="1188"/>
      <c r="G131" s="832" t="str">
        <f t="shared" si="6"/>
        <v/>
      </c>
      <c r="H131" s="829" t="str">
        <f t="shared" si="7"/>
        <v/>
      </c>
      <c r="I131" s="829" t="str">
        <f t="shared" si="8"/>
        <v/>
      </c>
      <c r="J131" s="830" t="str">
        <f t="shared" si="9"/>
        <v/>
      </c>
      <c r="K131" s="648"/>
      <c r="L131" s="814"/>
      <c r="M131" s="814"/>
      <c r="N131" s="814"/>
      <c r="O131" s="814"/>
      <c r="P131" s="814"/>
      <c r="Q131" s="814"/>
      <c r="R131" s="814"/>
      <c r="S131" s="814"/>
      <c r="T131" s="814"/>
      <c r="U131" s="814"/>
      <c r="V131" s="814"/>
      <c r="W131" s="814"/>
      <c r="X131" s="814"/>
      <c r="Y131" s="814"/>
      <c r="Z131" s="814"/>
      <c r="AA131" s="814"/>
      <c r="AB131" s="69"/>
      <c r="AC131" s="69"/>
      <c r="AD131" s="69"/>
      <c r="AE131" s="69"/>
      <c r="AF131" s="69"/>
      <c r="AG131" s="69"/>
      <c r="AH131" s="69"/>
      <c r="AI131" s="69"/>
      <c r="AJ131" s="69"/>
      <c r="AK131" s="69"/>
      <c r="AL131" s="69"/>
      <c r="AM131" s="69"/>
      <c r="AN131" s="69"/>
      <c r="AO131" s="69"/>
      <c r="AP131" s="69"/>
      <c r="AQ131" s="69"/>
    </row>
    <row r="132" spans="1:43">
      <c r="A132" s="814"/>
      <c r="B132" s="1184"/>
      <c r="C132" s="1185"/>
      <c r="D132" s="1186"/>
      <c r="E132" s="1187"/>
      <c r="F132" s="1188"/>
      <c r="G132" s="832" t="str">
        <f t="shared" si="6"/>
        <v/>
      </c>
      <c r="H132" s="829" t="str">
        <f t="shared" si="7"/>
        <v/>
      </c>
      <c r="I132" s="829" t="str">
        <f t="shared" si="8"/>
        <v/>
      </c>
      <c r="J132" s="830" t="str">
        <f t="shared" si="9"/>
        <v/>
      </c>
      <c r="K132" s="648"/>
      <c r="L132" s="814"/>
      <c r="M132" s="814"/>
      <c r="N132" s="814"/>
      <c r="O132" s="814"/>
      <c r="P132" s="814"/>
      <c r="Q132" s="814"/>
      <c r="R132" s="814"/>
      <c r="S132" s="814"/>
      <c r="T132" s="814"/>
      <c r="U132" s="814"/>
      <c r="V132" s="814"/>
      <c r="W132" s="814"/>
      <c r="X132" s="814"/>
      <c r="Y132" s="814"/>
      <c r="Z132" s="814"/>
      <c r="AA132" s="814"/>
      <c r="AB132" s="69"/>
      <c r="AC132" s="69"/>
      <c r="AD132" s="69"/>
      <c r="AE132" s="69"/>
      <c r="AF132" s="69"/>
      <c r="AG132" s="69"/>
      <c r="AH132" s="69"/>
      <c r="AI132" s="69"/>
      <c r="AJ132" s="69"/>
      <c r="AK132" s="69"/>
      <c r="AL132" s="69"/>
      <c r="AM132" s="69"/>
      <c r="AN132" s="69"/>
      <c r="AO132" s="69"/>
      <c r="AP132" s="69"/>
      <c r="AQ132" s="69"/>
    </row>
    <row r="133" spans="1:43">
      <c r="A133" s="814"/>
      <c r="B133" s="1184"/>
      <c r="C133" s="1185"/>
      <c r="D133" s="1186"/>
      <c r="E133" s="1187"/>
      <c r="F133" s="1188"/>
      <c r="G133" s="832" t="str">
        <f t="shared" si="6"/>
        <v/>
      </c>
      <c r="H133" s="829" t="str">
        <f t="shared" si="7"/>
        <v/>
      </c>
      <c r="I133" s="829" t="str">
        <f t="shared" si="8"/>
        <v/>
      </c>
      <c r="J133" s="830" t="str">
        <f t="shared" si="9"/>
        <v/>
      </c>
      <c r="K133" s="648"/>
      <c r="L133" s="814"/>
      <c r="M133" s="814"/>
      <c r="N133" s="814"/>
      <c r="O133" s="814"/>
      <c r="P133" s="814"/>
      <c r="Q133" s="814"/>
      <c r="R133" s="814"/>
      <c r="S133" s="814"/>
      <c r="T133" s="814"/>
      <c r="U133" s="814"/>
      <c r="V133" s="814"/>
      <c r="W133" s="814"/>
      <c r="X133" s="814"/>
      <c r="Y133" s="814"/>
      <c r="Z133" s="814"/>
      <c r="AA133" s="814"/>
      <c r="AB133" s="69"/>
      <c r="AC133" s="69"/>
      <c r="AD133" s="69"/>
      <c r="AE133" s="69"/>
      <c r="AF133" s="69"/>
      <c r="AG133" s="69"/>
      <c r="AH133" s="69"/>
      <c r="AI133" s="69"/>
      <c r="AJ133" s="69"/>
      <c r="AK133" s="69"/>
      <c r="AL133" s="69"/>
      <c r="AM133" s="69"/>
      <c r="AN133" s="69"/>
      <c r="AO133" s="69"/>
      <c r="AP133" s="69"/>
      <c r="AQ133" s="69"/>
    </row>
    <row r="134" spans="1:43">
      <c r="A134" s="814"/>
      <c r="B134" s="1184"/>
      <c r="C134" s="1185"/>
      <c r="D134" s="1186"/>
      <c r="E134" s="1187"/>
      <c r="F134" s="1188"/>
      <c r="G134" s="832" t="str">
        <f t="shared" si="6"/>
        <v/>
      </c>
      <c r="H134" s="829" t="str">
        <f t="shared" si="7"/>
        <v/>
      </c>
      <c r="I134" s="829" t="str">
        <f t="shared" si="8"/>
        <v/>
      </c>
      <c r="J134" s="830" t="str">
        <f t="shared" si="9"/>
        <v/>
      </c>
      <c r="K134" s="648"/>
      <c r="L134" s="814"/>
      <c r="M134" s="814"/>
      <c r="N134" s="814"/>
      <c r="O134" s="814"/>
      <c r="P134" s="814"/>
      <c r="Q134" s="814"/>
      <c r="R134" s="814"/>
      <c r="S134" s="814"/>
      <c r="T134" s="814"/>
      <c r="U134" s="814"/>
      <c r="V134" s="814"/>
      <c r="W134" s="814"/>
      <c r="X134" s="814"/>
      <c r="Y134" s="814"/>
      <c r="Z134" s="814"/>
      <c r="AA134" s="814"/>
      <c r="AB134" s="69"/>
      <c r="AC134" s="69"/>
      <c r="AD134" s="69"/>
      <c r="AE134" s="69"/>
      <c r="AF134" s="69"/>
      <c r="AG134" s="69"/>
      <c r="AH134" s="69"/>
      <c r="AI134" s="69"/>
      <c r="AJ134" s="69"/>
      <c r="AK134" s="69"/>
      <c r="AL134" s="69"/>
      <c r="AM134" s="69"/>
      <c r="AN134" s="69"/>
      <c r="AO134" s="69"/>
      <c r="AP134" s="69"/>
      <c r="AQ134" s="69"/>
    </row>
    <row r="135" spans="1:43">
      <c r="A135" s="814"/>
      <c r="B135" s="1184"/>
      <c r="C135" s="1185"/>
      <c r="D135" s="1186"/>
      <c r="E135" s="1187"/>
      <c r="F135" s="1188"/>
      <c r="G135" s="832" t="str">
        <f t="shared" ref="G135:G150" si="10">IF(D135="","",IF(D135&gt;$I$2,"No, less than 11 weeks","Yes, valid entry for period"))</f>
        <v/>
      </c>
      <c r="H135" s="829" t="str">
        <f t="shared" si="7"/>
        <v/>
      </c>
      <c r="I135" s="829" t="str">
        <f t="shared" si="8"/>
        <v/>
      </c>
      <c r="J135" s="830" t="str">
        <f t="shared" ref="J135:J150" si="11">IF(D135="","",SUM(D135+119))</f>
        <v/>
      </c>
      <c r="K135" s="648"/>
      <c r="L135" s="814"/>
      <c r="M135" s="814"/>
      <c r="N135" s="814"/>
      <c r="O135" s="814"/>
      <c r="P135" s="814"/>
      <c r="Q135" s="814"/>
      <c r="R135" s="814"/>
      <c r="S135" s="814"/>
      <c r="T135" s="814"/>
      <c r="U135" s="814"/>
      <c r="V135" s="814"/>
      <c r="W135" s="814"/>
      <c r="X135" s="814"/>
      <c r="Y135" s="814"/>
      <c r="Z135" s="814"/>
      <c r="AA135" s="814"/>
      <c r="AB135" s="69"/>
      <c r="AC135" s="69"/>
      <c r="AD135" s="69"/>
      <c r="AE135" s="69"/>
      <c r="AF135" s="69"/>
      <c r="AG135" s="69"/>
      <c r="AH135" s="69"/>
      <c r="AI135" s="69"/>
      <c r="AJ135" s="69"/>
      <c r="AK135" s="69"/>
      <c r="AL135" s="69"/>
      <c r="AM135" s="69"/>
      <c r="AN135" s="69"/>
      <c r="AO135" s="69"/>
      <c r="AP135" s="69"/>
      <c r="AQ135" s="69"/>
    </row>
    <row r="136" spans="1:43">
      <c r="A136" s="814"/>
      <c r="B136" s="1184"/>
      <c r="C136" s="1185"/>
      <c r="D136" s="1186"/>
      <c r="E136" s="1187"/>
      <c r="F136" s="1188"/>
      <c r="G136" s="832" t="str">
        <f t="shared" si="10"/>
        <v/>
      </c>
      <c r="H136" s="829" t="str">
        <f t="shared" si="7"/>
        <v/>
      </c>
      <c r="I136" s="829" t="str">
        <f t="shared" si="8"/>
        <v/>
      </c>
      <c r="J136" s="830" t="str">
        <f t="shared" si="11"/>
        <v/>
      </c>
      <c r="K136" s="648"/>
      <c r="L136" s="814"/>
      <c r="M136" s="814"/>
      <c r="N136" s="814"/>
      <c r="O136" s="814"/>
      <c r="P136" s="814"/>
      <c r="Q136" s="814"/>
      <c r="R136" s="814"/>
      <c r="S136" s="814"/>
      <c r="T136" s="814"/>
      <c r="U136" s="814"/>
      <c r="V136" s="814"/>
      <c r="W136" s="814"/>
      <c r="X136" s="814"/>
      <c r="Y136" s="814"/>
      <c r="Z136" s="814"/>
      <c r="AA136" s="814"/>
      <c r="AB136" s="69"/>
      <c r="AC136" s="69"/>
      <c r="AD136" s="69"/>
      <c r="AE136" s="69"/>
      <c r="AF136" s="69"/>
      <c r="AG136" s="69"/>
      <c r="AH136" s="69"/>
      <c r="AI136" s="69"/>
      <c r="AJ136" s="69"/>
      <c r="AK136" s="69"/>
      <c r="AL136" s="69"/>
      <c r="AM136" s="69"/>
      <c r="AN136" s="69"/>
      <c r="AO136" s="69"/>
      <c r="AP136" s="69"/>
      <c r="AQ136" s="69"/>
    </row>
    <row r="137" spans="1:43">
      <c r="A137" s="814"/>
      <c r="B137" s="1184"/>
      <c r="C137" s="1185"/>
      <c r="D137" s="1186"/>
      <c r="E137" s="1187"/>
      <c r="F137" s="1188"/>
      <c r="G137" s="832" t="str">
        <f t="shared" si="10"/>
        <v/>
      </c>
      <c r="H137" s="829" t="str">
        <f t="shared" si="7"/>
        <v/>
      </c>
      <c r="I137" s="829" t="str">
        <f t="shared" si="8"/>
        <v/>
      </c>
      <c r="J137" s="830" t="str">
        <f t="shared" si="11"/>
        <v/>
      </c>
      <c r="K137" s="648"/>
      <c r="L137" s="814"/>
      <c r="M137" s="814"/>
      <c r="N137" s="814"/>
      <c r="O137" s="814"/>
      <c r="P137" s="814"/>
      <c r="Q137" s="814"/>
      <c r="R137" s="814"/>
      <c r="S137" s="814"/>
      <c r="T137" s="814"/>
      <c r="U137" s="814"/>
      <c r="V137" s="814"/>
      <c r="W137" s="814"/>
      <c r="X137" s="814"/>
      <c r="Y137" s="814"/>
      <c r="Z137" s="814"/>
      <c r="AA137" s="814"/>
      <c r="AB137" s="69"/>
      <c r="AC137" s="69"/>
      <c r="AD137" s="69"/>
      <c r="AE137" s="69"/>
      <c r="AF137" s="69"/>
      <c r="AG137" s="69"/>
      <c r="AH137" s="69"/>
      <c r="AI137" s="69"/>
      <c r="AJ137" s="69"/>
      <c r="AK137" s="69"/>
      <c r="AL137" s="69"/>
      <c r="AM137" s="69"/>
      <c r="AN137" s="69"/>
      <c r="AO137" s="69"/>
      <c r="AP137" s="69"/>
      <c r="AQ137" s="69"/>
    </row>
    <row r="138" spans="1:43">
      <c r="A138" s="814"/>
      <c r="B138" s="1184"/>
      <c r="C138" s="1185"/>
      <c r="D138" s="1186"/>
      <c r="E138" s="1187"/>
      <c r="F138" s="1188"/>
      <c r="G138" s="832" t="str">
        <f t="shared" si="10"/>
        <v/>
      </c>
      <c r="H138" s="829" t="str">
        <f t="shared" si="7"/>
        <v/>
      </c>
      <c r="I138" s="829" t="str">
        <f t="shared" si="8"/>
        <v/>
      </c>
      <c r="J138" s="830" t="str">
        <f t="shared" si="11"/>
        <v/>
      </c>
      <c r="K138" s="648"/>
      <c r="L138" s="814"/>
      <c r="M138" s="814"/>
      <c r="N138" s="814"/>
      <c r="O138" s="814"/>
      <c r="P138" s="814"/>
      <c r="Q138" s="814"/>
      <c r="R138" s="814"/>
      <c r="S138" s="814"/>
      <c r="T138" s="814"/>
      <c r="U138" s="814"/>
      <c r="V138" s="814"/>
      <c r="W138" s="814"/>
      <c r="X138" s="814"/>
      <c r="Y138" s="814"/>
      <c r="Z138" s="814"/>
      <c r="AA138" s="814"/>
      <c r="AB138" s="69"/>
      <c r="AC138" s="69"/>
      <c r="AD138" s="69"/>
      <c r="AE138" s="69"/>
      <c r="AF138" s="69"/>
      <c r="AG138" s="69"/>
      <c r="AH138" s="69"/>
      <c r="AI138" s="69"/>
      <c r="AJ138" s="69"/>
      <c r="AK138" s="69"/>
      <c r="AL138" s="69"/>
      <c r="AM138" s="69"/>
      <c r="AN138" s="69"/>
      <c r="AO138" s="69"/>
      <c r="AP138" s="69"/>
      <c r="AQ138" s="69"/>
    </row>
    <row r="139" spans="1:43">
      <c r="A139" s="814"/>
      <c r="B139" s="1184"/>
      <c r="C139" s="1185"/>
      <c r="D139" s="1186"/>
      <c r="E139" s="1187"/>
      <c r="F139" s="1188"/>
      <c r="G139" s="832" t="str">
        <f t="shared" si="10"/>
        <v/>
      </c>
      <c r="H139" s="829" t="str">
        <f t="shared" si="7"/>
        <v/>
      </c>
      <c r="I139" s="829" t="str">
        <f t="shared" si="8"/>
        <v/>
      </c>
      <c r="J139" s="830" t="str">
        <f t="shared" si="11"/>
        <v/>
      </c>
      <c r="K139" s="648"/>
      <c r="L139" s="814"/>
      <c r="M139" s="814"/>
      <c r="N139" s="814"/>
      <c r="O139" s="814"/>
      <c r="P139" s="814"/>
      <c r="Q139" s="814"/>
      <c r="R139" s="814"/>
      <c r="S139" s="814"/>
      <c r="T139" s="814"/>
      <c r="U139" s="814"/>
      <c r="V139" s="814"/>
      <c r="W139" s="814"/>
      <c r="X139" s="814"/>
      <c r="Y139" s="814"/>
      <c r="Z139" s="814"/>
      <c r="AA139" s="814"/>
      <c r="AB139" s="69"/>
      <c r="AC139" s="69"/>
      <c r="AD139" s="69"/>
      <c r="AE139" s="69"/>
      <c r="AF139" s="69"/>
      <c r="AG139" s="69"/>
      <c r="AH139" s="69"/>
      <c r="AI139" s="69"/>
      <c r="AJ139" s="69"/>
      <c r="AK139" s="69"/>
      <c r="AL139" s="69"/>
      <c r="AM139" s="69"/>
      <c r="AN139" s="69"/>
      <c r="AO139" s="69"/>
      <c r="AP139" s="69"/>
      <c r="AQ139" s="69"/>
    </row>
    <row r="140" spans="1:43">
      <c r="A140" s="814"/>
      <c r="B140" s="1184"/>
      <c r="C140" s="1185"/>
      <c r="D140" s="1186"/>
      <c r="E140" s="1187"/>
      <c r="F140" s="1188"/>
      <c r="G140" s="832" t="str">
        <f t="shared" si="10"/>
        <v/>
      </c>
      <c r="H140" s="829" t="str">
        <f t="shared" si="7"/>
        <v/>
      </c>
      <c r="I140" s="829" t="str">
        <f t="shared" si="8"/>
        <v/>
      </c>
      <c r="J140" s="830" t="str">
        <f t="shared" si="11"/>
        <v/>
      </c>
      <c r="K140" s="648"/>
      <c r="L140" s="814"/>
      <c r="M140" s="814"/>
      <c r="N140" s="814"/>
      <c r="O140" s="814"/>
      <c r="P140" s="814"/>
      <c r="Q140" s="814"/>
      <c r="R140" s="814"/>
      <c r="S140" s="814"/>
      <c r="T140" s="814"/>
      <c r="U140" s="814"/>
      <c r="V140" s="814"/>
      <c r="W140" s="814"/>
      <c r="X140" s="814"/>
      <c r="Y140" s="814"/>
      <c r="Z140" s="814"/>
      <c r="AA140" s="814"/>
      <c r="AB140" s="69"/>
      <c r="AC140" s="69"/>
      <c r="AD140" s="69"/>
      <c r="AE140" s="69"/>
      <c r="AF140" s="69"/>
      <c r="AG140" s="69"/>
      <c r="AH140" s="69"/>
      <c r="AI140" s="69"/>
      <c r="AJ140" s="69"/>
      <c r="AK140" s="69"/>
      <c r="AL140" s="69"/>
      <c r="AM140" s="69"/>
      <c r="AN140" s="69"/>
      <c r="AO140" s="69"/>
      <c r="AP140" s="69"/>
      <c r="AQ140" s="69"/>
    </row>
    <row r="141" spans="1:43">
      <c r="A141" s="814"/>
      <c r="B141" s="1184"/>
      <c r="C141" s="1185"/>
      <c r="D141" s="1186"/>
      <c r="E141" s="1187"/>
      <c r="F141" s="1188"/>
      <c r="G141" s="832" t="str">
        <f t="shared" si="10"/>
        <v/>
      </c>
      <c r="H141" s="829" t="str">
        <f t="shared" si="7"/>
        <v/>
      </c>
      <c r="I141" s="829" t="str">
        <f t="shared" si="8"/>
        <v/>
      </c>
      <c r="J141" s="830" t="str">
        <f t="shared" si="11"/>
        <v/>
      </c>
      <c r="K141" s="648"/>
      <c r="L141" s="814"/>
      <c r="M141" s="814"/>
      <c r="N141" s="814"/>
      <c r="O141" s="814"/>
      <c r="P141" s="814"/>
      <c r="Q141" s="814"/>
      <c r="R141" s="814"/>
      <c r="S141" s="814"/>
      <c r="T141" s="814"/>
      <c r="U141" s="814"/>
      <c r="V141" s="814"/>
      <c r="W141" s="814"/>
      <c r="X141" s="814"/>
      <c r="Y141" s="814"/>
      <c r="Z141" s="814"/>
      <c r="AA141" s="814"/>
      <c r="AB141" s="69"/>
      <c r="AC141" s="69"/>
      <c r="AD141" s="69"/>
      <c r="AE141" s="69"/>
      <c r="AF141" s="69"/>
      <c r="AG141" s="69"/>
      <c r="AH141" s="69"/>
      <c r="AI141" s="69"/>
      <c r="AJ141" s="69"/>
      <c r="AK141" s="69"/>
      <c r="AL141" s="69"/>
      <c r="AM141" s="69"/>
      <c r="AN141" s="69"/>
      <c r="AO141" s="69"/>
      <c r="AP141" s="69"/>
      <c r="AQ141" s="69"/>
    </row>
    <row r="142" spans="1:43">
      <c r="A142" s="814"/>
      <c r="B142" s="1184"/>
      <c r="C142" s="1185"/>
      <c r="D142" s="1186"/>
      <c r="E142" s="1187"/>
      <c r="F142" s="1188"/>
      <c r="G142" s="832" t="str">
        <f t="shared" si="10"/>
        <v/>
      </c>
      <c r="H142" s="829" t="str">
        <f t="shared" si="7"/>
        <v/>
      </c>
      <c r="I142" s="829" t="str">
        <f t="shared" si="8"/>
        <v/>
      </c>
      <c r="J142" s="830" t="str">
        <f t="shared" si="11"/>
        <v/>
      </c>
      <c r="K142" s="648"/>
      <c r="L142" s="814"/>
      <c r="M142" s="814"/>
      <c r="N142" s="814"/>
      <c r="O142" s="814"/>
      <c r="P142" s="814"/>
      <c r="Q142" s="814"/>
      <c r="R142" s="814"/>
      <c r="S142" s="814"/>
      <c r="T142" s="814"/>
      <c r="U142" s="814"/>
      <c r="V142" s="814"/>
      <c r="W142" s="814"/>
      <c r="X142" s="814"/>
      <c r="Y142" s="814"/>
      <c r="Z142" s="814"/>
      <c r="AA142" s="814"/>
      <c r="AB142" s="69"/>
      <c r="AC142" s="69"/>
      <c r="AD142" s="69"/>
      <c r="AE142" s="69"/>
      <c r="AF142" s="69"/>
      <c r="AG142" s="69"/>
      <c r="AH142" s="69"/>
      <c r="AI142" s="69"/>
      <c r="AJ142" s="69"/>
      <c r="AK142" s="69"/>
      <c r="AL142" s="69"/>
      <c r="AM142" s="69"/>
      <c r="AN142" s="69"/>
      <c r="AO142" s="69"/>
      <c r="AP142" s="69"/>
      <c r="AQ142" s="69"/>
    </row>
    <row r="143" spans="1:43">
      <c r="A143" s="814"/>
      <c r="B143" s="1184"/>
      <c r="C143" s="1185"/>
      <c r="D143" s="1186"/>
      <c r="E143" s="1187"/>
      <c r="F143" s="1188"/>
      <c r="G143" s="832" t="str">
        <f t="shared" si="10"/>
        <v/>
      </c>
      <c r="H143" s="829" t="str">
        <f t="shared" si="7"/>
        <v/>
      </c>
      <c r="I143" s="829" t="str">
        <f t="shared" si="8"/>
        <v/>
      </c>
      <c r="J143" s="830" t="str">
        <f t="shared" si="11"/>
        <v/>
      </c>
      <c r="K143" s="648"/>
      <c r="L143" s="814"/>
      <c r="M143" s="814"/>
      <c r="N143" s="814"/>
      <c r="O143" s="814"/>
      <c r="P143" s="814"/>
      <c r="Q143" s="814"/>
      <c r="R143" s="814"/>
      <c r="S143" s="814"/>
      <c r="T143" s="814"/>
      <c r="U143" s="814"/>
      <c r="V143" s="814"/>
      <c r="W143" s="814"/>
      <c r="X143" s="814"/>
      <c r="Y143" s="814"/>
      <c r="Z143" s="814"/>
      <c r="AA143" s="814"/>
      <c r="AB143" s="69"/>
      <c r="AC143" s="69"/>
      <c r="AD143" s="69"/>
      <c r="AE143" s="69"/>
      <c r="AF143" s="69"/>
      <c r="AG143" s="69"/>
      <c r="AH143" s="69"/>
      <c r="AI143" s="69"/>
      <c r="AJ143" s="69"/>
      <c r="AK143" s="69"/>
      <c r="AL143" s="69"/>
      <c r="AM143" s="69"/>
      <c r="AN143" s="69"/>
      <c r="AO143" s="69"/>
      <c r="AP143" s="69"/>
      <c r="AQ143" s="69"/>
    </row>
    <row r="144" spans="1:43">
      <c r="A144" s="814"/>
      <c r="B144" s="1184"/>
      <c r="C144" s="1185"/>
      <c r="D144" s="1186"/>
      <c r="E144" s="1187"/>
      <c r="F144" s="1188"/>
      <c r="G144" s="832" t="str">
        <f t="shared" si="10"/>
        <v/>
      </c>
      <c r="H144" s="829" t="str">
        <f t="shared" si="7"/>
        <v/>
      </c>
      <c r="I144" s="829" t="str">
        <f t="shared" si="8"/>
        <v/>
      </c>
      <c r="J144" s="830" t="str">
        <f t="shared" si="11"/>
        <v/>
      </c>
      <c r="K144" s="648"/>
      <c r="L144" s="814"/>
      <c r="M144" s="814"/>
      <c r="N144" s="814"/>
      <c r="O144" s="814"/>
      <c r="P144" s="814"/>
      <c r="Q144" s="814"/>
      <c r="R144" s="814"/>
      <c r="S144" s="814"/>
      <c r="T144" s="814"/>
      <c r="U144" s="814"/>
      <c r="V144" s="814"/>
      <c r="W144" s="814"/>
      <c r="X144" s="814"/>
      <c r="Y144" s="814"/>
      <c r="Z144" s="814"/>
      <c r="AA144" s="814"/>
      <c r="AB144" s="69"/>
      <c r="AC144" s="69"/>
      <c r="AD144" s="69"/>
      <c r="AE144" s="69"/>
      <c r="AF144" s="69"/>
      <c r="AG144" s="69"/>
      <c r="AH144" s="69"/>
      <c r="AI144" s="69"/>
      <c r="AJ144" s="69"/>
      <c r="AK144" s="69"/>
      <c r="AL144" s="69"/>
      <c r="AM144" s="69"/>
      <c r="AN144" s="69"/>
      <c r="AO144" s="69"/>
      <c r="AP144" s="69"/>
      <c r="AQ144" s="69"/>
    </row>
    <row r="145" spans="1:43">
      <c r="A145" s="814"/>
      <c r="B145" s="1184"/>
      <c r="C145" s="1185"/>
      <c r="D145" s="1186"/>
      <c r="E145" s="1187"/>
      <c r="F145" s="1188"/>
      <c r="G145" s="832" t="str">
        <f t="shared" si="10"/>
        <v/>
      </c>
      <c r="H145" s="829" t="str">
        <f t="shared" si="7"/>
        <v/>
      </c>
      <c r="I145" s="829" t="str">
        <f t="shared" si="8"/>
        <v/>
      </c>
      <c r="J145" s="830" t="str">
        <f t="shared" si="11"/>
        <v/>
      </c>
      <c r="K145" s="648"/>
      <c r="L145" s="814"/>
      <c r="M145" s="814"/>
      <c r="N145" s="814"/>
      <c r="O145" s="814"/>
      <c r="P145" s="814"/>
      <c r="Q145" s="814"/>
      <c r="R145" s="814"/>
      <c r="S145" s="814"/>
      <c r="T145" s="814"/>
      <c r="U145" s="814"/>
      <c r="V145" s="814"/>
      <c r="W145" s="814"/>
      <c r="X145" s="814"/>
      <c r="Y145" s="814"/>
      <c r="Z145" s="814"/>
      <c r="AA145" s="814"/>
      <c r="AB145" s="69"/>
      <c r="AC145" s="69"/>
      <c r="AD145" s="69"/>
      <c r="AE145" s="69"/>
      <c r="AF145" s="69"/>
      <c r="AG145" s="69"/>
      <c r="AH145" s="69"/>
      <c r="AI145" s="69"/>
      <c r="AJ145" s="69"/>
      <c r="AK145" s="69"/>
      <c r="AL145" s="69"/>
      <c r="AM145" s="69"/>
      <c r="AN145" s="69"/>
      <c r="AO145" s="69"/>
      <c r="AP145" s="69"/>
      <c r="AQ145" s="69"/>
    </row>
    <row r="146" spans="1:43">
      <c r="A146" s="814"/>
      <c r="B146" s="1184"/>
      <c r="C146" s="1185"/>
      <c r="D146" s="1186"/>
      <c r="E146" s="1187"/>
      <c r="F146" s="1188"/>
      <c r="G146" s="832" t="str">
        <f t="shared" si="10"/>
        <v/>
      </c>
      <c r="H146" s="829" t="str">
        <f t="shared" si="7"/>
        <v/>
      </c>
      <c r="I146" s="829" t="str">
        <f t="shared" si="8"/>
        <v/>
      </c>
      <c r="J146" s="830" t="str">
        <f t="shared" si="11"/>
        <v/>
      </c>
      <c r="K146" s="648"/>
      <c r="L146" s="814"/>
      <c r="M146" s="814"/>
      <c r="N146" s="814"/>
      <c r="O146" s="814"/>
      <c r="P146" s="814"/>
      <c r="Q146" s="814"/>
      <c r="R146" s="814"/>
      <c r="S146" s="814"/>
      <c r="T146" s="814"/>
      <c r="U146" s="814"/>
      <c r="V146" s="814"/>
      <c r="W146" s="814"/>
      <c r="X146" s="814"/>
      <c r="Y146" s="814"/>
      <c r="Z146" s="814"/>
      <c r="AA146" s="814"/>
      <c r="AB146" s="69"/>
      <c r="AC146" s="69"/>
      <c r="AD146" s="69"/>
      <c r="AE146" s="69"/>
      <c r="AF146" s="69"/>
      <c r="AG146" s="69"/>
      <c r="AH146" s="69"/>
      <c r="AI146" s="69"/>
      <c r="AJ146" s="69"/>
      <c r="AK146" s="69"/>
      <c r="AL146" s="69"/>
      <c r="AM146" s="69"/>
      <c r="AN146" s="69"/>
      <c r="AO146" s="69"/>
      <c r="AP146" s="69"/>
      <c r="AQ146" s="69"/>
    </row>
    <row r="147" spans="1:43">
      <c r="A147" s="814"/>
      <c r="B147" s="1184"/>
      <c r="C147" s="1185"/>
      <c r="D147" s="1186"/>
      <c r="E147" s="1187"/>
      <c r="F147" s="1188"/>
      <c r="G147" s="832" t="str">
        <f t="shared" si="10"/>
        <v/>
      </c>
      <c r="H147" s="829" t="str">
        <f t="shared" si="7"/>
        <v/>
      </c>
      <c r="I147" s="829" t="str">
        <f t="shared" si="8"/>
        <v/>
      </c>
      <c r="J147" s="830" t="str">
        <f t="shared" si="11"/>
        <v/>
      </c>
      <c r="K147" s="648"/>
      <c r="L147" s="814"/>
      <c r="M147" s="814"/>
      <c r="N147" s="814"/>
      <c r="O147" s="814"/>
      <c r="P147" s="814"/>
      <c r="Q147" s="814"/>
      <c r="R147" s="814"/>
      <c r="S147" s="814"/>
      <c r="T147" s="814"/>
      <c r="U147" s="814"/>
      <c r="V147" s="814"/>
      <c r="W147" s="814"/>
      <c r="X147" s="814"/>
      <c r="Y147" s="814"/>
      <c r="Z147" s="814"/>
      <c r="AA147" s="814"/>
      <c r="AB147" s="69"/>
      <c r="AC147" s="69"/>
      <c r="AD147" s="69"/>
      <c r="AE147" s="69"/>
      <c r="AF147" s="69"/>
      <c r="AG147" s="69"/>
      <c r="AH147" s="69"/>
      <c r="AI147" s="69"/>
      <c r="AJ147" s="69"/>
      <c r="AK147" s="69"/>
      <c r="AL147" s="69"/>
      <c r="AM147" s="69"/>
      <c r="AN147" s="69"/>
      <c r="AO147" s="69"/>
      <c r="AP147" s="69"/>
      <c r="AQ147" s="69"/>
    </row>
    <row r="148" spans="1:43">
      <c r="A148" s="814"/>
      <c r="B148" s="1184"/>
      <c r="C148" s="1185"/>
      <c r="D148" s="1186"/>
      <c r="E148" s="1187"/>
      <c r="F148" s="1188"/>
      <c r="G148" s="832" t="str">
        <f t="shared" si="10"/>
        <v/>
      </c>
      <c r="H148" s="829" t="str">
        <f t="shared" si="7"/>
        <v/>
      </c>
      <c r="I148" s="829" t="str">
        <f t="shared" si="8"/>
        <v/>
      </c>
      <c r="J148" s="830" t="str">
        <f t="shared" si="11"/>
        <v/>
      </c>
      <c r="K148" s="648"/>
      <c r="L148" s="814"/>
      <c r="M148" s="814"/>
      <c r="N148" s="814"/>
      <c r="O148" s="814"/>
      <c r="P148" s="814"/>
      <c r="Q148" s="814"/>
      <c r="R148" s="814"/>
      <c r="S148" s="814"/>
      <c r="T148" s="814"/>
      <c r="U148" s="814"/>
      <c r="V148" s="814"/>
      <c r="W148" s="814"/>
      <c r="X148" s="814"/>
      <c r="Y148" s="814"/>
      <c r="Z148" s="814"/>
      <c r="AA148" s="814"/>
      <c r="AB148" s="69"/>
      <c r="AC148" s="69"/>
      <c r="AD148" s="69"/>
      <c r="AE148" s="69"/>
      <c r="AF148" s="69"/>
      <c r="AG148" s="69"/>
      <c r="AH148" s="69"/>
      <c r="AI148" s="69"/>
      <c r="AJ148" s="69"/>
      <c r="AK148" s="69"/>
      <c r="AL148" s="69"/>
      <c r="AM148" s="69"/>
      <c r="AN148" s="69"/>
      <c r="AO148" s="69"/>
      <c r="AP148" s="69"/>
      <c r="AQ148" s="69"/>
    </row>
    <row r="149" spans="1:43">
      <c r="A149" s="814"/>
      <c r="B149" s="1184"/>
      <c r="C149" s="1185"/>
      <c r="D149" s="1186"/>
      <c r="E149" s="1187"/>
      <c r="F149" s="1188"/>
      <c r="G149" s="832" t="str">
        <f t="shared" si="10"/>
        <v/>
      </c>
      <c r="H149" s="829" t="str">
        <f t="shared" si="7"/>
        <v/>
      </c>
      <c r="I149" s="829" t="str">
        <f t="shared" si="8"/>
        <v/>
      </c>
      <c r="J149" s="830" t="str">
        <f t="shared" si="11"/>
        <v/>
      </c>
      <c r="K149" s="648"/>
      <c r="L149" s="814"/>
      <c r="M149" s="814"/>
      <c r="N149" s="814"/>
      <c r="O149" s="814"/>
      <c r="P149" s="814"/>
      <c r="Q149" s="814"/>
      <c r="R149" s="814"/>
      <c r="S149" s="814"/>
      <c r="T149" s="814"/>
      <c r="U149" s="814"/>
      <c r="V149" s="814"/>
      <c r="W149" s="814"/>
      <c r="X149" s="814"/>
      <c r="Y149" s="814"/>
      <c r="Z149" s="814"/>
      <c r="AA149" s="814"/>
      <c r="AB149" s="69"/>
      <c r="AC149" s="69"/>
      <c r="AD149" s="69"/>
      <c r="AE149" s="69"/>
      <c r="AF149" s="69"/>
      <c r="AG149" s="69"/>
      <c r="AH149" s="69"/>
      <c r="AI149" s="69"/>
      <c r="AJ149" s="69"/>
      <c r="AK149" s="69"/>
      <c r="AL149" s="69"/>
      <c r="AM149" s="69"/>
      <c r="AN149" s="69"/>
      <c r="AO149" s="69"/>
      <c r="AP149" s="69"/>
      <c r="AQ149" s="69"/>
    </row>
    <row r="150" spans="1:43" ht="16" thickBot="1">
      <c r="A150" s="814"/>
      <c r="B150" s="632"/>
      <c r="C150" s="633"/>
      <c r="D150" s="634"/>
      <c r="E150" s="635"/>
      <c r="F150" s="636"/>
      <c r="G150" s="832" t="str">
        <f t="shared" si="10"/>
        <v/>
      </c>
      <c r="H150" s="829" t="str">
        <f t="shared" si="7"/>
        <v/>
      </c>
      <c r="I150" s="829" t="str">
        <f t="shared" si="8"/>
        <v/>
      </c>
      <c r="J150" s="830" t="str">
        <f t="shared" si="11"/>
        <v/>
      </c>
      <c r="K150" s="648"/>
      <c r="L150" s="814"/>
      <c r="M150" s="814"/>
      <c r="N150" s="814"/>
      <c r="O150" s="814"/>
      <c r="P150" s="814"/>
      <c r="Q150" s="814"/>
      <c r="R150" s="814"/>
      <c r="S150" s="814"/>
      <c r="T150" s="814"/>
      <c r="U150" s="814"/>
      <c r="V150" s="814"/>
      <c r="W150" s="814"/>
      <c r="X150" s="814"/>
      <c r="Y150" s="814"/>
      <c r="Z150" s="814"/>
      <c r="AA150" s="814"/>
      <c r="AB150" s="69"/>
      <c r="AC150" s="69"/>
      <c r="AD150" s="69"/>
      <c r="AE150" s="69"/>
      <c r="AF150" s="69"/>
      <c r="AG150" s="69"/>
      <c r="AH150" s="69"/>
      <c r="AI150" s="69"/>
      <c r="AJ150" s="69"/>
      <c r="AK150" s="69"/>
      <c r="AL150" s="69"/>
      <c r="AM150" s="69"/>
      <c r="AN150" s="69"/>
      <c r="AO150" s="69"/>
      <c r="AP150" s="69"/>
      <c r="AQ150" s="69"/>
    </row>
    <row r="151" spans="1:43" ht="16" thickBot="1">
      <c r="A151" s="814"/>
      <c r="B151" s="641"/>
      <c r="C151" s="642"/>
      <c r="D151" s="643"/>
      <c r="E151" s="834">
        <f>SUM(E6:E150)</f>
        <v>10862.34</v>
      </c>
      <c r="F151" s="834">
        <f>SUM(F6:F150)</f>
        <v>10862.34</v>
      </c>
      <c r="G151" s="644"/>
      <c r="H151" s="835">
        <f>SUM(H6:H150)</f>
        <v>10862.34</v>
      </c>
      <c r="I151" s="835">
        <f>SUM(I6:I150)</f>
        <v>0</v>
      </c>
      <c r="J151" s="645"/>
      <c r="K151" s="641"/>
      <c r="L151" s="814"/>
      <c r="M151" s="814"/>
      <c r="N151" s="814"/>
      <c r="O151" s="814"/>
      <c r="P151" s="814"/>
      <c r="Q151" s="814"/>
      <c r="R151" s="814"/>
      <c r="S151" s="814"/>
      <c r="T151" s="814"/>
      <c r="U151" s="814"/>
      <c r="V151" s="814"/>
      <c r="W151" s="814"/>
      <c r="X151" s="814"/>
      <c r="Y151" s="814"/>
      <c r="Z151" s="814"/>
      <c r="AA151" s="814"/>
      <c r="AB151" s="69"/>
      <c r="AC151" s="69"/>
      <c r="AD151" s="69"/>
      <c r="AE151" s="69"/>
      <c r="AF151" s="69"/>
      <c r="AG151" s="69"/>
      <c r="AH151" s="69"/>
      <c r="AI151" s="69"/>
      <c r="AJ151" s="69"/>
      <c r="AK151" s="69"/>
      <c r="AL151" s="69"/>
      <c r="AM151" s="69"/>
      <c r="AN151" s="69"/>
      <c r="AO151" s="69"/>
      <c r="AP151" s="69"/>
      <c r="AQ151" s="69"/>
    </row>
    <row r="152" spans="1:43">
      <c r="A152" s="814"/>
      <c r="B152" s="819"/>
      <c r="C152" s="820"/>
      <c r="D152" s="821"/>
      <c r="E152" s="821"/>
      <c r="F152" s="822"/>
      <c r="G152" s="821"/>
      <c r="H152" s="823"/>
      <c r="I152" s="823"/>
      <c r="J152" s="814"/>
      <c r="K152" s="814"/>
      <c r="L152" s="814"/>
      <c r="M152" s="814"/>
      <c r="N152" s="814"/>
      <c r="O152" s="814"/>
      <c r="P152" s="814"/>
      <c r="Q152" s="814"/>
      <c r="R152" s="814"/>
      <c r="S152" s="814"/>
      <c r="T152" s="814"/>
      <c r="U152" s="814"/>
      <c r="V152" s="814"/>
      <c r="W152" s="814"/>
      <c r="X152" s="814"/>
      <c r="Y152" s="814"/>
      <c r="Z152" s="814"/>
      <c r="AA152" s="814"/>
      <c r="AB152" s="69"/>
      <c r="AC152" s="69"/>
      <c r="AD152" s="69"/>
      <c r="AE152" s="69"/>
      <c r="AF152" s="69"/>
      <c r="AG152" s="69"/>
      <c r="AH152" s="69"/>
      <c r="AI152" s="69"/>
      <c r="AJ152" s="69"/>
      <c r="AK152" s="69"/>
      <c r="AL152" s="69"/>
      <c r="AM152" s="69"/>
      <c r="AN152" s="69"/>
      <c r="AO152" s="69"/>
      <c r="AP152" s="69"/>
      <c r="AQ152" s="69"/>
    </row>
    <row r="153" spans="1:43">
      <c r="A153" s="814"/>
      <c r="B153" s="819"/>
      <c r="C153" s="820"/>
      <c r="D153" s="821"/>
      <c r="E153" s="821"/>
      <c r="F153" s="822"/>
      <c r="G153" s="821"/>
      <c r="H153" s="823"/>
      <c r="I153" s="823"/>
      <c r="J153" s="814"/>
      <c r="K153" s="814"/>
      <c r="L153" s="814"/>
      <c r="M153" s="814"/>
      <c r="N153" s="814"/>
      <c r="O153" s="814"/>
      <c r="P153" s="814"/>
      <c r="Q153" s="814"/>
      <c r="R153" s="814"/>
      <c r="S153" s="814"/>
      <c r="T153" s="814"/>
      <c r="U153" s="814"/>
      <c r="V153" s="814"/>
      <c r="W153" s="814"/>
      <c r="X153" s="814"/>
      <c r="Y153" s="814"/>
      <c r="Z153" s="814"/>
      <c r="AA153" s="814"/>
      <c r="AB153" s="69"/>
      <c r="AC153" s="69"/>
      <c r="AD153" s="69"/>
      <c r="AE153" s="69"/>
      <c r="AF153" s="69"/>
      <c r="AG153" s="69"/>
      <c r="AH153" s="69"/>
      <c r="AI153" s="69"/>
      <c r="AJ153" s="69"/>
      <c r="AK153" s="69"/>
      <c r="AL153" s="69"/>
      <c r="AM153" s="69"/>
      <c r="AN153" s="69"/>
      <c r="AO153" s="69"/>
      <c r="AP153" s="69"/>
      <c r="AQ153" s="69"/>
    </row>
    <row r="154" spans="1:43">
      <c r="A154" s="814"/>
      <c r="B154" s="819"/>
      <c r="C154" s="820"/>
      <c r="D154" s="821"/>
      <c r="E154" s="1158"/>
      <c r="F154" s="822"/>
      <c r="G154" s="1158" t="s">
        <v>382</v>
      </c>
      <c r="H154" s="1025"/>
      <c r="I154" s="1025"/>
      <c r="J154" s="814"/>
      <c r="K154" s="814"/>
      <c r="L154" s="814"/>
      <c r="M154" s="814"/>
      <c r="N154" s="814"/>
      <c r="O154" s="814"/>
      <c r="P154" s="814"/>
      <c r="Q154" s="814"/>
      <c r="R154" s="814"/>
      <c r="S154" s="814"/>
      <c r="T154" s="814"/>
      <c r="U154" s="814"/>
      <c r="V154" s="814"/>
      <c r="W154" s="814"/>
      <c r="X154" s="814"/>
      <c r="Y154" s="814"/>
      <c r="Z154" s="814"/>
      <c r="AA154" s="814"/>
      <c r="AB154" s="69"/>
      <c r="AC154" s="69"/>
      <c r="AD154" s="69"/>
      <c r="AE154" s="69"/>
      <c r="AF154" s="69"/>
      <c r="AG154" s="69"/>
      <c r="AH154" s="69"/>
      <c r="AI154" s="69"/>
      <c r="AJ154" s="69"/>
      <c r="AK154" s="69"/>
      <c r="AL154" s="69"/>
      <c r="AM154" s="69"/>
      <c r="AN154" s="69"/>
      <c r="AO154" s="69"/>
      <c r="AP154" s="69"/>
      <c r="AQ154" s="69"/>
    </row>
    <row r="155" spans="1:43">
      <c r="A155" s="814"/>
      <c r="B155" s="819"/>
      <c r="C155" s="820"/>
      <c r="D155" s="821"/>
      <c r="E155" s="821"/>
      <c r="F155" s="822"/>
      <c r="G155" s="821"/>
      <c r="H155" s="823"/>
      <c r="I155" s="823"/>
      <c r="J155" s="814"/>
      <c r="K155" s="814"/>
      <c r="L155" s="814"/>
      <c r="M155" s="814"/>
      <c r="N155" s="814"/>
      <c r="O155" s="814"/>
      <c r="P155" s="814"/>
      <c r="Q155" s="814"/>
      <c r="R155" s="814"/>
      <c r="S155" s="814"/>
      <c r="T155" s="814"/>
      <c r="U155" s="814"/>
      <c r="V155" s="814"/>
      <c r="W155" s="814"/>
      <c r="X155" s="814"/>
      <c r="Y155" s="814"/>
      <c r="Z155" s="814"/>
      <c r="AA155" s="814"/>
      <c r="AB155" s="69"/>
      <c r="AC155" s="69"/>
      <c r="AD155" s="69"/>
      <c r="AE155" s="69"/>
      <c r="AF155" s="69"/>
      <c r="AG155" s="69"/>
      <c r="AH155" s="69"/>
      <c r="AI155" s="69"/>
      <c r="AJ155" s="69"/>
      <c r="AK155" s="69"/>
      <c r="AL155" s="69"/>
      <c r="AM155" s="69"/>
      <c r="AN155" s="69"/>
      <c r="AO155" s="69"/>
      <c r="AP155" s="69"/>
      <c r="AQ155" s="69"/>
    </row>
    <row r="156" spans="1:43">
      <c r="A156" s="814"/>
      <c r="B156" s="819"/>
      <c r="C156" s="820"/>
      <c r="D156" s="821"/>
      <c r="E156" s="821"/>
      <c r="F156" s="822"/>
      <c r="G156" s="821"/>
      <c r="H156" s="823"/>
      <c r="I156" s="823"/>
      <c r="J156" s="814"/>
      <c r="K156" s="814"/>
      <c r="L156" s="814"/>
      <c r="M156" s="814"/>
      <c r="N156" s="814"/>
      <c r="O156" s="814"/>
      <c r="P156" s="814"/>
      <c r="Q156" s="814"/>
      <c r="R156" s="814"/>
      <c r="S156" s="814"/>
      <c r="T156" s="814"/>
      <c r="U156" s="814"/>
      <c r="V156" s="814"/>
      <c r="W156" s="814"/>
      <c r="X156" s="814"/>
      <c r="Y156" s="814"/>
      <c r="Z156" s="814"/>
      <c r="AA156" s="814"/>
      <c r="AB156" s="69"/>
      <c r="AC156" s="69"/>
      <c r="AD156" s="69"/>
      <c r="AE156" s="69"/>
      <c r="AF156" s="69"/>
      <c r="AG156" s="69"/>
      <c r="AH156" s="69"/>
      <c r="AI156" s="69"/>
      <c r="AJ156" s="69"/>
      <c r="AK156" s="69"/>
      <c r="AL156" s="69"/>
      <c r="AM156" s="69"/>
      <c r="AN156" s="69"/>
      <c r="AO156" s="69"/>
      <c r="AP156" s="69"/>
      <c r="AQ156" s="69"/>
    </row>
    <row r="157" spans="1:43" ht="16" thickBot="1">
      <c r="A157" s="814"/>
      <c r="B157" s="819"/>
      <c r="C157" s="820"/>
      <c r="D157" s="821"/>
      <c r="E157" s="821"/>
      <c r="F157" s="822"/>
      <c r="G157" s="1159" t="s">
        <v>418</v>
      </c>
      <c r="H157" s="1026">
        <f>+H151-H154</f>
        <v>10862.34</v>
      </c>
      <c r="I157" s="1026">
        <f>+I151-I154</f>
        <v>0</v>
      </c>
      <c r="J157" s="814"/>
      <c r="K157" s="814"/>
      <c r="L157" s="814"/>
      <c r="M157" s="814"/>
      <c r="N157" s="814"/>
      <c r="O157" s="814"/>
      <c r="P157" s="814"/>
      <c r="Q157" s="814"/>
      <c r="R157" s="814"/>
      <c r="S157" s="814"/>
      <c r="T157" s="814"/>
      <c r="U157" s="814"/>
      <c r="V157" s="814"/>
      <c r="W157" s="814"/>
      <c r="X157" s="814"/>
      <c r="Y157" s="814"/>
      <c r="Z157" s="814"/>
      <c r="AA157" s="814"/>
      <c r="AB157" s="69"/>
      <c r="AC157" s="69"/>
      <c r="AD157" s="69"/>
      <c r="AE157" s="69"/>
      <c r="AF157" s="69"/>
      <c r="AG157" s="69"/>
      <c r="AH157" s="69"/>
      <c r="AI157" s="69"/>
      <c r="AJ157" s="69"/>
      <c r="AK157" s="69"/>
      <c r="AL157" s="69"/>
      <c r="AM157" s="69"/>
      <c r="AN157" s="69"/>
      <c r="AO157" s="69"/>
      <c r="AP157" s="69"/>
      <c r="AQ157" s="69"/>
    </row>
    <row r="158" spans="1:43" ht="16" thickTop="1">
      <c r="A158" s="814"/>
      <c r="B158" s="819"/>
      <c r="C158" s="820"/>
      <c r="D158" s="821"/>
      <c r="E158" s="821"/>
      <c r="F158" s="822"/>
      <c r="G158" s="821"/>
      <c r="H158" s="823"/>
      <c r="I158" s="823"/>
      <c r="J158" s="814"/>
      <c r="K158" s="814"/>
      <c r="L158" s="814"/>
      <c r="M158" s="814"/>
      <c r="N158" s="814"/>
      <c r="O158" s="814"/>
      <c r="P158" s="814"/>
      <c r="Q158" s="814"/>
      <c r="R158" s="814"/>
      <c r="S158" s="814"/>
      <c r="T158" s="814"/>
      <c r="U158" s="814"/>
      <c r="V158" s="814"/>
      <c r="W158" s="814"/>
      <c r="X158" s="814"/>
      <c r="Y158" s="814"/>
      <c r="Z158" s="814"/>
      <c r="AA158" s="814"/>
      <c r="AB158" s="69"/>
      <c r="AC158" s="69"/>
      <c r="AD158" s="69"/>
      <c r="AE158" s="69"/>
      <c r="AF158" s="69"/>
      <c r="AG158" s="69"/>
      <c r="AH158" s="69"/>
      <c r="AI158" s="69"/>
      <c r="AJ158" s="69"/>
      <c r="AK158" s="69"/>
      <c r="AL158" s="69"/>
      <c r="AM158" s="69"/>
      <c r="AN158" s="69"/>
      <c r="AO158" s="69"/>
      <c r="AP158" s="69"/>
      <c r="AQ158" s="69"/>
    </row>
    <row r="159" spans="1:43">
      <c r="A159" s="814"/>
      <c r="B159" s="819"/>
      <c r="C159" s="820"/>
      <c r="D159" s="821"/>
      <c r="E159" s="821"/>
      <c r="F159" s="822"/>
      <c r="G159" s="821"/>
      <c r="H159" s="823"/>
      <c r="I159" s="823"/>
      <c r="J159" s="814"/>
      <c r="K159" s="814"/>
      <c r="L159" s="814"/>
      <c r="M159" s="814"/>
      <c r="N159" s="814"/>
      <c r="O159" s="814"/>
      <c r="P159" s="814"/>
      <c r="Q159" s="814"/>
      <c r="R159" s="814"/>
      <c r="S159" s="814"/>
      <c r="T159" s="814"/>
      <c r="U159" s="814"/>
      <c r="V159" s="814"/>
      <c r="W159" s="814"/>
      <c r="X159" s="814"/>
      <c r="Y159" s="814"/>
      <c r="Z159" s="814"/>
      <c r="AA159" s="814"/>
      <c r="AB159" s="69"/>
      <c r="AC159" s="69"/>
      <c r="AD159" s="69"/>
      <c r="AE159" s="69"/>
      <c r="AF159" s="69"/>
      <c r="AG159" s="69"/>
      <c r="AH159" s="69"/>
      <c r="AI159" s="69"/>
      <c r="AJ159" s="69"/>
      <c r="AK159" s="69"/>
      <c r="AL159" s="69"/>
      <c r="AM159" s="69"/>
      <c r="AN159" s="69"/>
      <c r="AO159" s="69"/>
      <c r="AP159" s="69"/>
      <c r="AQ159" s="69"/>
    </row>
    <row r="160" spans="1:43">
      <c r="A160" s="814"/>
      <c r="B160" s="819"/>
      <c r="C160" s="820"/>
      <c r="D160" s="821"/>
      <c r="E160" s="821"/>
      <c r="F160" s="822"/>
      <c r="G160" s="821"/>
      <c r="H160" s="823"/>
      <c r="I160" s="823"/>
      <c r="J160" s="814"/>
      <c r="K160" s="814"/>
      <c r="L160" s="814"/>
      <c r="M160" s="814"/>
      <c r="N160" s="814"/>
      <c r="O160" s="814"/>
      <c r="P160" s="814"/>
      <c r="Q160" s="814"/>
      <c r="R160" s="814"/>
      <c r="S160" s="814"/>
      <c r="T160" s="814"/>
      <c r="U160" s="814"/>
      <c r="V160" s="814"/>
      <c r="W160" s="814"/>
      <c r="X160" s="814"/>
      <c r="Y160" s="814"/>
      <c r="Z160" s="814"/>
      <c r="AA160" s="814"/>
      <c r="AB160" s="69"/>
      <c r="AC160" s="69"/>
      <c r="AD160" s="69"/>
      <c r="AE160" s="69"/>
      <c r="AF160" s="69"/>
      <c r="AG160" s="69"/>
      <c r="AH160" s="69"/>
      <c r="AI160" s="69"/>
      <c r="AJ160" s="69"/>
      <c r="AK160" s="69"/>
      <c r="AL160" s="69"/>
      <c r="AM160" s="69"/>
      <c r="AN160" s="69"/>
      <c r="AO160" s="69"/>
      <c r="AP160" s="69"/>
      <c r="AQ160" s="69"/>
    </row>
    <row r="161" spans="1:43">
      <c r="A161" s="814"/>
      <c r="B161" s="819"/>
      <c r="C161" s="820"/>
      <c r="D161" s="821"/>
      <c r="E161" s="821"/>
      <c r="F161" s="822"/>
      <c r="G161" s="821"/>
      <c r="H161" s="823"/>
      <c r="I161" s="823"/>
      <c r="J161" s="814"/>
      <c r="K161" s="814"/>
      <c r="L161" s="814"/>
      <c r="M161" s="814"/>
      <c r="N161" s="814"/>
      <c r="O161" s="814"/>
      <c r="P161" s="814"/>
      <c r="Q161" s="814"/>
      <c r="R161" s="814"/>
      <c r="S161" s="814"/>
      <c r="T161" s="814"/>
      <c r="U161" s="814"/>
      <c r="V161" s="814"/>
      <c r="W161" s="814"/>
      <c r="X161" s="814"/>
      <c r="Y161" s="814"/>
      <c r="Z161" s="814"/>
      <c r="AA161" s="814"/>
      <c r="AB161" s="69"/>
      <c r="AC161" s="69"/>
      <c r="AD161" s="69"/>
      <c r="AE161" s="69"/>
      <c r="AF161" s="69"/>
      <c r="AG161" s="69"/>
      <c r="AH161" s="69"/>
      <c r="AI161" s="69"/>
      <c r="AJ161" s="69"/>
      <c r="AK161" s="69"/>
      <c r="AL161" s="69"/>
      <c r="AM161" s="69"/>
      <c r="AN161" s="69"/>
      <c r="AO161" s="69"/>
      <c r="AP161" s="69"/>
      <c r="AQ161" s="69"/>
    </row>
    <row r="162" spans="1:43">
      <c r="A162" s="814"/>
      <c r="B162" s="819"/>
      <c r="C162" s="820"/>
      <c r="D162" s="821"/>
      <c r="E162" s="821"/>
      <c r="F162" s="822"/>
      <c r="G162" s="821"/>
      <c r="H162" s="823"/>
      <c r="I162" s="823"/>
      <c r="J162" s="814"/>
      <c r="K162" s="814"/>
      <c r="L162" s="814"/>
      <c r="M162" s="814"/>
      <c r="N162" s="814"/>
      <c r="O162" s="814"/>
      <c r="P162" s="814"/>
      <c r="Q162" s="814"/>
      <c r="R162" s="814"/>
      <c r="S162" s="814"/>
      <c r="T162" s="814"/>
      <c r="U162" s="814"/>
      <c r="V162" s="814"/>
      <c r="W162" s="814"/>
      <c r="X162" s="814"/>
      <c r="Y162" s="814"/>
      <c r="Z162" s="814"/>
      <c r="AA162" s="814"/>
      <c r="AB162" s="69"/>
      <c r="AC162" s="69"/>
      <c r="AD162" s="69"/>
      <c r="AE162" s="69"/>
      <c r="AF162" s="69"/>
      <c r="AG162" s="69"/>
      <c r="AH162" s="69"/>
      <c r="AI162" s="69"/>
      <c r="AJ162" s="69"/>
      <c r="AK162" s="69"/>
      <c r="AL162" s="69"/>
      <c r="AM162" s="69"/>
      <c r="AN162" s="69"/>
      <c r="AO162" s="69"/>
      <c r="AP162" s="69"/>
      <c r="AQ162" s="69"/>
    </row>
    <row r="163" spans="1:43">
      <c r="A163" s="814"/>
      <c r="B163" s="819"/>
      <c r="C163" s="820"/>
      <c r="D163" s="821"/>
      <c r="E163" s="821"/>
      <c r="F163" s="822"/>
      <c r="G163" s="821"/>
      <c r="H163" s="824"/>
      <c r="I163" s="824"/>
      <c r="J163" s="814"/>
      <c r="K163" s="814"/>
      <c r="L163" s="814"/>
      <c r="M163" s="814"/>
      <c r="N163" s="814"/>
      <c r="O163" s="814"/>
      <c r="P163" s="814"/>
      <c r="Q163" s="814"/>
      <c r="R163" s="814"/>
      <c r="S163" s="814"/>
      <c r="T163" s="814"/>
      <c r="U163" s="814"/>
      <c r="V163" s="814"/>
      <c r="W163" s="814"/>
      <c r="X163" s="814"/>
      <c r="Y163" s="814"/>
      <c r="Z163" s="814"/>
      <c r="AA163" s="814"/>
      <c r="AB163" s="69"/>
      <c r="AC163" s="69"/>
      <c r="AD163" s="69"/>
      <c r="AE163" s="69"/>
      <c r="AF163" s="69"/>
      <c r="AG163" s="69"/>
      <c r="AH163" s="69"/>
      <c r="AI163" s="69"/>
      <c r="AJ163" s="69"/>
      <c r="AK163" s="69"/>
      <c r="AL163" s="69"/>
      <c r="AM163" s="69"/>
      <c r="AN163" s="69"/>
      <c r="AO163" s="69"/>
      <c r="AP163" s="69"/>
      <c r="AQ163" s="69"/>
    </row>
    <row r="164" spans="1:43">
      <c r="A164" s="814"/>
      <c r="B164" s="819"/>
      <c r="C164" s="820"/>
      <c r="D164" s="821"/>
      <c r="E164" s="821"/>
      <c r="F164" s="822"/>
      <c r="G164" s="821"/>
      <c r="H164" s="824"/>
      <c r="I164" s="824"/>
      <c r="J164" s="814"/>
      <c r="K164" s="814"/>
      <c r="L164" s="814"/>
      <c r="M164" s="814"/>
      <c r="N164" s="814"/>
      <c r="O164" s="814"/>
      <c r="P164" s="814"/>
      <c r="Q164" s="814"/>
      <c r="R164" s="814"/>
      <c r="S164" s="814"/>
      <c r="T164" s="814"/>
      <c r="U164" s="814"/>
      <c r="V164" s="814"/>
      <c r="W164" s="814"/>
      <c r="X164" s="814"/>
      <c r="Y164" s="814"/>
      <c r="Z164" s="814"/>
      <c r="AA164" s="814"/>
      <c r="AB164" s="69"/>
      <c r="AC164" s="69"/>
      <c r="AD164" s="69"/>
      <c r="AE164" s="69"/>
      <c r="AF164" s="69"/>
      <c r="AG164" s="69"/>
      <c r="AH164" s="69"/>
      <c r="AI164" s="69"/>
      <c r="AJ164" s="69"/>
      <c r="AK164" s="69"/>
      <c r="AL164" s="69"/>
      <c r="AM164" s="69"/>
      <c r="AN164" s="69"/>
      <c r="AO164" s="69"/>
      <c r="AP164" s="69"/>
      <c r="AQ164" s="69"/>
    </row>
    <row r="165" spans="1:43">
      <c r="A165" s="814"/>
      <c r="B165" s="819"/>
      <c r="C165" s="820"/>
      <c r="D165" s="821"/>
      <c r="E165" s="821"/>
      <c r="F165" s="822"/>
      <c r="G165" s="821"/>
      <c r="H165" s="824"/>
      <c r="I165" s="824"/>
      <c r="J165" s="814"/>
      <c r="K165" s="814"/>
      <c r="L165" s="814"/>
      <c r="M165" s="814"/>
      <c r="N165" s="814"/>
      <c r="O165" s="814"/>
      <c r="P165" s="814"/>
      <c r="Q165" s="814"/>
      <c r="R165" s="814"/>
      <c r="S165" s="814"/>
      <c r="T165" s="814"/>
      <c r="U165" s="814"/>
      <c r="V165" s="814"/>
      <c r="W165" s="814"/>
      <c r="X165" s="814"/>
      <c r="Y165" s="814"/>
      <c r="Z165" s="814"/>
      <c r="AA165" s="814"/>
      <c r="AB165" s="69"/>
      <c r="AC165" s="69"/>
      <c r="AD165" s="69"/>
      <c r="AE165" s="69"/>
      <c r="AF165" s="69"/>
      <c r="AG165" s="69"/>
      <c r="AH165" s="69"/>
      <c r="AI165" s="69"/>
      <c r="AJ165" s="69"/>
      <c r="AK165" s="69"/>
      <c r="AL165" s="69"/>
      <c r="AM165" s="69"/>
      <c r="AN165" s="69"/>
      <c r="AO165" s="69"/>
      <c r="AP165" s="69"/>
      <c r="AQ165" s="69"/>
    </row>
    <row r="166" spans="1:43">
      <c r="A166" s="814"/>
      <c r="B166" s="819"/>
      <c r="C166" s="820"/>
      <c r="D166" s="821"/>
      <c r="E166" s="821"/>
      <c r="F166" s="822"/>
      <c r="G166" s="821"/>
      <c r="H166" s="823"/>
      <c r="I166" s="823"/>
      <c r="J166" s="814"/>
      <c r="K166" s="814"/>
      <c r="L166" s="814"/>
      <c r="M166" s="814"/>
      <c r="N166" s="814"/>
      <c r="O166" s="814"/>
      <c r="P166" s="814"/>
      <c r="Q166" s="814"/>
      <c r="R166" s="814"/>
      <c r="S166" s="814"/>
      <c r="T166" s="814"/>
      <c r="U166" s="814"/>
      <c r="V166" s="814"/>
      <c r="W166" s="814"/>
      <c r="X166" s="814"/>
      <c r="Y166" s="814"/>
      <c r="Z166" s="814"/>
      <c r="AA166" s="814"/>
      <c r="AB166" s="69"/>
      <c r="AC166" s="69"/>
      <c r="AD166" s="69"/>
      <c r="AE166" s="69"/>
      <c r="AF166" s="69"/>
      <c r="AG166" s="69"/>
      <c r="AH166" s="69"/>
      <c r="AI166" s="69"/>
      <c r="AJ166" s="69"/>
      <c r="AK166" s="69"/>
      <c r="AL166" s="69"/>
      <c r="AM166" s="69"/>
      <c r="AN166" s="69"/>
      <c r="AO166" s="69"/>
      <c r="AP166" s="69"/>
      <c r="AQ166" s="69"/>
    </row>
    <row r="167" spans="1:43">
      <c r="A167" s="814"/>
      <c r="B167" s="819"/>
      <c r="C167" s="820"/>
      <c r="D167" s="821"/>
      <c r="E167" s="821"/>
      <c r="F167" s="822"/>
      <c r="G167" s="821"/>
      <c r="H167" s="823"/>
      <c r="I167" s="823"/>
      <c r="J167" s="814"/>
      <c r="K167" s="814"/>
      <c r="L167" s="814"/>
      <c r="M167" s="814"/>
      <c r="N167" s="814"/>
      <c r="O167" s="814"/>
      <c r="P167" s="814"/>
      <c r="Q167" s="814"/>
      <c r="R167" s="814"/>
      <c r="S167" s="814"/>
      <c r="T167" s="814"/>
      <c r="U167" s="814"/>
      <c r="V167" s="814"/>
      <c r="W167" s="814"/>
      <c r="X167" s="814"/>
      <c r="Y167" s="814"/>
      <c r="Z167" s="814"/>
      <c r="AA167" s="814"/>
      <c r="AB167" s="69"/>
      <c r="AC167" s="69"/>
      <c r="AD167" s="69"/>
      <c r="AE167" s="69"/>
      <c r="AF167" s="69"/>
      <c r="AG167" s="69"/>
      <c r="AH167" s="69"/>
      <c r="AI167" s="69"/>
      <c r="AJ167" s="69"/>
      <c r="AK167" s="69"/>
      <c r="AL167" s="69"/>
      <c r="AM167" s="69"/>
      <c r="AN167" s="69"/>
      <c r="AO167" s="69"/>
      <c r="AP167" s="69"/>
      <c r="AQ167" s="69"/>
    </row>
    <row r="168" spans="1:43">
      <c r="A168" s="814"/>
      <c r="B168" s="819"/>
      <c r="C168" s="820"/>
      <c r="D168" s="821"/>
      <c r="E168" s="821"/>
      <c r="F168" s="822"/>
      <c r="G168" s="821"/>
      <c r="H168" s="823"/>
      <c r="I168" s="823"/>
      <c r="J168" s="814"/>
      <c r="K168" s="814"/>
      <c r="L168" s="814"/>
      <c r="M168" s="814"/>
      <c r="N168" s="814"/>
      <c r="O168" s="814"/>
      <c r="P168" s="814"/>
      <c r="Q168" s="814"/>
      <c r="R168" s="814"/>
      <c r="S168" s="814"/>
      <c r="T168" s="814"/>
      <c r="U168" s="814"/>
      <c r="V168" s="814"/>
      <c r="W168" s="814"/>
      <c r="X168" s="814"/>
      <c r="Y168" s="814"/>
      <c r="Z168" s="814"/>
      <c r="AA168" s="814"/>
      <c r="AB168" s="69"/>
      <c r="AC168" s="69"/>
      <c r="AD168" s="69"/>
      <c r="AE168" s="69"/>
      <c r="AF168" s="69"/>
      <c r="AG168" s="69"/>
      <c r="AH168" s="69"/>
      <c r="AI168" s="69"/>
      <c r="AJ168" s="69"/>
      <c r="AK168" s="69"/>
      <c r="AL168" s="69"/>
      <c r="AM168" s="69"/>
      <c r="AN168" s="69"/>
      <c r="AO168" s="69"/>
      <c r="AP168" s="69"/>
      <c r="AQ168" s="69"/>
    </row>
    <row r="169" spans="1:43">
      <c r="A169" s="814"/>
      <c r="B169" s="819"/>
      <c r="C169" s="820"/>
      <c r="D169" s="821"/>
      <c r="E169" s="821"/>
      <c r="F169" s="822"/>
      <c r="G169" s="821"/>
      <c r="H169" s="823"/>
      <c r="I169" s="823"/>
      <c r="J169" s="814"/>
      <c r="K169" s="814"/>
      <c r="L169" s="814"/>
      <c r="M169" s="814"/>
      <c r="N169" s="814"/>
      <c r="O169" s="814"/>
      <c r="P169" s="814"/>
      <c r="Q169" s="814"/>
      <c r="R169" s="814"/>
      <c r="S169" s="814"/>
      <c r="T169" s="814"/>
      <c r="U169" s="814"/>
      <c r="V169" s="814"/>
      <c r="W169" s="814"/>
      <c r="X169" s="814"/>
      <c r="Y169" s="814"/>
      <c r="Z169" s="814"/>
      <c r="AA169" s="814"/>
      <c r="AB169" s="69"/>
      <c r="AC169" s="69"/>
      <c r="AD169" s="69"/>
      <c r="AE169" s="69"/>
      <c r="AF169" s="69"/>
      <c r="AG169" s="69"/>
      <c r="AH169" s="69"/>
      <c r="AI169" s="69"/>
      <c r="AJ169" s="69"/>
      <c r="AK169" s="69"/>
      <c r="AL169" s="69"/>
      <c r="AM169" s="69"/>
      <c r="AN169" s="69"/>
      <c r="AO169" s="69"/>
      <c r="AP169" s="69"/>
      <c r="AQ169" s="69"/>
    </row>
    <row r="170" spans="1:43">
      <c r="A170" s="814"/>
      <c r="B170" s="819"/>
      <c r="C170" s="820"/>
      <c r="D170" s="821"/>
      <c r="E170" s="821"/>
      <c r="F170" s="822"/>
      <c r="G170" s="821"/>
      <c r="H170" s="823"/>
      <c r="I170" s="823"/>
      <c r="J170" s="814"/>
      <c r="K170" s="814"/>
      <c r="L170" s="814"/>
      <c r="M170" s="814"/>
      <c r="N170" s="814"/>
      <c r="O170" s="814"/>
      <c r="P170" s="814"/>
      <c r="Q170" s="814"/>
      <c r="R170" s="814"/>
      <c r="S170" s="814"/>
      <c r="T170" s="814"/>
      <c r="U170" s="814"/>
      <c r="V170" s="814"/>
      <c r="W170" s="814"/>
      <c r="X170" s="814"/>
      <c r="Y170" s="814"/>
      <c r="Z170" s="814"/>
      <c r="AA170" s="814"/>
      <c r="AB170" s="69"/>
      <c r="AC170" s="69"/>
      <c r="AD170" s="69"/>
      <c r="AE170" s="69"/>
      <c r="AF170" s="69"/>
      <c r="AG170" s="69"/>
      <c r="AH170" s="69"/>
      <c r="AI170" s="69"/>
      <c r="AJ170" s="69"/>
      <c r="AK170" s="69"/>
      <c r="AL170" s="69"/>
      <c r="AM170" s="69"/>
      <c r="AN170" s="69"/>
      <c r="AO170" s="69"/>
      <c r="AP170" s="69"/>
      <c r="AQ170" s="69"/>
    </row>
    <row r="171" spans="1:43">
      <c r="A171" s="814"/>
      <c r="B171" s="819"/>
      <c r="C171" s="820"/>
      <c r="D171" s="821"/>
      <c r="E171" s="821"/>
      <c r="F171" s="822"/>
      <c r="G171" s="821"/>
      <c r="H171" s="823"/>
      <c r="I171" s="823"/>
      <c r="J171" s="814"/>
      <c r="K171" s="814"/>
      <c r="L171" s="814"/>
      <c r="M171" s="814"/>
      <c r="N171" s="814"/>
      <c r="O171" s="814"/>
      <c r="P171" s="814"/>
      <c r="Q171" s="814"/>
      <c r="R171" s="814"/>
      <c r="S171" s="814"/>
      <c r="T171" s="814"/>
      <c r="U171" s="814"/>
      <c r="V171" s="814"/>
      <c r="W171" s="814"/>
      <c r="X171" s="814"/>
      <c r="Y171" s="814"/>
      <c r="Z171" s="814"/>
      <c r="AA171" s="814"/>
      <c r="AB171" s="69"/>
      <c r="AC171" s="69"/>
      <c r="AD171" s="69"/>
      <c r="AE171" s="69"/>
      <c r="AF171" s="69"/>
      <c r="AG171" s="69"/>
      <c r="AH171" s="69"/>
      <c r="AI171" s="69"/>
      <c r="AJ171" s="69"/>
      <c r="AK171" s="69"/>
      <c r="AL171" s="69"/>
      <c r="AM171" s="69"/>
      <c r="AN171" s="69"/>
      <c r="AO171" s="69"/>
      <c r="AP171" s="69"/>
      <c r="AQ171" s="69"/>
    </row>
    <row r="172" spans="1:43">
      <c r="A172" s="814"/>
      <c r="B172" s="819"/>
      <c r="C172" s="820"/>
      <c r="D172" s="821"/>
      <c r="E172" s="821"/>
      <c r="F172" s="822"/>
      <c r="G172" s="821"/>
      <c r="H172" s="823"/>
      <c r="I172" s="823"/>
      <c r="J172" s="814"/>
      <c r="K172" s="814"/>
      <c r="L172" s="814"/>
      <c r="M172" s="814"/>
      <c r="N172" s="814"/>
      <c r="O172" s="814"/>
      <c r="P172" s="814"/>
      <c r="Q172" s="814"/>
      <c r="R172" s="814"/>
      <c r="S172" s="814"/>
      <c r="T172" s="814"/>
      <c r="U172" s="814"/>
      <c r="V172" s="814"/>
      <c r="W172" s="814"/>
      <c r="X172" s="814"/>
      <c r="Y172" s="814"/>
      <c r="Z172" s="814"/>
      <c r="AA172" s="814"/>
      <c r="AB172" s="69"/>
      <c r="AC172" s="69"/>
      <c r="AD172" s="69"/>
      <c r="AE172" s="69"/>
      <c r="AF172" s="69"/>
      <c r="AG172" s="69"/>
      <c r="AH172" s="69"/>
      <c r="AI172" s="69"/>
      <c r="AJ172" s="69"/>
      <c r="AK172" s="69"/>
      <c r="AL172" s="69"/>
      <c r="AM172" s="69"/>
      <c r="AN172" s="69"/>
      <c r="AO172" s="69"/>
      <c r="AP172" s="69"/>
      <c r="AQ172" s="69"/>
    </row>
    <row r="173" spans="1:43">
      <c r="A173" s="814"/>
      <c r="B173" s="819"/>
      <c r="C173" s="820"/>
      <c r="D173" s="821"/>
      <c r="E173" s="821"/>
      <c r="F173" s="822"/>
      <c r="G173" s="821"/>
      <c r="H173" s="823"/>
      <c r="I173" s="823"/>
      <c r="J173" s="814"/>
      <c r="K173" s="814"/>
      <c r="L173" s="814"/>
      <c r="M173" s="814"/>
      <c r="N173" s="814"/>
      <c r="O173" s="814"/>
      <c r="P173" s="814"/>
      <c r="Q173" s="814"/>
      <c r="R173" s="814"/>
      <c r="S173" s="814"/>
      <c r="T173" s="814"/>
      <c r="U173" s="814"/>
      <c r="V173" s="814"/>
      <c r="W173" s="814"/>
      <c r="X173" s="814"/>
      <c r="Y173" s="814"/>
      <c r="Z173" s="814"/>
      <c r="AA173" s="814"/>
      <c r="AB173" s="69"/>
      <c r="AC173" s="69"/>
      <c r="AD173" s="69"/>
      <c r="AE173" s="69"/>
      <c r="AF173" s="69"/>
      <c r="AG173" s="69"/>
      <c r="AH173" s="69"/>
      <c r="AI173" s="69"/>
      <c r="AJ173" s="69"/>
      <c r="AK173" s="69"/>
      <c r="AL173" s="69"/>
      <c r="AM173" s="69"/>
      <c r="AN173" s="69"/>
      <c r="AO173" s="69"/>
      <c r="AP173" s="69"/>
      <c r="AQ173" s="69"/>
    </row>
    <row r="174" spans="1:43">
      <c r="A174" s="814"/>
      <c r="B174" s="819"/>
      <c r="C174" s="820"/>
      <c r="D174" s="821"/>
      <c r="E174" s="821"/>
      <c r="F174" s="822"/>
      <c r="G174" s="821"/>
      <c r="H174" s="823"/>
      <c r="I174" s="823"/>
      <c r="J174" s="814"/>
      <c r="K174" s="814"/>
      <c r="L174" s="814"/>
      <c r="M174" s="814"/>
      <c r="N174" s="814"/>
      <c r="O174" s="814"/>
      <c r="P174" s="814"/>
      <c r="Q174" s="814"/>
      <c r="R174" s="814"/>
      <c r="S174" s="814"/>
      <c r="T174" s="814"/>
      <c r="U174" s="814"/>
      <c r="V174" s="814"/>
      <c r="W174" s="814"/>
      <c r="X174" s="814"/>
      <c r="Y174" s="814"/>
      <c r="Z174" s="814"/>
      <c r="AA174" s="814"/>
      <c r="AB174" s="69"/>
      <c r="AC174" s="69"/>
      <c r="AD174" s="69"/>
      <c r="AE174" s="69"/>
      <c r="AF174" s="69"/>
      <c r="AG174" s="69"/>
      <c r="AH174" s="69"/>
      <c r="AI174" s="69"/>
      <c r="AJ174" s="69"/>
      <c r="AK174" s="69"/>
      <c r="AL174" s="69"/>
      <c r="AM174" s="69"/>
      <c r="AN174" s="69"/>
      <c r="AO174" s="69"/>
      <c r="AP174" s="69"/>
      <c r="AQ174" s="69"/>
    </row>
    <row r="175" spans="1:43">
      <c r="A175" s="814"/>
      <c r="B175" s="819"/>
      <c r="C175" s="820"/>
      <c r="D175" s="821"/>
      <c r="E175" s="821"/>
      <c r="F175" s="822"/>
      <c r="G175" s="821"/>
      <c r="H175" s="823"/>
      <c r="I175" s="823"/>
      <c r="J175" s="814"/>
      <c r="K175" s="814"/>
      <c r="L175" s="814"/>
      <c r="M175" s="814"/>
      <c r="N175" s="814"/>
      <c r="O175" s="814"/>
      <c r="P175" s="814"/>
      <c r="Q175" s="814"/>
      <c r="R175" s="814"/>
      <c r="S175" s="814"/>
      <c r="T175" s="814"/>
      <c r="U175" s="814"/>
      <c r="V175" s="814"/>
      <c r="W175" s="814"/>
      <c r="X175" s="814"/>
      <c r="Y175" s="814"/>
      <c r="Z175" s="814"/>
      <c r="AA175" s="814"/>
      <c r="AB175" s="69"/>
      <c r="AC175" s="69"/>
      <c r="AD175" s="69"/>
      <c r="AE175" s="69"/>
      <c r="AF175" s="69"/>
      <c r="AG175" s="69"/>
      <c r="AH175" s="69"/>
      <c r="AI175" s="69"/>
      <c r="AJ175" s="69"/>
      <c r="AK175" s="69"/>
      <c r="AL175" s="69"/>
      <c r="AM175" s="69"/>
      <c r="AN175" s="69"/>
      <c r="AO175" s="69"/>
      <c r="AP175" s="69"/>
      <c r="AQ175" s="69"/>
    </row>
    <row r="176" spans="1:43">
      <c r="A176" s="814"/>
      <c r="B176" s="819"/>
      <c r="C176" s="820"/>
      <c r="D176" s="821"/>
      <c r="E176" s="821"/>
      <c r="F176" s="822"/>
      <c r="G176" s="821"/>
      <c r="H176" s="823"/>
      <c r="I176" s="823"/>
      <c r="J176" s="814"/>
      <c r="K176" s="814"/>
      <c r="L176" s="814"/>
      <c r="M176" s="814"/>
      <c r="N176" s="814"/>
      <c r="O176" s="814"/>
      <c r="P176" s="814"/>
      <c r="Q176" s="814"/>
      <c r="R176" s="814"/>
      <c r="S176" s="814"/>
      <c r="T176" s="814"/>
      <c r="U176" s="814"/>
      <c r="V176" s="814"/>
      <c r="W176" s="814"/>
      <c r="X176" s="814"/>
      <c r="Y176" s="814"/>
      <c r="Z176" s="814"/>
      <c r="AA176" s="814"/>
      <c r="AB176" s="69"/>
      <c r="AC176" s="69"/>
      <c r="AD176" s="69"/>
      <c r="AE176" s="69"/>
      <c r="AF176" s="69"/>
      <c r="AG176" s="69"/>
      <c r="AH176" s="69"/>
      <c r="AI176" s="69"/>
      <c r="AJ176" s="69"/>
      <c r="AK176" s="69"/>
      <c r="AL176" s="69"/>
      <c r="AM176" s="69"/>
      <c r="AN176" s="69"/>
      <c r="AO176" s="69"/>
      <c r="AP176" s="69"/>
      <c r="AQ176" s="69"/>
    </row>
    <row r="177" spans="1:43">
      <c r="A177" s="814"/>
      <c r="B177" s="819"/>
      <c r="C177" s="820"/>
      <c r="D177" s="821"/>
      <c r="E177" s="821"/>
      <c r="F177" s="822"/>
      <c r="G177" s="821"/>
      <c r="H177" s="823"/>
      <c r="I177" s="823"/>
      <c r="J177" s="814"/>
      <c r="K177" s="814"/>
      <c r="L177" s="814"/>
      <c r="M177" s="814"/>
      <c r="N177" s="814"/>
      <c r="O177" s="814"/>
      <c r="P177" s="814"/>
      <c r="Q177" s="814"/>
      <c r="R177" s="814"/>
      <c r="S177" s="814"/>
      <c r="T177" s="814"/>
      <c r="U177" s="814"/>
      <c r="V177" s="814"/>
      <c r="W177" s="814"/>
      <c r="X177" s="814"/>
      <c r="Y177" s="814"/>
      <c r="Z177" s="814"/>
      <c r="AA177" s="814"/>
      <c r="AB177" s="69"/>
      <c r="AC177" s="69"/>
      <c r="AD177" s="69"/>
      <c r="AE177" s="69"/>
      <c r="AF177" s="69"/>
      <c r="AG177" s="69"/>
      <c r="AH177" s="69"/>
      <c r="AI177" s="69"/>
      <c r="AJ177" s="69"/>
      <c r="AK177" s="69"/>
      <c r="AL177" s="69"/>
      <c r="AM177" s="69"/>
      <c r="AN177" s="69"/>
      <c r="AO177" s="69"/>
      <c r="AP177" s="69"/>
      <c r="AQ177" s="69"/>
    </row>
    <row r="178" spans="1:43">
      <c r="A178" s="814"/>
      <c r="B178" s="819"/>
      <c r="C178" s="820"/>
      <c r="D178" s="821"/>
      <c r="E178" s="821"/>
      <c r="F178" s="822"/>
      <c r="G178" s="821"/>
      <c r="H178" s="823"/>
      <c r="I178" s="823"/>
      <c r="J178" s="814"/>
      <c r="K178" s="814"/>
      <c r="L178" s="814"/>
      <c r="M178" s="814"/>
      <c r="N178" s="814"/>
      <c r="O178" s="814"/>
      <c r="P178" s="814"/>
      <c r="Q178" s="814"/>
      <c r="R178" s="814"/>
      <c r="S178" s="814"/>
      <c r="T178" s="814"/>
      <c r="U178" s="814"/>
      <c r="V178" s="814"/>
      <c r="W178" s="814"/>
      <c r="X178" s="814"/>
      <c r="Y178" s="814"/>
      <c r="Z178" s="814"/>
      <c r="AA178" s="814"/>
      <c r="AB178" s="69"/>
      <c r="AC178" s="69"/>
      <c r="AD178" s="69"/>
      <c r="AE178" s="69"/>
      <c r="AF178" s="69"/>
      <c r="AG178" s="69"/>
      <c r="AH178" s="69"/>
      <c r="AI178" s="69"/>
      <c r="AJ178" s="69"/>
      <c r="AK178" s="69"/>
      <c r="AL178" s="69"/>
      <c r="AM178" s="69"/>
      <c r="AN178" s="69"/>
      <c r="AO178" s="69"/>
      <c r="AP178" s="69"/>
      <c r="AQ178" s="69"/>
    </row>
    <row r="179" spans="1:43">
      <c r="A179" s="814"/>
      <c r="B179" s="819"/>
      <c r="C179" s="820"/>
      <c r="D179" s="821"/>
      <c r="E179" s="821"/>
      <c r="F179" s="822"/>
      <c r="G179" s="821"/>
      <c r="H179" s="823"/>
      <c r="I179" s="823"/>
      <c r="J179" s="814"/>
      <c r="K179" s="814"/>
      <c r="L179" s="814"/>
      <c r="M179" s="814"/>
      <c r="N179" s="814"/>
      <c r="O179" s="814"/>
      <c r="P179" s="814"/>
      <c r="Q179" s="814"/>
      <c r="R179" s="814"/>
      <c r="S179" s="814"/>
      <c r="T179" s="814"/>
      <c r="U179" s="814"/>
      <c r="V179" s="814"/>
      <c r="W179" s="814"/>
      <c r="X179" s="814"/>
      <c r="Y179" s="814"/>
      <c r="Z179" s="814"/>
      <c r="AA179" s="814"/>
      <c r="AB179" s="69"/>
      <c r="AC179" s="69"/>
      <c r="AD179" s="69"/>
      <c r="AE179" s="69"/>
      <c r="AF179" s="69"/>
      <c r="AG179" s="69"/>
      <c r="AH179" s="69"/>
      <c r="AI179" s="69"/>
      <c r="AJ179" s="69"/>
      <c r="AK179" s="69"/>
      <c r="AL179" s="69"/>
      <c r="AM179" s="69"/>
      <c r="AN179" s="69"/>
      <c r="AO179" s="69"/>
      <c r="AP179" s="69"/>
      <c r="AQ179" s="69"/>
    </row>
    <row r="180" spans="1:43">
      <c r="A180" s="814"/>
      <c r="B180" s="819"/>
      <c r="C180" s="820"/>
      <c r="D180" s="821"/>
      <c r="E180" s="821"/>
      <c r="F180" s="822"/>
      <c r="G180" s="821"/>
      <c r="H180" s="823"/>
      <c r="I180" s="823"/>
      <c r="J180" s="814"/>
      <c r="K180" s="814"/>
      <c r="L180" s="814"/>
      <c r="M180" s="814"/>
      <c r="N180" s="814"/>
      <c r="O180" s="814"/>
      <c r="P180" s="814"/>
      <c r="Q180" s="814"/>
      <c r="R180" s="814"/>
      <c r="S180" s="814"/>
      <c r="T180" s="814"/>
      <c r="U180" s="814"/>
      <c r="V180" s="814"/>
      <c r="W180" s="814"/>
      <c r="X180" s="814"/>
      <c r="Y180" s="814"/>
      <c r="Z180" s="814"/>
      <c r="AA180" s="814"/>
      <c r="AB180" s="69"/>
      <c r="AC180" s="69"/>
      <c r="AD180" s="69"/>
      <c r="AE180" s="69"/>
      <c r="AF180" s="69"/>
      <c r="AG180" s="69"/>
      <c r="AH180" s="69"/>
      <c r="AI180" s="69"/>
      <c r="AJ180" s="69"/>
      <c r="AK180" s="69"/>
      <c r="AL180" s="69"/>
      <c r="AM180" s="69"/>
      <c r="AN180" s="69"/>
      <c r="AO180" s="69"/>
      <c r="AP180" s="69"/>
      <c r="AQ180" s="69"/>
    </row>
    <row r="181" spans="1:43">
      <c r="A181" s="814"/>
      <c r="B181" s="819"/>
      <c r="C181" s="820"/>
      <c r="D181" s="821"/>
      <c r="E181" s="821"/>
      <c r="F181" s="822"/>
      <c r="G181" s="821"/>
      <c r="H181" s="823"/>
      <c r="I181" s="823"/>
      <c r="J181" s="814"/>
      <c r="K181" s="814"/>
      <c r="L181" s="814"/>
      <c r="M181" s="814"/>
      <c r="N181" s="814"/>
      <c r="O181" s="814"/>
      <c r="P181" s="814"/>
      <c r="Q181" s="814"/>
      <c r="R181" s="814"/>
      <c r="S181" s="814"/>
      <c r="T181" s="814"/>
      <c r="U181" s="814"/>
      <c r="V181" s="814"/>
      <c r="W181" s="814"/>
      <c r="X181" s="814"/>
      <c r="Y181" s="814"/>
      <c r="Z181" s="814"/>
      <c r="AA181" s="814"/>
      <c r="AB181" s="69"/>
      <c r="AC181" s="69"/>
      <c r="AD181" s="69"/>
      <c r="AE181" s="69"/>
      <c r="AF181" s="69"/>
      <c r="AG181" s="69"/>
      <c r="AH181" s="69"/>
      <c r="AI181" s="69"/>
      <c r="AJ181" s="69"/>
      <c r="AK181" s="69"/>
      <c r="AL181" s="69"/>
      <c r="AM181" s="69"/>
      <c r="AN181" s="69"/>
      <c r="AO181" s="69"/>
      <c r="AP181" s="69"/>
      <c r="AQ181" s="69"/>
    </row>
    <row r="182" spans="1:43">
      <c r="A182" s="814"/>
      <c r="B182" s="819"/>
      <c r="C182" s="820"/>
      <c r="D182" s="821"/>
      <c r="E182" s="821"/>
      <c r="F182" s="822"/>
      <c r="G182" s="821"/>
      <c r="H182" s="823"/>
      <c r="I182" s="823"/>
      <c r="J182" s="814"/>
      <c r="K182" s="814"/>
      <c r="L182" s="814"/>
      <c r="M182" s="814"/>
      <c r="N182" s="814"/>
      <c r="O182" s="814"/>
      <c r="P182" s="814"/>
      <c r="Q182" s="814"/>
      <c r="R182" s="814"/>
      <c r="S182" s="814"/>
      <c r="T182" s="814"/>
      <c r="U182" s="814"/>
      <c r="V182" s="814"/>
      <c r="W182" s="814"/>
      <c r="X182" s="814"/>
      <c r="Y182" s="814"/>
      <c r="Z182" s="814"/>
      <c r="AA182" s="814"/>
      <c r="AB182" s="69"/>
      <c r="AC182" s="69"/>
      <c r="AD182" s="69"/>
      <c r="AE182" s="69"/>
      <c r="AF182" s="69"/>
      <c r="AG182" s="69"/>
      <c r="AH182" s="69"/>
      <c r="AI182" s="69"/>
      <c r="AJ182" s="69"/>
      <c r="AK182" s="69"/>
      <c r="AL182" s="69"/>
      <c r="AM182" s="69"/>
      <c r="AN182" s="69"/>
      <c r="AO182" s="69"/>
      <c r="AP182" s="69"/>
      <c r="AQ182" s="69"/>
    </row>
    <row r="183" spans="1:43">
      <c r="A183" s="814"/>
      <c r="B183" s="819"/>
      <c r="C183" s="820"/>
      <c r="D183" s="821"/>
      <c r="E183" s="821"/>
      <c r="F183" s="822"/>
      <c r="G183" s="821"/>
      <c r="H183" s="823"/>
      <c r="I183" s="823"/>
      <c r="J183" s="814"/>
      <c r="K183" s="814"/>
      <c r="L183" s="814"/>
      <c r="M183" s="814"/>
      <c r="N183" s="814"/>
      <c r="O183" s="814"/>
      <c r="P183" s="814"/>
      <c r="Q183" s="814"/>
      <c r="R183" s="814"/>
      <c r="S183" s="814"/>
      <c r="T183" s="814"/>
      <c r="U183" s="814"/>
      <c r="V183" s="814"/>
      <c r="W183" s="814"/>
      <c r="X183" s="814"/>
      <c r="Y183" s="814"/>
      <c r="Z183" s="814"/>
      <c r="AA183" s="814"/>
      <c r="AB183" s="69"/>
      <c r="AC183" s="69"/>
      <c r="AD183" s="69"/>
      <c r="AE183" s="69"/>
      <c r="AF183" s="69"/>
      <c r="AG183" s="69"/>
      <c r="AH183" s="69"/>
      <c r="AI183" s="69"/>
      <c r="AJ183" s="69"/>
      <c r="AK183" s="69"/>
      <c r="AL183" s="69"/>
      <c r="AM183" s="69"/>
      <c r="AN183" s="69"/>
      <c r="AO183" s="69"/>
      <c r="AP183" s="69"/>
      <c r="AQ183" s="69"/>
    </row>
    <row r="184" spans="1:43">
      <c r="A184" s="814"/>
      <c r="B184" s="819"/>
      <c r="C184" s="820"/>
      <c r="D184" s="821"/>
      <c r="E184" s="821"/>
      <c r="F184" s="822"/>
      <c r="G184" s="821"/>
      <c r="H184" s="823"/>
      <c r="I184" s="823"/>
      <c r="J184" s="814"/>
      <c r="K184" s="814"/>
      <c r="L184" s="814"/>
      <c r="M184" s="814"/>
      <c r="N184" s="814"/>
      <c r="O184" s="814"/>
      <c r="P184" s="814"/>
      <c r="Q184" s="814"/>
      <c r="R184" s="814"/>
      <c r="S184" s="814"/>
      <c r="T184" s="814"/>
      <c r="U184" s="814"/>
      <c r="V184" s="814"/>
      <c r="W184" s="814"/>
      <c r="X184" s="814"/>
      <c r="Y184" s="814"/>
      <c r="Z184" s="814"/>
      <c r="AA184" s="814"/>
      <c r="AB184" s="69"/>
      <c r="AC184" s="69"/>
      <c r="AD184" s="69"/>
      <c r="AE184" s="69"/>
      <c r="AF184" s="69"/>
      <c r="AG184" s="69"/>
      <c r="AH184" s="69"/>
      <c r="AI184" s="69"/>
      <c r="AJ184" s="69"/>
      <c r="AK184" s="69"/>
      <c r="AL184" s="69"/>
      <c r="AM184" s="69"/>
      <c r="AN184" s="69"/>
      <c r="AO184" s="69"/>
      <c r="AP184" s="69"/>
      <c r="AQ184" s="69"/>
    </row>
    <row r="185" spans="1:43">
      <c r="A185" s="814"/>
      <c r="B185" s="819"/>
      <c r="C185" s="820"/>
      <c r="D185" s="821"/>
      <c r="E185" s="821"/>
      <c r="F185" s="822"/>
      <c r="G185" s="821"/>
      <c r="H185" s="823"/>
      <c r="I185" s="823"/>
      <c r="J185" s="814"/>
      <c r="K185" s="814"/>
      <c r="L185" s="814"/>
      <c r="M185" s="814"/>
      <c r="N185" s="814"/>
      <c r="O185" s="814"/>
      <c r="P185" s="814"/>
      <c r="Q185" s="814"/>
      <c r="R185" s="814"/>
      <c r="S185" s="814"/>
      <c r="T185" s="814"/>
      <c r="U185" s="814"/>
      <c r="V185" s="814"/>
      <c r="W185" s="814"/>
      <c r="X185" s="814"/>
      <c r="Y185" s="814"/>
      <c r="Z185" s="814"/>
      <c r="AA185" s="814"/>
      <c r="AB185" s="69"/>
      <c r="AC185" s="69"/>
      <c r="AD185" s="69"/>
      <c r="AE185" s="69"/>
      <c r="AF185" s="69"/>
      <c r="AG185" s="69"/>
      <c r="AH185" s="69"/>
      <c r="AI185" s="69"/>
      <c r="AJ185" s="69"/>
      <c r="AK185" s="69"/>
      <c r="AL185" s="69"/>
      <c r="AM185" s="69"/>
      <c r="AN185" s="69"/>
      <c r="AO185" s="69"/>
      <c r="AP185" s="69"/>
      <c r="AQ185" s="69"/>
    </row>
    <row r="186" spans="1:43">
      <c r="A186" s="814"/>
      <c r="B186" s="819"/>
      <c r="C186" s="820"/>
      <c r="D186" s="821"/>
      <c r="E186" s="821"/>
      <c r="F186" s="822"/>
      <c r="G186" s="821"/>
      <c r="H186" s="823"/>
      <c r="I186" s="823"/>
      <c r="J186" s="814"/>
      <c r="K186" s="814"/>
      <c r="L186" s="814"/>
      <c r="M186" s="814"/>
      <c r="N186" s="814"/>
      <c r="O186" s="814"/>
      <c r="P186" s="814"/>
      <c r="Q186" s="814"/>
      <c r="R186" s="814"/>
      <c r="S186" s="814"/>
      <c r="T186" s="814"/>
      <c r="U186" s="814"/>
      <c r="V186" s="814"/>
      <c r="W186" s="814"/>
      <c r="X186" s="814"/>
      <c r="Y186" s="814"/>
      <c r="Z186" s="814"/>
      <c r="AA186" s="814"/>
      <c r="AB186" s="69"/>
      <c r="AC186" s="69"/>
      <c r="AD186" s="69"/>
      <c r="AE186" s="69"/>
      <c r="AF186" s="69"/>
      <c r="AG186" s="69"/>
      <c r="AH186" s="69"/>
      <c r="AI186" s="69"/>
      <c r="AJ186" s="69"/>
      <c r="AK186" s="69"/>
      <c r="AL186" s="69"/>
      <c r="AM186" s="69"/>
      <c r="AN186" s="69"/>
      <c r="AO186" s="69"/>
      <c r="AP186" s="69"/>
      <c r="AQ186" s="69"/>
    </row>
    <row r="187" spans="1:43">
      <c r="A187" s="814"/>
      <c r="B187" s="819"/>
      <c r="C187" s="820"/>
      <c r="D187" s="821"/>
      <c r="E187" s="821"/>
      <c r="F187" s="822"/>
      <c r="G187" s="821"/>
      <c r="H187" s="823"/>
      <c r="I187" s="823"/>
      <c r="J187" s="814"/>
      <c r="K187" s="814"/>
      <c r="L187" s="814"/>
      <c r="M187" s="814"/>
      <c r="N187" s="814"/>
      <c r="O187" s="814"/>
      <c r="P187" s="814"/>
      <c r="Q187" s="814"/>
      <c r="R187" s="814"/>
      <c r="S187" s="814"/>
      <c r="T187" s="814"/>
      <c r="U187" s="814"/>
      <c r="V187" s="814"/>
      <c r="W187" s="814"/>
      <c r="X187" s="814"/>
      <c r="Y187" s="814"/>
      <c r="Z187" s="814"/>
      <c r="AA187" s="814"/>
      <c r="AB187" s="69"/>
      <c r="AC187" s="69"/>
      <c r="AD187" s="69"/>
      <c r="AE187" s="69"/>
      <c r="AF187" s="69"/>
      <c r="AG187" s="69"/>
      <c r="AH187" s="69"/>
      <c r="AI187" s="69"/>
      <c r="AJ187" s="69"/>
      <c r="AK187" s="69"/>
      <c r="AL187" s="69"/>
      <c r="AM187" s="69"/>
      <c r="AN187" s="69"/>
      <c r="AO187" s="69"/>
      <c r="AP187" s="69"/>
      <c r="AQ187" s="69"/>
    </row>
    <row r="188" spans="1:43">
      <c r="A188" s="814"/>
      <c r="B188" s="819"/>
      <c r="C188" s="820"/>
      <c r="D188" s="821"/>
      <c r="E188" s="821"/>
      <c r="F188" s="822"/>
      <c r="G188" s="821"/>
      <c r="H188" s="823"/>
      <c r="I188" s="823"/>
      <c r="J188" s="814"/>
      <c r="K188" s="814"/>
      <c r="L188" s="814"/>
      <c r="M188" s="814"/>
      <c r="N188" s="814"/>
      <c r="O188" s="814"/>
      <c r="P188" s="814"/>
      <c r="Q188" s="814"/>
      <c r="R188" s="814"/>
      <c r="S188" s="814"/>
      <c r="T188" s="814"/>
      <c r="U188" s="814"/>
      <c r="V188" s="814"/>
      <c r="W188" s="814"/>
      <c r="X188" s="814"/>
      <c r="Y188" s="814"/>
      <c r="Z188" s="814"/>
      <c r="AA188" s="814"/>
      <c r="AB188" s="69"/>
      <c r="AC188" s="69"/>
      <c r="AD188" s="69"/>
      <c r="AE188" s="69"/>
      <c r="AF188" s="69"/>
      <c r="AG188" s="69"/>
      <c r="AH188" s="69"/>
      <c r="AI188" s="69"/>
      <c r="AJ188" s="69"/>
      <c r="AK188" s="69"/>
      <c r="AL188" s="69"/>
      <c r="AM188" s="69"/>
      <c r="AN188" s="69"/>
      <c r="AO188" s="69"/>
      <c r="AP188" s="69"/>
      <c r="AQ188" s="69"/>
    </row>
    <row r="189" spans="1:43">
      <c r="A189" s="814"/>
      <c r="B189" s="819"/>
      <c r="C189" s="820"/>
      <c r="D189" s="821"/>
      <c r="E189" s="821"/>
      <c r="F189" s="822"/>
      <c r="G189" s="821"/>
      <c r="H189" s="823"/>
      <c r="I189" s="823"/>
      <c r="J189" s="814"/>
      <c r="K189" s="814"/>
      <c r="L189" s="814"/>
      <c r="M189" s="814"/>
      <c r="N189" s="814"/>
      <c r="O189" s="814"/>
      <c r="P189" s="814"/>
      <c r="Q189" s="814"/>
      <c r="R189" s="814"/>
      <c r="S189" s="814"/>
      <c r="T189" s="814"/>
      <c r="U189" s="814"/>
      <c r="V189" s="814"/>
      <c r="W189" s="814"/>
      <c r="X189" s="814"/>
      <c r="Y189" s="814"/>
      <c r="Z189" s="814"/>
      <c r="AA189" s="814"/>
      <c r="AB189" s="69"/>
      <c r="AC189" s="69"/>
      <c r="AD189" s="69"/>
      <c r="AE189" s="69"/>
      <c r="AF189" s="69"/>
      <c r="AG189" s="69"/>
      <c r="AH189" s="69"/>
      <c r="AI189" s="69"/>
      <c r="AJ189" s="69"/>
      <c r="AK189" s="69"/>
      <c r="AL189" s="69"/>
      <c r="AM189" s="69"/>
      <c r="AN189" s="69"/>
      <c r="AO189" s="69"/>
      <c r="AP189" s="69"/>
      <c r="AQ189" s="69"/>
    </row>
    <row r="190" spans="1:43">
      <c r="A190" s="814"/>
      <c r="B190" s="819"/>
      <c r="C190" s="820"/>
      <c r="D190" s="821"/>
      <c r="E190" s="821"/>
      <c r="F190" s="822"/>
      <c r="G190" s="821"/>
      <c r="H190" s="823"/>
      <c r="I190" s="823"/>
      <c r="J190" s="814"/>
      <c r="K190" s="814"/>
      <c r="L190" s="814"/>
      <c r="M190" s="814"/>
      <c r="N190" s="814"/>
      <c r="O190" s="814"/>
      <c r="P190" s="814"/>
      <c r="Q190" s="814"/>
      <c r="R190" s="814"/>
      <c r="S190" s="814"/>
      <c r="T190" s="814"/>
      <c r="U190" s="814"/>
      <c r="V190" s="814"/>
      <c r="W190" s="814"/>
      <c r="X190" s="814"/>
      <c r="Y190" s="814"/>
      <c r="Z190" s="814"/>
      <c r="AA190" s="814"/>
      <c r="AB190" s="69"/>
      <c r="AC190" s="69"/>
      <c r="AD190" s="69"/>
      <c r="AE190" s="69"/>
      <c r="AF190" s="69"/>
      <c r="AG190" s="69"/>
      <c r="AH190" s="69"/>
      <c r="AI190" s="69"/>
      <c r="AJ190" s="69"/>
      <c r="AK190" s="69"/>
      <c r="AL190" s="69"/>
      <c r="AM190" s="69"/>
      <c r="AN190" s="69"/>
      <c r="AO190" s="69"/>
      <c r="AP190" s="69"/>
      <c r="AQ190" s="69"/>
    </row>
    <row r="191" spans="1:43">
      <c r="A191" s="814"/>
      <c r="B191" s="819"/>
      <c r="C191" s="820"/>
      <c r="D191" s="821"/>
      <c r="E191" s="821"/>
      <c r="F191" s="822"/>
      <c r="G191" s="821"/>
      <c r="H191" s="823"/>
      <c r="I191" s="823"/>
      <c r="J191" s="814"/>
      <c r="K191" s="814"/>
      <c r="L191" s="814"/>
      <c r="M191" s="814"/>
      <c r="N191" s="814"/>
      <c r="O191" s="814"/>
      <c r="P191" s="814"/>
      <c r="Q191" s="814"/>
      <c r="R191" s="814"/>
      <c r="S191" s="814"/>
      <c r="T191" s="814"/>
      <c r="U191" s="814"/>
      <c r="V191" s="814"/>
      <c r="W191" s="814"/>
      <c r="X191" s="814"/>
      <c r="Y191" s="814"/>
      <c r="Z191" s="814"/>
      <c r="AA191" s="814"/>
      <c r="AB191" s="69"/>
      <c r="AC191" s="69"/>
      <c r="AD191" s="69"/>
      <c r="AE191" s="69"/>
      <c r="AF191" s="69"/>
      <c r="AG191" s="69"/>
      <c r="AH191" s="69"/>
      <c r="AI191" s="69"/>
      <c r="AJ191" s="69"/>
      <c r="AK191" s="69"/>
      <c r="AL191" s="69"/>
      <c r="AM191" s="69"/>
      <c r="AN191" s="69"/>
      <c r="AO191" s="69"/>
      <c r="AP191" s="69"/>
      <c r="AQ191" s="69"/>
    </row>
    <row r="192" spans="1:43">
      <c r="A192" s="814"/>
      <c r="B192" s="819"/>
      <c r="C192" s="820"/>
      <c r="D192" s="821"/>
      <c r="E192" s="821"/>
      <c r="F192" s="822"/>
      <c r="G192" s="821"/>
      <c r="H192" s="823"/>
      <c r="I192" s="823"/>
      <c r="J192" s="814"/>
      <c r="K192" s="814"/>
      <c r="L192" s="814"/>
      <c r="M192" s="814"/>
      <c r="N192" s="814"/>
      <c r="O192" s="814"/>
      <c r="P192" s="814"/>
      <c r="Q192" s="814"/>
      <c r="R192" s="814"/>
      <c r="S192" s="814"/>
      <c r="T192" s="814"/>
      <c r="U192" s="814"/>
      <c r="V192" s="814"/>
      <c r="W192" s="814"/>
      <c r="X192" s="814"/>
      <c r="Y192" s="814"/>
      <c r="Z192" s="814"/>
      <c r="AA192" s="814"/>
      <c r="AB192" s="69"/>
      <c r="AC192" s="69"/>
      <c r="AD192" s="69"/>
      <c r="AE192" s="69"/>
      <c r="AF192" s="69"/>
      <c r="AG192" s="69"/>
      <c r="AH192" s="69"/>
      <c r="AI192" s="69"/>
      <c r="AJ192" s="69"/>
      <c r="AK192" s="69"/>
      <c r="AL192" s="69"/>
      <c r="AM192" s="69"/>
      <c r="AN192" s="69"/>
      <c r="AO192" s="69"/>
      <c r="AP192" s="69"/>
      <c r="AQ192" s="69"/>
    </row>
    <row r="193" spans="1:43">
      <c r="A193" s="814"/>
      <c r="B193" s="819"/>
      <c r="C193" s="820"/>
      <c r="D193" s="821"/>
      <c r="E193" s="821"/>
      <c r="F193" s="822"/>
      <c r="G193" s="821"/>
      <c r="H193" s="823"/>
      <c r="I193" s="823"/>
      <c r="J193" s="814"/>
      <c r="K193" s="814"/>
      <c r="L193" s="814"/>
      <c r="M193" s="814"/>
      <c r="N193" s="814"/>
      <c r="O193" s="814"/>
      <c r="P193" s="814"/>
      <c r="Q193" s="814"/>
      <c r="R193" s="814"/>
      <c r="S193" s="814"/>
      <c r="T193" s="814"/>
      <c r="U193" s="814"/>
      <c r="V193" s="814"/>
      <c r="W193" s="814"/>
      <c r="X193" s="814"/>
      <c r="Y193" s="814"/>
      <c r="Z193" s="814"/>
      <c r="AA193" s="814"/>
      <c r="AB193" s="69"/>
      <c r="AC193" s="69"/>
      <c r="AD193" s="69"/>
      <c r="AE193" s="69"/>
      <c r="AF193" s="69"/>
      <c r="AG193" s="69"/>
      <c r="AH193" s="69"/>
      <c r="AI193" s="69"/>
      <c r="AJ193" s="69"/>
      <c r="AK193" s="69"/>
      <c r="AL193" s="69"/>
      <c r="AM193" s="69"/>
      <c r="AN193" s="69"/>
      <c r="AO193" s="69"/>
      <c r="AP193" s="69"/>
      <c r="AQ193" s="69"/>
    </row>
    <row r="194" spans="1:43">
      <c r="A194" s="814"/>
      <c r="B194" s="819"/>
      <c r="C194" s="820"/>
      <c r="D194" s="821"/>
      <c r="E194" s="821"/>
      <c r="F194" s="822"/>
      <c r="G194" s="821"/>
      <c r="H194" s="823"/>
      <c r="I194" s="823"/>
      <c r="J194" s="814"/>
      <c r="K194" s="814"/>
      <c r="L194" s="814"/>
      <c r="M194" s="814"/>
      <c r="N194" s="814"/>
      <c r="O194" s="814"/>
      <c r="P194" s="814"/>
      <c r="Q194" s="814"/>
      <c r="R194" s="814"/>
      <c r="S194" s="814"/>
      <c r="T194" s="814"/>
      <c r="U194" s="814"/>
      <c r="V194" s="814"/>
      <c r="W194" s="814"/>
      <c r="X194" s="814"/>
      <c r="Y194" s="814"/>
      <c r="Z194" s="814"/>
      <c r="AA194" s="814"/>
      <c r="AB194" s="69"/>
      <c r="AC194" s="69"/>
      <c r="AD194" s="69"/>
      <c r="AE194" s="69"/>
      <c r="AF194" s="69"/>
      <c r="AG194" s="69"/>
      <c r="AH194" s="69"/>
      <c r="AI194" s="69"/>
      <c r="AJ194" s="69"/>
      <c r="AK194" s="69"/>
      <c r="AL194" s="69"/>
      <c r="AM194" s="69"/>
      <c r="AN194" s="69"/>
      <c r="AO194" s="69"/>
      <c r="AP194" s="69"/>
      <c r="AQ194" s="69"/>
    </row>
    <row r="195" spans="1:43">
      <c r="A195" s="814"/>
      <c r="B195" s="819"/>
      <c r="C195" s="820"/>
      <c r="D195" s="821"/>
      <c r="E195" s="821"/>
      <c r="F195" s="822"/>
      <c r="G195" s="821"/>
      <c r="H195" s="823"/>
      <c r="I195" s="823"/>
      <c r="J195" s="814"/>
      <c r="K195" s="814"/>
      <c r="L195" s="814"/>
      <c r="M195" s="814"/>
      <c r="N195" s="814"/>
      <c r="O195" s="814"/>
      <c r="P195" s="814"/>
      <c r="Q195" s="814"/>
      <c r="R195" s="814"/>
      <c r="S195" s="814"/>
      <c r="T195" s="814"/>
      <c r="U195" s="814"/>
      <c r="V195" s="814"/>
      <c r="W195" s="814"/>
      <c r="X195" s="814"/>
      <c r="Y195" s="814"/>
      <c r="Z195" s="814"/>
      <c r="AA195" s="814"/>
      <c r="AB195" s="69"/>
      <c r="AC195" s="69"/>
      <c r="AD195" s="69"/>
      <c r="AE195" s="69"/>
      <c r="AF195" s="69"/>
      <c r="AG195" s="69"/>
      <c r="AH195" s="69"/>
      <c r="AI195" s="69"/>
      <c r="AJ195" s="69"/>
      <c r="AK195" s="69"/>
      <c r="AL195" s="69"/>
      <c r="AM195" s="69"/>
      <c r="AN195" s="69"/>
      <c r="AO195" s="69"/>
      <c r="AP195" s="69"/>
      <c r="AQ195" s="69"/>
    </row>
    <row r="196" spans="1:43">
      <c r="A196" s="814"/>
      <c r="B196" s="819"/>
      <c r="C196" s="820"/>
      <c r="D196" s="821"/>
      <c r="E196" s="821"/>
      <c r="F196" s="822"/>
      <c r="G196" s="821"/>
      <c r="H196" s="823"/>
      <c r="I196" s="823"/>
      <c r="J196" s="814"/>
      <c r="K196" s="814"/>
      <c r="L196" s="814"/>
      <c r="M196" s="814"/>
      <c r="N196" s="814"/>
      <c r="O196" s="814"/>
      <c r="P196" s="814"/>
      <c r="Q196" s="814"/>
      <c r="R196" s="814"/>
      <c r="S196" s="814"/>
      <c r="T196" s="814"/>
      <c r="U196" s="814"/>
      <c r="V196" s="814"/>
      <c r="W196" s="814"/>
      <c r="X196" s="814"/>
      <c r="Y196" s="814"/>
      <c r="Z196" s="814"/>
      <c r="AA196" s="814"/>
      <c r="AB196" s="69"/>
      <c r="AC196" s="69"/>
      <c r="AD196" s="69"/>
      <c r="AE196" s="69"/>
      <c r="AF196" s="69"/>
      <c r="AG196" s="69"/>
      <c r="AH196" s="69"/>
      <c r="AI196" s="69"/>
      <c r="AJ196" s="69"/>
      <c r="AK196" s="69"/>
      <c r="AL196" s="69"/>
      <c r="AM196" s="69"/>
      <c r="AN196" s="69"/>
      <c r="AO196" s="69"/>
      <c r="AP196" s="69"/>
      <c r="AQ196" s="69"/>
    </row>
    <row r="197" spans="1:43">
      <c r="A197" s="814"/>
      <c r="B197" s="819"/>
      <c r="C197" s="820"/>
      <c r="D197" s="821"/>
      <c r="E197" s="821"/>
      <c r="F197" s="822"/>
      <c r="G197" s="821"/>
      <c r="H197" s="823"/>
      <c r="I197" s="823"/>
      <c r="J197" s="814"/>
      <c r="K197" s="814"/>
      <c r="L197" s="814"/>
      <c r="M197" s="814"/>
      <c r="N197" s="814"/>
      <c r="O197" s="814"/>
      <c r="P197" s="814"/>
      <c r="Q197" s="814"/>
      <c r="R197" s="814"/>
      <c r="S197" s="814"/>
      <c r="T197" s="814"/>
      <c r="U197" s="814"/>
      <c r="V197" s="814"/>
      <c r="W197" s="814"/>
      <c r="X197" s="814"/>
      <c r="Y197" s="814"/>
      <c r="Z197" s="814"/>
      <c r="AA197" s="814"/>
      <c r="AB197" s="69"/>
      <c r="AC197" s="69"/>
      <c r="AD197" s="69"/>
      <c r="AE197" s="69"/>
      <c r="AF197" s="69"/>
      <c r="AG197" s="69"/>
      <c r="AH197" s="69"/>
      <c r="AI197" s="69"/>
      <c r="AJ197" s="69"/>
      <c r="AK197" s="69"/>
      <c r="AL197" s="69"/>
      <c r="AM197" s="69"/>
      <c r="AN197" s="69"/>
      <c r="AO197" s="69"/>
      <c r="AP197" s="69"/>
      <c r="AQ197" s="69"/>
    </row>
    <row r="198" spans="1:43">
      <c r="A198" s="814"/>
      <c r="B198" s="819"/>
      <c r="C198" s="820"/>
      <c r="D198" s="821"/>
      <c r="E198" s="821"/>
      <c r="F198" s="822"/>
      <c r="G198" s="821"/>
      <c r="H198" s="823"/>
      <c r="I198" s="823"/>
      <c r="J198" s="814"/>
      <c r="K198" s="814"/>
      <c r="L198" s="814"/>
      <c r="M198" s="814"/>
      <c r="N198" s="814"/>
      <c r="O198" s="814"/>
      <c r="P198" s="814"/>
      <c r="Q198" s="814"/>
      <c r="R198" s="814"/>
      <c r="S198" s="814"/>
      <c r="T198" s="814"/>
      <c r="U198" s="814"/>
      <c r="V198" s="814"/>
      <c r="W198" s="814"/>
      <c r="X198" s="814"/>
      <c r="Y198" s="814"/>
      <c r="Z198" s="814"/>
      <c r="AA198" s="814"/>
      <c r="AB198" s="69"/>
      <c r="AC198" s="69"/>
      <c r="AD198" s="69"/>
      <c r="AE198" s="69"/>
      <c r="AF198" s="69"/>
      <c r="AG198" s="69"/>
      <c r="AH198" s="69"/>
      <c r="AI198" s="69"/>
      <c r="AJ198" s="69"/>
      <c r="AK198" s="69"/>
      <c r="AL198" s="69"/>
      <c r="AM198" s="69"/>
      <c r="AN198" s="69"/>
      <c r="AO198" s="69"/>
      <c r="AP198" s="69"/>
      <c r="AQ198" s="69"/>
    </row>
    <row r="199" spans="1:43">
      <c r="A199" s="814"/>
      <c r="B199" s="819"/>
      <c r="C199" s="820"/>
      <c r="D199" s="821"/>
      <c r="E199" s="821"/>
      <c r="F199" s="822"/>
      <c r="G199" s="821"/>
      <c r="H199" s="823"/>
      <c r="I199" s="823"/>
      <c r="J199" s="814"/>
      <c r="K199" s="814"/>
      <c r="L199" s="814"/>
      <c r="M199" s="814"/>
      <c r="N199" s="814"/>
      <c r="O199" s="814"/>
      <c r="P199" s="814"/>
      <c r="Q199" s="814"/>
      <c r="R199" s="814"/>
      <c r="S199" s="814"/>
      <c r="T199" s="814"/>
      <c r="U199" s="814"/>
      <c r="V199" s="814"/>
      <c r="W199" s="814"/>
      <c r="X199" s="814"/>
      <c r="Y199" s="814"/>
      <c r="Z199" s="814"/>
      <c r="AA199" s="814"/>
      <c r="AB199" s="69"/>
      <c r="AC199" s="69"/>
      <c r="AD199" s="69"/>
      <c r="AE199" s="69"/>
      <c r="AF199" s="69"/>
      <c r="AG199" s="69"/>
      <c r="AH199" s="69"/>
      <c r="AI199" s="69"/>
      <c r="AJ199" s="69"/>
      <c r="AK199" s="69"/>
      <c r="AL199" s="69"/>
      <c r="AM199" s="69"/>
      <c r="AN199" s="69"/>
      <c r="AO199" s="69"/>
      <c r="AP199" s="69"/>
      <c r="AQ199" s="69"/>
    </row>
    <row r="200" spans="1:43">
      <c r="A200" s="814"/>
      <c r="B200" s="819"/>
      <c r="C200" s="820"/>
      <c r="D200" s="821"/>
      <c r="E200" s="821"/>
      <c r="F200" s="822"/>
      <c r="G200" s="821"/>
      <c r="H200" s="823"/>
      <c r="I200" s="823"/>
      <c r="J200" s="814"/>
      <c r="K200" s="814"/>
      <c r="L200" s="814"/>
      <c r="M200" s="814"/>
      <c r="N200" s="814"/>
      <c r="O200" s="814"/>
      <c r="P200" s="814"/>
      <c r="Q200" s="814"/>
      <c r="R200" s="814"/>
      <c r="S200" s="814"/>
      <c r="T200" s="814"/>
      <c r="U200" s="814"/>
      <c r="V200" s="814"/>
      <c r="W200" s="814"/>
      <c r="X200" s="814"/>
      <c r="Y200" s="814"/>
      <c r="Z200" s="814"/>
      <c r="AA200" s="814"/>
      <c r="AB200" s="69"/>
      <c r="AC200" s="69"/>
      <c r="AD200" s="69"/>
      <c r="AE200" s="69"/>
      <c r="AF200" s="69"/>
      <c r="AG200" s="69"/>
      <c r="AH200" s="69"/>
      <c r="AI200" s="69"/>
      <c r="AJ200" s="69"/>
      <c r="AK200" s="69"/>
      <c r="AL200" s="69"/>
      <c r="AM200" s="69"/>
      <c r="AN200" s="69"/>
      <c r="AO200" s="69"/>
      <c r="AP200" s="69"/>
      <c r="AQ200" s="69"/>
    </row>
    <row r="201" spans="1:43">
      <c r="A201" s="814"/>
      <c r="B201" s="819"/>
      <c r="C201" s="820"/>
      <c r="D201" s="821"/>
      <c r="E201" s="821"/>
      <c r="F201" s="822"/>
      <c r="G201" s="821"/>
      <c r="H201" s="823"/>
      <c r="I201" s="823"/>
      <c r="J201" s="814"/>
      <c r="K201" s="814"/>
      <c r="L201" s="814"/>
      <c r="M201" s="814"/>
      <c r="N201" s="814"/>
      <c r="O201" s="814"/>
      <c r="P201" s="814"/>
      <c r="Q201" s="814"/>
      <c r="R201" s="814"/>
      <c r="S201" s="814"/>
      <c r="T201" s="814"/>
      <c r="U201" s="814"/>
      <c r="V201" s="814"/>
      <c r="W201" s="814"/>
      <c r="X201" s="814"/>
      <c r="Y201" s="814"/>
      <c r="Z201" s="814"/>
      <c r="AA201" s="814"/>
      <c r="AB201" s="69"/>
      <c r="AC201" s="69"/>
      <c r="AD201" s="69"/>
      <c r="AE201" s="69"/>
      <c r="AF201" s="69"/>
      <c r="AG201" s="69"/>
      <c r="AH201" s="69"/>
      <c r="AI201" s="69"/>
      <c r="AJ201" s="69"/>
      <c r="AK201" s="69"/>
      <c r="AL201" s="69"/>
      <c r="AM201" s="69"/>
      <c r="AN201" s="69"/>
      <c r="AO201" s="69"/>
      <c r="AP201" s="69"/>
      <c r="AQ201" s="69"/>
    </row>
    <row r="202" spans="1:43">
      <c r="A202" s="814"/>
      <c r="B202" s="819"/>
      <c r="C202" s="820"/>
      <c r="D202" s="821"/>
      <c r="E202" s="821"/>
      <c r="F202" s="822"/>
      <c r="G202" s="821"/>
      <c r="H202" s="823"/>
      <c r="I202" s="823"/>
      <c r="J202" s="814"/>
      <c r="K202" s="814"/>
      <c r="L202" s="814"/>
      <c r="M202" s="814"/>
      <c r="N202" s="814"/>
      <c r="O202" s="814"/>
      <c r="P202" s="814"/>
      <c r="Q202" s="814"/>
      <c r="R202" s="814"/>
      <c r="S202" s="814"/>
      <c r="T202" s="814"/>
      <c r="U202" s="814"/>
      <c r="V202" s="814"/>
      <c r="W202" s="814"/>
      <c r="X202" s="814"/>
      <c r="Y202" s="814"/>
      <c r="Z202" s="814"/>
      <c r="AA202" s="814"/>
      <c r="AB202" s="69"/>
      <c r="AC202" s="69"/>
      <c r="AD202" s="69"/>
      <c r="AE202" s="69"/>
      <c r="AF202" s="69"/>
      <c r="AG202" s="69"/>
      <c r="AH202" s="69"/>
      <c r="AI202" s="69"/>
      <c r="AJ202" s="69"/>
      <c r="AK202" s="69"/>
      <c r="AL202" s="69"/>
      <c r="AM202" s="69"/>
      <c r="AN202" s="69"/>
      <c r="AO202" s="69"/>
      <c r="AP202" s="69"/>
      <c r="AQ202" s="69"/>
    </row>
    <row r="203" spans="1:43">
      <c r="A203" s="814"/>
      <c r="B203" s="819"/>
      <c r="C203" s="820"/>
      <c r="D203" s="821"/>
      <c r="E203" s="821"/>
      <c r="F203" s="822"/>
      <c r="G203" s="821"/>
      <c r="H203" s="823"/>
      <c r="I203" s="823"/>
      <c r="J203" s="814"/>
      <c r="K203" s="814"/>
      <c r="L203" s="814"/>
      <c r="M203" s="814"/>
      <c r="N203" s="814"/>
      <c r="O203" s="814"/>
      <c r="P203" s="814"/>
      <c r="Q203" s="814"/>
      <c r="R203" s="814"/>
      <c r="S203" s="814"/>
      <c r="T203" s="814"/>
      <c r="U203" s="814"/>
      <c r="V203" s="814"/>
      <c r="W203" s="814"/>
      <c r="X203" s="814"/>
      <c r="Y203" s="814"/>
      <c r="Z203" s="814"/>
      <c r="AA203" s="814"/>
      <c r="AB203" s="69"/>
      <c r="AC203" s="69"/>
      <c r="AD203" s="69"/>
      <c r="AE203" s="69"/>
      <c r="AF203" s="69"/>
      <c r="AG203" s="69"/>
      <c r="AH203" s="69"/>
      <c r="AI203" s="69"/>
      <c r="AJ203" s="69"/>
      <c r="AK203" s="69"/>
      <c r="AL203" s="69"/>
      <c r="AM203" s="69"/>
      <c r="AN203" s="69"/>
      <c r="AO203" s="69"/>
      <c r="AP203" s="69"/>
      <c r="AQ203" s="69"/>
    </row>
    <row r="204" spans="1:43">
      <c r="A204" s="814"/>
      <c r="B204" s="819"/>
      <c r="C204" s="820"/>
      <c r="D204" s="821"/>
      <c r="E204" s="821"/>
      <c r="F204" s="822"/>
      <c r="G204" s="821"/>
      <c r="H204" s="823"/>
      <c r="I204" s="823"/>
      <c r="J204" s="814"/>
      <c r="K204" s="814"/>
      <c r="L204" s="814"/>
      <c r="M204" s="814"/>
      <c r="N204" s="814"/>
      <c r="O204" s="814"/>
      <c r="P204" s="814"/>
      <c r="Q204" s="814"/>
      <c r="R204" s="814"/>
      <c r="S204" s="814"/>
      <c r="T204" s="814"/>
      <c r="U204" s="814"/>
      <c r="V204" s="814"/>
      <c r="W204" s="814"/>
      <c r="X204" s="814"/>
      <c r="Y204" s="814"/>
      <c r="Z204" s="814"/>
      <c r="AA204" s="814"/>
      <c r="AB204" s="69"/>
      <c r="AC204" s="69"/>
      <c r="AD204" s="69"/>
      <c r="AE204" s="69"/>
      <c r="AF204" s="69"/>
      <c r="AG204" s="69"/>
      <c r="AH204" s="69"/>
      <c r="AI204" s="69"/>
      <c r="AJ204" s="69"/>
      <c r="AK204" s="69"/>
      <c r="AL204" s="69"/>
      <c r="AM204" s="69"/>
      <c r="AN204" s="69"/>
      <c r="AO204" s="69"/>
      <c r="AP204" s="69"/>
      <c r="AQ204" s="69"/>
    </row>
    <row r="205" spans="1:43">
      <c r="A205" s="814"/>
      <c r="B205" s="819"/>
      <c r="C205" s="820"/>
      <c r="D205" s="821"/>
      <c r="E205" s="821"/>
      <c r="F205" s="822"/>
      <c r="G205" s="821"/>
      <c r="H205" s="823"/>
      <c r="I205" s="823"/>
      <c r="J205" s="814"/>
      <c r="K205" s="814"/>
      <c r="L205" s="814"/>
      <c r="M205" s="814"/>
      <c r="N205" s="814"/>
      <c r="O205" s="814"/>
      <c r="P205" s="814"/>
      <c r="Q205" s="814"/>
      <c r="R205" s="814"/>
      <c r="S205" s="814"/>
      <c r="T205" s="814"/>
      <c r="U205" s="814"/>
      <c r="V205" s="814"/>
      <c r="W205" s="814"/>
      <c r="X205" s="814"/>
      <c r="Y205" s="814"/>
      <c r="Z205" s="814"/>
      <c r="AA205" s="814"/>
      <c r="AB205" s="69"/>
      <c r="AC205" s="69"/>
      <c r="AD205" s="69"/>
      <c r="AE205" s="69"/>
      <c r="AF205" s="69"/>
      <c r="AG205" s="69"/>
      <c r="AH205" s="69"/>
      <c r="AI205" s="69"/>
      <c r="AJ205" s="69"/>
      <c r="AK205" s="69"/>
      <c r="AL205" s="69"/>
      <c r="AM205" s="69"/>
      <c r="AN205" s="69"/>
      <c r="AO205" s="69"/>
      <c r="AP205" s="69"/>
      <c r="AQ205" s="69"/>
    </row>
    <row r="206" spans="1:43">
      <c r="A206" s="814"/>
      <c r="B206" s="819"/>
      <c r="C206" s="820"/>
      <c r="D206" s="821"/>
      <c r="E206" s="821"/>
      <c r="F206" s="822"/>
      <c r="G206" s="821"/>
      <c r="H206" s="823"/>
      <c r="I206" s="823"/>
      <c r="J206" s="814"/>
      <c r="K206" s="814"/>
      <c r="L206" s="814"/>
      <c r="M206" s="814"/>
      <c r="N206" s="814"/>
      <c r="O206" s="814"/>
      <c r="P206" s="814"/>
      <c r="Q206" s="814"/>
      <c r="R206" s="814"/>
      <c r="S206" s="814"/>
      <c r="T206" s="814"/>
      <c r="U206" s="814"/>
      <c r="V206" s="814"/>
      <c r="W206" s="814"/>
      <c r="X206" s="814"/>
      <c r="Y206" s="814"/>
      <c r="Z206" s="814"/>
      <c r="AA206" s="814"/>
      <c r="AB206" s="69"/>
      <c r="AC206" s="69"/>
      <c r="AD206" s="69"/>
      <c r="AE206" s="69"/>
      <c r="AF206" s="69"/>
      <c r="AG206" s="69"/>
      <c r="AH206" s="69"/>
      <c r="AI206" s="69"/>
      <c r="AJ206" s="69"/>
      <c r="AK206" s="69"/>
      <c r="AL206" s="69"/>
      <c r="AM206" s="69"/>
      <c r="AN206" s="69"/>
      <c r="AO206" s="69"/>
      <c r="AP206" s="69"/>
      <c r="AQ206" s="69"/>
    </row>
    <row r="207" spans="1:43">
      <c r="A207" s="814"/>
      <c r="B207" s="819"/>
      <c r="C207" s="820"/>
      <c r="D207" s="821"/>
      <c r="E207" s="821"/>
      <c r="F207" s="822"/>
      <c r="G207" s="821"/>
      <c r="H207" s="823"/>
      <c r="I207" s="823"/>
      <c r="J207" s="814"/>
      <c r="K207" s="814"/>
      <c r="L207" s="814"/>
      <c r="M207" s="814"/>
      <c r="N207" s="814"/>
      <c r="O207" s="814"/>
      <c r="P207" s="814"/>
      <c r="Q207" s="814"/>
      <c r="R207" s="814"/>
      <c r="S207" s="814"/>
      <c r="T207" s="814"/>
      <c r="U207" s="814"/>
      <c r="V207" s="814"/>
      <c r="W207" s="814"/>
      <c r="X207" s="814"/>
      <c r="Y207" s="814"/>
      <c r="Z207" s="814"/>
      <c r="AA207" s="814"/>
      <c r="AB207" s="69"/>
      <c r="AC207" s="69"/>
      <c r="AD207" s="69"/>
      <c r="AE207" s="69"/>
      <c r="AF207" s="69"/>
      <c r="AG207" s="69"/>
      <c r="AH207" s="69"/>
      <c r="AI207" s="69"/>
      <c r="AJ207" s="69"/>
      <c r="AK207" s="69"/>
      <c r="AL207" s="69"/>
      <c r="AM207" s="69"/>
      <c r="AN207" s="69"/>
      <c r="AO207" s="69"/>
      <c r="AP207" s="69"/>
      <c r="AQ207" s="69"/>
    </row>
    <row r="208" spans="1:43">
      <c r="A208" s="814"/>
      <c r="B208" s="819"/>
      <c r="C208" s="820"/>
      <c r="D208" s="821"/>
      <c r="E208" s="821"/>
      <c r="F208" s="822"/>
      <c r="G208" s="821"/>
      <c r="H208" s="823"/>
      <c r="I208" s="823"/>
      <c r="J208" s="814"/>
      <c r="K208" s="814"/>
      <c r="L208" s="814"/>
      <c r="M208" s="814"/>
      <c r="N208" s="814"/>
      <c r="O208" s="814"/>
      <c r="P208" s="814"/>
      <c r="Q208" s="814"/>
      <c r="R208" s="814"/>
      <c r="S208" s="814"/>
      <c r="T208" s="814"/>
      <c r="U208" s="814"/>
      <c r="V208" s="814"/>
      <c r="W208" s="814"/>
      <c r="X208" s="814"/>
      <c r="Y208" s="814"/>
      <c r="Z208" s="814"/>
      <c r="AA208" s="814"/>
      <c r="AB208" s="69"/>
      <c r="AC208" s="69"/>
      <c r="AD208" s="69"/>
      <c r="AE208" s="69"/>
      <c r="AF208" s="69"/>
      <c r="AG208" s="69"/>
      <c r="AH208" s="69"/>
      <c r="AI208" s="69"/>
      <c r="AJ208" s="69"/>
      <c r="AK208" s="69"/>
      <c r="AL208" s="69"/>
      <c r="AM208" s="69"/>
      <c r="AN208" s="69"/>
      <c r="AO208" s="69"/>
      <c r="AP208" s="69"/>
      <c r="AQ208" s="69"/>
    </row>
    <row r="209" spans="1:43">
      <c r="A209" s="814"/>
      <c r="B209" s="819"/>
      <c r="C209" s="820"/>
      <c r="D209" s="821"/>
      <c r="E209" s="821"/>
      <c r="F209" s="822"/>
      <c r="G209" s="821"/>
      <c r="H209" s="823"/>
      <c r="I209" s="823"/>
      <c r="J209" s="814"/>
      <c r="K209" s="814"/>
      <c r="L209" s="814"/>
      <c r="M209" s="814"/>
      <c r="N209" s="814"/>
      <c r="O209" s="814"/>
      <c r="P209" s="814"/>
      <c r="Q209" s="814"/>
      <c r="R209" s="814"/>
      <c r="S209" s="814"/>
      <c r="T209" s="814"/>
      <c r="U209" s="814"/>
      <c r="V209" s="814"/>
      <c r="W209" s="814"/>
      <c r="X209" s="814"/>
      <c r="Y209" s="814"/>
      <c r="Z209" s="814"/>
      <c r="AA209" s="814"/>
      <c r="AB209" s="69"/>
      <c r="AC209" s="69"/>
      <c r="AD209" s="69"/>
      <c r="AE209" s="69"/>
      <c r="AF209" s="69"/>
      <c r="AG209" s="69"/>
      <c r="AH209" s="69"/>
      <c r="AI209" s="69"/>
      <c r="AJ209" s="69"/>
      <c r="AK209" s="69"/>
      <c r="AL209" s="69"/>
      <c r="AM209" s="69"/>
      <c r="AN209" s="69"/>
      <c r="AO209" s="69"/>
      <c r="AP209" s="69"/>
      <c r="AQ209" s="69"/>
    </row>
    <row r="210" spans="1:43">
      <c r="A210" s="814"/>
      <c r="B210" s="819"/>
      <c r="C210" s="820"/>
      <c r="D210" s="821"/>
      <c r="E210" s="821"/>
      <c r="F210" s="822"/>
      <c r="G210" s="821"/>
      <c r="H210" s="823"/>
      <c r="I210" s="823"/>
      <c r="J210" s="814"/>
      <c r="K210" s="814"/>
      <c r="L210" s="814"/>
      <c r="M210" s="814"/>
      <c r="N210" s="814"/>
      <c r="O210" s="814"/>
      <c r="P210" s="814"/>
      <c r="Q210" s="814"/>
      <c r="R210" s="814"/>
      <c r="S210" s="814"/>
      <c r="T210" s="814"/>
      <c r="U210" s="814"/>
      <c r="V210" s="814"/>
      <c r="W210" s="814"/>
      <c r="X210" s="814"/>
      <c r="Y210" s="814"/>
      <c r="Z210" s="814"/>
      <c r="AA210" s="814"/>
      <c r="AB210" s="69"/>
      <c r="AC210" s="69"/>
      <c r="AD210" s="69"/>
      <c r="AE210" s="69"/>
      <c r="AF210" s="69"/>
      <c r="AG210" s="69"/>
      <c r="AH210" s="69"/>
      <c r="AI210" s="69"/>
      <c r="AJ210" s="69"/>
      <c r="AK210" s="69"/>
      <c r="AL210" s="69"/>
      <c r="AM210" s="69"/>
      <c r="AN210" s="69"/>
      <c r="AO210" s="69"/>
      <c r="AP210" s="69"/>
      <c r="AQ210" s="69"/>
    </row>
    <row r="211" spans="1:43">
      <c r="A211" s="814"/>
      <c r="B211" s="819"/>
      <c r="C211" s="820"/>
      <c r="D211" s="821"/>
      <c r="E211" s="821"/>
      <c r="F211" s="822"/>
      <c r="G211" s="821"/>
      <c r="H211" s="823"/>
      <c r="I211" s="823"/>
      <c r="J211" s="814"/>
      <c r="K211" s="814"/>
      <c r="L211" s="814"/>
      <c r="M211" s="814"/>
      <c r="N211" s="814"/>
      <c r="O211" s="814"/>
      <c r="P211" s="814"/>
      <c r="Q211" s="814"/>
      <c r="R211" s="814"/>
      <c r="S211" s="814"/>
      <c r="T211" s="814"/>
      <c r="U211" s="814"/>
      <c r="V211" s="814"/>
      <c r="W211" s="814"/>
      <c r="X211" s="814"/>
      <c r="Y211" s="814"/>
      <c r="Z211" s="814"/>
      <c r="AA211" s="814"/>
      <c r="AB211" s="69"/>
      <c r="AC211" s="69"/>
      <c r="AD211" s="69"/>
      <c r="AE211" s="69"/>
      <c r="AF211" s="69"/>
      <c r="AG211" s="69"/>
      <c r="AH211" s="69"/>
      <c r="AI211" s="69"/>
      <c r="AJ211" s="69"/>
      <c r="AK211" s="69"/>
      <c r="AL211" s="69"/>
      <c r="AM211" s="69"/>
      <c r="AN211" s="69"/>
      <c r="AO211" s="69"/>
      <c r="AP211" s="69"/>
      <c r="AQ211" s="69"/>
    </row>
    <row r="212" spans="1:43">
      <c r="A212" s="814"/>
      <c r="B212" s="819"/>
      <c r="C212" s="820"/>
      <c r="D212" s="821"/>
      <c r="E212" s="821"/>
      <c r="F212" s="822"/>
      <c r="G212" s="821"/>
      <c r="H212" s="823"/>
      <c r="I212" s="823"/>
      <c r="J212" s="814"/>
      <c r="K212" s="814"/>
      <c r="L212" s="814"/>
      <c r="M212" s="814"/>
      <c r="N212" s="814"/>
      <c r="O212" s="814"/>
      <c r="P212" s="814"/>
      <c r="Q212" s="814"/>
      <c r="R212" s="814"/>
      <c r="S212" s="814"/>
      <c r="T212" s="814"/>
      <c r="U212" s="814"/>
      <c r="V212" s="814"/>
      <c r="W212" s="814"/>
      <c r="X212" s="814"/>
      <c r="Y212" s="814"/>
      <c r="Z212" s="814"/>
      <c r="AA212" s="814"/>
      <c r="AB212" s="69"/>
      <c r="AC212" s="69"/>
      <c r="AD212" s="69"/>
      <c r="AE212" s="69"/>
      <c r="AF212" s="69"/>
      <c r="AG212" s="69"/>
      <c r="AH212" s="69"/>
      <c r="AI212" s="69"/>
      <c r="AJ212" s="69"/>
      <c r="AK212" s="69"/>
      <c r="AL212" s="69"/>
      <c r="AM212" s="69"/>
      <c r="AN212" s="69"/>
      <c r="AO212" s="69"/>
      <c r="AP212" s="69"/>
      <c r="AQ212" s="69"/>
    </row>
    <row r="213" spans="1:43">
      <c r="A213" s="814"/>
      <c r="B213" s="819"/>
      <c r="C213" s="820"/>
      <c r="D213" s="821"/>
      <c r="E213" s="821"/>
      <c r="F213" s="822"/>
      <c r="G213" s="821"/>
      <c r="H213" s="823"/>
      <c r="I213" s="823"/>
      <c r="J213" s="814"/>
      <c r="K213" s="814"/>
      <c r="L213" s="814"/>
      <c r="M213" s="814"/>
      <c r="N213" s="814"/>
      <c r="O213" s="814"/>
      <c r="P213" s="814"/>
      <c r="Q213" s="814"/>
      <c r="R213" s="814"/>
      <c r="S213" s="814"/>
      <c r="T213" s="814"/>
      <c r="U213" s="814"/>
      <c r="V213" s="814"/>
      <c r="W213" s="814"/>
      <c r="X213" s="814"/>
      <c r="Y213" s="814"/>
      <c r="Z213" s="814"/>
      <c r="AA213" s="814"/>
      <c r="AB213" s="69"/>
      <c r="AC213" s="69"/>
      <c r="AD213" s="69"/>
      <c r="AE213" s="69"/>
      <c r="AF213" s="69"/>
      <c r="AG213" s="69"/>
      <c r="AH213" s="69"/>
      <c r="AI213" s="69"/>
      <c r="AJ213" s="69"/>
      <c r="AK213" s="69"/>
      <c r="AL213" s="69"/>
      <c r="AM213" s="69"/>
      <c r="AN213" s="69"/>
      <c r="AO213" s="69"/>
      <c r="AP213" s="69"/>
      <c r="AQ213" s="69"/>
    </row>
    <row r="214" spans="1:43">
      <c r="A214" s="814"/>
      <c r="B214" s="819"/>
      <c r="C214" s="820"/>
      <c r="D214" s="821"/>
      <c r="E214" s="821"/>
      <c r="F214" s="822"/>
      <c r="G214" s="821"/>
      <c r="H214" s="823"/>
      <c r="I214" s="823"/>
      <c r="J214" s="814"/>
      <c r="K214" s="814"/>
      <c r="L214" s="814"/>
      <c r="M214" s="814"/>
      <c r="N214" s="814"/>
      <c r="O214" s="814"/>
      <c r="P214" s="814"/>
      <c r="Q214" s="814"/>
      <c r="R214" s="814"/>
      <c r="S214" s="814"/>
      <c r="T214" s="814"/>
      <c r="U214" s="814"/>
      <c r="V214" s="814"/>
      <c r="W214" s="814"/>
      <c r="X214" s="814"/>
      <c r="Y214" s="814"/>
      <c r="Z214" s="814"/>
      <c r="AA214" s="814"/>
      <c r="AB214" s="69"/>
      <c r="AC214" s="69"/>
      <c r="AD214" s="69"/>
      <c r="AE214" s="69"/>
      <c r="AF214" s="69"/>
      <c r="AG214" s="69"/>
      <c r="AH214" s="69"/>
      <c r="AI214" s="69"/>
      <c r="AJ214" s="69"/>
      <c r="AK214" s="69"/>
      <c r="AL214" s="69"/>
      <c r="AM214" s="69"/>
      <c r="AN214" s="69"/>
      <c r="AO214" s="69"/>
      <c r="AP214" s="69"/>
      <c r="AQ214" s="69"/>
    </row>
    <row r="215" spans="1:43">
      <c r="A215" s="814"/>
      <c r="B215" s="819"/>
      <c r="C215" s="820"/>
      <c r="D215" s="821"/>
      <c r="E215" s="821"/>
      <c r="F215" s="822"/>
      <c r="G215" s="821"/>
      <c r="H215" s="823"/>
      <c r="I215" s="823"/>
      <c r="J215" s="814"/>
      <c r="K215" s="814"/>
      <c r="L215" s="814"/>
      <c r="M215" s="814"/>
      <c r="N215" s="814"/>
      <c r="O215" s="814"/>
      <c r="P215" s="814"/>
      <c r="Q215" s="814"/>
      <c r="R215" s="814"/>
      <c r="S215" s="814"/>
      <c r="T215" s="814"/>
      <c r="U215" s="814"/>
      <c r="V215" s="814"/>
      <c r="W215" s="814"/>
      <c r="X215" s="814"/>
      <c r="Y215" s="814"/>
      <c r="Z215" s="814"/>
      <c r="AA215" s="814"/>
      <c r="AB215" s="69"/>
      <c r="AC215" s="69"/>
      <c r="AD215" s="69"/>
      <c r="AE215" s="69"/>
      <c r="AF215" s="69"/>
      <c r="AG215" s="69"/>
      <c r="AH215" s="69"/>
      <c r="AI215" s="69"/>
      <c r="AJ215" s="69"/>
      <c r="AK215" s="69"/>
      <c r="AL215" s="69"/>
      <c r="AM215" s="69"/>
      <c r="AN215" s="69"/>
      <c r="AO215" s="69"/>
      <c r="AP215" s="69"/>
      <c r="AQ215" s="69"/>
    </row>
    <row r="216" spans="1:43">
      <c r="A216" s="814"/>
      <c r="B216" s="819"/>
      <c r="C216" s="820"/>
      <c r="D216" s="821"/>
      <c r="E216" s="821"/>
      <c r="F216" s="822"/>
      <c r="G216" s="821"/>
      <c r="H216" s="823"/>
      <c r="I216" s="823"/>
      <c r="J216" s="814"/>
      <c r="K216" s="814"/>
      <c r="L216" s="814"/>
      <c r="M216" s="814"/>
      <c r="N216" s="814"/>
      <c r="O216" s="814"/>
      <c r="P216" s="814"/>
      <c r="Q216" s="814"/>
      <c r="R216" s="814"/>
      <c r="S216" s="814"/>
      <c r="T216" s="814"/>
      <c r="U216" s="814"/>
      <c r="V216" s="814"/>
      <c r="W216" s="814"/>
      <c r="X216" s="814"/>
      <c r="Y216" s="814"/>
      <c r="Z216" s="814"/>
      <c r="AA216" s="814"/>
      <c r="AB216" s="69"/>
      <c r="AC216" s="69"/>
      <c r="AD216" s="69"/>
      <c r="AE216" s="69"/>
      <c r="AF216" s="69"/>
      <c r="AG216" s="69"/>
      <c r="AH216" s="69"/>
      <c r="AI216" s="69"/>
      <c r="AJ216" s="69"/>
      <c r="AK216" s="69"/>
      <c r="AL216" s="69"/>
      <c r="AM216" s="69"/>
      <c r="AN216" s="69"/>
      <c r="AO216" s="69"/>
      <c r="AP216" s="69"/>
      <c r="AQ216" s="69"/>
    </row>
    <row r="217" spans="1:43">
      <c r="A217" s="814"/>
      <c r="B217" s="819"/>
      <c r="C217" s="820"/>
      <c r="D217" s="821"/>
      <c r="E217" s="821"/>
      <c r="F217" s="822"/>
      <c r="G217" s="821"/>
      <c r="H217" s="823"/>
      <c r="I217" s="823"/>
      <c r="J217" s="814"/>
      <c r="K217" s="814"/>
      <c r="L217" s="814"/>
      <c r="M217" s="814"/>
      <c r="N217" s="814"/>
      <c r="O217" s="814"/>
      <c r="P217" s="814"/>
      <c r="Q217" s="814"/>
      <c r="R217" s="814"/>
      <c r="S217" s="814"/>
      <c r="T217" s="814"/>
      <c r="U217" s="814"/>
      <c r="V217" s="814"/>
      <c r="W217" s="814"/>
      <c r="X217" s="814"/>
      <c r="Y217" s="814"/>
      <c r="Z217" s="814"/>
      <c r="AA217" s="814"/>
      <c r="AB217" s="69"/>
      <c r="AC217" s="69"/>
      <c r="AD217" s="69"/>
      <c r="AE217" s="69"/>
      <c r="AF217" s="69"/>
      <c r="AG217" s="69"/>
      <c r="AH217" s="69"/>
      <c r="AI217" s="69"/>
      <c r="AJ217" s="69"/>
      <c r="AK217" s="69"/>
      <c r="AL217" s="69"/>
      <c r="AM217" s="69"/>
      <c r="AN217" s="69"/>
      <c r="AO217" s="69"/>
      <c r="AP217" s="69"/>
      <c r="AQ217" s="69"/>
    </row>
    <row r="218" spans="1:43">
      <c r="A218" s="814"/>
      <c r="B218" s="819"/>
      <c r="C218" s="820"/>
      <c r="D218" s="821"/>
      <c r="E218" s="821"/>
      <c r="F218" s="822"/>
      <c r="G218" s="821"/>
      <c r="H218" s="823"/>
      <c r="I218" s="823"/>
      <c r="J218" s="814"/>
      <c r="K218" s="814"/>
      <c r="L218" s="814"/>
      <c r="M218" s="814"/>
      <c r="N218" s="814"/>
      <c r="O218" s="814"/>
      <c r="P218" s="814"/>
      <c r="Q218" s="814"/>
      <c r="R218" s="814"/>
      <c r="S218" s="814"/>
      <c r="T218" s="814"/>
      <c r="U218" s="814"/>
      <c r="V218" s="814"/>
      <c r="W218" s="814"/>
      <c r="X218" s="814"/>
      <c r="Y218" s="814"/>
      <c r="Z218" s="814"/>
      <c r="AA218" s="814"/>
      <c r="AB218" s="69"/>
      <c r="AC218" s="69"/>
      <c r="AD218" s="69"/>
      <c r="AE218" s="69"/>
      <c r="AF218" s="69"/>
      <c r="AG218" s="69"/>
      <c r="AH218" s="69"/>
      <c r="AI218" s="69"/>
      <c r="AJ218" s="69"/>
      <c r="AK218" s="69"/>
      <c r="AL218" s="69"/>
      <c r="AM218" s="69"/>
      <c r="AN218" s="69"/>
      <c r="AO218" s="69"/>
      <c r="AP218" s="69"/>
      <c r="AQ218" s="69"/>
    </row>
    <row r="219" spans="1:43">
      <c r="A219" s="814"/>
      <c r="B219" s="819"/>
      <c r="C219" s="820"/>
      <c r="D219" s="821"/>
      <c r="E219" s="821"/>
      <c r="F219" s="822"/>
      <c r="G219" s="821"/>
      <c r="H219" s="823"/>
      <c r="I219" s="823"/>
      <c r="J219" s="814"/>
      <c r="K219" s="814"/>
      <c r="L219" s="814"/>
      <c r="M219" s="814"/>
      <c r="N219" s="814"/>
      <c r="O219" s="814"/>
      <c r="P219" s="814"/>
      <c r="Q219" s="814"/>
      <c r="R219" s="814"/>
      <c r="S219" s="814"/>
      <c r="T219" s="814"/>
      <c r="U219" s="814"/>
      <c r="V219" s="814"/>
      <c r="W219" s="814"/>
      <c r="X219" s="814"/>
      <c r="Y219" s="814"/>
      <c r="Z219" s="814"/>
      <c r="AA219" s="814"/>
      <c r="AB219" s="69"/>
      <c r="AC219" s="69"/>
      <c r="AD219" s="69"/>
      <c r="AE219" s="69"/>
      <c r="AF219" s="69"/>
      <c r="AG219" s="69"/>
      <c r="AH219" s="69"/>
      <c r="AI219" s="69"/>
      <c r="AJ219" s="69"/>
      <c r="AK219" s="69"/>
      <c r="AL219" s="69"/>
      <c r="AM219" s="69"/>
      <c r="AN219" s="69"/>
      <c r="AO219" s="69"/>
      <c r="AP219" s="69"/>
      <c r="AQ219" s="69"/>
    </row>
    <row r="220" spans="1:43">
      <c r="A220" s="814"/>
      <c r="B220" s="819"/>
      <c r="C220" s="820"/>
      <c r="D220" s="821"/>
      <c r="E220" s="821"/>
      <c r="F220" s="822"/>
      <c r="G220" s="821"/>
      <c r="H220" s="823"/>
      <c r="I220" s="823"/>
      <c r="J220" s="814"/>
      <c r="K220" s="814"/>
      <c r="L220" s="814"/>
      <c r="M220" s="814"/>
      <c r="N220" s="814"/>
      <c r="O220" s="814"/>
      <c r="P220" s="814"/>
      <c r="Q220" s="814"/>
      <c r="R220" s="814"/>
      <c r="S220" s="814"/>
      <c r="T220" s="814"/>
      <c r="U220" s="814"/>
      <c r="V220" s="814"/>
      <c r="W220" s="814"/>
      <c r="X220" s="814"/>
      <c r="Y220" s="814"/>
      <c r="Z220" s="814"/>
      <c r="AA220" s="814"/>
      <c r="AB220" s="69"/>
      <c r="AC220" s="69"/>
      <c r="AD220" s="69"/>
      <c r="AE220" s="69"/>
      <c r="AF220" s="69"/>
      <c r="AG220" s="69"/>
      <c r="AH220" s="69"/>
      <c r="AI220" s="69"/>
      <c r="AJ220" s="69"/>
      <c r="AK220" s="69"/>
      <c r="AL220" s="69"/>
      <c r="AM220" s="69"/>
      <c r="AN220" s="69"/>
      <c r="AO220" s="69"/>
      <c r="AP220" s="69"/>
      <c r="AQ220" s="69"/>
    </row>
    <row r="221" spans="1:43">
      <c r="A221" s="814"/>
      <c r="B221" s="819"/>
      <c r="C221" s="820"/>
      <c r="D221" s="821"/>
      <c r="E221" s="821"/>
      <c r="F221" s="822"/>
      <c r="G221" s="821"/>
      <c r="H221" s="823"/>
      <c r="I221" s="823"/>
      <c r="J221" s="814"/>
      <c r="K221" s="814"/>
      <c r="L221" s="814"/>
      <c r="M221" s="814"/>
      <c r="N221" s="814"/>
      <c r="O221" s="814"/>
      <c r="P221" s="814"/>
      <c r="Q221" s="814"/>
      <c r="R221" s="814"/>
      <c r="S221" s="814"/>
      <c r="T221" s="814"/>
      <c r="U221" s="814"/>
      <c r="V221" s="814"/>
      <c r="W221" s="814"/>
      <c r="X221" s="814"/>
      <c r="Y221" s="814"/>
      <c r="Z221" s="814"/>
      <c r="AA221" s="814"/>
      <c r="AB221" s="69"/>
      <c r="AC221" s="69"/>
      <c r="AD221" s="69"/>
      <c r="AE221" s="69"/>
      <c r="AF221" s="69"/>
      <c r="AG221" s="69"/>
      <c r="AH221" s="69"/>
      <c r="AI221" s="69"/>
      <c r="AJ221" s="69"/>
      <c r="AK221" s="69"/>
      <c r="AL221" s="69"/>
      <c r="AM221" s="69"/>
      <c r="AN221" s="69"/>
      <c r="AO221" s="69"/>
      <c r="AP221" s="69"/>
      <c r="AQ221" s="69"/>
    </row>
    <row r="222" spans="1:43">
      <c r="A222" s="814"/>
      <c r="B222" s="819"/>
      <c r="C222" s="820"/>
      <c r="D222" s="821"/>
      <c r="E222" s="821"/>
      <c r="F222" s="822"/>
      <c r="G222" s="821"/>
      <c r="H222" s="823"/>
      <c r="I222" s="823"/>
      <c r="J222" s="814"/>
      <c r="K222" s="814"/>
      <c r="L222" s="814"/>
      <c r="M222" s="814"/>
      <c r="N222" s="814"/>
      <c r="O222" s="814"/>
      <c r="P222" s="814"/>
      <c r="Q222" s="814"/>
      <c r="R222" s="814"/>
      <c r="S222" s="814"/>
      <c r="T222" s="814"/>
      <c r="U222" s="814"/>
      <c r="V222" s="814"/>
      <c r="W222" s="814"/>
      <c r="X222" s="814"/>
      <c r="Y222" s="814"/>
      <c r="Z222" s="814"/>
      <c r="AA222" s="814"/>
      <c r="AB222" s="69"/>
      <c r="AC222" s="69"/>
      <c r="AD222" s="69"/>
      <c r="AE222" s="69"/>
      <c r="AF222" s="69"/>
      <c r="AG222" s="69"/>
      <c r="AH222" s="69"/>
      <c r="AI222" s="69"/>
      <c r="AJ222" s="69"/>
      <c r="AK222" s="69"/>
      <c r="AL222" s="69"/>
      <c r="AM222" s="69"/>
      <c r="AN222" s="69"/>
      <c r="AO222" s="69"/>
      <c r="AP222" s="69"/>
      <c r="AQ222" s="69"/>
    </row>
    <row r="223" spans="1:43">
      <c r="A223" s="814"/>
      <c r="B223" s="819"/>
      <c r="C223" s="820"/>
      <c r="D223" s="821"/>
      <c r="E223" s="821"/>
      <c r="F223" s="822"/>
      <c r="G223" s="821"/>
      <c r="H223" s="823"/>
      <c r="I223" s="823"/>
      <c r="J223" s="814"/>
      <c r="K223" s="814"/>
      <c r="L223" s="814"/>
      <c r="M223" s="814"/>
      <c r="N223" s="814"/>
      <c r="O223" s="814"/>
      <c r="P223" s="814"/>
      <c r="Q223" s="814"/>
      <c r="R223" s="814"/>
      <c r="S223" s="814"/>
      <c r="T223" s="814"/>
      <c r="U223" s="814"/>
      <c r="V223" s="814"/>
      <c r="W223" s="814"/>
      <c r="X223" s="814"/>
      <c r="Y223" s="814"/>
      <c r="Z223" s="814"/>
      <c r="AA223" s="814"/>
      <c r="AB223" s="69"/>
      <c r="AC223" s="69"/>
      <c r="AD223" s="69"/>
      <c r="AE223" s="69"/>
      <c r="AF223" s="69"/>
      <c r="AG223" s="69"/>
      <c r="AH223" s="69"/>
      <c r="AI223" s="69"/>
      <c r="AJ223" s="69"/>
      <c r="AK223" s="69"/>
      <c r="AL223" s="69"/>
      <c r="AM223" s="69"/>
      <c r="AN223" s="69"/>
      <c r="AO223" s="69"/>
      <c r="AP223" s="69"/>
      <c r="AQ223" s="69"/>
    </row>
    <row r="224" spans="1:43">
      <c r="A224" s="814"/>
      <c r="B224" s="819"/>
      <c r="C224" s="820"/>
      <c r="D224" s="821"/>
      <c r="E224" s="821"/>
      <c r="F224" s="822"/>
      <c r="G224" s="821"/>
      <c r="H224" s="823"/>
      <c r="I224" s="823"/>
      <c r="J224" s="814"/>
      <c r="K224" s="814"/>
      <c r="L224" s="814"/>
      <c r="M224" s="814"/>
      <c r="N224" s="814"/>
      <c r="O224" s="814"/>
      <c r="P224" s="814"/>
      <c r="Q224" s="814"/>
      <c r="R224" s="814"/>
      <c r="S224" s="814"/>
      <c r="T224" s="814"/>
      <c r="U224" s="814"/>
      <c r="V224" s="814"/>
      <c r="W224" s="814"/>
      <c r="X224" s="814"/>
      <c r="Y224" s="814"/>
      <c r="Z224" s="814"/>
      <c r="AA224" s="814"/>
      <c r="AB224" s="69"/>
      <c r="AC224" s="69"/>
      <c r="AD224" s="69"/>
      <c r="AE224" s="69"/>
      <c r="AF224" s="69"/>
      <c r="AG224" s="69"/>
      <c r="AH224" s="69"/>
      <c r="AI224" s="69"/>
      <c r="AJ224" s="69"/>
      <c r="AK224" s="69"/>
      <c r="AL224" s="69"/>
      <c r="AM224" s="69"/>
      <c r="AN224" s="69"/>
      <c r="AO224" s="69"/>
      <c r="AP224" s="69"/>
      <c r="AQ224" s="69"/>
    </row>
    <row r="225" spans="1:43">
      <c r="A225" s="814"/>
      <c r="B225" s="819"/>
      <c r="C225" s="820"/>
      <c r="D225" s="821"/>
      <c r="E225" s="821"/>
      <c r="F225" s="822"/>
      <c r="G225" s="821"/>
      <c r="H225" s="823"/>
      <c r="I225" s="823"/>
      <c r="J225" s="814"/>
      <c r="K225" s="814"/>
      <c r="L225" s="814"/>
      <c r="M225" s="814"/>
      <c r="N225" s="814"/>
      <c r="O225" s="814"/>
      <c r="P225" s="814"/>
      <c r="Q225" s="814"/>
      <c r="R225" s="814"/>
      <c r="S225" s="814"/>
      <c r="T225" s="814"/>
      <c r="U225" s="814"/>
      <c r="V225" s="814"/>
      <c r="W225" s="814"/>
      <c r="X225" s="814"/>
      <c r="Y225" s="814"/>
      <c r="Z225" s="814"/>
      <c r="AA225" s="814"/>
      <c r="AB225" s="69"/>
      <c r="AC225" s="69"/>
      <c r="AD225" s="69"/>
      <c r="AE225" s="69"/>
      <c r="AF225" s="69"/>
      <c r="AG225" s="69"/>
      <c r="AH225" s="69"/>
      <c r="AI225" s="69"/>
      <c r="AJ225" s="69"/>
      <c r="AK225" s="69"/>
      <c r="AL225" s="69"/>
      <c r="AM225" s="69"/>
      <c r="AN225" s="69"/>
      <c r="AO225" s="69"/>
      <c r="AP225" s="69"/>
      <c r="AQ225" s="69"/>
    </row>
    <row r="226" spans="1:43">
      <c r="A226" s="814"/>
      <c r="B226" s="819"/>
      <c r="C226" s="820"/>
      <c r="D226" s="821"/>
      <c r="E226" s="821"/>
      <c r="F226" s="822"/>
      <c r="G226" s="821"/>
      <c r="H226" s="823"/>
      <c r="I226" s="823"/>
      <c r="J226" s="814"/>
      <c r="K226" s="814"/>
      <c r="L226" s="814"/>
      <c r="M226" s="814"/>
      <c r="N226" s="814"/>
      <c r="O226" s="814"/>
      <c r="P226" s="814"/>
      <c r="Q226" s="814"/>
      <c r="R226" s="814"/>
      <c r="S226" s="814"/>
      <c r="T226" s="814"/>
      <c r="U226" s="814"/>
      <c r="V226" s="814"/>
      <c r="W226" s="814"/>
      <c r="X226" s="814"/>
      <c r="Y226" s="814"/>
      <c r="Z226" s="814"/>
      <c r="AA226" s="814"/>
      <c r="AB226" s="69"/>
      <c r="AC226" s="69"/>
      <c r="AD226" s="69"/>
      <c r="AE226" s="69"/>
      <c r="AF226" s="69"/>
      <c r="AG226" s="69"/>
      <c r="AH226" s="69"/>
      <c r="AI226" s="69"/>
      <c r="AJ226" s="69"/>
      <c r="AK226" s="69"/>
      <c r="AL226" s="69"/>
      <c r="AM226" s="69"/>
      <c r="AN226" s="69"/>
      <c r="AO226" s="69"/>
      <c r="AP226" s="69"/>
      <c r="AQ226" s="69"/>
    </row>
    <row r="227" spans="1:43">
      <c r="A227" s="814"/>
      <c r="B227" s="819"/>
      <c r="C227" s="820"/>
      <c r="D227" s="821"/>
      <c r="E227" s="821"/>
      <c r="F227" s="822"/>
      <c r="G227" s="821"/>
      <c r="H227" s="823"/>
      <c r="I227" s="823"/>
      <c r="J227" s="814"/>
      <c r="K227" s="814"/>
      <c r="L227" s="814"/>
      <c r="M227" s="814"/>
      <c r="N227" s="814"/>
      <c r="O227" s="814"/>
      <c r="P227" s="814"/>
      <c r="Q227" s="814"/>
      <c r="R227" s="814"/>
      <c r="S227" s="814"/>
      <c r="T227" s="814"/>
      <c r="U227" s="814"/>
      <c r="V227" s="814"/>
      <c r="W227" s="814"/>
      <c r="X227" s="814"/>
      <c r="Y227" s="814"/>
      <c r="Z227" s="814"/>
      <c r="AA227" s="814"/>
      <c r="AB227" s="69"/>
      <c r="AC227" s="69"/>
      <c r="AD227" s="69"/>
      <c r="AE227" s="69"/>
      <c r="AF227" s="69"/>
      <c r="AG227" s="69"/>
      <c r="AH227" s="69"/>
      <c r="AI227" s="69"/>
      <c r="AJ227" s="69"/>
      <c r="AK227" s="69"/>
      <c r="AL227" s="69"/>
      <c r="AM227" s="69"/>
      <c r="AN227" s="69"/>
      <c r="AO227" s="69"/>
      <c r="AP227" s="69"/>
      <c r="AQ227" s="69"/>
    </row>
    <row r="228" spans="1:43">
      <c r="A228" s="814"/>
      <c r="B228" s="819"/>
      <c r="C228" s="820"/>
      <c r="D228" s="821"/>
      <c r="E228" s="821"/>
      <c r="F228" s="822"/>
      <c r="G228" s="821"/>
      <c r="H228" s="823"/>
      <c r="I228" s="823"/>
      <c r="J228" s="814"/>
      <c r="K228" s="814"/>
      <c r="L228" s="814"/>
      <c r="M228" s="814"/>
      <c r="N228" s="814"/>
      <c r="O228" s="814"/>
      <c r="P228" s="814"/>
      <c r="Q228" s="814"/>
      <c r="R228" s="814"/>
      <c r="S228" s="814"/>
      <c r="T228" s="814"/>
      <c r="U228" s="814"/>
      <c r="V228" s="814"/>
      <c r="W228" s="814"/>
      <c r="X228" s="814"/>
      <c r="Y228" s="814"/>
      <c r="Z228" s="814"/>
      <c r="AA228" s="814"/>
      <c r="AB228" s="69"/>
      <c r="AC228" s="69"/>
      <c r="AD228" s="69"/>
      <c r="AE228" s="69"/>
      <c r="AF228" s="69"/>
      <c r="AG228" s="69"/>
      <c r="AH228" s="69"/>
      <c r="AI228" s="69"/>
      <c r="AJ228" s="69"/>
      <c r="AK228" s="69"/>
      <c r="AL228" s="69"/>
      <c r="AM228" s="69"/>
      <c r="AN228" s="69"/>
      <c r="AO228" s="69"/>
      <c r="AP228" s="69"/>
      <c r="AQ228" s="69"/>
    </row>
    <row r="229" spans="1:43">
      <c r="A229" s="814"/>
      <c r="B229" s="819"/>
      <c r="C229" s="820"/>
      <c r="D229" s="821"/>
      <c r="E229" s="821"/>
      <c r="F229" s="822"/>
      <c r="G229" s="821"/>
      <c r="H229" s="823"/>
      <c r="I229" s="823"/>
      <c r="J229" s="814"/>
      <c r="K229" s="814"/>
      <c r="L229" s="814"/>
      <c r="M229" s="814"/>
      <c r="N229" s="814"/>
      <c r="O229" s="814"/>
      <c r="P229" s="814"/>
      <c r="Q229" s="814"/>
      <c r="R229" s="814"/>
      <c r="S229" s="814"/>
      <c r="T229" s="814"/>
      <c r="U229" s="814"/>
      <c r="V229" s="814"/>
      <c r="W229" s="814"/>
      <c r="X229" s="814"/>
      <c r="Y229" s="814"/>
      <c r="Z229" s="814"/>
      <c r="AA229" s="814"/>
      <c r="AB229" s="69"/>
      <c r="AC229" s="69"/>
      <c r="AD229" s="69"/>
      <c r="AE229" s="69"/>
      <c r="AF229" s="69"/>
      <c r="AG229" s="69"/>
      <c r="AH229" s="69"/>
      <c r="AI229" s="69"/>
      <c r="AJ229" s="69"/>
      <c r="AK229" s="69"/>
      <c r="AL229" s="69"/>
      <c r="AM229" s="69"/>
      <c r="AN229" s="69"/>
      <c r="AO229" s="69"/>
      <c r="AP229" s="69"/>
      <c r="AQ229" s="69"/>
    </row>
    <row r="230" spans="1:43">
      <c r="A230" s="814"/>
      <c r="B230" s="819"/>
      <c r="C230" s="820"/>
      <c r="D230" s="821"/>
      <c r="E230" s="821"/>
      <c r="F230" s="822"/>
      <c r="G230" s="821"/>
      <c r="H230" s="823"/>
      <c r="I230" s="823"/>
      <c r="J230" s="814"/>
      <c r="K230" s="814"/>
      <c r="L230" s="814"/>
      <c r="M230" s="814"/>
      <c r="N230" s="814"/>
      <c r="O230" s="814"/>
      <c r="P230" s="814"/>
      <c r="Q230" s="814"/>
      <c r="R230" s="814"/>
      <c r="S230" s="814"/>
      <c r="T230" s="814"/>
      <c r="U230" s="814"/>
      <c r="V230" s="814"/>
      <c r="W230" s="814"/>
      <c r="X230" s="814"/>
      <c r="Y230" s="814"/>
      <c r="Z230" s="814"/>
      <c r="AA230" s="814"/>
      <c r="AB230" s="69"/>
      <c r="AC230" s="69"/>
      <c r="AD230" s="69"/>
      <c r="AE230" s="69"/>
      <c r="AF230" s="69"/>
      <c r="AG230" s="69"/>
      <c r="AH230" s="69"/>
      <c r="AI230" s="69"/>
      <c r="AJ230" s="69"/>
      <c r="AK230" s="69"/>
      <c r="AL230" s="69"/>
      <c r="AM230" s="69"/>
      <c r="AN230" s="69"/>
      <c r="AO230" s="69"/>
      <c r="AP230" s="69"/>
      <c r="AQ230" s="69"/>
    </row>
    <row r="231" spans="1:43">
      <c r="A231" s="814"/>
      <c r="B231" s="819"/>
      <c r="C231" s="820"/>
      <c r="D231" s="821"/>
      <c r="E231" s="821"/>
      <c r="F231" s="822"/>
      <c r="G231" s="821"/>
      <c r="H231" s="823"/>
      <c r="I231" s="823"/>
      <c r="J231" s="814"/>
      <c r="K231" s="814"/>
      <c r="L231" s="814"/>
      <c r="M231" s="814"/>
      <c r="N231" s="814"/>
      <c r="O231" s="814"/>
      <c r="P231" s="814"/>
      <c r="Q231" s="814"/>
      <c r="R231" s="814"/>
      <c r="S231" s="814"/>
      <c r="T231" s="814"/>
      <c r="U231" s="814"/>
      <c r="V231" s="814"/>
      <c r="W231" s="814"/>
      <c r="X231" s="814"/>
      <c r="Y231" s="814"/>
      <c r="Z231" s="814"/>
      <c r="AA231" s="814"/>
      <c r="AB231" s="69"/>
      <c r="AC231" s="69"/>
      <c r="AD231" s="69"/>
      <c r="AE231" s="69"/>
      <c r="AF231" s="69"/>
      <c r="AG231" s="69"/>
      <c r="AH231" s="69"/>
      <c r="AI231" s="69"/>
      <c r="AJ231" s="69"/>
      <c r="AK231" s="69"/>
      <c r="AL231" s="69"/>
      <c r="AM231" s="69"/>
      <c r="AN231" s="69"/>
      <c r="AO231" s="69"/>
      <c r="AP231" s="69"/>
      <c r="AQ231" s="69"/>
    </row>
    <row r="232" spans="1:43">
      <c r="A232" s="814"/>
      <c r="B232" s="819"/>
      <c r="C232" s="820"/>
      <c r="D232" s="821"/>
      <c r="E232" s="821"/>
      <c r="F232" s="822"/>
      <c r="G232" s="821"/>
      <c r="H232" s="823"/>
      <c r="I232" s="823"/>
      <c r="J232" s="814"/>
      <c r="K232" s="814"/>
      <c r="L232" s="814"/>
      <c r="M232" s="814"/>
      <c r="N232" s="814"/>
      <c r="O232" s="814"/>
      <c r="P232" s="814"/>
      <c r="Q232" s="814"/>
      <c r="R232" s="814"/>
      <c r="S232" s="814"/>
      <c r="T232" s="814"/>
      <c r="U232" s="814"/>
      <c r="V232" s="814"/>
      <c r="W232" s="814"/>
      <c r="X232" s="814"/>
      <c r="Y232" s="814"/>
      <c r="Z232" s="814"/>
      <c r="AA232" s="814"/>
      <c r="AB232" s="69"/>
      <c r="AC232" s="69"/>
      <c r="AD232" s="69"/>
      <c r="AE232" s="69"/>
      <c r="AF232" s="69"/>
      <c r="AG232" s="69"/>
      <c r="AH232" s="69"/>
      <c r="AI232" s="69"/>
      <c r="AJ232" s="69"/>
      <c r="AK232" s="69"/>
      <c r="AL232" s="69"/>
      <c r="AM232" s="69"/>
      <c r="AN232" s="69"/>
      <c r="AO232" s="69"/>
      <c r="AP232" s="69"/>
      <c r="AQ232" s="69"/>
    </row>
    <row r="233" spans="1:43">
      <c r="A233" s="814"/>
      <c r="B233" s="819"/>
      <c r="C233" s="820"/>
      <c r="D233" s="821"/>
      <c r="E233" s="821"/>
      <c r="F233" s="822"/>
      <c r="G233" s="821"/>
      <c r="H233" s="823"/>
      <c r="I233" s="823"/>
      <c r="J233" s="814"/>
      <c r="K233" s="814"/>
      <c r="L233" s="814"/>
      <c r="M233" s="814"/>
      <c r="N233" s="814"/>
      <c r="O233" s="814"/>
      <c r="P233" s="814"/>
      <c r="Q233" s="814"/>
      <c r="R233" s="814"/>
      <c r="S233" s="814"/>
      <c r="T233" s="814"/>
      <c r="U233" s="814"/>
      <c r="V233" s="814"/>
      <c r="W233" s="814"/>
      <c r="X233" s="814"/>
      <c r="Y233" s="814"/>
      <c r="Z233" s="814"/>
      <c r="AA233" s="814"/>
      <c r="AB233" s="69"/>
      <c r="AC233" s="69"/>
      <c r="AD233" s="69"/>
      <c r="AE233" s="69"/>
      <c r="AF233" s="69"/>
      <c r="AG233" s="69"/>
      <c r="AH233" s="69"/>
      <c r="AI233" s="69"/>
      <c r="AJ233" s="69"/>
      <c r="AK233" s="69"/>
      <c r="AL233" s="69"/>
      <c r="AM233" s="69"/>
      <c r="AN233" s="69"/>
      <c r="AO233" s="69"/>
      <c r="AP233" s="69"/>
      <c r="AQ233" s="69"/>
    </row>
    <row r="234" spans="1:43">
      <c r="A234" s="814"/>
      <c r="B234" s="819"/>
      <c r="C234" s="820"/>
      <c r="D234" s="821"/>
      <c r="E234" s="821"/>
      <c r="F234" s="822"/>
      <c r="G234" s="821"/>
      <c r="H234" s="823"/>
      <c r="I234" s="823"/>
      <c r="J234" s="814"/>
      <c r="K234" s="814"/>
      <c r="L234" s="814"/>
      <c r="M234" s="814"/>
      <c r="N234" s="814"/>
      <c r="O234" s="814"/>
      <c r="P234" s="814"/>
      <c r="Q234" s="814"/>
      <c r="R234" s="814"/>
      <c r="S234" s="814"/>
      <c r="T234" s="814"/>
      <c r="U234" s="814"/>
      <c r="V234" s="814"/>
      <c r="W234" s="814"/>
      <c r="X234" s="814"/>
      <c r="Y234" s="814"/>
      <c r="Z234" s="814"/>
      <c r="AA234" s="814"/>
      <c r="AB234" s="69"/>
      <c r="AC234" s="69"/>
      <c r="AD234" s="69"/>
      <c r="AE234" s="69"/>
      <c r="AF234" s="69"/>
      <c r="AG234" s="69"/>
      <c r="AH234" s="69"/>
      <c r="AI234" s="69"/>
      <c r="AJ234" s="69"/>
      <c r="AK234" s="69"/>
      <c r="AL234" s="69"/>
      <c r="AM234" s="69"/>
      <c r="AN234" s="69"/>
      <c r="AO234" s="69"/>
      <c r="AP234" s="69"/>
      <c r="AQ234" s="69"/>
    </row>
    <row r="235" spans="1:43">
      <c r="A235" s="814"/>
      <c r="B235" s="819"/>
      <c r="C235" s="820"/>
      <c r="D235" s="821"/>
      <c r="E235" s="821"/>
      <c r="F235" s="822"/>
      <c r="G235" s="821"/>
      <c r="H235" s="823"/>
      <c r="I235" s="823"/>
      <c r="J235" s="814"/>
      <c r="K235" s="814"/>
      <c r="L235" s="814"/>
      <c r="M235" s="814"/>
      <c r="N235" s="814"/>
      <c r="O235" s="814"/>
      <c r="P235" s="814"/>
      <c r="Q235" s="814"/>
      <c r="R235" s="814"/>
      <c r="S235" s="814"/>
      <c r="T235" s="814"/>
      <c r="U235" s="814"/>
      <c r="V235" s="814"/>
      <c r="W235" s="814"/>
      <c r="X235" s="814"/>
      <c r="Y235" s="814"/>
      <c r="Z235" s="814"/>
      <c r="AA235" s="814"/>
      <c r="AB235" s="69"/>
      <c r="AC235" s="69"/>
      <c r="AD235" s="69"/>
      <c r="AE235" s="69"/>
      <c r="AF235" s="69"/>
      <c r="AG235" s="69"/>
      <c r="AH235" s="69"/>
      <c r="AI235" s="69"/>
      <c r="AJ235" s="69"/>
      <c r="AK235" s="69"/>
      <c r="AL235" s="69"/>
      <c r="AM235" s="69"/>
      <c r="AN235" s="69"/>
      <c r="AO235" s="69"/>
      <c r="AP235" s="69"/>
      <c r="AQ235" s="69"/>
    </row>
    <row r="236" spans="1:43">
      <c r="A236" s="814"/>
      <c r="B236" s="819"/>
      <c r="C236" s="820"/>
      <c r="D236" s="821"/>
      <c r="E236" s="821"/>
      <c r="F236" s="822"/>
      <c r="G236" s="821"/>
      <c r="H236" s="823"/>
      <c r="I236" s="823"/>
      <c r="J236" s="814"/>
      <c r="K236" s="814"/>
      <c r="L236" s="814"/>
      <c r="M236" s="814"/>
      <c r="N236" s="814"/>
      <c r="O236" s="814"/>
      <c r="P236" s="814"/>
      <c r="Q236" s="814"/>
      <c r="R236" s="814"/>
      <c r="S236" s="814"/>
      <c r="T236" s="814"/>
      <c r="U236" s="814"/>
      <c r="V236" s="814"/>
      <c r="W236" s="814"/>
      <c r="X236" s="814"/>
      <c r="Y236" s="814"/>
      <c r="Z236" s="814"/>
      <c r="AA236" s="814"/>
      <c r="AB236" s="69"/>
      <c r="AC236" s="69"/>
      <c r="AD236" s="69"/>
      <c r="AE236" s="69"/>
      <c r="AF236" s="69"/>
      <c r="AG236" s="69"/>
      <c r="AH236" s="69"/>
      <c r="AI236" s="69"/>
      <c r="AJ236" s="69"/>
      <c r="AK236" s="69"/>
      <c r="AL236" s="69"/>
      <c r="AM236" s="69"/>
      <c r="AN236" s="69"/>
      <c r="AO236" s="69"/>
      <c r="AP236" s="69"/>
      <c r="AQ236" s="69"/>
    </row>
    <row r="237" spans="1:43">
      <c r="A237" s="814"/>
      <c r="B237" s="819"/>
      <c r="C237" s="820"/>
      <c r="D237" s="821"/>
      <c r="E237" s="821"/>
      <c r="F237" s="822"/>
      <c r="G237" s="821"/>
      <c r="H237" s="823"/>
      <c r="I237" s="823"/>
      <c r="J237" s="814"/>
      <c r="K237" s="814"/>
      <c r="L237" s="814"/>
      <c r="M237" s="814"/>
      <c r="N237" s="814"/>
      <c r="O237" s="814"/>
      <c r="P237" s="814"/>
      <c r="Q237" s="814"/>
      <c r="R237" s="814"/>
      <c r="S237" s="814"/>
      <c r="T237" s="814"/>
      <c r="U237" s="814"/>
      <c r="V237" s="814"/>
      <c r="W237" s="814"/>
      <c r="X237" s="814"/>
      <c r="Y237" s="814"/>
      <c r="Z237" s="814"/>
      <c r="AA237" s="814"/>
      <c r="AB237" s="69"/>
      <c r="AC237" s="69"/>
      <c r="AD237" s="69"/>
      <c r="AE237" s="69"/>
      <c r="AF237" s="69"/>
      <c r="AG237" s="69"/>
      <c r="AH237" s="69"/>
      <c r="AI237" s="69"/>
      <c r="AJ237" s="69"/>
      <c r="AK237" s="69"/>
      <c r="AL237" s="69"/>
      <c r="AM237" s="69"/>
      <c r="AN237" s="69"/>
      <c r="AO237" s="69"/>
      <c r="AP237" s="69"/>
      <c r="AQ237" s="69"/>
    </row>
    <row r="238" spans="1:43">
      <c r="A238" s="814"/>
      <c r="B238" s="819"/>
      <c r="C238" s="820"/>
      <c r="D238" s="821"/>
      <c r="E238" s="821"/>
      <c r="F238" s="822"/>
      <c r="G238" s="821"/>
      <c r="H238" s="823"/>
      <c r="I238" s="823"/>
      <c r="J238" s="814"/>
      <c r="K238" s="814"/>
      <c r="L238" s="814"/>
      <c r="M238" s="814"/>
      <c r="N238" s="814"/>
      <c r="O238" s="814"/>
      <c r="P238" s="814"/>
      <c r="Q238" s="814"/>
      <c r="R238" s="814"/>
      <c r="S238" s="814"/>
      <c r="T238" s="814"/>
      <c r="U238" s="814"/>
      <c r="V238" s="814"/>
      <c r="W238" s="814"/>
      <c r="X238" s="814"/>
      <c r="Y238" s="814"/>
      <c r="Z238" s="814"/>
      <c r="AA238" s="814"/>
      <c r="AB238" s="69"/>
      <c r="AC238" s="69"/>
      <c r="AD238" s="69"/>
      <c r="AE238" s="69"/>
      <c r="AF238" s="69"/>
      <c r="AG238" s="69"/>
      <c r="AH238" s="69"/>
      <c r="AI238" s="69"/>
      <c r="AJ238" s="69"/>
      <c r="AK238" s="69"/>
      <c r="AL238" s="69"/>
      <c r="AM238" s="69"/>
      <c r="AN238" s="69"/>
      <c r="AO238" s="69"/>
      <c r="AP238" s="69"/>
      <c r="AQ238" s="69"/>
    </row>
    <row r="239" spans="1:43">
      <c r="A239" s="814"/>
      <c r="B239" s="819"/>
      <c r="C239" s="820"/>
      <c r="D239" s="821"/>
      <c r="E239" s="821"/>
      <c r="F239" s="822"/>
      <c r="G239" s="821"/>
      <c r="H239" s="823"/>
      <c r="I239" s="823"/>
      <c r="J239" s="814"/>
      <c r="K239" s="814"/>
      <c r="L239" s="814"/>
      <c r="M239" s="814"/>
      <c r="N239" s="814"/>
      <c r="O239" s="814"/>
      <c r="P239" s="814"/>
      <c r="Q239" s="814"/>
      <c r="R239" s="814"/>
      <c r="S239" s="814"/>
      <c r="T239" s="814"/>
      <c r="U239" s="814"/>
      <c r="V239" s="814"/>
      <c r="W239" s="814"/>
      <c r="X239" s="814"/>
      <c r="Y239" s="814"/>
      <c r="Z239" s="814"/>
      <c r="AA239" s="814"/>
      <c r="AB239" s="69"/>
      <c r="AC239" s="69"/>
      <c r="AD239" s="69"/>
      <c r="AE239" s="69"/>
      <c r="AF239" s="69"/>
      <c r="AG239" s="69"/>
      <c r="AH239" s="69"/>
      <c r="AI239" s="69"/>
      <c r="AJ239" s="69"/>
      <c r="AK239" s="69"/>
      <c r="AL239" s="69"/>
      <c r="AM239" s="69"/>
      <c r="AN239" s="69"/>
      <c r="AO239" s="69"/>
      <c r="AP239" s="69"/>
      <c r="AQ239" s="69"/>
    </row>
    <row r="240" spans="1:43">
      <c r="A240" s="814"/>
      <c r="B240" s="819"/>
      <c r="C240" s="820"/>
      <c r="D240" s="821"/>
      <c r="E240" s="821"/>
      <c r="F240" s="822"/>
      <c r="G240" s="821"/>
      <c r="H240" s="823"/>
      <c r="I240" s="823"/>
      <c r="J240" s="814"/>
      <c r="K240" s="814"/>
      <c r="L240" s="814"/>
      <c r="M240" s="814"/>
      <c r="N240" s="814"/>
      <c r="O240" s="814"/>
      <c r="P240" s="814"/>
      <c r="Q240" s="814"/>
      <c r="R240" s="814"/>
      <c r="S240" s="814"/>
      <c r="T240" s="814"/>
      <c r="U240" s="814"/>
      <c r="V240" s="814"/>
      <c r="W240" s="814"/>
      <c r="X240" s="814"/>
      <c r="Y240" s="814"/>
      <c r="Z240" s="814"/>
      <c r="AA240" s="814"/>
      <c r="AB240" s="69"/>
      <c r="AC240" s="69"/>
      <c r="AD240" s="69"/>
      <c r="AE240" s="69"/>
      <c r="AF240" s="69"/>
      <c r="AG240" s="69"/>
      <c r="AH240" s="69"/>
      <c r="AI240" s="69"/>
      <c r="AJ240" s="69"/>
      <c r="AK240" s="69"/>
      <c r="AL240" s="69"/>
      <c r="AM240" s="69"/>
      <c r="AN240" s="69"/>
      <c r="AO240" s="69"/>
      <c r="AP240" s="69"/>
      <c r="AQ240" s="69"/>
    </row>
    <row r="241" spans="1:43">
      <c r="A241" s="814"/>
      <c r="B241" s="819"/>
      <c r="C241" s="820"/>
      <c r="D241" s="821"/>
      <c r="E241" s="821"/>
      <c r="F241" s="822"/>
      <c r="G241" s="821"/>
      <c r="H241" s="823"/>
      <c r="I241" s="823"/>
      <c r="J241" s="814"/>
      <c r="K241" s="814"/>
      <c r="L241" s="814"/>
      <c r="M241" s="814"/>
      <c r="N241" s="814"/>
      <c r="O241" s="814"/>
      <c r="P241" s="814"/>
      <c r="Q241" s="814"/>
      <c r="R241" s="814"/>
      <c r="S241" s="814"/>
      <c r="T241" s="814"/>
      <c r="U241" s="814"/>
      <c r="V241" s="814"/>
      <c r="W241" s="814"/>
      <c r="X241" s="814"/>
      <c r="Y241" s="814"/>
      <c r="Z241" s="814"/>
      <c r="AA241" s="814"/>
      <c r="AB241" s="69"/>
      <c r="AC241" s="69"/>
      <c r="AD241" s="69"/>
      <c r="AE241" s="69"/>
      <c r="AF241" s="69"/>
      <c r="AG241" s="69"/>
      <c r="AH241" s="69"/>
      <c r="AI241" s="69"/>
      <c r="AJ241" s="69"/>
      <c r="AK241" s="69"/>
      <c r="AL241" s="69"/>
      <c r="AM241" s="69"/>
      <c r="AN241" s="69"/>
      <c r="AO241" s="69"/>
      <c r="AP241" s="69"/>
      <c r="AQ241" s="69"/>
    </row>
    <row r="242" spans="1:43">
      <c r="A242" s="814"/>
      <c r="B242" s="819"/>
      <c r="C242" s="820"/>
      <c r="D242" s="821"/>
      <c r="E242" s="821"/>
      <c r="F242" s="822"/>
      <c r="G242" s="821"/>
      <c r="H242" s="823"/>
      <c r="I242" s="823"/>
      <c r="J242" s="814"/>
      <c r="K242" s="814"/>
      <c r="L242" s="814"/>
      <c r="M242" s="814"/>
      <c r="N242" s="814"/>
      <c r="O242" s="814"/>
      <c r="P242" s="814"/>
      <c r="Q242" s="814"/>
      <c r="R242" s="814"/>
      <c r="S242" s="814"/>
      <c r="T242" s="814"/>
      <c r="U242" s="814"/>
      <c r="V242" s="814"/>
      <c r="W242" s="814"/>
      <c r="X242" s="814"/>
      <c r="Y242" s="814"/>
      <c r="Z242" s="814"/>
      <c r="AA242" s="814"/>
      <c r="AB242" s="69"/>
      <c r="AC242" s="69"/>
      <c r="AD242" s="69"/>
      <c r="AE242" s="69"/>
      <c r="AF242" s="69"/>
      <c r="AG242" s="69"/>
      <c r="AH242" s="69"/>
      <c r="AI242" s="69"/>
      <c r="AJ242" s="69"/>
      <c r="AK242" s="69"/>
      <c r="AL242" s="69"/>
      <c r="AM242" s="69"/>
      <c r="AN242" s="69"/>
      <c r="AO242" s="69"/>
      <c r="AP242" s="69"/>
      <c r="AQ242" s="69"/>
    </row>
    <row r="243" spans="1:43">
      <c r="A243" s="814"/>
      <c r="B243" s="819"/>
      <c r="C243" s="820"/>
      <c r="D243" s="821"/>
      <c r="E243" s="821"/>
      <c r="F243" s="822"/>
      <c r="G243" s="821"/>
      <c r="H243" s="823"/>
      <c r="I243" s="823"/>
      <c r="J243" s="814"/>
      <c r="K243" s="814"/>
      <c r="L243" s="814"/>
      <c r="M243" s="814"/>
      <c r="N243" s="814"/>
      <c r="O243" s="814"/>
      <c r="P243" s="814"/>
      <c r="Q243" s="814"/>
      <c r="R243" s="814"/>
      <c r="S243" s="814"/>
      <c r="T243" s="814"/>
      <c r="U243" s="814"/>
      <c r="V243" s="814"/>
      <c r="W243" s="814"/>
      <c r="X243" s="814"/>
      <c r="Y243" s="814"/>
      <c r="Z243" s="814"/>
      <c r="AA243" s="814"/>
      <c r="AB243" s="69"/>
      <c r="AC243" s="69"/>
      <c r="AD243" s="69"/>
      <c r="AE243" s="69"/>
      <c r="AF243" s="69"/>
      <c r="AG243" s="69"/>
      <c r="AH243" s="69"/>
      <c r="AI243" s="69"/>
      <c r="AJ243" s="69"/>
      <c r="AK243" s="69"/>
      <c r="AL243" s="69"/>
      <c r="AM243" s="69"/>
      <c r="AN243" s="69"/>
      <c r="AO243" s="69"/>
      <c r="AP243" s="69"/>
      <c r="AQ243" s="69"/>
    </row>
    <row r="244" spans="1:43">
      <c r="A244" s="814"/>
      <c r="B244" s="819"/>
      <c r="C244" s="820"/>
      <c r="D244" s="821"/>
      <c r="E244" s="821"/>
      <c r="F244" s="822"/>
      <c r="G244" s="821"/>
      <c r="H244" s="823"/>
      <c r="I244" s="823"/>
      <c r="J244" s="814"/>
      <c r="K244" s="814"/>
      <c r="L244" s="814"/>
      <c r="M244" s="814"/>
      <c r="N244" s="814"/>
      <c r="O244" s="814"/>
      <c r="P244" s="814"/>
      <c r="Q244" s="814"/>
      <c r="R244" s="814"/>
      <c r="S244" s="814"/>
      <c r="T244" s="814"/>
      <c r="U244" s="814"/>
      <c r="V244" s="814"/>
      <c r="W244" s="814"/>
      <c r="X244" s="814"/>
      <c r="Y244" s="814"/>
      <c r="Z244" s="814"/>
      <c r="AA244" s="814"/>
      <c r="AB244" s="69"/>
      <c r="AC244" s="69"/>
      <c r="AD244" s="69"/>
      <c r="AE244" s="69"/>
      <c r="AF244" s="69"/>
      <c r="AG244" s="69"/>
      <c r="AH244" s="69"/>
      <c r="AI244" s="69"/>
      <c r="AJ244" s="69"/>
      <c r="AK244" s="69"/>
      <c r="AL244" s="69"/>
      <c r="AM244" s="69"/>
      <c r="AN244" s="69"/>
      <c r="AO244" s="69"/>
      <c r="AP244" s="69"/>
      <c r="AQ244" s="69"/>
    </row>
    <row r="245" spans="1:43">
      <c r="A245" s="814"/>
      <c r="B245" s="819"/>
      <c r="C245" s="820"/>
      <c r="D245" s="821"/>
      <c r="E245" s="821"/>
      <c r="F245" s="822"/>
      <c r="G245" s="821"/>
      <c r="H245" s="823"/>
      <c r="I245" s="823"/>
      <c r="J245" s="814"/>
      <c r="K245" s="814"/>
      <c r="L245" s="814"/>
      <c r="M245" s="814"/>
      <c r="N245" s="814"/>
      <c r="O245" s="814"/>
      <c r="P245" s="814"/>
      <c r="Q245" s="814"/>
      <c r="R245" s="814"/>
      <c r="S245" s="814"/>
      <c r="T245" s="814"/>
      <c r="U245" s="814"/>
      <c r="V245" s="814"/>
      <c r="W245" s="814"/>
      <c r="X245" s="814"/>
      <c r="Y245" s="814"/>
      <c r="Z245" s="814"/>
      <c r="AA245" s="814"/>
      <c r="AB245" s="69"/>
      <c r="AC245" s="69"/>
      <c r="AD245" s="69"/>
      <c r="AE245" s="69"/>
      <c r="AF245" s="69"/>
      <c r="AG245" s="69"/>
      <c r="AH245" s="69"/>
      <c r="AI245" s="69"/>
      <c r="AJ245" s="69"/>
      <c r="AK245" s="69"/>
      <c r="AL245" s="69"/>
      <c r="AM245" s="69"/>
      <c r="AN245" s="69"/>
      <c r="AO245" s="69"/>
      <c r="AP245" s="69"/>
      <c r="AQ245" s="69"/>
    </row>
    <row r="246" spans="1:43">
      <c r="A246" s="814"/>
      <c r="B246" s="819"/>
      <c r="C246" s="820"/>
      <c r="D246" s="821"/>
      <c r="E246" s="821"/>
      <c r="F246" s="822"/>
      <c r="G246" s="821"/>
      <c r="H246" s="823"/>
      <c r="I246" s="823"/>
      <c r="J246" s="814"/>
      <c r="K246" s="814"/>
      <c r="L246" s="814"/>
      <c r="M246" s="814"/>
      <c r="N246" s="814"/>
      <c r="O246" s="814"/>
      <c r="P246" s="814"/>
      <c r="Q246" s="814"/>
      <c r="R246" s="814"/>
      <c r="S246" s="814"/>
      <c r="T246" s="814"/>
      <c r="U246" s="814"/>
      <c r="V246" s="814"/>
      <c r="W246" s="814"/>
      <c r="X246" s="814"/>
      <c r="Y246" s="814"/>
      <c r="Z246" s="814"/>
      <c r="AA246" s="814"/>
      <c r="AB246" s="69"/>
      <c r="AC246" s="69"/>
      <c r="AD246" s="69"/>
      <c r="AE246" s="69"/>
      <c r="AF246" s="69"/>
      <c r="AG246" s="69"/>
      <c r="AH246" s="69"/>
      <c r="AI246" s="69"/>
      <c r="AJ246" s="69"/>
      <c r="AK246" s="69"/>
      <c r="AL246" s="69"/>
      <c r="AM246" s="69"/>
      <c r="AN246" s="69"/>
      <c r="AO246" s="69"/>
      <c r="AP246" s="69"/>
      <c r="AQ246" s="69"/>
    </row>
    <row r="247" spans="1:43">
      <c r="A247" s="814"/>
      <c r="B247" s="819"/>
      <c r="C247" s="820"/>
      <c r="D247" s="821"/>
      <c r="E247" s="821"/>
      <c r="F247" s="822"/>
      <c r="G247" s="821"/>
      <c r="H247" s="823"/>
      <c r="I247" s="823"/>
      <c r="J247" s="814"/>
      <c r="K247" s="814"/>
      <c r="L247" s="814"/>
      <c r="M247" s="814"/>
      <c r="N247" s="814"/>
      <c r="O247" s="814"/>
      <c r="P247" s="814"/>
      <c r="Q247" s="814"/>
      <c r="R247" s="814"/>
      <c r="S247" s="814"/>
      <c r="T247" s="814"/>
      <c r="U247" s="814"/>
      <c r="V247" s="814"/>
      <c r="W247" s="814"/>
      <c r="X247" s="814"/>
      <c r="Y247" s="814"/>
      <c r="Z247" s="814"/>
      <c r="AA247" s="814"/>
      <c r="AB247" s="69"/>
      <c r="AC247" s="69"/>
      <c r="AD247" s="69"/>
      <c r="AE247" s="69"/>
      <c r="AF247" s="69"/>
      <c r="AG247" s="69"/>
      <c r="AH247" s="69"/>
      <c r="AI247" s="69"/>
      <c r="AJ247" s="69"/>
      <c r="AK247" s="69"/>
      <c r="AL247" s="69"/>
      <c r="AM247" s="69"/>
      <c r="AN247" s="69"/>
      <c r="AO247" s="69"/>
      <c r="AP247" s="69"/>
      <c r="AQ247" s="69"/>
    </row>
    <row r="248" spans="1:43">
      <c r="A248" s="814"/>
      <c r="B248" s="819"/>
      <c r="C248" s="820"/>
      <c r="D248" s="821"/>
      <c r="E248" s="821"/>
      <c r="F248" s="822"/>
      <c r="G248" s="821"/>
      <c r="H248" s="823"/>
      <c r="I248" s="823"/>
      <c r="J248" s="814"/>
      <c r="K248" s="814"/>
      <c r="L248" s="814"/>
      <c r="M248" s="814"/>
      <c r="N248" s="814"/>
      <c r="O248" s="814"/>
      <c r="P248" s="814"/>
      <c r="Q248" s="814"/>
      <c r="R248" s="814"/>
      <c r="S248" s="814"/>
      <c r="T248" s="814"/>
      <c r="U248" s="814"/>
      <c r="V248" s="814"/>
      <c r="W248" s="814"/>
      <c r="X248" s="814"/>
      <c r="Y248" s="814"/>
      <c r="Z248" s="814"/>
      <c r="AA248" s="814"/>
      <c r="AB248" s="69"/>
      <c r="AC248" s="69"/>
      <c r="AD248" s="69"/>
      <c r="AE248" s="69"/>
      <c r="AF248" s="69"/>
      <c r="AG248" s="69"/>
      <c r="AH248" s="69"/>
      <c r="AI248" s="69"/>
      <c r="AJ248" s="69"/>
      <c r="AK248" s="69"/>
      <c r="AL248" s="69"/>
      <c r="AM248" s="69"/>
      <c r="AN248" s="69"/>
      <c r="AO248" s="69"/>
      <c r="AP248" s="69"/>
      <c r="AQ248" s="69"/>
    </row>
    <row r="249" spans="1:43">
      <c r="A249" s="814"/>
      <c r="B249" s="819"/>
      <c r="C249" s="820"/>
      <c r="D249" s="821"/>
      <c r="E249" s="821"/>
      <c r="F249" s="822"/>
      <c r="G249" s="821"/>
      <c r="H249" s="823"/>
      <c r="I249" s="823"/>
      <c r="J249" s="814"/>
      <c r="K249" s="814"/>
      <c r="L249" s="814"/>
      <c r="M249" s="814"/>
      <c r="N249" s="814"/>
      <c r="O249" s="814"/>
      <c r="P249" s="814"/>
      <c r="Q249" s="814"/>
      <c r="R249" s="814"/>
      <c r="S249" s="814"/>
      <c r="T249" s="814"/>
      <c r="U249" s="814"/>
      <c r="V249" s="814"/>
      <c r="W249" s="814"/>
      <c r="X249" s="814"/>
      <c r="Y249" s="814"/>
      <c r="Z249" s="814"/>
      <c r="AA249" s="814"/>
      <c r="AB249" s="69"/>
      <c r="AC249" s="69"/>
      <c r="AD249" s="69"/>
      <c r="AE249" s="69"/>
      <c r="AF249" s="69"/>
      <c r="AG249" s="69"/>
      <c r="AH249" s="69"/>
      <c r="AI249" s="69"/>
      <c r="AJ249" s="69"/>
      <c r="AK249" s="69"/>
      <c r="AL249" s="69"/>
      <c r="AM249" s="69"/>
      <c r="AN249" s="69"/>
      <c r="AO249" s="69"/>
      <c r="AP249" s="69"/>
      <c r="AQ249" s="69"/>
    </row>
    <row r="250" spans="1:43">
      <c r="A250" s="814"/>
      <c r="B250" s="819"/>
      <c r="C250" s="820"/>
      <c r="D250" s="821"/>
      <c r="E250" s="821"/>
      <c r="F250" s="822"/>
      <c r="G250" s="821"/>
      <c r="H250" s="823"/>
      <c r="I250" s="823"/>
      <c r="J250" s="814"/>
      <c r="K250" s="814"/>
      <c r="L250" s="814"/>
      <c r="M250" s="814"/>
      <c r="N250" s="814"/>
      <c r="O250" s="814"/>
      <c r="P250" s="814"/>
      <c r="Q250" s="814"/>
      <c r="R250" s="814"/>
      <c r="S250" s="814"/>
      <c r="T250" s="814"/>
      <c r="U250" s="814"/>
      <c r="V250" s="814"/>
      <c r="W250" s="814"/>
      <c r="X250" s="814"/>
      <c r="Y250" s="814"/>
      <c r="Z250" s="814"/>
      <c r="AA250" s="814"/>
      <c r="AB250" s="69"/>
      <c r="AC250" s="69"/>
      <c r="AD250" s="69"/>
      <c r="AE250" s="69"/>
      <c r="AF250" s="69"/>
      <c r="AG250" s="69"/>
      <c r="AH250" s="69"/>
      <c r="AI250" s="69"/>
      <c r="AJ250" s="69"/>
      <c r="AK250" s="69"/>
      <c r="AL250" s="69"/>
      <c r="AM250" s="69"/>
      <c r="AN250" s="69"/>
      <c r="AO250" s="69"/>
      <c r="AP250" s="69"/>
      <c r="AQ250" s="69"/>
    </row>
    <row r="251" spans="1:43">
      <c r="A251" s="814"/>
      <c r="B251" s="819"/>
      <c r="C251" s="820"/>
      <c r="D251" s="821"/>
      <c r="E251" s="821"/>
      <c r="F251" s="822"/>
      <c r="G251" s="821"/>
      <c r="H251" s="823"/>
      <c r="I251" s="823"/>
      <c r="J251" s="814"/>
      <c r="K251" s="814"/>
      <c r="L251" s="814"/>
      <c r="M251" s="814"/>
      <c r="N251" s="814"/>
      <c r="O251" s="814"/>
      <c r="P251" s="814"/>
      <c r="Q251" s="814"/>
      <c r="R251" s="814"/>
      <c r="S251" s="814"/>
      <c r="T251" s="814"/>
      <c r="U251" s="814"/>
      <c r="V251" s="814"/>
      <c r="W251" s="814"/>
      <c r="X251" s="814"/>
      <c r="Y251" s="814"/>
      <c r="Z251" s="814"/>
      <c r="AA251" s="814"/>
      <c r="AB251" s="69"/>
      <c r="AC251" s="69"/>
      <c r="AD251" s="69"/>
      <c r="AE251" s="69"/>
      <c r="AF251" s="69"/>
      <c r="AG251" s="69"/>
      <c r="AH251" s="69"/>
      <c r="AI251" s="69"/>
      <c r="AJ251" s="69"/>
      <c r="AK251" s="69"/>
      <c r="AL251" s="69"/>
      <c r="AM251" s="69"/>
      <c r="AN251" s="69"/>
      <c r="AO251" s="69"/>
      <c r="AP251" s="69"/>
      <c r="AQ251" s="69"/>
    </row>
    <row r="252" spans="1:43">
      <c r="A252" s="814"/>
      <c r="B252" s="819"/>
      <c r="C252" s="820"/>
      <c r="D252" s="821"/>
      <c r="E252" s="821"/>
      <c r="F252" s="822"/>
      <c r="G252" s="821"/>
      <c r="H252" s="823"/>
      <c r="I252" s="823"/>
      <c r="J252" s="814"/>
      <c r="K252" s="814"/>
      <c r="L252" s="814"/>
      <c r="M252" s="814"/>
      <c r="N252" s="814"/>
      <c r="O252" s="814"/>
      <c r="P252" s="814"/>
      <c r="Q252" s="814"/>
      <c r="R252" s="814"/>
      <c r="S252" s="814"/>
      <c r="T252" s="814"/>
      <c r="U252" s="814"/>
      <c r="V252" s="814"/>
      <c r="W252" s="814"/>
      <c r="X252" s="814"/>
      <c r="Y252" s="814"/>
      <c r="Z252" s="814"/>
      <c r="AA252" s="814"/>
      <c r="AB252" s="69"/>
      <c r="AC252" s="69"/>
      <c r="AD252" s="69"/>
      <c r="AE252" s="69"/>
      <c r="AF252" s="69"/>
      <c r="AG252" s="69"/>
      <c r="AH252" s="69"/>
      <c r="AI252" s="69"/>
      <c r="AJ252" s="69"/>
      <c r="AK252" s="69"/>
      <c r="AL252" s="69"/>
      <c r="AM252" s="69"/>
      <c r="AN252" s="69"/>
      <c r="AO252" s="69"/>
      <c r="AP252" s="69"/>
      <c r="AQ252" s="69"/>
    </row>
    <row r="253" spans="1:43">
      <c r="A253" s="814"/>
      <c r="B253" s="819"/>
      <c r="C253" s="820"/>
      <c r="D253" s="821"/>
      <c r="E253" s="821"/>
      <c r="F253" s="822"/>
      <c r="G253" s="821"/>
      <c r="H253" s="823"/>
      <c r="I253" s="823"/>
      <c r="J253" s="814"/>
      <c r="K253" s="814"/>
      <c r="L253" s="814"/>
      <c r="M253" s="814"/>
      <c r="N253" s="814"/>
      <c r="O253" s="814"/>
      <c r="P253" s="814"/>
      <c r="Q253" s="814"/>
      <c r="R253" s="814"/>
      <c r="S253" s="814"/>
      <c r="T253" s="814"/>
      <c r="U253" s="814"/>
      <c r="V253" s="814"/>
      <c r="W253" s="814"/>
      <c r="X253" s="814"/>
      <c r="Y253" s="814"/>
      <c r="Z253" s="814"/>
      <c r="AA253" s="814"/>
      <c r="AB253" s="69"/>
      <c r="AC253" s="69"/>
      <c r="AD253" s="69"/>
      <c r="AE253" s="69"/>
      <c r="AF253" s="69"/>
      <c r="AG253" s="69"/>
      <c r="AH253" s="69"/>
      <c r="AI253" s="69"/>
      <c r="AJ253" s="69"/>
      <c r="AK253" s="69"/>
      <c r="AL253" s="69"/>
      <c r="AM253" s="69"/>
      <c r="AN253" s="69"/>
      <c r="AO253" s="69"/>
      <c r="AP253" s="69"/>
      <c r="AQ253" s="69"/>
    </row>
    <row r="254" spans="1:43">
      <c r="A254" s="814"/>
      <c r="B254" s="819"/>
      <c r="C254" s="820"/>
      <c r="D254" s="821"/>
      <c r="E254" s="821"/>
      <c r="F254" s="822"/>
      <c r="G254" s="821"/>
      <c r="H254" s="823"/>
      <c r="I254" s="823"/>
      <c r="J254" s="814"/>
      <c r="K254" s="814"/>
      <c r="L254" s="814"/>
      <c r="M254" s="814"/>
      <c r="N254" s="814"/>
      <c r="O254" s="814"/>
      <c r="P254" s="814"/>
      <c r="Q254" s="814"/>
      <c r="R254" s="814"/>
      <c r="S254" s="814"/>
      <c r="T254" s="814"/>
      <c r="U254" s="814"/>
      <c r="V254" s="814"/>
      <c r="W254" s="814"/>
      <c r="X254" s="814"/>
      <c r="Y254" s="814"/>
      <c r="Z254" s="814"/>
      <c r="AA254" s="814"/>
      <c r="AB254" s="69"/>
      <c r="AC254" s="69"/>
      <c r="AD254" s="69"/>
      <c r="AE254" s="69"/>
      <c r="AF254" s="69"/>
      <c r="AG254" s="69"/>
      <c r="AH254" s="69"/>
      <c r="AI254" s="69"/>
      <c r="AJ254" s="69"/>
      <c r="AK254" s="69"/>
      <c r="AL254" s="69"/>
      <c r="AM254" s="69"/>
      <c r="AN254" s="69"/>
      <c r="AO254" s="69"/>
      <c r="AP254" s="69"/>
      <c r="AQ254" s="69"/>
    </row>
    <row r="255" spans="1:43">
      <c r="A255" s="814"/>
      <c r="B255" s="819"/>
      <c r="C255" s="820"/>
      <c r="D255" s="821"/>
      <c r="E255" s="821"/>
      <c r="F255" s="822"/>
      <c r="G255" s="821"/>
      <c r="H255" s="823"/>
      <c r="I255" s="823"/>
      <c r="J255" s="814"/>
      <c r="K255" s="814"/>
      <c r="L255" s="814"/>
      <c r="M255" s="814"/>
      <c r="N255" s="814"/>
      <c r="O255" s="814"/>
      <c r="P255" s="814"/>
      <c r="Q255" s="814"/>
      <c r="R255" s="814"/>
      <c r="S255" s="814"/>
      <c r="T255" s="814"/>
      <c r="U255" s="814"/>
      <c r="V255" s="814"/>
      <c r="W255" s="814"/>
      <c r="X255" s="814"/>
      <c r="Y255" s="814"/>
      <c r="Z255" s="814"/>
      <c r="AA255" s="814"/>
      <c r="AB255" s="69"/>
      <c r="AC255" s="69"/>
      <c r="AD255" s="69"/>
      <c r="AE255" s="69"/>
      <c r="AF255" s="69"/>
      <c r="AG255" s="69"/>
      <c r="AH255" s="69"/>
      <c r="AI255" s="69"/>
      <c r="AJ255" s="69"/>
      <c r="AK255" s="69"/>
      <c r="AL255" s="69"/>
      <c r="AM255" s="69"/>
      <c r="AN255" s="69"/>
      <c r="AO255" s="69"/>
      <c r="AP255" s="69"/>
      <c r="AQ255" s="69"/>
    </row>
    <row r="256" spans="1:43">
      <c r="A256" s="814"/>
      <c r="B256" s="819"/>
      <c r="C256" s="820"/>
      <c r="D256" s="821"/>
      <c r="E256" s="821"/>
      <c r="F256" s="822"/>
      <c r="G256" s="821"/>
      <c r="H256" s="823"/>
      <c r="I256" s="823"/>
      <c r="J256" s="814"/>
      <c r="K256" s="814"/>
      <c r="L256" s="814"/>
      <c r="M256" s="814"/>
      <c r="N256" s="814"/>
      <c r="O256" s="814"/>
      <c r="P256" s="814"/>
      <c r="Q256" s="814"/>
      <c r="R256" s="814"/>
      <c r="S256" s="814"/>
      <c r="T256" s="814"/>
      <c r="U256" s="814"/>
      <c r="V256" s="814"/>
      <c r="W256" s="814"/>
      <c r="X256" s="814"/>
      <c r="Y256" s="814"/>
      <c r="Z256" s="814"/>
      <c r="AA256" s="814"/>
      <c r="AB256" s="69"/>
      <c r="AC256" s="69"/>
      <c r="AD256" s="69"/>
      <c r="AE256" s="69"/>
      <c r="AF256" s="69"/>
      <c r="AG256" s="69"/>
      <c r="AH256" s="69"/>
      <c r="AI256" s="69"/>
      <c r="AJ256" s="69"/>
      <c r="AK256" s="69"/>
      <c r="AL256" s="69"/>
      <c r="AM256" s="69"/>
      <c r="AN256" s="69"/>
      <c r="AO256" s="69"/>
      <c r="AP256" s="69"/>
      <c r="AQ256" s="69"/>
    </row>
    <row r="257" spans="1:43">
      <c r="A257" s="814"/>
      <c r="B257" s="819"/>
      <c r="C257" s="820"/>
      <c r="D257" s="821"/>
      <c r="E257" s="821"/>
      <c r="F257" s="822"/>
      <c r="G257" s="821"/>
      <c r="H257" s="823"/>
      <c r="I257" s="823"/>
      <c r="J257" s="814"/>
      <c r="K257" s="814"/>
      <c r="L257" s="814"/>
      <c r="M257" s="814"/>
      <c r="N257" s="814"/>
      <c r="O257" s="814"/>
      <c r="P257" s="814"/>
      <c r="Q257" s="814"/>
      <c r="R257" s="814"/>
      <c r="S257" s="814"/>
      <c r="T257" s="814"/>
      <c r="U257" s="814"/>
      <c r="V257" s="814"/>
      <c r="W257" s="814"/>
      <c r="X257" s="814"/>
      <c r="Y257" s="814"/>
      <c r="Z257" s="814"/>
      <c r="AA257" s="814"/>
      <c r="AB257" s="69"/>
      <c r="AC257" s="69"/>
      <c r="AD257" s="69"/>
      <c r="AE257" s="69"/>
      <c r="AF257" s="69"/>
      <c r="AG257" s="69"/>
      <c r="AH257" s="69"/>
      <c r="AI257" s="69"/>
      <c r="AJ257" s="69"/>
      <c r="AK257" s="69"/>
      <c r="AL257" s="69"/>
      <c r="AM257" s="69"/>
      <c r="AN257" s="69"/>
      <c r="AO257" s="69"/>
      <c r="AP257" s="69"/>
      <c r="AQ257" s="69"/>
    </row>
    <row r="258" spans="1:43">
      <c r="A258" s="814"/>
      <c r="B258" s="819"/>
      <c r="C258" s="820"/>
      <c r="D258" s="821"/>
      <c r="E258" s="821"/>
      <c r="F258" s="822"/>
      <c r="G258" s="821"/>
      <c r="H258" s="823"/>
      <c r="I258" s="823"/>
      <c r="J258" s="814"/>
      <c r="K258" s="814"/>
      <c r="L258" s="814"/>
      <c r="M258" s="814"/>
      <c r="N258" s="814"/>
      <c r="O258" s="814"/>
      <c r="P258" s="814"/>
      <c r="Q258" s="814"/>
      <c r="R258" s="814"/>
      <c r="S258" s="814"/>
      <c r="T258" s="814"/>
      <c r="U258" s="814"/>
      <c r="V258" s="814"/>
      <c r="W258" s="814"/>
      <c r="X258" s="814"/>
      <c r="Y258" s="814"/>
      <c r="Z258" s="814"/>
      <c r="AA258" s="814"/>
      <c r="AB258" s="69"/>
      <c r="AC258" s="69"/>
      <c r="AD258" s="69"/>
      <c r="AE258" s="69"/>
      <c r="AF258" s="69"/>
      <c r="AG258" s="69"/>
      <c r="AH258" s="69"/>
      <c r="AI258" s="69"/>
      <c r="AJ258" s="69"/>
      <c r="AK258" s="69"/>
      <c r="AL258" s="69"/>
      <c r="AM258" s="69"/>
      <c r="AN258" s="69"/>
      <c r="AO258" s="69"/>
      <c r="AP258" s="69"/>
      <c r="AQ258" s="69"/>
    </row>
    <row r="259" spans="1:43">
      <c r="A259" s="814"/>
      <c r="B259" s="819"/>
      <c r="C259" s="820"/>
      <c r="D259" s="821"/>
      <c r="E259" s="821"/>
      <c r="F259" s="822"/>
      <c r="G259" s="821"/>
      <c r="H259" s="823"/>
      <c r="I259" s="823"/>
      <c r="J259" s="814"/>
      <c r="K259" s="814"/>
      <c r="L259" s="814"/>
      <c r="M259" s="814"/>
      <c r="N259" s="814"/>
      <c r="O259" s="814"/>
      <c r="P259" s="814"/>
      <c r="Q259" s="814"/>
      <c r="R259" s="814"/>
      <c r="S259" s="814"/>
      <c r="T259" s="814"/>
      <c r="U259" s="814"/>
      <c r="V259" s="814"/>
      <c r="W259" s="814"/>
      <c r="X259" s="814"/>
      <c r="Y259" s="814"/>
      <c r="Z259" s="814"/>
      <c r="AA259" s="814"/>
      <c r="AB259" s="69"/>
      <c r="AC259" s="69"/>
      <c r="AD259" s="69"/>
      <c r="AE259" s="69"/>
      <c r="AF259" s="69"/>
      <c r="AG259" s="69"/>
      <c r="AH259" s="69"/>
      <c r="AI259" s="69"/>
      <c r="AJ259" s="69"/>
      <c r="AK259" s="69"/>
      <c r="AL259" s="69"/>
      <c r="AM259" s="69"/>
      <c r="AN259" s="69"/>
      <c r="AO259" s="69"/>
      <c r="AP259" s="69"/>
      <c r="AQ259" s="69"/>
    </row>
    <row r="260" spans="1:43">
      <c r="A260" s="814"/>
      <c r="B260" s="819"/>
      <c r="C260" s="820"/>
      <c r="D260" s="821"/>
      <c r="E260" s="821"/>
      <c r="F260" s="822"/>
      <c r="G260" s="821"/>
      <c r="H260" s="823"/>
      <c r="I260" s="823"/>
      <c r="J260" s="814"/>
      <c r="K260" s="814"/>
      <c r="L260" s="814"/>
      <c r="M260" s="814"/>
      <c r="N260" s="814"/>
      <c r="O260" s="814"/>
      <c r="P260" s="814"/>
      <c r="Q260" s="814"/>
      <c r="R260" s="814"/>
      <c r="S260" s="814"/>
      <c r="T260" s="814"/>
      <c r="U260" s="814"/>
      <c r="V260" s="814"/>
      <c r="W260" s="814"/>
      <c r="X260" s="814"/>
      <c r="Y260" s="814"/>
      <c r="Z260" s="814"/>
      <c r="AA260" s="814"/>
      <c r="AB260" s="69"/>
      <c r="AC260" s="69"/>
      <c r="AD260" s="69"/>
      <c r="AE260" s="69"/>
      <c r="AF260" s="69"/>
      <c r="AG260" s="69"/>
      <c r="AH260" s="69"/>
      <c r="AI260" s="69"/>
      <c r="AJ260" s="69"/>
      <c r="AK260" s="69"/>
      <c r="AL260" s="69"/>
      <c r="AM260" s="69"/>
      <c r="AN260" s="69"/>
      <c r="AO260" s="69"/>
      <c r="AP260" s="69"/>
      <c r="AQ260" s="69"/>
    </row>
    <row r="261" spans="1:43">
      <c r="A261" s="814"/>
      <c r="B261" s="819"/>
      <c r="C261" s="820"/>
      <c r="D261" s="821"/>
      <c r="E261" s="821"/>
      <c r="F261" s="822"/>
      <c r="G261" s="821"/>
      <c r="H261" s="823"/>
      <c r="I261" s="823"/>
      <c r="J261" s="814"/>
      <c r="K261" s="814"/>
      <c r="L261" s="814"/>
      <c r="M261" s="814"/>
      <c r="N261" s="814"/>
      <c r="O261" s="814"/>
      <c r="P261" s="814"/>
      <c r="Q261" s="814"/>
      <c r="R261" s="814"/>
      <c r="S261" s="814"/>
      <c r="T261" s="814"/>
      <c r="U261" s="814"/>
      <c r="V261" s="814"/>
      <c r="W261" s="814"/>
      <c r="X261" s="814"/>
      <c r="Y261" s="814"/>
      <c r="Z261" s="814"/>
      <c r="AA261" s="814"/>
      <c r="AB261" s="69"/>
      <c r="AC261" s="69"/>
      <c r="AD261" s="69"/>
      <c r="AE261" s="69"/>
      <c r="AF261" s="69"/>
      <c r="AG261" s="69"/>
      <c r="AH261" s="69"/>
      <c r="AI261" s="69"/>
      <c r="AJ261" s="69"/>
      <c r="AK261" s="69"/>
      <c r="AL261" s="69"/>
      <c r="AM261" s="69"/>
      <c r="AN261" s="69"/>
      <c r="AO261" s="69"/>
      <c r="AP261" s="69"/>
      <c r="AQ261" s="69"/>
    </row>
    <row r="262" spans="1:43">
      <c r="A262" s="814"/>
      <c r="B262" s="819"/>
      <c r="C262" s="820"/>
      <c r="D262" s="821"/>
      <c r="E262" s="821"/>
      <c r="F262" s="822"/>
      <c r="G262" s="821"/>
      <c r="H262" s="823"/>
      <c r="I262" s="823"/>
      <c r="J262" s="814"/>
      <c r="K262" s="814"/>
      <c r="L262" s="814"/>
      <c r="M262" s="814"/>
      <c r="N262" s="814"/>
      <c r="O262" s="814"/>
      <c r="P262" s="814"/>
      <c r="Q262" s="814"/>
      <c r="R262" s="814"/>
      <c r="S262" s="814"/>
      <c r="T262" s="814"/>
      <c r="U262" s="814"/>
      <c r="V262" s="814"/>
      <c r="W262" s="814"/>
      <c r="X262" s="814"/>
      <c r="Y262" s="814"/>
      <c r="Z262" s="814"/>
      <c r="AA262" s="814"/>
      <c r="AB262" s="69"/>
      <c r="AC262" s="69"/>
      <c r="AD262" s="69"/>
      <c r="AE262" s="69"/>
      <c r="AF262" s="69"/>
      <c r="AG262" s="69"/>
      <c r="AH262" s="69"/>
      <c r="AI262" s="69"/>
      <c r="AJ262" s="69"/>
      <c r="AK262" s="69"/>
      <c r="AL262" s="69"/>
      <c r="AM262" s="69"/>
      <c r="AN262" s="69"/>
      <c r="AO262" s="69"/>
      <c r="AP262" s="69"/>
      <c r="AQ262" s="69"/>
    </row>
    <row r="263" spans="1:43">
      <c r="A263" s="814"/>
      <c r="B263" s="819"/>
      <c r="C263" s="820"/>
      <c r="D263" s="821"/>
      <c r="E263" s="821"/>
      <c r="F263" s="822"/>
      <c r="G263" s="821"/>
      <c r="H263" s="823"/>
      <c r="I263" s="823"/>
      <c r="J263" s="814"/>
      <c r="K263" s="814"/>
      <c r="L263" s="814"/>
      <c r="M263" s="814"/>
      <c r="N263" s="814"/>
      <c r="O263" s="814"/>
      <c r="P263" s="814"/>
      <c r="Q263" s="814"/>
      <c r="R263" s="814"/>
      <c r="S263" s="814"/>
      <c r="T263" s="814"/>
      <c r="U263" s="814"/>
      <c r="V263" s="814"/>
      <c r="W263" s="814"/>
      <c r="X263" s="814"/>
      <c r="Y263" s="814"/>
      <c r="Z263" s="814"/>
      <c r="AA263" s="814"/>
      <c r="AB263" s="69"/>
      <c r="AC263" s="69"/>
      <c r="AD263" s="69"/>
      <c r="AE263" s="69"/>
      <c r="AF263" s="69"/>
      <c r="AG263" s="69"/>
      <c r="AH263" s="69"/>
      <c r="AI263" s="69"/>
      <c r="AJ263" s="69"/>
      <c r="AK263" s="69"/>
      <c r="AL263" s="69"/>
      <c r="AM263" s="69"/>
      <c r="AN263" s="69"/>
      <c r="AO263" s="69"/>
      <c r="AP263" s="69"/>
      <c r="AQ263" s="69"/>
    </row>
    <row r="264" spans="1:43">
      <c r="A264" s="814"/>
      <c r="B264" s="819"/>
      <c r="C264" s="820"/>
      <c r="D264" s="821"/>
      <c r="E264" s="821"/>
      <c r="F264" s="822"/>
      <c r="G264" s="821"/>
      <c r="H264" s="823"/>
      <c r="I264" s="823"/>
      <c r="J264" s="814"/>
      <c r="K264" s="814"/>
      <c r="L264" s="814"/>
      <c r="M264" s="814"/>
      <c r="N264" s="814"/>
      <c r="O264" s="814"/>
      <c r="P264" s="814"/>
      <c r="Q264" s="814"/>
      <c r="R264" s="814"/>
      <c r="S264" s="814"/>
      <c r="T264" s="814"/>
      <c r="U264" s="814"/>
      <c r="V264" s="814"/>
      <c r="W264" s="814"/>
      <c r="X264" s="814"/>
      <c r="Y264" s="814"/>
      <c r="Z264" s="814"/>
      <c r="AA264" s="814"/>
      <c r="AB264" s="69"/>
      <c r="AC264" s="69"/>
      <c r="AD264" s="69"/>
      <c r="AE264" s="69"/>
      <c r="AF264" s="69"/>
      <c r="AG264" s="69"/>
      <c r="AH264" s="69"/>
      <c r="AI264" s="69"/>
      <c r="AJ264" s="69"/>
      <c r="AK264" s="69"/>
      <c r="AL264" s="69"/>
      <c r="AM264" s="69"/>
      <c r="AN264" s="69"/>
      <c r="AO264" s="69"/>
      <c r="AP264" s="69"/>
      <c r="AQ264" s="69"/>
    </row>
    <row r="265" spans="1:43">
      <c r="A265" s="814"/>
      <c r="B265" s="819"/>
      <c r="C265" s="820"/>
      <c r="D265" s="821"/>
      <c r="E265" s="821"/>
      <c r="F265" s="822"/>
      <c r="G265" s="821"/>
      <c r="H265" s="823"/>
      <c r="I265" s="823"/>
      <c r="J265" s="814"/>
      <c r="K265" s="814"/>
      <c r="L265" s="814"/>
      <c r="M265" s="814"/>
      <c r="N265" s="814"/>
      <c r="O265" s="814"/>
      <c r="P265" s="814"/>
      <c r="Q265" s="814"/>
      <c r="R265" s="814"/>
      <c r="S265" s="814"/>
      <c r="T265" s="814"/>
      <c r="U265" s="814"/>
      <c r="V265" s="814"/>
      <c r="W265" s="814"/>
      <c r="X265" s="814"/>
      <c r="Y265" s="814"/>
      <c r="Z265" s="814"/>
      <c r="AA265" s="814"/>
      <c r="AB265" s="69"/>
      <c r="AC265" s="69"/>
      <c r="AD265" s="69"/>
      <c r="AE265" s="69"/>
      <c r="AF265" s="69"/>
      <c r="AG265" s="69"/>
      <c r="AH265" s="69"/>
      <c r="AI265" s="69"/>
      <c r="AJ265" s="69"/>
      <c r="AK265" s="69"/>
      <c r="AL265" s="69"/>
      <c r="AM265" s="69"/>
      <c r="AN265" s="69"/>
      <c r="AO265" s="69"/>
      <c r="AP265" s="69"/>
      <c r="AQ265" s="69"/>
    </row>
    <row r="266" spans="1:43">
      <c r="A266" s="814"/>
      <c r="B266" s="819"/>
      <c r="C266" s="820"/>
      <c r="D266" s="821"/>
      <c r="E266" s="821"/>
      <c r="F266" s="822"/>
      <c r="G266" s="821"/>
      <c r="H266" s="823"/>
      <c r="I266" s="823"/>
      <c r="J266" s="814"/>
      <c r="K266" s="814"/>
      <c r="L266" s="814"/>
      <c r="M266" s="814"/>
      <c r="N266" s="814"/>
      <c r="O266" s="814"/>
      <c r="P266" s="814"/>
      <c r="Q266" s="814"/>
      <c r="R266" s="814"/>
      <c r="S266" s="814"/>
      <c r="T266" s="814"/>
      <c r="U266" s="814"/>
      <c r="V266" s="814"/>
      <c r="W266" s="814"/>
      <c r="X266" s="814"/>
      <c r="Y266" s="814"/>
      <c r="Z266" s="814"/>
      <c r="AA266" s="814"/>
      <c r="AB266" s="69"/>
      <c r="AC266" s="69"/>
      <c r="AD266" s="69"/>
      <c r="AE266" s="69"/>
      <c r="AF266" s="69"/>
      <c r="AG266" s="69"/>
      <c r="AH266" s="69"/>
      <c r="AI266" s="69"/>
      <c r="AJ266" s="69"/>
      <c r="AK266" s="69"/>
      <c r="AL266" s="69"/>
      <c r="AM266" s="69"/>
      <c r="AN266" s="69"/>
      <c r="AO266" s="69"/>
      <c r="AP266" s="69"/>
      <c r="AQ266" s="69"/>
    </row>
    <row r="267" spans="1:43">
      <c r="A267" s="814"/>
      <c r="B267" s="819"/>
      <c r="C267" s="820"/>
      <c r="D267" s="821"/>
      <c r="E267" s="821"/>
      <c r="F267" s="822"/>
      <c r="G267" s="821"/>
      <c r="H267" s="823"/>
      <c r="I267" s="823"/>
      <c r="J267" s="814"/>
      <c r="K267" s="814"/>
      <c r="L267" s="814"/>
      <c r="M267" s="814"/>
      <c r="N267" s="814"/>
      <c r="O267" s="814"/>
      <c r="P267" s="814"/>
      <c r="Q267" s="814"/>
      <c r="R267" s="814"/>
      <c r="S267" s="814"/>
      <c r="T267" s="814"/>
      <c r="U267" s="814"/>
      <c r="V267" s="814"/>
      <c r="W267" s="814"/>
      <c r="X267" s="814"/>
      <c r="Y267" s="814"/>
      <c r="Z267" s="814"/>
      <c r="AA267" s="814"/>
      <c r="AB267" s="69"/>
      <c r="AC267" s="69"/>
      <c r="AD267" s="69"/>
      <c r="AE267" s="69"/>
      <c r="AF267" s="69"/>
      <c r="AG267" s="69"/>
      <c r="AH267" s="69"/>
      <c r="AI267" s="69"/>
      <c r="AJ267" s="69"/>
      <c r="AK267" s="69"/>
      <c r="AL267" s="69"/>
      <c r="AM267" s="69"/>
      <c r="AN267" s="69"/>
      <c r="AO267" s="69"/>
      <c r="AP267" s="69"/>
      <c r="AQ267" s="69"/>
    </row>
    <row r="268" spans="1:43">
      <c r="A268" s="814"/>
      <c r="B268" s="819"/>
      <c r="C268" s="820"/>
      <c r="D268" s="821"/>
      <c r="E268" s="821"/>
      <c r="F268" s="822"/>
      <c r="G268" s="821"/>
      <c r="H268" s="823"/>
      <c r="I268" s="823"/>
      <c r="J268" s="814"/>
      <c r="K268" s="814"/>
      <c r="L268" s="814"/>
      <c r="M268" s="814"/>
      <c r="N268" s="814"/>
      <c r="O268" s="814"/>
      <c r="P268" s="814"/>
      <c r="Q268" s="814"/>
      <c r="R268" s="814"/>
      <c r="S268" s="814"/>
      <c r="T268" s="814"/>
      <c r="U268" s="814"/>
      <c r="V268" s="814"/>
      <c r="W268" s="814"/>
      <c r="X268" s="814"/>
      <c r="Y268" s="814"/>
      <c r="Z268" s="814"/>
      <c r="AA268" s="814"/>
      <c r="AB268" s="69"/>
      <c r="AC268" s="69"/>
      <c r="AD268" s="69"/>
      <c r="AE268" s="69"/>
      <c r="AF268" s="69"/>
      <c r="AG268" s="69"/>
      <c r="AH268" s="69"/>
      <c r="AI268" s="69"/>
      <c r="AJ268" s="69"/>
      <c r="AK268" s="69"/>
      <c r="AL268" s="69"/>
      <c r="AM268" s="69"/>
      <c r="AN268" s="69"/>
      <c r="AO268" s="69"/>
      <c r="AP268" s="69"/>
      <c r="AQ268" s="69"/>
    </row>
    <row r="269" spans="1:43">
      <c r="A269" s="814"/>
      <c r="B269" s="819"/>
      <c r="C269" s="820"/>
      <c r="D269" s="821"/>
      <c r="E269" s="821"/>
      <c r="F269" s="822"/>
      <c r="G269" s="821"/>
      <c r="H269" s="823"/>
      <c r="I269" s="823"/>
      <c r="J269" s="814"/>
      <c r="K269" s="814"/>
      <c r="L269" s="814"/>
      <c r="M269" s="814"/>
      <c r="N269" s="814"/>
      <c r="O269" s="814"/>
      <c r="P269" s="814"/>
      <c r="Q269" s="814"/>
      <c r="R269" s="814"/>
      <c r="S269" s="814"/>
      <c r="T269" s="814"/>
      <c r="U269" s="814"/>
      <c r="V269" s="814"/>
      <c r="W269" s="814"/>
      <c r="X269" s="814"/>
      <c r="Y269" s="814"/>
      <c r="Z269" s="814"/>
      <c r="AA269" s="814"/>
      <c r="AB269" s="69"/>
      <c r="AC269" s="69"/>
      <c r="AD269" s="69"/>
      <c r="AE269" s="69"/>
      <c r="AF269" s="69"/>
      <c r="AG269" s="69"/>
      <c r="AH269" s="69"/>
      <c r="AI269" s="69"/>
      <c r="AJ269" s="69"/>
      <c r="AK269" s="69"/>
      <c r="AL269" s="69"/>
      <c r="AM269" s="69"/>
      <c r="AN269" s="69"/>
      <c r="AO269" s="69"/>
      <c r="AP269" s="69"/>
      <c r="AQ269" s="69"/>
    </row>
    <row r="270" spans="1:43">
      <c r="A270" s="814"/>
      <c r="B270" s="819"/>
      <c r="C270" s="820"/>
      <c r="D270" s="821"/>
      <c r="E270" s="821"/>
      <c r="F270" s="822"/>
      <c r="G270" s="821"/>
      <c r="H270" s="823"/>
      <c r="I270" s="823"/>
      <c r="J270" s="814"/>
      <c r="K270" s="814"/>
      <c r="L270" s="814"/>
      <c r="M270" s="814"/>
      <c r="N270" s="814"/>
      <c r="O270" s="814"/>
      <c r="P270" s="814"/>
      <c r="Q270" s="814"/>
      <c r="R270" s="814"/>
      <c r="S270" s="814"/>
      <c r="T270" s="814"/>
      <c r="U270" s="814"/>
      <c r="V270" s="814"/>
      <c r="W270" s="814"/>
      <c r="X270" s="814"/>
      <c r="Y270" s="814"/>
      <c r="Z270" s="814"/>
      <c r="AA270" s="814"/>
      <c r="AB270" s="69"/>
      <c r="AC270" s="69"/>
      <c r="AD270" s="69"/>
      <c r="AE270" s="69"/>
      <c r="AF270" s="69"/>
      <c r="AG270" s="69"/>
      <c r="AH270" s="69"/>
      <c r="AI270" s="69"/>
      <c r="AJ270" s="69"/>
      <c r="AK270" s="69"/>
      <c r="AL270" s="69"/>
      <c r="AM270" s="69"/>
      <c r="AN270" s="69"/>
      <c r="AO270" s="69"/>
      <c r="AP270" s="69"/>
      <c r="AQ270" s="69"/>
    </row>
    <row r="271" spans="1:43">
      <c r="A271" s="814"/>
      <c r="B271" s="819"/>
      <c r="C271" s="820"/>
      <c r="D271" s="821"/>
      <c r="E271" s="821"/>
      <c r="F271" s="822"/>
      <c r="G271" s="821"/>
      <c r="H271" s="823"/>
      <c r="I271" s="823"/>
      <c r="J271" s="814"/>
      <c r="K271" s="814"/>
      <c r="L271" s="814"/>
      <c r="M271" s="814"/>
      <c r="N271" s="814"/>
      <c r="O271" s="814"/>
      <c r="P271" s="814"/>
      <c r="Q271" s="814"/>
      <c r="R271" s="814"/>
      <c r="S271" s="814"/>
      <c r="T271" s="814"/>
      <c r="U271" s="814"/>
      <c r="V271" s="814"/>
      <c r="W271" s="814"/>
      <c r="X271" s="814"/>
      <c r="Y271" s="814"/>
      <c r="Z271" s="814"/>
      <c r="AA271" s="814"/>
      <c r="AB271" s="69"/>
      <c r="AC271" s="69"/>
      <c r="AD271" s="69"/>
      <c r="AE271" s="69"/>
      <c r="AF271" s="69"/>
      <c r="AG271" s="69"/>
      <c r="AH271" s="69"/>
      <c r="AI271" s="69"/>
      <c r="AJ271" s="69"/>
      <c r="AK271" s="69"/>
      <c r="AL271" s="69"/>
      <c r="AM271" s="69"/>
      <c r="AN271" s="69"/>
      <c r="AO271" s="69"/>
      <c r="AP271" s="69"/>
      <c r="AQ271" s="69"/>
    </row>
    <row r="272" spans="1:43">
      <c r="A272" s="814"/>
      <c r="B272" s="819"/>
      <c r="C272" s="820"/>
      <c r="D272" s="821"/>
      <c r="E272" s="821"/>
      <c r="F272" s="822"/>
      <c r="G272" s="821"/>
      <c r="H272" s="823"/>
      <c r="I272" s="823"/>
      <c r="J272" s="814"/>
      <c r="K272" s="814"/>
      <c r="L272" s="814"/>
      <c r="M272" s="814"/>
      <c r="N272" s="814"/>
      <c r="O272" s="814"/>
      <c r="P272" s="814"/>
      <c r="Q272" s="814"/>
      <c r="R272" s="814"/>
      <c r="S272" s="814"/>
      <c r="T272" s="814"/>
      <c r="U272" s="814"/>
      <c r="V272" s="814"/>
      <c r="W272" s="814"/>
      <c r="X272" s="814"/>
      <c r="Y272" s="814"/>
      <c r="Z272" s="814"/>
      <c r="AA272" s="814"/>
      <c r="AB272" s="69"/>
      <c r="AC272" s="69"/>
      <c r="AD272" s="69"/>
      <c r="AE272" s="69"/>
      <c r="AF272" s="69"/>
      <c r="AG272" s="69"/>
      <c r="AH272" s="69"/>
      <c r="AI272" s="69"/>
      <c r="AJ272" s="69"/>
      <c r="AK272" s="69"/>
      <c r="AL272" s="69"/>
      <c r="AM272" s="69"/>
      <c r="AN272" s="69"/>
      <c r="AO272" s="69"/>
      <c r="AP272" s="69"/>
      <c r="AQ272" s="69"/>
    </row>
    <row r="273" spans="1:43">
      <c r="A273" s="814"/>
      <c r="B273" s="819"/>
      <c r="C273" s="820"/>
      <c r="D273" s="821"/>
      <c r="E273" s="821"/>
      <c r="F273" s="822"/>
      <c r="G273" s="821"/>
      <c r="H273" s="823"/>
      <c r="I273" s="823"/>
      <c r="J273" s="814"/>
      <c r="K273" s="814"/>
      <c r="L273" s="814"/>
      <c r="M273" s="814"/>
      <c r="N273" s="814"/>
      <c r="O273" s="814"/>
      <c r="P273" s="814"/>
      <c r="Q273" s="814"/>
      <c r="R273" s="814"/>
      <c r="S273" s="814"/>
      <c r="T273" s="814"/>
      <c r="U273" s="814"/>
      <c r="V273" s="814"/>
      <c r="W273" s="814"/>
      <c r="X273" s="814"/>
      <c r="Y273" s="814"/>
      <c r="Z273" s="814"/>
      <c r="AA273" s="814"/>
      <c r="AB273" s="69"/>
      <c r="AC273" s="69"/>
      <c r="AD273" s="69"/>
      <c r="AE273" s="69"/>
      <c r="AF273" s="69"/>
      <c r="AG273" s="69"/>
      <c r="AH273" s="69"/>
      <c r="AI273" s="69"/>
      <c r="AJ273" s="69"/>
      <c r="AK273" s="69"/>
      <c r="AL273" s="69"/>
      <c r="AM273" s="69"/>
      <c r="AN273" s="69"/>
      <c r="AO273" s="69"/>
      <c r="AP273" s="69"/>
      <c r="AQ273" s="69"/>
    </row>
    <row r="274" spans="1:43">
      <c r="A274" s="814"/>
      <c r="B274" s="819"/>
      <c r="C274" s="820"/>
      <c r="D274" s="821"/>
      <c r="E274" s="821"/>
      <c r="F274" s="822"/>
      <c r="G274" s="821"/>
      <c r="H274" s="823"/>
      <c r="I274" s="823"/>
      <c r="J274" s="814"/>
      <c r="K274" s="814"/>
      <c r="L274" s="814"/>
      <c r="M274" s="814"/>
      <c r="N274" s="814"/>
      <c r="O274" s="814"/>
      <c r="P274" s="814"/>
      <c r="Q274" s="814"/>
      <c r="R274" s="814"/>
      <c r="S274" s="814"/>
      <c r="T274" s="814"/>
      <c r="U274" s="814"/>
      <c r="V274" s="814"/>
      <c r="W274" s="814"/>
      <c r="X274" s="814"/>
      <c r="Y274" s="814"/>
      <c r="Z274" s="814"/>
      <c r="AA274" s="814"/>
      <c r="AB274" s="69"/>
      <c r="AC274" s="69"/>
      <c r="AD274" s="69"/>
      <c r="AE274" s="69"/>
      <c r="AF274" s="69"/>
      <c r="AG274" s="69"/>
      <c r="AH274" s="69"/>
      <c r="AI274" s="69"/>
      <c r="AJ274" s="69"/>
      <c r="AK274" s="69"/>
      <c r="AL274" s="69"/>
      <c r="AM274" s="69"/>
      <c r="AN274" s="69"/>
      <c r="AO274" s="69"/>
      <c r="AP274" s="69"/>
      <c r="AQ274" s="69"/>
    </row>
    <row r="275" spans="1:43">
      <c r="A275" s="814"/>
      <c r="B275" s="819"/>
      <c r="C275" s="820"/>
      <c r="D275" s="821"/>
      <c r="E275" s="821"/>
      <c r="F275" s="822"/>
      <c r="G275" s="821"/>
      <c r="H275" s="823"/>
      <c r="I275" s="823"/>
      <c r="J275" s="814"/>
      <c r="K275" s="814"/>
      <c r="L275" s="814"/>
      <c r="M275" s="814"/>
      <c r="N275" s="814"/>
      <c r="O275" s="814"/>
      <c r="P275" s="814"/>
      <c r="Q275" s="814"/>
      <c r="R275" s="814"/>
      <c r="S275" s="814"/>
      <c r="T275" s="814"/>
      <c r="U275" s="814"/>
      <c r="V275" s="814"/>
      <c r="W275" s="814"/>
      <c r="X275" s="814"/>
      <c r="Y275" s="814"/>
      <c r="Z275" s="814"/>
      <c r="AA275" s="814"/>
      <c r="AB275" s="69"/>
      <c r="AC275" s="69"/>
      <c r="AD275" s="69"/>
      <c r="AE275" s="69"/>
      <c r="AF275" s="69"/>
      <c r="AG275" s="69"/>
      <c r="AH275" s="69"/>
      <c r="AI275" s="69"/>
      <c r="AJ275" s="69"/>
      <c r="AK275" s="69"/>
      <c r="AL275" s="69"/>
      <c r="AM275" s="69"/>
      <c r="AN275" s="69"/>
      <c r="AO275" s="69"/>
      <c r="AP275" s="69"/>
      <c r="AQ275" s="69"/>
    </row>
    <row r="276" spans="1:43">
      <c r="A276" s="814"/>
      <c r="B276" s="819"/>
      <c r="C276" s="820"/>
      <c r="D276" s="821"/>
      <c r="E276" s="821"/>
      <c r="F276" s="822"/>
      <c r="G276" s="821"/>
      <c r="H276" s="823"/>
      <c r="I276" s="823"/>
      <c r="J276" s="814"/>
      <c r="K276" s="814"/>
      <c r="L276" s="814"/>
      <c r="M276" s="814"/>
      <c r="N276" s="814"/>
      <c r="O276" s="814"/>
      <c r="P276" s="814"/>
      <c r="Q276" s="814"/>
      <c r="R276" s="814"/>
      <c r="S276" s="814"/>
      <c r="T276" s="814"/>
      <c r="U276" s="814"/>
      <c r="V276" s="814"/>
      <c r="W276" s="814"/>
      <c r="X276" s="814"/>
      <c r="Y276" s="814"/>
      <c r="Z276" s="814"/>
      <c r="AA276" s="814"/>
      <c r="AB276" s="69"/>
      <c r="AC276" s="69"/>
      <c r="AD276" s="69"/>
      <c r="AE276" s="69"/>
      <c r="AF276" s="69"/>
      <c r="AG276" s="69"/>
      <c r="AH276" s="69"/>
      <c r="AI276" s="69"/>
      <c r="AJ276" s="69"/>
      <c r="AK276" s="69"/>
      <c r="AL276" s="69"/>
      <c r="AM276" s="69"/>
      <c r="AN276" s="69"/>
      <c r="AO276" s="69"/>
      <c r="AP276" s="69"/>
      <c r="AQ276" s="69"/>
    </row>
    <row r="277" spans="1:43">
      <c r="A277" s="814"/>
      <c r="B277" s="819"/>
      <c r="C277" s="820"/>
      <c r="D277" s="821"/>
      <c r="E277" s="821"/>
      <c r="F277" s="822"/>
      <c r="G277" s="821"/>
      <c r="H277" s="823"/>
      <c r="I277" s="823"/>
      <c r="J277" s="814"/>
      <c r="K277" s="814"/>
      <c r="L277" s="814"/>
      <c r="M277" s="814"/>
      <c r="N277" s="814"/>
      <c r="O277" s="814"/>
      <c r="P277" s="814"/>
      <c r="Q277" s="814"/>
      <c r="R277" s="814"/>
      <c r="S277" s="814"/>
      <c r="T277" s="814"/>
      <c r="U277" s="814"/>
      <c r="V277" s="814"/>
      <c r="W277" s="814"/>
      <c r="X277" s="814"/>
      <c r="Y277" s="814"/>
      <c r="Z277" s="814"/>
      <c r="AA277" s="814"/>
      <c r="AB277" s="69"/>
      <c r="AC277" s="69"/>
      <c r="AD277" s="69"/>
      <c r="AE277" s="69"/>
      <c r="AF277" s="69"/>
      <c r="AG277" s="69"/>
      <c r="AH277" s="69"/>
      <c r="AI277" s="69"/>
      <c r="AJ277" s="69"/>
      <c r="AK277" s="69"/>
      <c r="AL277" s="69"/>
      <c r="AM277" s="69"/>
      <c r="AN277" s="69"/>
      <c r="AO277" s="69"/>
      <c r="AP277" s="69"/>
      <c r="AQ277" s="69"/>
    </row>
    <row r="278" spans="1:43">
      <c r="A278" s="814"/>
      <c r="B278" s="819"/>
      <c r="C278" s="820"/>
      <c r="D278" s="821"/>
      <c r="E278" s="821"/>
      <c r="F278" s="822"/>
      <c r="G278" s="821"/>
      <c r="H278" s="823"/>
      <c r="I278" s="823"/>
      <c r="J278" s="814"/>
      <c r="K278" s="814"/>
      <c r="L278" s="814"/>
      <c r="M278" s="814"/>
      <c r="N278" s="814"/>
      <c r="O278" s="814"/>
      <c r="P278" s="814"/>
      <c r="Q278" s="814"/>
      <c r="R278" s="814"/>
      <c r="S278" s="814"/>
      <c r="T278" s="814"/>
      <c r="U278" s="814"/>
      <c r="V278" s="814"/>
      <c r="W278" s="814"/>
      <c r="X278" s="814"/>
      <c r="Y278" s="814"/>
      <c r="Z278" s="814"/>
      <c r="AA278" s="814"/>
      <c r="AB278" s="69"/>
      <c r="AC278" s="69"/>
      <c r="AD278" s="69"/>
      <c r="AE278" s="69"/>
      <c r="AF278" s="69"/>
      <c r="AG278" s="69"/>
      <c r="AH278" s="69"/>
      <c r="AI278" s="69"/>
      <c r="AJ278" s="69"/>
      <c r="AK278" s="69"/>
      <c r="AL278" s="69"/>
      <c r="AM278" s="69"/>
      <c r="AN278" s="69"/>
      <c r="AO278" s="69"/>
      <c r="AP278" s="69"/>
      <c r="AQ278" s="69"/>
    </row>
    <row r="279" spans="1:43">
      <c r="A279" s="814"/>
      <c r="B279" s="819"/>
      <c r="C279" s="820"/>
      <c r="D279" s="821"/>
      <c r="E279" s="821"/>
      <c r="F279" s="822"/>
      <c r="G279" s="821"/>
      <c r="H279" s="823"/>
      <c r="I279" s="823"/>
      <c r="J279" s="814"/>
      <c r="K279" s="814"/>
      <c r="L279" s="814"/>
      <c r="M279" s="814"/>
      <c r="N279" s="814"/>
      <c r="O279" s="814"/>
      <c r="P279" s="814"/>
      <c r="Q279" s="814"/>
      <c r="R279" s="814"/>
      <c r="S279" s="814"/>
      <c r="T279" s="814"/>
      <c r="U279" s="814"/>
      <c r="V279" s="814"/>
      <c r="W279" s="814"/>
      <c r="X279" s="814"/>
      <c r="Y279" s="814"/>
      <c r="Z279" s="814"/>
      <c r="AA279" s="814"/>
      <c r="AB279" s="69"/>
      <c r="AC279" s="69"/>
      <c r="AD279" s="69"/>
      <c r="AE279" s="69"/>
      <c r="AF279" s="69"/>
      <c r="AG279" s="69"/>
      <c r="AH279" s="69"/>
      <c r="AI279" s="69"/>
      <c r="AJ279" s="69"/>
      <c r="AK279" s="69"/>
      <c r="AL279" s="69"/>
      <c r="AM279" s="69"/>
      <c r="AN279" s="69"/>
      <c r="AO279" s="69"/>
      <c r="AP279" s="69"/>
      <c r="AQ279" s="69"/>
    </row>
    <row r="280" spans="1:43">
      <c r="A280" s="814"/>
      <c r="B280" s="819"/>
      <c r="C280" s="820"/>
      <c r="D280" s="821"/>
      <c r="E280" s="821"/>
      <c r="F280" s="822"/>
      <c r="G280" s="821"/>
      <c r="H280" s="823"/>
      <c r="I280" s="823"/>
      <c r="J280" s="814"/>
      <c r="K280" s="814"/>
      <c r="L280" s="814"/>
      <c r="M280" s="814"/>
      <c r="N280" s="814"/>
      <c r="O280" s="814"/>
      <c r="P280" s="814"/>
      <c r="Q280" s="814"/>
      <c r="R280" s="814"/>
      <c r="S280" s="814"/>
      <c r="T280" s="814"/>
      <c r="U280" s="814"/>
      <c r="V280" s="814"/>
      <c r="W280" s="814"/>
      <c r="X280" s="814"/>
      <c r="Y280" s="814"/>
      <c r="Z280" s="814"/>
      <c r="AA280" s="814"/>
      <c r="AB280" s="69"/>
      <c r="AC280" s="69"/>
      <c r="AD280" s="69"/>
      <c r="AE280" s="69"/>
      <c r="AF280" s="69"/>
      <c r="AG280" s="69"/>
      <c r="AH280" s="69"/>
      <c r="AI280" s="69"/>
      <c r="AJ280" s="69"/>
      <c r="AK280" s="69"/>
      <c r="AL280" s="69"/>
      <c r="AM280" s="69"/>
      <c r="AN280" s="69"/>
      <c r="AO280" s="69"/>
      <c r="AP280" s="69"/>
      <c r="AQ280" s="69"/>
    </row>
    <row r="281" spans="1:43">
      <c r="A281" s="814"/>
      <c r="B281" s="819"/>
      <c r="C281" s="820"/>
      <c r="D281" s="821"/>
      <c r="E281" s="821"/>
      <c r="F281" s="822"/>
      <c r="G281" s="821"/>
      <c r="H281" s="823"/>
      <c r="I281" s="823"/>
      <c r="J281" s="814"/>
      <c r="K281" s="814"/>
      <c r="L281" s="814"/>
      <c r="M281" s="814"/>
      <c r="N281" s="814"/>
      <c r="O281" s="814"/>
      <c r="P281" s="814"/>
      <c r="Q281" s="814"/>
      <c r="R281" s="814"/>
      <c r="S281" s="814"/>
      <c r="T281" s="814"/>
      <c r="U281" s="814"/>
      <c r="V281" s="814"/>
      <c r="W281" s="814"/>
      <c r="X281" s="814"/>
      <c r="Y281" s="814"/>
      <c r="Z281" s="814"/>
      <c r="AA281" s="814"/>
      <c r="AB281" s="69"/>
      <c r="AC281" s="69"/>
      <c r="AD281" s="69"/>
      <c r="AE281" s="69"/>
      <c r="AF281" s="69"/>
      <c r="AG281" s="69"/>
      <c r="AH281" s="69"/>
      <c r="AI281" s="69"/>
      <c r="AJ281" s="69"/>
      <c r="AK281" s="69"/>
      <c r="AL281" s="69"/>
      <c r="AM281" s="69"/>
      <c r="AN281" s="69"/>
      <c r="AO281" s="69"/>
      <c r="AP281" s="69"/>
      <c r="AQ281" s="69"/>
    </row>
    <row r="282" spans="1:43">
      <c r="A282" s="814"/>
      <c r="B282" s="819"/>
      <c r="C282" s="820"/>
      <c r="D282" s="821"/>
      <c r="E282" s="821"/>
      <c r="F282" s="822"/>
      <c r="G282" s="821"/>
      <c r="H282" s="823"/>
      <c r="I282" s="823"/>
      <c r="J282" s="814"/>
      <c r="K282" s="814"/>
      <c r="L282" s="814"/>
      <c r="M282" s="814"/>
      <c r="N282" s="814"/>
      <c r="O282" s="814"/>
      <c r="P282" s="814"/>
      <c r="Q282" s="814"/>
      <c r="R282" s="814"/>
      <c r="S282" s="814"/>
      <c r="T282" s="814"/>
      <c r="U282" s="814"/>
      <c r="V282" s="814"/>
      <c r="W282" s="814"/>
      <c r="X282" s="814"/>
      <c r="Y282" s="814"/>
      <c r="Z282" s="814"/>
      <c r="AA282" s="814"/>
      <c r="AB282" s="69"/>
      <c r="AC282" s="69"/>
      <c r="AD282" s="69"/>
      <c r="AE282" s="69"/>
      <c r="AF282" s="69"/>
      <c r="AG282" s="69"/>
      <c r="AH282" s="69"/>
      <c r="AI282" s="69"/>
      <c r="AJ282" s="69"/>
      <c r="AK282" s="69"/>
      <c r="AL282" s="69"/>
      <c r="AM282" s="69"/>
      <c r="AN282" s="69"/>
      <c r="AO282" s="69"/>
      <c r="AP282" s="69"/>
      <c r="AQ282" s="69"/>
    </row>
    <row r="283" spans="1:43">
      <c r="A283" s="814"/>
      <c r="B283" s="819"/>
      <c r="C283" s="820"/>
      <c r="D283" s="821"/>
      <c r="E283" s="821"/>
      <c r="F283" s="822"/>
      <c r="G283" s="821"/>
      <c r="H283" s="823"/>
      <c r="I283" s="823"/>
      <c r="J283" s="814"/>
      <c r="K283" s="814"/>
      <c r="L283" s="814"/>
      <c r="M283" s="814"/>
      <c r="N283" s="814"/>
      <c r="O283" s="814"/>
      <c r="P283" s="814"/>
      <c r="Q283" s="814"/>
      <c r="R283" s="814"/>
      <c r="S283" s="814"/>
      <c r="T283" s="814"/>
      <c r="U283" s="814"/>
      <c r="V283" s="814"/>
      <c r="W283" s="814"/>
      <c r="X283" s="814"/>
      <c r="Y283" s="814"/>
      <c r="Z283" s="814"/>
      <c r="AA283" s="814"/>
      <c r="AB283" s="69"/>
      <c r="AC283" s="69"/>
      <c r="AD283" s="69"/>
      <c r="AE283" s="69"/>
      <c r="AF283" s="69"/>
      <c r="AG283" s="69"/>
      <c r="AH283" s="69"/>
      <c r="AI283" s="69"/>
      <c r="AJ283" s="69"/>
      <c r="AK283" s="69"/>
      <c r="AL283" s="69"/>
      <c r="AM283" s="69"/>
      <c r="AN283" s="69"/>
      <c r="AO283" s="69"/>
      <c r="AP283" s="69"/>
      <c r="AQ283" s="69"/>
    </row>
    <row r="284" spans="1:43">
      <c r="A284" s="814"/>
      <c r="B284" s="819"/>
      <c r="C284" s="820"/>
      <c r="D284" s="821"/>
      <c r="E284" s="821"/>
      <c r="F284" s="822"/>
      <c r="G284" s="821"/>
      <c r="H284" s="823"/>
      <c r="I284" s="823"/>
      <c r="J284" s="814"/>
      <c r="K284" s="814"/>
      <c r="L284" s="814"/>
      <c r="M284" s="814"/>
      <c r="N284" s="814"/>
      <c r="O284" s="814"/>
      <c r="P284" s="814"/>
      <c r="Q284" s="814"/>
      <c r="R284" s="814"/>
      <c r="S284" s="814"/>
      <c r="T284" s="814"/>
      <c r="U284" s="814"/>
      <c r="V284" s="814"/>
      <c r="W284" s="814"/>
      <c r="X284" s="814"/>
      <c r="Y284" s="814"/>
      <c r="Z284" s="814"/>
      <c r="AA284" s="814"/>
      <c r="AB284" s="69"/>
      <c r="AC284" s="69"/>
      <c r="AD284" s="69"/>
      <c r="AE284" s="69"/>
      <c r="AF284" s="69"/>
      <c r="AG284" s="69"/>
      <c r="AH284" s="69"/>
      <c r="AI284" s="69"/>
      <c r="AJ284" s="69"/>
      <c r="AK284" s="69"/>
      <c r="AL284" s="69"/>
      <c r="AM284" s="69"/>
      <c r="AN284" s="69"/>
      <c r="AO284" s="69"/>
      <c r="AP284" s="69"/>
      <c r="AQ284" s="69"/>
    </row>
    <row r="285" spans="1:43">
      <c r="A285" s="814"/>
      <c r="B285" s="819"/>
      <c r="C285" s="820"/>
      <c r="D285" s="821"/>
      <c r="E285" s="821"/>
      <c r="F285" s="822"/>
      <c r="G285" s="821"/>
      <c r="H285" s="823"/>
      <c r="I285" s="823"/>
      <c r="J285" s="814"/>
      <c r="K285" s="814"/>
      <c r="L285" s="814"/>
      <c r="M285" s="814"/>
      <c r="N285" s="814"/>
      <c r="O285" s="814"/>
      <c r="P285" s="814"/>
      <c r="Q285" s="814"/>
      <c r="R285" s="814"/>
      <c r="S285" s="814"/>
      <c r="T285" s="814"/>
      <c r="U285" s="814"/>
      <c r="V285" s="814"/>
      <c r="W285" s="814"/>
      <c r="X285" s="814"/>
      <c r="Y285" s="814"/>
      <c r="Z285" s="814"/>
      <c r="AA285" s="814"/>
      <c r="AB285" s="69"/>
      <c r="AC285" s="69"/>
      <c r="AD285" s="69"/>
      <c r="AE285" s="69"/>
      <c r="AF285" s="69"/>
      <c r="AG285" s="69"/>
      <c r="AH285" s="69"/>
      <c r="AI285" s="69"/>
      <c r="AJ285" s="69"/>
      <c r="AK285" s="69"/>
      <c r="AL285" s="69"/>
      <c r="AM285" s="69"/>
      <c r="AN285" s="69"/>
      <c r="AO285" s="69"/>
      <c r="AP285" s="69"/>
      <c r="AQ285" s="69"/>
    </row>
    <row r="286" spans="1:43">
      <c r="A286" s="814"/>
      <c r="B286" s="819"/>
      <c r="C286" s="820"/>
      <c r="D286" s="821"/>
      <c r="E286" s="821"/>
      <c r="F286" s="822"/>
      <c r="G286" s="821"/>
      <c r="H286" s="823"/>
      <c r="I286" s="823"/>
      <c r="J286" s="814"/>
      <c r="K286" s="814"/>
      <c r="L286" s="814"/>
      <c r="M286" s="814"/>
      <c r="N286" s="814"/>
      <c r="O286" s="814"/>
      <c r="P286" s="814"/>
      <c r="Q286" s="814"/>
      <c r="R286" s="814"/>
      <c r="S286" s="814"/>
      <c r="T286" s="814"/>
      <c r="U286" s="814"/>
      <c r="V286" s="814"/>
      <c r="W286" s="814"/>
      <c r="X286" s="814"/>
      <c r="Y286" s="814"/>
      <c r="Z286" s="814"/>
      <c r="AA286" s="814"/>
      <c r="AB286" s="69"/>
      <c r="AC286" s="69"/>
      <c r="AD286" s="69"/>
      <c r="AE286" s="69"/>
      <c r="AF286" s="69"/>
      <c r="AG286" s="69"/>
      <c r="AH286" s="69"/>
      <c r="AI286" s="69"/>
      <c r="AJ286" s="69"/>
      <c r="AK286" s="69"/>
      <c r="AL286" s="69"/>
      <c r="AM286" s="69"/>
      <c r="AN286" s="69"/>
      <c r="AO286" s="69"/>
      <c r="AP286" s="69"/>
      <c r="AQ286" s="69"/>
    </row>
    <row r="287" spans="1:43">
      <c r="A287" s="814"/>
      <c r="B287" s="819"/>
      <c r="C287" s="820"/>
      <c r="D287" s="821"/>
      <c r="E287" s="821"/>
      <c r="F287" s="822"/>
      <c r="G287" s="821"/>
      <c r="H287" s="823"/>
      <c r="I287" s="823"/>
      <c r="J287" s="814"/>
      <c r="K287" s="814"/>
      <c r="L287" s="814"/>
      <c r="M287" s="814"/>
      <c r="N287" s="814"/>
      <c r="O287" s="814"/>
      <c r="P287" s="814"/>
      <c r="Q287" s="814"/>
      <c r="R287" s="814"/>
      <c r="S287" s="814"/>
      <c r="T287" s="814"/>
      <c r="U287" s="814"/>
      <c r="V287" s="814"/>
      <c r="W287" s="814"/>
      <c r="X287" s="814"/>
      <c r="Y287" s="814"/>
      <c r="Z287" s="814"/>
      <c r="AA287" s="814"/>
      <c r="AB287" s="69"/>
      <c r="AC287" s="69"/>
      <c r="AD287" s="69"/>
      <c r="AE287" s="69"/>
      <c r="AF287" s="69"/>
      <c r="AG287" s="69"/>
      <c r="AH287" s="69"/>
      <c r="AI287" s="69"/>
      <c r="AJ287" s="69"/>
      <c r="AK287" s="69"/>
      <c r="AL287" s="69"/>
      <c r="AM287" s="69"/>
      <c r="AN287" s="69"/>
      <c r="AO287" s="69"/>
      <c r="AP287" s="69"/>
      <c r="AQ287" s="69"/>
    </row>
    <row r="288" spans="1:43">
      <c r="A288" s="814"/>
      <c r="B288" s="819"/>
      <c r="C288" s="820"/>
      <c r="D288" s="821"/>
      <c r="E288" s="821"/>
      <c r="F288" s="822"/>
      <c r="G288" s="821"/>
      <c r="H288" s="823"/>
      <c r="I288" s="823"/>
      <c r="J288" s="814"/>
      <c r="K288" s="814"/>
      <c r="L288" s="814"/>
      <c r="M288" s="814"/>
      <c r="N288" s="814"/>
      <c r="O288" s="814"/>
      <c r="P288" s="814"/>
      <c r="Q288" s="814"/>
      <c r="R288" s="814"/>
      <c r="S288" s="814"/>
      <c r="T288" s="814"/>
      <c r="U288" s="814"/>
      <c r="V288" s="814"/>
      <c r="W288" s="814"/>
      <c r="X288" s="814"/>
      <c r="Y288" s="814"/>
      <c r="Z288" s="814"/>
      <c r="AA288" s="814"/>
      <c r="AB288" s="69"/>
      <c r="AC288" s="69"/>
      <c r="AD288" s="69"/>
      <c r="AE288" s="69"/>
      <c r="AF288" s="69"/>
      <c r="AG288" s="69"/>
      <c r="AH288" s="69"/>
      <c r="AI288" s="69"/>
      <c r="AJ288" s="69"/>
      <c r="AK288" s="69"/>
      <c r="AL288" s="69"/>
      <c r="AM288" s="69"/>
      <c r="AN288" s="69"/>
      <c r="AO288" s="69"/>
      <c r="AP288" s="69"/>
      <c r="AQ288" s="69"/>
    </row>
    <row r="289" spans="1:43">
      <c r="A289" s="71"/>
      <c r="B289" s="819"/>
      <c r="C289" s="820"/>
      <c r="D289" s="821"/>
      <c r="E289" s="821"/>
      <c r="F289" s="822"/>
      <c r="G289" s="821"/>
      <c r="H289" s="823"/>
      <c r="I289" s="823"/>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9"/>
      <c r="C290" s="820"/>
      <c r="D290" s="821"/>
      <c r="E290" s="821"/>
      <c r="F290" s="822"/>
      <c r="G290" s="821"/>
      <c r="H290" s="823"/>
      <c r="I290" s="823"/>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9"/>
      <c r="C291" s="820"/>
      <c r="D291" s="821"/>
      <c r="E291" s="821"/>
      <c r="F291" s="822"/>
      <c r="G291" s="821"/>
      <c r="H291" s="823"/>
      <c r="I291" s="823"/>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9"/>
      <c r="C292" s="820"/>
      <c r="D292" s="821"/>
      <c r="E292" s="821"/>
      <c r="F292" s="822"/>
      <c r="G292" s="821"/>
      <c r="H292" s="823"/>
      <c r="I292" s="823"/>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9"/>
      <c r="C293" s="820"/>
      <c r="D293" s="821"/>
      <c r="E293" s="821"/>
      <c r="F293" s="822"/>
      <c r="G293" s="821"/>
      <c r="H293" s="823"/>
      <c r="I293" s="823"/>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9"/>
      <c r="C294" s="820"/>
      <c r="D294" s="821"/>
      <c r="E294" s="821"/>
      <c r="F294" s="822"/>
      <c r="G294" s="821"/>
      <c r="H294" s="823"/>
      <c r="I294" s="823"/>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9"/>
      <c r="C295" s="820"/>
      <c r="D295" s="821"/>
      <c r="E295" s="821"/>
      <c r="F295" s="822"/>
      <c r="G295" s="821"/>
      <c r="H295" s="823"/>
      <c r="I295" s="823"/>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9"/>
      <c r="C296" s="820"/>
      <c r="D296" s="821"/>
      <c r="E296" s="821"/>
      <c r="F296" s="822"/>
      <c r="G296" s="821"/>
      <c r="H296" s="823"/>
      <c r="I296" s="823"/>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9"/>
      <c r="C297" s="820"/>
      <c r="D297" s="821"/>
      <c r="E297" s="821"/>
      <c r="F297" s="822"/>
      <c r="G297" s="821"/>
      <c r="H297" s="823"/>
      <c r="I297" s="823"/>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9"/>
      <c r="C298" s="820"/>
      <c r="D298" s="821"/>
      <c r="E298" s="821"/>
      <c r="F298" s="822"/>
      <c r="G298" s="821"/>
      <c r="H298" s="823"/>
      <c r="I298" s="823"/>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9"/>
      <c r="C299" s="820"/>
      <c r="D299" s="821"/>
      <c r="E299" s="821"/>
      <c r="F299" s="822"/>
      <c r="G299" s="821"/>
      <c r="H299" s="823"/>
      <c r="I299" s="823"/>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9"/>
      <c r="C300" s="820"/>
      <c r="D300" s="821"/>
      <c r="E300" s="821"/>
      <c r="F300" s="822"/>
      <c r="G300" s="821"/>
      <c r="H300" s="823"/>
      <c r="I300" s="823"/>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9"/>
      <c r="C301" s="820"/>
      <c r="D301" s="821"/>
      <c r="E301" s="821"/>
      <c r="F301" s="822"/>
      <c r="G301" s="821"/>
      <c r="H301" s="823"/>
      <c r="I301" s="823"/>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9"/>
      <c r="C302" s="820"/>
      <c r="D302" s="821"/>
      <c r="E302" s="821"/>
      <c r="F302" s="822"/>
      <c r="G302" s="821"/>
      <c r="H302" s="823"/>
      <c r="I302" s="823"/>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9"/>
      <c r="C303" s="820"/>
      <c r="D303" s="821"/>
      <c r="E303" s="821"/>
      <c r="F303" s="822"/>
      <c r="G303" s="821"/>
      <c r="H303" s="823"/>
      <c r="I303" s="823"/>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9"/>
      <c r="C304" s="820"/>
      <c r="D304" s="821"/>
      <c r="E304" s="821"/>
      <c r="F304" s="822"/>
      <c r="G304" s="821"/>
      <c r="H304" s="823"/>
      <c r="I304" s="823"/>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9"/>
      <c r="C305" s="820"/>
      <c r="D305" s="821"/>
      <c r="E305" s="821"/>
      <c r="F305" s="822"/>
      <c r="G305" s="821"/>
      <c r="H305" s="823"/>
      <c r="I305" s="823"/>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9"/>
      <c r="C306" s="820"/>
      <c r="D306" s="821"/>
      <c r="E306" s="821"/>
      <c r="F306" s="822"/>
      <c r="G306" s="821"/>
      <c r="H306" s="823"/>
      <c r="I306" s="823"/>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9"/>
      <c r="C307" s="820"/>
      <c r="D307" s="821"/>
      <c r="E307" s="821"/>
      <c r="F307" s="822"/>
      <c r="G307" s="821"/>
      <c r="H307" s="823"/>
      <c r="I307" s="823"/>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9"/>
      <c r="C308" s="820"/>
      <c r="D308" s="821"/>
      <c r="E308" s="821"/>
      <c r="F308" s="822"/>
      <c r="G308" s="821"/>
      <c r="H308" s="823"/>
      <c r="I308" s="823"/>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9"/>
      <c r="C309" s="820"/>
      <c r="D309" s="821"/>
      <c r="E309" s="821"/>
      <c r="F309" s="822"/>
      <c r="G309" s="821"/>
      <c r="H309" s="823"/>
      <c r="I309" s="823"/>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9"/>
      <c r="C310" s="820"/>
      <c r="D310" s="821"/>
      <c r="E310" s="821"/>
      <c r="F310" s="822"/>
      <c r="G310" s="821"/>
      <c r="H310" s="823"/>
      <c r="I310" s="823"/>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9"/>
      <c r="C311" s="820"/>
      <c r="D311" s="821"/>
      <c r="E311" s="821"/>
      <c r="F311" s="822"/>
      <c r="G311" s="821"/>
      <c r="H311" s="823"/>
      <c r="I311" s="823"/>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9"/>
      <c r="C312" s="820"/>
      <c r="D312" s="821"/>
      <c r="E312" s="821"/>
      <c r="F312" s="822"/>
      <c r="G312" s="821"/>
      <c r="H312" s="823"/>
      <c r="I312" s="823"/>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9"/>
      <c r="C313" s="820"/>
      <c r="D313" s="821"/>
      <c r="E313" s="821"/>
      <c r="F313" s="822"/>
      <c r="G313" s="821"/>
      <c r="H313" s="823"/>
      <c r="I313" s="823"/>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9"/>
      <c r="C314" s="820"/>
      <c r="D314" s="821"/>
      <c r="E314" s="821"/>
      <c r="F314" s="822"/>
      <c r="G314" s="821"/>
      <c r="H314" s="823"/>
      <c r="I314" s="823"/>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9"/>
      <c r="C315" s="820"/>
      <c r="D315" s="821"/>
      <c r="E315" s="821"/>
      <c r="F315" s="822"/>
      <c r="G315" s="821"/>
      <c r="H315" s="823"/>
      <c r="I315" s="823"/>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9"/>
      <c r="C316" s="820"/>
      <c r="D316" s="821"/>
      <c r="E316" s="821"/>
      <c r="F316" s="822"/>
      <c r="G316" s="821"/>
      <c r="H316" s="823"/>
      <c r="I316" s="823"/>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9"/>
      <c r="C317" s="820"/>
      <c r="D317" s="821"/>
      <c r="E317" s="821"/>
      <c r="F317" s="822"/>
      <c r="G317" s="821"/>
      <c r="H317" s="823"/>
      <c r="I317" s="823"/>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9"/>
      <c r="C318" s="820"/>
      <c r="D318" s="821"/>
      <c r="E318" s="821"/>
      <c r="F318" s="822"/>
      <c r="G318" s="821"/>
      <c r="H318" s="823"/>
      <c r="I318" s="823"/>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9"/>
      <c r="C319" s="820"/>
      <c r="D319" s="821"/>
      <c r="E319" s="821"/>
      <c r="F319" s="822"/>
      <c r="G319" s="821"/>
      <c r="H319" s="823"/>
      <c r="I319" s="823"/>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9"/>
      <c r="C320" s="820"/>
      <c r="D320" s="821"/>
      <c r="E320" s="821"/>
      <c r="F320" s="822"/>
      <c r="G320" s="821"/>
      <c r="H320" s="823"/>
      <c r="I320" s="823"/>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9"/>
      <c r="C321" s="820"/>
      <c r="D321" s="821"/>
      <c r="E321" s="821"/>
      <c r="F321" s="822"/>
      <c r="G321" s="821"/>
      <c r="H321" s="823"/>
      <c r="I321" s="823"/>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9"/>
      <c r="C322" s="820"/>
      <c r="D322" s="821"/>
      <c r="E322" s="821"/>
      <c r="F322" s="822"/>
      <c r="G322" s="821"/>
      <c r="H322" s="823"/>
      <c r="I322" s="823"/>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9"/>
      <c r="C323" s="820"/>
      <c r="D323" s="821"/>
      <c r="E323" s="821"/>
      <c r="F323" s="822"/>
      <c r="G323" s="821"/>
      <c r="H323" s="823"/>
      <c r="I323" s="823"/>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9"/>
      <c r="C324" s="820"/>
      <c r="D324" s="821"/>
      <c r="E324" s="821"/>
      <c r="F324" s="822"/>
      <c r="G324" s="821"/>
      <c r="H324" s="823"/>
      <c r="I324" s="823"/>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9"/>
      <c r="C325" s="820"/>
      <c r="D325" s="821"/>
      <c r="E325" s="821"/>
      <c r="F325" s="822"/>
      <c r="G325" s="821"/>
      <c r="H325" s="823"/>
      <c r="I325" s="823"/>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9"/>
      <c r="C326" s="820"/>
      <c r="D326" s="821"/>
      <c r="E326" s="821"/>
      <c r="F326" s="822"/>
      <c r="G326" s="821"/>
      <c r="H326" s="823"/>
      <c r="I326" s="823"/>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9"/>
      <c r="C327" s="820"/>
      <c r="D327" s="821"/>
      <c r="E327" s="821"/>
      <c r="F327" s="822"/>
      <c r="G327" s="821"/>
      <c r="H327" s="823"/>
      <c r="I327" s="823"/>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9"/>
      <c r="C328" s="820"/>
      <c r="D328" s="821"/>
      <c r="E328" s="821"/>
      <c r="F328" s="822"/>
      <c r="G328" s="821"/>
      <c r="H328" s="823"/>
      <c r="I328" s="823"/>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9"/>
      <c r="C329" s="820"/>
      <c r="D329" s="821"/>
      <c r="E329" s="821"/>
      <c r="F329" s="822"/>
      <c r="G329" s="821"/>
      <c r="H329" s="823"/>
      <c r="I329" s="823"/>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9"/>
      <c r="C330" s="820"/>
      <c r="D330" s="821"/>
      <c r="E330" s="821"/>
      <c r="F330" s="822"/>
      <c r="G330" s="821"/>
      <c r="H330" s="823"/>
      <c r="I330" s="823"/>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9"/>
      <c r="C331" s="820"/>
      <c r="D331" s="821"/>
      <c r="E331" s="821"/>
      <c r="F331" s="822"/>
      <c r="G331" s="821"/>
      <c r="H331" s="823"/>
      <c r="I331" s="823"/>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9"/>
      <c r="C332" s="820"/>
      <c r="D332" s="821"/>
      <c r="E332" s="821"/>
      <c r="F332" s="822"/>
      <c r="G332" s="821"/>
      <c r="H332" s="823"/>
      <c r="I332" s="823"/>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9"/>
      <c r="C333" s="820"/>
      <c r="D333" s="821"/>
      <c r="E333" s="821"/>
      <c r="F333" s="822"/>
      <c r="G333" s="821"/>
      <c r="H333" s="823"/>
      <c r="I333" s="823"/>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9"/>
      <c r="C334" s="820"/>
      <c r="D334" s="821"/>
      <c r="E334" s="821"/>
      <c r="F334" s="822"/>
      <c r="G334" s="821"/>
      <c r="H334" s="823"/>
      <c r="I334" s="823"/>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9"/>
      <c r="C335" s="820"/>
      <c r="D335" s="821"/>
      <c r="E335" s="821"/>
      <c r="F335" s="822"/>
      <c r="G335" s="821"/>
      <c r="H335" s="823"/>
      <c r="I335" s="823"/>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9"/>
      <c r="C336" s="820"/>
      <c r="D336" s="821"/>
      <c r="E336" s="821"/>
      <c r="F336" s="822"/>
      <c r="G336" s="821"/>
      <c r="H336" s="823"/>
      <c r="I336" s="823"/>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9"/>
      <c r="C337" s="820"/>
      <c r="D337" s="821"/>
      <c r="E337" s="821"/>
      <c r="F337" s="822"/>
      <c r="G337" s="821"/>
      <c r="H337" s="823"/>
      <c r="I337" s="823"/>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9"/>
      <c r="C338" s="820"/>
      <c r="D338" s="821"/>
      <c r="E338" s="821"/>
      <c r="F338" s="822"/>
      <c r="G338" s="821"/>
      <c r="H338" s="823"/>
      <c r="I338" s="823"/>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9"/>
      <c r="C339" s="820"/>
      <c r="D339" s="821"/>
      <c r="E339" s="821"/>
      <c r="F339" s="822"/>
      <c r="G339" s="821"/>
      <c r="H339" s="823"/>
      <c r="I339" s="823"/>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9"/>
      <c r="C340" s="820"/>
      <c r="D340" s="821"/>
      <c r="E340" s="821"/>
      <c r="F340" s="822"/>
      <c r="G340" s="821"/>
      <c r="H340" s="823"/>
      <c r="I340" s="823"/>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9"/>
      <c r="C341" s="820"/>
      <c r="D341" s="821"/>
      <c r="E341" s="821"/>
      <c r="F341" s="822"/>
      <c r="G341" s="821"/>
      <c r="H341" s="823"/>
      <c r="I341" s="823"/>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9"/>
      <c r="C342" s="820"/>
      <c r="D342" s="821"/>
      <c r="E342" s="821"/>
      <c r="F342" s="822"/>
      <c r="G342" s="821"/>
      <c r="H342" s="823"/>
      <c r="I342" s="823"/>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9"/>
      <c r="C343" s="820"/>
      <c r="D343" s="821"/>
      <c r="E343" s="821"/>
      <c r="F343" s="822"/>
      <c r="G343" s="821"/>
      <c r="H343" s="823"/>
      <c r="I343" s="823"/>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9"/>
      <c r="C344" s="820"/>
      <c r="D344" s="821"/>
      <c r="E344" s="821"/>
      <c r="F344" s="822"/>
      <c r="G344" s="821"/>
      <c r="H344" s="823"/>
      <c r="I344" s="823"/>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9"/>
      <c r="C345" s="820"/>
      <c r="D345" s="821"/>
      <c r="E345" s="821"/>
      <c r="F345" s="822"/>
      <c r="G345" s="821"/>
      <c r="H345" s="823"/>
      <c r="I345" s="823"/>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9"/>
      <c r="C346" s="820"/>
      <c r="D346" s="821"/>
      <c r="E346" s="821"/>
      <c r="F346" s="822"/>
      <c r="G346" s="821"/>
      <c r="H346" s="823"/>
      <c r="I346" s="823"/>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9"/>
      <c r="C347" s="820"/>
      <c r="D347" s="821"/>
      <c r="E347" s="821"/>
      <c r="F347" s="822"/>
      <c r="G347" s="821"/>
      <c r="H347" s="823"/>
      <c r="I347" s="823"/>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9"/>
      <c r="C348" s="820"/>
      <c r="D348" s="821"/>
      <c r="E348" s="821"/>
      <c r="F348" s="822"/>
      <c r="G348" s="821"/>
      <c r="H348" s="823"/>
      <c r="I348" s="823"/>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9"/>
      <c r="C349" s="820"/>
      <c r="D349" s="821"/>
      <c r="E349" s="821"/>
      <c r="F349" s="822"/>
      <c r="G349" s="821"/>
      <c r="H349" s="823"/>
      <c r="I349" s="823"/>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9"/>
      <c r="C350" s="820"/>
      <c r="D350" s="821"/>
      <c r="E350" s="821"/>
      <c r="F350" s="822"/>
      <c r="G350" s="821"/>
      <c r="H350" s="823"/>
      <c r="I350" s="823"/>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9"/>
      <c r="C351" s="820"/>
      <c r="D351" s="821"/>
      <c r="E351" s="821"/>
      <c r="F351" s="822"/>
      <c r="G351" s="821"/>
      <c r="H351" s="823"/>
      <c r="I351" s="823"/>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9"/>
      <c r="C352" s="820"/>
      <c r="D352" s="821"/>
      <c r="E352" s="821"/>
      <c r="F352" s="822"/>
      <c r="G352" s="821"/>
      <c r="H352" s="823"/>
      <c r="I352" s="823"/>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9"/>
      <c r="C353" s="820"/>
      <c r="D353" s="821"/>
      <c r="E353" s="821"/>
      <c r="F353" s="822"/>
      <c r="G353" s="821"/>
      <c r="H353" s="823"/>
      <c r="I353" s="823"/>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9"/>
      <c r="C354" s="820"/>
      <c r="D354" s="821"/>
      <c r="E354" s="821"/>
      <c r="F354" s="822"/>
      <c r="G354" s="821"/>
      <c r="H354" s="823"/>
      <c r="I354" s="823"/>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9"/>
      <c r="C355" s="820"/>
      <c r="D355" s="821"/>
      <c r="E355" s="821"/>
      <c r="F355" s="822"/>
      <c r="G355" s="821"/>
      <c r="H355" s="823"/>
      <c r="I355" s="823"/>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9"/>
      <c r="C356" s="820"/>
      <c r="D356" s="821"/>
      <c r="E356" s="821"/>
      <c r="F356" s="822"/>
      <c r="G356" s="821"/>
      <c r="H356" s="823"/>
      <c r="I356" s="823"/>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9"/>
      <c r="C357" s="820"/>
      <c r="D357" s="821"/>
      <c r="E357" s="821"/>
      <c r="F357" s="822"/>
      <c r="G357" s="821"/>
      <c r="H357" s="823"/>
      <c r="I357" s="823"/>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9"/>
      <c r="C358" s="820"/>
      <c r="D358" s="821"/>
      <c r="E358" s="821"/>
      <c r="F358" s="822"/>
      <c r="G358" s="821"/>
      <c r="H358" s="823"/>
      <c r="I358" s="823"/>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9"/>
      <c r="C359" s="820"/>
      <c r="D359" s="821"/>
      <c r="E359" s="821"/>
      <c r="F359" s="822"/>
      <c r="G359" s="821"/>
      <c r="H359" s="823"/>
      <c r="I359" s="823"/>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9"/>
      <c r="C360" s="820"/>
      <c r="D360" s="821"/>
      <c r="E360" s="821"/>
      <c r="F360" s="822"/>
      <c r="G360" s="821"/>
      <c r="H360" s="823"/>
      <c r="I360" s="823"/>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9"/>
      <c r="C361" s="820"/>
      <c r="D361" s="821"/>
      <c r="E361" s="821"/>
      <c r="F361" s="822"/>
      <c r="G361" s="821"/>
      <c r="H361" s="823"/>
      <c r="I361" s="823"/>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9"/>
      <c r="C362" s="820"/>
      <c r="D362" s="821"/>
      <c r="E362" s="821"/>
      <c r="F362" s="822"/>
      <c r="G362" s="821"/>
      <c r="H362" s="823"/>
      <c r="I362" s="823"/>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9"/>
      <c r="C363" s="820"/>
      <c r="D363" s="821"/>
      <c r="E363" s="821"/>
      <c r="F363" s="822"/>
      <c r="G363" s="821"/>
      <c r="H363" s="823"/>
      <c r="I363" s="823"/>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9"/>
      <c r="C364" s="820"/>
      <c r="D364" s="821"/>
      <c r="E364" s="821"/>
      <c r="F364" s="822"/>
      <c r="G364" s="821"/>
      <c r="H364" s="823"/>
      <c r="I364" s="823"/>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9"/>
      <c r="C365" s="820"/>
      <c r="D365" s="821"/>
      <c r="E365" s="821"/>
      <c r="F365" s="822"/>
      <c r="G365" s="821"/>
      <c r="H365" s="823"/>
      <c r="I365" s="823"/>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9"/>
      <c r="C366" s="820"/>
      <c r="D366" s="821"/>
      <c r="E366" s="821"/>
      <c r="F366" s="822"/>
      <c r="G366" s="821"/>
      <c r="H366" s="823"/>
      <c r="I366" s="823"/>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9"/>
      <c r="C367" s="820"/>
      <c r="D367" s="821"/>
      <c r="E367" s="821"/>
      <c r="F367" s="822"/>
      <c r="G367" s="821"/>
      <c r="H367" s="823"/>
      <c r="I367" s="823"/>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9"/>
      <c r="C368" s="820"/>
      <c r="D368" s="821"/>
      <c r="E368" s="821"/>
      <c r="F368" s="822"/>
      <c r="G368" s="821"/>
      <c r="H368" s="823"/>
      <c r="I368" s="823"/>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9"/>
      <c r="C369" s="820"/>
      <c r="D369" s="821"/>
      <c r="E369" s="821"/>
      <c r="F369" s="822"/>
      <c r="G369" s="821"/>
      <c r="H369" s="823"/>
      <c r="I369" s="823"/>
      <c r="J369" s="814"/>
      <c r="K369" s="814"/>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9"/>
      <c r="C370" s="820"/>
      <c r="D370" s="821"/>
      <c r="E370" s="821"/>
      <c r="F370" s="822"/>
      <c r="G370" s="821"/>
      <c r="H370" s="823"/>
      <c r="I370" s="823"/>
      <c r="J370" s="814"/>
      <c r="K370" s="814"/>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9"/>
      <c r="C371" s="820"/>
      <c r="D371" s="821"/>
      <c r="E371" s="821"/>
      <c r="F371" s="822"/>
      <c r="G371" s="821"/>
      <c r="H371" s="823"/>
      <c r="I371" s="823"/>
      <c r="J371" s="814"/>
      <c r="K371" s="814"/>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9"/>
      <c r="C372" s="820"/>
      <c r="D372" s="821"/>
      <c r="E372" s="821"/>
      <c r="F372" s="822"/>
      <c r="G372" s="821"/>
      <c r="H372" s="823"/>
      <c r="I372" s="823"/>
      <c r="J372" s="814"/>
      <c r="K372" s="814"/>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9"/>
      <c r="C373" s="820"/>
      <c r="D373" s="821"/>
      <c r="E373" s="821"/>
      <c r="F373" s="822"/>
      <c r="G373" s="821"/>
      <c r="H373" s="823"/>
      <c r="I373" s="823"/>
      <c r="J373" s="814"/>
      <c r="K373" s="814"/>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9"/>
      <c r="C374" s="820"/>
      <c r="D374" s="821"/>
      <c r="E374" s="821"/>
      <c r="F374" s="822"/>
      <c r="G374" s="821"/>
      <c r="H374" s="823"/>
      <c r="I374" s="823"/>
      <c r="J374" s="814"/>
      <c r="K374" s="814"/>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9"/>
      <c r="C375" s="820"/>
      <c r="D375" s="821"/>
      <c r="E375" s="821"/>
      <c r="F375" s="822"/>
      <c r="G375" s="821"/>
      <c r="H375" s="823"/>
      <c r="I375" s="823"/>
      <c r="J375" s="814"/>
      <c r="K375" s="814"/>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9"/>
      <c r="C376" s="820"/>
      <c r="D376" s="821"/>
      <c r="E376" s="821"/>
      <c r="F376" s="822"/>
      <c r="G376" s="821"/>
      <c r="H376" s="823"/>
      <c r="I376" s="823"/>
      <c r="J376" s="814"/>
      <c r="K376" s="814"/>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9"/>
      <c r="C377" s="820"/>
      <c r="D377" s="821"/>
      <c r="E377" s="821"/>
      <c r="F377" s="822"/>
      <c r="G377" s="821"/>
      <c r="H377" s="823"/>
      <c r="I377" s="823"/>
      <c r="J377" s="814"/>
      <c r="K377" s="814"/>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9"/>
      <c r="C378" s="820"/>
      <c r="D378" s="821"/>
      <c r="E378" s="821"/>
      <c r="F378" s="822"/>
      <c r="G378" s="821"/>
      <c r="H378" s="823"/>
      <c r="I378" s="823"/>
      <c r="J378" s="814"/>
      <c r="K378" s="814"/>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9"/>
      <c r="C379" s="820"/>
      <c r="D379" s="821"/>
      <c r="E379" s="821"/>
      <c r="F379" s="822"/>
      <c r="G379" s="821"/>
      <c r="H379" s="823"/>
      <c r="I379" s="823"/>
      <c r="J379" s="814"/>
      <c r="K379" s="814"/>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9"/>
      <c r="C380" s="820"/>
      <c r="D380" s="821"/>
      <c r="E380" s="821"/>
      <c r="F380" s="822"/>
      <c r="G380" s="821"/>
      <c r="H380" s="823"/>
      <c r="I380" s="823"/>
      <c r="J380" s="814"/>
      <c r="K380" s="814"/>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9"/>
      <c r="C381" s="820"/>
      <c r="D381" s="821"/>
      <c r="E381" s="821"/>
      <c r="F381" s="822"/>
      <c r="G381" s="821"/>
      <c r="H381" s="823"/>
      <c r="I381" s="823"/>
      <c r="J381" s="814"/>
      <c r="K381" s="814"/>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9"/>
      <c r="C382" s="820"/>
      <c r="D382" s="821"/>
      <c r="E382" s="821"/>
      <c r="F382" s="822"/>
      <c r="G382" s="821"/>
      <c r="H382" s="823"/>
      <c r="I382" s="823"/>
      <c r="J382" s="814"/>
      <c r="K382" s="814"/>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9"/>
      <c r="C383" s="820"/>
      <c r="D383" s="821"/>
      <c r="E383" s="821"/>
      <c r="F383" s="822"/>
      <c r="G383" s="821"/>
      <c r="H383" s="823"/>
      <c r="I383" s="823"/>
      <c r="J383" s="814"/>
      <c r="K383" s="814"/>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9"/>
      <c r="C384" s="820"/>
      <c r="D384" s="821"/>
      <c r="E384" s="821"/>
      <c r="F384" s="822"/>
      <c r="G384" s="821"/>
      <c r="H384" s="823"/>
      <c r="I384" s="823"/>
      <c r="J384" s="814"/>
      <c r="K384" s="814"/>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9"/>
      <c r="C385" s="820"/>
      <c r="D385" s="821"/>
      <c r="E385" s="821"/>
      <c r="F385" s="822"/>
      <c r="G385" s="821"/>
      <c r="H385" s="823"/>
      <c r="I385" s="823"/>
      <c r="J385" s="814"/>
      <c r="K385" s="814"/>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9"/>
      <c r="C386" s="820"/>
      <c r="D386" s="821"/>
      <c r="E386" s="821"/>
      <c r="F386" s="822"/>
      <c r="G386" s="821"/>
      <c r="H386" s="823"/>
      <c r="I386" s="823"/>
      <c r="J386" s="814"/>
      <c r="K386" s="814"/>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9"/>
      <c r="C387" s="820"/>
      <c r="D387" s="821"/>
      <c r="E387" s="821"/>
      <c r="F387" s="822"/>
      <c r="G387" s="821"/>
      <c r="H387" s="823"/>
      <c r="I387" s="823"/>
      <c r="J387" s="814"/>
      <c r="K387" s="814"/>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9"/>
      <c r="C388" s="820"/>
      <c r="D388" s="821"/>
      <c r="E388" s="821"/>
      <c r="F388" s="822"/>
      <c r="G388" s="821"/>
      <c r="H388" s="823"/>
      <c r="I388" s="823"/>
      <c r="J388" s="814"/>
      <c r="K388" s="814"/>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9"/>
      <c r="C389" s="820"/>
      <c r="D389" s="821"/>
      <c r="E389" s="821"/>
      <c r="F389" s="822"/>
      <c r="G389" s="821"/>
      <c r="H389" s="823"/>
      <c r="I389" s="823"/>
      <c r="J389" s="814"/>
      <c r="K389" s="814"/>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9"/>
      <c r="C390" s="820"/>
      <c r="D390" s="821"/>
      <c r="E390" s="821"/>
      <c r="F390" s="822"/>
      <c r="G390" s="821"/>
      <c r="H390" s="823"/>
      <c r="I390" s="823"/>
      <c r="J390" s="814"/>
      <c r="K390" s="814"/>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9"/>
      <c r="C391" s="820"/>
      <c r="D391" s="821"/>
      <c r="E391" s="821"/>
      <c r="F391" s="822"/>
      <c r="G391" s="821"/>
      <c r="H391" s="823"/>
      <c r="I391" s="823"/>
      <c r="J391" s="814"/>
      <c r="K391" s="814"/>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9"/>
      <c r="C392" s="820"/>
      <c r="D392" s="821"/>
      <c r="E392" s="821"/>
      <c r="F392" s="822"/>
      <c r="G392" s="821"/>
      <c r="H392" s="823"/>
      <c r="I392" s="823"/>
      <c r="J392" s="814"/>
      <c r="K392" s="814"/>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9"/>
      <c r="C393" s="820"/>
      <c r="D393" s="821"/>
      <c r="E393" s="821"/>
      <c r="F393" s="822"/>
      <c r="G393" s="821"/>
      <c r="H393" s="823"/>
      <c r="I393" s="823"/>
      <c r="J393" s="814"/>
      <c r="K393" s="814"/>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9"/>
      <c r="C394" s="820"/>
      <c r="D394" s="821"/>
      <c r="E394" s="821"/>
      <c r="F394" s="822"/>
      <c r="G394" s="821"/>
      <c r="H394" s="823"/>
      <c r="I394" s="823"/>
      <c r="J394" s="814"/>
      <c r="K394" s="814"/>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9"/>
      <c r="C395" s="820"/>
      <c r="D395" s="821"/>
      <c r="E395" s="821"/>
      <c r="F395" s="822"/>
      <c r="G395" s="821"/>
      <c r="H395" s="823"/>
      <c r="I395" s="823"/>
      <c r="J395" s="814"/>
      <c r="K395" s="814"/>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9"/>
      <c r="C396" s="820"/>
      <c r="D396" s="821"/>
      <c r="E396" s="821"/>
      <c r="F396" s="822"/>
      <c r="G396" s="821"/>
      <c r="H396" s="823"/>
      <c r="I396" s="823"/>
      <c r="J396" s="814"/>
      <c r="K396" s="814"/>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9"/>
      <c r="C397" s="820"/>
      <c r="D397" s="821"/>
      <c r="E397" s="821"/>
      <c r="F397" s="822"/>
      <c r="G397" s="821"/>
      <c r="H397" s="823"/>
      <c r="I397" s="823"/>
      <c r="J397" s="814"/>
      <c r="K397" s="814"/>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9"/>
      <c r="C398" s="820"/>
      <c r="D398" s="821"/>
      <c r="E398" s="821"/>
      <c r="F398" s="822"/>
      <c r="G398" s="821"/>
      <c r="H398" s="823"/>
      <c r="I398" s="823"/>
      <c r="J398" s="814"/>
      <c r="K398" s="814"/>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9"/>
      <c r="C399" s="820"/>
      <c r="D399" s="821"/>
      <c r="E399" s="821"/>
      <c r="F399" s="822"/>
      <c r="G399" s="821"/>
      <c r="H399" s="823"/>
      <c r="I399" s="823"/>
      <c r="J399" s="814"/>
      <c r="K399" s="814"/>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9"/>
      <c r="C400" s="820"/>
      <c r="D400" s="821"/>
      <c r="E400" s="821"/>
      <c r="F400" s="822"/>
      <c r="G400" s="821"/>
      <c r="H400" s="823"/>
      <c r="I400" s="823"/>
      <c r="J400" s="814"/>
      <c r="K400" s="814"/>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9"/>
      <c r="C401" s="820"/>
      <c r="D401" s="821"/>
      <c r="E401" s="821"/>
      <c r="F401" s="822"/>
      <c r="G401" s="821"/>
      <c r="H401" s="823"/>
      <c r="I401" s="823"/>
      <c r="J401" s="814"/>
      <c r="K401" s="814"/>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9"/>
      <c r="C402" s="820"/>
      <c r="D402" s="821"/>
      <c r="E402" s="821"/>
      <c r="F402" s="822"/>
      <c r="G402" s="821"/>
      <c r="H402" s="823"/>
      <c r="I402" s="823"/>
      <c r="J402" s="814"/>
      <c r="K402" s="814"/>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9"/>
      <c r="C403" s="820"/>
      <c r="D403" s="821"/>
      <c r="E403" s="821"/>
      <c r="F403" s="822"/>
      <c r="G403" s="821"/>
      <c r="H403" s="823"/>
      <c r="I403" s="823"/>
      <c r="J403" s="814"/>
      <c r="K403" s="814"/>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9"/>
      <c r="C404" s="820"/>
      <c r="D404" s="821"/>
      <c r="E404" s="821"/>
      <c r="F404" s="822"/>
      <c r="G404" s="821"/>
      <c r="H404" s="823"/>
      <c r="I404" s="823"/>
      <c r="J404" s="814"/>
      <c r="K404" s="814"/>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9"/>
      <c r="C405" s="820"/>
      <c r="D405" s="821"/>
      <c r="E405" s="821"/>
      <c r="F405" s="822"/>
      <c r="G405" s="821"/>
      <c r="H405" s="823"/>
      <c r="I405" s="823"/>
      <c r="J405" s="814"/>
      <c r="K405" s="814"/>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9"/>
      <c r="C406" s="820"/>
      <c r="D406" s="821"/>
      <c r="E406" s="821"/>
      <c r="F406" s="822"/>
      <c r="G406" s="821"/>
      <c r="H406" s="823"/>
      <c r="I406" s="823"/>
      <c r="J406" s="814"/>
      <c r="K406" s="814"/>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9"/>
      <c r="C407" s="820"/>
      <c r="D407" s="821"/>
      <c r="E407" s="821"/>
      <c r="F407" s="822"/>
      <c r="G407" s="821"/>
      <c r="H407" s="823"/>
      <c r="I407" s="823"/>
      <c r="J407" s="814"/>
      <c r="K407" s="814"/>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9"/>
      <c r="C408" s="820"/>
      <c r="D408" s="821"/>
      <c r="E408" s="821"/>
      <c r="F408" s="822"/>
      <c r="G408" s="821"/>
      <c r="H408" s="823"/>
      <c r="I408" s="823"/>
      <c r="J408" s="814"/>
      <c r="K408" s="814"/>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9"/>
      <c r="C409" s="820"/>
      <c r="D409" s="821"/>
      <c r="E409" s="821"/>
      <c r="F409" s="822"/>
      <c r="G409" s="821"/>
      <c r="H409" s="823"/>
      <c r="I409" s="823"/>
      <c r="J409" s="814"/>
      <c r="K409" s="814"/>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9"/>
      <c r="C410" s="820"/>
      <c r="D410" s="821"/>
      <c r="E410" s="821"/>
      <c r="F410" s="822"/>
      <c r="G410" s="821"/>
      <c r="H410" s="823"/>
      <c r="I410" s="823"/>
      <c r="J410" s="814"/>
      <c r="K410" s="814"/>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9"/>
      <c r="C411" s="820"/>
      <c r="D411" s="821"/>
      <c r="E411" s="821"/>
      <c r="F411" s="822"/>
      <c r="G411" s="821"/>
      <c r="H411" s="823"/>
      <c r="I411" s="823"/>
      <c r="J411" s="814"/>
      <c r="K411" s="814"/>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9"/>
      <c r="C412" s="820"/>
      <c r="D412" s="821"/>
      <c r="E412" s="821"/>
      <c r="F412" s="822"/>
      <c r="G412" s="821"/>
      <c r="H412" s="823"/>
      <c r="I412" s="823"/>
      <c r="J412" s="814"/>
      <c r="K412" s="814"/>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9"/>
      <c r="C413" s="820"/>
      <c r="D413" s="821"/>
      <c r="E413" s="821"/>
      <c r="F413" s="822"/>
      <c r="G413" s="821"/>
      <c r="H413" s="823"/>
      <c r="I413" s="823"/>
      <c r="J413" s="814"/>
      <c r="K413" s="814"/>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9"/>
      <c r="C414" s="820"/>
      <c r="D414" s="821"/>
      <c r="E414" s="821"/>
      <c r="F414" s="822"/>
      <c r="G414" s="821"/>
      <c r="H414" s="823"/>
      <c r="I414" s="823"/>
      <c r="J414" s="814"/>
      <c r="K414" s="814"/>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9"/>
      <c r="C415" s="820"/>
      <c r="D415" s="821"/>
      <c r="E415" s="821"/>
      <c r="F415" s="822"/>
      <c r="G415" s="821"/>
      <c r="H415" s="823"/>
      <c r="I415" s="823"/>
      <c r="J415" s="814"/>
      <c r="K415" s="814"/>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9"/>
      <c r="C416" s="820"/>
      <c r="D416" s="821"/>
      <c r="E416" s="821"/>
      <c r="F416" s="822"/>
      <c r="G416" s="821"/>
      <c r="H416" s="823"/>
      <c r="I416" s="823"/>
      <c r="J416" s="814"/>
      <c r="K416" s="814"/>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9"/>
      <c r="C417" s="820"/>
      <c r="D417" s="821"/>
      <c r="E417" s="821"/>
      <c r="F417" s="822"/>
      <c r="G417" s="821"/>
      <c r="H417" s="823"/>
      <c r="I417" s="823"/>
      <c r="J417" s="814"/>
      <c r="K417" s="814"/>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9"/>
      <c r="C418" s="820"/>
      <c r="D418" s="821"/>
      <c r="E418" s="821"/>
      <c r="F418" s="822"/>
      <c r="G418" s="821"/>
      <c r="H418" s="823"/>
      <c r="I418" s="823"/>
      <c r="J418" s="814"/>
      <c r="K418" s="814"/>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9"/>
      <c r="C419" s="820"/>
      <c r="D419" s="821"/>
      <c r="E419" s="821"/>
      <c r="F419" s="822"/>
      <c r="G419" s="821"/>
      <c r="H419" s="823"/>
      <c r="I419" s="823"/>
      <c r="J419" s="814"/>
      <c r="K419" s="814"/>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9"/>
      <c r="C420" s="820"/>
      <c r="D420" s="821"/>
      <c r="E420" s="821"/>
      <c r="F420" s="822"/>
      <c r="G420" s="821"/>
      <c r="H420" s="823"/>
      <c r="I420" s="823"/>
      <c r="J420" s="814"/>
      <c r="K420" s="814"/>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9"/>
      <c r="C421" s="820"/>
      <c r="D421" s="821"/>
      <c r="E421" s="821"/>
      <c r="F421" s="822"/>
      <c r="G421" s="821"/>
      <c r="H421" s="823"/>
      <c r="I421" s="823"/>
      <c r="J421" s="814"/>
      <c r="K421" s="814"/>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9"/>
      <c r="C422" s="820"/>
      <c r="D422" s="821"/>
      <c r="E422" s="821"/>
      <c r="F422" s="822"/>
      <c r="G422" s="821"/>
      <c r="H422" s="823"/>
      <c r="I422" s="823"/>
      <c r="J422" s="814"/>
      <c r="K422" s="814"/>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9"/>
      <c r="C423" s="820"/>
      <c r="D423" s="821"/>
      <c r="E423" s="821"/>
      <c r="F423" s="822"/>
      <c r="G423" s="821"/>
      <c r="H423" s="823"/>
      <c r="I423" s="823"/>
      <c r="J423" s="814"/>
      <c r="K423" s="814"/>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9"/>
      <c r="C424" s="820"/>
      <c r="D424" s="821"/>
      <c r="E424" s="821"/>
      <c r="F424" s="822"/>
      <c r="G424" s="821"/>
      <c r="H424" s="823"/>
      <c r="I424" s="823"/>
      <c r="J424" s="814"/>
      <c r="K424" s="814"/>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9"/>
      <c r="C425" s="820"/>
      <c r="D425" s="821"/>
      <c r="E425" s="821"/>
      <c r="F425" s="822"/>
      <c r="G425" s="821"/>
      <c r="H425" s="823"/>
      <c r="I425" s="823"/>
      <c r="J425" s="814"/>
      <c r="K425" s="814"/>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9"/>
      <c r="C426" s="820"/>
      <c r="D426" s="821"/>
      <c r="E426" s="821"/>
      <c r="F426" s="822"/>
      <c r="G426" s="821"/>
      <c r="H426" s="823"/>
      <c r="I426" s="823"/>
      <c r="J426" s="814"/>
      <c r="K426" s="814"/>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9"/>
      <c r="C427" s="820"/>
      <c r="D427" s="821"/>
      <c r="E427" s="821"/>
      <c r="F427" s="822"/>
      <c r="G427" s="821"/>
      <c r="H427" s="823"/>
      <c r="I427" s="823"/>
      <c r="J427" s="814"/>
      <c r="K427" s="814"/>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9"/>
      <c r="C428" s="820"/>
      <c r="D428" s="821"/>
      <c r="E428" s="821"/>
      <c r="F428" s="822"/>
      <c r="G428" s="821"/>
      <c r="H428" s="823"/>
      <c r="I428" s="823"/>
      <c r="J428" s="814"/>
      <c r="K428" s="814"/>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9"/>
      <c r="C429" s="820"/>
      <c r="D429" s="821"/>
      <c r="E429" s="821"/>
      <c r="F429" s="822"/>
      <c r="G429" s="821"/>
      <c r="H429" s="823"/>
      <c r="I429" s="823"/>
      <c r="J429" s="814"/>
      <c r="K429" s="814"/>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9"/>
      <c r="C430" s="820"/>
      <c r="D430" s="821"/>
      <c r="E430" s="821"/>
      <c r="F430" s="822"/>
      <c r="G430" s="821"/>
      <c r="H430" s="823"/>
      <c r="I430" s="823"/>
      <c r="J430" s="814"/>
      <c r="K430" s="814"/>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9"/>
      <c r="C431" s="820"/>
      <c r="D431" s="821"/>
      <c r="E431" s="821"/>
      <c r="F431" s="822"/>
      <c r="G431" s="821"/>
      <c r="H431" s="823"/>
      <c r="I431" s="823"/>
      <c r="J431" s="814"/>
      <c r="K431" s="814"/>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9"/>
      <c r="C432" s="820"/>
      <c r="D432" s="821"/>
      <c r="E432" s="821"/>
      <c r="F432" s="822"/>
      <c r="G432" s="821"/>
      <c r="H432" s="823"/>
      <c r="I432" s="823"/>
      <c r="J432" s="814"/>
      <c r="K432" s="814"/>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9"/>
      <c r="C433" s="820"/>
      <c r="D433" s="821"/>
      <c r="E433" s="821"/>
      <c r="F433" s="822"/>
      <c r="G433" s="821"/>
      <c r="H433" s="823"/>
      <c r="I433" s="823"/>
      <c r="J433" s="814"/>
      <c r="K433" s="814"/>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9"/>
      <c r="C434" s="820"/>
      <c r="D434" s="821"/>
      <c r="E434" s="821"/>
      <c r="F434" s="822"/>
      <c r="G434" s="821"/>
      <c r="H434" s="823"/>
      <c r="I434" s="823"/>
      <c r="J434" s="814"/>
      <c r="K434" s="814"/>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9"/>
      <c r="C435" s="820"/>
      <c r="D435" s="821"/>
      <c r="E435" s="821"/>
      <c r="F435" s="822"/>
      <c r="G435" s="821"/>
      <c r="H435" s="823"/>
      <c r="I435" s="823"/>
      <c r="J435" s="814"/>
      <c r="K435" s="814"/>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9"/>
      <c r="C436" s="820"/>
      <c r="D436" s="821"/>
      <c r="E436" s="821"/>
      <c r="F436" s="822"/>
      <c r="G436" s="821"/>
      <c r="H436" s="823"/>
      <c r="I436" s="823"/>
      <c r="J436" s="814"/>
      <c r="K436" s="814"/>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9"/>
      <c r="C437" s="820"/>
      <c r="D437" s="821"/>
      <c r="E437" s="821"/>
      <c r="F437" s="822"/>
      <c r="G437" s="821"/>
      <c r="H437" s="823"/>
      <c r="I437" s="823"/>
      <c r="J437" s="814"/>
      <c r="K437" s="814"/>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9"/>
      <c r="C438" s="820"/>
      <c r="D438" s="821"/>
      <c r="E438" s="821"/>
      <c r="F438" s="822"/>
      <c r="G438" s="821"/>
      <c r="H438" s="823"/>
      <c r="I438" s="823"/>
      <c r="J438" s="814"/>
      <c r="K438" s="814"/>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9"/>
      <c r="C439" s="820"/>
      <c r="D439" s="821"/>
      <c r="E439" s="821"/>
      <c r="F439" s="822"/>
      <c r="G439" s="821"/>
      <c r="H439" s="823"/>
      <c r="I439" s="823"/>
      <c r="J439" s="814"/>
      <c r="K439" s="814"/>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9"/>
      <c r="C440" s="820"/>
      <c r="D440" s="821"/>
      <c r="E440" s="821"/>
      <c r="F440" s="822"/>
      <c r="G440" s="821"/>
      <c r="H440" s="823"/>
      <c r="I440" s="823"/>
      <c r="J440" s="814"/>
      <c r="K440" s="814"/>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9"/>
      <c r="C441" s="820"/>
      <c r="D441" s="821"/>
      <c r="E441" s="821"/>
      <c r="F441" s="822"/>
      <c r="G441" s="821"/>
      <c r="H441" s="823"/>
      <c r="I441" s="823"/>
      <c r="J441" s="814"/>
      <c r="K441" s="814"/>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9"/>
      <c r="C442" s="820"/>
      <c r="D442" s="821"/>
      <c r="E442" s="821"/>
      <c r="F442" s="822"/>
      <c r="G442" s="821"/>
      <c r="H442" s="823"/>
      <c r="I442" s="823"/>
      <c r="J442" s="814"/>
      <c r="K442" s="814"/>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9"/>
      <c r="C443" s="820"/>
      <c r="D443" s="821"/>
      <c r="E443" s="821"/>
      <c r="F443" s="822"/>
      <c r="G443" s="821"/>
      <c r="H443" s="823"/>
      <c r="I443" s="823"/>
      <c r="J443" s="814"/>
      <c r="K443" s="814"/>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9"/>
      <c r="C444" s="820"/>
      <c r="D444" s="821"/>
      <c r="E444" s="821"/>
      <c r="F444" s="822"/>
      <c r="G444" s="821"/>
      <c r="H444" s="823"/>
      <c r="I444" s="823"/>
      <c r="J444" s="814"/>
      <c r="K444" s="814"/>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9"/>
      <c r="C445" s="820"/>
      <c r="D445" s="821"/>
      <c r="E445" s="821"/>
      <c r="F445" s="822"/>
      <c r="G445" s="821"/>
      <c r="H445" s="823"/>
      <c r="I445" s="823"/>
      <c r="J445" s="814"/>
      <c r="K445" s="814"/>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9"/>
      <c r="C446" s="820"/>
      <c r="D446" s="821"/>
      <c r="E446" s="821"/>
      <c r="F446" s="822"/>
      <c r="G446" s="821"/>
      <c r="H446" s="823"/>
      <c r="I446" s="823"/>
      <c r="J446" s="814"/>
      <c r="K446" s="814"/>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9"/>
      <c r="C447" s="820"/>
      <c r="D447" s="821"/>
      <c r="E447" s="821"/>
      <c r="F447" s="822"/>
      <c r="G447" s="821"/>
      <c r="H447" s="823"/>
      <c r="I447" s="823"/>
      <c r="J447" s="814"/>
      <c r="K447" s="814"/>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9"/>
      <c r="C448" s="820"/>
      <c r="D448" s="821"/>
      <c r="E448" s="821"/>
      <c r="F448" s="822"/>
      <c r="G448" s="821"/>
      <c r="H448" s="823"/>
      <c r="I448" s="823"/>
      <c r="J448" s="814"/>
      <c r="K448" s="814"/>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9"/>
      <c r="C449" s="820"/>
      <c r="D449" s="821"/>
      <c r="E449" s="821"/>
      <c r="F449" s="822"/>
      <c r="G449" s="821"/>
      <c r="H449" s="823"/>
      <c r="I449" s="823"/>
      <c r="J449" s="814"/>
      <c r="K449" s="814"/>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9"/>
      <c r="C450" s="820"/>
      <c r="D450" s="821"/>
      <c r="E450" s="821"/>
      <c r="F450" s="822"/>
      <c r="G450" s="821"/>
      <c r="H450" s="823"/>
      <c r="I450" s="823"/>
      <c r="J450" s="814"/>
      <c r="K450" s="814"/>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9"/>
      <c r="C451" s="820"/>
      <c r="D451" s="821"/>
      <c r="E451" s="821"/>
      <c r="F451" s="822"/>
      <c r="G451" s="821"/>
      <c r="H451" s="823"/>
      <c r="I451" s="823"/>
      <c r="J451" s="814"/>
      <c r="K451" s="814"/>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9"/>
      <c r="C452" s="820"/>
      <c r="D452" s="821"/>
      <c r="E452" s="821"/>
      <c r="F452" s="822"/>
      <c r="G452" s="821"/>
      <c r="H452" s="823"/>
      <c r="I452" s="823"/>
      <c r="J452" s="814"/>
      <c r="K452" s="814"/>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9"/>
      <c r="C453" s="820"/>
      <c r="D453" s="821"/>
      <c r="E453" s="821"/>
      <c r="F453" s="822"/>
      <c r="G453" s="821"/>
      <c r="H453" s="823"/>
      <c r="I453" s="823"/>
      <c r="J453" s="814"/>
      <c r="K453" s="814"/>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9"/>
      <c r="C454" s="820"/>
      <c r="D454" s="821"/>
      <c r="E454" s="821"/>
      <c r="F454" s="822"/>
      <c r="G454" s="821"/>
      <c r="H454" s="823"/>
      <c r="I454" s="823"/>
      <c r="J454" s="814"/>
      <c r="K454" s="814"/>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9"/>
      <c r="C455" s="820"/>
      <c r="D455" s="821"/>
      <c r="E455" s="821"/>
      <c r="F455" s="822"/>
      <c r="G455" s="821"/>
      <c r="H455" s="823"/>
      <c r="I455" s="823"/>
      <c r="J455" s="814"/>
      <c r="K455" s="814"/>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9"/>
      <c r="C456" s="820"/>
      <c r="D456" s="821"/>
      <c r="E456" s="821"/>
      <c r="F456" s="822"/>
      <c r="G456" s="821"/>
      <c r="H456" s="823"/>
      <c r="I456" s="823"/>
      <c r="J456" s="814"/>
      <c r="K456" s="814"/>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9"/>
      <c r="C457" s="820"/>
      <c r="D457" s="821"/>
      <c r="E457" s="821"/>
      <c r="F457" s="822"/>
      <c r="G457" s="821"/>
      <c r="H457" s="823"/>
      <c r="I457" s="823"/>
      <c r="J457" s="814"/>
      <c r="K457" s="814"/>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9"/>
      <c r="C458" s="820"/>
      <c r="D458" s="821"/>
      <c r="E458" s="821"/>
      <c r="F458" s="822"/>
      <c r="G458" s="821"/>
      <c r="H458" s="823"/>
      <c r="I458" s="823"/>
      <c r="J458" s="814"/>
      <c r="K458" s="814"/>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9"/>
      <c r="C459" s="820"/>
      <c r="D459" s="821"/>
      <c r="E459" s="821"/>
      <c r="F459" s="822"/>
      <c r="G459" s="821"/>
      <c r="H459" s="823"/>
      <c r="I459" s="823"/>
      <c r="J459" s="814"/>
      <c r="K459" s="814"/>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9"/>
      <c r="C460" s="820"/>
      <c r="D460" s="821"/>
      <c r="E460" s="821"/>
      <c r="F460" s="822"/>
      <c r="G460" s="821"/>
      <c r="H460" s="823"/>
      <c r="I460" s="823"/>
      <c r="J460" s="814"/>
      <c r="K460" s="814"/>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9"/>
      <c r="C461" s="820"/>
      <c r="D461" s="821"/>
      <c r="E461" s="821"/>
      <c r="F461" s="822"/>
      <c r="G461" s="821"/>
      <c r="H461" s="823"/>
      <c r="I461" s="823"/>
      <c r="J461" s="814"/>
      <c r="K461" s="814"/>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9"/>
      <c r="C462" s="820"/>
      <c r="D462" s="821"/>
      <c r="E462" s="821"/>
      <c r="F462" s="822"/>
      <c r="G462" s="821"/>
      <c r="H462" s="823"/>
      <c r="I462" s="823"/>
      <c r="J462" s="814"/>
      <c r="K462" s="814"/>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9"/>
      <c r="C463" s="820"/>
      <c r="D463" s="821"/>
      <c r="E463" s="821"/>
      <c r="F463" s="822"/>
      <c r="G463" s="821"/>
      <c r="H463" s="823"/>
      <c r="I463" s="823"/>
      <c r="J463" s="814"/>
      <c r="K463" s="814"/>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9"/>
      <c r="C464" s="820"/>
      <c r="D464" s="821"/>
      <c r="E464" s="821"/>
      <c r="F464" s="822"/>
      <c r="G464" s="821"/>
      <c r="H464" s="823"/>
      <c r="I464" s="823"/>
      <c r="J464" s="814"/>
      <c r="K464" s="814"/>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9"/>
      <c r="C465" s="820"/>
      <c r="D465" s="821"/>
      <c r="E465" s="821"/>
      <c r="F465" s="822"/>
      <c r="G465" s="821"/>
      <c r="H465" s="823"/>
      <c r="I465" s="823"/>
      <c r="J465" s="814"/>
      <c r="K465" s="814"/>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9"/>
      <c r="C466" s="820"/>
      <c r="D466" s="821"/>
      <c r="E466" s="821"/>
      <c r="F466" s="822"/>
      <c r="G466" s="821"/>
      <c r="H466" s="823"/>
      <c r="I466" s="823"/>
      <c r="J466" s="814"/>
      <c r="K466" s="814"/>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9"/>
      <c r="C467" s="820"/>
      <c r="D467" s="821"/>
      <c r="E467" s="821"/>
      <c r="F467" s="822"/>
      <c r="G467" s="821"/>
      <c r="H467" s="823"/>
      <c r="I467" s="823"/>
      <c r="J467" s="814"/>
      <c r="K467" s="814"/>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9"/>
      <c r="C468" s="820"/>
      <c r="D468" s="821"/>
      <c r="E468" s="821"/>
      <c r="F468" s="822"/>
      <c r="G468" s="821"/>
      <c r="H468" s="823"/>
      <c r="I468" s="823"/>
      <c r="J468" s="814"/>
      <c r="K468" s="814"/>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9"/>
      <c r="C469" s="820"/>
      <c r="D469" s="821"/>
      <c r="E469" s="821"/>
      <c r="F469" s="822"/>
      <c r="G469" s="821"/>
      <c r="H469" s="823"/>
      <c r="I469" s="823"/>
      <c r="J469" s="814"/>
      <c r="K469" s="814"/>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9"/>
      <c r="C470" s="820"/>
      <c r="D470" s="821"/>
      <c r="E470" s="821"/>
      <c r="F470" s="822"/>
      <c r="G470" s="821"/>
      <c r="H470" s="823"/>
      <c r="I470" s="823"/>
      <c r="J470" s="814"/>
      <c r="K470" s="814"/>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9"/>
      <c r="C471" s="820"/>
      <c r="D471" s="821"/>
      <c r="E471" s="821"/>
      <c r="F471" s="822"/>
      <c r="G471" s="821"/>
      <c r="H471" s="823"/>
      <c r="I471" s="823"/>
      <c r="J471" s="814"/>
      <c r="K471" s="814"/>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9"/>
      <c r="C472" s="820"/>
      <c r="D472" s="821"/>
      <c r="E472" s="821"/>
      <c r="F472" s="822"/>
      <c r="G472" s="821"/>
      <c r="H472" s="823"/>
      <c r="I472" s="823"/>
      <c r="J472" s="814"/>
      <c r="K472" s="814"/>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9"/>
      <c r="C473" s="820"/>
      <c r="D473" s="821"/>
      <c r="E473" s="821"/>
      <c r="F473" s="822"/>
      <c r="G473" s="821"/>
      <c r="H473" s="823"/>
      <c r="I473" s="823"/>
      <c r="J473" s="814"/>
      <c r="K473" s="814"/>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9"/>
      <c r="C474" s="820"/>
      <c r="D474" s="821"/>
      <c r="E474" s="821"/>
      <c r="F474" s="822"/>
      <c r="G474" s="821"/>
      <c r="H474" s="823"/>
      <c r="I474" s="823"/>
      <c r="J474" s="814"/>
      <c r="K474" s="814"/>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9"/>
      <c r="C475" s="820"/>
      <c r="D475" s="821"/>
      <c r="E475" s="821"/>
      <c r="F475" s="822"/>
      <c r="G475" s="821"/>
      <c r="H475" s="823"/>
      <c r="I475" s="823"/>
      <c r="J475" s="814"/>
      <c r="K475" s="814"/>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9"/>
      <c r="C476" s="820"/>
      <c r="D476" s="821"/>
      <c r="E476" s="821"/>
      <c r="F476" s="822"/>
      <c r="G476" s="821"/>
      <c r="H476" s="823"/>
      <c r="I476" s="823"/>
      <c r="J476" s="814"/>
      <c r="K476" s="814"/>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9"/>
      <c r="C477" s="820"/>
      <c r="D477" s="821"/>
      <c r="E477" s="821"/>
      <c r="F477" s="822"/>
      <c r="G477" s="821"/>
      <c r="H477" s="823"/>
      <c r="I477" s="823"/>
      <c r="J477" s="814"/>
      <c r="K477" s="814"/>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9"/>
      <c r="C478" s="820"/>
      <c r="D478" s="821"/>
      <c r="E478" s="821"/>
      <c r="F478" s="822"/>
      <c r="G478" s="821"/>
      <c r="H478" s="823"/>
      <c r="I478" s="823"/>
      <c r="J478" s="814"/>
      <c r="K478" s="814"/>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9"/>
      <c r="C479" s="820"/>
      <c r="D479" s="821"/>
      <c r="E479" s="821"/>
      <c r="F479" s="822"/>
      <c r="G479" s="821"/>
      <c r="H479" s="823"/>
      <c r="I479" s="823"/>
      <c r="J479" s="814"/>
      <c r="K479" s="814"/>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9"/>
      <c r="C480" s="820"/>
      <c r="D480" s="821"/>
      <c r="E480" s="821"/>
      <c r="F480" s="822"/>
      <c r="G480" s="821"/>
      <c r="H480" s="823"/>
      <c r="I480" s="823"/>
      <c r="J480" s="814"/>
      <c r="K480" s="814"/>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9"/>
      <c r="C481" s="820"/>
      <c r="D481" s="821"/>
      <c r="E481" s="821"/>
      <c r="F481" s="822"/>
      <c r="G481" s="821"/>
      <c r="H481" s="823"/>
      <c r="I481" s="823"/>
      <c r="J481" s="814"/>
      <c r="K481" s="814"/>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9"/>
      <c r="C482" s="820"/>
      <c r="D482" s="821"/>
      <c r="E482" s="821"/>
      <c r="F482" s="822"/>
      <c r="G482" s="821"/>
      <c r="H482" s="823"/>
      <c r="I482" s="823"/>
      <c r="J482" s="814"/>
      <c r="K482" s="814"/>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9"/>
      <c r="C483" s="820"/>
      <c r="D483" s="821"/>
      <c r="E483" s="821"/>
      <c r="F483" s="822"/>
      <c r="G483" s="821"/>
      <c r="H483" s="823"/>
      <c r="I483" s="823"/>
      <c r="J483" s="814"/>
      <c r="K483" s="814"/>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9"/>
      <c r="C484" s="820"/>
      <c r="D484" s="821"/>
      <c r="E484" s="821"/>
      <c r="F484" s="822"/>
      <c r="G484" s="821"/>
      <c r="H484" s="823"/>
      <c r="I484" s="823"/>
      <c r="J484" s="814"/>
      <c r="K484" s="814"/>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9"/>
      <c r="C485" s="820"/>
      <c r="D485" s="821"/>
      <c r="E485" s="821"/>
      <c r="F485" s="822"/>
      <c r="G485" s="821"/>
      <c r="H485" s="823"/>
      <c r="I485" s="823"/>
      <c r="J485" s="814"/>
      <c r="K485" s="814"/>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9"/>
      <c r="C486" s="820"/>
      <c r="D486" s="821"/>
      <c r="E486" s="821"/>
      <c r="F486" s="822"/>
      <c r="G486" s="821"/>
      <c r="H486" s="823"/>
      <c r="I486" s="823"/>
      <c r="J486" s="814"/>
      <c r="K486" s="814"/>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9"/>
      <c r="C487" s="820"/>
      <c r="D487" s="821"/>
      <c r="E487" s="821"/>
      <c r="F487" s="822"/>
      <c r="G487" s="821"/>
      <c r="H487" s="823"/>
      <c r="I487" s="823"/>
      <c r="J487" s="814"/>
      <c r="K487" s="814"/>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9"/>
      <c r="C488" s="820"/>
      <c r="D488" s="821"/>
      <c r="E488" s="821"/>
      <c r="F488" s="822"/>
      <c r="G488" s="821"/>
      <c r="H488" s="823"/>
      <c r="I488" s="823"/>
      <c r="J488" s="814"/>
      <c r="K488" s="814"/>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9"/>
      <c r="C489" s="820"/>
      <c r="D489" s="821"/>
      <c r="E489" s="821"/>
      <c r="F489" s="822"/>
      <c r="G489" s="821"/>
      <c r="H489" s="823"/>
      <c r="I489" s="823"/>
      <c r="J489" s="814"/>
      <c r="K489" s="814"/>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9"/>
      <c r="C490" s="820"/>
      <c r="D490" s="821"/>
      <c r="E490" s="821"/>
      <c r="F490" s="822"/>
      <c r="G490" s="821"/>
      <c r="H490" s="823"/>
      <c r="I490" s="823"/>
      <c r="J490" s="814"/>
      <c r="K490" s="814"/>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9"/>
      <c r="C491" s="820"/>
      <c r="D491" s="821"/>
      <c r="E491" s="821"/>
      <c r="F491" s="822"/>
      <c r="G491" s="821"/>
      <c r="H491" s="823"/>
      <c r="I491" s="823"/>
      <c r="J491" s="814"/>
      <c r="K491" s="814"/>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9"/>
      <c r="C492" s="820"/>
      <c r="D492" s="821"/>
      <c r="E492" s="821"/>
      <c r="F492" s="822"/>
      <c r="G492" s="821"/>
      <c r="H492" s="823"/>
      <c r="I492" s="823"/>
      <c r="J492" s="814"/>
      <c r="K492" s="814"/>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9"/>
      <c r="C493" s="820"/>
      <c r="D493" s="821"/>
      <c r="E493" s="821"/>
      <c r="F493" s="822"/>
      <c r="G493" s="821"/>
      <c r="H493" s="823"/>
      <c r="I493" s="823"/>
      <c r="J493" s="814"/>
      <c r="K493" s="814"/>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9"/>
      <c r="C494" s="820"/>
      <c r="D494" s="821"/>
      <c r="E494" s="821"/>
      <c r="F494" s="822"/>
      <c r="G494" s="821"/>
      <c r="H494" s="823"/>
      <c r="I494" s="823"/>
      <c r="J494" s="814"/>
      <c r="K494" s="814"/>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9"/>
      <c r="C495" s="820"/>
      <c r="D495" s="821"/>
      <c r="E495" s="821"/>
      <c r="F495" s="822"/>
      <c r="G495" s="821"/>
      <c r="H495" s="823"/>
      <c r="I495" s="823"/>
      <c r="J495" s="814"/>
      <c r="K495" s="814"/>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9"/>
      <c r="C496" s="820"/>
      <c r="D496" s="821"/>
      <c r="E496" s="821"/>
      <c r="F496" s="822"/>
      <c r="G496" s="821"/>
      <c r="H496" s="823"/>
      <c r="I496" s="823"/>
      <c r="J496" s="814"/>
      <c r="K496" s="814"/>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9"/>
      <c r="C497" s="820"/>
      <c r="D497" s="821"/>
      <c r="E497" s="821"/>
      <c r="F497" s="822"/>
      <c r="G497" s="821"/>
      <c r="H497" s="823"/>
      <c r="I497" s="823"/>
      <c r="J497" s="814"/>
      <c r="K497" s="814"/>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9"/>
      <c r="C498" s="820"/>
      <c r="D498" s="821"/>
      <c r="E498" s="821"/>
      <c r="F498" s="822"/>
      <c r="G498" s="821"/>
      <c r="H498" s="823"/>
      <c r="I498" s="823"/>
      <c r="J498" s="814"/>
      <c r="K498" s="814"/>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9"/>
      <c r="C499" s="820"/>
      <c r="D499" s="821"/>
      <c r="E499" s="821"/>
      <c r="F499" s="822"/>
      <c r="G499" s="821"/>
      <c r="H499" s="823"/>
      <c r="I499" s="823"/>
      <c r="J499" s="814"/>
      <c r="K499" s="814"/>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9"/>
      <c r="C500" s="820"/>
      <c r="D500" s="821"/>
      <c r="E500" s="821"/>
      <c r="F500" s="822"/>
      <c r="G500" s="821"/>
      <c r="H500" s="823"/>
      <c r="I500" s="823"/>
      <c r="J500" s="814"/>
      <c r="K500" s="814"/>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9"/>
      <c r="C501" s="820"/>
      <c r="D501" s="821"/>
      <c r="E501" s="821"/>
      <c r="F501" s="822"/>
      <c r="G501" s="821"/>
      <c r="H501" s="823"/>
      <c r="I501" s="823"/>
      <c r="J501" s="814"/>
      <c r="K501" s="814"/>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9"/>
      <c r="C502" s="820"/>
      <c r="D502" s="821"/>
      <c r="E502" s="821"/>
      <c r="F502" s="822"/>
      <c r="G502" s="821"/>
      <c r="H502" s="823"/>
      <c r="I502" s="823"/>
      <c r="J502" s="814"/>
      <c r="K502" s="814"/>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9"/>
      <c r="C503" s="820"/>
      <c r="D503" s="821"/>
      <c r="E503" s="821"/>
      <c r="F503" s="822"/>
      <c r="G503" s="821"/>
      <c r="H503" s="823"/>
      <c r="I503" s="823"/>
      <c r="J503" s="814"/>
      <c r="K503" s="814"/>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9"/>
      <c r="C504" s="820"/>
      <c r="D504" s="821"/>
      <c r="E504" s="821"/>
      <c r="F504" s="822"/>
      <c r="G504" s="821"/>
      <c r="H504" s="823"/>
      <c r="I504" s="823"/>
      <c r="J504" s="814"/>
      <c r="K504" s="814"/>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9"/>
      <c r="C505" s="820"/>
      <c r="D505" s="821"/>
      <c r="E505" s="821"/>
      <c r="F505" s="822"/>
      <c r="G505" s="821"/>
      <c r="H505" s="823"/>
      <c r="I505" s="823"/>
      <c r="J505" s="814"/>
      <c r="K505" s="814"/>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9"/>
      <c r="C506" s="820"/>
      <c r="D506" s="821"/>
      <c r="E506" s="821"/>
      <c r="F506" s="822"/>
      <c r="G506" s="821"/>
      <c r="H506" s="823"/>
      <c r="I506" s="823"/>
      <c r="J506" s="814"/>
      <c r="K506" s="814"/>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9"/>
      <c r="C507" s="820"/>
      <c r="D507" s="821"/>
      <c r="E507" s="821"/>
      <c r="F507" s="822"/>
      <c r="G507" s="821"/>
      <c r="H507" s="823"/>
      <c r="I507" s="823"/>
      <c r="J507" s="814"/>
      <c r="K507" s="814"/>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9"/>
      <c r="C508" s="820"/>
      <c r="D508" s="821"/>
      <c r="E508" s="821"/>
      <c r="F508" s="822"/>
      <c r="G508" s="821"/>
      <c r="H508" s="823"/>
      <c r="I508" s="823"/>
      <c r="J508" s="814"/>
      <c r="K508" s="814"/>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9"/>
      <c r="C509" s="820"/>
      <c r="D509" s="821"/>
      <c r="E509" s="821"/>
      <c r="F509" s="822"/>
      <c r="G509" s="821"/>
      <c r="H509" s="823"/>
      <c r="I509" s="823"/>
      <c r="J509" s="814"/>
      <c r="K509" s="814"/>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9"/>
      <c r="C510" s="820"/>
      <c r="D510" s="821"/>
      <c r="E510" s="821"/>
      <c r="F510" s="822"/>
      <c r="G510" s="821"/>
      <c r="H510" s="823"/>
      <c r="I510" s="823"/>
      <c r="J510" s="814"/>
      <c r="K510" s="814"/>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9"/>
      <c r="C511" s="820"/>
      <c r="D511" s="821"/>
      <c r="E511" s="821"/>
      <c r="F511" s="822"/>
      <c r="G511" s="821"/>
      <c r="H511" s="823"/>
      <c r="I511" s="823"/>
      <c r="J511" s="814"/>
      <c r="K511" s="814"/>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9"/>
      <c r="C512" s="820"/>
      <c r="D512" s="821"/>
      <c r="E512" s="821"/>
      <c r="F512" s="822"/>
      <c r="G512" s="821"/>
      <c r="H512" s="823"/>
      <c r="I512" s="823"/>
      <c r="J512" s="814"/>
      <c r="K512" s="814"/>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9"/>
      <c r="C513" s="820"/>
      <c r="D513" s="821"/>
      <c r="E513" s="821"/>
      <c r="F513" s="822"/>
      <c r="G513" s="821"/>
      <c r="H513" s="823"/>
      <c r="I513" s="823"/>
      <c r="J513" s="814"/>
      <c r="K513" s="814"/>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9"/>
      <c r="C514" s="820"/>
      <c r="D514" s="821"/>
      <c r="E514" s="821"/>
      <c r="F514" s="822"/>
      <c r="G514" s="821"/>
      <c r="H514" s="823"/>
      <c r="I514" s="823"/>
      <c r="J514" s="814"/>
      <c r="K514" s="814"/>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9"/>
      <c r="C515" s="820"/>
      <c r="D515" s="821"/>
      <c r="E515" s="821"/>
      <c r="F515" s="822"/>
      <c r="G515" s="821"/>
      <c r="H515" s="823"/>
      <c r="I515" s="823"/>
      <c r="J515" s="814"/>
      <c r="K515" s="814"/>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9"/>
      <c r="C516" s="820"/>
      <c r="D516" s="821"/>
      <c r="E516" s="821"/>
      <c r="F516" s="822"/>
      <c r="G516" s="821"/>
      <c r="H516" s="823"/>
      <c r="I516" s="823"/>
      <c r="J516" s="814"/>
      <c r="K516" s="814"/>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9"/>
      <c r="C517" s="820"/>
      <c r="D517" s="821"/>
      <c r="E517" s="821"/>
      <c r="F517" s="822"/>
      <c r="G517" s="821"/>
      <c r="H517" s="823"/>
      <c r="I517" s="823"/>
      <c r="J517" s="814"/>
      <c r="K517" s="814"/>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9"/>
      <c r="C518" s="820"/>
      <c r="D518" s="821"/>
      <c r="E518" s="821"/>
      <c r="F518" s="822"/>
      <c r="G518" s="821"/>
      <c r="H518" s="823"/>
      <c r="I518" s="823"/>
      <c r="J518" s="814"/>
      <c r="K518" s="814"/>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9"/>
      <c r="C519" s="820"/>
      <c r="D519" s="821"/>
      <c r="E519" s="821"/>
      <c r="F519" s="822"/>
      <c r="G519" s="821"/>
      <c r="H519" s="823"/>
      <c r="I519" s="823"/>
      <c r="J519" s="814"/>
      <c r="K519" s="814"/>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9"/>
      <c r="C520" s="820"/>
      <c r="D520" s="821"/>
      <c r="E520" s="821"/>
      <c r="F520" s="822"/>
      <c r="G520" s="821"/>
      <c r="H520" s="823"/>
      <c r="I520" s="823"/>
      <c r="J520" s="814"/>
      <c r="K520" s="814"/>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9"/>
      <c r="C521" s="820"/>
      <c r="D521" s="821"/>
      <c r="E521" s="821"/>
      <c r="F521" s="822"/>
      <c r="G521" s="821"/>
      <c r="H521" s="823"/>
      <c r="I521" s="823"/>
      <c r="J521" s="814"/>
      <c r="K521" s="814"/>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9"/>
      <c r="C522" s="820"/>
      <c r="D522" s="821"/>
      <c r="E522" s="821"/>
      <c r="F522" s="822"/>
      <c r="G522" s="821"/>
      <c r="H522" s="823"/>
      <c r="I522" s="823"/>
      <c r="J522" s="814"/>
      <c r="K522" s="814"/>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9"/>
      <c r="C523" s="820"/>
      <c r="D523" s="821"/>
      <c r="E523" s="821"/>
      <c r="F523" s="822"/>
      <c r="G523" s="821"/>
      <c r="H523" s="823"/>
      <c r="I523" s="823"/>
      <c r="J523" s="814"/>
      <c r="K523" s="814"/>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9"/>
      <c r="C524" s="820"/>
      <c r="D524" s="821"/>
      <c r="E524" s="821"/>
      <c r="F524" s="822"/>
      <c r="G524" s="821"/>
      <c r="H524" s="823"/>
      <c r="I524" s="823"/>
      <c r="J524" s="814"/>
      <c r="K524" s="814"/>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9"/>
      <c r="C525" s="820"/>
      <c r="D525" s="821"/>
      <c r="E525" s="821"/>
      <c r="F525" s="822"/>
      <c r="G525" s="821"/>
      <c r="H525" s="823"/>
      <c r="I525" s="823"/>
      <c r="J525" s="814"/>
      <c r="K525" s="814"/>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9"/>
      <c r="C526" s="820"/>
      <c r="D526" s="821"/>
      <c r="E526" s="821"/>
      <c r="F526" s="822"/>
      <c r="G526" s="821"/>
      <c r="H526" s="823"/>
      <c r="I526" s="823"/>
      <c r="J526" s="814"/>
      <c r="K526" s="814"/>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9"/>
      <c r="C527" s="820"/>
      <c r="D527" s="821"/>
      <c r="E527" s="821"/>
      <c r="F527" s="822"/>
      <c r="G527" s="821"/>
      <c r="H527" s="823"/>
      <c r="I527" s="823"/>
      <c r="J527" s="814"/>
      <c r="K527" s="814"/>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9"/>
      <c r="C528" s="820"/>
      <c r="D528" s="821"/>
      <c r="E528" s="821"/>
      <c r="F528" s="822"/>
      <c r="G528" s="821"/>
      <c r="H528" s="823"/>
      <c r="I528" s="823"/>
      <c r="J528" s="814"/>
      <c r="K528" s="814"/>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9"/>
      <c r="C529" s="820"/>
      <c r="D529" s="821"/>
      <c r="E529" s="821"/>
      <c r="F529" s="822"/>
      <c r="G529" s="821"/>
      <c r="H529" s="823"/>
      <c r="I529" s="823"/>
      <c r="J529" s="814"/>
      <c r="K529" s="814"/>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9"/>
      <c r="C530" s="820"/>
      <c r="D530" s="821"/>
      <c r="E530" s="821"/>
      <c r="F530" s="822"/>
      <c r="G530" s="821"/>
      <c r="H530" s="823"/>
      <c r="I530" s="823"/>
      <c r="J530" s="814"/>
      <c r="K530" s="814"/>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9"/>
      <c r="C531" s="820"/>
      <c r="D531" s="821"/>
      <c r="E531" s="821"/>
      <c r="F531" s="822"/>
      <c r="G531" s="821"/>
      <c r="H531" s="823"/>
      <c r="I531" s="823"/>
      <c r="J531" s="814"/>
      <c r="K531" s="814"/>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9"/>
      <c r="C532" s="820"/>
      <c r="D532" s="821"/>
      <c r="E532" s="821"/>
      <c r="F532" s="822"/>
      <c r="G532" s="821"/>
      <c r="H532" s="823"/>
      <c r="I532" s="823"/>
      <c r="J532" s="814"/>
      <c r="K532" s="814"/>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9"/>
      <c r="C533" s="820"/>
      <c r="D533" s="821"/>
      <c r="E533" s="821"/>
      <c r="F533" s="822"/>
      <c r="G533" s="821"/>
      <c r="H533" s="823"/>
      <c r="I533" s="823"/>
      <c r="J533" s="814"/>
      <c r="K533" s="814"/>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9"/>
      <c r="C534" s="820"/>
      <c r="D534" s="821"/>
      <c r="E534" s="821"/>
      <c r="F534" s="822"/>
      <c r="G534" s="821"/>
      <c r="H534" s="823"/>
      <c r="I534" s="823"/>
      <c r="J534" s="814"/>
      <c r="K534" s="814"/>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9"/>
      <c r="C535" s="820"/>
      <c r="D535" s="821"/>
      <c r="E535" s="821"/>
      <c r="F535" s="822"/>
      <c r="G535" s="821"/>
      <c r="H535" s="823"/>
      <c r="I535" s="823"/>
      <c r="J535" s="814"/>
      <c r="K535" s="814"/>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9"/>
      <c r="C536" s="820"/>
      <c r="D536" s="821"/>
      <c r="E536" s="821"/>
      <c r="F536" s="822"/>
      <c r="G536" s="821"/>
      <c r="H536" s="823"/>
      <c r="I536" s="823"/>
      <c r="J536" s="814"/>
      <c r="K536" s="814"/>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9"/>
      <c r="C537" s="820"/>
      <c r="D537" s="821"/>
      <c r="E537" s="821"/>
      <c r="F537" s="822"/>
      <c r="G537" s="821"/>
      <c r="H537" s="823"/>
      <c r="I537" s="823"/>
      <c r="J537" s="814"/>
      <c r="K537" s="814"/>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9"/>
      <c r="C538" s="820"/>
      <c r="D538" s="821"/>
      <c r="E538" s="821"/>
      <c r="F538" s="822"/>
      <c r="G538" s="821"/>
      <c r="H538" s="823"/>
      <c r="I538" s="823"/>
      <c r="J538" s="814"/>
      <c r="K538" s="814"/>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9"/>
      <c r="C539" s="820"/>
      <c r="D539" s="821"/>
      <c r="E539" s="821"/>
      <c r="F539" s="822"/>
      <c r="G539" s="821"/>
      <c r="H539" s="823"/>
      <c r="I539" s="823"/>
      <c r="J539" s="814"/>
      <c r="K539" s="814"/>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9"/>
      <c r="C540" s="820"/>
      <c r="D540" s="821"/>
      <c r="E540" s="821"/>
      <c r="F540" s="822"/>
      <c r="G540" s="821"/>
      <c r="H540" s="823"/>
      <c r="I540" s="823"/>
      <c r="J540" s="814"/>
      <c r="K540" s="814"/>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9"/>
      <c r="C541" s="820"/>
      <c r="D541" s="821"/>
      <c r="E541" s="821"/>
      <c r="F541" s="822"/>
      <c r="G541" s="821"/>
      <c r="H541" s="823"/>
      <c r="I541" s="823"/>
      <c r="J541" s="814"/>
      <c r="K541" s="814"/>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9"/>
      <c r="C542" s="820"/>
      <c r="D542" s="821"/>
      <c r="E542" s="821"/>
      <c r="F542" s="822"/>
      <c r="G542" s="821"/>
      <c r="H542" s="823"/>
      <c r="I542" s="823"/>
      <c r="J542" s="814"/>
      <c r="K542" s="814"/>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9"/>
      <c r="C543" s="820"/>
      <c r="D543" s="821"/>
      <c r="E543" s="821"/>
      <c r="F543" s="822"/>
      <c r="G543" s="821"/>
      <c r="H543" s="823"/>
      <c r="I543" s="823"/>
      <c r="J543" s="814"/>
      <c r="K543" s="814"/>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9"/>
      <c r="C544" s="820"/>
      <c r="D544" s="821"/>
      <c r="E544" s="821"/>
      <c r="F544" s="822"/>
      <c r="G544" s="821"/>
      <c r="H544" s="823"/>
      <c r="I544" s="823"/>
      <c r="J544" s="814"/>
      <c r="K544" s="814"/>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9"/>
      <c r="C545" s="820"/>
      <c r="D545" s="821"/>
      <c r="E545" s="821"/>
      <c r="F545" s="822"/>
      <c r="G545" s="821"/>
      <c r="H545" s="823"/>
      <c r="I545" s="823"/>
      <c r="J545" s="814"/>
      <c r="K545" s="814"/>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9"/>
      <c r="C546" s="820"/>
      <c r="D546" s="821"/>
      <c r="E546" s="821"/>
      <c r="F546" s="822"/>
      <c r="G546" s="821"/>
      <c r="H546" s="823"/>
      <c r="I546" s="823"/>
      <c r="J546" s="814"/>
      <c r="K546" s="814"/>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9"/>
      <c r="C547" s="820"/>
      <c r="D547" s="821"/>
      <c r="E547" s="821"/>
      <c r="F547" s="822"/>
      <c r="G547" s="821"/>
      <c r="H547" s="823"/>
      <c r="I547" s="823"/>
      <c r="J547" s="814"/>
      <c r="K547" s="814"/>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9"/>
      <c r="C548" s="820"/>
      <c r="D548" s="821"/>
      <c r="E548" s="821"/>
      <c r="F548" s="822"/>
      <c r="G548" s="821"/>
      <c r="H548" s="823"/>
      <c r="I548" s="823"/>
      <c r="J548" s="814"/>
      <c r="K548" s="814"/>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2"/>
      <c r="C549" s="810"/>
      <c r="D549" s="809"/>
      <c r="E549" s="809"/>
      <c r="F549" s="825"/>
      <c r="G549" s="809"/>
      <c r="H549" s="817"/>
      <c r="I549" s="817"/>
      <c r="J549" s="808"/>
      <c r="K549" s="808"/>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2"/>
      <c r="C550" s="810"/>
      <c r="D550" s="809"/>
      <c r="E550" s="809"/>
      <c r="F550" s="825"/>
      <c r="G550" s="809"/>
      <c r="H550" s="817"/>
      <c r="I550" s="817"/>
      <c r="J550" s="808"/>
      <c r="K550" s="808"/>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2"/>
      <c r="C551" s="810"/>
      <c r="D551" s="809"/>
      <c r="E551" s="809"/>
      <c r="F551" s="825"/>
      <c r="G551" s="809"/>
      <c r="H551" s="817"/>
      <c r="I551" s="817"/>
      <c r="J551" s="808"/>
      <c r="K551" s="808"/>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2"/>
      <c r="C552" s="810"/>
      <c r="D552" s="809"/>
      <c r="E552" s="809"/>
      <c r="F552" s="825"/>
      <c r="G552" s="809"/>
      <c r="H552" s="817"/>
      <c r="I552" s="817"/>
      <c r="J552" s="808"/>
      <c r="K552" s="808"/>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2"/>
      <c r="C553" s="810"/>
      <c r="D553" s="809"/>
      <c r="E553" s="809"/>
      <c r="F553" s="825"/>
      <c r="G553" s="809"/>
      <c r="H553" s="817"/>
      <c r="I553" s="817"/>
      <c r="J553" s="808"/>
      <c r="K553" s="808"/>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2"/>
      <c r="C554" s="810"/>
      <c r="D554" s="809"/>
      <c r="E554" s="809"/>
      <c r="F554" s="825"/>
      <c r="G554" s="809"/>
      <c r="H554" s="817"/>
      <c r="I554" s="817"/>
      <c r="J554" s="808"/>
      <c r="K554" s="808"/>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2"/>
      <c r="C555" s="810"/>
      <c r="D555" s="809"/>
      <c r="E555" s="809"/>
      <c r="F555" s="825"/>
      <c r="G555" s="809"/>
      <c r="H555" s="817"/>
      <c r="I555" s="817"/>
      <c r="J555" s="808"/>
      <c r="K555" s="808"/>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2"/>
      <c r="C556" s="810"/>
      <c r="D556" s="809"/>
      <c r="E556" s="809"/>
      <c r="F556" s="825"/>
      <c r="G556" s="809"/>
      <c r="H556" s="817"/>
      <c r="I556" s="817"/>
      <c r="J556" s="808"/>
      <c r="K556" s="808"/>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2"/>
      <c r="C557" s="810"/>
      <c r="D557" s="809"/>
      <c r="E557" s="809"/>
      <c r="F557" s="825"/>
      <c r="G557" s="809"/>
      <c r="H557" s="817"/>
      <c r="I557" s="817"/>
      <c r="J557" s="808"/>
      <c r="K557" s="808"/>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2"/>
      <c r="C558" s="810"/>
      <c r="D558" s="809"/>
      <c r="E558" s="809"/>
      <c r="F558" s="825"/>
      <c r="G558" s="809"/>
      <c r="H558" s="817"/>
      <c r="I558" s="817"/>
      <c r="J558" s="808"/>
      <c r="K558" s="808"/>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2"/>
      <c r="C559" s="810"/>
      <c r="D559" s="809"/>
      <c r="E559" s="809"/>
      <c r="F559" s="825"/>
      <c r="G559" s="809"/>
      <c r="H559" s="817"/>
      <c r="I559" s="817"/>
      <c r="J559" s="808"/>
      <c r="K559" s="808"/>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2"/>
      <c r="C560" s="810"/>
      <c r="D560" s="809"/>
      <c r="E560" s="809"/>
      <c r="F560" s="825"/>
      <c r="G560" s="809"/>
      <c r="H560" s="817"/>
      <c r="I560" s="817"/>
      <c r="J560" s="808"/>
      <c r="K560" s="808"/>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5"/>
      <c r="G561" s="809"/>
      <c r="H561" s="817"/>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5"/>
      <c r="G562" s="809"/>
      <c r="H562" s="817"/>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5"/>
      <c r="G563" s="809"/>
      <c r="H563" s="817"/>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5"/>
      <c r="G564" s="809"/>
      <c r="H564" s="817"/>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5"/>
      <c r="G565" s="809"/>
      <c r="H565" s="817"/>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5"/>
      <c r="G566" s="809"/>
      <c r="H566" s="817"/>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5"/>
      <c r="G567" s="809"/>
      <c r="H567" s="817"/>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5"/>
      <c r="G568" s="809"/>
      <c r="H568" s="817"/>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5"/>
      <c r="G569" s="809"/>
      <c r="H569" s="817"/>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5"/>
      <c r="G570" s="809"/>
      <c r="H570" s="817"/>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921875" defaultRowHeight="15" customHeight="1"/>
  <cols>
    <col min="1" max="1" width="59.15234375" customWidth="1"/>
    <col min="2" max="2" width="41.61328125" customWidth="1"/>
    <col min="3" max="3" width="11.53515625" customWidth="1"/>
    <col min="4" max="7" width="16" customWidth="1"/>
    <col min="8" max="8" width="3.61328125" customWidth="1"/>
    <col min="9" max="9" width="15.61328125" customWidth="1"/>
    <col min="16" max="16" width="50.921875" customWidth="1"/>
    <col min="17" max="17" width="92.4609375" customWidth="1"/>
  </cols>
  <sheetData>
    <row r="1" spans="1:45" ht="25">
      <c r="A1" s="421" t="str">
        <f>+Summary!A1</f>
        <v>Public Health Wales Trust</v>
      </c>
      <c r="B1" s="246"/>
      <c r="C1" s="422"/>
      <c r="D1" s="423" t="str">
        <f>+Summary!G1</f>
        <v>Period :</v>
      </c>
      <c r="E1" s="423" t="str">
        <f>+Summary!H1</f>
        <v>Apr 23</v>
      </c>
      <c r="F1" s="423"/>
      <c r="G1" s="423"/>
      <c r="H1" s="423"/>
      <c r="I1" s="423"/>
      <c r="J1" s="424"/>
      <c r="K1" s="263"/>
      <c r="L1" s="203"/>
      <c r="M1" s="203"/>
      <c r="N1" s="203"/>
      <c r="O1" s="203"/>
      <c r="P1" s="254" t="s">
        <v>573</v>
      </c>
      <c r="Q1" s="850" t="str">
        <f>IF($R$36&gt;0," If there are any validation errors, you must include an explanation within your narrative","")</f>
        <v/>
      </c>
      <c r="R1" s="746"/>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6"/>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9" t="str">
        <f>"This Table is currently showing "&amp;$R$36&amp;" errors"</f>
        <v>This Table is currently showing 0 errors</v>
      </c>
      <c r="D3" s="432"/>
      <c r="E3" s="430"/>
      <c r="F3" s="432"/>
      <c r="G3" s="432"/>
      <c r="H3" s="432"/>
      <c r="I3" s="432"/>
      <c r="J3" s="424"/>
      <c r="K3" s="263"/>
      <c r="L3" s="203"/>
      <c r="M3" s="203"/>
      <c r="N3" s="203"/>
      <c r="O3" s="203"/>
      <c r="P3" s="262" t="s">
        <v>283</v>
      </c>
      <c r="Q3" s="260"/>
      <c r="R3" s="914"/>
      <c r="S3" s="875"/>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9">
        <v>6</v>
      </c>
      <c r="C4" s="869"/>
      <c r="D4" s="867"/>
      <c r="E4" s="845" t="str">
        <f>IF($R$44&gt;0," Check validations at cell P1","")</f>
        <v/>
      </c>
      <c r="F4" s="868"/>
      <c r="G4" s="434"/>
      <c r="H4" s="434"/>
      <c r="I4" s="434"/>
      <c r="J4" s="424"/>
      <c r="K4" s="263"/>
      <c r="L4" s="203"/>
      <c r="M4" s="203"/>
      <c r="N4" s="203"/>
      <c r="O4" s="203"/>
      <c r="P4" s="259" t="s">
        <v>367</v>
      </c>
      <c r="Q4" s="260"/>
      <c r="R4" s="914"/>
      <c r="S4" s="875"/>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9"/>
      <c r="D5" s="867"/>
      <c r="E5" s="867"/>
      <c r="F5" s="870"/>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2">
        <f>IF(Q5="Ok",0,1)</f>
        <v>0</v>
      </c>
      <c r="S5" s="875"/>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1"/>
      <c r="D6" s="872"/>
      <c r="E6" s="872"/>
      <c r="F6" s="873"/>
      <c r="G6" s="436"/>
      <c r="H6" s="436"/>
      <c r="I6" s="436"/>
      <c r="J6" s="424"/>
      <c r="K6" s="263"/>
      <c r="L6" s="203"/>
      <c r="M6" s="203"/>
      <c r="N6" s="203"/>
      <c r="O6" s="203"/>
      <c r="P6" s="261" t="str">
        <f>"Line No "&amp;C26&amp;" against Line No "&amp;C182&amp;""</f>
        <v>Line No 13 against Line No 138</v>
      </c>
      <c r="Q6" s="768" t="str">
        <f>IF($B$4&gt;Summary!$K$1,"Ok",IF('N - GMS'!$D$26&lt;&gt;'N - GMS'!$D$182,"Error, these Line Numbers should contain the same value","Ok"))</f>
        <v>Ok</v>
      </c>
      <c r="R6" s="782">
        <f>IF(Q6="Ok",0,1)</f>
        <v>0</v>
      </c>
      <c r="S6" s="875"/>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8" t="str">
        <f>IF($B$4&gt;Summary!$K$1,"Ok",IF('N - GMS'!$D$29&lt;&gt;'N - GMS'!$D$215,"Error, these Line Numbers should contain the same value","Ok"))</f>
        <v>Ok</v>
      </c>
      <c r="R7" s="782">
        <f>IF(Q7="Ok",0,1)</f>
        <v>0</v>
      </c>
      <c r="S7" s="875"/>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8" t="str">
        <f>IF($B$4&gt;Summary!$K$1,"Ok",IF(VLOOKUP(Summary!H1,Summary!V1:X12,3,0)="Q",IF(ABS('N - GMS'!$D$31-'E - Resource Limits'!F81)&gt;1,"WG Allocation does not agree to Table E","Ok"),"Ok"))</f>
        <v>Ok</v>
      </c>
      <c r="R8" s="782">
        <f>IF(Q8="Ok",0,1)</f>
        <v>0</v>
      </c>
      <c r="S8" s="875"/>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2"/>
      <c r="S9" s="875"/>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8" t="str">
        <f>IF($B$4&gt;Summary!$K$1,"Ok",IF('N - GMS'!$E$20&lt;&gt;'N - GMS'!$E$49,"Error, these Line Numbers should contain the same value","Ok"))</f>
        <v>Ok</v>
      </c>
      <c r="R10" s="782">
        <f t="shared" ref="R10:R16" si="0">IF(Q10="Ok",0,1)</f>
        <v>0</v>
      </c>
      <c r="S10" s="87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5"/>
      <c r="J11" s="793"/>
      <c r="K11" s="794"/>
      <c r="L11" s="203"/>
      <c r="M11" s="203"/>
      <c r="N11" s="203"/>
      <c r="O11" s="203"/>
      <c r="P11" s="261" t="str">
        <f>"Line No "&amp;C21&amp;" against Line No "&amp;C63&amp;""</f>
        <v>Line No 9 against Line No 41</v>
      </c>
      <c r="Q11" s="768" t="str">
        <f>IF($B$4&gt;Summary!$K$1,"Ok",IF('N - GMS'!$E$21&lt;&gt;'N - GMS'!$E$63,"Error, these Line Numbers should contain the same value","Ok"))</f>
        <v>Ok</v>
      </c>
      <c r="R11" s="782">
        <f t="shared" si="0"/>
        <v>0</v>
      </c>
      <c r="S11" s="875"/>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3"/>
      <c r="J12" s="793"/>
      <c r="K12" s="794"/>
      <c r="L12" s="203"/>
      <c r="M12" s="203"/>
      <c r="N12" s="203"/>
      <c r="O12" s="203"/>
      <c r="P12" s="261" t="str">
        <f>"Line No "&amp;C22&amp;" against Line No "&amp;C119&amp;""</f>
        <v>Line No 10 against Line No 94</v>
      </c>
      <c r="Q12" s="768" t="str">
        <f>IF($B$4&gt;Summary!$K$1,"Ok",IF('N - GMS'!$E$22&lt;&gt;'N - GMS'!$E$119,"Error, these Line Numbers should contain the same value","Ok"))</f>
        <v>Ok</v>
      </c>
      <c r="R12" s="782">
        <f t="shared" si="0"/>
        <v>0</v>
      </c>
      <c r="S12" s="875"/>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6"/>
      <c r="E13" s="726"/>
      <c r="F13" s="727"/>
      <c r="G13" s="457">
        <f>+F13-E13</f>
        <v>0</v>
      </c>
      <c r="H13" s="213"/>
      <c r="I13" s="458">
        <f>SUM(I11:I12)</f>
        <v>0</v>
      </c>
      <c r="J13" s="793"/>
      <c r="K13" s="272"/>
      <c r="L13" s="320"/>
      <c r="M13" s="320"/>
      <c r="N13" s="320"/>
      <c r="O13" s="320"/>
      <c r="P13" s="261" t="str">
        <f>"Line No "&amp;C25&amp;" against Line No "&amp;C147&amp;""</f>
        <v>Line No 12 against Line No 109</v>
      </c>
      <c r="Q13" s="768" t="str">
        <f>IF($B$4&gt;Summary!$K$1,"Ok",IF('N - GMS'!$E$25&lt;&gt;'N - GMS'!$E$147,"Error, these Line Numbers should contain the same value","Ok"))</f>
        <v>Ok</v>
      </c>
      <c r="R13" s="782">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5"/>
      <c r="K14" s="272"/>
      <c r="L14" s="320"/>
      <c r="M14" s="320"/>
      <c r="N14" s="320"/>
      <c r="O14" s="320"/>
      <c r="P14" s="261" t="str">
        <f>"Line No "&amp;C26&amp;" against Line No "&amp;C182&amp;""</f>
        <v>Line No 13 against Line No 138</v>
      </c>
      <c r="Q14" s="768" t="str">
        <f>IF($B$4&gt;Summary!$K$1,"Ok",IF('N - GMS'!$E$26&lt;&gt;'N - GMS'!$E$182,"Error, these Line Numbers should contain the same value","Ok"))</f>
        <v>Ok</v>
      </c>
      <c r="R14" s="782">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5"/>
      <c r="J15" s="793"/>
      <c r="K15" s="794"/>
      <c r="L15" s="203"/>
      <c r="M15" s="203"/>
      <c r="N15" s="203"/>
      <c r="O15" s="203"/>
      <c r="P15" s="261" t="str">
        <f>"Line No "&amp;C29&amp;" against Line No "&amp;C215&amp;""</f>
        <v>Line No 16 against Line No 154</v>
      </c>
      <c r="Q15" s="768" t="str">
        <f>IF($B$4&gt;Summary!$K$1,"Ok",IF('N - GMS'!$E$29&lt;&gt;'N - GMS'!$E$215,"Error, these Line Numbers should contain the same value","Ok"))</f>
        <v>Ok</v>
      </c>
      <c r="R15" s="782">
        <f t="shared" si="0"/>
        <v>0</v>
      </c>
      <c r="S15" s="875"/>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5"/>
      <c r="J16" s="793"/>
      <c r="K16" s="794"/>
      <c r="L16" s="203"/>
      <c r="M16" s="203"/>
      <c r="N16" s="203"/>
      <c r="O16" s="203"/>
      <c r="P16" s="261" t="str">
        <f>"Current Plan must not be less than WG Allocation - Line No "&amp;C31&amp;""</f>
        <v>Current Plan must not be less than WG Allocation - Line No 17</v>
      </c>
      <c r="Q16" s="768" t="str">
        <f>IF($B$4&gt;Summary!$K$1,"Ok",IF(E31&lt;D31,"Error, the Planned Spend should be at least the WG Allocation","Ok"))</f>
        <v>Ok</v>
      </c>
      <c r="R16" s="782">
        <f t="shared" si="0"/>
        <v>0</v>
      </c>
      <c r="S16" s="875"/>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5"/>
      <c r="J17" s="793"/>
      <c r="K17" s="794"/>
      <c r="L17" s="203"/>
      <c r="M17" s="203"/>
      <c r="N17" s="203"/>
      <c r="O17" s="203"/>
      <c r="P17" s="259" t="s">
        <v>356</v>
      </c>
      <c r="Q17" s="260"/>
      <c r="R17" s="782"/>
      <c r="S17" s="875"/>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6"/>
      <c r="E18" s="727"/>
      <c r="F18" s="727"/>
      <c r="G18" s="457">
        <f>+F18-E18</f>
        <v>0</v>
      </c>
      <c r="H18" s="213"/>
      <c r="I18" s="458">
        <f>SUM(I15:I17)</f>
        <v>0</v>
      </c>
      <c r="J18" s="793"/>
      <c r="K18" s="794"/>
      <c r="L18" s="203"/>
      <c r="M18" s="203"/>
      <c r="N18" s="203"/>
      <c r="O18" s="203"/>
      <c r="P18" s="261" t="str">
        <f t="shared" ref="P18:P23" si="1">P10</f>
        <v>Line No 8 against Line No 31</v>
      </c>
      <c r="Q18" s="768" t="str">
        <f>IF($B$4&gt;Summary!$K$1,"Ok",IF('N - GMS'!$F$20&lt;&gt;'N - GMS'!$F$49,"Error, these Line Numbers should contain the same value","Ok"))</f>
        <v>Ok</v>
      </c>
      <c r="R18" s="782">
        <f t="shared" ref="R18:R23" si="2">IF(Q18="Ok",0,1)</f>
        <v>0</v>
      </c>
      <c r="S18" s="875"/>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5" t="s">
        <v>205</v>
      </c>
      <c r="B19" s="3099"/>
      <c r="C19" s="3099"/>
      <c r="D19" s="223"/>
      <c r="E19" s="223"/>
      <c r="F19" s="223"/>
      <c r="G19" s="223"/>
      <c r="H19" s="214"/>
      <c r="I19" s="225"/>
      <c r="J19" s="793"/>
      <c r="K19" s="794"/>
      <c r="L19" s="203"/>
      <c r="M19" s="203"/>
      <c r="N19" s="203"/>
      <c r="O19" s="203"/>
      <c r="P19" s="261" t="str">
        <f t="shared" si="1"/>
        <v>Line No 9 against Line No 41</v>
      </c>
      <c r="Q19" s="768" t="str">
        <f>IF($B$4&gt;Summary!$K$1,"Ok",IF('N - GMS'!$F$21&lt;&gt;'N - GMS'!$F$63,"Error, these Line Numbers should contain the same value","Ok"))</f>
        <v>Ok</v>
      </c>
      <c r="R19" s="782">
        <f t="shared" si="2"/>
        <v>0</v>
      </c>
      <c r="S19" s="875"/>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8"/>
      <c r="F20" s="728"/>
      <c r="G20" s="463">
        <f>+F20-E20</f>
        <v>0</v>
      </c>
      <c r="H20" s="215"/>
      <c r="I20" s="728"/>
      <c r="J20" s="793"/>
      <c r="K20" s="794"/>
      <c r="L20" s="203"/>
      <c r="M20" s="203"/>
      <c r="N20" s="203"/>
      <c r="O20" s="203"/>
      <c r="P20" s="261" t="str">
        <f t="shared" si="1"/>
        <v>Line No 10 against Line No 94</v>
      </c>
      <c r="Q20" s="768" t="str">
        <f>IF($B$4&gt;Summary!$K$1,"Ok",IF('N - GMS'!$F$22&lt;&gt;'N - GMS'!$F$119,"Error, these Line Numbers should contain the same value","Ok"))</f>
        <v>Ok</v>
      </c>
      <c r="R20" s="782">
        <f t="shared" si="2"/>
        <v>0</v>
      </c>
      <c r="S20" s="875"/>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8"/>
      <c r="F21" s="728"/>
      <c r="G21" s="463">
        <f>+F21-E21</f>
        <v>0</v>
      </c>
      <c r="H21" s="215"/>
      <c r="I21" s="728"/>
      <c r="J21" s="793"/>
      <c r="K21" s="794"/>
      <c r="L21" s="203"/>
      <c r="M21" s="203"/>
      <c r="N21" s="203"/>
      <c r="O21" s="203"/>
      <c r="P21" s="261" t="str">
        <f t="shared" si="1"/>
        <v>Line No 12 against Line No 109</v>
      </c>
      <c r="Q21" s="768" t="str">
        <f>IF($B$4&gt;Summary!$K$1,"Ok",IF('N - GMS'!$F$25&lt;&gt;'N - GMS'!$F$147,"Error, these Line Numbers should contain the same value","Ok"))</f>
        <v>Ok</v>
      </c>
      <c r="R21" s="782">
        <f t="shared" si="2"/>
        <v>0</v>
      </c>
      <c r="S21" s="875"/>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9"/>
      <c r="F22" s="729"/>
      <c r="G22" s="463">
        <f>+F22-E22</f>
        <v>0</v>
      </c>
      <c r="H22" s="215"/>
      <c r="I22" s="731"/>
      <c r="J22" s="793"/>
      <c r="K22" s="794"/>
      <c r="L22" s="203"/>
      <c r="M22" s="203"/>
      <c r="N22" s="203"/>
      <c r="O22" s="203"/>
      <c r="P22" s="261" t="str">
        <f t="shared" si="1"/>
        <v>Line No 13 against Line No 138</v>
      </c>
      <c r="Q22" s="768" t="str">
        <f>IF($B$4&gt;Summary!$K$1,"Ok",IF('N - GMS'!$F$26&lt;&gt;'N - GMS'!$F$182,"Error, these Line Numbers should contain the same value","Ok"))</f>
        <v>Ok</v>
      </c>
      <c r="R22" s="782">
        <f t="shared" si="2"/>
        <v>0</v>
      </c>
      <c r="S22" s="875"/>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30"/>
      <c r="E23" s="458">
        <f>SUM(E20:E22)</f>
        <v>0</v>
      </c>
      <c r="F23" s="458">
        <f>SUM(F20:F22)</f>
        <v>0</v>
      </c>
      <c r="G23" s="458">
        <f>SUM(G20:G22)</f>
        <v>0</v>
      </c>
      <c r="H23" s="213"/>
      <c r="I23" s="458">
        <f>SUM(I20:I22)</f>
        <v>0</v>
      </c>
      <c r="J23" s="793"/>
      <c r="K23" s="794"/>
      <c r="L23" s="203"/>
      <c r="M23" s="203"/>
      <c r="N23" s="203"/>
      <c r="O23" s="203"/>
      <c r="P23" s="261" t="str">
        <f t="shared" si="1"/>
        <v>Line No 16 against Line No 154</v>
      </c>
      <c r="Q23" s="768" t="str">
        <f>IF($B$4&gt;Summary!$K$1,"Ok",IF('N - GMS'!$F$29&lt;&gt;'N - GMS'!$F$215,"Error, these Line Numbers should contain the same value","Ok"))</f>
        <v>Ok</v>
      </c>
      <c r="R23" s="782">
        <f t="shared" si="2"/>
        <v>0</v>
      </c>
      <c r="S23" s="875"/>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5" t="s">
        <v>205</v>
      </c>
      <c r="B24" s="3099"/>
      <c r="C24" s="3099"/>
      <c r="D24" s="223"/>
      <c r="E24" s="223"/>
      <c r="F24" s="223"/>
      <c r="G24" s="214"/>
      <c r="H24" s="214"/>
      <c r="I24" s="214"/>
      <c r="J24" s="793"/>
      <c r="K24" s="794"/>
      <c r="L24" s="203"/>
      <c r="M24" s="203"/>
      <c r="N24" s="203"/>
      <c r="O24" s="203"/>
      <c r="P24" s="259" t="s">
        <v>357</v>
      </c>
      <c r="Q24" s="260"/>
      <c r="R24" s="782"/>
      <c r="S24" s="875"/>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2"/>
      <c r="E25" s="728"/>
      <c r="F25" s="728"/>
      <c r="G25" s="463">
        <f>+F25-E25</f>
        <v>0</v>
      </c>
      <c r="H25" s="213"/>
      <c r="I25" s="728"/>
      <c r="J25" s="795"/>
      <c r="K25" s="794"/>
      <c r="L25" s="203"/>
      <c r="M25" s="203"/>
      <c r="N25" s="203"/>
      <c r="O25" s="203"/>
      <c r="P25" s="261" t="str">
        <f t="shared" ref="P25:P30" si="3">P18</f>
        <v>Line No 8 against Line No 31</v>
      </c>
      <c r="Q25" s="768" t="str">
        <f>IF($B$4&gt;Summary!$K$1,"Ok",IF('N - GMS'!$I$20&lt;&gt;'N - GMS'!$I$49,"Error, these Line Numbers should contain the same value","Ok"))</f>
        <v>Ok</v>
      </c>
      <c r="R25" s="782">
        <f t="shared" ref="R25:R30" si="4">IF(Q25="Ok",0,1)</f>
        <v>0</v>
      </c>
      <c r="S25" s="875"/>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2"/>
      <c r="E26" s="728"/>
      <c r="F26" s="728"/>
      <c r="G26" s="463">
        <f>+F26-E26</f>
        <v>0</v>
      </c>
      <c r="H26" s="213"/>
      <c r="I26" s="728"/>
      <c r="J26" s="793"/>
      <c r="K26" s="794"/>
      <c r="L26" s="203"/>
      <c r="M26" s="203"/>
      <c r="N26" s="203"/>
      <c r="O26" s="203"/>
      <c r="P26" s="261" t="str">
        <f t="shared" si="3"/>
        <v>Line No 9 against Line No 41</v>
      </c>
      <c r="Q26" s="768" t="str">
        <f>IF($B$4&gt;Summary!$K$1,"Ok",IF('N - GMS'!$I$21&lt;&gt;'N - GMS'!$I$63,"Error, these Line Numbers should contain the same value","Ok"))</f>
        <v>Ok</v>
      </c>
      <c r="R26" s="782">
        <f t="shared" si="4"/>
        <v>0</v>
      </c>
      <c r="S26" s="875"/>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2"/>
      <c r="E27" s="733"/>
      <c r="F27" s="733"/>
      <c r="G27" s="463">
        <f>+F27-E27</f>
        <v>0</v>
      </c>
      <c r="H27" s="213"/>
      <c r="I27" s="728"/>
      <c r="J27" s="793"/>
      <c r="K27" s="794"/>
      <c r="L27" s="203"/>
      <c r="M27" s="203"/>
      <c r="N27" s="203"/>
      <c r="O27" s="203"/>
      <c r="P27" s="261" t="str">
        <f t="shared" si="3"/>
        <v>Line No 10 against Line No 94</v>
      </c>
      <c r="Q27" s="768" t="str">
        <f>IF($B$4&gt;Summary!$K$1,"Ok",IF('N - GMS'!$I$22&lt;&gt;'N - GMS'!$I$119,"Error, these Line Numbers should contain the same value","Ok"))</f>
        <v>Ok</v>
      </c>
      <c r="R27" s="782">
        <f t="shared" si="4"/>
        <v>0</v>
      </c>
      <c r="S27" s="875"/>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2"/>
      <c r="E28" s="729"/>
      <c r="F28" s="729"/>
      <c r="G28" s="463">
        <f>+F28-E28</f>
        <v>0</v>
      </c>
      <c r="H28" s="213"/>
      <c r="I28" s="728"/>
      <c r="J28" s="793"/>
      <c r="K28" s="794"/>
      <c r="L28" s="203"/>
      <c r="M28" s="203"/>
      <c r="N28" s="203"/>
      <c r="O28" s="203"/>
      <c r="P28" s="261" t="str">
        <f t="shared" si="3"/>
        <v>Line No 12 against Line No 109</v>
      </c>
      <c r="Q28" s="768" t="str">
        <f>IF($B$4&gt;Summary!$K$1,"Ok",IF('N - GMS'!$I$25&lt;&gt;'N - GMS'!$I$147,"Error, these Line Numbers should contain the same value","Ok"))</f>
        <v>Ok</v>
      </c>
      <c r="R28" s="782">
        <f t="shared" si="4"/>
        <v>0</v>
      </c>
      <c r="S28" s="875"/>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2"/>
      <c r="E29" s="728"/>
      <c r="F29" s="728"/>
      <c r="G29" s="463">
        <f>+F29-E29</f>
        <v>0</v>
      </c>
      <c r="H29" s="213"/>
      <c r="I29" s="728"/>
      <c r="J29" s="793"/>
      <c r="K29" s="794"/>
      <c r="L29" s="203"/>
      <c r="M29" s="203"/>
      <c r="N29" s="203"/>
      <c r="O29" s="203"/>
      <c r="P29" s="261" t="str">
        <f t="shared" si="3"/>
        <v>Line No 13 against Line No 138</v>
      </c>
      <c r="Q29" s="768" t="str">
        <f>IF($B$4&gt;Summary!$K$1,"Ok",IF('N - GMS'!$I$26&lt;&gt;'N - GMS'!$I$182,"Error, these Line Numbers should contain the same value","Ok"))</f>
        <v>Ok</v>
      </c>
      <c r="R29" s="782">
        <f t="shared" si="4"/>
        <v>0</v>
      </c>
      <c r="S29" s="875"/>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3"/>
      <c r="K30" s="794"/>
      <c r="L30" s="203"/>
      <c r="M30" s="203"/>
      <c r="N30" s="203"/>
      <c r="O30" s="203"/>
      <c r="P30" s="261" t="str">
        <f t="shared" si="3"/>
        <v>Line No 16 against Line No 154</v>
      </c>
      <c r="Q30" s="768" t="str">
        <f>IF($B$4&gt;Summary!$K$1,"Ok",IF('N - GMS'!$I$29&lt;&gt;'N - GMS'!$I$215,"Error, these Line Numbers should contain the same value","Ok"))</f>
        <v>Ok</v>
      </c>
      <c r="R30" s="782">
        <f t="shared" si="4"/>
        <v>0</v>
      </c>
      <c r="S30" s="875"/>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3"/>
      <c r="K31" s="794"/>
      <c r="L31" s="203"/>
      <c r="M31" s="203"/>
      <c r="N31" s="203"/>
      <c r="O31" s="203"/>
      <c r="P31" s="262" t="s">
        <v>197</v>
      </c>
      <c r="Q31" s="260"/>
      <c r="R31" s="782"/>
      <c r="S31" s="875"/>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08" t="s">
        <v>205</v>
      </c>
      <c r="B32" s="3108"/>
      <c r="C32" s="3108"/>
      <c r="D32" s="3109"/>
      <c r="E32" s="3109"/>
      <c r="F32" s="3109"/>
      <c r="G32" s="3109"/>
      <c r="H32" s="3109"/>
      <c r="I32" s="3109"/>
      <c r="J32" s="793"/>
      <c r="K32" s="794"/>
      <c r="L32" s="203"/>
      <c r="M32" s="203"/>
      <c r="N32" s="203"/>
      <c r="O32" s="203"/>
      <c r="P32" s="259" t="s">
        <v>357</v>
      </c>
      <c r="Q32" s="260"/>
      <c r="R32" s="782"/>
      <c r="S32" s="875"/>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5"/>
      <c r="K33" s="794"/>
      <c r="L33" s="203"/>
      <c r="M33" s="203"/>
      <c r="N33" s="203"/>
      <c r="O33" s="203"/>
      <c r="P33" s="261" t="str">
        <f>"Line No "&amp;C145&amp;" against Line No "&amp;C170&amp;""</f>
        <v>Line No 108 against Line No 128</v>
      </c>
      <c r="Q33" s="768" t="str">
        <f>IF($B$4&gt;Summary!$K$1,"Ok",IF('N - GMS'!$I$145&lt;&gt;'N - GMS'!$I$170,"Error, these Line Numbers should contain the same value","Ok"))</f>
        <v>Ok</v>
      </c>
      <c r="R33" s="782">
        <f>IF(Q33="Ok",0,1)</f>
        <v>0</v>
      </c>
      <c r="S33" s="87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6"/>
      <c r="K34" s="794"/>
      <c r="L34" s="203"/>
      <c r="M34" s="203"/>
      <c r="N34" s="203"/>
      <c r="O34" s="203"/>
      <c r="P34" s="261" t="str">
        <f>"Line No "&amp;C181&amp;" against Line No "&amp;C192&amp;""</f>
        <v>Line No 137 against Line No 146</v>
      </c>
      <c r="Q34" s="768" t="str">
        <f>IF($B$4&gt;Summary!$K$1,"Ok",IF('N - GMS'!$I$181&lt;&gt;'N - GMS'!$I$192,"Error, these Line Numbers should contain the same value","Ok"))</f>
        <v>Ok</v>
      </c>
      <c r="R34" s="782">
        <f>IF(Q34="Ok",0,1)</f>
        <v>0</v>
      </c>
      <c r="S34" s="875"/>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4"/>
      <c r="F35" s="734"/>
      <c r="G35" s="463">
        <f t="shared" ref="G35:G49" si="5">+F35-E35</f>
        <v>0</v>
      </c>
      <c r="H35" s="228"/>
      <c r="I35" s="732"/>
      <c r="J35" s="797"/>
      <c r="K35" s="798"/>
      <c r="L35" s="205"/>
      <c r="M35" s="205"/>
      <c r="N35" s="205"/>
      <c r="O35" s="205"/>
      <c r="P35" s="1016"/>
      <c r="Q35" s="1017"/>
      <c r="R35" s="782"/>
      <c r="S35" s="875"/>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4"/>
      <c r="F36" s="734"/>
      <c r="G36" s="463">
        <f t="shared" si="5"/>
        <v>0</v>
      </c>
      <c r="H36" s="228"/>
      <c r="I36" s="732"/>
      <c r="J36" s="796"/>
      <c r="K36" s="794"/>
      <c r="L36" s="203"/>
      <c r="M36" s="203"/>
      <c r="N36" s="203"/>
      <c r="O36" s="203"/>
      <c r="P36" s="1016"/>
      <c r="Q36" s="1017"/>
      <c r="R36" s="782">
        <f>SUM(R5:R35)</f>
        <v>0</v>
      </c>
      <c r="S36" s="875"/>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4"/>
      <c r="F37" s="734"/>
      <c r="G37" s="463">
        <f t="shared" si="5"/>
        <v>0</v>
      </c>
      <c r="H37" s="228"/>
      <c r="I37" s="732"/>
      <c r="J37" s="796"/>
      <c r="K37" s="794"/>
      <c r="L37" s="203"/>
      <c r="M37" s="203"/>
      <c r="N37" s="203"/>
      <c r="O37" s="203"/>
      <c r="P37" s="1016"/>
      <c r="Q37" s="1017"/>
      <c r="R37" s="782" t="s">
        <v>289</v>
      </c>
      <c r="S37" s="875"/>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4"/>
      <c r="F38" s="734"/>
      <c r="G38" s="463">
        <f t="shared" si="5"/>
        <v>0</v>
      </c>
      <c r="H38" s="228"/>
      <c r="I38" s="732"/>
      <c r="J38" s="796"/>
      <c r="K38" s="794"/>
      <c r="L38" s="203"/>
      <c r="M38" s="203"/>
      <c r="N38" s="203"/>
      <c r="O38" s="203"/>
      <c r="P38" s="1014"/>
      <c r="Q38" s="1015"/>
      <c r="R38" s="782">
        <f>IF(Q35="Ok",0,1)</f>
        <v>1</v>
      </c>
      <c r="S38" s="875"/>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2"/>
      <c r="F39" s="734"/>
      <c r="G39" s="463">
        <f t="shared" si="5"/>
        <v>0</v>
      </c>
      <c r="H39" s="228"/>
      <c r="I39" s="732"/>
      <c r="J39" s="796"/>
      <c r="K39" s="794"/>
      <c r="L39" s="203"/>
      <c r="M39" s="203"/>
      <c r="N39" s="203"/>
      <c r="O39" s="203"/>
      <c r="P39" s="1014"/>
      <c r="Q39" s="1017"/>
      <c r="R39" s="782">
        <f>SUM(R7:R38)</f>
        <v>1</v>
      </c>
      <c r="S39" s="875"/>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2"/>
      <c r="F40" s="734"/>
      <c r="G40" s="463">
        <f t="shared" si="5"/>
        <v>0</v>
      </c>
      <c r="H40" s="228"/>
      <c r="I40" s="732"/>
      <c r="J40" s="796"/>
      <c r="K40" s="794"/>
      <c r="L40" s="203"/>
      <c r="M40" s="203"/>
      <c r="N40" s="203"/>
      <c r="O40" s="203"/>
      <c r="P40" s="58"/>
      <c r="Q40" s="1013"/>
      <c r="R40" s="782"/>
      <c r="S40" s="875"/>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6"/>
      <c r="K41" s="794"/>
      <c r="L41" s="203"/>
      <c r="M41" s="203"/>
      <c r="N41" s="203"/>
      <c r="O41" s="203"/>
      <c r="P41" s="48"/>
      <c r="Q41" s="51"/>
      <c r="R41" s="782">
        <f>IF(Q38="Ok",0,1)</f>
        <v>1</v>
      </c>
      <c r="S41" s="875"/>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114" t="s">
        <v>281</v>
      </c>
      <c r="B42" s="3115"/>
      <c r="C42" s="461">
        <f>C40+1</f>
        <v>24</v>
      </c>
      <c r="D42" s="67"/>
      <c r="E42" s="732"/>
      <c r="F42" s="732"/>
      <c r="G42" s="475">
        <f t="shared" si="5"/>
        <v>0</v>
      </c>
      <c r="H42" s="228"/>
      <c r="I42" s="732"/>
      <c r="J42" s="796"/>
      <c r="K42" s="794"/>
      <c r="L42" s="203"/>
      <c r="M42" s="203"/>
      <c r="N42" s="203"/>
      <c r="O42" s="203"/>
      <c r="P42" s="874"/>
      <c r="Q42" s="874"/>
      <c r="R42" s="782"/>
      <c r="S42" s="875"/>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114" t="s">
        <v>215</v>
      </c>
      <c r="B43" s="3115"/>
      <c r="C43" s="461">
        <f t="shared" ref="C43:C49" si="6">C42+1</f>
        <v>25</v>
      </c>
      <c r="D43" s="67"/>
      <c r="E43" s="732"/>
      <c r="F43" s="732"/>
      <c r="G43" s="475">
        <f t="shared" si="5"/>
        <v>0</v>
      </c>
      <c r="H43" s="228"/>
      <c r="I43" s="732"/>
      <c r="J43" s="796"/>
      <c r="K43" s="794"/>
      <c r="L43" s="203"/>
      <c r="M43" s="203"/>
      <c r="N43" s="203"/>
      <c r="O43" s="203"/>
      <c r="P43" s="204"/>
      <c r="Q43" s="204"/>
      <c r="R43" s="782">
        <f>IF(Q40="Ok",0,1)</f>
        <v>1</v>
      </c>
      <c r="S43" s="875"/>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2"/>
      <c r="F44" s="732"/>
      <c r="G44" s="475">
        <f t="shared" si="5"/>
        <v>0</v>
      </c>
      <c r="H44" s="228"/>
      <c r="I44" s="732"/>
      <c r="J44" s="796"/>
      <c r="K44" s="794"/>
      <c r="L44" s="203"/>
      <c r="M44" s="203"/>
      <c r="N44" s="203"/>
      <c r="O44" s="203"/>
      <c r="P44" s="204"/>
      <c r="Q44" s="204"/>
      <c r="R44" s="782"/>
      <c r="S44" s="875"/>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2"/>
      <c r="F45" s="732"/>
      <c r="G45" s="475">
        <f t="shared" si="5"/>
        <v>0</v>
      </c>
      <c r="H45" s="228"/>
      <c r="I45" s="732"/>
      <c r="J45" s="796"/>
      <c r="K45" s="794"/>
      <c r="L45" s="203"/>
      <c r="M45" s="203"/>
      <c r="N45" s="203"/>
      <c r="O45" s="203"/>
      <c r="P45" s="204"/>
      <c r="Q45" s="204"/>
      <c r="R45" s="877"/>
      <c r="S45" s="875"/>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3" t="s">
        <v>796</v>
      </c>
      <c r="B46" s="1424"/>
      <c r="C46" s="461">
        <f t="shared" si="6"/>
        <v>28</v>
      </c>
      <c r="D46" s="1425"/>
      <c r="E46" s="732"/>
      <c r="F46" s="732"/>
      <c r="G46" s="475">
        <f>+F46-E46</f>
        <v>0</v>
      </c>
      <c r="H46" s="228"/>
      <c r="I46" s="732"/>
      <c r="J46" s="796"/>
      <c r="K46" s="794"/>
      <c r="L46" s="203"/>
      <c r="M46" s="203"/>
      <c r="N46" s="203"/>
      <c r="O46" s="203"/>
      <c r="P46" s="204"/>
      <c r="Q46" s="204"/>
      <c r="R46" s="877"/>
      <c r="S46" s="875"/>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3" t="s">
        <v>218</v>
      </c>
      <c r="B47" s="1424"/>
      <c r="C47" s="461">
        <f t="shared" si="6"/>
        <v>29</v>
      </c>
      <c r="D47" s="1425"/>
      <c r="E47" s="732"/>
      <c r="F47" s="732"/>
      <c r="G47" s="475">
        <f t="shared" si="5"/>
        <v>0</v>
      </c>
      <c r="H47" s="228"/>
      <c r="I47" s="732"/>
      <c r="J47" s="796"/>
      <c r="K47" s="794"/>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3" t="s">
        <v>737</v>
      </c>
      <c r="B48" s="3264"/>
      <c r="C48" s="461">
        <f t="shared" si="6"/>
        <v>30</v>
      </c>
      <c r="D48" s="67"/>
      <c r="E48" s="742"/>
      <c r="F48" s="742"/>
      <c r="G48" s="475">
        <f t="shared" si="5"/>
        <v>0</v>
      </c>
      <c r="H48" s="228"/>
      <c r="I48" s="742"/>
      <c r="J48" s="796"/>
      <c r="K48" s="794"/>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6" t="str">
        <f>"TOTAL Directed Enhanced Services (must equal line "&amp;C20&amp;")"</f>
        <v>TOTAL Directed Enhanced Services (must equal line 8)</v>
      </c>
      <c r="B49" s="1427"/>
      <c r="C49" s="1428">
        <f t="shared" si="6"/>
        <v>31</v>
      </c>
      <c r="D49" s="1429"/>
      <c r="E49" s="467">
        <f>SUM(E35:E48)</f>
        <v>0</v>
      </c>
      <c r="F49" s="467">
        <f>SUM(F35:F48)</f>
        <v>0</v>
      </c>
      <c r="G49" s="467">
        <f t="shared" si="5"/>
        <v>0</v>
      </c>
      <c r="H49" s="229"/>
      <c r="I49" s="467">
        <f>SUM(I35:I48)</f>
        <v>0</v>
      </c>
      <c r="J49" s="796"/>
      <c r="K49" s="794"/>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6"/>
      <c r="K50" s="794"/>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5"/>
      <c r="K51" s="794"/>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128"/>
      <c r="F52" s="3128"/>
      <c r="G52" s="3128"/>
      <c r="H52" s="3128"/>
      <c r="I52" s="3128"/>
      <c r="J52" s="799"/>
      <c r="K52" s="794"/>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6"/>
      <c r="K53" s="794"/>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4"/>
      <c r="F54" s="734"/>
      <c r="G54" s="475">
        <f t="shared" ref="G54:G62" si="7">+F54-E54</f>
        <v>0</v>
      </c>
      <c r="H54" s="228"/>
      <c r="I54" s="732"/>
      <c r="J54" s="797"/>
      <c r="K54" s="798"/>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4"/>
      <c r="F55" s="734"/>
      <c r="G55" s="475">
        <f t="shared" si="7"/>
        <v>0</v>
      </c>
      <c r="H55" s="228"/>
      <c r="I55" s="732"/>
      <c r="J55" s="796"/>
      <c r="K55" s="794"/>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4"/>
      <c r="F56" s="734"/>
      <c r="G56" s="475">
        <f t="shared" si="7"/>
        <v>0</v>
      </c>
      <c r="H56" s="228"/>
      <c r="I56" s="732"/>
      <c r="J56" s="796"/>
      <c r="K56" s="794"/>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4"/>
      <c r="F57" s="734"/>
      <c r="G57" s="475">
        <f t="shared" si="7"/>
        <v>0</v>
      </c>
      <c r="H57" s="228"/>
      <c r="I57" s="732"/>
      <c r="J57" s="796"/>
      <c r="K57" s="794"/>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4"/>
      <c r="F58" s="734"/>
      <c r="G58" s="475">
        <f t="shared" si="7"/>
        <v>0</v>
      </c>
      <c r="H58" s="228"/>
      <c r="I58" s="732"/>
      <c r="J58" s="796"/>
      <c r="K58" s="794"/>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4"/>
      <c r="F59" s="734"/>
      <c r="G59" s="475">
        <f t="shared" si="7"/>
        <v>0</v>
      </c>
      <c r="H59" s="228"/>
      <c r="I59" s="732"/>
      <c r="J59" s="796"/>
      <c r="K59" s="794"/>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4"/>
      <c r="F60" s="734"/>
      <c r="G60" s="475">
        <f t="shared" si="7"/>
        <v>0</v>
      </c>
      <c r="H60" s="228"/>
      <c r="I60" s="732"/>
      <c r="J60" s="796"/>
      <c r="K60" s="794"/>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4"/>
      <c r="F61" s="734"/>
      <c r="G61" s="475">
        <f t="shared" si="7"/>
        <v>0</v>
      </c>
      <c r="H61" s="228"/>
      <c r="I61" s="732"/>
      <c r="J61" s="796"/>
      <c r="K61" s="794"/>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4"/>
      <c r="F62" s="734"/>
      <c r="G62" s="475">
        <f t="shared" si="7"/>
        <v>0</v>
      </c>
      <c r="H62" s="228"/>
      <c r="I62" s="732"/>
      <c r="J62" s="796"/>
      <c r="K62" s="794"/>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6"/>
      <c r="K63" s="794"/>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6"/>
      <c r="K64" s="794"/>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130" t="s">
        <v>205</v>
      </c>
      <c r="B65" s="3130"/>
      <c r="C65" s="3130"/>
      <c r="D65" s="3109" t="s">
        <v>205</v>
      </c>
      <c r="E65" s="3109"/>
      <c r="F65" s="3109"/>
      <c r="G65" s="3109"/>
      <c r="H65" s="3109"/>
      <c r="I65" s="3109"/>
      <c r="J65" s="800"/>
      <c r="K65" s="794"/>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1"/>
      <c r="K66" s="794"/>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114" t="s">
        <v>327</v>
      </c>
      <c r="B67" s="3131"/>
      <c r="C67" s="461">
        <f>C63+1</f>
        <v>42</v>
      </c>
      <c r="D67" s="219"/>
      <c r="E67" s="734"/>
      <c r="F67" s="734"/>
      <c r="G67" s="463">
        <f t="shared" ref="G67:G118" si="9">+F67-E67</f>
        <v>0</v>
      </c>
      <c r="H67" s="213"/>
      <c r="I67" s="732"/>
      <c r="J67" s="796"/>
      <c r="K67" s="794"/>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114" t="s">
        <v>281</v>
      </c>
      <c r="B68" s="3131"/>
      <c r="C68" s="461">
        <f>C67+1</f>
        <v>43</v>
      </c>
      <c r="D68" s="227"/>
      <c r="E68" s="734"/>
      <c r="F68" s="734"/>
      <c r="G68" s="463">
        <f t="shared" si="9"/>
        <v>0</v>
      </c>
      <c r="H68" s="213"/>
      <c r="I68" s="732"/>
      <c r="J68" s="793"/>
      <c r="K68" s="802"/>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4"/>
      <c r="F69" s="734"/>
      <c r="G69" s="463">
        <f t="shared" si="9"/>
        <v>0</v>
      </c>
      <c r="H69" s="213"/>
      <c r="I69" s="732"/>
      <c r="J69" s="793"/>
      <c r="K69" s="802"/>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114" t="s">
        <v>216</v>
      </c>
      <c r="B70" s="3131"/>
      <c r="C70" s="461">
        <f t="shared" si="10"/>
        <v>45</v>
      </c>
      <c r="D70" s="219"/>
      <c r="E70" s="734"/>
      <c r="F70" s="734"/>
      <c r="G70" s="463">
        <f t="shared" si="9"/>
        <v>0</v>
      </c>
      <c r="H70" s="213"/>
      <c r="I70" s="732"/>
      <c r="J70" s="793"/>
      <c r="K70" s="802"/>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114" t="s">
        <v>215</v>
      </c>
      <c r="B71" s="3132"/>
      <c r="C71" s="461">
        <f t="shared" si="10"/>
        <v>46</v>
      </c>
      <c r="D71" s="227"/>
      <c r="E71" s="734"/>
      <c r="F71" s="734"/>
      <c r="G71" s="463">
        <f t="shared" si="9"/>
        <v>0</v>
      </c>
      <c r="H71" s="213"/>
      <c r="I71" s="732"/>
      <c r="J71" s="793"/>
      <c r="K71" s="802"/>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114" t="s">
        <v>229</v>
      </c>
      <c r="B72" s="3132"/>
      <c r="C72" s="461">
        <f t="shared" si="10"/>
        <v>47</v>
      </c>
      <c r="D72" s="67"/>
      <c r="E72" s="734"/>
      <c r="F72" s="734"/>
      <c r="G72" s="463">
        <f t="shared" si="9"/>
        <v>0</v>
      </c>
      <c r="H72" s="213"/>
      <c r="I72" s="732"/>
      <c r="J72" s="793"/>
      <c r="K72" s="802"/>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4"/>
      <c r="F73" s="734"/>
      <c r="G73" s="463">
        <f t="shared" si="9"/>
        <v>0</v>
      </c>
      <c r="H73" s="213"/>
      <c r="I73" s="732"/>
      <c r="J73" s="793"/>
      <c r="K73" s="802"/>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114" t="s">
        <v>411</v>
      </c>
      <c r="B74" s="3131"/>
      <c r="C74" s="461">
        <f t="shared" si="10"/>
        <v>49</v>
      </c>
      <c r="D74" s="219"/>
      <c r="E74" s="734"/>
      <c r="F74" s="734"/>
      <c r="G74" s="463">
        <f t="shared" si="9"/>
        <v>0</v>
      </c>
      <c r="H74" s="213"/>
      <c r="I74" s="732"/>
      <c r="J74" s="793"/>
      <c r="K74" s="802"/>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114" t="s">
        <v>231</v>
      </c>
      <c r="B75" s="3131"/>
      <c r="C75" s="461">
        <f t="shared" si="10"/>
        <v>50</v>
      </c>
      <c r="D75" s="227"/>
      <c r="E75" s="734"/>
      <c r="F75" s="734"/>
      <c r="G75" s="463">
        <f t="shared" si="9"/>
        <v>0</v>
      </c>
      <c r="H75" s="213"/>
      <c r="I75" s="732"/>
      <c r="J75" s="793"/>
      <c r="K75" s="802"/>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114" t="s">
        <v>329</v>
      </c>
      <c r="B76" s="3131"/>
      <c r="C76" s="461">
        <f t="shared" si="10"/>
        <v>51</v>
      </c>
      <c r="D76" s="67"/>
      <c r="E76" s="734"/>
      <c r="F76" s="734"/>
      <c r="G76" s="463">
        <f t="shared" si="9"/>
        <v>0</v>
      </c>
      <c r="H76" s="213"/>
      <c r="I76" s="732"/>
      <c r="J76" s="793"/>
      <c r="K76" s="802"/>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5"/>
      <c r="C77" s="461">
        <f t="shared" si="10"/>
        <v>52</v>
      </c>
      <c r="D77" s="219"/>
      <c r="E77" s="734"/>
      <c r="F77" s="734"/>
      <c r="G77" s="463">
        <f t="shared" si="9"/>
        <v>0</v>
      </c>
      <c r="H77" s="213"/>
      <c r="I77" s="732"/>
      <c r="J77" s="793"/>
      <c r="K77" s="802"/>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114" t="s">
        <v>232</v>
      </c>
      <c r="B78" s="3131"/>
      <c r="C78" s="461">
        <f t="shared" si="10"/>
        <v>53</v>
      </c>
      <c r="D78" s="227"/>
      <c r="E78" s="734"/>
      <c r="F78" s="734"/>
      <c r="G78" s="463">
        <f t="shared" si="9"/>
        <v>0</v>
      </c>
      <c r="H78" s="213"/>
      <c r="I78" s="732"/>
      <c r="J78" s="793"/>
      <c r="K78" s="802"/>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114" t="s">
        <v>390</v>
      </c>
      <c r="B79" s="3131"/>
      <c r="C79" s="461">
        <f t="shared" si="10"/>
        <v>54</v>
      </c>
      <c r="D79" s="67"/>
      <c r="E79" s="734"/>
      <c r="F79" s="734"/>
      <c r="G79" s="463">
        <f t="shared" si="9"/>
        <v>0</v>
      </c>
      <c r="H79" s="213"/>
      <c r="I79" s="732"/>
      <c r="J79" s="793"/>
      <c r="K79" s="802"/>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114" t="s">
        <v>799</v>
      </c>
      <c r="B80" s="3131"/>
      <c r="C80" s="461">
        <f t="shared" si="10"/>
        <v>55</v>
      </c>
      <c r="D80" s="67"/>
      <c r="E80" s="734"/>
      <c r="F80" s="734"/>
      <c r="G80" s="463">
        <f t="shared" si="9"/>
        <v>0</v>
      </c>
      <c r="H80" s="213"/>
      <c r="I80" s="732"/>
      <c r="J80" s="793"/>
      <c r="K80" s="802"/>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114" t="s">
        <v>218</v>
      </c>
      <c r="B81" s="3131"/>
      <c r="C81" s="461">
        <f t="shared" si="10"/>
        <v>56</v>
      </c>
      <c r="D81" s="67"/>
      <c r="E81" s="734"/>
      <c r="F81" s="734"/>
      <c r="G81" s="463">
        <f t="shared" si="9"/>
        <v>0</v>
      </c>
      <c r="H81" s="213"/>
      <c r="I81" s="732"/>
      <c r="J81" s="793"/>
      <c r="K81" s="802"/>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114" t="s">
        <v>330</v>
      </c>
      <c r="B82" s="3132"/>
      <c r="C82" s="461">
        <f t="shared" si="10"/>
        <v>57</v>
      </c>
      <c r="D82" s="67"/>
      <c r="E82" s="734"/>
      <c r="F82" s="734"/>
      <c r="G82" s="463">
        <f t="shared" si="9"/>
        <v>0</v>
      </c>
      <c r="H82" s="213"/>
      <c r="I82" s="732"/>
      <c r="J82" s="793"/>
      <c r="K82" s="802"/>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114" t="s">
        <v>412</v>
      </c>
      <c r="B83" s="3132"/>
      <c r="C83" s="461">
        <f t="shared" si="10"/>
        <v>58</v>
      </c>
      <c r="D83" s="67"/>
      <c r="E83" s="734"/>
      <c r="F83" s="734"/>
      <c r="G83" s="463">
        <f t="shared" si="9"/>
        <v>0</v>
      </c>
      <c r="H83" s="213"/>
      <c r="I83" s="732"/>
      <c r="J83" s="793"/>
      <c r="K83" s="802"/>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4"/>
      <c r="C84" s="461">
        <f t="shared" si="10"/>
        <v>59</v>
      </c>
      <c r="D84" s="67"/>
      <c r="E84" s="734"/>
      <c r="F84" s="734"/>
      <c r="G84" s="463">
        <f t="shared" si="9"/>
        <v>0</v>
      </c>
      <c r="H84" s="213"/>
      <c r="I84" s="732"/>
      <c r="J84" s="793"/>
      <c r="K84" s="802"/>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4"/>
      <c r="C85" s="461">
        <f t="shared" si="10"/>
        <v>60</v>
      </c>
      <c r="D85" s="67"/>
      <c r="E85" s="734"/>
      <c r="F85" s="734"/>
      <c r="G85" s="463">
        <f t="shared" si="9"/>
        <v>0</v>
      </c>
      <c r="H85" s="213"/>
      <c r="I85" s="732"/>
      <c r="J85" s="793"/>
      <c r="K85" s="802"/>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4"/>
      <c r="C86" s="461">
        <f t="shared" si="10"/>
        <v>61</v>
      </c>
      <c r="D86" s="67"/>
      <c r="E86" s="734"/>
      <c r="F86" s="734"/>
      <c r="G86" s="463">
        <f t="shared" si="9"/>
        <v>0</v>
      </c>
      <c r="H86" s="213"/>
      <c r="I86" s="732"/>
      <c r="J86" s="793"/>
      <c r="K86" s="802"/>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4"/>
      <c r="C87" s="461">
        <f t="shared" si="10"/>
        <v>62</v>
      </c>
      <c r="D87" s="67"/>
      <c r="E87" s="734"/>
      <c r="F87" s="734"/>
      <c r="G87" s="463">
        <f t="shared" si="9"/>
        <v>0</v>
      </c>
      <c r="H87" s="213"/>
      <c r="I87" s="732"/>
      <c r="J87" s="793"/>
      <c r="K87" s="802"/>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114" t="s">
        <v>233</v>
      </c>
      <c r="B88" s="3131"/>
      <c r="C88" s="461">
        <f t="shared" si="10"/>
        <v>63</v>
      </c>
      <c r="D88" s="227"/>
      <c r="E88" s="734"/>
      <c r="F88" s="734"/>
      <c r="G88" s="463">
        <f t="shared" si="9"/>
        <v>0</v>
      </c>
      <c r="H88" s="213"/>
      <c r="I88" s="732"/>
      <c r="J88" s="793"/>
      <c r="K88" s="802"/>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114" t="s">
        <v>234</v>
      </c>
      <c r="B89" s="3131"/>
      <c r="C89" s="461">
        <f t="shared" si="10"/>
        <v>64</v>
      </c>
      <c r="D89" s="67"/>
      <c r="E89" s="734"/>
      <c r="F89" s="734"/>
      <c r="G89" s="463">
        <f t="shared" si="9"/>
        <v>0</v>
      </c>
      <c r="H89" s="213"/>
      <c r="I89" s="732"/>
      <c r="J89" s="793"/>
      <c r="K89" s="802"/>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5"/>
      <c r="C90" s="461">
        <f t="shared" si="10"/>
        <v>65</v>
      </c>
      <c r="D90" s="67"/>
      <c r="E90" s="734"/>
      <c r="F90" s="734"/>
      <c r="G90" s="463">
        <f t="shared" si="9"/>
        <v>0</v>
      </c>
      <c r="H90" s="213"/>
      <c r="I90" s="732"/>
      <c r="J90" s="793"/>
      <c r="K90" s="802"/>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114" t="s">
        <v>331</v>
      </c>
      <c r="B91" s="3132"/>
      <c r="C91" s="461">
        <f t="shared" si="10"/>
        <v>66</v>
      </c>
      <c r="D91" s="67"/>
      <c r="E91" s="734"/>
      <c r="F91" s="734"/>
      <c r="G91" s="463">
        <f t="shared" si="9"/>
        <v>0</v>
      </c>
      <c r="H91" s="213"/>
      <c r="I91" s="732"/>
      <c r="J91" s="793"/>
      <c r="K91" s="802"/>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114" t="s">
        <v>282</v>
      </c>
      <c r="B92" s="3131"/>
      <c r="C92" s="461">
        <f t="shared" si="10"/>
        <v>67</v>
      </c>
      <c r="D92" s="67"/>
      <c r="E92" s="734"/>
      <c r="F92" s="734"/>
      <c r="G92" s="463">
        <f t="shared" si="9"/>
        <v>0</v>
      </c>
      <c r="H92" s="213"/>
      <c r="I92" s="732"/>
      <c r="J92" s="793"/>
      <c r="K92" s="802"/>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5"/>
      <c r="C93" s="461">
        <f t="shared" si="10"/>
        <v>68</v>
      </c>
      <c r="D93" s="67"/>
      <c r="E93" s="734"/>
      <c r="F93" s="734"/>
      <c r="G93" s="463">
        <f t="shared" si="9"/>
        <v>0</v>
      </c>
      <c r="H93" s="213"/>
      <c r="I93" s="732"/>
      <c r="J93" s="793"/>
      <c r="K93" s="802"/>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114" t="s">
        <v>235</v>
      </c>
      <c r="B94" s="3131"/>
      <c r="C94" s="461">
        <f t="shared" si="10"/>
        <v>69</v>
      </c>
      <c r="D94" s="67"/>
      <c r="E94" s="734"/>
      <c r="F94" s="734"/>
      <c r="G94" s="463">
        <f t="shared" si="9"/>
        <v>0</v>
      </c>
      <c r="H94" s="213"/>
      <c r="I94" s="732"/>
      <c r="J94" s="793"/>
      <c r="K94" s="802"/>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114" t="s">
        <v>236</v>
      </c>
      <c r="B95" s="3131"/>
      <c r="C95" s="461">
        <f t="shared" si="10"/>
        <v>70</v>
      </c>
      <c r="D95" s="67"/>
      <c r="E95" s="734"/>
      <c r="F95" s="734"/>
      <c r="G95" s="463">
        <f t="shared" si="9"/>
        <v>0</v>
      </c>
      <c r="H95" s="213"/>
      <c r="I95" s="732"/>
      <c r="J95" s="793">
        <v>0</v>
      </c>
      <c r="K95" s="802"/>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114" t="s">
        <v>413</v>
      </c>
      <c r="B96" s="3131"/>
      <c r="C96" s="461">
        <f t="shared" si="10"/>
        <v>71</v>
      </c>
      <c r="D96" s="67"/>
      <c r="E96" s="734"/>
      <c r="F96" s="734"/>
      <c r="G96" s="463">
        <f t="shared" si="9"/>
        <v>0</v>
      </c>
      <c r="H96" s="213"/>
      <c r="I96" s="732"/>
      <c r="J96" s="793">
        <v>0</v>
      </c>
      <c r="K96" s="802"/>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5"/>
      <c r="C97" s="461">
        <f t="shared" si="10"/>
        <v>72</v>
      </c>
      <c r="D97" s="67"/>
      <c r="E97" s="734"/>
      <c r="F97" s="734"/>
      <c r="G97" s="463">
        <f t="shared" si="9"/>
        <v>0</v>
      </c>
      <c r="H97" s="213"/>
      <c r="I97" s="732"/>
      <c r="J97" s="793">
        <v>0</v>
      </c>
      <c r="K97" s="802"/>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5"/>
      <c r="C98" s="461">
        <f t="shared" si="10"/>
        <v>73</v>
      </c>
      <c r="D98" s="67"/>
      <c r="E98" s="734"/>
      <c r="F98" s="734"/>
      <c r="G98" s="463">
        <f t="shared" si="9"/>
        <v>0</v>
      </c>
      <c r="H98" s="213"/>
      <c r="I98" s="732"/>
      <c r="J98" s="793"/>
      <c r="K98" s="802"/>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5"/>
      <c r="C99" s="461">
        <f t="shared" si="10"/>
        <v>74</v>
      </c>
      <c r="D99" s="67"/>
      <c r="E99" s="734"/>
      <c r="F99" s="734"/>
      <c r="G99" s="463">
        <f t="shared" si="9"/>
        <v>0</v>
      </c>
      <c r="H99" s="213"/>
      <c r="I99" s="732"/>
      <c r="J99" s="793"/>
      <c r="K99" s="802"/>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114" t="s">
        <v>237</v>
      </c>
      <c r="B100" s="3131"/>
      <c r="C100" s="461">
        <f t="shared" si="10"/>
        <v>75</v>
      </c>
      <c r="D100" s="67"/>
      <c r="E100" s="734"/>
      <c r="F100" s="734"/>
      <c r="G100" s="463">
        <f t="shared" si="9"/>
        <v>0</v>
      </c>
      <c r="H100" s="213"/>
      <c r="I100" s="732"/>
      <c r="J100" s="793">
        <v>0</v>
      </c>
      <c r="K100" s="802"/>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5"/>
      <c r="C101" s="461">
        <f t="shared" si="10"/>
        <v>76</v>
      </c>
      <c r="D101" s="67"/>
      <c r="E101" s="734"/>
      <c r="F101" s="734"/>
      <c r="G101" s="463">
        <f t="shared" si="9"/>
        <v>0</v>
      </c>
      <c r="H101" s="213"/>
      <c r="I101" s="732"/>
      <c r="J101" s="793"/>
      <c r="K101" s="802"/>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5"/>
      <c r="C102" s="461">
        <f t="shared" si="10"/>
        <v>77</v>
      </c>
      <c r="D102" s="67"/>
      <c r="E102" s="734"/>
      <c r="F102" s="734"/>
      <c r="G102" s="463">
        <f t="shared" si="9"/>
        <v>0</v>
      </c>
      <c r="H102" s="213"/>
      <c r="I102" s="732"/>
      <c r="J102" s="793"/>
      <c r="K102" s="802"/>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114" t="s">
        <v>238</v>
      </c>
      <c r="B103" s="3131"/>
      <c r="C103" s="461">
        <f>C102+1</f>
        <v>78</v>
      </c>
      <c r="D103" s="67"/>
      <c r="E103" s="734"/>
      <c r="F103" s="734"/>
      <c r="G103" s="463">
        <f t="shared" si="9"/>
        <v>0</v>
      </c>
      <c r="H103" s="213"/>
      <c r="I103" s="732"/>
      <c r="J103" s="793"/>
      <c r="K103" s="802"/>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114" t="s">
        <v>239</v>
      </c>
      <c r="B104" s="3131"/>
      <c r="C104" s="461">
        <f t="shared" si="10"/>
        <v>79</v>
      </c>
      <c r="D104" s="67"/>
      <c r="E104" s="734"/>
      <c r="F104" s="734"/>
      <c r="G104" s="463">
        <f t="shared" si="9"/>
        <v>0</v>
      </c>
      <c r="H104" s="213"/>
      <c r="I104" s="732"/>
      <c r="J104" s="793">
        <v>0</v>
      </c>
      <c r="K104" s="802"/>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114" t="s">
        <v>332</v>
      </c>
      <c r="B105" s="3132"/>
      <c r="C105" s="461">
        <f t="shared" si="10"/>
        <v>80</v>
      </c>
      <c r="D105" s="67"/>
      <c r="E105" s="734"/>
      <c r="F105" s="734"/>
      <c r="G105" s="463">
        <f t="shared" si="9"/>
        <v>0</v>
      </c>
      <c r="H105" s="213"/>
      <c r="I105" s="732"/>
      <c r="J105" s="793">
        <v>0</v>
      </c>
      <c r="K105" s="802"/>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114" t="s">
        <v>333</v>
      </c>
      <c r="B106" s="3132"/>
      <c r="C106" s="461">
        <f t="shared" si="10"/>
        <v>81</v>
      </c>
      <c r="D106" s="67"/>
      <c r="E106" s="734"/>
      <c r="F106" s="734"/>
      <c r="G106" s="463">
        <f t="shared" si="9"/>
        <v>0</v>
      </c>
      <c r="H106" s="213"/>
      <c r="I106" s="732"/>
      <c r="J106" s="793">
        <v>0</v>
      </c>
      <c r="K106" s="802"/>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114" t="s">
        <v>334</v>
      </c>
      <c r="B107" s="3131"/>
      <c r="C107" s="461">
        <f t="shared" si="10"/>
        <v>82</v>
      </c>
      <c r="D107" s="67"/>
      <c r="E107" s="734"/>
      <c r="F107" s="734"/>
      <c r="G107" s="463">
        <f t="shared" si="9"/>
        <v>0</v>
      </c>
      <c r="H107" s="213"/>
      <c r="I107" s="732"/>
      <c r="J107" s="793">
        <v>0</v>
      </c>
      <c r="K107" s="802"/>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5"/>
      <c r="C108" s="461">
        <f t="shared" si="10"/>
        <v>83</v>
      </c>
      <c r="D108" s="67"/>
      <c r="E108" s="734"/>
      <c r="F108" s="734"/>
      <c r="G108" s="463">
        <f t="shared" si="9"/>
        <v>0</v>
      </c>
      <c r="H108" s="213"/>
      <c r="I108" s="732"/>
      <c r="J108" s="793">
        <v>0</v>
      </c>
      <c r="K108" s="802"/>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114" t="s">
        <v>335</v>
      </c>
      <c r="B109" s="3131"/>
      <c r="C109" s="461">
        <f t="shared" si="10"/>
        <v>84</v>
      </c>
      <c r="D109" s="67"/>
      <c r="E109" s="734"/>
      <c r="F109" s="734"/>
      <c r="G109" s="463">
        <f t="shared" si="9"/>
        <v>0</v>
      </c>
      <c r="H109" s="213"/>
      <c r="I109" s="732"/>
      <c r="J109" s="793"/>
      <c r="K109" s="802"/>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114" t="s">
        <v>801</v>
      </c>
      <c r="B110" s="3131"/>
      <c r="C110" s="461">
        <f t="shared" si="10"/>
        <v>85</v>
      </c>
      <c r="D110" s="67"/>
      <c r="E110" s="734"/>
      <c r="F110" s="734"/>
      <c r="G110" s="463">
        <f t="shared" si="9"/>
        <v>0</v>
      </c>
      <c r="H110" s="213"/>
      <c r="I110" s="732"/>
      <c r="J110" s="803"/>
      <c r="K110" s="804"/>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60"/>
      <c r="B111" s="3261"/>
      <c r="C111" s="461">
        <f t="shared" si="10"/>
        <v>86</v>
      </c>
      <c r="D111" s="67"/>
      <c r="E111" s="734"/>
      <c r="F111" s="734"/>
      <c r="G111" s="463">
        <f t="shared" si="9"/>
        <v>0</v>
      </c>
      <c r="H111" s="213"/>
      <c r="I111" s="732"/>
      <c r="J111" s="907"/>
      <c r="K111" s="804"/>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60"/>
      <c r="B112" s="3261"/>
      <c r="C112" s="461">
        <f t="shared" si="10"/>
        <v>87</v>
      </c>
      <c r="D112" s="67"/>
      <c r="E112" s="734"/>
      <c r="F112" s="734"/>
      <c r="G112" s="463">
        <f t="shared" si="9"/>
        <v>0</v>
      </c>
      <c r="H112" s="213"/>
      <c r="I112" s="732"/>
      <c r="J112" s="907">
        <v>0</v>
      </c>
      <c r="K112" s="804"/>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60"/>
      <c r="B113" s="3261"/>
      <c r="C113" s="461">
        <f t="shared" si="10"/>
        <v>88</v>
      </c>
      <c r="D113" s="67"/>
      <c r="E113" s="734"/>
      <c r="F113" s="734"/>
      <c r="G113" s="463">
        <f t="shared" si="9"/>
        <v>0</v>
      </c>
      <c r="H113" s="213"/>
      <c r="I113" s="732"/>
      <c r="J113" s="907">
        <v>0</v>
      </c>
      <c r="K113" s="804"/>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60"/>
      <c r="B114" s="3261"/>
      <c r="C114" s="461">
        <f t="shared" si="10"/>
        <v>89</v>
      </c>
      <c r="D114" s="67"/>
      <c r="E114" s="734"/>
      <c r="F114" s="734"/>
      <c r="G114" s="463">
        <f t="shared" si="9"/>
        <v>0</v>
      </c>
      <c r="H114" s="213"/>
      <c r="I114" s="732"/>
      <c r="J114" s="907">
        <v>0</v>
      </c>
      <c r="K114" s="804"/>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60"/>
      <c r="B115" s="3261"/>
      <c r="C115" s="461">
        <f t="shared" si="10"/>
        <v>90</v>
      </c>
      <c r="D115" s="67"/>
      <c r="E115" s="734"/>
      <c r="F115" s="734"/>
      <c r="G115" s="463">
        <f t="shared" si="9"/>
        <v>0</v>
      </c>
      <c r="H115" s="213"/>
      <c r="I115" s="732"/>
      <c r="J115" s="907">
        <v>0</v>
      </c>
      <c r="K115" s="804"/>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2"/>
      <c r="B116" s="1673"/>
      <c r="C116" s="461">
        <f>C115+1</f>
        <v>91</v>
      </c>
      <c r="D116" s="67"/>
      <c r="E116" s="734"/>
      <c r="F116" s="734"/>
      <c r="G116" s="463">
        <f t="shared" si="9"/>
        <v>0</v>
      </c>
      <c r="H116" s="213"/>
      <c r="I116" s="732"/>
      <c r="J116" s="907">
        <v>0</v>
      </c>
      <c r="K116" s="804"/>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60"/>
      <c r="B117" s="3261"/>
      <c r="C117" s="461">
        <f t="shared" si="10"/>
        <v>92</v>
      </c>
      <c r="D117" s="67"/>
      <c r="E117" s="734"/>
      <c r="F117" s="734"/>
      <c r="G117" s="463">
        <f t="shared" si="9"/>
        <v>0</v>
      </c>
      <c r="H117" s="213"/>
      <c r="I117" s="732"/>
      <c r="J117" s="907"/>
      <c r="K117" s="804"/>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60"/>
      <c r="B118" s="3261"/>
      <c r="C118" s="461">
        <f t="shared" si="10"/>
        <v>93</v>
      </c>
      <c r="D118" s="68"/>
      <c r="E118" s="734"/>
      <c r="F118" s="734"/>
      <c r="G118" s="493">
        <f t="shared" si="9"/>
        <v>0</v>
      </c>
      <c r="H118" s="213"/>
      <c r="I118" s="732"/>
      <c r="J118" s="907">
        <v>0</v>
      </c>
      <c r="K118" s="804"/>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7">
        <v>0</v>
      </c>
      <c r="K119" s="804"/>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7">
        <v>0</v>
      </c>
      <c r="K120" s="805"/>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8"/>
      <c r="K121" s="798"/>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8"/>
      <c r="K122" s="798"/>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8"/>
      <c r="K123" s="798"/>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9"/>
      <c r="K124" s="794"/>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4"/>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4"/>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4"/>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4"/>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148"/>
      <c r="E129" s="3148"/>
      <c r="F129" s="3148"/>
      <c r="G129" s="3148"/>
      <c r="H129" s="3149"/>
      <c r="I129" s="3148"/>
      <c r="J129" s="212"/>
      <c r="K129" s="794"/>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4"/>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4"/>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8"/>
      <c r="K132" s="798"/>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5"/>
      <c r="J133" s="212"/>
      <c r="K133" s="794"/>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5"/>
      <c r="J134" s="212"/>
      <c r="K134" s="794"/>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5"/>
      <c r="J135" s="212"/>
      <c r="K135" s="794"/>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5"/>
      <c r="J136" s="212"/>
      <c r="K136" s="794"/>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5"/>
      <c r="J137" s="212"/>
      <c r="K137" s="794"/>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5"/>
      <c r="J138" s="212"/>
      <c r="K138" s="794"/>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5"/>
      <c r="J139" s="212"/>
      <c r="K139" s="794"/>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5"/>
      <c r="J140" s="212"/>
      <c r="K140" s="794"/>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5"/>
      <c r="J141" s="212"/>
      <c r="K141" s="794"/>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5"/>
      <c r="J142" s="212"/>
      <c r="K142" s="794"/>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5"/>
      <c r="J143" s="212"/>
      <c r="K143" s="794"/>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1"/>
      <c r="C144" s="461">
        <f t="shared" si="11"/>
        <v>107</v>
      </c>
      <c r="D144" s="2612"/>
      <c r="E144" s="2612"/>
      <c r="F144" s="2612"/>
      <c r="G144" s="2612"/>
      <c r="H144" s="228"/>
      <c r="I144" s="2613"/>
      <c r="J144" s="212"/>
      <c r="K144" s="794"/>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5"/>
      <c r="J145" s="212"/>
      <c r="K145" s="794"/>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4"/>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6"/>
      <c r="E147" s="737"/>
      <c r="F147" s="738"/>
      <c r="G147" s="457">
        <f>+E147-F147</f>
        <v>0</v>
      </c>
      <c r="H147" s="213"/>
      <c r="I147" s="458">
        <f>SUM(I133:I145)</f>
        <v>0</v>
      </c>
      <c r="J147" s="212"/>
      <c r="K147" s="794"/>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8"/>
      <c r="K148" s="798"/>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4"/>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4"/>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62"/>
      <c r="B151" s="3155"/>
      <c r="C151" s="3157"/>
      <c r="D151" s="3159"/>
      <c r="E151" s="3159"/>
      <c r="F151" s="3159"/>
      <c r="G151" s="3159"/>
      <c r="H151" s="526"/>
      <c r="I151" s="3159"/>
      <c r="J151" s="212"/>
      <c r="K151" s="794"/>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160" t="s">
        <v>10</v>
      </c>
      <c r="B152" s="3161"/>
      <c r="C152" s="527">
        <f>C147+1</f>
        <v>110</v>
      </c>
      <c r="D152" s="67"/>
      <c r="E152" s="67"/>
      <c r="F152" s="67"/>
      <c r="G152" s="67"/>
      <c r="H152" s="228"/>
      <c r="I152" s="732"/>
      <c r="J152" s="212"/>
      <c r="K152" s="794"/>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70" t="s">
        <v>8</v>
      </c>
      <c r="B153" s="1671"/>
      <c r="C153" s="527">
        <f>C152+1</f>
        <v>111</v>
      </c>
      <c r="D153" s="67"/>
      <c r="E153" s="67"/>
      <c r="F153" s="67"/>
      <c r="G153" s="67"/>
      <c r="H153" s="228"/>
      <c r="I153" s="739"/>
      <c r="J153" s="212">
        <v>0</v>
      </c>
      <c r="K153" s="794"/>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160" t="s">
        <v>336</v>
      </c>
      <c r="B154" s="3161"/>
      <c r="C154" s="527">
        <f t="shared" ref="C154:C169" si="12">C153+1</f>
        <v>112</v>
      </c>
      <c r="D154" s="67"/>
      <c r="E154" s="67"/>
      <c r="F154" s="67"/>
      <c r="G154" s="67"/>
      <c r="H154" s="228"/>
      <c r="I154" s="739"/>
      <c r="J154" s="212"/>
      <c r="K154" s="794"/>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160" t="s">
        <v>337</v>
      </c>
      <c r="B155" s="3161"/>
      <c r="C155" s="527">
        <f t="shared" si="12"/>
        <v>113</v>
      </c>
      <c r="D155" s="67"/>
      <c r="E155" s="67"/>
      <c r="F155" s="67"/>
      <c r="G155" s="67"/>
      <c r="H155" s="228"/>
      <c r="I155" s="739"/>
      <c r="J155" s="212"/>
      <c r="K155" s="794"/>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160" t="s">
        <v>20</v>
      </c>
      <c r="B156" s="3161"/>
      <c r="C156" s="527">
        <f t="shared" si="12"/>
        <v>114</v>
      </c>
      <c r="D156" s="219"/>
      <c r="E156" s="219"/>
      <c r="F156" s="219"/>
      <c r="G156" s="67"/>
      <c r="H156" s="228"/>
      <c r="I156" s="740"/>
      <c r="J156" s="212">
        <v>0</v>
      </c>
      <c r="K156" s="794"/>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70" t="s">
        <v>9</v>
      </c>
      <c r="B157" s="617"/>
      <c r="C157" s="527">
        <f t="shared" si="12"/>
        <v>115</v>
      </c>
      <c r="D157" s="227"/>
      <c r="E157" s="227"/>
      <c r="F157" s="227"/>
      <c r="G157" s="67"/>
      <c r="H157" s="228"/>
      <c r="I157" s="732"/>
      <c r="J157" s="212">
        <v>0</v>
      </c>
      <c r="K157" s="794"/>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160" t="s">
        <v>338</v>
      </c>
      <c r="B158" s="3161"/>
      <c r="C158" s="527">
        <f t="shared" si="12"/>
        <v>116</v>
      </c>
      <c r="D158" s="227"/>
      <c r="E158" s="227"/>
      <c r="F158" s="227"/>
      <c r="G158" s="67"/>
      <c r="H158" s="228"/>
      <c r="I158" s="739"/>
      <c r="J158" s="212">
        <v>0</v>
      </c>
      <c r="K158" s="794"/>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160" t="s">
        <v>339</v>
      </c>
      <c r="B159" s="3161"/>
      <c r="C159" s="527">
        <f t="shared" si="12"/>
        <v>117</v>
      </c>
      <c r="D159" s="227"/>
      <c r="E159" s="227"/>
      <c r="F159" s="227"/>
      <c r="G159" s="67"/>
      <c r="H159" s="228"/>
      <c r="I159" s="739"/>
      <c r="J159" s="212">
        <v>0</v>
      </c>
      <c r="K159" s="794"/>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160" t="s">
        <v>340</v>
      </c>
      <c r="B160" s="3161"/>
      <c r="C160" s="527">
        <f t="shared" si="12"/>
        <v>118</v>
      </c>
      <c r="D160" s="227"/>
      <c r="E160" s="227"/>
      <c r="F160" s="227"/>
      <c r="G160" s="67"/>
      <c r="H160" s="228"/>
      <c r="I160" s="740"/>
      <c r="J160" s="212"/>
      <c r="K160" s="794"/>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160" t="s">
        <v>341</v>
      </c>
      <c r="B161" s="3161"/>
      <c r="C161" s="527">
        <f t="shared" si="12"/>
        <v>119</v>
      </c>
      <c r="D161" s="227"/>
      <c r="E161" s="227"/>
      <c r="F161" s="227"/>
      <c r="G161" s="67"/>
      <c r="H161" s="228"/>
      <c r="I161" s="732"/>
      <c r="J161" s="212">
        <v>0</v>
      </c>
      <c r="K161" s="794"/>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160" t="s">
        <v>1117</v>
      </c>
      <c r="B162" s="3161"/>
      <c r="C162" s="527">
        <f t="shared" si="12"/>
        <v>120</v>
      </c>
      <c r="D162" s="227"/>
      <c r="E162" s="227"/>
      <c r="F162" s="227"/>
      <c r="G162" s="67"/>
      <c r="H162" s="228"/>
      <c r="I162" s="739"/>
      <c r="J162" s="212">
        <v>0</v>
      </c>
      <c r="K162" s="794"/>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6"/>
      <c r="B163" s="3267"/>
      <c r="C163" s="527">
        <f t="shared" si="12"/>
        <v>121</v>
      </c>
      <c r="D163" s="227"/>
      <c r="E163" s="227"/>
      <c r="F163" s="227"/>
      <c r="G163" s="67"/>
      <c r="H163" s="228"/>
      <c r="I163" s="739"/>
      <c r="J163" s="264">
        <v>0</v>
      </c>
      <c r="K163" s="807"/>
      <c r="L163" s="807"/>
      <c r="M163" s="807"/>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6"/>
      <c r="B164" s="3267"/>
      <c r="C164" s="527">
        <f t="shared" si="12"/>
        <v>122</v>
      </c>
      <c r="D164" s="227"/>
      <c r="E164" s="227"/>
      <c r="F164" s="227"/>
      <c r="G164" s="67"/>
      <c r="H164" s="228"/>
      <c r="I164" s="739"/>
      <c r="J164" s="264">
        <v>0</v>
      </c>
      <c r="K164" s="807"/>
      <c r="L164" s="807"/>
      <c r="M164" s="807"/>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6"/>
      <c r="B165" s="3267"/>
      <c r="C165" s="527">
        <f t="shared" si="12"/>
        <v>123</v>
      </c>
      <c r="D165" s="227"/>
      <c r="E165" s="227"/>
      <c r="F165" s="227"/>
      <c r="G165" s="67"/>
      <c r="H165" s="228"/>
      <c r="I165" s="739"/>
      <c r="J165" s="264">
        <v>0</v>
      </c>
      <c r="K165" s="807"/>
      <c r="L165" s="807"/>
      <c r="M165" s="807"/>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6"/>
      <c r="B166" s="3267"/>
      <c r="C166" s="527">
        <f t="shared" si="12"/>
        <v>124</v>
      </c>
      <c r="D166" s="227"/>
      <c r="E166" s="227"/>
      <c r="F166" s="227"/>
      <c r="G166" s="67"/>
      <c r="H166" s="228"/>
      <c r="I166" s="739"/>
      <c r="J166" s="264">
        <v>0</v>
      </c>
      <c r="K166" s="807"/>
      <c r="L166" s="807"/>
      <c r="M166" s="807"/>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6"/>
      <c r="B167" s="3267"/>
      <c r="C167" s="527">
        <f t="shared" si="12"/>
        <v>125</v>
      </c>
      <c r="D167" s="227"/>
      <c r="E167" s="227"/>
      <c r="F167" s="227"/>
      <c r="G167" s="67"/>
      <c r="H167" s="228"/>
      <c r="I167" s="739"/>
      <c r="J167" s="264">
        <v>0</v>
      </c>
      <c r="K167" s="807"/>
      <c r="L167" s="807"/>
      <c r="M167" s="807"/>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6"/>
      <c r="B168" s="3267"/>
      <c r="C168" s="527">
        <f t="shared" si="12"/>
        <v>126</v>
      </c>
      <c r="D168" s="227"/>
      <c r="E168" s="227"/>
      <c r="F168" s="227"/>
      <c r="G168" s="67"/>
      <c r="H168" s="228"/>
      <c r="I168" s="739"/>
      <c r="J168" s="264">
        <v>0</v>
      </c>
      <c r="K168" s="807"/>
      <c r="L168" s="807"/>
      <c r="M168" s="807"/>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6"/>
      <c r="B169" s="3267"/>
      <c r="C169" s="527">
        <f t="shared" si="12"/>
        <v>127</v>
      </c>
      <c r="D169" s="227"/>
      <c r="E169" s="227"/>
      <c r="F169" s="227"/>
      <c r="G169" s="67"/>
      <c r="H169" s="228"/>
      <c r="I169" s="739"/>
      <c r="J169" s="264">
        <v>0</v>
      </c>
      <c r="K169" s="807"/>
      <c r="L169" s="807"/>
      <c r="M169" s="807"/>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7"/>
      <c r="L170" s="807"/>
      <c r="M170" s="807"/>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5"/>
      <c r="L171" s="805"/>
      <c r="M171" s="805"/>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6"/>
      <c r="L172" s="807"/>
      <c r="M172" s="807"/>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2"/>
      <c r="J173" s="898"/>
      <c r="K173" s="805"/>
      <c r="L173" s="805"/>
      <c r="M173" s="805"/>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2"/>
      <c r="J174" s="212"/>
      <c r="K174" s="794"/>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2"/>
      <c r="J175" s="212"/>
      <c r="K175" s="794"/>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2"/>
      <c r="J176" s="212"/>
      <c r="K176" s="794"/>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2"/>
      <c r="J177" s="212"/>
      <c r="K177" s="794"/>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2"/>
      <c r="J178" s="212"/>
      <c r="K178" s="794"/>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6"/>
      <c r="C179" s="461">
        <f t="shared" si="13"/>
        <v>135</v>
      </c>
      <c r="D179" s="227"/>
      <c r="E179" s="227"/>
      <c r="F179" s="227"/>
      <c r="G179" s="227"/>
      <c r="H179" s="228"/>
      <c r="I179" s="725"/>
      <c r="J179" s="212"/>
      <c r="K179" s="794"/>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5"/>
      <c r="J180" s="212"/>
      <c r="K180" s="794"/>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5"/>
      <c r="J181" s="212"/>
      <c r="K181" s="794"/>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1"/>
      <c r="E182" s="741"/>
      <c r="F182" s="741"/>
      <c r="G182" s="457">
        <f>+E182-F182</f>
        <v>0</v>
      </c>
      <c r="H182" s="213"/>
      <c r="I182" s="533">
        <f>SUM(I173:I181)</f>
        <v>0</v>
      </c>
      <c r="J182" s="212"/>
      <c r="K182" s="794"/>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5"/>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7"/>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70"/>
      <c r="B185" s="3271"/>
      <c r="C185" s="527">
        <f>C182+1</f>
        <v>139</v>
      </c>
      <c r="D185" s="227"/>
      <c r="E185" s="227"/>
      <c r="F185" s="227"/>
      <c r="G185" s="227"/>
      <c r="H185" s="228"/>
      <c r="I185" s="740"/>
      <c r="J185" s="910"/>
      <c r="K185" s="807"/>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70"/>
      <c r="B186" s="3271"/>
      <c r="C186" s="527">
        <f t="shared" ref="C186:C192" si="14">C185+1</f>
        <v>140</v>
      </c>
      <c r="D186" s="227"/>
      <c r="E186" s="227"/>
      <c r="F186" s="227"/>
      <c r="G186" s="227"/>
      <c r="H186" s="228"/>
      <c r="I186" s="740"/>
      <c r="J186" s="264">
        <v>0</v>
      </c>
      <c r="K186" s="807"/>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40"/>
      <c r="J187" s="264">
        <v>0</v>
      </c>
      <c r="K187" s="807"/>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40"/>
      <c r="J188" s="264">
        <v>0</v>
      </c>
      <c r="K188" s="807"/>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40"/>
      <c r="J189" s="264">
        <v>0</v>
      </c>
      <c r="K189" s="807"/>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70"/>
      <c r="B190" s="3271"/>
      <c r="C190" s="527">
        <f t="shared" si="14"/>
        <v>144</v>
      </c>
      <c r="D190" s="227"/>
      <c r="E190" s="227"/>
      <c r="F190" s="227"/>
      <c r="G190" s="68"/>
      <c r="H190" s="228"/>
      <c r="I190" s="740"/>
      <c r="J190" s="264">
        <v>0</v>
      </c>
      <c r="K190" s="807"/>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8"/>
      <c r="B191" s="3269"/>
      <c r="C191" s="527">
        <f t="shared" si="14"/>
        <v>145</v>
      </c>
      <c r="D191" s="227"/>
      <c r="E191" s="227"/>
      <c r="F191" s="227"/>
      <c r="G191" s="221"/>
      <c r="H191" s="228"/>
      <c r="I191" s="740"/>
      <c r="J191" s="264">
        <v>0</v>
      </c>
      <c r="K191" s="807"/>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7"/>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5"/>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7"/>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40"/>
      <c r="J195" s="264"/>
      <c r="K195" s="807"/>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2"/>
      <c r="G196" s="67"/>
      <c r="H196" s="228"/>
      <c r="I196" s="213"/>
      <c r="J196" s="212"/>
      <c r="K196" s="794"/>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4"/>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1"/>
      <c r="K198" s="794"/>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168"/>
      <c r="B199" s="3168"/>
      <c r="C199" s="232"/>
      <c r="D199" s="239"/>
      <c r="E199" s="239"/>
      <c r="F199" s="239"/>
      <c r="G199" s="239"/>
      <c r="H199" s="239"/>
      <c r="I199" s="239"/>
      <c r="J199" s="911"/>
      <c r="K199" s="794"/>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169" t="s">
        <v>196</v>
      </c>
      <c r="B200" s="3169"/>
      <c r="C200" s="149"/>
      <c r="D200" s="235"/>
      <c r="E200" s="235"/>
      <c r="F200" s="235"/>
      <c r="G200" s="235"/>
      <c r="H200" s="235"/>
      <c r="I200" s="235"/>
      <c r="J200" s="911"/>
      <c r="K200" s="794"/>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1"/>
      <c r="K201" s="794"/>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1"/>
      <c r="K202" s="794"/>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148"/>
      <c r="E203" s="3148"/>
      <c r="F203" s="3148"/>
      <c r="G203" s="3148"/>
      <c r="H203" s="3149"/>
      <c r="I203" s="3148"/>
      <c r="J203" s="911"/>
      <c r="K203" s="794"/>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4"/>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4"/>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4"/>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6" t="s">
        <v>264</v>
      </c>
      <c r="B207" s="719"/>
      <c r="C207" s="719"/>
      <c r="D207" s="720"/>
      <c r="E207" s="720"/>
      <c r="F207" s="720"/>
      <c r="G207" s="720"/>
      <c r="H207" s="721"/>
      <c r="I207" s="720"/>
      <c r="J207" s="212"/>
      <c r="K207" s="794"/>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7"/>
      <c r="C208" s="461">
        <f>C196+1</f>
        <v>149</v>
      </c>
      <c r="D208" s="242"/>
      <c r="E208" s="219"/>
      <c r="F208" s="219"/>
      <c r="G208" s="219"/>
      <c r="H208" s="550"/>
      <c r="I208" s="742"/>
      <c r="J208" s="212"/>
      <c r="K208" s="794"/>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160" t="s">
        <v>266</v>
      </c>
      <c r="B209" s="3272"/>
      <c r="C209" s="461">
        <f>C208+1</f>
        <v>150</v>
      </c>
      <c r="D209" s="67"/>
      <c r="E209" s="67"/>
      <c r="F209" s="227"/>
      <c r="G209" s="227"/>
      <c r="H209" s="228"/>
      <c r="I209" s="732"/>
      <c r="J209" s="212"/>
      <c r="K209" s="794"/>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70" t="s">
        <v>267</v>
      </c>
      <c r="B210" s="1678"/>
      <c r="C210" s="461">
        <f>C209+1</f>
        <v>151</v>
      </c>
      <c r="D210" s="67"/>
      <c r="E210" s="67"/>
      <c r="F210" s="227"/>
      <c r="G210" s="227"/>
      <c r="H210" s="228"/>
      <c r="I210" s="732"/>
      <c r="J210" s="212"/>
      <c r="K210" s="794"/>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7"/>
      <c r="C211" s="551"/>
      <c r="D211" s="552"/>
      <c r="E211" s="552"/>
      <c r="F211" s="552"/>
      <c r="G211" s="552"/>
      <c r="H211" s="235"/>
      <c r="I211" s="552"/>
      <c r="J211" s="212"/>
      <c r="K211" s="794"/>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2"/>
      <c r="J212" s="212"/>
      <c r="K212" s="794"/>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2"/>
      <c r="J213" s="212"/>
      <c r="K213" s="794"/>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1"/>
      <c r="K214" s="794"/>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6"/>
      <c r="E215" s="726"/>
      <c r="F215" s="726"/>
      <c r="G215" s="457">
        <f>+E215-F215</f>
        <v>0</v>
      </c>
      <c r="H215" s="228"/>
      <c r="I215" s="458">
        <f>SUM(I208:I213)</f>
        <v>0</v>
      </c>
      <c r="J215" s="911"/>
      <c r="K215" s="794"/>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1"/>
      <c r="K216" s="794"/>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3" t="s">
        <v>205</v>
      </c>
      <c r="G219" s="567"/>
      <c r="H219" s="567"/>
      <c r="I219" s="243"/>
      <c r="J219" s="912"/>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2"/>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2"/>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2"/>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2"/>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2"/>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2"/>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2"/>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2"/>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2"/>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2"/>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2"/>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2"/>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2"/>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2"/>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2"/>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2"/>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2"/>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2"/>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2"/>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2"/>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2"/>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2"/>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2"/>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921875" defaultRowHeight="15.5"/>
  <cols>
    <col min="1" max="1" width="55.15234375" customWidth="1"/>
    <col min="2" max="2" width="15.07421875" customWidth="1"/>
    <col min="4" max="7" width="15.921875" customWidth="1"/>
    <col min="8" max="8" width="2.53515625" customWidth="1"/>
    <col min="9" max="9" width="15.921875" customWidth="1"/>
    <col min="10" max="10" width="10.61328125" bestFit="1" customWidth="1"/>
    <col min="14" max="14" width="55.15234375" customWidth="1"/>
    <col min="15" max="15" width="82.4609375" customWidth="1"/>
  </cols>
  <sheetData>
    <row r="1" spans="1:59" ht="25">
      <c r="A1" s="421" t="str">
        <f>+Summary!A1</f>
        <v>Public Health Wales Trust</v>
      </c>
      <c r="B1" s="80"/>
      <c r="C1" s="685"/>
      <c r="D1" s="686"/>
      <c r="E1" s="686"/>
      <c r="F1" s="423" t="str">
        <f>+'N - GMS'!D1</f>
        <v>Period :</v>
      </c>
      <c r="G1" s="423" t="str">
        <f>+'N - GMS'!E1</f>
        <v>Apr 23</v>
      </c>
      <c r="H1" s="686"/>
      <c r="I1" s="686"/>
      <c r="J1" s="248"/>
      <c r="K1" s="71"/>
      <c r="L1" s="71"/>
      <c r="M1" s="71"/>
      <c r="N1" s="254" t="s">
        <v>574</v>
      </c>
      <c r="O1" s="850" t="str">
        <f>IF($P$10&gt;0," If there are any validation errors, you must include an explanation within your narrative","")</f>
        <v/>
      </c>
      <c r="P1" s="746"/>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4"/>
      <c r="B2" s="687"/>
      <c r="C2" s="687"/>
      <c r="D2" s="688"/>
      <c r="E2" s="688"/>
      <c r="F2" s="688"/>
      <c r="G2" s="688"/>
      <c r="H2" s="689"/>
      <c r="I2" s="690"/>
      <c r="J2" s="248"/>
      <c r="K2" s="71"/>
      <c r="L2" s="71"/>
      <c r="M2" s="71"/>
      <c r="N2" s="51"/>
      <c r="O2" s="257"/>
      <c r="P2" s="746"/>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6"/>
      <c r="C3" s="1046"/>
      <c r="D3" s="1029" t="str">
        <f>"This Table is currently showing "&amp;$P$10&amp;" errors"</f>
        <v>This Table is currently showing 0 errors</v>
      </c>
      <c r="E3" s="1047"/>
      <c r="F3" s="845"/>
      <c r="G3" s="878"/>
      <c r="H3" s="691"/>
      <c r="I3" s="691"/>
      <c r="J3" s="248"/>
      <c r="K3" s="71"/>
      <c r="L3" s="71"/>
      <c r="M3" s="71"/>
      <c r="N3" s="904"/>
      <c r="O3" s="905"/>
      <c r="P3" s="7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9">
        <v>6</v>
      </c>
      <c r="C4" s="373"/>
      <c r="D4" s="879"/>
      <c r="E4" s="879"/>
      <c r="F4" s="880"/>
      <c r="G4" s="880"/>
      <c r="H4" s="692"/>
      <c r="I4" s="692"/>
      <c r="J4" s="248"/>
      <c r="K4" s="71"/>
      <c r="L4" s="71"/>
      <c r="M4" s="71"/>
      <c r="N4" s="259" t="s">
        <v>356</v>
      </c>
      <c r="O4" s="260"/>
      <c r="P4" s="840"/>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9"/>
      <c r="E5" s="879"/>
      <c r="F5" s="881"/>
      <c r="G5" s="881"/>
      <c r="H5" s="693"/>
      <c r="I5" s="693"/>
      <c r="J5" s="248"/>
      <c r="K5" s="71"/>
      <c r="L5" s="71"/>
      <c r="M5" s="71"/>
      <c r="N5" s="261" t="str">
        <f>"Line No "&amp;C20&amp;" agrees with line "&amp;C53&amp;""</f>
        <v>Line No 12 agrees with line 43</v>
      </c>
      <c r="O5" s="165" t="str">
        <f>IF($B$4&gt;Summary!$K$1,"Ok",IF($F$20&lt;&gt;$F$53,"Error, these Line Numbers should contain the same value","Ok"))</f>
        <v>Ok</v>
      </c>
      <c r="P5" s="840">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4"/>
      <c r="B6" s="694"/>
      <c r="C6" s="694"/>
      <c r="D6" s="3076"/>
      <c r="E6" s="3076"/>
      <c r="F6" s="3076"/>
      <c r="G6" s="3076"/>
      <c r="H6" s="3077"/>
      <c r="I6" s="3076"/>
      <c r="J6" s="248"/>
      <c r="K6" s="71"/>
      <c r="L6" s="71"/>
      <c r="M6" s="71"/>
      <c r="N6" s="259" t="s">
        <v>357</v>
      </c>
      <c r="O6" s="260"/>
      <c r="P6" s="840"/>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2" t="s">
        <v>28</v>
      </c>
      <c r="B7" s="652"/>
      <c r="C7" s="653"/>
      <c r="D7" s="654" t="s">
        <v>30</v>
      </c>
      <c r="E7" s="655" t="s">
        <v>199</v>
      </c>
      <c r="F7" s="655" t="s">
        <v>200</v>
      </c>
      <c r="G7" s="655" t="s">
        <v>42</v>
      </c>
      <c r="H7" s="656"/>
      <c r="I7" s="655" t="s">
        <v>201</v>
      </c>
      <c r="J7" s="248"/>
      <c r="K7" s="71"/>
      <c r="L7" s="71"/>
      <c r="M7" s="71"/>
      <c r="N7" s="261" t="str">
        <f>"Line No "&amp;C20&amp;" agrees with line "&amp;C53&amp;""</f>
        <v>Line No 12 agrees with line 43</v>
      </c>
      <c r="O7" s="165" t="str">
        <f>IF($B$4&gt;Summary!$K$1,"Ok",IF($I$20&lt;&gt;$I$53,"Error, these Line Numbers should contain the same value","Ok"))</f>
        <v>Ok</v>
      </c>
      <c r="P7" s="840">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086" t="s">
        <v>21</v>
      </c>
      <c r="B8" s="3087"/>
      <c r="C8" s="695" t="s">
        <v>202</v>
      </c>
      <c r="D8" s="657" t="s">
        <v>121</v>
      </c>
      <c r="E8" s="657" t="s">
        <v>121</v>
      </c>
      <c r="F8" s="657" t="s">
        <v>121</v>
      </c>
      <c r="G8" s="657" t="s">
        <v>121</v>
      </c>
      <c r="H8" s="658"/>
      <c r="I8" s="657" t="s">
        <v>121</v>
      </c>
      <c r="J8" s="570"/>
      <c r="K8" s="71"/>
      <c r="L8" s="71"/>
      <c r="M8" s="71"/>
      <c r="N8" s="259" t="s">
        <v>367</v>
      </c>
      <c r="O8" s="260"/>
      <c r="P8" s="840"/>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6" t="s">
        <v>316</v>
      </c>
      <c r="B9" s="697"/>
      <c r="C9" s="698">
        <v>1</v>
      </c>
      <c r="D9" s="698"/>
      <c r="E9" s="659"/>
      <c r="F9" s="660"/>
      <c r="G9" s="661">
        <f>+F9-E9</f>
        <v>0</v>
      </c>
      <c r="H9" s="308"/>
      <c r="I9" s="662"/>
      <c r="J9" s="248"/>
      <c r="K9" s="71"/>
      <c r="L9" s="71"/>
      <c r="M9" s="71"/>
      <c r="N9" s="261" t="str">
        <f>"Line No "&amp;C21&amp;" against Allocated Income Table E Line "&amp;'E - Resource Limits'!A81&amp;""</f>
        <v>Line No 13 against Allocated Income Table E Line 66</v>
      </c>
      <c r="O9" s="768" t="str">
        <f>IF($B$4&gt;Summary!$K$1,"Ok",IF(VLOOKUP(Summary!H1,Summary!V1:X12,3,0)="Q",IF(ABS(D21-'E - Resource Limits'!E81)&gt;1,"WG Allocation does not agree to Table E","Ok"),"Ok"))</f>
        <v>Ok</v>
      </c>
      <c r="P9" s="840">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9" t="s">
        <v>317</v>
      </c>
      <c r="B10" s="700"/>
      <c r="C10" s="701">
        <f>C9+1</f>
        <v>2</v>
      </c>
      <c r="D10" s="701"/>
      <c r="E10" s="663"/>
      <c r="F10" s="663"/>
      <c r="G10" s="661">
        <f t="shared" ref="G10:G20" si="0">+F10-E10</f>
        <v>0</v>
      </c>
      <c r="H10" s="308"/>
      <c r="I10" s="659"/>
      <c r="J10" s="248"/>
      <c r="K10" s="71"/>
      <c r="L10" s="71"/>
      <c r="M10" s="71"/>
      <c r="N10" s="71"/>
      <c r="O10" s="71"/>
      <c r="P10" s="840">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2" t="s">
        <v>318</v>
      </c>
      <c r="B11" s="703"/>
      <c r="C11" s="698">
        <f t="shared" ref="C11:C21" si="1">C10+1</f>
        <v>3</v>
      </c>
      <c r="D11" s="698"/>
      <c r="E11" s="665"/>
      <c r="F11" s="665"/>
      <c r="G11" s="661">
        <f t="shared" si="0"/>
        <v>0</v>
      </c>
      <c r="H11" s="308"/>
      <c r="I11" s="659"/>
      <c r="J11" s="248"/>
      <c r="K11" s="71"/>
      <c r="L11" s="71"/>
      <c r="M11" s="71"/>
      <c r="N11" s="71"/>
      <c r="O11" s="71"/>
      <c r="P11" s="840"/>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4" t="s">
        <v>320</v>
      </c>
      <c r="B12" s="703"/>
      <c r="C12" s="701">
        <f t="shared" si="1"/>
        <v>4</v>
      </c>
      <c r="D12" s="701"/>
      <c r="E12" s="665"/>
      <c r="F12" s="665"/>
      <c r="G12" s="661">
        <f t="shared" si="0"/>
        <v>0</v>
      </c>
      <c r="H12" s="308"/>
      <c r="I12" s="659"/>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2" t="s">
        <v>319</v>
      </c>
      <c r="B13" s="703"/>
      <c r="C13" s="698">
        <f t="shared" si="1"/>
        <v>5</v>
      </c>
      <c r="D13" s="698"/>
      <c r="E13" s="665"/>
      <c r="F13" s="665"/>
      <c r="G13" s="661">
        <f t="shared" si="0"/>
        <v>0</v>
      </c>
      <c r="H13" s="308"/>
      <c r="I13" s="659"/>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4" t="s">
        <v>323</v>
      </c>
      <c r="B14" s="703"/>
      <c r="C14" s="701">
        <f t="shared" si="1"/>
        <v>6</v>
      </c>
      <c r="D14" s="701"/>
      <c r="E14" s="665"/>
      <c r="F14" s="665"/>
      <c r="G14" s="661">
        <f t="shared" si="0"/>
        <v>0</v>
      </c>
      <c r="H14" s="308"/>
      <c r="I14" s="659"/>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2" t="s">
        <v>321</v>
      </c>
      <c r="B15" s="703"/>
      <c r="C15" s="698">
        <f t="shared" si="1"/>
        <v>7</v>
      </c>
      <c r="D15" s="698"/>
      <c r="E15" s="665"/>
      <c r="F15" s="665"/>
      <c r="G15" s="661">
        <f t="shared" si="0"/>
        <v>0</v>
      </c>
      <c r="H15" s="308"/>
      <c r="I15" s="659"/>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2" t="s">
        <v>22</v>
      </c>
      <c r="B16" s="703"/>
      <c r="C16" s="698">
        <f t="shared" si="1"/>
        <v>8</v>
      </c>
      <c r="D16" s="698"/>
      <c r="E16" s="665"/>
      <c r="F16" s="665"/>
      <c r="G16" s="661">
        <f t="shared" si="0"/>
        <v>0</v>
      </c>
      <c r="H16" s="308"/>
      <c r="I16" s="659"/>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4" t="s">
        <v>322</v>
      </c>
      <c r="B17" s="703"/>
      <c r="C17" s="701">
        <f t="shared" si="1"/>
        <v>9</v>
      </c>
      <c r="D17" s="701"/>
      <c r="E17" s="665"/>
      <c r="F17" s="665"/>
      <c r="G17" s="661">
        <f t="shared" si="0"/>
        <v>0</v>
      </c>
      <c r="H17" s="308"/>
      <c r="I17" s="659"/>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2" t="s">
        <v>325</v>
      </c>
      <c r="B18" s="703"/>
      <c r="C18" s="698">
        <f t="shared" si="1"/>
        <v>10</v>
      </c>
      <c r="D18" s="698"/>
      <c r="E18" s="665"/>
      <c r="F18" s="665"/>
      <c r="G18" s="661">
        <f t="shared" si="0"/>
        <v>0</v>
      </c>
      <c r="H18" s="308"/>
      <c r="I18" s="659"/>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2" t="s">
        <v>23</v>
      </c>
      <c r="B19" s="703"/>
      <c r="C19" s="701">
        <f t="shared" si="1"/>
        <v>11</v>
      </c>
      <c r="D19" s="701"/>
      <c r="E19" s="663"/>
      <c r="F19" s="663"/>
      <c r="G19" s="661">
        <f t="shared" si="0"/>
        <v>0</v>
      </c>
      <c r="H19" s="308"/>
      <c r="I19" s="659"/>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5" t="s">
        <v>29</v>
      </c>
      <c r="B20" s="703"/>
      <c r="C20" s="698">
        <f t="shared" si="1"/>
        <v>12</v>
      </c>
      <c r="D20" s="713"/>
      <c r="E20" s="666"/>
      <c r="F20" s="666"/>
      <c r="G20" s="661">
        <f t="shared" si="0"/>
        <v>0</v>
      </c>
      <c r="H20" s="308"/>
      <c r="I20" s="659"/>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01" t="s">
        <v>453</v>
      </c>
      <c r="B21" s="3102"/>
      <c r="C21" s="706">
        <f t="shared" si="1"/>
        <v>13</v>
      </c>
      <c r="D21" s="1258"/>
      <c r="E21" s="667">
        <f>SUM(E9:E20)</f>
        <v>0</v>
      </c>
      <c r="F21" s="667">
        <f>SUM(F9:F20)</f>
        <v>0</v>
      </c>
      <c r="G21" s="668">
        <f>SUM(G9:G20)</f>
        <v>0</v>
      </c>
      <c r="H21" s="308"/>
      <c r="I21" s="668">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7"/>
      <c r="B22" s="373"/>
      <c r="C22" s="373"/>
      <c r="D22" s="669"/>
      <c r="E22" s="669"/>
      <c r="F22" s="669"/>
      <c r="G22" s="669"/>
      <c r="H22" s="308"/>
      <c r="I22" s="669"/>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8" t="s">
        <v>202</v>
      </c>
      <c r="D23" s="670"/>
      <c r="E23" s="670" t="s">
        <v>121</v>
      </c>
      <c r="F23" s="670" t="s">
        <v>121</v>
      </c>
      <c r="G23" s="671" t="s">
        <v>121</v>
      </c>
      <c r="H23" s="308"/>
      <c r="I23" s="672"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2" t="s">
        <v>318</v>
      </c>
      <c r="B24" s="703"/>
      <c r="C24" s="701">
        <f>C21+1</f>
        <v>14</v>
      </c>
      <c r="D24" s="673"/>
      <c r="E24" s="673"/>
      <c r="F24" s="674"/>
      <c r="G24" s="675"/>
      <c r="H24" s="308"/>
      <c r="I24" s="659"/>
      <c r="J24" s="764"/>
      <c r="K24" s="766"/>
      <c r="L24" s="766"/>
      <c r="M24" s="766"/>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9" t="s">
        <v>320</v>
      </c>
      <c r="B25" s="703"/>
      <c r="C25" s="701">
        <f>C24+1</f>
        <v>15</v>
      </c>
      <c r="D25" s="673"/>
      <c r="E25" s="673"/>
      <c r="F25" s="674"/>
      <c r="G25" s="675"/>
      <c r="H25" s="308"/>
      <c r="I25" s="659"/>
      <c r="J25" s="764"/>
      <c r="K25" s="766"/>
      <c r="L25" s="766"/>
      <c r="M25" s="766"/>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2" t="s">
        <v>22</v>
      </c>
      <c r="B26" s="710"/>
      <c r="C26" s="701">
        <f t="shared" ref="C26:C53" si="2">C25+1</f>
        <v>16</v>
      </c>
      <c r="D26" s="664"/>
      <c r="E26" s="673"/>
      <c r="F26" s="674"/>
      <c r="G26" s="675"/>
      <c r="H26" s="308"/>
      <c r="I26" s="659"/>
      <c r="J26" s="764"/>
      <c r="K26" s="766"/>
      <c r="L26" s="766"/>
      <c r="M26" s="766"/>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2" t="s">
        <v>24</v>
      </c>
      <c r="B27" s="711"/>
      <c r="C27" s="701">
        <f t="shared" si="2"/>
        <v>17</v>
      </c>
      <c r="D27" s="664"/>
      <c r="E27" s="673"/>
      <c r="F27" s="674"/>
      <c r="G27" s="675"/>
      <c r="H27" s="308"/>
      <c r="I27" s="659"/>
      <c r="J27" s="903"/>
      <c r="K27" s="903"/>
      <c r="L27" s="766"/>
      <c r="M27" s="766"/>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2" t="s">
        <v>324</v>
      </c>
      <c r="B28" s="703"/>
      <c r="C28" s="701">
        <f t="shared" si="2"/>
        <v>18</v>
      </c>
      <c r="D28" s="664"/>
      <c r="E28" s="673"/>
      <c r="F28" s="674"/>
      <c r="G28" s="675"/>
      <c r="H28" s="308"/>
      <c r="I28" s="659"/>
      <c r="J28" s="903"/>
      <c r="K28" s="903"/>
      <c r="L28" s="766"/>
      <c r="M28" s="766"/>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9" t="s">
        <v>804</v>
      </c>
      <c r="B29" s="703"/>
      <c r="C29" s="701">
        <f t="shared" si="2"/>
        <v>19</v>
      </c>
      <c r="D29" s="673"/>
      <c r="E29" s="673"/>
      <c r="F29" s="674"/>
      <c r="G29" s="675"/>
      <c r="H29" s="308"/>
      <c r="I29" s="659"/>
      <c r="J29" s="903"/>
      <c r="K29" s="903"/>
      <c r="L29" s="766"/>
      <c r="M29" s="766"/>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9" t="s">
        <v>25</v>
      </c>
      <c r="B30" s="703"/>
      <c r="C30" s="701">
        <f t="shared" si="2"/>
        <v>20</v>
      </c>
      <c r="D30" s="664"/>
      <c r="E30" s="673"/>
      <c r="F30" s="674"/>
      <c r="G30" s="675"/>
      <c r="H30" s="308"/>
      <c r="I30" s="659"/>
      <c r="J30" s="903"/>
      <c r="K30" s="903"/>
      <c r="L30" s="766"/>
      <c r="M30" s="766"/>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2" t="s">
        <v>26</v>
      </c>
      <c r="B31" s="709"/>
      <c r="C31" s="701">
        <f t="shared" si="2"/>
        <v>21</v>
      </c>
      <c r="D31" s="664"/>
      <c r="E31" s="673"/>
      <c r="F31" s="674"/>
      <c r="G31" s="675"/>
      <c r="H31" s="308"/>
      <c r="I31" s="659"/>
      <c r="J31" s="765">
        <v>0</v>
      </c>
      <c r="K31" s="903"/>
      <c r="L31" s="766"/>
      <c r="M31" s="766"/>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2" t="s">
        <v>1118</v>
      </c>
      <c r="B32" s="709"/>
      <c r="C32" s="701">
        <f t="shared" si="2"/>
        <v>22</v>
      </c>
      <c r="D32" s="664"/>
      <c r="E32" s="673"/>
      <c r="F32" s="674"/>
      <c r="G32" s="675"/>
      <c r="H32" s="308"/>
      <c r="I32" s="659"/>
      <c r="J32" s="765">
        <v>0</v>
      </c>
      <c r="K32" s="903"/>
      <c r="L32" s="766"/>
      <c r="M32" s="766"/>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2" t="s">
        <v>726</v>
      </c>
      <c r="B33" s="709"/>
      <c r="C33" s="701">
        <f t="shared" si="2"/>
        <v>23</v>
      </c>
      <c r="D33" s="664"/>
      <c r="E33" s="673"/>
      <c r="F33" s="674"/>
      <c r="G33" s="675"/>
      <c r="H33" s="308"/>
      <c r="I33" s="659"/>
      <c r="J33" s="765">
        <v>0</v>
      </c>
      <c r="K33" s="903"/>
      <c r="L33" s="766"/>
      <c r="M33" s="766"/>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2" t="s">
        <v>466</v>
      </c>
      <c r="B34" s="709"/>
      <c r="C34" s="701">
        <f t="shared" si="2"/>
        <v>24</v>
      </c>
      <c r="D34" s="664"/>
      <c r="E34" s="673"/>
      <c r="F34" s="674"/>
      <c r="G34" s="675"/>
      <c r="H34" s="308"/>
      <c r="I34" s="659"/>
      <c r="J34" s="765">
        <v>0</v>
      </c>
      <c r="K34" s="903"/>
      <c r="L34" s="766"/>
      <c r="M34" s="766"/>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5" t="s">
        <v>27</v>
      </c>
      <c r="B35" s="1566"/>
      <c r="C35" s="701">
        <f t="shared" si="2"/>
        <v>25</v>
      </c>
      <c r="D35" s="664"/>
      <c r="E35" s="673"/>
      <c r="F35" s="674"/>
      <c r="G35" s="675"/>
      <c r="H35" s="308"/>
      <c r="I35" s="659"/>
      <c r="J35" s="902">
        <v>0</v>
      </c>
      <c r="K35" s="264"/>
      <c r="L35" s="155"/>
      <c r="M35" s="759"/>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5" t="s">
        <v>468</v>
      </c>
      <c r="B36" s="1566"/>
      <c r="C36" s="701">
        <f t="shared" si="2"/>
        <v>26</v>
      </c>
      <c r="D36" s="664"/>
      <c r="E36" s="673"/>
      <c r="F36" s="674"/>
      <c r="G36" s="675"/>
      <c r="H36" s="308"/>
      <c r="I36" s="659"/>
      <c r="J36" s="902">
        <v>0</v>
      </c>
      <c r="K36" s="264"/>
      <c r="L36" s="155"/>
      <c r="M36" s="759"/>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7" t="s">
        <v>727</v>
      </c>
      <c r="B37" s="1568"/>
      <c r="C37" s="701">
        <f t="shared" si="2"/>
        <v>27</v>
      </c>
      <c r="D37" s="664"/>
      <c r="E37" s="673"/>
      <c r="F37" s="674"/>
      <c r="G37" s="675"/>
      <c r="H37" s="308"/>
      <c r="I37" s="659"/>
      <c r="J37" s="246"/>
      <c r="K37" s="806"/>
      <c r="L37" s="71"/>
      <c r="M37" s="759"/>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7" t="s">
        <v>728</v>
      </c>
      <c r="B38" s="1568"/>
      <c r="C38" s="701">
        <f t="shared" si="2"/>
        <v>28</v>
      </c>
      <c r="D38" s="664"/>
      <c r="E38" s="673"/>
      <c r="F38" s="674"/>
      <c r="G38" s="675"/>
      <c r="H38" s="308"/>
      <c r="I38" s="659"/>
      <c r="J38" s="246"/>
      <c r="K38" s="806"/>
      <c r="L38" s="71"/>
      <c r="M38" s="759"/>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7" t="s">
        <v>467</v>
      </c>
      <c r="B39" s="1568"/>
      <c r="C39" s="701">
        <f t="shared" si="2"/>
        <v>29</v>
      </c>
      <c r="D39" s="664"/>
      <c r="E39" s="673"/>
      <c r="F39" s="674"/>
      <c r="G39" s="675"/>
      <c r="H39" s="308"/>
      <c r="I39" s="659"/>
      <c r="J39" s="246"/>
      <c r="K39" s="806"/>
      <c r="L39" s="71"/>
      <c r="M39" s="759"/>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7" t="s">
        <v>1235</v>
      </c>
      <c r="B40" s="1568"/>
      <c r="C40" s="701">
        <f t="shared" si="2"/>
        <v>30</v>
      </c>
      <c r="D40" s="664"/>
      <c r="E40" s="673"/>
      <c r="F40" s="674"/>
      <c r="G40" s="675"/>
      <c r="H40" s="308"/>
      <c r="I40" s="659"/>
      <c r="J40" s="246"/>
      <c r="K40" s="806"/>
      <c r="L40" s="71"/>
      <c r="M40" s="759"/>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7" t="s">
        <v>1119</v>
      </c>
      <c r="B41" s="1568"/>
      <c r="C41" s="701">
        <f t="shared" si="2"/>
        <v>31</v>
      </c>
      <c r="D41" s="664"/>
      <c r="E41" s="673"/>
      <c r="F41" s="674"/>
      <c r="G41" s="675"/>
      <c r="H41" s="308"/>
      <c r="I41" s="659"/>
      <c r="J41" s="246"/>
      <c r="K41" s="806"/>
      <c r="L41" s="71"/>
      <c r="M41" s="759"/>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80"/>
      <c r="B42" s="1157"/>
      <c r="C42" s="701">
        <f t="shared" si="2"/>
        <v>32</v>
      </c>
      <c r="D42" s="664"/>
      <c r="E42" s="673"/>
      <c r="F42" s="674"/>
      <c r="G42" s="675"/>
      <c r="H42" s="308"/>
      <c r="I42" s="659"/>
      <c r="J42" s="246"/>
      <c r="K42" s="806"/>
      <c r="L42" s="71"/>
      <c r="M42" s="759"/>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80"/>
      <c r="B43" s="1157"/>
      <c r="C43" s="701">
        <f t="shared" si="2"/>
        <v>33</v>
      </c>
      <c r="D43" s="664"/>
      <c r="E43" s="673"/>
      <c r="F43" s="674"/>
      <c r="G43" s="675"/>
      <c r="H43" s="308"/>
      <c r="I43" s="659"/>
      <c r="J43" s="246"/>
      <c r="K43" s="806"/>
      <c r="L43" s="71"/>
      <c r="M43" s="759"/>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80"/>
      <c r="B44" s="1157"/>
      <c r="C44" s="701">
        <f t="shared" si="2"/>
        <v>34</v>
      </c>
      <c r="D44" s="664"/>
      <c r="E44" s="673"/>
      <c r="F44" s="674"/>
      <c r="G44" s="675"/>
      <c r="H44" s="308"/>
      <c r="I44" s="659"/>
      <c r="J44" s="246"/>
      <c r="K44" s="806"/>
      <c r="L44" s="71"/>
      <c r="M44" s="759"/>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6"/>
      <c r="B45" s="1157"/>
      <c r="C45" s="701">
        <f t="shared" si="2"/>
        <v>35</v>
      </c>
      <c r="D45" s="664"/>
      <c r="E45" s="673"/>
      <c r="F45" s="674"/>
      <c r="G45" s="675"/>
      <c r="H45" s="308"/>
      <c r="I45" s="659"/>
      <c r="J45" s="246"/>
      <c r="K45" s="806"/>
      <c r="L45" s="71"/>
      <c r="M45" s="759"/>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6"/>
      <c r="B46" s="1157"/>
      <c r="C46" s="701">
        <f t="shared" si="2"/>
        <v>36</v>
      </c>
      <c r="D46" s="664"/>
      <c r="E46" s="673"/>
      <c r="F46" s="674"/>
      <c r="G46" s="675"/>
      <c r="H46" s="308"/>
      <c r="I46" s="659"/>
      <c r="J46" s="246"/>
      <c r="K46" s="806"/>
      <c r="L46" s="71"/>
      <c r="M46" s="759"/>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6"/>
      <c r="B47" s="1157"/>
      <c r="C47" s="701">
        <f t="shared" si="2"/>
        <v>37</v>
      </c>
      <c r="D47" s="664"/>
      <c r="E47" s="673"/>
      <c r="F47" s="674"/>
      <c r="G47" s="675"/>
      <c r="H47" s="308"/>
      <c r="I47" s="659"/>
      <c r="J47" s="246"/>
      <c r="K47" s="806"/>
      <c r="L47" s="71"/>
      <c r="M47" s="759"/>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6"/>
      <c r="B48" s="1157"/>
      <c r="C48" s="701">
        <f t="shared" si="2"/>
        <v>38</v>
      </c>
      <c r="D48" s="664"/>
      <c r="E48" s="673"/>
      <c r="F48" s="674"/>
      <c r="G48" s="675"/>
      <c r="H48" s="308"/>
      <c r="I48" s="659"/>
      <c r="J48" s="246"/>
      <c r="K48" s="806"/>
      <c r="L48" s="71"/>
      <c r="M48" s="759"/>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6"/>
      <c r="B49" s="1157"/>
      <c r="C49" s="701">
        <f t="shared" si="2"/>
        <v>39</v>
      </c>
      <c r="D49" s="664"/>
      <c r="E49" s="673"/>
      <c r="F49" s="674"/>
      <c r="G49" s="675"/>
      <c r="H49" s="308"/>
      <c r="I49" s="659"/>
      <c r="J49" s="246"/>
      <c r="K49" s="806"/>
      <c r="L49" s="71"/>
      <c r="M49" s="759"/>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6"/>
      <c r="B50" s="1157"/>
      <c r="C50" s="701">
        <f t="shared" si="2"/>
        <v>40</v>
      </c>
      <c r="D50" s="664"/>
      <c r="E50" s="673"/>
      <c r="F50" s="674"/>
      <c r="G50" s="675"/>
      <c r="H50" s="308"/>
      <c r="I50" s="659"/>
      <c r="J50" s="246"/>
      <c r="K50" s="806"/>
      <c r="L50" s="71"/>
      <c r="M50" s="759"/>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6"/>
      <c r="B51" s="1157"/>
      <c r="C51" s="701">
        <f t="shared" si="2"/>
        <v>41</v>
      </c>
      <c r="D51" s="664"/>
      <c r="E51" s="673"/>
      <c r="F51" s="674"/>
      <c r="G51" s="675"/>
      <c r="H51" s="308"/>
      <c r="I51" s="659"/>
      <c r="J51" s="246"/>
      <c r="K51" s="806"/>
      <c r="L51" s="71"/>
      <c r="M51" s="759"/>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7"/>
      <c r="B52" s="3278"/>
      <c r="C52" s="713">
        <f t="shared" si="2"/>
        <v>42</v>
      </c>
      <c r="D52" s="664"/>
      <c r="E52" s="673"/>
      <c r="F52" s="674"/>
      <c r="G52" s="675"/>
      <c r="H52" s="308"/>
      <c r="I52" s="659"/>
      <c r="J52" s="246"/>
      <c r="K52" s="806"/>
      <c r="L52" s="71"/>
      <c r="M52" s="759"/>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4" t="str">
        <f>"TOTAL OTHER (must equal line "&amp;C20&amp;")"</f>
        <v>TOTAL OTHER (must equal line 12)</v>
      </c>
      <c r="B53" s="715"/>
      <c r="C53" s="716">
        <f t="shared" si="2"/>
        <v>43</v>
      </c>
      <c r="D53" s="676"/>
      <c r="E53" s="677"/>
      <c r="F53" s="678">
        <f>SUM(F24:F52)</f>
        <v>0</v>
      </c>
      <c r="G53" s="677"/>
      <c r="H53" s="679"/>
      <c r="I53" s="678">
        <f>SUM(I24:I52)</f>
        <v>0</v>
      </c>
      <c r="J53" s="806"/>
      <c r="K53" s="806"/>
      <c r="L53" s="806"/>
      <c r="M53" s="766"/>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3" t="s">
        <v>205</v>
      </c>
      <c r="B54" s="3274"/>
      <c r="C54" s="3274"/>
      <c r="D54" s="3275" t="s">
        <v>205</v>
      </c>
      <c r="E54" s="3275"/>
      <c r="F54" s="3275"/>
      <c r="G54" s="3275"/>
      <c r="H54" s="3275"/>
      <c r="I54" s="3275"/>
      <c r="J54" s="1154"/>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7" t="s">
        <v>150</v>
      </c>
      <c r="B55" s="718"/>
      <c r="C55" s="718"/>
      <c r="D55" s="680"/>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7"/>
      <c r="B56" s="718"/>
      <c r="C56" s="718"/>
      <c r="D56" s="680"/>
      <c r="E56" s="681"/>
      <c r="F56" s="681"/>
      <c r="G56" s="681"/>
      <c r="H56" s="681"/>
      <c r="I56" s="681"/>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4" t="s">
        <v>344</v>
      </c>
      <c r="B57" s="715"/>
      <c r="C57" s="706">
        <f>C53+1</f>
        <v>44</v>
      </c>
      <c r="D57" s="682"/>
      <c r="E57" s="683"/>
      <c r="F57" s="683"/>
      <c r="G57" s="668">
        <f>+F57-E57</f>
        <v>0</v>
      </c>
      <c r="H57" s="308"/>
      <c r="I57" s="683"/>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A20" sqref="A20"/>
    </sheetView>
  </sheetViews>
  <sheetFormatPr defaultColWidth="8.921875" defaultRowHeight="15.5"/>
  <cols>
    <col min="1" max="1" width="6.84375" style="1468" customWidth="1"/>
    <col min="2" max="2" width="68.4609375" style="1468" customWidth="1"/>
    <col min="3" max="3" width="31.84375" style="1468" bestFit="1" customWidth="1"/>
    <col min="4" max="4" width="10.921875" style="1468" customWidth="1"/>
    <col min="5" max="18" width="10.84375" style="1468" customWidth="1"/>
    <col min="19" max="19" width="8.921875" style="1468"/>
    <col min="20" max="20" width="13.84375" style="1468" customWidth="1"/>
    <col min="21" max="21" width="32.84375" style="1468" bestFit="1" customWidth="1"/>
    <col min="22" max="23" width="8.921875" style="1468"/>
    <col min="24" max="24" width="10.15234375" style="1468" customWidth="1"/>
    <col min="25" max="27" width="8.921875" style="1468"/>
    <col min="28" max="28" width="8.921875" style="2590"/>
    <col min="29" max="29" width="9.53515625" style="1468" customWidth="1"/>
    <col min="30" max="16384" width="8.921875" style="1468"/>
  </cols>
  <sheetData>
    <row r="1" spans="1:32" ht="30">
      <c r="A1" s="2568" t="str">
        <f>+Summary!A1</f>
        <v>Public Health Wales Trust</v>
      </c>
      <c r="B1" s="2648"/>
      <c r="C1" s="2649"/>
      <c r="D1" s="2650"/>
      <c r="E1" s="2650"/>
      <c r="F1" s="2650"/>
      <c r="G1" s="2650"/>
      <c r="H1" s="2650"/>
      <c r="I1" s="2679" t="s">
        <v>51</v>
      </c>
      <c r="J1" s="2649" t="str">
        <f>+Summary!H1</f>
        <v>Apr 23</v>
      </c>
      <c r="K1" s="2650"/>
      <c r="L1" s="2589"/>
      <c r="M1" s="2574"/>
      <c r="N1" s="2589"/>
      <c r="O1" s="2589"/>
      <c r="P1" s="2589"/>
      <c r="Q1" s="2589"/>
      <c r="R1" s="2589"/>
      <c r="S1" s="2589"/>
      <c r="T1" s="2589"/>
      <c r="U1" s="2589"/>
      <c r="V1" s="2589"/>
      <c r="W1" s="2574" t="s">
        <v>1210</v>
      </c>
      <c r="X1" s="2575" t="s">
        <v>1211</v>
      </c>
      <c r="Y1" s="2574">
        <v>1</v>
      </c>
      <c r="Z1" s="2574" t="s">
        <v>743</v>
      </c>
      <c r="AA1" s="2574" t="s">
        <v>52</v>
      </c>
      <c r="AB1" s="2575" t="s">
        <v>731</v>
      </c>
      <c r="AC1" s="2574"/>
      <c r="AD1" s="2574"/>
      <c r="AE1" s="2574"/>
    </row>
    <row r="2" spans="1:32" ht="28" thickBot="1">
      <c r="A2" s="2651"/>
      <c r="B2" s="2652"/>
      <c r="C2" s="2653">
        <f>VLOOKUP(J1,X1:Y12,2,FALSE)</f>
        <v>1</v>
      </c>
      <c r="D2" s="2653"/>
      <c r="E2" s="2650"/>
      <c r="F2" s="2653">
        <f>IF(F3&lt;=$C$2,1,0)</f>
        <v>1</v>
      </c>
      <c r="G2" s="2653">
        <f t="shared" ref="G2:Q2" si="0">IF(G3&lt;=$C$2,1,0)</f>
        <v>0</v>
      </c>
      <c r="H2" s="2653">
        <f t="shared" si="0"/>
        <v>0</v>
      </c>
      <c r="I2" s="2653">
        <f t="shared" si="0"/>
        <v>0</v>
      </c>
      <c r="J2" s="2653">
        <f t="shared" si="0"/>
        <v>0</v>
      </c>
      <c r="K2" s="2653">
        <f t="shared" si="0"/>
        <v>0</v>
      </c>
      <c r="L2" s="2653">
        <f t="shared" si="0"/>
        <v>0</v>
      </c>
      <c r="M2" s="2653">
        <f t="shared" si="0"/>
        <v>0</v>
      </c>
      <c r="N2" s="2653">
        <f t="shared" si="0"/>
        <v>0</v>
      </c>
      <c r="O2" s="2653">
        <f t="shared" si="0"/>
        <v>0</v>
      </c>
      <c r="P2" s="2653">
        <f t="shared" si="0"/>
        <v>0</v>
      </c>
      <c r="Q2" s="2653">
        <f t="shared" si="0"/>
        <v>0</v>
      </c>
      <c r="R2" s="2589"/>
      <c r="S2" s="2589"/>
      <c r="T2" s="2589"/>
      <c r="U2" s="2589"/>
      <c r="V2" s="2589"/>
      <c r="W2" s="2574" t="s">
        <v>1210</v>
      </c>
      <c r="X2" s="2575" t="s">
        <v>1212</v>
      </c>
      <c r="Y2" s="2574">
        <v>2</v>
      </c>
      <c r="Z2" s="2574">
        <v>2</v>
      </c>
      <c r="AA2" s="2574" t="s">
        <v>743</v>
      </c>
      <c r="AB2" s="2574" t="s">
        <v>53</v>
      </c>
      <c r="AC2" s="2575" t="s">
        <v>400</v>
      </c>
      <c r="AD2" s="2574"/>
      <c r="AE2" s="2574"/>
      <c r="AF2" s="2574"/>
    </row>
    <row r="3" spans="1:32" ht="16" thickBot="1">
      <c r="A3" s="2576"/>
      <c r="B3" s="781" t="s">
        <v>1415</v>
      </c>
      <c r="F3" s="2662">
        <v>1</v>
      </c>
      <c r="G3" s="2662">
        <v>2</v>
      </c>
      <c r="H3" s="2662">
        <v>3</v>
      </c>
      <c r="I3" s="2662">
        <v>4</v>
      </c>
      <c r="J3" s="2662">
        <v>5</v>
      </c>
      <c r="K3" s="2662">
        <v>6</v>
      </c>
      <c r="L3" s="2662">
        <v>7</v>
      </c>
      <c r="M3" s="2662">
        <v>8</v>
      </c>
      <c r="N3" s="2662">
        <v>9</v>
      </c>
      <c r="O3" s="2662">
        <v>10</v>
      </c>
      <c r="P3" s="2662">
        <v>11</v>
      </c>
      <c r="Q3" s="2662">
        <v>12</v>
      </c>
      <c r="R3" s="2654"/>
      <c r="U3" s="2589"/>
      <c r="V3" s="2589"/>
      <c r="W3" s="2589"/>
      <c r="X3" s="2575" t="s">
        <v>1213</v>
      </c>
      <c r="Y3" s="2574">
        <v>3</v>
      </c>
      <c r="Z3" s="2574">
        <v>3</v>
      </c>
      <c r="AA3" s="2574" t="s">
        <v>743</v>
      </c>
      <c r="AB3" s="2574" t="s">
        <v>195</v>
      </c>
      <c r="AC3" s="2575" t="s">
        <v>401</v>
      </c>
      <c r="AD3" s="2574"/>
      <c r="AE3" s="2574"/>
      <c r="AF3" s="2574"/>
    </row>
    <row r="4" spans="1:32" ht="25.5" customHeight="1" thickBot="1">
      <c r="B4" s="2652"/>
      <c r="C4" s="790"/>
      <c r="D4" s="3026" t="s">
        <v>1274</v>
      </c>
      <c r="E4" s="3026" t="s">
        <v>1352</v>
      </c>
      <c r="F4" s="3028" t="s">
        <v>1275</v>
      </c>
      <c r="G4" s="3029"/>
      <c r="H4" s="3029"/>
      <c r="I4" s="3029"/>
      <c r="J4" s="3029"/>
      <c r="K4" s="3029"/>
      <c r="L4" s="3029"/>
      <c r="M4" s="3029"/>
      <c r="N4" s="3029"/>
      <c r="O4" s="3029"/>
      <c r="P4" s="3029"/>
      <c r="Q4" s="3030"/>
      <c r="R4" s="2661" t="s">
        <v>78</v>
      </c>
      <c r="S4" s="2661" t="s">
        <v>78</v>
      </c>
      <c r="T4" s="2858" t="s">
        <v>275</v>
      </c>
      <c r="X4" s="2575" t="s">
        <v>1214</v>
      </c>
      <c r="Y4" s="2574">
        <v>4</v>
      </c>
      <c r="Z4" s="2574">
        <v>4</v>
      </c>
      <c r="AA4" s="2574" t="s">
        <v>744</v>
      </c>
      <c r="AB4" s="2574"/>
      <c r="AC4" s="2575" t="s">
        <v>402</v>
      </c>
      <c r="AD4" s="2574" t="s">
        <v>821</v>
      </c>
      <c r="AE4" s="2574" t="s">
        <v>926</v>
      </c>
      <c r="AF4" s="2574"/>
    </row>
    <row r="5" spans="1:32" ht="84.65" customHeight="1" thickBot="1">
      <c r="B5" s="3031" t="s">
        <v>1276</v>
      </c>
      <c r="C5" s="3032"/>
      <c r="D5" s="3027"/>
      <c r="E5" s="3027"/>
      <c r="F5" s="2662" t="s">
        <v>88</v>
      </c>
      <c r="G5" s="2662" t="s">
        <v>89</v>
      </c>
      <c r="H5" s="2662" t="s">
        <v>175</v>
      </c>
      <c r="I5" s="2662" t="s">
        <v>176</v>
      </c>
      <c r="J5" s="2662" t="s">
        <v>1277</v>
      </c>
      <c r="K5" s="2662" t="s">
        <v>1278</v>
      </c>
      <c r="L5" s="2662" t="s">
        <v>1279</v>
      </c>
      <c r="M5" s="2662" t="s">
        <v>1280</v>
      </c>
      <c r="N5" s="2662" t="s">
        <v>1281</v>
      </c>
      <c r="O5" s="2662" t="s">
        <v>1282</v>
      </c>
      <c r="P5" s="2662" t="s">
        <v>1283</v>
      </c>
      <c r="Q5" s="2662" t="s">
        <v>1284</v>
      </c>
      <c r="R5" s="2663" t="s">
        <v>38</v>
      </c>
      <c r="S5" s="2663" t="s">
        <v>155</v>
      </c>
      <c r="T5" s="2859" t="s">
        <v>1354</v>
      </c>
      <c r="X5" s="2575" t="s">
        <v>1215</v>
      </c>
      <c r="Y5" s="2574">
        <v>5</v>
      </c>
      <c r="Z5" s="2574">
        <v>5</v>
      </c>
      <c r="AB5" s="1468"/>
      <c r="AC5" s="2575" t="s">
        <v>732</v>
      </c>
      <c r="AD5" s="2574" t="s">
        <v>821</v>
      </c>
      <c r="AE5" s="2574" t="s">
        <v>926</v>
      </c>
    </row>
    <row r="6" spans="1:32" ht="16.25" customHeight="1" thickBot="1">
      <c r="A6" s="2863" t="str">
        <f>$B$6&amp;"_"&amp;C6</f>
        <v>Recovery Funding (£120m)_Plan</v>
      </c>
      <c r="B6" s="3033" t="s">
        <v>1285</v>
      </c>
      <c r="C6" s="1101" t="s">
        <v>40</v>
      </c>
      <c r="D6" s="2506"/>
      <c r="E6" s="2506"/>
      <c r="F6" s="2693"/>
      <c r="G6" s="2693"/>
      <c r="H6" s="2693"/>
      <c r="I6" s="2693"/>
      <c r="J6" s="2693"/>
      <c r="K6" s="2693"/>
      <c r="L6" s="2693"/>
      <c r="M6" s="2693"/>
      <c r="N6" s="2693"/>
      <c r="O6" s="2693"/>
      <c r="P6" s="2693"/>
      <c r="Q6" s="2693"/>
      <c r="R6" s="1132">
        <f>SUMPRODUCT($F$2:$Q$2,F6:Q6)</f>
        <v>0</v>
      </c>
      <c r="S6" s="1323">
        <f>SUM(F6:Q6)</f>
        <v>0</v>
      </c>
      <c r="T6" s="2860"/>
      <c r="U6" s="1468" t="str">
        <f>IF(E6=S6,"ok","Phasing does not agree to Current Plan")</f>
        <v>ok</v>
      </c>
      <c r="X6" s="2575" t="s">
        <v>1216</v>
      </c>
      <c r="Y6" s="2574">
        <v>6</v>
      </c>
      <c r="Z6" s="2574">
        <v>6</v>
      </c>
      <c r="AB6" s="1468"/>
      <c r="AC6" s="2575" t="s">
        <v>407</v>
      </c>
      <c r="AD6" s="2574" t="s">
        <v>821</v>
      </c>
      <c r="AE6" s="2574" t="s">
        <v>926</v>
      </c>
    </row>
    <row r="7" spans="1:32" ht="16.25" customHeight="1" thickBot="1">
      <c r="A7" s="2863" t="str">
        <f>$B$6&amp;"_"&amp;C7</f>
        <v>Recovery Funding (£120m)_Actual/Forecast - not yet committed</v>
      </c>
      <c r="B7" s="3034"/>
      <c r="C7" s="2661" t="s">
        <v>1286</v>
      </c>
      <c r="D7" s="2656"/>
      <c r="E7" s="2656"/>
      <c r="F7" s="2693"/>
      <c r="G7" s="2693"/>
      <c r="H7" s="2693"/>
      <c r="I7" s="2693"/>
      <c r="J7" s="2693"/>
      <c r="K7" s="2693"/>
      <c r="L7" s="2693"/>
      <c r="M7" s="2693"/>
      <c r="N7" s="2693"/>
      <c r="O7" s="2693"/>
      <c r="P7" s="2693"/>
      <c r="Q7" s="2695"/>
      <c r="R7" s="1324">
        <f t="shared" ref="R7:R8" si="1">SUMPRODUCT($F$2:$Q$2,F7:Q7)</f>
        <v>0</v>
      </c>
      <c r="S7" s="1325">
        <f t="shared" ref="S7:S8" si="2">SUM(F7:Q7)</f>
        <v>0</v>
      </c>
      <c r="T7" s="2861"/>
      <c r="X7" s="2575" t="s">
        <v>1217</v>
      </c>
      <c r="Y7" s="2574">
        <v>7</v>
      </c>
      <c r="Z7" s="2574">
        <v>7</v>
      </c>
      <c r="AB7" s="1468"/>
      <c r="AC7" s="2575" t="s">
        <v>49</v>
      </c>
      <c r="AE7" s="2574" t="s">
        <v>926</v>
      </c>
    </row>
    <row r="8" spans="1:32" ht="16.25" customHeight="1" thickBot="1">
      <c r="A8" s="2863" t="str">
        <f>$B$6&amp;"_"&amp;C8</f>
        <v>Recovery Funding (£120m)_Actual/Forecast - committed</v>
      </c>
      <c r="B8" s="3034"/>
      <c r="C8" s="1101" t="s">
        <v>1287</v>
      </c>
      <c r="D8" s="2656"/>
      <c r="E8" s="2656"/>
      <c r="F8" s="2693"/>
      <c r="G8" s="2693"/>
      <c r="H8" s="2693"/>
      <c r="I8" s="2693"/>
      <c r="J8" s="2693"/>
      <c r="K8" s="2693"/>
      <c r="L8" s="2693"/>
      <c r="M8" s="2693"/>
      <c r="N8" s="2693"/>
      <c r="O8" s="2693"/>
      <c r="P8" s="2693"/>
      <c r="Q8" s="2695"/>
      <c r="R8" s="1339">
        <f t="shared" si="1"/>
        <v>0</v>
      </c>
      <c r="S8" s="1340">
        <f t="shared" si="2"/>
        <v>0</v>
      </c>
      <c r="T8" s="2861"/>
      <c r="X8" s="2575" t="s">
        <v>1218</v>
      </c>
      <c r="Y8" s="2574">
        <v>8</v>
      </c>
      <c r="Z8" s="2574">
        <v>8</v>
      </c>
      <c r="AB8" s="1468"/>
      <c r="AC8" s="2575" t="s">
        <v>170</v>
      </c>
    </row>
    <row r="9" spans="1:32" ht="16.25" customHeight="1" thickBot="1">
      <c r="A9" s="2863" t="str">
        <f>$B$6&amp;"_"&amp;C9</f>
        <v>Recovery Funding (£120m)_Variance against current plan</v>
      </c>
      <c r="B9" s="3035"/>
      <c r="C9" s="2661" t="s">
        <v>1353</v>
      </c>
      <c r="D9" s="2656"/>
      <c r="E9" s="2656"/>
      <c r="F9" s="1110">
        <f>(F7+F8)-F6</f>
        <v>0</v>
      </c>
      <c r="G9" s="1110">
        <f t="shared" ref="G9:S9" si="3">(G7+G8)-G6</f>
        <v>0</v>
      </c>
      <c r="H9" s="1110">
        <f t="shared" si="3"/>
        <v>0</v>
      </c>
      <c r="I9" s="1110">
        <f t="shared" si="3"/>
        <v>0</v>
      </c>
      <c r="J9" s="1110">
        <f t="shared" si="3"/>
        <v>0</v>
      </c>
      <c r="K9" s="1110">
        <f t="shared" si="3"/>
        <v>0</v>
      </c>
      <c r="L9" s="1110">
        <f t="shared" si="3"/>
        <v>0</v>
      </c>
      <c r="M9" s="1110">
        <f t="shared" si="3"/>
        <v>0</v>
      </c>
      <c r="N9" s="1110">
        <f t="shared" si="3"/>
        <v>0</v>
      </c>
      <c r="O9" s="1110">
        <f t="shared" si="3"/>
        <v>0</v>
      </c>
      <c r="P9" s="1110">
        <f t="shared" si="3"/>
        <v>0</v>
      </c>
      <c r="Q9" s="1110">
        <f t="shared" si="3"/>
        <v>0</v>
      </c>
      <c r="R9" s="1110">
        <f t="shared" si="3"/>
        <v>0</v>
      </c>
      <c r="S9" s="1110">
        <f t="shared" si="3"/>
        <v>0</v>
      </c>
      <c r="T9" s="1220">
        <f>(SUM(S7+S8)-D6)</f>
        <v>0</v>
      </c>
      <c r="X9" s="2575" t="s">
        <v>1219</v>
      </c>
      <c r="Y9" s="2574">
        <v>9</v>
      </c>
      <c r="Z9" s="2574">
        <v>9</v>
      </c>
      <c r="AB9" s="1468"/>
      <c r="AC9" s="2575" t="s">
        <v>538</v>
      </c>
    </row>
    <row r="10" spans="1:32" ht="16.25" customHeight="1" thickBot="1">
      <c r="A10" s="2863" t="str">
        <f>$B$10&amp;"_"&amp;C10</f>
        <v>Value Based Funding (£14m)_Plan</v>
      </c>
      <c r="B10" s="3033" t="s">
        <v>1288</v>
      </c>
      <c r="C10" s="1101" t="s">
        <v>40</v>
      </c>
      <c r="D10" s="2693"/>
      <c r="E10" s="2693"/>
      <c r="F10" s="2693"/>
      <c r="G10" s="2693"/>
      <c r="H10" s="2693"/>
      <c r="I10" s="2693"/>
      <c r="J10" s="2693"/>
      <c r="K10" s="2693"/>
      <c r="L10" s="2693"/>
      <c r="M10" s="2693"/>
      <c r="N10" s="2693"/>
      <c r="O10" s="2693"/>
      <c r="P10" s="2693"/>
      <c r="Q10" s="2695"/>
      <c r="R10" s="1863">
        <f>SUMPRODUCT($F$2:$Q$2,F10:Q10)</f>
        <v>0</v>
      </c>
      <c r="S10" s="1864">
        <f>SUM(F10:Q10)</f>
        <v>0</v>
      </c>
      <c r="T10" s="2860"/>
      <c r="U10" s="1468" t="str">
        <f>IF(E10=S10,"ok","Phasing does not agree to Current Plan")</f>
        <v>ok</v>
      </c>
      <c r="X10" s="2575" t="s">
        <v>1220</v>
      </c>
      <c r="Y10" s="2574">
        <v>10</v>
      </c>
      <c r="Z10" s="2574">
        <v>10</v>
      </c>
      <c r="AB10" s="1468"/>
      <c r="AC10" s="2575" t="s">
        <v>997</v>
      </c>
    </row>
    <row r="11" spans="1:32" ht="16.25" customHeight="1" thickBot="1">
      <c r="A11" s="2863" t="str">
        <f>$B$10&amp;"_"&amp;C11</f>
        <v>Value Based Funding (£14m)_Actual/Forecast - not yet committed</v>
      </c>
      <c r="B11" s="3034"/>
      <c r="C11" s="2661" t="s">
        <v>1286</v>
      </c>
      <c r="D11" s="2656"/>
      <c r="E11" s="2656"/>
      <c r="F11" s="2693"/>
      <c r="G11" s="2693"/>
      <c r="H11" s="2693"/>
      <c r="I11" s="2693"/>
      <c r="J11" s="2693"/>
      <c r="K11" s="2693"/>
      <c r="L11" s="2693"/>
      <c r="M11" s="2693"/>
      <c r="N11" s="2693"/>
      <c r="O11" s="2693"/>
      <c r="P11" s="2693"/>
      <c r="Q11" s="2695"/>
      <c r="R11" s="1324">
        <f t="shared" ref="R11:R12" si="4">SUMPRODUCT($F$2:$Q$2,F11:Q11)</f>
        <v>0</v>
      </c>
      <c r="S11" s="1325">
        <f t="shared" ref="S11:S12" si="5">SUM(F11:Q11)</f>
        <v>0</v>
      </c>
      <c r="T11" s="2861"/>
      <c r="X11" s="2575" t="s">
        <v>1221</v>
      </c>
      <c r="Y11" s="2574">
        <v>11</v>
      </c>
      <c r="Z11" s="2574">
        <v>11</v>
      </c>
      <c r="AB11" s="1468"/>
      <c r="AC11" s="2575" t="s">
        <v>742</v>
      </c>
    </row>
    <row r="12" spans="1:32" ht="16.25" customHeight="1" thickBot="1">
      <c r="A12" s="2863" t="str">
        <f>$B$10&amp;"_"&amp;C12</f>
        <v>Value Based Funding (£14m)_Actual/Forecast - committed</v>
      </c>
      <c r="B12" s="3034"/>
      <c r="C12" s="1101" t="s">
        <v>1287</v>
      </c>
      <c r="D12" s="2656"/>
      <c r="E12" s="2656"/>
      <c r="F12" s="2693"/>
      <c r="G12" s="2693"/>
      <c r="H12" s="2693"/>
      <c r="I12" s="2693"/>
      <c r="J12" s="2693"/>
      <c r="K12" s="2693"/>
      <c r="L12" s="2693"/>
      <c r="M12" s="2693"/>
      <c r="N12" s="2693"/>
      <c r="O12" s="2693"/>
      <c r="P12" s="2693"/>
      <c r="Q12" s="2695"/>
      <c r="R12" s="1324">
        <f t="shared" si="4"/>
        <v>0</v>
      </c>
      <c r="S12" s="1325">
        <f t="shared" si="5"/>
        <v>0</v>
      </c>
      <c r="T12" s="2861"/>
      <c r="X12" s="2575" t="s">
        <v>1222</v>
      </c>
      <c r="Y12" s="2574">
        <v>12</v>
      </c>
      <c r="Z12" s="2574">
        <v>12</v>
      </c>
      <c r="AB12" s="1468"/>
      <c r="AC12" s="2575" t="s">
        <v>373</v>
      </c>
    </row>
    <row r="13" spans="1:32" ht="16.25" customHeight="1" thickBot="1">
      <c r="A13" s="2863" t="str">
        <f>$B$10&amp;"_"&amp;C13</f>
        <v>Value Based Funding (£14m)_Variance against current plan</v>
      </c>
      <c r="B13" s="3035"/>
      <c r="C13" s="2661" t="s">
        <v>1353</v>
      </c>
      <c r="D13" s="2656"/>
      <c r="E13" s="2656"/>
      <c r="F13" s="1110">
        <f>(F11+F12)-F10</f>
        <v>0</v>
      </c>
      <c r="G13" s="1110">
        <f t="shared" ref="G13" si="6">(G11+G12)-G10</f>
        <v>0</v>
      </c>
      <c r="H13" s="1110">
        <f t="shared" ref="H13" si="7">(H11+H12)-H10</f>
        <v>0</v>
      </c>
      <c r="I13" s="1110">
        <f t="shared" ref="I13" si="8">(I11+I12)-I10</f>
        <v>0</v>
      </c>
      <c r="J13" s="1110">
        <f t="shared" ref="J13" si="9">(J11+J12)-J10</f>
        <v>0</v>
      </c>
      <c r="K13" s="1110">
        <f t="shared" ref="K13" si="10">(K11+K12)-K10</f>
        <v>0</v>
      </c>
      <c r="L13" s="1110">
        <f t="shared" ref="L13" si="11">(L11+L12)-L10</f>
        <v>0</v>
      </c>
      <c r="M13" s="1110">
        <f t="shared" ref="M13" si="12">(M11+M12)-M10</f>
        <v>0</v>
      </c>
      <c r="N13" s="1110">
        <f t="shared" ref="N13" si="13">(N11+N12)-N10</f>
        <v>0</v>
      </c>
      <c r="O13" s="1110">
        <f t="shared" ref="O13" si="14">(O11+O12)-O10</f>
        <v>0</v>
      </c>
      <c r="P13" s="1110">
        <f t="shared" ref="P13" si="15">(P11+P12)-P10</f>
        <v>0</v>
      </c>
      <c r="Q13" s="1110">
        <f t="shared" ref="Q13" si="16">(Q11+Q12)-Q10</f>
        <v>0</v>
      </c>
      <c r="R13" s="1110">
        <f t="shared" ref="R13" si="17">(R11+R12)-R10</f>
        <v>0</v>
      </c>
      <c r="S13" s="1110">
        <f t="shared" ref="S13" si="18">(S11+S12)-S10</f>
        <v>0</v>
      </c>
      <c r="T13" s="1220">
        <f>(SUM(S11+S12)-D10)</f>
        <v>0</v>
      </c>
      <c r="X13" s="2575"/>
      <c r="Y13" s="2574"/>
      <c r="Z13" s="2574"/>
      <c r="AB13" s="1468"/>
      <c r="AC13" s="2575" t="s">
        <v>739</v>
      </c>
    </row>
    <row r="14" spans="1:32" ht="16.25" customHeight="1" thickBot="1">
      <c r="A14" s="2863" t="str">
        <f>$B$14&amp;"_"&amp;C14</f>
        <v>Regional Integration Fund (£132.7m)_Plan</v>
      </c>
      <c r="B14" s="3033" t="s">
        <v>1289</v>
      </c>
      <c r="C14" s="1101" t="s">
        <v>40</v>
      </c>
      <c r="D14" s="2693"/>
      <c r="E14" s="2693"/>
      <c r="F14" s="2693"/>
      <c r="G14" s="2693"/>
      <c r="H14" s="2693"/>
      <c r="I14" s="2693"/>
      <c r="J14" s="2693"/>
      <c r="K14" s="2693"/>
      <c r="L14" s="2693"/>
      <c r="M14" s="2693"/>
      <c r="N14" s="2693"/>
      <c r="O14" s="2693"/>
      <c r="P14" s="2693"/>
      <c r="Q14" s="2695"/>
      <c r="R14" s="1324">
        <f>SUMPRODUCT($F$2:$Q$2,F14:Q14)</f>
        <v>0</v>
      </c>
      <c r="S14" s="1325">
        <f>SUM(F14:Q14)</f>
        <v>0</v>
      </c>
      <c r="T14" s="2860"/>
      <c r="U14" s="1468" t="str">
        <f>IF(E14=S14,"ok","Phasing does not agree to Current Plan")</f>
        <v>ok</v>
      </c>
      <c r="X14" s="2575"/>
      <c r="Y14" s="2574"/>
      <c r="Z14" s="2574"/>
      <c r="AB14" s="1468"/>
      <c r="AC14" s="2575" t="s">
        <v>740</v>
      </c>
    </row>
    <row r="15" spans="1:32" ht="16.25" customHeight="1" thickBot="1">
      <c r="A15" s="2863" t="str">
        <f>$B$14&amp;"_"&amp;C15</f>
        <v>Regional Integration Fund (£132.7m)_Actual/Forecast - not yet committed</v>
      </c>
      <c r="B15" s="3034"/>
      <c r="C15" s="2661" t="s">
        <v>1286</v>
      </c>
      <c r="D15" s="2656"/>
      <c r="E15" s="2656"/>
      <c r="F15" s="2693"/>
      <c r="G15" s="2693"/>
      <c r="H15" s="2693"/>
      <c r="I15" s="2693"/>
      <c r="J15" s="2693"/>
      <c r="K15" s="2693"/>
      <c r="L15" s="2693"/>
      <c r="M15" s="2693"/>
      <c r="N15" s="2693"/>
      <c r="O15" s="2693"/>
      <c r="P15" s="2693"/>
      <c r="Q15" s="2695"/>
      <c r="R15" s="1324">
        <f t="shared" ref="R15:R16" si="19">SUMPRODUCT($F$2:$Q$2,F15:Q15)</f>
        <v>0</v>
      </c>
      <c r="S15" s="1325">
        <f t="shared" ref="S15:S16" si="20">SUM(F15:Q15)</f>
        <v>0</v>
      </c>
      <c r="T15" s="2861"/>
      <c r="X15" s="2575"/>
      <c r="Y15" s="2574"/>
      <c r="Z15" s="2574"/>
      <c r="AB15" s="1468"/>
      <c r="AC15" s="2575" t="s">
        <v>741</v>
      </c>
    </row>
    <row r="16" spans="1:32" ht="16.25" customHeight="1" thickBot="1">
      <c r="A16" s="2863" t="str">
        <f>$B$14&amp;"_"&amp;C16</f>
        <v>Regional Integration Fund (£132.7m)_Actual/Forecast - committed</v>
      </c>
      <c r="B16" s="3034"/>
      <c r="C16" s="1101" t="s">
        <v>1287</v>
      </c>
      <c r="D16" s="2656"/>
      <c r="E16" s="2656"/>
      <c r="F16" s="2693"/>
      <c r="G16" s="2693"/>
      <c r="H16" s="2693"/>
      <c r="I16" s="2693"/>
      <c r="J16" s="2693"/>
      <c r="K16" s="2693"/>
      <c r="L16" s="2693"/>
      <c r="M16" s="2693"/>
      <c r="N16" s="2693"/>
      <c r="O16" s="2693"/>
      <c r="P16" s="2693"/>
      <c r="Q16" s="2695"/>
      <c r="R16" s="1324">
        <f t="shared" si="19"/>
        <v>0</v>
      </c>
      <c r="S16" s="1325">
        <f t="shared" si="20"/>
        <v>0</v>
      </c>
      <c r="T16" s="2861"/>
      <c r="X16" s="2575"/>
      <c r="Y16" s="2574"/>
      <c r="Z16" s="2574"/>
      <c r="AB16" s="1468"/>
      <c r="AC16" s="2575" t="s">
        <v>621</v>
      </c>
    </row>
    <row r="17" spans="1:29" ht="16.25" customHeight="1" thickBot="1">
      <c r="A17" s="2863" t="str">
        <f>$B$14&amp;"_"&amp;C17</f>
        <v>Regional Integration Fund (£132.7m)_Variance against current plan</v>
      </c>
      <c r="B17" s="3035"/>
      <c r="C17" s="2661" t="s">
        <v>1353</v>
      </c>
      <c r="D17" s="2656"/>
      <c r="E17" s="2656"/>
      <c r="F17" s="1110">
        <f>(F15+F16)-F14</f>
        <v>0</v>
      </c>
      <c r="G17" s="1110">
        <f t="shared" ref="G17" si="21">(G15+G16)-G14</f>
        <v>0</v>
      </c>
      <c r="H17" s="1110">
        <f t="shared" ref="H17" si="22">(H15+H16)-H14</f>
        <v>0</v>
      </c>
      <c r="I17" s="1110">
        <f t="shared" ref="I17" si="23">(I15+I16)-I14</f>
        <v>0</v>
      </c>
      <c r="J17" s="1110">
        <f t="shared" ref="J17" si="24">(J15+J16)-J14</f>
        <v>0</v>
      </c>
      <c r="K17" s="1110">
        <f t="shared" ref="K17" si="25">(K15+K16)-K14</f>
        <v>0</v>
      </c>
      <c r="L17" s="1110">
        <f t="shared" ref="L17" si="26">(L15+L16)-L14</f>
        <v>0</v>
      </c>
      <c r="M17" s="1110">
        <f t="shared" ref="M17" si="27">(M15+M16)-M14</f>
        <v>0</v>
      </c>
      <c r="N17" s="1110">
        <f t="shared" ref="N17" si="28">(N15+N16)-N14</f>
        <v>0</v>
      </c>
      <c r="O17" s="1110">
        <f t="shared" ref="O17" si="29">(O15+O16)-O14</f>
        <v>0</v>
      </c>
      <c r="P17" s="1110">
        <f t="shared" ref="P17" si="30">(P15+P16)-P14</f>
        <v>0</v>
      </c>
      <c r="Q17" s="1110">
        <f t="shared" ref="Q17" si="31">(Q15+Q16)-Q14</f>
        <v>0</v>
      </c>
      <c r="R17" s="1110">
        <f t="shared" ref="R17" si="32">(R15+R16)-R14</f>
        <v>0</v>
      </c>
      <c r="S17" s="1110">
        <f t="shared" ref="S17" si="33">(S15+S16)-S14</f>
        <v>0</v>
      </c>
      <c r="T17" s="1220">
        <f>(SUM(S15+S16)-D14)</f>
        <v>0</v>
      </c>
      <c r="X17" s="2575"/>
      <c r="AB17" s="1468"/>
      <c r="AC17" s="2590"/>
    </row>
    <row r="18" spans="1:29" ht="16" thickBot="1">
      <c r="A18" s="2863" t="str">
        <f>$B$18&amp;"_"&amp;C18</f>
        <v>Genomics for Precision Medicine Strategy (£10.1m)_Plan</v>
      </c>
      <c r="B18" s="3033" t="s">
        <v>1290</v>
      </c>
      <c r="C18" s="1101" t="s">
        <v>40</v>
      </c>
      <c r="D18" s="2693"/>
      <c r="E18" s="2693"/>
      <c r="F18" s="2693"/>
      <c r="G18" s="2693"/>
      <c r="H18" s="2693"/>
      <c r="I18" s="2693"/>
      <c r="J18" s="2693"/>
      <c r="K18" s="2693"/>
      <c r="L18" s="2693"/>
      <c r="M18" s="2693"/>
      <c r="N18" s="2693"/>
      <c r="O18" s="2693"/>
      <c r="P18" s="2693"/>
      <c r="Q18" s="2695"/>
      <c r="R18" s="1324">
        <f>SUMPRODUCT($F$2:$Q$2,F18:Q18)</f>
        <v>0</v>
      </c>
      <c r="S18" s="1325">
        <f>SUM(F18:Q18)</f>
        <v>0</v>
      </c>
      <c r="T18" s="2860"/>
      <c r="U18" s="1468" t="str">
        <f>IF(E18=S18,"ok","Phasing does not agree to Current Plan")</f>
        <v>ok</v>
      </c>
      <c r="X18" s="2575"/>
      <c r="AB18" s="1468"/>
      <c r="AC18" s="2590"/>
    </row>
    <row r="19" spans="1:29" ht="16" thickBot="1">
      <c r="A19" s="2863" t="str">
        <f t="shared" ref="A19:A21" si="34">$B$18&amp;"_"&amp;C19</f>
        <v>Genomics for Precision Medicine Strategy (£10.1m)_Actual/Forecast - not yet committed</v>
      </c>
      <c r="B19" s="3034"/>
      <c r="C19" s="2661" t="s">
        <v>1286</v>
      </c>
      <c r="D19" s="2656"/>
      <c r="E19" s="2656"/>
      <c r="F19" s="2693"/>
      <c r="G19" s="2693"/>
      <c r="H19" s="2693"/>
      <c r="I19" s="2693"/>
      <c r="J19" s="2693"/>
      <c r="K19" s="2693"/>
      <c r="L19" s="2693"/>
      <c r="M19" s="2693"/>
      <c r="N19" s="2693"/>
      <c r="O19" s="2693"/>
      <c r="P19" s="2693"/>
      <c r="Q19" s="2695"/>
      <c r="R19" s="1324">
        <f t="shared" ref="R19:R20" si="35">SUMPRODUCT($F$2:$Q$2,F19:Q19)</f>
        <v>0</v>
      </c>
      <c r="S19" s="1325">
        <f t="shared" ref="S19:S20" si="36">SUM(F19:Q19)</f>
        <v>0</v>
      </c>
      <c r="T19" s="2861"/>
      <c r="AB19" s="1468"/>
      <c r="AC19" s="2590"/>
    </row>
    <row r="20" spans="1:29" ht="16" thickBot="1">
      <c r="A20" s="2863" t="str">
        <f t="shared" si="34"/>
        <v>Genomics for Precision Medicine Strategy (£10.1m)_Actual/Forecast - committed</v>
      </c>
      <c r="B20" s="3034"/>
      <c r="C20" s="1101" t="s">
        <v>1287</v>
      </c>
      <c r="D20" s="2656"/>
      <c r="E20" s="2656"/>
      <c r="F20" s="2693"/>
      <c r="G20" s="2693"/>
      <c r="H20" s="2693"/>
      <c r="I20" s="2693"/>
      <c r="J20" s="2693"/>
      <c r="K20" s="2693"/>
      <c r="L20" s="2693"/>
      <c r="M20" s="2693"/>
      <c r="N20" s="2693"/>
      <c r="O20" s="2693"/>
      <c r="P20" s="2693"/>
      <c r="Q20" s="2695"/>
      <c r="R20" s="1324">
        <f t="shared" si="35"/>
        <v>0</v>
      </c>
      <c r="S20" s="1325">
        <f t="shared" si="36"/>
        <v>0</v>
      </c>
      <c r="T20" s="2861"/>
      <c r="AB20" s="1468"/>
      <c r="AC20" s="2590"/>
    </row>
    <row r="21" spans="1:29" ht="16" thickBot="1">
      <c r="A21" s="2863" t="str">
        <f t="shared" si="34"/>
        <v>Genomics for Precision Medicine Strategy (£10.1m)_Variance against current plan</v>
      </c>
      <c r="B21" s="3035"/>
      <c r="C21" s="2661" t="s">
        <v>1353</v>
      </c>
      <c r="D21" s="2656"/>
      <c r="E21" s="2656"/>
      <c r="F21" s="1110">
        <f>(F19+F20)-F18</f>
        <v>0</v>
      </c>
      <c r="G21" s="1110">
        <f t="shared" ref="G21" si="37">(G19+G20)-G18</f>
        <v>0</v>
      </c>
      <c r="H21" s="1110">
        <f t="shared" ref="H21" si="38">(H19+H20)-H18</f>
        <v>0</v>
      </c>
      <c r="I21" s="1110">
        <f t="shared" ref="I21" si="39">(I19+I20)-I18</f>
        <v>0</v>
      </c>
      <c r="J21" s="1110">
        <f t="shared" ref="J21" si="40">(J19+J20)-J18</f>
        <v>0</v>
      </c>
      <c r="K21" s="1110">
        <f t="shared" ref="K21" si="41">(K19+K20)-K18</f>
        <v>0</v>
      </c>
      <c r="L21" s="1110">
        <f t="shared" ref="L21" si="42">(L19+L20)-L18</f>
        <v>0</v>
      </c>
      <c r="M21" s="1110">
        <f t="shared" ref="M21" si="43">(M19+M20)-M18</f>
        <v>0</v>
      </c>
      <c r="N21" s="1110">
        <f t="shared" ref="N21" si="44">(N19+N20)-N18</f>
        <v>0</v>
      </c>
      <c r="O21" s="1110">
        <f t="shared" ref="O21" si="45">(O19+O20)-O18</f>
        <v>0</v>
      </c>
      <c r="P21" s="1110">
        <f t="shared" ref="P21" si="46">(P19+P20)-P18</f>
        <v>0</v>
      </c>
      <c r="Q21" s="1110">
        <f t="shared" ref="Q21" si="47">(Q19+Q20)-Q18</f>
        <v>0</v>
      </c>
      <c r="R21" s="1110">
        <f t="shared" ref="R21" si="48">(R19+R20)-R18</f>
        <v>0</v>
      </c>
      <c r="S21" s="1110">
        <f t="shared" ref="S21" si="49">(S19+S20)-S18</f>
        <v>0</v>
      </c>
      <c r="T21" s="1220">
        <f>(SUM(S19+S20)-D18)</f>
        <v>0</v>
      </c>
      <c r="AB21" s="1468"/>
      <c r="AC21" s="2590"/>
    </row>
    <row r="22" spans="1:29" ht="17" customHeight="1" thickBot="1">
      <c r="A22" s="2863" t="str">
        <f>$B$22&amp;"_"&amp;C22</f>
        <v>Critical Care Funding (£18.7m)_Plan</v>
      </c>
      <c r="B22" s="3033" t="s">
        <v>1291</v>
      </c>
      <c r="C22" s="1101" t="s">
        <v>40</v>
      </c>
      <c r="D22" s="2693"/>
      <c r="E22" s="2693"/>
      <c r="F22" s="2693"/>
      <c r="G22" s="2693"/>
      <c r="H22" s="2693"/>
      <c r="I22" s="2693"/>
      <c r="J22" s="2693"/>
      <c r="K22" s="2693"/>
      <c r="L22" s="2693"/>
      <c r="M22" s="2693"/>
      <c r="N22" s="2693"/>
      <c r="O22" s="2693"/>
      <c r="P22" s="2693"/>
      <c r="Q22" s="2695"/>
      <c r="R22" s="1324">
        <f>SUMPRODUCT($F$2:$Q$2,F22:Q22)</f>
        <v>0</v>
      </c>
      <c r="S22" s="1325">
        <f>SUM(F22:Q22)</f>
        <v>0</v>
      </c>
      <c r="T22" s="2860"/>
      <c r="U22" s="1468" t="str">
        <f>IF(E22=S22,"ok","Phasing does not agree to Current Plan")</f>
        <v>ok</v>
      </c>
      <c r="AB22" s="1468"/>
      <c r="AC22" s="2590"/>
    </row>
    <row r="23" spans="1:29" ht="17" customHeight="1" thickBot="1">
      <c r="A23" s="2863" t="str">
        <f t="shared" ref="A23:A25" si="50">$B$22&amp;"_"&amp;C23</f>
        <v>Critical Care Funding (£18.7m)_Actual/Forecast - not yet committed</v>
      </c>
      <c r="B23" s="3034"/>
      <c r="C23" s="2661" t="s">
        <v>1286</v>
      </c>
      <c r="D23" s="2656"/>
      <c r="E23" s="2656"/>
      <c r="F23" s="2693"/>
      <c r="G23" s="2693"/>
      <c r="H23" s="2693"/>
      <c r="I23" s="2693"/>
      <c r="J23" s="2693"/>
      <c r="K23" s="2693"/>
      <c r="L23" s="2693"/>
      <c r="M23" s="2693"/>
      <c r="N23" s="2693"/>
      <c r="O23" s="2693"/>
      <c r="P23" s="2693"/>
      <c r="Q23" s="2695"/>
      <c r="R23" s="1324">
        <f t="shared" ref="R23:R24" si="51">SUMPRODUCT($F$2:$Q$2,F23:Q23)</f>
        <v>0</v>
      </c>
      <c r="S23" s="1325">
        <f t="shared" ref="S23:S24" si="52">SUM(F23:Q23)</f>
        <v>0</v>
      </c>
      <c r="T23" s="2861"/>
      <c r="AB23" s="1468"/>
      <c r="AC23" s="2590"/>
    </row>
    <row r="24" spans="1:29" ht="17" customHeight="1" thickBot="1">
      <c r="A24" s="2863" t="str">
        <f t="shared" si="50"/>
        <v>Critical Care Funding (£18.7m)_Actual/Forecast - committed</v>
      </c>
      <c r="B24" s="3034"/>
      <c r="C24" s="1101" t="s">
        <v>1287</v>
      </c>
      <c r="D24" s="2656"/>
      <c r="E24" s="2656"/>
      <c r="F24" s="2693"/>
      <c r="G24" s="2693"/>
      <c r="H24" s="2693"/>
      <c r="I24" s="2693"/>
      <c r="J24" s="2693"/>
      <c r="K24" s="2693"/>
      <c r="L24" s="2693"/>
      <c r="M24" s="2693"/>
      <c r="N24" s="2693"/>
      <c r="O24" s="2693"/>
      <c r="P24" s="2693"/>
      <c r="Q24" s="2695"/>
      <c r="R24" s="1324">
        <f t="shared" si="51"/>
        <v>0</v>
      </c>
      <c r="S24" s="1325">
        <f t="shared" si="52"/>
        <v>0</v>
      </c>
      <c r="T24" s="2861"/>
      <c r="AB24" s="1468"/>
      <c r="AC24" s="2590"/>
    </row>
    <row r="25" spans="1:29" ht="17" customHeight="1" thickBot="1">
      <c r="A25" s="2863" t="str">
        <f t="shared" si="50"/>
        <v>Critical Care Funding (£18.7m)_Variance against current plan</v>
      </c>
      <c r="B25" s="3035"/>
      <c r="C25" s="2661" t="s">
        <v>1353</v>
      </c>
      <c r="D25" s="2656"/>
      <c r="E25" s="2656"/>
      <c r="F25" s="1110">
        <f>(F23+F24)-F22</f>
        <v>0</v>
      </c>
      <c r="G25" s="1110">
        <f t="shared" ref="G25" si="53">(G23+G24)-G22</f>
        <v>0</v>
      </c>
      <c r="H25" s="1110">
        <f t="shared" ref="H25" si="54">(H23+H24)-H22</f>
        <v>0</v>
      </c>
      <c r="I25" s="1110">
        <f t="shared" ref="I25" si="55">(I23+I24)-I22</f>
        <v>0</v>
      </c>
      <c r="J25" s="1110">
        <f t="shared" ref="J25" si="56">(J23+J24)-J22</f>
        <v>0</v>
      </c>
      <c r="K25" s="1110">
        <f t="shared" ref="K25" si="57">(K23+K24)-K22</f>
        <v>0</v>
      </c>
      <c r="L25" s="1110">
        <f t="shared" ref="L25" si="58">(L23+L24)-L22</f>
        <v>0</v>
      </c>
      <c r="M25" s="1110">
        <f t="shared" ref="M25" si="59">(M23+M24)-M22</f>
        <v>0</v>
      </c>
      <c r="N25" s="1110">
        <f t="shared" ref="N25" si="60">(N23+N24)-N22</f>
        <v>0</v>
      </c>
      <c r="O25" s="1110">
        <f t="shared" ref="O25" si="61">(O23+O24)-O22</f>
        <v>0</v>
      </c>
      <c r="P25" s="1110">
        <f t="shared" ref="P25" si="62">(P23+P24)-P22</f>
        <v>0</v>
      </c>
      <c r="Q25" s="1110">
        <f t="shared" ref="Q25" si="63">(Q23+Q24)-Q22</f>
        <v>0</v>
      </c>
      <c r="R25" s="1110">
        <f t="shared" ref="R25" si="64">(R23+R24)-R22</f>
        <v>0</v>
      </c>
      <c r="S25" s="1110">
        <f t="shared" ref="S25" si="65">(S23+S24)-S22</f>
        <v>0</v>
      </c>
      <c r="T25" s="1220">
        <f>(SUM(S23+S24)-D22)</f>
        <v>0</v>
      </c>
      <c r="AB25" s="1468"/>
      <c r="AC25" s="2590"/>
    </row>
    <row r="26" spans="1:29" ht="17" customHeight="1">
      <c r="A26" s="2608"/>
      <c r="B26" s="2657"/>
      <c r="C26" s="2658"/>
      <c r="D26" s="2768"/>
      <c r="E26" s="2659"/>
      <c r="F26" s="2659"/>
      <c r="G26" s="2659"/>
      <c r="H26" s="2659"/>
      <c r="I26" s="2659"/>
      <c r="J26" s="2659"/>
      <c r="K26" s="2659"/>
      <c r="L26" s="2659"/>
      <c r="M26" s="2659"/>
      <c r="N26" s="2659"/>
      <c r="O26" s="2659"/>
      <c r="P26" s="2659"/>
      <c r="Q26" s="2659"/>
      <c r="R26" s="2664"/>
      <c r="S26" s="2862"/>
      <c r="T26" s="1468" t="str">
        <f>IF(S34-E34=0,"","check")</f>
        <v/>
      </c>
      <c r="AB26" s="1468"/>
      <c r="AC26" s="2590"/>
    </row>
    <row r="27" spans="1:29" ht="17" customHeight="1" thickBot="1">
      <c r="A27" s="2608"/>
      <c r="AB27" s="1468"/>
      <c r="AC27" s="2590"/>
    </row>
    <row r="28" spans="1:29" ht="17" customHeight="1" thickBot="1">
      <c r="A28" s="2608"/>
      <c r="C28" s="2665" t="s">
        <v>289</v>
      </c>
      <c r="D28" s="3021" t="s">
        <v>1274</v>
      </c>
      <c r="E28" s="3021" t="s">
        <v>1352</v>
      </c>
      <c r="F28" s="3023" t="s">
        <v>1275</v>
      </c>
      <c r="G28" s="3024"/>
      <c r="H28" s="3024"/>
      <c r="I28" s="3024"/>
      <c r="J28" s="3024"/>
      <c r="K28" s="3024"/>
      <c r="L28" s="3024"/>
      <c r="M28" s="3024"/>
      <c r="N28" s="3024"/>
      <c r="O28" s="3024"/>
      <c r="P28" s="3024"/>
      <c r="Q28" s="3025"/>
      <c r="R28" s="2667" t="s">
        <v>78</v>
      </c>
      <c r="S28" s="2668" t="s">
        <v>78</v>
      </c>
      <c r="T28" s="2858" t="s">
        <v>275</v>
      </c>
      <c r="AB28" s="1468"/>
      <c r="AC28" s="2590"/>
    </row>
    <row r="29" spans="1:29" ht="79.25" customHeight="1" thickBot="1">
      <c r="A29" s="2608"/>
      <c r="B29" s="3031" t="s">
        <v>1292</v>
      </c>
      <c r="C29" s="3036"/>
      <c r="D29" s="3022"/>
      <c r="E29" s="3022"/>
      <c r="F29" s="2669" t="s">
        <v>88</v>
      </c>
      <c r="G29" s="2669" t="s">
        <v>89</v>
      </c>
      <c r="H29" s="2669" t="s">
        <v>175</v>
      </c>
      <c r="I29" s="2669" t="s">
        <v>176</v>
      </c>
      <c r="J29" s="2669" t="s">
        <v>1277</v>
      </c>
      <c r="K29" s="2669" t="s">
        <v>1278</v>
      </c>
      <c r="L29" s="2669" t="s">
        <v>1279</v>
      </c>
      <c r="M29" s="2669" t="s">
        <v>1280</v>
      </c>
      <c r="N29" s="2669" t="s">
        <v>1281</v>
      </c>
      <c r="O29" s="2669" t="s">
        <v>1282</v>
      </c>
      <c r="P29" s="2669" t="s">
        <v>1283</v>
      </c>
      <c r="Q29" s="2669" t="s">
        <v>1284</v>
      </c>
      <c r="R29" s="2670" t="s">
        <v>38</v>
      </c>
      <c r="S29" s="2671" t="s">
        <v>155</v>
      </c>
      <c r="T29" s="2859" t="s">
        <v>1354</v>
      </c>
      <c r="AB29" s="1468"/>
      <c r="AC29" s="2590"/>
    </row>
    <row r="30" spans="1:29" ht="17" customHeight="1" thickBot="1">
      <c r="A30" s="2863" t="str">
        <f>$B$30&amp;"_"&amp;C30</f>
        <v>Urgent Emergency Care Allocations_Plan</v>
      </c>
      <c r="B30" s="3037" t="s">
        <v>1293</v>
      </c>
      <c r="C30" s="1101" t="s">
        <v>40</v>
      </c>
      <c r="D30" s="2694"/>
      <c r="E30" s="2694"/>
      <c r="F30" s="2694"/>
      <c r="G30" s="2694"/>
      <c r="H30" s="2694"/>
      <c r="I30" s="2694"/>
      <c r="J30" s="2694"/>
      <c r="K30" s="2694"/>
      <c r="L30" s="2694"/>
      <c r="M30" s="2694"/>
      <c r="N30" s="2694"/>
      <c r="O30" s="2694"/>
      <c r="P30" s="2694"/>
      <c r="Q30" s="2694"/>
      <c r="R30" s="1132">
        <f>SUMPRODUCT($F$2:$Q$2,F30:Q30)</f>
        <v>0</v>
      </c>
      <c r="S30" s="1323">
        <f>SUM(F30:Q30)</f>
        <v>0</v>
      </c>
      <c r="T30" s="2860"/>
      <c r="U30" s="1468" t="str">
        <f>IF(E30=S30,"ok","Phasing does not agree to Current Plan")</f>
        <v>ok</v>
      </c>
      <c r="AB30" s="1468"/>
      <c r="AC30" s="2590"/>
    </row>
    <row r="31" spans="1:29" ht="17" customHeight="1" thickBot="1">
      <c r="A31" s="2863" t="str">
        <f t="shared" ref="A31:A33" si="66">$B$30&amp;"_"&amp;C31</f>
        <v>Urgent Emergency Care Allocations_Actual/Forecast - not yet committed</v>
      </c>
      <c r="B31" s="3019"/>
      <c r="C31" s="2661" t="s">
        <v>1286</v>
      </c>
      <c r="D31" s="2656"/>
      <c r="E31" s="2656"/>
      <c r="F31" s="2693"/>
      <c r="G31" s="2696"/>
      <c r="H31" s="2693"/>
      <c r="I31" s="2693"/>
      <c r="J31" s="2693"/>
      <c r="K31" s="2693"/>
      <c r="L31" s="2693"/>
      <c r="M31" s="2693"/>
      <c r="N31" s="2693"/>
      <c r="O31" s="2693"/>
      <c r="P31" s="2693"/>
      <c r="Q31" s="2693"/>
      <c r="R31" s="1324">
        <f t="shared" ref="R31:R32" si="67">SUMPRODUCT($F$2:$Q$2,F31:Q31)</f>
        <v>0</v>
      </c>
      <c r="S31" s="1325">
        <f t="shared" ref="S31:S32" si="68">SUM(F31:Q31)</f>
        <v>0</v>
      </c>
      <c r="T31" s="2861"/>
      <c r="AB31" s="1468"/>
      <c r="AC31" s="2590"/>
    </row>
    <row r="32" spans="1:29" ht="17" customHeight="1" thickBot="1">
      <c r="A32" s="2863" t="str">
        <f t="shared" si="66"/>
        <v>Urgent Emergency Care Allocations_Actual/Forecast - committed</v>
      </c>
      <c r="B32" s="3019"/>
      <c r="C32" s="1101" t="s">
        <v>1287</v>
      </c>
      <c r="D32" s="2656"/>
      <c r="E32" s="2656"/>
      <c r="F32" s="2693"/>
      <c r="G32" s="2693"/>
      <c r="H32" s="2693"/>
      <c r="I32" s="2693"/>
      <c r="J32" s="2693"/>
      <c r="K32" s="2693"/>
      <c r="L32" s="2693"/>
      <c r="M32" s="2693"/>
      <c r="N32" s="2693"/>
      <c r="O32" s="2693"/>
      <c r="P32" s="2693"/>
      <c r="Q32" s="2693"/>
      <c r="R32" s="1339">
        <f t="shared" si="67"/>
        <v>0</v>
      </c>
      <c r="S32" s="1340">
        <f t="shared" si="68"/>
        <v>0</v>
      </c>
      <c r="T32" s="2861"/>
      <c r="AB32" s="1468"/>
      <c r="AC32" s="2590"/>
    </row>
    <row r="33" spans="1:29" ht="17" customHeight="1" thickBot="1">
      <c r="A33" s="2863" t="str">
        <f t="shared" si="66"/>
        <v>Urgent Emergency Care Allocations_Variance against current plan</v>
      </c>
      <c r="B33" s="3019"/>
      <c r="C33" s="2661" t="s">
        <v>1353</v>
      </c>
      <c r="D33" s="2656"/>
      <c r="E33" s="2656"/>
      <c r="F33" s="1110">
        <f>(F31+F32)-F30</f>
        <v>0</v>
      </c>
      <c r="G33" s="1110">
        <f t="shared" ref="G33" si="69">(G31+G32)-G30</f>
        <v>0</v>
      </c>
      <c r="H33" s="1110">
        <f t="shared" ref="H33" si="70">(H31+H32)-H30</f>
        <v>0</v>
      </c>
      <c r="I33" s="1110">
        <f t="shared" ref="I33" si="71">(I31+I32)-I30</f>
        <v>0</v>
      </c>
      <c r="J33" s="1110">
        <f t="shared" ref="J33" si="72">(J31+J32)-J30</f>
        <v>0</v>
      </c>
      <c r="K33" s="1110">
        <f t="shared" ref="K33" si="73">(K31+K32)-K30</f>
        <v>0</v>
      </c>
      <c r="L33" s="1110">
        <f t="shared" ref="L33" si="74">(L31+L32)-L30</f>
        <v>0</v>
      </c>
      <c r="M33" s="1110">
        <f t="shared" ref="M33" si="75">(M31+M32)-M30</f>
        <v>0</v>
      </c>
      <c r="N33" s="1110">
        <f t="shared" ref="N33" si="76">(N31+N32)-N30</f>
        <v>0</v>
      </c>
      <c r="O33" s="1110">
        <f t="shared" ref="O33" si="77">(O31+O32)-O30</f>
        <v>0</v>
      </c>
      <c r="P33" s="1110">
        <f t="shared" ref="P33" si="78">(P31+P32)-P30</f>
        <v>0</v>
      </c>
      <c r="Q33" s="1110">
        <f t="shared" ref="Q33" si="79">(Q31+Q32)-Q30</f>
        <v>0</v>
      </c>
      <c r="R33" s="1110">
        <f t="shared" ref="R33" si="80">(R31+R32)-R30</f>
        <v>0</v>
      </c>
      <c r="S33" s="1110">
        <f t="shared" ref="S33" si="81">(S31+S32)-S30</f>
        <v>0</v>
      </c>
      <c r="T33" s="1220">
        <f>(SUM(S31+S32)-D30)</f>
        <v>0</v>
      </c>
      <c r="AB33" s="1468"/>
      <c r="AC33" s="2590"/>
    </row>
    <row r="34" spans="1:29" ht="17" customHeight="1" thickBot="1">
      <c r="A34" s="2863" t="str">
        <f>$B$34&amp;"_"&amp;C34</f>
        <v>Mental Health (SIF) Allocations_Plan</v>
      </c>
      <c r="B34" s="3018" t="s">
        <v>1294</v>
      </c>
      <c r="C34" s="1101" t="s">
        <v>40</v>
      </c>
      <c r="D34" s="2693"/>
      <c r="E34" s="2693"/>
      <c r="F34" s="2693"/>
      <c r="G34" s="2693"/>
      <c r="H34" s="2693"/>
      <c r="I34" s="2693"/>
      <c r="J34" s="2693"/>
      <c r="K34" s="2693"/>
      <c r="L34" s="2693"/>
      <c r="M34" s="2693"/>
      <c r="N34" s="2693"/>
      <c r="O34" s="2693"/>
      <c r="P34" s="2693"/>
      <c r="Q34" s="2693"/>
      <c r="R34" s="1863">
        <f>SUMPRODUCT($F$2:$Q$2,F34:Q34)</f>
        <v>0</v>
      </c>
      <c r="S34" s="1864">
        <f>SUM(F34:Q34)</f>
        <v>0</v>
      </c>
      <c r="T34" s="2860"/>
      <c r="U34" s="1468" t="str">
        <f>IF(E34=S34,"ok","Phasing does not agree to Current Plan")</f>
        <v>ok</v>
      </c>
      <c r="AB34" s="1468"/>
      <c r="AC34" s="2590"/>
    </row>
    <row r="35" spans="1:29" ht="17" customHeight="1" thickBot="1">
      <c r="A35" s="2863" t="str">
        <f t="shared" ref="A35:A37" si="82">$B$34&amp;"_"&amp;C35</f>
        <v>Mental Health (SIF) Allocations_Actual/Forecast - not yet committed</v>
      </c>
      <c r="B35" s="3019"/>
      <c r="C35" s="2661" t="s">
        <v>1286</v>
      </c>
      <c r="D35" s="2656"/>
      <c r="E35" s="2656"/>
      <c r="F35" s="2693"/>
      <c r="G35" s="2693"/>
      <c r="H35" s="2693"/>
      <c r="I35" s="2693"/>
      <c r="J35" s="2693"/>
      <c r="K35" s="2693"/>
      <c r="L35" s="2693"/>
      <c r="M35" s="2693"/>
      <c r="N35" s="2693"/>
      <c r="O35" s="2693"/>
      <c r="P35" s="2693"/>
      <c r="Q35" s="2693"/>
      <c r="R35" s="1324">
        <f t="shared" ref="R35:R36" si="83">SUMPRODUCT($F$2:$Q$2,F35:Q35)</f>
        <v>0</v>
      </c>
      <c r="S35" s="1325">
        <f t="shared" ref="S35:S36" si="84">SUM(F35:Q35)</f>
        <v>0</v>
      </c>
      <c r="T35" s="2861"/>
      <c r="AB35" s="1468"/>
      <c r="AC35" s="2590"/>
    </row>
    <row r="36" spans="1:29" ht="17" customHeight="1" thickBot="1">
      <c r="A36" s="2863" t="str">
        <f t="shared" si="82"/>
        <v>Mental Health (SIF) Allocations_Actual/Forecast - committed</v>
      </c>
      <c r="B36" s="3019"/>
      <c r="C36" s="1101" t="s">
        <v>1287</v>
      </c>
      <c r="D36" s="2656"/>
      <c r="E36" s="2656"/>
      <c r="F36" s="2693"/>
      <c r="G36" s="2693"/>
      <c r="H36" s="2693"/>
      <c r="I36" s="2693"/>
      <c r="J36" s="2693"/>
      <c r="K36" s="2693"/>
      <c r="L36" s="2693"/>
      <c r="M36" s="2693"/>
      <c r="N36" s="2693"/>
      <c r="O36" s="2693"/>
      <c r="P36" s="2693"/>
      <c r="Q36" s="2693"/>
      <c r="R36" s="1324">
        <f t="shared" si="83"/>
        <v>0</v>
      </c>
      <c r="S36" s="1325">
        <f t="shared" si="84"/>
        <v>0</v>
      </c>
      <c r="T36" s="2861"/>
      <c r="AB36" s="1468"/>
      <c r="AC36" s="2590"/>
    </row>
    <row r="37" spans="1:29" ht="17" customHeight="1" thickBot="1">
      <c r="A37" s="2863" t="str">
        <f t="shared" si="82"/>
        <v>Mental Health (SIF) Allocations_Variance against current plan</v>
      </c>
      <c r="B37" s="3019"/>
      <c r="C37" s="2661" t="s">
        <v>1353</v>
      </c>
      <c r="D37" s="2656"/>
      <c r="E37" s="2656"/>
      <c r="F37" s="1110">
        <f>(F35+F36)-F34</f>
        <v>0</v>
      </c>
      <c r="G37" s="1110">
        <f t="shared" ref="G37" si="85">(G35+G36)-G34</f>
        <v>0</v>
      </c>
      <c r="H37" s="1110">
        <f t="shared" ref="H37" si="86">(H35+H36)-H34</f>
        <v>0</v>
      </c>
      <c r="I37" s="1110">
        <f t="shared" ref="I37" si="87">(I35+I36)-I34</f>
        <v>0</v>
      </c>
      <c r="J37" s="1110">
        <f t="shared" ref="J37" si="88">(J35+J36)-J34</f>
        <v>0</v>
      </c>
      <c r="K37" s="1110">
        <f t="shared" ref="K37" si="89">(K35+K36)-K34</f>
        <v>0</v>
      </c>
      <c r="L37" s="1110">
        <f t="shared" ref="L37" si="90">(L35+L36)-L34</f>
        <v>0</v>
      </c>
      <c r="M37" s="1110">
        <f t="shared" ref="M37" si="91">(M35+M36)-M34</f>
        <v>0</v>
      </c>
      <c r="N37" s="1110">
        <f t="shared" ref="N37" si="92">(N35+N36)-N34</f>
        <v>0</v>
      </c>
      <c r="O37" s="1110">
        <f t="shared" ref="O37" si="93">(O35+O36)-O34</f>
        <v>0</v>
      </c>
      <c r="P37" s="1110">
        <f t="shared" ref="P37" si="94">(P35+P36)-P34</f>
        <v>0</v>
      </c>
      <c r="Q37" s="1110">
        <f t="shared" ref="Q37" si="95">(Q35+Q36)-Q34</f>
        <v>0</v>
      </c>
      <c r="R37" s="1110">
        <f t="shared" ref="R37" si="96">(R35+R36)-R34</f>
        <v>0</v>
      </c>
      <c r="S37" s="1110">
        <f t="shared" ref="S37" si="97">(S35+S36)-S34</f>
        <v>0</v>
      </c>
      <c r="T37" s="1220">
        <f>(SUM(S35+S36)-D34)</f>
        <v>0</v>
      </c>
      <c r="AB37" s="1468"/>
      <c r="AC37" s="2590"/>
    </row>
    <row r="38" spans="1:29" ht="17" customHeight="1" thickBot="1">
      <c r="A38" s="2863" t="str">
        <f>$B$38&amp;"_"&amp;C38</f>
        <v>Planned Care_Plan</v>
      </c>
      <c r="B38" s="3018" t="s">
        <v>604</v>
      </c>
      <c r="C38" s="1101" t="s">
        <v>40</v>
      </c>
      <c r="D38" s="2693"/>
      <c r="E38" s="2693"/>
      <c r="F38" s="2693"/>
      <c r="G38" s="2693"/>
      <c r="H38" s="2693"/>
      <c r="I38" s="2693"/>
      <c r="J38" s="2693"/>
      <c r="K38" s="2693"/>
      <c r="L38" s="2693"/>
      <c r="M38" s="2693"/>
      <c r="N38" s="2693"/>
      <c r="O38" s="2693"/>
      <c r="P38" s="2693"/>
      <c r="Q38" s="2693"/>
      <c r="R38" s="1324">
        <f>SUMPRODUCT($F$2:$Q$2,F38:Q38)</f>
        <v>0</v>
      </c>
      <c r="S38" s="1325">
        <f>SUM(F38:Q38)</f>
        <v>0</v>
      </c>
      <c r="T38" s="2860"/>
      <c r="U38" s="1468" t="str">
        <f>IF(E38=S38,"ok","Phasing does not agree to Current Plan")</f>
        <v>ok</v>
      </c>
      <c r="AB38" s="1468"/>
      <c r="AC38" s="2590"/>
    </row>
    <row r="39" spans="1:29" ht="17" customHeight="1" thickBot="1">
      <c r="A39" s="2863" t="str">
        <f t="shared" ref="A39:A41" si="98">$B$38&amp;"_"&amp;C39</f>
        <v>Planned Care_Actual/Forecast - not yet committed</v>
      </c>
      <c r="B39" s="3019"/>
      <c r="C39" s="2661" t="s">
        <v>1286</v>
      </c>
      <c r="D39" s="2656"/>
      <c r="E39" s="2656"/>
      <c r="F39" s="2693"/>
      <c r="G39" s="2693"/>
      <c r="H39" s="2693"/>
      <c r="I39" s="2693"/>
      <c r="J39" s="2693"/>
      <c r="K39" s="2693"/>
      <c r="L39" s="2693"/>
      <c r="M39" s="2693"/>
      <c r="N39" s="2693"/>
      <c r="O39" s="2693"/>
      <c r="P39" s="2693"/>
      <c r="Q39" s="2693"/>
      <c r="R39" s="1324">
        <f t="shared" ref="R39:R40" si="99">SUMPRODUCT($F$2:$Q$2,F39:Q39)</f>
        <v>0</v>
      </c>
      <c r="S39" s="1325">
        <f t="shared" ref="S39:S40" si="100">SUM(F39:Q39)</f>
        <v>0</v>
      </c>
      <c r="T39" s="2861"/>
      <c r="AB39" s="1468"/>
      <c r="AC39" s="2590"/>
    </row>
    <row r="40" spans="1:29" ht="17" customHeight="1" thickBot="1">
      <c r="A40" s="2863" t="str">
        <f t="shared" si="98"/>
        <v>Planned Care_Actual/Forecast - committed</v>
      </c>
      <c r="B40" s="3019"/>
      <c r="C40" s="1101" t="s">
        <v>1287</v>
      </c>
      <c r="D40" s="2656"/>
      <c r="E40" s="2656"/>
      <c r="F40" s="2693"/>
      <c r="G40" s="2693"/>
      <c r="H40" s="2693"/>
      <c r="I40" s="2693"/>
      <c r="J40" s="2693"/>
      <c r="K40" s="2693"/>
      <c r="L40" s="2693"/>
      <c r="M40" s="2693"/>
      <c r="N40" s="2693"/>
      <c r="O40" s="2693"/>
      <c r="P40" s="2693"/>
      <c r="Q40" s="2693"/>
      <c r="R40" s="1324">
        <f t="shared" si="99"/>
        <v>0</v>
      </c>
      <c r="S40" s="1325">
        <f t="shared" si="100"/>
        <v>0</v>
      </c>
      <c r="T40" s="2861"/>
      <c r="AB40" s="1468"/>
      <c r="AC40" s="2590"/>
    </row>
    <row r="41" spans="1:29" ht="17" customHeight="1" thickBot="1">
      <c r="A41" s="2863" t="str">
        <f t="shared" si="98"/>
        <v>Planned Care_Variance against current plan</v>
      </c>
      <c r="B41" s="3019"/>
      <c r="C41" s="2661" t="s">
        <v>1353</v>
      </c>
      <c r="D41" s="2656"/>
      <c r="E41" s="2656"/>
      <c r="F41" s="1110">
        <f>(F39+F40)-F38</f>
        <v>0</v>
      </c>
      <c r="G41" s="1110">
        <f t="shared" ref="G41" si="101">(G39+G40)-G38</f>
        <v>0</v>
      </c>
      <c r="H41" s="1110">
        <f t="shared" ref="H41" si="102">(H39+H40)-H38</f>
        <v>0</v>
      </c>
      <c r="I41" s="1110">
        <f t="shared" ref="I41" si="103">(I39+I40)-I38</f>
        <v>0</v>
      </c>
      <c r="J41" s="1110">
        <f t="shared" ref="J41" si="104">(J39+J40)-J38</f>
        <v>0</v>
      </c>
      <c r="K41" s="1110">
        <f t="shared" ref="K41" si="105">(K39+K40)-K38</f>
        <v>0</v>
      </c>
      <c r="L41" s="1110">
        <f t="shared" ref="L41" si="106">(L39+L40)-L38</f>
        <v>0</v>
      </c>
      <c r="M41" s="1110">
        <f t="shared" ref="M41" si="107">(M39+M40)-M38</f>
        <v>0</v>
      </c>
      <c r="N41" s="1110">
        <f t="shared" ref="N41" si="108">(N39+N40)-N38</f>
        <v>0</v>
      </c>
      <c r="O41" s="1110">
        <f t="shared" ref="O41" si="109">(O39+O40)-O38</f>
        <v>0</v>
      </c>
      <c r="P41" s="1110">
        <f t="shared" ref="P41" si="110">(P39+P40)-P38</f>
        <v>0</v>
      </c>
      <c r="Q41" s="1110">
        <f t="shared" ref="Q41" si="111">(Q39+Q40)-Q38</f>
        <v>0</v>
      </c>
      <c r="R41" s="1110">
        <f t="shared" ref="R41" si="112">(R39+R40)-R38</f>
        <v>0</v>
      </c>
      <c r="S41" s="1110">
        <f t="shared" ref="S41" si="113">(S39+S40)-S38</f>
        <v>0</v>
      </c>
      <c r="T41" s="1220">
        <f>(SUM(S39+S40)-D38)</f>
        <v>0</v>
      </c>
      <c r="AB41" s="1468"/>
      <c r="AC41" s="2590"/>
    </row>
    <row r="42" spans="1:29" ht="16" thickBot="1">
      <c r="A42" s="2863" t="str">
        <f>$B$42&amp;"_"&amp;C42</f>
        <v>Value Based Health Care_Plan</v>
      </c>
      <c r="B42" s="3018" t="s">
        <v>1295</v>
      </c>
      <c r="C42" s="1101" t="s">
        <v>40</v>
      </c>
      <c r="D42" s="2693"/>
      <c r="E42" s="2693"/>
      <c r="F42" s="2693"/>
      <c r="G42" s="2693"/>
      <c r="H42" s="2693"/>
      <c r="I42" s="2693"/>
      <c r="J42" s="2693"/>
      <c r="K42" s="2693"/>
      <c r="L42" s="2693"/>
      <c r="M42" s="2693"/>
      <c r="N42" s="2693"/>
      <c r="O42" s="2693"/>
      <c r="P42" s="2693"/>
      <c r="Q42" s="2693"/>
      <c r="R42" s="1324">
        <f>SUMPRODUCT($F$2:$Q$2,F42:Q42)</f>
        <v>0</v>
      </c>
      <c r="S42" s="1325">
        <f>SUM(F42:Q42)</f>
        <v>0</v>
      </c>
      <c r="T42" s="2860"/>
      <c r="U42" s="1468" t="str">
        <f>IF(E42=S42,"ok","Phasing does not agree to Current Plan")</f>
        <v>ok</v>
      </c>
      <c r="AB42" s="1468"/>
      <c r="AC42" s="2590"/>
    </row>
    <row r="43" spans="1:29" ht="15.5" customHeight="1" thickBot="1">
      <c r="A43" s="2863" t="str">
        <f t="shared" ref="A43:A45" si="114">$B$42&amp;"_"&amp;C43</f>
        <v>Value Based Health Care_Actual/Forecast - not yet committed</v>
      </c>
      <c r="B43" s="3019"/>
      <c r="C43" s="2661" t="s">
        <v>1286</v>
      </c>
      <c r="D43" s="2656"/>
      <c r="E43" s="2656"/>
      <c r="F43" s="2693"/>
      <c r="G43" s="2693"/>
      <c r="H43" s="2693"/>
      <c r="I43" s="2693"/>
      <c r="J43" s="2693"/>
      <c r="K43" s="2693"/>
      <c r="L43" s="2693"/>
      <c r="M43" s="2693"/>
      <c r="N43" s="2693"/>
      <c r="O43" s="2693"/>
      <c r="P43" s="2693"/>
      <c r="Q43" s="2693"/>
      <c r="R43" s="1324">
        <f t="shared" ref="R43:R44" si="115">SUMPRODUCT($F$2:$Q$2,F43:Q43)</f>
        <v>0</v>
      </c>
      <c r="S43" s="1325">
        <f t="shared" ref="S43:S44" si="116">SUM(F43:Q43)</f>
        <v>0</v>
      </c>
      <c r="T43" s="2861"/>
      <c r="AB43" s="1468"/>
      <c r="AC43" s="2590"/>
    </row>
    <row r="44" spans="1:29" ht="15.5" customHeight="1" thickBot="1">
      <c r="A44" s="2863" t="str">
        <f t="shared" si="114"/>
        <v>Value Based Health Care_Actual/Forecast - committed</v>
      </c>
      <c r="B44" s="3019"/>
      <c r="C44" s="1101" t="s">
        <v>1287</v>
      </c>
      <c r="D44" s="2656"/>
      <c r="E44" s="2656"/>
      <c r="F44" s="2693"/>
      <c r="G44" s="2693"/>
      <c r="H44" s="2693"/>
      <c r="I44" s="2693"/>
      <c r="J44" s="2693"/>
      <c r="K44" s="2693"/>
      <c r="L44" s="2693"/>
      <c r="M44" s="2693"/>
      <c r="N44" s="2693"/>
      <c r="O44" s="2693"/>
      <c r="P44" s="2693"/>
      <c r="Q44" s="2693"/>
      <c r="R44" s="1324">
        <f t="shared" si="115"/>
        <v>0</v>
      </c>
      <c r="S44" s="1325">
        <f t="shared" si="116"/>
        <v>0</v>
      </c>
      <c r="T44" s="2861"/>
      <c r="AB44" s="1468"/>
      <c r="AC44" s="2590"/>
    </row>
    <row r="45" spans="1:29" ht="15" customHeight="1" thickBot="1">
      <c r="A45" s="2863" t="str">
        <f t="shared" si="114"/>
        <v>Value Based Health Care_Variance against current plan</v>
      </c>
      <c r="B45" s="3019"/>
      <c r="C45" s="2661" t="s">
        <v>1353</v>
      </c>
      <c r="D45" s="2656"/>
      <c r="E45" s="2656"/>
      <c r="F45" s="1110">
        <f>(F43+F44)-F42</f>
        <v>0</v>
      </c>
      <c r="G45" s="1110">
        <f t="shared" ref="G45" si="117">(G43+G44)-G42</f>
        <v>0</v>
      </c>
      <c r="H45" s="1110">
        <f t="shared" ref="H45" si="118">(H43+H44)-H42</f>
        <v>0</v>
      </c>
      <c r="I45" s="1110">
        <f t="shared" ref="I45" si="119">(I43+I44)-I42</f>
        <v>0</v>
      </c>
      <c r="J45" s="1110">
        <f t="shared" ref="J45" si="120">(J43+J44)-J42</f>
        <v>0</v>
      </c>
      <c r="K45" s="1110">
        <f t="shared" ref="K45" si="121">(K43+K44)-K42</f>
        <v>0</v>
      </c>
      <c r="L45" s="1110">
        <f t="shared" ref="L45" si="122">(L43+L44)-L42</f>
        <v>0</v>
      </c>
      <c r="M45" s="1110">
        <f t="shared" ref="M45" si="123">(M43+M44)-M42</f>
        <v>0</v>
      </c>
      <c r="N45" s="1110">
        <f t="shared" ref="N45" si="124">(N43+N44)-N42</f>
        <v>0</v>
      </c>
      <c r="O45" s="1110">
        <f t="shared" ref="O45" si="125">(O43+O44)-O42</f>
        <v>0</v>
      </c>
      <c r="P45" s="1110">
        <f t="shared" ref="P45" si="126">(P43+P44)-P42</f>
        <v>0</v>
      </c>
      <c r="Q45" s="1110">
        <f t="shared" ref="Q45" si="127">(Q43+Q44)-Q42</f>
        <v>0</v>
      </c>
      <c r="R45" s="1110">
        <f t="shared" ref="R45" si="128">(R43+R44)-R42</f>
        <v>0</v>
      </c>
      <c r="S45" s="1110">
        <f t="shared" ref="S45" si="129">(S43+S44)-S42</f>
        <v>0</v>
      </c>
      <c r="T45" s="1220">
        <f>(SUM(S43+S44)-D42)</f>
        <v>0</v>
      </c>
      <c r="AB45" s="1468"/>
      <c r="AC45" s="2590"/>
    </row>
    <row r="46" spans="1:29" ht="15" customHeight="1" thickBot="1">
      <c r="A46" s="2863" t="str">
        <f>$B$46&amp;"_"&amp;C46</f>
        <v>Recovery_Plan</v>
      </c>
      <c r="B46" s="3018" t="s">
        <v>1296</v>
      </c>
      <c r="C46" s="1101" t="s">
        <v>40</v>
      </c>
      <c r="D46" s="2693"/>
      <c r="E46" s="2693"/>
      <c r="F46" s="2693"/>
      <c r="G46" s="2693"/>
      <c r="H46" s="2693"/>
      <c r="I46" s="2693"/>
      <c r="J46" s="2693"/>
      <c r="K46" s="2693"/>
      <c r="L46" s="2693"/>
      <c r="M46" s="2693"/>
      <c r="N46" s="2693"/>
      <c r="O46" s="2693"/>
      <c r="P46" s="2693"/>
      <c r="Q46" s="2693"/>
      <c r="R46" s="1324">
        <f>SUMPRODUCT($F$2:$Q$2,F46:Q46)</f>
        <v>0</v>
      </c>
      <c r="S46" s="1325">
        <f>SUM(F46:Q46)</f>
        <v>0</v>
      </c>
      <c r="T46" s="2860"/>
      <c r="U46" s="1468" t="str">
        <f>IF(E46=S46,"ok","Phasing does not agree to Current Plan")</f>
        <v>ok</v>
      </c>
      <c r="AB46" s="1468"/>
      <c r="AC46" s="2590"/>
    </row>
    <row r="47" spans="1:29" ht="15" customHeight="1" thickBot="1">
      <c r="A47" s="2863" t="str">
        <f t="shared" ref="A47:A49" si="130">$B$46&amp;"_"&amp;C47</f>
        <v>Recovery_Actual/Forecast - not yet committed</v>
      </c>
      <c r="B47" s="3019"/>
      <c r="C47" s="2661" t="s">
        <v>1286</v>
      </c>
      <c r="D47" s="2656"/>
      <c r="E47" s="2656"/>
      <c r="F47" s="2693"/>
      <c r="G47" s="2693"/>
      <c r="H47" s="2693"/>
      <c r="I47" s="2693"/>
      <c r="J47" s="2693"/>
      <c r="K47" s="2693"/>
      <c r="L47" s="2693"/>
      <c r="M47" s="2693"/>
      <c r="N47" s="2693"/>
      <c r="O47" s="2693"/>
      <c r="P47" s="2693"/>
      <c r="Q47" s="2693"/>
      <c r="R47" s="1324">
        <f>SUMPRODUCT($F$2:$Q$2,F47:Q47)</f>
        <v>0</v>
      </c>
      <c r="S47" s="1325">
        <f t="shared" ref="S47:S48" si="131">SUM(F47:Q47)</f>
        <v>0</v>
      </c>
      <c r="T47" s="2861"/>
      <c r="AB47" s="1468"/>
      <c r="AC47" s="2590"/>
    </row>
    <row r="48" spans="1:29" ht="15" customHeight="1" thickBot="1">
      <c r="A48" s="2863" t="str">
        <f t="shared" si="130"/>
        <v>Recovery_Actual/Forecast - committed</v>
      </c>
      <c r="B48" s="3019"/>
      <c r="C48" s="1101" t="s">
        <v>1287</v>
      </c>
      <c r="D48" s="2656"/>
      <c r="E48" s="2656"/>
      <c r="F48" s="2693"/>
      <c r="G48" s="2693"/>
      <c r="H48" s="2693"/>
      <c r="I48" s="2693"/>
      <c r="J48" s="2693"/>
      <c r="K48" s="2693"/>
      <c r="L48" s="2693"/>
      <c r="M48" s="2693"/>
      <c r="N48" s="2693"/>
      <c r="O48" s="2693"/>
      <c r="P48" s="2693"/>
      <c r="Q48" s="2693"/>
      <c r="R48" s="1324">
        <f t="shared" ref="R48" si="132">SUMPRODUCT($F$2:$Q$2,F48:Q48)</f>
        <v>0</v>
      </c>
      <c r="S48" s="1325">
        <f t="shared" si="131"/>
        <v>0</v>
      </c>
      <c r="T48" s="2861"/>
      <c r="AB48" s="1468"/>
      <c r="AC48" s="2590"/>
    </row>
    <row r="49" spans="1:29" ht="15" customHeight="1" thickBot="1">
      <c r="A49" s="2863" t="str">
        <f t="shared" si="130"/>
        <v>Recovery_Variance against current plan</v>
      </c>
      <c r="B49" s="3019"/>
      <c r="C49" s="2661" t="s">
        <v>1353</v>
      </c>
      <c r="D49" s="2656"/>
      <c r="E49" s="2656"/>
      <c r="F49" s="1110">
        <f>(F47+F48)-F46</f>
        <v>0</v>
      </c>
      <c r="G49" s="1110">
        <f t="shared" ref="G49" si="133">(G47+G48)-G46</f>
        <v>0</v>
      </c>
      <c r="H49" s="1110">
        <f t="shared" ref="H49" si="134">(H47+H48)-H46</f>
        <v>0</v>
      </c>
      <c r="I49" s="1110">
        <f t="shared" ref="I49" si="135">(I47+I48)-I46</f>
        <v>0</v>
      </c>
      <c r="J49" s="1110">
        <f t="shared" ref="J49" si="136">(J47+J48)-J46</f>
        <v>0</v>
      </c>
      <c r="K49" s="1110">
        <f t="shared" ref="K49" si="137">(K47+K48)-K46</f>
        <v>0</v>
      </c>
      <c r="L49" s="1110">
        <f t="shared" ref="L49" si="138">(L47+L48)-L46</f>
        <v>0</v>
      </c>
      <c r="M49" s="1110">
        <f t="shared" ref="M49" si="139">(M47+M48)-M46</f>
        <v>0</v>
      </c>
      <c r="N49" s="1110">
        <f t="shared" ref="N49" si="140">(N47+N48)-N46</f>
        <v>0</v>
      </c>
      <c r="O49" s="1110">
        <f t="shared" ref="O49" si="141">(O47+O48)-O46</f>
        <v>0</v>
      </c>
      <c r="P49" s="1110">
        <f t="shared" ref="P49" si="142">(P47+P48)-P46</f>
        <v>0</v>
      </c>
      <c r="Q49" s="1110">
        <f t="shared" ref="Q49" si="143">(Q47+Q48)-Q46</f>
        <v>0</v>
      </c>
      <c r="R49" s="1110">
        <f t="shared" ref="R49" si="144">(R47+R48)-R46</f>
        <v>0</v>
      </c>
      <c r="S49" s="1110">
        <f t="shared" ref="S49" si="145">(S47+S48)-S46</f>
        <v>0</v>
      </c>
      <c r="T49" s="1220">
        <f>(SUM(S47+S48)-D46)</f>
        <v>0</v>
      </c>
      <c r="AB49" s="1468"/>
      <c r="AC49" s="2590"/>
    </row>
    <row r="50" spans="1:29" ht="15" customHeight="1" thickBot="1">
      <c r="A50" s="2863" t="str">
        <f>$B$50&amp;"_"&amp;C50</f>
        <v>Spare_Plan</v>
      </c>
      <c r="B50" s="3279" t="s">
        <v>1390</v>
      </c>
      <c r="C50" s="1101" t="s">
        <v>40</v>
      </c>
      <c r="D50" s="2693"/>
      <c r="E50" s="2693"/>
      <c r="F50" s="2693"/>
      <c r="G50" s="2693"/>
      <c r="H50" s="2693"/>
      <c r="I50" s="2693"/>
      <c r="J50" s="2693"/>
      <c r="K50" s="2693"/>
      <c r="L50" s="2693"/>
      <c r="M50" s="2693"/>
      <c r="N50" s="2693"/>
      <c r="O50" s="2693"/>
      <c r="P50" s="2693"/>
      <c r="Q50" s="2693"/>
      <c r="R50" s="1132">
        <f>SUMPRODUCT($F$2:$Q$2,F50:Q50)</f>
        <v>0</v>
      </c>
      <c r="S50" s="1323">
        <f>SUM(F50:Q50)</f>
        <v>0</v>
      </c>
      <c r="T50" s="2860"/>
      <c r="U50" s="1468" t="str">
        <f>IF(E50=S50,"ok","Phasing does not agree to Current Plan")</f>
        <v>ok</v>
      </c>
      <c r="AB50" s="1468"/>
      <c r="AC50" s="2590"/>
    </row>
    <row r="51" spans="1:29" ht="15" customHeight="1" thickBot="1">
      <c r="A51" s="2863" t="str">
        <f t="shared" ref="A51:A53" si="146">$B$50&amp;"_"&amp;C51</f>
        <v>Spare_Actual/Forecast - not yet committed</v>
      </c>
      <c r="B51" s="3280"/>
      <c r="C51" s="2661" t="s">
        <v>1286</v>
      </c>
      <c r="D51" s="2656"/>
      <c r="E51" s="2656"/>
      <c r="F51" s="2693"/>
      <c r="G51" s="2693"/>
      <c r="H51" s="2693"/>
      <c r="I51" s="2693"/>
      <c r="J51" s="2693"/>
      <c r="K51" s="2693"/>
      <c r="L51" s="2693"/>
      <c r="M51" s="2693"/>
      <c r="N51" s="2693"/>
      <c r="O51" s="2693"/>
      <c r="P51" s="2693"/>
      <c r="Q51" s="2693"/>
      <c r="R51" s="1324">
        <f>SUMPRODUCT($F$2:$Q$2,F51:Q51)</f>
        <v>0</v>
      </c>
      <c r="S51" s="1325">
        <f t="shared" ref="S51:S52" si="147">SUM(F51:Q51)</f>
        <v>0</v>
      </c>
      <c r="T51" s="2861"/>
      <c r="AB51" s="1468"/>
      <c r="AC51" s="2590"/>
    </row>
    <row r="52" spans="1:29" ht="16" thickBot="1">
      <c r="A52" s="2863" t="str">
        <f t="shared" si="146"/>
        <v>Spare_Actual/Forecast - committed</v>
      </c>
      <c r="B52" s="3280"/>
      <c r="C52" s="1101" t="s">
        <v>1287</v>
      </c>
      <c r="D52" s="2656"/>
      <c r="E52" s="2656"/>
      <c r="F52" s="2693"/>
      <c r="G52" s="2693"/>
      <c r="H52" s="2693"/>
      <c r="I52" s="2693"/>
      <c r="J52" s="2693"/>
      <c r="K52" s="2693"/>
      <c r="L52" s="2693"/>
      <c r="M52" s="2693"/>
      <c r="N52" s="2693"/>
      <c r="O52" s="2693"/>
      <c r="P52" s="2693"/>
      <c r="Q52" s="2693"/>
      <c r="R52" s="1339">
        <f t="shared" ref="R52" si="148">SUMPRODUCT($F$2:$Q$2,F52:Q52)</f>
        <v>0</v>
      </c>
      <c r="S52" s="1340">
        <f t="shared" si="147"/>
        <v>0</v>
      </c>
      <c r="T52" s="2861"/>
      <c r="AB52" s="1468"/>
      <c r="AC52" s="2590"/>
    </row>
    <row r="53" spans="1:29" ht="16" thickBot="1">
      <c r="A53" s="2863" t="str">
        <f t="shared" si="146"/>
        <v>Spare_Variance against current plan</v>
      </c>
      <c r="B53" s="3281"/>
      <c r="C53" s="2661" t="s">
        <v>1353</v>
      </c>
      <c r="D53" s="2656"/>
      <c r="E53" s="2656"/>
      <c r="F53" s="1110">
        <f>(F51+F52)-F50</f>
        <v>0</v>
      </c>
      <c r="G53" s="1110">
        <f t="shared" ref="G53" si="149">(G51+G52)-G50</f>
        <v>0</v>
      </c>
      <c r="H53" s="1110">
        <f t="shared" ref="H53" si="150">(H51+H52)-H50</f>
        <v>0</v>
      </c>
      <c r="I53" s="1110">
        <f t="shared" ref="I53" si="151">(I51+I52)-I50</f>
        <v>0</v>
      </c>
      <c r="J53" s="1110">
        <f t="shared" ref="J53" si="152">(J51+J52)-J50</f>
        <v>0</v>
      </c>
      <c r="K53" s="1110">
        <f t="shared" ref="K53" si="153">(K51+K52)-K50</f>
        <v>0</v>
      </c>
      <c r="L53" s="1110">
        <f t="shared" ref="L53" si="154">(L51+L52)-L50</f>
        <v>0</v>
      </c>
      <c r="M53" s="1110">
        <f t="shared" ref="M53" si="155">(M51+M52)-M50</f>
        <v>0</v>
      </c>
      <c r="N53" s="1110">
        <f t="shared" ref="N53" si="156">(N51+N52)-N50</f>
        <v>0</v>
      </c>
      <c r="O53" s="1110">
        <f t="shared" ref="O53" si="157">(O51+O52)-O50</f>
        <v>0</v>
      </c>
      <c r="P53" s="1110">
        <f t="shared" ref="P53" si="158">(P51+P52)-P50</f>
        <v>0</v>
      </c>
      <c r="Q53" s="1110">
        <f t="shared" ref="Q53" si="159">(Q51+Q52)-Q50</f>
        <v>0</v>
      </c>
      <c r="R53" s="1110">
        <f t="shared" ref="R53" si="160">(R51+R52)-R50</f>
        <v>0</v>
      </c>
      <c r="S53" s="1110">
        <f t="shared" ref="S53" si="161">(S51+S52)-S50</f>
        <v>0</v>
      </c>
      <c r="T53" s="1220">
        <f>(SUM(S51+S52)-D50)</f>
        <v>0</v>
      </c>
      <c r="AB53" s="1468"/>
      <c r="AC53" s="2590"/>
    </row>
    <row r="54" spans="1:29">
      <c r="A54" s="2608"/>
      <c r="AB54" s="1468"/>
      <c r="AC54" s="2590"/>
    </row>
    <row r="55" spans="1:29">
      <c r="A55" s="2608"/>
      <c r="B55" s="2660" t="s">
        <v>1297</v>
      </c>
      <c r="AB55" s="1468"/>
      <c r="AC55" s="2590"/>
    </row>
    <row r="56" spans="1:29" ht="16" thickBot="1">
      <c r="A56" s="2608"/>
      <c r="B56" s="2660"/>
      <c r="AB56" s="1468"/>
      <c r="AC56" s="2590"/>
    </row>
    <row r="57" spans="1:29" ht="16.25" customHeight="1" thickBot="1">
      <c r="A57" s="2608"/>
      <c r="C57" s="2660"/>
      <c r="D57" s="3021" t="s">
        <v>1274</v>
      </c>
      <c r="E57" s="3021" t="s">
        <v>1352</v>
      </c>
      <c r="F57" s="3023" t="s">
        <v>1298</v>
      </c>
      <c r="G57" s="3024"/>
      <c r="H57" s="3024"/>
      <c r="I57" s="3024"/>
      <c r="J57" s="3024"/>
      <c r="K57" s="3024"/>
      <c r="L57" s="3024"/>
      <c r="M57" s="3024"/>
      <c r="N57" s="3024"/>
      <c r="O57" s="3024"/>
      <c r="P57" s="3024"/>
      <c r="Q57" s="3025"/>
      <c r="R57" s="2667" t="s">
        <v>78</v>
      </c>
      <c r="S57" s="2668" t="s">
        <v>78</v>
      </c>
      <c r="AB57" s="1468"/>
      <c r="AC57" s="2590"/>
    </row>
    <row r="58" spans="1:29" ht="31.5" thickBot="1">
      <c r="A58" s="2608"/>
      <c r="B58" s="2677" t="s">
        <v>1299</v>
      </c>
      <c r="C58" s="2678" t="s">
        <v>1300</v>
      </c>
      <c r="D58" s="3022"/>
      <c r="E58" s="3022"/>
      <c r="F58" s="2669" t="s">
        <v>88</v>
      </c>
      <c r="G58" s="2669" t="s">
        <v>1301</v>
      </c>
      <c r="H58" s="2669" t="s">
        <v>175</v>
      </c>
      <c r="I58" s="2669" t="s">
        <v>176</v>
      </c>
      <c r="J58" s="2669" t="s">
        <v>1277</v>
      </c>
      <c r="K58" s="2669" t="s">
        <v>1278</v>
      </c>
      <c r="L58" s="2669" t="s">
        <v>1279</v>
      </c>
      <c r="M58" s="2669" t="s">
        <v>1280</v>
      </c>
      <c r="N58" s="2669" t="s">
        <v>1281</v>
      </c>
      <c r="O58" s="2669" t="s">
        <v>1282</v>
      </c>
      <c r="P58" s="2669" t="s">
        <v>1283</v>
      </c>
      <c r="Q58" s="2669" t="s">
        <v>1284</v>
      </c>
      <c r="R58" s="2670" t="s">
        <v>38</v>
      </c>
      <c r="S58" s="2671" t="s">
        <v>155</v>
      </c>
      <c r="AB58" s="1468"/>
      <c r="AC58" s="2590"/>
    </row>
    <row r="59" spans="1:29">
      <c r="A59" s="2608">
        <f>B59</f>
        <v>0</v>
      </c>
      <c r="B59" s="2687"/>
      <c r="C59" s="2690"/>
      <c r="D59" s="2698"/>
      <c r="E59" s="2698"/>
      <c r="F59" s="2694"/>
      <c r="G59" s="2694"/>
      <c r="H59" s="2694"/>
      <c r="I59" s="2694"/>
      <c r="J59" s="2694"/>
      <c r="K59" s="2694"/>
      <c r="L59" s="2694"/>
      <c r="M59" s="2694"/>
      <c r="N59" s="2694"/>
      <c r="O59" s="2694"/>
      <c r="P59" s="2694"/>
      <c r="Q59" s="2694"/>
      <c r="R59" s="2516">
        <f>SUMPRODUCT($F$2:$Q$2,F59:Q59)</f>
        <v>0</v>
      </c>
      <c r="S59" s="1692">
        <f t="shared" ref="S59:S65" si="162">SUM(F59:Q59)</f>
        <v>0</v>
      </c>
      <c r="AB59" s="1468"/>
      <c r="AC59" s="2590"/>
    </row>
    <row r="60" spans="1:29">
      <c r="A60" s="2608">
        <f t="shared" ref="A60:A65" si="163">B60</f>
        <v>0</v>
      </c>
      <c r="B60" s="2688"/>
      <c r="C60" s="2691"/>
      <c r="D60" s="2699"/>
      <c r="E60" s="2699"/>
      <c r="F60" s="2693"/>
      <c r="G60" s="2693"/>
      <c r="H60" s="2693"/>
      <c r="I60" s="2693"/>
      <c r="J60" s="2693"/>
      <c r="K60" s="2693"/>
      <c r="L60" s="2693"/>
      <c r="M60" s="2693"/>
      <c r="N60" s="2693"/>
      <c r="O60" s="2693"/>
      <c r="P60" s="2693"/>
      <c r="Q60" s="2693"/>
      <c r="R60" s="1339">
        <f t="shared" ref="R60:R65" si="164">SUMPRODUCT($F$2:$Q$2,F60:Q60)</f>
        <v>0</v>
      </c>
      <c r="S60" s="2672">
        <f t="shared" si="162"/>
        <v>0</v>
      </c>
      <c r="AB60" s="1468"/>
      <c r="AC60" s="2590"/>
    </row>
    <row r="61" spans="1:29">
      <c r="A61" s="2608">
        <f t="shared" si="163"/>
        <v>0</v>
      </c>
      <c r="B61" s="2688"/>
      <c r="C61" s="2691"/>
      <c r="D61" s="2699"/>
      <c r="E61" s="2699"/>
      <c r="F61" s="2693"/>
      <c r="G61" s="2693"/>
      <c r="H61" s="2693"/>
      <c r="I61" s="2693"/>
      <c r="J61" s="2693"/>
      <c r="K61" s="2693"/>
      <c r="L61" s="2693"/>
      <c r="M61" s="2693"/>
      <c r="N61" s="2693"/>
      <c r="O61" s="2693"/>
      <c r="P61" s="2693"/>
      <c r="Q61" s="2693"/>
      <c r="R61" s="1339">
        <f t="shared" si="164"/>
        <v>0</v>
      </c>
      <c r="S61" s="2672">
        <f t="shared" si="162"/>
        <v>0</v>
      </c>
      <c r="AB61" s="1468"/>
      <c r="AC61" s="2590"/>
    </row>
    <row r="62" spans="1:29">
      <c r="A62" s="2608">
        <f t="shared" si="163"/>
        <v>0</v>
      </c>
      <c r="B62" s="2688"/>
      <c r="C62" s="2691"/>
      <c r="D62" s="2699"/>
      <c r="E62" s="2699"/>
      <c r="F62" s="2693"/>
      <c r="G62" s="2693"/>
      <c r="H62" s="2693"/>
      <c r="I62" s="2693"/>
      <c r="J62" s="2693"/>
      <c r="K62" s="2693"/>
      <c r="L62" s="2693"/>
      <c r="M62" s="2693"/>
      <c r="N62" s="2693"/>
      <c r="O62" s="2693"/>
      <c r="P62" s="2693"/>
      <c r="Q62" s="2693"/>
      <c r="R62" s="1339">
        <f t="shared" si="164"/>
        <v>0</v>
      </c>
      <c r="S62" s="2672">
        <f t="shared" si="162"/>
        <v>0</v>
      </c>
      <c r="AB62" s="1468"/>
      <c r="AC62" s="2590"/>
    </row>
    <row r="63" spans="1:29">
      <c r="A63" s="2608">
        <f t="shared" si="163"/>
        <v>0</v>
      </c>
      <c r="B63" s="2688"/>
      <c r="C63" s="2691"/>
      <c r="D63" s="2699"/>
      <c r="E63" s="2699"/>
      <c r="F63" s="2693"/>
      <c r="G63" s="2693"/>
      <c r="H63" s="2693"/>
      <c r="I63" s="2693"/>
      <c r="J63" s="2693"/>
      <c r="K63" s="2693"/>
      <c r="L63" s="2693"/>
      <c r="M63" s="2693"/>
      <c r="N63" s="2693"/>
      <c r="O63" s="2693"/>
      <c r="P63" s="2693"/>
      <c r="Q63" s="2693"/>
      <c r="R63" s="1339">
        <f t="shared" si="164"/>
        <v>0</v>
      </c>
      <c r="S63" s="2672">
        <f t="shared" si="162"/>
        <v>0</v>
      </c>
      <c r="AB63" s="1468"/>
      <c r="AC63" s="2590"/>
    </row>
    <row r="64" spans="1:29">
      <c r="A64" s="2608">
        <f t="shared" si="163"/>
        <v>0</v>
      </c>
      <c r="B64" s="2688"/>
      <c r="C64" s="2691"/>
      <c r="D64" s="2699"/>
      <c r="E64" s="2699"/>
      <c r="F64" s="2693"/>
      <c r="G64" s="2693"/>
      <c r="H64" s="2693"/>
      <c r="I64" s="2693"/>
      <c r="J64" s="2693"/>
      <c r="K64" s="2693"/>
      <c r="L64" s="2693"/>
      <c r="M64" s="2693"/>
      <c r="N64" s="2693"/>
      <c r="O64" s="2693"/>
      <c r="P64" s="2693"/>
      <c r="Q64" s="2693"/>
      <c r="R64" s="1339">
        <f t="shared" si="164"/>
        <v>0</v>
      </c>
      <c r="S64" s="2672">
        <f t="shared" si="162"/>
        <v>0</v>
      </c>
      <c r="AB64" s="1468"/>
      <c r="AC64" s="2590"/>
    </row>
    <row r="65" spans="1:29" ht="16" thickBot="1">
      <c r="A65" s="2608">
        <f t="shared" si="163"/>
        <v>0</v>
      </c>
      <c r="B65" s="2689"/>
      <c r="C65" s="2692"/>
      <c r="D65" s="2700"/>
      <c r="E65" s="2700"/>
      <c r="F65" s="2701"/>
      <c r="G65" s="2701"/>
      <c r="H65" s="2701"/>
      <c r="I65" s="2701"/>
      <c r="J65" s="2701"/>
      <c r="K65" s="2701"/>
      <c r="L65" s="2701"/>
      <c r="M65" s="2701"/>
      <c r="N65" s="2701"/>
      <c r="O65" s="2701"/>
      <c r="P65" s="2701"/>
      <c r="Q65" s="2701"/>
      <c r="R65" s="1339">
        <f t="shared" si="164"/>
        <v>0</v>
      </c>
      <c r="S65" s="2672">
        <f t="shared" si="162"/>
        <v>0</v>
      </c>
      <c r="AB65" s="1468"/>
      <c r="AC65" s="2590"/>
    </row>
    <row r="66" spans="1:29" ht="16" thickBot="1">
      <c r="A66" s="2608" t="str">
        <f>B58&amp;"_"&amp;B66</f>
        <v>Urgent Emergency Care Allocations (Confirm in below text 'Allocated' or 'Anticipated')_Total</v>
      </c>
      <c r="B66" s="2675" t="s">
        <v>78</v>
      </c>
      <c r="C66" s="1110">
        <f t="shared" ref="C66:S66" si="165">SUM(C59:C65)</f>
        <v>0</v>
      </c>
      <c r="D66" s="1110">
        <f t="shared" ref="D66" si="166">SUM(D59:D65)</f>
        <v>0</v>
      </c>
      <c r="E66" s="1110">
        <f t="shared" si="165"/>
        <v>0</v>
      </c>
      <c r="F66" s="1110">
        <f t="shared" si="165"/>
        <v>0</v>
      </c>
      <c r="G66" s="1110">
        <f t="shared" si="165"/>
        <v>0</v>
      </c>
      <c r="H66" s="1110">
        <f t="shared" si="165"/>
        <v>0</v>
      </c>
      <c r="I66" s="1110">
        <f t="shared" si="165"/>
        <v>0</v>
      </c>
      <c r="J66" s="1110">
        <f t="shared" si="165"/>
        <v>0</v>
      </c>
      <c r="K66" s="1110">
        <f t="shared" si="165"/>
        <v>0</v>
      </c>
      <c r="L66" s="1110">
        <f t="shared" si="165"/>
        <v>0</v>
      </c>
      <c r="M66" s="1110">
        <f t="shared" si="165"/>
        <v>0</v>
      </c>
      <c r="N66" s="1110">
        <f t="shared" si="165"/>
        <v>0</v>
      </c>
      <c r="O66" s="1110">
        <f t="shared" si="165"/>
        <v>0</v>
      </c>
      <c r="P66" s="1110">
        <f t="shared" si="165"/>
        <v>0</v>
      </c>
      <c r="Q66" s="1110">
        <f t="shared" si="165"/>
        <v>0</v>
      </c>
      <c r="R66" s="1110">
        <f t="shared" si="165"/>
        <v>0</v>
      </c>
      <c r="S66" s="1101">
        <f t="shared" si="165"/>
        <v>0</v>
      </c>
      <c r="AB66" s="1468"/>
      <c r="AC66" s="2590"/>
    </row>
    <row r="67" spans="1:29" ht="16" thickBot="1">
      <c r="A67" s="2608"/>
    </row>
    <row r="68" spans="1:29" ht="31.5" thickBot="1">
      <c r="A68" s="2608"/>
      <c r="B68" s="2713" t="s">
        <v>1302</v>
      </c>
      <c r="C68" s="2711" t="s">
        <v>1300</v>
      </c>
    </row>
    <row r="69" spans="1:29">
      <c r="A69" s="2608">
        <f t="shared" ref="A69:A76" si="167">B69</f>
        <v>0</v>
      </c>
      <c r="B69" s="2682"/>
      <c r="C69" s="2708"/>
    </row>
    <row r="70" spans="1:29">
      <c r="A70" s="2608">
        <f t="shared" si="167"/>
        <v>0</v>
      </c>
      <c r="B70" s="2682"/>
      <c r="C70" s="2709"/>
    </row>
    <row r="71" spans="1:29">
      <c r="A71" s="2608">
        <f t="shared" si="167"/>
        <v>0</v>
      </c>
      <c r="B71" s="2682"/>
      <c r="C71" s="2709"/>
    </row>
    <row r="72" spans="1:29">
      <c r="A72" s="2608">
        <f t="shared" si="167"/>
        <v>0</v>
      </c>
      <c r="B72" s="2697"/>
      <c r="C72" s="2709"/>
    </row>
    <row r="73" spans="1:29">
      <c r="A73" s="2608">
        <f t="shared" si="167"/>
        <v>0</v>
      </c>
      <c r="B73" s="2682"/>
      <c r="C73" s="2709"/>
    </row>
    <row r="74" spans="1:29">
      <c r="A74" s="2608">
        <f t="shared" si="167"/>
        <v>0</v>
      </c>
      <c r="B74" s="2683"/>
      <c r="C74" s="2709"/>
    </row>
    <row r="75" spans="1:29">
      <c r="A75" s="2608">
        <f t="shared" si="167"/>
        <v>0</v>
      </c>
      <c r="B75" s="2683"/>
      <c r="C75" s="2709"/>
    </row>
    <row r="76" spans="1:29" ht="16" thickBot="1">
      <c r="A76" s="2608">
        <f t="shared" si="167"/>
        <v>0</v>
      </c>
      <c r="B76" s="2683"/>
      <c r="C76" s="2710"/>
    </row>
    <row r="77" spans="1:29" ht="16" thickBot="1">
      <c r="A77" s="2608" t="str">
        <f>B68&amp;"_"&amp;B77</f>
        <v>Mental Health (SIF) Allocations (Confirm in below text 'Allocated' or 'Anticipated')_Total</v>
      </c>
      <c r="B77" s="2676" t="s">
        <v>78</v>
      </c>
      <c r="C77" s="1101">
        <f>SUM(C69:C76)</f>
        <v>0</v>
      </c>
      <c r="D77" s="1468" t="str">
        <f>IF(C77-E34=0,"","check")</f>
        <v/>
      </c>
    </row>
    <row r="78" spans="1:29" ht="16" thickBot="1">
      <c r="A78" s="2608"/>
    </row>
    <row r="79" spans="1:29" ht="16" thickBot="1">
      <c r="A79" s="2608"/>
      <c r="B79" s="2674" t="s">
        <v>1303</v>
      </c>
      <c r="C79" s="2711" t="s">
        <v>1300</v>
      </c>
    </row>
    <row r="80" spans="1:29">
      <c r="A80" s="2608">
        <f t="shared" ref="A80:A87" si="168">B80</f>
        <v>0</v>
      </c>
      <c r="B80" s="2684"/>
      <c r="C80" s="2708"/>
    </row>
    <row r="81" spans="1:4">
      <c r="A81" s="2608">
        <f t="shared" si="168"/>
        <v>0</v>
      </c>
      <c r="B81" s="2684"/>
      <c r="C81" s="2709"/>
    </row>
    <row r="82" spans="1:4">
      <c r="A82" s="2608">
        <f t="shared" si="168"/>
        <v>0</v>
      </c>
      <c r="B82" s="2684"/>
      <c r="C82" s="2709"/>
    </row>
    <row r="83" spans="1:4">
      <c r="A83" s="2608">
        <f t="shared" si="168"/>
        <v>0</v>
      </c>
      <c r="B83" s="2707"/>
      <c r="C83" s="2709"/>
    </row>
    <row r="84" spans="1:4">
      <c r="A84" s="2608">
        <f t="shared" si="168"/>
        <v>0</v>
      </c>
      <c r="B84" s="2685"/>
      <c r="C84" s="2709"/>
    </row>
    <row r="85" spans="1:4">
      <c r="A85" s="2608">
        <f t="shared" si="168"/>
        <v>0</v>
      </c>
      <c r="B85" s="2685"/>
      <c r="C85" s="2709"/>
    </row>
    <row r="86" spans="1:4">
      <c r="A86" s="2608">
        <f t="shared" si="168"/>
        <v>0</v>
      </c>
      <c r="B86" s="2685"/>
      <c r="C86" s="2709"/>
    </row>
    <row r="87" spans="1:4" ht="16" thickBot="1">
      <c r="A87" s="2608">
        <f t="shared" si="168"/>
        <v>0</v>
      </c>
      <c r="B87" s="2686"/>
      <c r="C87" s="2710"/>
    </row>
    <row r="88" spans="1:4" ht="16" thickBot="1">
      <c r="A88" s="2608" t="str">
        <f>B79&amp;"_"&amp;B88</f>
        <v>Planned Care (Confirm in below text 'Allocated' or 'Anticipated')_Total</v>
      </c>
      <c r="B88" s="2676" t="s">
        <v>78</v>
      </c>
      <c r="C88" s="1101">
        <f>SUM(C80:C87)</f>
        <v>0</v>
      </c>
      <c r="D88" s="1468" t="str">
        <f>IF(C88-E38=0,"","check")</f>
        <v/>
      </c>
    </row>
    <row r="89" spans="1:4" ht="16" thickBot="1">
      <c r="A89" s="2608"/>
    </row>
    <row r="90" spans="1:4" ht="31.5" thickBot="1">
      <c r="A90" s="2608"/>
      <c r="B90" s="2713" t="s">
        <v>1389</v>
      </c>
      <c r="C90" s="2711" t="s">
        <v>1300</v>
      </c>
    </row>
    <row r="91" spans="1:4">
      <c r="A91" s="2608">
        <f t="shared" ref="A91:A97" si="169">B91</f>
        <v>0</v>
      </c>
      <c r="B91" s="2705"/>
      <c r="C91" s="2708"/>
    </row>
    <row r="92" spans="1:4">
      <c r="A92" s="2608">
        <f t="shared" si="169"/>
        <v>0</v>
      </c>
      <c r="B92" s="2684"/>
      <c r="C92" s="2709"/>
    </row>
    <row r="93" spans="1:4">
      <c r="A93" s="2608">
        <f t="shared" si="169"/>
        <v>0</v>
      </c>
      <c r="B93" s="2705"/>
      <c r="C93" s="2709"/>
    </row>
    <row r="94" spans="1:4">
      <c r="A94" s="2608">
        <f t="shared" si="169"/>
        <v>0</v>
      </c>
      <c r="B94" s="2686"/>
      <c r="C94" s="2709"/>
    </row>
    <row r="95" spans="1:4">
      <c r="A95" s="2608">
        <f t="shared" si="169"/>
        <v>0</v>
      </c>
      <c r="B95" s="2686"/>
      <c r="C95" s="2709"/>
    </row>
    <row r="96" spans="1:4">
      <c r="A96" s="2608">
        <f t="shared" si="169"/>
        <v>0</v>
      </c>
      <c r="B96" s="2686"/>
      <c r="C96" s="2709"/>
    </row>
    <row r="97" spans="1:4" ht="16" thickBot="1">
      <c r="A97" s="2608">
        <f t="shared" si="169"/>
        <v>0</v>
      </c>
      <c r="B97" s="2686"/>
      <c r="C97" s="2709"/>
    </row>
    <row r="98" spans="1:4" ht="16" thickBot="1">
      <c r="A98" s="2608" t="str">
        <f>B90&amp;"_"&amp;B98</f>
        <v>Value Based Health Care (Confirm in below text 'Allocated' or 'Anticipated')_Total</v>
      </c>
      <c r="B98" s="2676" t="s">
        <v>78</v>
      </c>
      <c r="C98" s="1101">
        <f>SUM(C91:C97)</f>
        <v>0</v>
      </c>
      <c r="D98" s="1468" t="str">
        <f>IF(C98-E42=0,"","check")</f>
        <v/>
      </c>
    </row>
    <row r="99" spans="1:4">
      <c r="A99" s="2608"/>
    </row>
    <row r="100" spans="1:4" ht="16" thickBot="1">
      <c r="A100" s="2608"/>
    </row>
    <row r="101" spans="1:4" ht="16" thickBot="1">
      <c r="A101" s="2608"/>
      <c r="B101" s="2674" t="s">
        <v>1304</v>
      </c>
      <c r="C101" s="2711" t="s">
        <v>1300</v>
      </c>
    </row>
    <row r="102" spans="1:4">
      <c r="A102" s="2608">
        <f t="shared" ref="A102:A108" si="170">B102</f>
        <v>0</v>
      </c>
      <c r="B102" s="2684"/>
      <c r="C102" s="2708"/>
    </row>
    <row r="103" spans="1:4">
      <c r="A103" s="2608">
        <f t="shared" si="170"/>
        <v>0</v>
      </c>
      <c r="B103" s="2684"/>
      <c r="C103" s="2709"/>
    </row>
    <row r="104" spans="1:4">
      <c r="A104" s="2608">
        <f t="shared" si="170"/>
        <v>0</v>
      </c>
      <c r="B104" s="2684"/>
      <c r="C104" s="2709"/>
    </row>
    <row r="105" spans="1:4">
      <c r="A105" s="2608">
        <f t="shared" si="170"/>
        <v>0</v>
      </c>
      <c r="B105" s="2706"/>
      <c r="C105" s="2709"/>
    </row>
    <row r="106" spans="1:4">
      <c r="A106" s="2608">
        <f t="shared" si="170"/>
        <v>0</v>
      </c>
      <c r="B106" s="2686"/>
      <c r="C106" s="2709"/>
    </row>
    <row r="107" spans="1:4">
      <c r="A107" s="2608">
        <f t="shared" si="170"/>
        <v>0</v>
      </c>
      <c r="B107" s="2686"/>
      <c r="C107" s="2709"/>
    </row>
    <row r="108" spans="1:4" ht="16" thickBot="1">
      <c r="A108" s="2608">
        <f t="shared" si="170"/>
        <v>0</v>
      </c>
      <c r="B108" s="2686"/>
      <c r="C108" s="2709"/>
    </row>
    <row r="109" spans="1:4" ht="16" thickBot="1">
      <c r="A109" s="2608" t="str">
        <f>B101&amp;"_"&amp;B109</f>
        <v>Recovery (Confirm in below text 'Allocated' or 'Anticipated')_Total</v>
      </c>
      <c r="B109" s="2676" t="s">
        <v>78</v>
      </c>
      <c r="C109" s="1101">
        <f>SUM(C102:C108)</f>
        <v>0</v>
      </c>
      <c r="D109" s="1468" t="str">
        <f>IF(C109-E46=0,"","check")</f>
        <v/>
      </c>
    </row>
    <row r="110" spans="1:4">
      <c r="A110" s="2608"/>
    </row>
    <row r="111" spans="1:4" ht="16" thickBot="1">
      <c r="A111" s="2608"/>
    </row>
    <row r="112" spans="1:4" ht="16" thickBot="1">
      <c r="A112" s="2608"/>
      <c r="B112" s="2674" t="s">
        <v>1305</v>
      </c>
      <c r="C112" s="2711" t="s">
        <v>1300</v>
      </c>
    </row>
    <row r="113" spans="1:4">
      <c r="A113" s="2608">
        <f t="shared" ref="A113:A119" si="171">B113</f>
        <v>0</v>
      </c>
      <c r="B113" s="2684"/>
      <c r="C113" s="2708"/>
    </row>
    <row r="114" spans="1:4">
      <c r="A114" s="2608">
        <f t="shared" si="171"/>
        <v>0</v>
      </c>
      <c r="B114" s="2684"/>
      <c r="C114" s="2709"/>
    </row>
    <row r="115" spans="1:4">
      <c r="A115" s="2608">
        <f t="shared" si="171"/>
        <v>0</v>
      </c>
      <c r="B115" s="2684"/>
      <c r="C115" s="2709"/>
    </row>
    <row r="116" spans="1:4">
      <c r="A116" s="2608">
        <f t="shared" si="171"/>
        <v>0</v>
      </c>
      <c r="B116" s="2706"/>
      <c r="C116" s="2709"/>
    </row>
    <row r="117" spans="1:4">
      <c r="A117" s="2608">
        <f t="shared" si="171"/>
        <v>0</v>
      </c>
      <c r="B117" s="2686"/>
      <c r="C117" s="2709"/>
    </row>
    <row r="118" spans="1:4">
      <c r="A118" s="2608">
        <f t="shared" si="171"/>
        <v>0</v>
      </c>
      <c r="B118" s="2686"/>
      <c r="C118" s="2709"/>
    </row>
    <row r="119" spans="1:4" ht="16" thickBot="1">
      <c r="A119" s="2608">
        <f t="shared" si="171"/>
        <v>0</v>
      </c>
      <c r="B119" s="2686"/>
      <c r="C119" s="2709"/>
    </row>
    <row r="120" spans="1:4" ht="16" thickBot="1">
      <c r="A120" s="2608" t="str">
        <f>B112&amp;"_"&amp;B120</f>
        <v>Spare (Confirm in below text 'Allocated' or 'Anticipated')_Total</v>
      </c>
      <c r="B120" s="2676" t="s">
        <v>78</v>
      </c>
      <c r="C120" s="1101">
        <f>SUM(C113:C119)</f>
        <v>0</v>
      </c>
      <c r="D120" s="1468"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921875" defaultRowHeight="15.5"/>
  <cols>
    <col min="1" max="1" width="3.15234375" style="1681" customWidth="1"/>
    <col min="2" max="2" width="99.61328125" customWidth="1"/>
    <col min="20" max="20" width="100.07421875" customWidth="1"/>
    <col min="21" max="21" width="71.15234375" customWidth="1"/>
  </cols>
  <sheetData>
    <row r="1" spans="1:37" ht="30">
      <c r="A1" s="84"/>
      <c r="B1" s="79" t="str">
        <f>Summary!A1</f>
        <v>Public Health Wales Trust</v>
      </c>
      <c r="C1" s="80"/>
      <c r="D1" s="80"/>
      <c r="E1" s="80"/>
      <c r="F1" s="80"/>
      <c r="G1" s="80"/>
      <c r="H1" s="80"/>
      <c r="I1" s="80"/>
      <c r="J1" s="80"/>
      <c r="K1" s="80"/>
      <c r="L1" s="80"/>
      <c r="M1" s="150" t="s">
        <v>51</v>
      </c>
      <c r="N1" s="955" t="str">
        <f>+Summary!H1</f>
        <v>Apr 23</v>
      </c>
      <c r="O1" s="80"/>
      <c r="P1" s="80"/>
      <c r="Q1" s="80"/>
      <c r="R1" s="80"/>
      <c r="S1" s="80"/>
      <c r="T1" s="254" t="s">
        <v>514</v>
      </c>
      <c r="U1" s="967"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7" t="s">
        <v>969</v>
      </c>
      <c r="J2" s="2477">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7" t="s">
        <v>968</v>
      </c>
      <c r="J3" s="2477">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7">
        <f t="shared" ref="V3:V14" si="0">IF(U3="Ok",0,1)</f>
        <v>0</v>
      </c>
      <c r="W3" s="80"/>
      <c r="X3" s="80"/>
      <c r="Y3" s="80"/>
      <c r="Z3" s="80"/>
      <c r="AA3" s="80"/>
      <c r="AB3" s="80"/>
      <c r="AC3" s="80"/>
      <c r="AD3" s="80"/>
      <c r="AE3" s="80"/>
      <c r="AF3" s="80"/>
      <c r="AG3" s="80"/>
      <c r="AH3" s="80"/>
      <c r="AI3" s="80"/>
      <c r="AJ3" s="80"/>
      <c r="AK3" s="80"/>
    </row>
    <row r="4" spans="1:37" ht="25">
      <c r="A4" s="84"/>
      <c r="B4" s="81"/>
      <c r="C4" s="844"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7">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1</v>
      </c>
      <c r="D5" s="324">
        <f>VLOOKUP(Summary!H1,Summary!V1:W12,2,FALSE)</f>
        <v>1</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7">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0</v>
      </c>
      <c r="E6" s="107">
        <f t="shared" si="1"/>
        <v>0</v>
      </c>
      <c r="F6" s="107">
        <f t="shared" si="1"/>
        <v>0</v>
      </c>
      <c r="G6" s="107">
        <f t="shared" si="1"/>
        <v>0</v>
      </c>
      <c r="H6" s="107">
        <f t="shared" si="1"/>
        <v>0</v>
      </c>
      <c r="I6" s="107">
        <f t="shared" si="1"/>
        <v>0</v>
      </c>
      <c r="J6" s="107">
        <f t="shared" si="1"/>
        <v>0</v>
      </c>
      <c r="K6" s="107">
        <f t="shared" si="1"/>
        <v>0</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7">
        <f t="shared" si="0"/>
        <v>0</v>
      </c>
      <c r="W6" s="80"/>
      <c r="X6" s="80"/>
      <c r="Y6" s="80"/>
      <c r="Z6" s="80"/>
      <c r="AA6" s="80"/>
      <c r="AB6" s="80"/>
      <c r="AC6" s="80"/>
      <c r="AD6" s="80"/>
      <c r="AE6" s="80"/>
      <c r="AF6" s="80"/>
      <c r="AG6" s="80"/>
      <c r="AH6" s="80"/>
      <c r="AI6" s="80"/>
      <c r="AJ6" s="80"/>
      <c r="AK6" s="80"/>
    </row>
    <row r="7" spans="1:37" ht="16" thickBot="1">
      <c r="A7" s="84"/>
      <c r="B7" s="1209"/>
      <c r="C7" s="1221">
        <v>1</v>
      </c>
      <c r="D7" s="1222">
        <v>2</v>
      </c>
      <c r="E7" s="1222">
        <v>3</v>
      </c>
      <c r="F7" s="1222">
        <v>4</v>
      </c>
      <c r="G7" s="1222">
        <v>5</v>
      </c>
      <c r="H7" s="1222">
        <v>6</v>
      </c>
      <c r="I7" s="1222">
        <v>7</v>
      </c>
      <c r="J7" s="1222">
        <v>8</v>
      </c>
      <c r="K7" s="1222">
        <v>9</v>
      </c>
      <c r="L7" s="1222">
        <v>10</v>
      </c>
      <c r="M7" s="1222">
        <v>11</v>
      </c>
      <c r="N7" s="1223">
        <v>12</v>
      </c>
      <c r="O7" s="1210"/>
      <c r="P7" s="1211"/>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7">
        <f t="shared" si="0"/>
        <v>0</v>
      </c>
      <c r="W7" s="80"/>
      <c r="X7" s="80"/>
      <c r="Y7" s="80"/>
      <c r="Z7" s="80"/>
      <c r="AA7" s="80"/>
      <c r="AB7" s="80"/>
      <c r="AC7" s="80"/>
      <c r="AD7" s="80"/>
      <c r="AE7" s="80"/>
      <c r="AF7" s="80"/>
      <c r="AG7" s="80"/>
      <c r="AH7" s="80"/>
      <c r="AI7" s="80"/>
      <c r="AJ7" s="80"/>
      <c r="AK7" s="80"/>
    </row>
    <row r="8" spans="1:37" ht="39">
      <c r="A8" s="84"/>
      <c r="B8" s="1212" t="s">
        <v>492</v>
      </c>
      <c r="C8" s="1224" t="s">
        <v>181</v>
      </c>
      <c r="D8" s="1225" t="s">
        <v>89</v>
      </c>
      <c r="E8" s="1225" t="s">
        <v>90</v>
      </c>
      <c r="F8" s="1225" t="s">
        <v>91</v>
      </c>
      <c r="G8" s="1225" t="s">
        <v>92</v>
      </c>
      <c r="H8" s="1225" t="s">
        <v>93</v>
      </c>
      <c r="I8" s="1225" t="s">
        <v>94</v>
      </c>
      <c r="J8" s="1225" t="s">
        <v>95</v>
      </c>
      <c r="K8" s="1225" t="s">
        <v>96</v>
      </c>
      <c r="L8" s="1225" t="s">
        <v>97</v>
      </c>
      <c r="M8" s="1225" t="s">
        <v>98</v>
      </c>
      <c r="N8" s="1226" t="s">
        <v>99</v>
      </c>
      <c r="O8" s="1227" t="s">
        <v>493</v>
      </c>
      <c r="P8" s="1227"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7">
        <f t="shared" si="0"/>
        <v>0</v>
      </c>
      <c r="W8" s="80"/>
      <c r="X8" s="80"/>
      <c r="Y8" s="80"/>
      <c r="Z8" s="80"/>
      <c r="AA8" s="80"/>
      <c r="AB8" s="80"/>
      <c r="AC8" s="80"/>
      <c r="AD8" s="80"/>
      <c r="AE8" s="80"/>
      <c r="AF8" s="80"/>
      <c r="AG8" s="80"/>
      <c r="AH8" s="80"/>
      <c r="AI8" s="80"/>
      <c r="AJ8" s="80"/>
      <c r="AK8" s="80"/>
    </row>
    <row r="9" spans="1:37" ht="16" thickBot="1">
      <c r="A9" s="84"/>
      <c r="B9" s="1212"/>
      <c r="C9" s="1228" t="s">
        <v>50</v>
      </c>
      <c r="D9" s="1229" t="s">
        <v>50</v>
      </c>
      <c r="E9" s="1229" t="s">
        <v>50</v>
      </c>
      <c r="F9" s="1229" t="s">
        <v>50</v>
      </c>
      <c r="G9" s="1229" t="s">
        <v>50</v>
      </c>
      <c r="H9" s="1229" t="s">
        <v>50</v>
      </c>
      <c r="I9" s="1229" t="s">
        <v>50</v>
      </c>
      <c r="J9" s="1229" t="s">
        <v>50</v>
      </c>
      <c r="K9" s="1229" t="s">
        <v>50</v>
      </c>
      <c r="L9" s="1229" t="s">
        <v>50</v>
      </c>
      <c r="M9" s="1229" t="s">
        <v>50</v>
      </c>
      <c r="N9" s="1230" t="s">
        <v>50</v>
      </c>
      <c r="O9" s="1301" t="s">
        <v>50</v>
      </c>
      <c r="P9" s="1301"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7">
        <f t="shared" si="0"/>
        <v>0</v>
      </c>
      <c r="W9" s="80"/>
      <c r="X9" s="80"/>
      <c r="Y9" s="80"/>
      <c r="Z9" s="80"/>
      <c r="AA9" s="80"/>
      <c r="AB9" s="80"/>
      <c r="AC9" s="80"/>
      <c r="AD9" s="80"/>
      <c r="AE9" s="80"/>
      <c r="AF9" s="80"/>
      <c r="AG9" s="80"/>
      <c r="AH9" s="80"/>
      <c r="AI9" s="80"/>
      <c r="AJ9" s="80"/>
      <c r="AK9" s="80"/>
    </row>
    <row r="10" spans="1:37">
      <c r="A10" s="86">
        <f>A9+1</f>
        <v>1</v>
      </c>
      <c r="B10" s="2520" t="s">
        <v>1152</v>
      </c>
      <c r="C10" s="963"/>
      <c r="D10" s="984"/>
      <c r="E10" s="984"/>
      <c r="F10" s="984"/>
      <c r="G10" s="984"/>
      <c r="H10" s="984"/>
      <c r="I10" s="984"/>
      <c r="J10" s="984"/>
      <c r="K10" s="984"/>
      <c r="L10" s="984"/>
      <c r="M10" s="984"/>
      <c r="N10" s="1065"/>
      <c r="O10" s="1683">
        <f>SUMPRODUCT($C$6:$N$6,C10:N10)</f>
        <v>0</v>
      </c>
      <c r="P10" s="1058">
        <f>SUM(C10:N10)</f>
        <v>0</v>
      </c>
      <c r="Q10" s="80"/>
      <c r="R10" s="80"/>
      <c r="S10" s="80"/>
      <c r="T10" s="258" t="s">
        <v>1133</v>
      </c>
      <c r="U10" s="165" t="str">
        <f>IF($J$3&gt;VLOOKUP(Summary!$H$1,Summary!$V$1:$W$12,2,0),"Ok",IF(SUM(C247:P247)&lt;1,"Ok","Please check profile and Total of Planning Assumptions Still to be finalised at Month 1"))</f>
        <v>Ok</v>
      </c>
      <c r="V10" s="1257">
        <f t="shared" si="0"/>
        <v>0</v>
      </c>
      <c r="W10" s="80"/>
      <c r="X10" s="80"/>
      <c r="Y10" s="80"/>
      <c r="Z10" s="80"/>
      <c r="AA10" s="80"/>
      <c r="AB10" s="80"/>
      <c r="AC10" s="80"/>
      <c r="AD10" s="80"/>
      <c r="AE10" s="80"/>
      <c r="AF10" s="80"/>
      <c r="AG10" s="80"/>
      <c r="AH10" s="80"/>
      <c r="AI10" s="80"/>
      <c r="AJ10" s="80"/>
      <c r="AK10" s="80"/>
    </row>
    <row r="11" spans="1:37">
      <c r="A11" s="890">
        <f>A10+1</f>
        <v>2</v>
      </c>
      <c r="B11" s="2514" t="s">
        <v>1153</v>
      </c>
      <c r="C11" s="891"/>
      <c r="D11" s="892"/>
      <c r="E11" s="892"/>
      <c r="F11" s="892"/>
      <c r="G11" s="892"/>
      <c r="H11" s="892"/>
      <c r="I11" s="892"/>
      <c r="J11" s="892"/>
      <c r="K11" s="892"/>
      <c r="L11" s="892"/>
      <c r="M11" s="892"/>
      <c r="N11" s="1066"/>
      <c r="O11" s="1233">
        <f>SUMPRODUCT($C$6:$N$6,C11:N11)</f>
        <v>0</v>
      </c>
      <c r="P11" s="1215">
        <f>SUM(C11:N11)</f>
        <v>0</v>
      </c>
      <c r="Q11" s="80"/>
      <c r="R11" s="80"/>
      <c r="S11" s="80"/>
      <c r="T11" s="258" t="s">
        <v>1101</v>
      </c>
      <c r="U11" s="165" t="str">
        <f>IF($J$3&gt;VLOOKUP(Summary!$H$1,Summary!$V$1:$W$12,2,0),"Ok",IF(SUM(C248:P248)&lt;1,"Ok","Please check profile and Total of Savings Non Delivery due to C-19"))</f>
        <v>Ok</v>
      </c>
      <c r="V11" s="1257">
        <f t="shared" si="0"/>
        <v>0</v>
      </c>
      <c r="W11" s="80"/>
      <c r="X11" s="80"/>
      <c r="Y11" s="80"/>
      <c r="Z11" s="80"/>
      <c r="AA11" s="80"/>
      <c r="AB11" s="80"/>
      <c r="AC11" s="80"/>
      <c r="AD11" s="80"/>
      <c r="AE11" s="80"/>
      <c r="AF11" s="80"/>
      <c r="AG11" s="80"/>
      <c r="AH11" s="80"/>
      <c r="AI11" s="80"/>
      <c r="AJ11" s="80"/>
      <c r="AK11" s="80"/>
    </row>
    <row r="12" spans="1:37" ht="16" thickBot="1">
      <c r="A12" s="88">
        <f>A11+1</f>
        <v>3</v>
      </c>
      <c r="B12" s="2521" t="str">
        <f>""&amp;'A - Movement'!$B$23&amp;" Allocated to Pay - (ENTER AS NEGATIVE)"</f>
        <v>Planning Assumptions still to be finalised at Month 1 Allocated to Pay - (ENTER AS NEGATIVE)</v>
      </c>
      <c r="C12" s="2522"/>
      <c r="D12" s="2512"/>
      <c r="E12" s="2512"/>
      <c r="F12" s="2512"/>
      <c r="G12" s="2512"/>
      <c r="H12" s="2512"/>
      <c r="I12" s="2512"/>
      <c r="J12" s="2512"/>
      <c r="K12" s="2512"/>
      <c r="L12" s="2512"/>
      <c r="M12" s="2512"/>
      <c r="N12" s="2523"/>
      <c r="O12" s="1233">
        <f>SUMPRODUCT($C$6:$N$6,C12:N12)</f>
        <v>0</v>
      </c>
      <c r="P12" s="1215">
        <f>SUM(C12:N12)</f>
        <v>0</v>
      </c>
      <c r="Q12" s="80"/>
      <c r="R12" s="80"/>
      <c r="S12" s="80"/>
      <c r="T12" s="258" t="s">
        <v>1102</v>
      </c>
      <c r="U12" s="165" t="str">
        <f>IF($J$3&gt;VLOOKUP(Summary!$H$1,Summary!$V$1:$W$12,2,0),"Ok",IF(SUM(C249:P249)&lt;1,"Ok","Please check profile and Total of Operational Pay Expenditure Cost Reduction Due To C19"))</f>
        <v>Ok</v>
      </c>
      <c r="V12" s="1257">
        <f t="shared" si="0"/>
        <v>0</v>
      </c>
      <c r="W12" s="80"/>
      <c r="X12" s="80"/>
      <c r="Y12" s="80"/>
      <c r="Z12" s="80"/>
      <c r="AA12" s="80"/>
      <c r="AB12" s="80"/>
      <c r="AC12" s="80"/>
      <c r="AD12" s="80"/>
      <c r="AE12" s="80"/>
      <c r="AF12" s="80"/>
      <c r="AG12" s="80"/>
      <c r="AH12" s="80"/>
      <c r="AI12" s="80"/>
      <c r="AJ12" s="80"/>
      <c r="AK12" s="80"/>
    </row>
    <row r="13" spans="1:37" ht="16" thickBot="1">
      <c r="A13" s="144">
        <f>A12+1</f>
        <v>4</v>
      </c>
      <c r="B13" s="1259" t="s">
        <v>1154</v>
      </c>
      <c r="C13" s="1686">
        <f>SUM(C10:C12)</f>
        <v>0</v>
      </c>
      <c r="D13" s="1234">
        <f t="shared" ref="D13:P13" si="2">SUM(D10:D12)</f>
        <v>0</v>
      </c>
      <c r="E13" s="1234">
        <f t="shared" si="2"/>
        <v>0</v>
      </c>
      <c r="F13" s="1234">
        <f t="shared" si="2"/>
        <v>0</v>
      </c>
      <c r="G13" s="1234">
        <f t="shared" si="2"/>
        <v>0</v>
      </c>
      <c r="H13" s="1234">
        <f t="shared" si="2"/>
        <v>0</v>
      </c>
      <c r="I13" s="1234">
        <f t="shared" si="2"/>
        <v>0</v>
      </c>
      <c r="J13" s="1234">
        <f t="shared" si="2"/>
        <v>0</v>
      </c>
      <c r="K13" s="1234">
        <f t="shared" si="2"/>
        <v>0</v>
      </c>
      <c r="L13" s="1234">
        <f t="shared" si="2"/>
        <v>0</v>
      </c>
      <c r="M13" s="1234">
        <f t="shared" si="2"/>
        <v>0</v>
      </c>
      <c r="N13" s="2518">
        <f t="shared" si="2"/>
        <v>0</v>
      </c>
      <c r="O13" s="1101">
        <f t="shared" si="2"/>
        <v>0</v>
      </c>
      <c r="P13" s="1232">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7">
        <f t="shared" si="0"/>
        <v>0</v>
      </c>
      <c r="W13" s="80"/>
      <c r="X13" s="80"/>
      <c r="Y13" s="80"/>
      <c r="Z13" s="80"/>
      <c r="AA13" s="80"/>
      <c r="AB13" s="80"/>
      <c r="AC13" s="80"/>
      <c r="AD13" s="80"/>
      <c r="AE13" s="80"/>
      <c r="AF13" s="80"/>
      <c r="AG13" s="80"/>
      <c r="AH13" s="80"/>
      <c r="AI13" s="80"/>
      <c r="AJ13" s="80"/>
      <c r="AK13" s="80"/>
    </row>
    <row r="14" spans="1:37">
      <c r="A14" s="890">
        <f>A13+1</f>
        <v>5</v>
      </c>
      <c r="B14" s="1260" t="s">
        <v>1060</v>
      </c>
      <c r="C14" s="1214"/>
      <c r="D14" s="964"/>
      <c r="E14" s="964"/>
      <c r="F14" s="964"/>
      <c r="G14" s="964"/>
      <c r="H14" s="964"/>
      <c r="I14" s="964"/>
      <c r="J14" s="964"/>
      <c r="K14" s="964"/>
      <c r="L14" s="964"/>
      <c r="M14" s="964"/>
      <c r="N14" s="964"/>
      <c r="O14" s="1215">
        <f>SUMPRODUCT($C$6:$N$6,C14:N14)</f>
        <v>0</v>
      </c>
      <c r="P14" s="1215">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7">
        <f t="shared" si="0"/>
        <v>0</v>
      </c>
      <c r="W14" s="80"/>
      <c r="X14" s="80"/>
      <c r="Y14" s="80"/>
      <c r="Z14" s="80"/>
      <c r="AA14" s="80"/>
      <c r="AB14" s="80"/>
      <c r="AC14" s="80"/>
      <c r="AD14" s="80"/>
      <c r="AE14" s="80"/>
      <c r="AF14" s="80"/>
      <c r="AG14" s="80"/>
      <c r="AH14" s="80"/>
      <c r="AI14" s="80"/>
      <c r="AJ14" s="80"/>
      <c r="AK14" s="80"/>
    </row>
    <row r="15" spans="1:37">
      <c r="A15" s="88">
        <f t="shared" ref="A15:A26" si="3">A14+1</f>
        <v>6</v>
      </c>
      <c r="B15" s="1275" t="s">
        <v>1076</v>
      </c>
      <c r="C15" s="2524" t="e">
        <f>'B3 - COVID-19'!C19+'B3 - COVID-19'!#REF!+'B3 - COVID-19'!C62+'B3 - COVID-19'!#REF!+'B3 - COVID-19'!#REF!+'B3 - COVID-19'!#REF!+'B3 - COVID-19'!C109</f>
        <v>#REF!</v>
      </c>
      <c r="D15" s="1289" t="e">
        <f>'B3 - COVID-19'!D19+'B3 - COVID-19'!#REF!+'B3 - COVID-19'!D62+'B3 - COVID-19'!#REF!+'B3 - COVID-19'!#REF!+'B3 - COVID-19'!#REF!+'B3 - COVID-19'!D109</f>
        <v>#REF!</v>
      </c>
      <c r="E15" s="1289" t="e">
        <f>'B3 - COVID-19'!E19+'B3 - COVID-19'!#REF!+'B3 - COVID-19'!E62+'B3 - COVID-19'!#REF!+'B3 - COVID-19'!#REF!+'B3 - COVID-19'!#REF!+'B3 - COVID-19'!E109</f>
        <v>#REF!</v>
      </c>
      <c r="F15" s="1289" t="e">
        <f>'B3 - COVID-19'!F19+'B3 - COVID-19'!#REF!+'B3 - COVID-19'!F62+'B3 - COVID-19'!#REF!+'B3 - COVID-19'!#REF!+'B3 - COVID-19'!#REF!+'B3 - COVID-19'!F109</f>
        <v>#REF!</v>
      </c>
      <c r="G15" s="1289" t="e">
        <f>'B3 - COVID-19'!G19+'B3 - COVID-19'!#REF!+'B3 - COVID-19'!G62+'B3 - COVID-19'!#REF!+'B3 - COVID-19'!#REF!+'B3 - COVID-19'!#REF!+'B3 - COVID-19'!G109</f>
        <v>#REF!</v>
      </c>
      <c r="H15" s="1289" t="e">
        <f>'B3 - COVID-19'!H19+'B3 - COVID-19'!#REF!+'B3 - COVID-19'!H62+'B3 - COVID-19'!#REF!+'B3 - COVID-19'!#REF!+'B3 - COVID-19'!#REF!+'B3 - COVID-19'!H109</f>
        <v>#REF!</v>
      </c>
      <c r="I15" s="1289" t="e">
        <f>'B3 - COVID-19'!I19+'B3 - COVID-19'!#REF!+'B3 - COVID-19'!I62+'B3 - COVID-19'!#REF!+'B3 - COVID-19'!#REF!+'B3 - COVID-19'!#REF!+'B3 - COVID-19'!I109</f>
        <v>#REF!</v>
      </c>
      <c r="J15" s="1289" t="e">
        <f>'B3 - COVID-19'!J19+'B3 - COVID-19'!#REF!+'B3 - COVID-19'!J62+'B3 - COVID-19'!#REF!+'B3 - COVID-19'!#REF!+'B3 - COVID-19'!#REF!+'B3 - COVID-19'!J109</f>
        <v>#REF!</v>
      </c>
      <c r="K15" s="1289" t="e">
        <f>'B3 - COVID-19'!K19+'B3 - COVID-19'!#REF!+'B3 - COVID-19'!K62+'B3 - COVID-19'!#REF!+'B3 - COVID-19'!#REF!+'B3 - COVID-19'!#REF!+'B3 - COVID-19'!K109</f>
        <v>#REF!</v>
      </c>
      <c r="L15" s="1289" t="e">
        <f>'B3 - COVID-19'!L19+'B3 - COVID-19'!#REF!+'B3 - COVID-19'!L62+'B3 - COVID-19'!#REF!+'B3 - COVID-19'!#REF!+'B3 - COVID-19'!#REF!+'B3 - COVID-19'!L109</f>
        <v>#REF!</v>
      </c>
      <c r="M15" s="1289" t="e">
        <f>'B3 - COVID-19'!M19+'B3 - COVID-19'!#REF!+'B3 - COVID-19'!M62+'B3 - COVID-19'!#REF!+'B3 - COVID-19'!#REF!+'B3 - COVID-19'!#REF!+'B3 - COVID-19'!M109</f>
        <v>#REF!</v>
      </c>
      <c r="N15" s="1289" t="e">
        <f>'B3 - COVID-19'!N19+'B3 - COVID-19'!#REF!+'B3 - COVID-19'!N62+'B3 - COVID-19'!#REF!+'B3 - COVID-19'!#REF!+'B3 - COVID-19'!#REF!+'B3 - COVID-19'!N109</f>
        <v>#REF!</v>
      </c>
      <c r="O15" s="1215" t="e">
        <f>SUMPRODUCT($C$6:$N$6,C15:N15)</f>
        <v>#REF!</v>
      </c>
      <c r="P15" s="1215" t="e">
        <f>SUM(C15:N15)</f>
        <v>#REF!</v>
      </c>
      <c r="Q15" s="80"/>
      <c r="R15" s="80"/>
      <c r="S15" s="80"/>
      <c r="T15" s="80"/>
      <c r="U15" s="80"/>
      <c r="V15" s="1257">
        <f>SUM(V3:V14)</f>
        <v>0</v>
      </c>
      <c r="W15" s="80"/>
      <c r="X15" s="80"/>
      <c r="Y15" s="80"/>
      <c r="Z15" s="80"/>
      <c r="AA15" s="80"/>
      <c r="AB15" s="80"/>
      <c r="AC15" s="80"/>
      <c r="AD15" s="80"/>
      <c r="AE15" s="80"/>
      <c r="AF15" s="80"/>
      <c r="AG15" s="80"/>
      <c r="AH15" s="80"/>
      <c r="AI15" s="80"/>
      <c r="AJ15" s="80"/>
      <c r="AK15" s="80"/>
    </row>
    <row r="16" spans="1:37">
      <c r="A16" s="88">
        <f t="shared" si="3"/>
        <v>7</v>
      </c>
      <c r="B16" s="2500" t="s">
        <v>1127</v>
      </c>
      <c r="C16" s="2501"/>
      <c r="D16" s="1189"/>
      <c r="E16" s="1189"/>
      <c r="F16" s="1189"/>
      <c r="G16" s="1189"/>
      <c r="H16" s="1189"/>
      <c r="I16" s="1189"/>
      <c r="J16" s="1189"/>
      <c r="K16" s="1189"/>
      <c r="L16" s="1189"/>
      <c r="M16" s="1189"/>
      <c r="N16" s="1189"/>
      <c r="O16" s="1215">
        <f>SUMPRODUCT($C$6:$N$6,C16:N16)</f>
        <v>0</v>
      </c>
      <c r="P16" s="1215">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8" t="s">
        <v>1124</v>
      </c>
      <c r="C17" s="2501"/>
      <c r="D17" s="1189"/>
      <c r="E17" s="1189"/>
      <c r="F17" s="1189"/>
      <c r="G17" s="1189"/>
      <c r="H17" s="1189"/>
      <c r="I17" s="1189"/>
      <c r="J17" s="1189"/>
      <c r="K17" s="1189"/>
      <c r="L17" s="1189"/>
      <c r="M17" s="1189"/>
      <c r="N17" s="1189"/>
      <c r="O17" s="1692">
        <f>SUMPRODUCT($C$6:$N$6,C17:N17)</f>
        <v>0</v>
      </c>
      <c r="P17" s="1692">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6">
        <f t="shared" si="3"/>
        <v>9</v>
      </c>
      <c r="B18" s="1265" t="s">
        <v>1134</v>
      </c>
      <c r="C18" s="1218" t="e">
        <f t="shared" ref="C18:P18" si="4">SUM(C14:C17)</f>
        <v>#REF!</v>
      </c>
      <c r="D18" s="1219" t="e">
        <f t="shared" si="4"/>
        <v>#REF!</v>
      </c>
      <c r="E18" s="1219" t="e">
        <f t="shared" si="4"/>
        <v>#REF!</v>
      </c>
      <c r="F18" s="1219" t="e">
        <f t="shared" si="4"/>
        <v>#REF!</v>
      </c>
      <c r="G18" s="1219" t="e">
        <f t="shared" si="4"/>
        <v>#REF!</v>
      </c>
      <c r="H18" s="1219" t="e">
        <f t="shared" si="4"/>
        <v>#REF!</v>
      </c>
      <c r="I18" s="1219" t="e">
        <f t="shared" si="4"/>
        <v>#REF!</v>
      </c>
      <c r="J18" s="1219" t="e">
        <f t="shared" si="4"/>
        <v>#REF!</v>
      </c>
      <c r="K18" s="1219" t="e">
        <f t="shared" si="4"/>
        <v>#REF!</v>
      </c>
      <c r="L18" s="1219" t="e">
        <f t="shared" si="4"/>
        <v>#REF!</v>
      </c>
      <c r="M18" s="1219" t="e">
        <f t="shared" si="4"/>
        <v>#REF!</v>
      </c>
      <c r="N18" s="1362" t="e">
        <f t="shared" si="4"/>
        <v>#REF!</v>
      </c>
      <c r="O18" s="1101" t="e">
        <f t="shared" si="4"/>
        <v>#REF!</v>
      </c>
      <c r="P18" s="1232" t="e">
        <f t="shared" si="4"/>
        <v>#REF!</v>
      </c>
      <c r="Q18" s="1248"/>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6" t="s">
        <v>1033</v>
      </c>
      <c r="C19" s="1218" t="e">
        <f t="shared" ref="C19:P19" si="5">C18-C13</f>
        <v>#REF!</v>
      </c>
      <c r="D19" s="1219" t="e">
        <f t="shared" si="5"/>
        <v>#REF!</v>
      </c>
      <c r="E19" s="1219" t="e">
        <f t="shared" si="5"/>
        <v>#REF!</v>
      </c>
      <c r="F19" s="1219" t="e">
        <f t="shared" si="5"/>
        <v>#REF!</v>
      </c>
      <c r="G19" s="1219" t="e">
        <f t="shared" si="5"/>
        <v>#REF!</v>
      </c>
      <c r="H19" s="1219" t="e">
        <f t="shared" si="5"/>
        <v>#REF!</v>
      </c>
      <c r="I19" s="1219" t="e">
        <f t="shared" si="5"/>
        <v>#REF!</v>
      </c>
      <c r="J19" s="1219" t="e">
        <f t="shared" si="5"/>
        <v>#REF!</v>
      </c>
      <c r="K19" s="1219" t="e">
        <f t="shared" si="5"/>
        <v>#REF!</v>
      </c>
      <c r="L19" s="1219" t="e">
        <f t="shared" si="5"/>
        <v>#REF!</v>
      </c>
      <c r="M19" s="1219" t="e">
        <f t="shared" si="5"/>
        <v>#REF!</v>
      </c>
      <c r="N19" s="1362" t="e">
        <f t="shared" si="5"/>
        <v>#REF!</v>
      </c>
      <c r="O19" s="1101" t="e">
        <f t="shared" si="5"/>
        <v>#REF!</v>
      </c>
      <c r="P19" s="1232" t="e">
        <f t="shared" si="5"/>
        <v>#REF!</v>
      </c>
      <c r="Q19" s="1248"/>
      <c r="R19" s="80"/>
      <c r="S19" s="80"/>
      <c r="T19" s="80"/>
      <c r="U19" s="80"/>
      <c r="V19" s="80"/>
      <c r="W19" s="80"/>
      <c r="X19" s="80"/>
      <c r="Y19" s="80"/>
      <c r="Z19" s="80"/>
      <c r="AA19" s="80"/>
      <c r="AB19" s="80"/>
      <c r="AC19" s="80"/>
      <c r="AD19" s="80"/>
      <c r="AE19" s="80"/>
      <c r="AF19" s="80"/>
      <c r="AG19" s="80"/>
      <c r="AH19" s="80"/>
      <c r="AI19" s="80"/>
      <c r="AJ19" s="80"/>
      <c r="AK19" s="80"/>
    </row>
    <row r="20" spans="1:37" ht="16" thickBot="1">
      <c r="A20" s="1107">
        <f t="shared" si="3"/>
        <v>11</v>
      </c>
      <c r="B20" s="1267" t="s">
        <v>1155</v>
      </c>
      <c r="C20" s="1293">
        <f>'C, C1, C2&amp; C3 - Savings Schemes'!D25</f>
        <v>789.91666666666663</v>
      </c>
      <c r="D20" s="1294">
        <f>'C, C1, C2&amp; C3 - Savings Schemes'!E25</f>
        <v>56.916666666666664</v>
      </c>
      <c r="E20" s="1294">
        <f>'C, C1, C2&amp; C3 - Savings Schemes'!F25</f>
        <v>56.916666666666664</v>
      </c>
      <c r="F20" s="1294">
        <f>'C, C1, C2&amp; C3 - Savings Schemes'!G25</f>
        <v>56.916666666666664</v>
      </c>
      <c r="G20" s="1294">
        <f>'C, C1, C2&amp; C3 - Savings Schemes'!H25</f>
        <v>56.916666666666664</v>
      </c>
      <c r="H20" s="1294">
        <f>'C, C1, C2&amp; C3 - Savings Schemes'!I25</f>
        <v>56.916666666666664</v>
      </c>
      <c r="I20" s="1294">
        <f>'C, C1, C2&amp; C3 - Savings Schemes'!J25</f>
        <v>56.916666666666664</v>
      </c>
      <c r="J20" s="1294">
        <f>'C, C1, C2&amp; C3 - Savings Schemes'!K25</f>
        <v>56.916666666666664</v>
      </c>
      <c r="K20" s="1294">
        <f>'C, C1, C2&amp; C3 - Savings Schemes'!L25</f>
        <v>56.916666666666664</v>
      </c>
      <c r="L20" s="1294">
        <f>'C, C1, C2&amp; C3 - Savings Schemes'!M25</f>
        <v>56.916666666666664</v>
      </c>
      <c r="M20" s="1294">
        <f>'C, C1, C2&amp; C3 - Savings Schemes'!N25</f>
        <v>56.916666666666664</v>
      </c>
      <c r="N20" s="1295">
        <f>'C, C1, C2&amp; C3 - Savings Schemes'!O25</f>
        <v>56.916666666666664</v>
      </c>
      <c r="O20" s="1232">
        <f>SUMPRODUCT($C$6:$N$6,C20:N20)</f>
        <v>789.91666666666663</v>
      </c>
      <c r="P20" s="1101">
        <f>SUM(C20:N20)</f>
        <v>1416.0000000000002</v>
      </c>
      <c r="Q20" s="1248"/>
      <c r="R20" s="80"/>
      <c r="S20" s="80"/>
      <c r="T20" s="80"/>
      <c r="U20" s="308"/>
      <c r="V20" s="80"/>
      <c r="W20" s="80"/>
      <c r="X20" s="80"/>
      <c r="Y20" s="80"/>
      <c r="Z20" s="80"/>
      <c r="AA20" s="80"/>
      <c r="AB20" s="80"/>
      <c r="AC20" s="80"/>
      <c r="AD20" s="80"/>
      <c r="AE20" s="80"/>
      <c r="AF20" s="80"/>
      <c r="AG20" s="80"/>
      <c r="AH20" s="80"/>
      <c r="AI20" s="80"/>
      <c r="AJ20" s="80"/>
      <c r="AK20" s="80"/>
    </row>
    <row r="21" spans="1:37">
      <c r="A21" s="890">
        <f t="shared" si="3"/>
        <v>12</v>
      </c>
      <c r="B21" s="1268" t="s">
        <v>1135</v>
      </c>
      <c r="C21" s="1693">
        <f>'C, C1, C2&amp; C3 - Savings Schemes'!D26</f>
        <v>789.91666666666663</v>
      </c>
      <c r="D21" s="1694">
        <f>'C, C1, C2&amp; C3 - Savings Schemes'!E26</f>
        <v>56.916666666666664</v>
      </c>
      <c r="E21" s="1694">
        <f>'C, C1, C2&amp; C3 - Savings Schemes'!F26</f>
        <v>56.916666666666664</v>
      </c>
      <c r="F21" s="1694">
        <f>'C, C1, C2&amp; C3 - Savings Schemes'!G26</f>
        <v>56.916666666666664</v>
      </c>
      <c r="G21" s="1694">
        <f>'C, C1, C2&amp; C3 - Savings Schemes'!H26</f>
        <v>56.916666666666664</v>
      </c>
      <c r="H21" s="1694">
        <f>'C, C1, C2&amp; C3 - Savings Schemes'!I26</f>
        <v>56.916666666666664</v>
      </c>
      <c r="I21" s="1694">
        <f>'C, C1, C2&amp; C3 - Savings Schemes'!J26</f>
        <v>56.916666666666664</v>
      </c>
      <c r="J21" s="1694">
        <f>'C, C1, C2&amp; C3 - Savings Schemes'!K26</f>
        <v>56.916666666666664</v>
      </c>
      <c r="K21" s="1694">
        <f>'C, C1, C2&amp; C3 - Savings Schemes'!L26</f>
        <v>56.916666666666664</v>
      </c>
      <c r="L21" s="1694">
        <f>'C, C1, C2&amp; C3 - Savings Schemes'!M26</f>
        <v>56.916666666666664</v>
      </c>
      <c r="M21" s="1694">
        <f>'C, C1, C2&amp; C3 - Savings Schemes'!N26</f>
        <v>56.916666666666664</v>
      </c>
      <c r="N21" s="1695">
        <f>'C, C1, C2&amp; C3 - Savings Schemes'!O26</f>
        <v>56.916666666666664</v>
      </c>
      <c r="O21" s="1233">
        <f>SUMPRODUCT($C$6:$N$6,C21:N21)</f>
        <v>789.91666666666663</v>
      </c>
      <c r="P21" s="1215">
        <f>SUM(C21:N21)</f>
        <v>1416.0000000000002</v>
      </c>
      <c r="Q21" s="1248"/>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500" t="s">
        <v>1077</v>
      </c>
      <c r="C22" s="2501"/>
      <c r="D22" s="1189"/>
      <c r="E22" s="1189"/>
      <c r="F22" s="1189"/>
      <c r="G22" s="1189"/>
      <c r="H22" s="1189"/>
      <c r="I22" s="1189"/>
      <c r="J22" s="1189"/>
      <c r="K22" s="1189"/>
      <c r="L22" s="1189"/>
      <c r="M22" s="1189"/>
      <c r="N22" s="1189"/>
      <c r="O22" s="1692">
        <f>SUMPRODUCT($C$6:$N$6,C22:N22)</f>
        <v>0</v>
      </c>
      <c r="P22" s="1692">
        <f>SUM(C22:N22)</f>
        <v>0</v>
      </c>
      <c r="Q22" s="1248"/>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8" t="s">
        <v>1109</v>
      </c>
      <c r="C23" s="1218">
        <f>C21-C20-C22</f>
        <v>0</v>
      </c>
      <c r="D23" s="1219">
        <f t="shared" ref="D23:P23" si="6">D21-D20-D22</f>
        <v>0</v>
      </c>
      <c r="E23" s="1219">
        <f t="shared" si="6"/>
        <v>0</v>
      </c>
      <c r="F23" s="1219">
        <f t="shared" si="6"/>
        <v>0</v>
      </c>
      <c r="G23" s="1219">
        <f t="shared" si="6"/>
        <v>0</v>
      </c>
      <c r="H23" s="1219">
        <f t="shared" si="6"/>
        <v>0</v>
      </c>
      <c r="I23" s="1219">
        <f t="shared" si="6"/>
        <v>0</v>
      </c>
      <c r="J23" s="1219">
        <f t="shared" si="6"/>
        <v>0</v>
      </c>
      <c r="K23" s="1219">
        <f t="shared" si="6"/>
        <v>0</v>
      </c>
      <c r="L23" s="1219">
        <f t="shared" si="6"/>
        <v>0</v>
      </c>
      <c r="M23" s="1219">
        <f t="shared" si="6"/>
        <v>0</v>
      </c>
      <c r="N23" s="1362">
        <f t="shared" si="6"/>
        <v>0</v>
      </c>
      <c r="O23" s="1101">
        <f t="shared" si="6"/>
        <v>0</v>
      </c>
      <c r="P23" s="1101">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6">
        <f>SUMIFS('Table C4 Tracker'!AI$43:AI$1496,'Table C4 Tracker'!$O$43:$O$1496, "&lt;&gt;Red",'Table C4 Tracker'!$BV$43:$BV$1496,'Table C4 Tracker'!$CT$6,'Table C4 Tracker'!$R$43:$R$1496, 'Table C4 Tracker'!$CQ$3)</f>
        <v>0</v>
      </c>
      <c r="D24" s="1297">
        <f>SUMIFS('Table C4 Tracker'!AJ$43:AJ$1496,'Table C4 Tracker'!$O$43:$O$1496, "&lt;&gt;Red",'Table C4 Tracker'!$BV$43:$BV$1496,'Table C4 Tracker'!$CT$6,'Table C4 Tracker'!$R$43:$R$1496, 'Table C4 Tracker'!$CQ$3)</f>
        <v>0</v>
      </c>
      <c r="E24" s="1297">
        <f>SUMIFS('Table C4 Tracker'!AK$43:AK$1496,'Table C4 Tracker'!$O$43:$O$1496, "&lt;&gt;Red",'Table C4 Tracker'!$BV$43:$BV$1496,'Table C4 Tracker'!$CT$6,'Table C4 Tracker'!$R$43:$R$1496, 'Table C4 Tracker'!$CQ$3)</f>
        <v>0</v>
      </c>
      <c r="F24" s="1297">
        <f>SUMIFS('Table C4 Tracker'!AL$43:AL$1496,'Table C4 Tracker'!$O$43:$O$1496, "&lt;&gt;Red",'Table C4 Tracker'!$BV$43:$BV$1496,'Table C4 Tracker'!$CT$6,'Table C4 Tracker'!$R$43:$R$1496, 'Table C4 Tracker'!$CQ$3)</f>
        <v>0</v>
      </c>
      <c r="G24" s="1297">
        <f>SUMIFS('Table C4 Tracker'!AM$43:AM$1496,'Table C4 Tracker'!$O$43:$O$1496, "&lt;&gt;Red",'Table C4 Tracker'!$BV$43:$BV$1496,'Table C4 Tracker'!$CT$6,'Table C4 Tracker'!$R$43:$R$1496, 'Table C4 Tracker'!$CQ$3)</f>
        <v>0</v>
      </c>
      <c r="H24" s="1297">
        <f>SUMIFS('Table C4 Tracker'!AN$43:AN$1496,'Table C4 Tracker'!$O$43:$O$1496, "&lt;&gt;Red",'Table C4 Tracker'!$BV$43:$BV$1496,'Table C4 Tracker'!$CT$6,'Table C4 Tracker'!$R$43:$R$1496, 'Table C4 Tracker'!$CQ$3)</f>
        <v>0</v>
      </c>
      <c r="I24" s="1297">
        <f>SUMIFS('Table C4 Tracker'!AO$43:AO$1496,'Table C4 Tracker'!$O$43:$O$1496, "&lt;&gt;Red",'Table C4 Tracker'!$BV$43:$BV$1496,'Table C4 Tracker'!$CT$6,'Table C4 Tracker'!$R$43:$R$1496, 'Table C4 Tracker'!$CQ$3)</f>
        <v>0</v>
      </c>
      <c r="J24" s="1297">
        <f>SUMIFS('Table C4 Tracker'!AP$43:AP$1496,'Table C4 Tracker'!$O$43:$O$1496, "&lt;&gt;Red",'Table C4 Tracker'!$BV$43:$BV$1496,'Table C4 Tracker'!$CT$6,'Table C4 Tracker'!$R$43:$R$1496, 'Table C4 Tracker'!$CQ$3)</f>
        <v>0</v>
      </c>
      <c r="K24" s="1297">
        <f>SUMIFS('Table C4 Tracker'!AQ$43:AQ$1496,'Table C4 Tracker'!$O$43:$O$1496, "&lt;&gt;Red",'Table C4 Tracker'!$BV$43:$BV$1496,'Table C4 Tracker'!$CT$6,'Table C4 Tracker'!$R$43:$R$1496, 'Table C4 Tracker'!$CQ$3)</f>
        <v>0</v>
      </c>
      <c r="L24" s="1297">
        <f>SUMIFS('Table C4 Tracker'!AR$43:AR$1496,'Table C4 Tracker'!$O$43:$O$1496, "&lt;&gt;Red",'Table C4 Tracker'!$BV$43:$BV$1496,'Table C4 Tracker'!$CT$6,'Table C4 Tracker'!$R$43:$R$1496, 'Table C4 Tracker'!$CQ$3)</f>
        <v>0</v>
      </c>
      <c r="M24" s="1297">
        <f>SUMIFS('Table C4 Tracker'!AS$43:AS$1496,'Table C4 Tracker'!$O$43:$O$1496, "&lt;&gt;Red",'Table C4 Tracker'!$BV$43:$BV$1496,'Table C4 Tracker'!$CT$6,'Table C4 Tracker'!$R$43:$R$1496, 'Table C4 Tracker'!$CQ$3)</f>
        <v>0</v>
      </c>
      <c r="N24" s="1298">
        <f>SUMIFS('Table C4 Tracker'!AT$43:AT$1496,'Table C4 Tracker'!$O$43:$O$1496, "&lt;&gt;Red",'Table C4 Tracker'!$BV$43:$BV$1496,'Table C4 Tracker'!$CT$6,'Table C4 Tracker'!$R$43:$R$1496, 'Table C4 Tracker'!$CQ$3)</f>
        <v>0</v>
      </c>
      <c r="O24" s="1215">
        <f>SUMPRODUCT($C$6:$N$6,C24:N24)</f>
        <v>0</v>
      </c>
      <c r="P24" s="1215">
        <f>SUM(C24:N24)</f>
        <v>0</v>
      </c>
      <c r="Q24" s="1248"/>
      <c r="R24" s="80"/>
      <c r="S24" s="80"/>
      <c r="T24" s="80"/>
      <c r="U24" s="80"/>
      <c r="V24" s="80"/>
      <c r="W24" s="80"/>
      <c r="X24" s="80"/>
      <c r="Y24" s="80"/>
      <c r="Z24" s="80"/>
      <c r="AA24" s="80"/>
      <c r="AB24" s="80"/>
      <c r="AC24" s="80"/>
      <c r="AD24" s="80"/>
      <c r="AE24" s="80"/>
      <c r="AF24" s="80"/>
      <c r="AG24" s="80"/>
      <c r="AH24" s="80"/>
      <c r="AI24" s="80"/>
      <c r="AJ24" s="80"/>
      <c r="AK24" s="80"/>
    </row>
    <row r="25" spans="1:37" ht="16" thickBot="1">
      <c r="A25" s="1191">
        <f t="shared" si="3"/>
        <v>16</v>
      </c>
      <c r="B25" s="2519" t="s">
        <v>1045</v>
      </c>
      <c r="C25" s="2503"/>
      <c r="D25" s="2504"/>
      <c r="E25" s="2504"/>
      <c r="F25" s="2504"/>
      <c r="G25" s="2504"/>
      <c r="H25" s="2504"/>
      <c r="I25" s="2504"/>
      <c r="J25" s="2504"/>
      <c r="K25" s="2504"/>
      <c r="L25" s="2504"/>
      <c r="M25" s="2504"/>
      <c r="N25" s="2505"/>
      <c r="O25" s="1692">
        <f>SUMPRODUCT($C$6:$N$6,C25:N25)</f>
        <v>0</v>
      </c>
      <c r="P25" s="1692">
        <f>SUM(C25:N25)</f>
        <v>0</v>
      </c>
      <c r="Q25" s="1248"/>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5" t="s">
        <v>1156</v>
      </c>
      <c r="C26" s="2506"/>
      <c r="D26" s="2502"/>
      <c r="E26" s="2502"/>
      <c r="F26" s="2502"/>
      <c r="G26" s="2502"/>
      <c r="H26" s="2502"/>
      <c r="I26" s="2502"/>
      <c r="J26" s="2502"/>
      <c r="K26" s="2502"/>
      <c r="L26" s="2502"/>
      <c r="M26" s="2502"/>
      <c r="N26" s="2502"/>
      <c r="O26" s="1101">
        <f>SUMPRODUCT($C$6:$N$6,C26:N26)</f>
        <v>0</v>
      </c>
      <c r="P26" s="1101">
        <f>SUM(C26:N26)</f>
        <v>0</v>
      </c>
      <c r="Q26" s="1248"/>
      <c r="R26" s="80"/>
      <c r="S26" s="80"/>
      <c r="T26" s="80"/>
      <c r="U26" s="80"/>
      <c r="V26" s="80"/>
      <c r="W26" s="80"/>
      <c r="X26" s="80"/>
      <c r="Y26" s="80"/>
      <c r="Z26" s="80"/>
      <c r="AA26" s="80"/>
      <c r="AB26" s="80"/>
      <c r="AC26" s="80"/>
      <c r="AD26" s="80"/>
      <c r="AE26" s="80"/>
      <c r="AF26" s="80"/>
      <c r="AG26" s="80"/>
      <c r="AH26" s="80"/>
      <c r="AI26" s="80"/>
      <c r="AJ26" s="80"/>
      <c r="AK26" s="80"/>
    </row>
    <row r="27" spans="1:37" ht="16" thickBot="1">
      <c r="A27" s="3068"/>
      <c r="B27" s="3068"/>
      <c r="C27" s="3068"/>
      <c r="D27" s="3068"/>
      <c r="E27" s="3068"/>
      <c r="F27" s="3068"/>
      <c r="G27" s="3068"/>
      <c r="H27" s="3068"/>
      <c r="I27" s="3068"/>
      <c r="J27" s="3068"/>
      <c r="K27" s="3068"/>
      <c r="L27" s="3068"/>
      <c r="M27" s="3068"/>
      <c r="N27" s="3068"/>
      <c r="O27" s="3068"/>
      <c r="P27" s="3068"/>
      <c r="Q27" s="1248"/>
      <c r="R27" s="80"/>
      <c r="S27" s="80"/>
      <c r="T27" s="80"/>
      <c r="U27" s="80"/>
      <c r="V27" s="80"/>
      <c r="W27" s="80"/>
      <c r="X27" s="80"/>
      <c r="Y27" s="80"/>
      <c r="Z27" s="80"/>
      <c r="AA27" s="80"/>
      <c r="AB27" s="80"/>
      <c r="AC27" s="80"/>
      <c r="AD27" s="80"/>
      <c r="AE27" s="80"/>
      <c r="AF27" s="80"/>
      <c r="AG27" s="80"/>
      <c r="AH27" s="80"/>
      <c r="AI27" s="80"/>
      <c r="AJ27" s="80"/>
      <c r="AK27" s="80"/>
    </row>
    <row r="28" spans="1:37" ht="16" thickBot="1">
      <c r="A28" s="1696">
        <f>A26+1</f>
        <v>18</v>
      </c>
      <c r="B28" s="1270" t="s">
        <v>1157</v>
      </c>
      <c r="C28" s="1110">
        <f>C13-C20</f>
        <v>-789.91666666666663</v>
      </c>
      <c r="D28" s="1110">
        <f t="shared" ref="D28:P28" si="7">D13-D20</f>
        <v>-56.916666666666664</v>
      </c>
      <c r="E28" s="1110">
        <f t="shared" si="7"/>
        <v>-56.916666666666664</v>
      </c>
      <c r="F28" s="1110">
        <f t="shared" si="7"/>
        <v>-56.916666666666664</v>
      </c>
      <c r="G28" s="1110">
        <f t="shared" si="7"/>
        <v>-56.916666666666664</v>
      </c>
      <c r="H28" s="1110">
        <f t="shared" si="7"/>
        <v>-56.916666666666664</v>
      </c>
      <c r="I28" s="1110">
        <f t="shared" si="7"/>
        <v>-56.916666666666664</v>
      </c>
      <c r="J28" s="1110">
        <f t="shared" si="7"/>
        <v>-56.916666666666664</v>
      </c>
      <c r="K28" s="1110">
        <f t="shared" si="7"/>
        <v>-56.916666666666664</v>
      </c>
      <c r="L28" s="1110">
        <f t="shared" si="7"/>
        <v>-56.916666666666664</v>
      </c>
      <c r="M28" s="1110">
        <f t="shared" si="7"/>
        <v>-56.916666666666664</v>
      </c>
      <c r="N28" s="1110">
        <f t="shared" si="7"/>
        <v>-56.916666666666664</v>
      </c>
      <c r="O28" s="1110">
        <f t="shared" si="7"/>
        <v>-789.91666666666663</v>
      </c>
      <c r="P28" s="1110">
        <f t="shared" si="7"/>
        <v>-1416.0000000000002</v>
      </c>
      <c r="Q28" s="1248"/>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70" t="s">
        <v>1041</v>
      </c>
      <c r="C29" s="1110" t="e">
        <f>C18-C21-C24-C25-C26</f>
        <v>#REF!</v>
      </c>
      <c r="D29" s="1110" t="e">
        <f t="shared" ref="D29:P29" si="8">D18-D21-D24-D25-D26</f>
        <v>#REF!</v>
      </c>
      <c r="E29" s="1110" t="e">
        <f t="shared" si="8"/>
        <v>#REF!</v>
      </c>
      <c r="F29" s="1110" t="e">
        <f t="shared" si="8"/>
        <v>#REF!</v>
      </c>
      <c r="G29" s="1110" t="e">
        <f t="shared" si="8"/>
        <v>#REF!</v>
      </c>
      <c r="H29" s="1110" t="e">
        <f t="shared" si="8"/>
        <v>#REF!</v>
      </c>
      <c r="I29" s="1110" t="e">
        <f t="shared" si="8"/>
        <v>#REF!</v>
      </c>
      <c r="J29" s="1110" t="e">
        <f t="shared" si="8"/>
        <v>#REF!</v>
      </c>
      <c r="K29" s="1110" t="e">
        <f t="shared" si="8"/>
        <v>#REF!</v>
      </c>
      <c r="L29" s="1110" t="e">
        <f t="shared" si="8"/>
        <v>#REF!</v>
      </c>
      <c r="M29" s="1110" t="e">
        <f t="shared" si="8"/>
        <v>#REF!</v>
      </c>
      <c r="N29" s="1110" t="e">
        <f t="shared" si="8"/>
        <v>#REF!</v>
      </c>
      <c r="O29" s="1110" t="e">
        <f t="shared" si="8"/>
        <v>#REF!</v>
      </c>
      <c r="P29" s="1110" t="e">
        <f t="shared" si="8"/>
        <v>#REF!</v>
      </c>
      <c r="Q29" s="1248"/>
      <c r="R29" s="80"/>
      <c r="S29" s="80"/>
      <c r="T29" s="80"/>
      <c r="U29" s="80"/>
      <c r="V29" s="80"/>
      <c r="W29" s="80"/>
      <c r="X29" s="80"/>
      <c r="Y29" s="80"/>
      <c r="Z29" s="80"/>
      <c r="AA29" s="80"/>
      <c r="AB29" s="80"/>
      <c r="AC29" s="80"/>
      <c r="AD29" s="80"/>
      <c r="AE29" s="80"/>
      <c r="AF29" s="80"/>
      <c r="AG29" s="80"/>
      <c r="AH29" s="80"/>
      <c r="AI29" s="80"/>
      <c r="AJ29" s="80"/>
      <c r="AK29" s="80"/>
    </row>
    <row r="30" spans="1:37" ht="16" thickBot="1">
      <c r="A30" s="1107">
        <f>A29+1</f>
        <v>20</v>
      </c>
      <c r="B30" s="1270" t="s">
        <v>1042</v>
      </c>
      <c r="C30" s="1110" t="e">
        <f>C29-C28</f>
        <v>#REF!</v>
      </c>
      <c r="D30" s="1110" t="e">
        <f t="shared" ref="D30:P30" si="9">D29-D28</f>
        <v>#REF!</v>
      </c>
      <c r="E30" s="1110" t="e">
        <f t="shared" si="9"/>
        <v>#REF!</v>
      </c>
      <c r="F30" s="1110" t="e">
        <f t="shared" si="9"/>
        <v>#REF!</v>
      </c>
      <c r="G30" s="1110" t="e">
        <f t="shared" si="9"/>
        <v>#REF!</v>
      </c>
      <c r="H30" s="1110" t="e">
        <f t="shared" si="9"/>
        <v>#REF!</v>
      </c>
      <c r="I30" s="1110" t="e">
        <f t="shared" si="9"/>
        <v>#REF!</v>
      </c>
      <c r="J30" s="1110" t="e">
        <f t="shared" si="9"/>
        <v>#REF!</v>
      </c>
      <c r="K30" s="1110" t="e">
        <f t="shared" si="9"/>
        <v>#REF!</v>
      </c>
      <c r="L30" s="1110" t="e">
        <f t="shared" si="9"/>
        <v>#REF!</v>
      </c>
      <c r="M30" s="1110" t="e">
        <f t="shared" si="9"/>
        <v>#REF!</v>
      </c>
      <c r="N30" s="1110" t="e">
        <f t="shared" si="9"/>
        <v>#REF!</v>
      </c>
      <c r="O30" s="1110" t="e">
        <f t="shared" si="9"/>
        <v>#REF!</v>
      </c>
      <c r="P30" s="1101"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7">
        <f>A30+1</f>
        <v>21</v>
      </c>
      <c r="B31" s="1270" t="s">
        <v>1078</v>
      </c>
      <c r="C31" s="1110" t="e">
        <f>C15-C11-C22-C25-C26</f>
        <v>#REF!</v>
      </c>
      <c r="D31" s="1110" t="e">
        <f t="shared" ref="D31:P31" si="10">D15-D11-D22-D25-D26</f>
        <v>#REF!</v>
      </c>
      <c r="E31" s="1110" t="e">
        <f t="shared" si="10"/>
        <v>#REF!</v>
      </c>
      <c r="F31" s="1110" t="e">
        <f t="shared" si="10"/>
        <v>#REF!</v>
      </c>
      <c r="G31" s="1110" t="e">
        <f t="shared" si="10"/>
        <v>#REF!</v>
      </c>
      <c r="H31" s="1110" t="e">
        <f t="shared" si="10"/>
        <v>#REF!</v>
      </c>
      <c r="I31" s="1110" t="e">
        <f t="shared" si="10"/>
        <v>#REF!</v>
      </c>
      <c r="J31" s="1110" t="e">
        <f t="shared" si="10"/>
        <v>#REF!</v>
      </c>
      <c r="K31" s="1110" t="e">
        <f t="shared" si="10"/>
        <v>#REF!</v>
      </c>
      <c r="L31" s="1110" t="e">
        <f t="shared" si="10"/>
        <v>#REF!</v>
      </c>
      <c r="M31" s="1110" t="e">
        <f t="shared" si="10"/>
        <v>#REF!</v>
      </c>
      <c r="N31" s="1110" t="e">
        <f t="shared" si="10"/>
        <v>#REF!</v>
      </c>
      <c r="O31" s="1110" t="e">
        <f t="shared" si="10"/>
        <v>#REF!</v>
      </c>
      <c r="P31" s="1101"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7">
        <f>A31+1</f>
        <v>22</v>
      </c>
      <c r="B32" s="1270" t="s">
        <v>1043</v>
      </c>
      <c r="C32" s="1110" t="e">
        <f>C30-C31</f>
        <v>#REF!</v>
      </c>
      <c r="D32" s="1110" t="e">
        <f t="shared" ref="D32:P32" si="11">D30-D31</f>
        <v>#REF!</v>
      </c>
      <c r="E32" s="1110" t="e">
        <f t="shared" si="11"/>
        <v>#REF!</v>
      </c>
      <c r="F32" s="1110" t="e">
        <f t="shared" si="11"/>
        <v>#REF!</v>
      </c>
      <c r="G32" s="1110" t="e">
        <f t="shared" si="11"/>
        <v>#REF!</v>
      </c>
      <c r="H32" s="1110" t="e">
        <f t="shared" si="11"/>
        <v>#REF!</v>
      </c>
      <c r="I32" s="1110" t="e">
        <f t="shared" si="11"/>
        <v>#REF!</v>
      </c>
      <c r="J32" s="1110" t="e">
        <f t="shared" si="11"/>
        <v>#REF!</v>
      </c>
      <c r="K32" s="1110" t="e">
        <f t="shared" si="11"/>
        <v>#REF!</v>
      </c>
      <c r="L32" s="1110" t="e">
        <f t="shared" si="11"/>
        <v>#REF!</v>
      </c>
      <c r="M32" s="1110" t="e">
        <f t="shared" si="11"/>
        <v>#REF!</v>
      </c>
      <c r="N32" s="1110" t="e">
        <f t="shared" si="11"/>
        <v>#REF!</v>
      </c>
      <c r="O32" s="1110" t="e">
        <f t="shared" si="11"/>
        <v>#REF!</v>
      </c>
      <c r="P32" s="1101"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5"/>
      <c r="C36" s="1236">
        <v>1</v>
      </c>
      <c r="D36" s="1222">
        <v>2</v>
      </c>
      <c r="E36" s="1222">
        <v>3</v>
      </c>
      <c r="F36" s="1222">
        <v>4</v>
      </c>
      <c r="G36" s="1222">
        <v>5</v>
      </c>
      <c r="H36" s="1222">
        <v>6</v>
      </c>
      <c r="I36" s="1222">
        <v>7</v>
      </c>
      <c r="J36" s="1222">
        <v>8</v>
      </c>
      <c r="K36" s="1222">
        <v>9</v>
      </c>
      <c r="L36" s="1222">
        <v>10</v>
      </c>
      <c r="M36" s="1222">
        <v>11</v>
      </c>
      <c r="N36" s="1221">
        <v>12</v>
      </c>
      <c r="O36" s="1237"/>
      <c r="P36" s="1211"/>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2" t="s">
        <v>495</v>
      </c>
      <c r="C37" s="1238" t="s">
        <v>181</v>
      </c>
      <c r="D37" s="1225" t="s">
        <v>89</v>
      </c>
      <c r="E37" s="1225" t="s">
        <v>90</v>
      </c>
      <c r="F37" s="1225" t="s">
        <v>91</v>
      </c>
      <c r="G37" s="1225" t="s">
        <v>92</v>
      </c>
      <c r="H37" s="1225" t="s">
        <v>93</v>
      </c>
      <c r="I37" s="1225" t="s">
        <v>94</v>
      </c>
      <c r="J37" s="1225" t="s">
        <v>95</v>
      </c>
      <c r="K37" s="1225" t="s">
        <v>96</v>
      </c>
      <c r="L37" s="1225" t="s">
        <v>97</v>
      </c>
      <c r="M37" s="1225" t="s">
        <v>98</v>
      </c>
      <c r="N37" s="1226" t="s">
        <v>99</v>
      </c>
      <c r="O37" s="1227" t="s">
        <v>493</v>
      </c>
      <c r="P37" s="1227"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3"/>
      <c r="C38" s="1239" t="s">
        <v>50</v>
      </c>
      <c r="D38" s="1240" t="s">
        <v>50</v>
      </c>
      <c r="E38" s="1240" t="s">
        <v>50</v>
      </c>
      <c r="F38" s="1240" t="s">
        <v>50</v>
      </c>
      <c r="G38" s="1240" t="s">
        <v>50</v>
      </c>
      <c r="H38" s="1240" t="s">
        <v>50</v>
      </c>
      <c r="I38" s="1240" t="s">
        <v>50</v>
      </c>
      <c r="J38" s="1240" t="s">
        <v>50</v>
      </c>
      <c r="K38" s="1240" t="s">
        <v>50</v>
      </c>
      <c r="L38" s="1240" t="s">
        <v>50</v>
      </c>
      <c r="M38" s="1240" t="s">
        <v>50</v>
      </c>
      <c r="N38" s="1241" t="s">
        <v>50</v>
      </c>
      <c r="O38" s="1231" t="s">
        <v>50</v>
      </c>
      <c r="P38" s="1231"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7" t="s">
        <v>1158</v>
      </c>
      <c r="C39" s="1217"/>
      <c r="D39" s="1189"/>
      <c r="E39" s="1189"/>
      <c r="F39" s="1189"/>
      <c r="G39" s="1189"/>
      <c r="H39" s="1189"/>
      <c r="I39" s="1189"/>
      <c r="J39" s="1189"/>
      <c r="K39" s="1189"/>
      <c r="L39" s="1189"/>
      <c r="M39" s="1189"/>
      <c r="N39" s="1189"/>
      <c r="O39" s="1215">
        <f>SUMPRODUCT($C$6:$N$6,C39:N39)</f>
        <v>0</v>
      </c>
      <c r="P39" s="1215">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500" t="s">
        <v>1159</v>
      </c>
      <c r="C40" s="1217"/>
      <c r="D40" s="1189"/>
      <c r="E40" s="1189"/>
      <c r="F40" s="1189"/>
      <c r="G40" s="1189"/>
      <c r="H40" s="1189"/>
      <c r="I40" s="1189"/>
      <c r="J40" s="1189"/>
      <c r="K40" s="1189"/>
      <c r="L40" s="1189"/>
      <c r="M40" s="1189"/>
      <c r="N40" s="1189"/>
      <c r="O40" s="1215">
        <f>SUMPRODUCT($C$6:$N$6,C40:N40)</f>
        <v>0</v>
      </c>
      <c r="P40" s="1215">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4" t="str">
        <f>""&amp;'A - Movement'!$B$23&amp;" Allocated to Non Pay - (ENTER AS NEGATIVE)"</f>
        <v>Planning Assumptions still to be finalised at Month 1 Allocated to Non Pay - (ENTER AS NEGATIVE)</v>
      </c>
      <c r="C41" s="1217"/>
      <c r="D41" s="1189"/>
      <c r="E41" s="1189"/>
      <c r="F41" s="1189"/>
      <c r="G41" s="1189"/>
      <c r="H41" s="1189"/>
      <c r="I41" s="1189"/>
      <c r="J41" s="1189"/>
      <c r="K41" s="1189"/>
      <c r="L41" s="1189"/>
      <c r="M41" s="1189"/>
      <c r="N41" s="1189"/>
      <c r="O41" s="1215">
        <f>SUMPRODUCT($C$6:$N$6,C41:N41)</f>
        <v>0</v>
      </c>
      <c r="P41" s="1215">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100" t="s">
        <v>1160</v>
      </c>
      <c r="C42" s="1110">
        <f t="shared" ref="C42:P42" si="13">SUM(C39:C41)</f>
        <v>0</v>
      </c>
      <c r="D42" s="1219">
        <f t="shared" si="13"/>
        <v>0</v>
      </c>
      <c r="E42" s="1219">
        <f t="shared" si="13"/>
        <v>0</v>
      </c>
      <c r="F42" s="1219">
        <f t="shared" si="13"/>
        <v>0</v>
      </c>
      <c r="G42" s="1219">
        <f t="shared" si="13"/>
        <v>0</v>
      </c>
      <c r="H42" s="1219">
        <f t="shared" si="13"/>
        <v>0</v>
      </c>
      <c r="I42" s="1219">
        <f t="shared" si="13"/>
        <v>0</v>
      </c>
      <c r="J42" s="1219">
        <f t="shared" si="13"/>
        <v>0</v>
      </c>
      <c r="K42" s="1219">
        <f t="shared" si="13"/>
        <v>0</v>
      </c>
      <c r="L42" s="1219">
        <f t="shared" si="13"/>
        <v>0</v>
      </c>
      <c r="M42" s="1219">
        <f t="shared" si="13"/>
        <v>0</v>
      </c>
      <c r="N42" s="1220">
        <f t="shared" si="13"/>
        <v>0</v>
      </c>
      <c r="O42" s="1101">
        <f t="shared" si="13"/>
        <v>0</v>
      </c>
      <c r="P42" s="1232">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90">
        <f t="shared" si="12"/>
        <v>27</v>
      </c>
      <c r="B43" s="1260" t="s">
        <v>1059</v>
      </c>
      <c r="C43" s="964"/>
      <c r="D43" s="964"/>
      <c r="E43" s="964"/>
      <c r="F43" s="964"/>
      <c r="G43" s="964"/>
      <c r="H43" s="964"/>
      <c r="I43" s="964"/>
      <c r="J43" s="964"/>
      <c r="K43" s="964"/>
      <c r="L43" s="964"/>
      <c r="M43" s="964"/>
      <c r="N43" s="1242"/>
      <c r="O43" s="1058">
        <f>SUMPRODUCT($C$6:$N$6,C43:N43)</f>
        <v>0</v>
      </c>
      <c r="P43" s="1215">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90">
        <f t="shared" si="12"/>
        <v>28</v>
      </c>
      <c r="B44" s="1275" t="s">
        <v>1079</v>
      </c>
      <c r="C44" s="964"/>
      <c r="D44" s="964"/>
      <c r="E44" s="964"/>
      <c r="F44" s="964"/>
      <c r="G44" s="964"/>
      <c r="H44" s="964"/>
      <c r="I44" s="964"/>
      <c r="J44" s="964"/>
      <c r="K44" s="964"/>
      <c r="L44" s="964"/>
      <c r="M44" s="964"/>
      <c r="N44" s="1242"/>
      <c r="O44" s="1215">
        <f>SUMPRODUCT($C$6:$N$6,C44:N44)</f>
        <v>0</v>
      </c>
      <c r="P44" s="1215">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500" t="s">
        <v>1126</v>
      </c>
      <c r="C45" s="892"/>
      <c r="D45" s="892"/>
      <c r="E45" s="892"/>
      <c r="F45" s="892"/>
      <c r="G45" s="892"/>
      <c r="H45" s="892"/>
      <c r="I45" s="892"/>
      <c r="J45" s="892"/>
      <c r="K45" s="892"/>
      <c r="L45" s="892"/>
      <c r="M45" s="892"/>
      <c r="N45" s="1247"/>
      <c r="O45" s="1215">
        <f>SUMPRODUCT($C$6:$N$6,C45:N45)</f>
        <v>0</v>
      </c>
      <c r="P45" s="1215">
        <f>SUM(C45:N45)</f>
        <v>0</v>
      </c>
      <c r="Q45" s="1248"/>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8" t="s">
        <v>1125</v>
      </c>
      <c r="C46" s="1189"/>
      <c r="D46" s="1189"/>
      <c r="E46" s="1189"/>
      <c r="F46" s="1189"/>
      <c r="G46" s="1189"/>
      <c r="H46" s="1189"/>
      <c r="I46" s="1189"/>
      <c r="J46" s="1189"/>
      <c r="K46" s="1189"/>
      <c r="L46" s="1189"/>
      <c r="M46" s="1189"/>
      <c r="N46" s="1364"/>
      <c r="O46" s="1057">
        <f>SUMPRODUCT($C$6:$N$6,C46:N46)</f>
        <v>0</v>
      </c>
      <c r="P46" s="1215">
        <f>SUM(D46:N46)</f>
        <v>0</v>
      </c>
      <c r="Q46" s="1248"/>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2" t="s">
        <v>1137</v>
      </c>
      <c r="C47" s="1110">
        <f>SUM(C43:C46)</f>
        <v>0</v>
      </c>
      <c r="D47" s="1218">
        <f t="shared" ref="D47:P47" si="15">SUM(D43:D46)</f>
        <v>0</v>
      </c>
      <c r="E47" s="1218">
        <f t="shared" si="15"/>
        <v>0</v>
      </c>
      <c r="F47" s="1218">
        <f t="shared" si="15"/>
        <v>0</v>
      </c>
      <c r="G47" s="1218">
        <f t="shared" si="15"/>
        <v>0</v>
      </c>
      <c r="H47" s="1218">
        <f t="shared" si="15"/>
        <v>0</v>
      </c>
      <c r="I47" s="1218">
        <f t="shared" si="15"/>
        <v>0</v>
      </c>
      <c r="J47" s="1218">
        <f t="shared" si="15"/>
        <v>0</v>
      </c>
      <c r="K47" s="1218">
        <f t="shared" si="15"/>
        <v>0</v>
      </c>
      <c r="L47" s="1218">
        <f t="shared" si="15"/>
        <v>0</v>
      </c>
      <c r="M47" s="1218">
        <f t="shared" si="15"/>
        <v>0</v>
      </c>
      <c r="N47" s="1232">
        <f t="shared" si="15"/>
        <v>0</v>
      </c>
      <c r="O47" s="1299">
        <f t="shared" si="15"/>
        <v>0</v>
      </c>
      <c r="P47" s="1101">
        <f t="shared" si="15"/>
        <v>0</v>
      </c>
      <c r="Q47" s="1248"/>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7" t="s">
        <v>1044</v>
      </c>
      <c r="C48" s="1245">
        <f>C47-C42</f>
        <v>0</v>
      </c>
      <c r="D48" s="1245">
        <f t="shared" ref="D48:P48" si="16">D47-D42</f>
        <v>0</v>
      </c>
      <c r="E48" s="1245">
        <f t="shared" si="16"/>
        <v>0</v>
      </c>
      <c r="F48" s="1245">
        <f t="shared" si="16"/>
        <v>0</v>
      </c>
      <c r="G48" s="1245">
        <f t="shared" si="16"/>
        <v>0</v>
      </c>
      <c r="H48" s="1245">
        <f t="shared" si="16"/>
        <v>0</v>
      </c>
      <c r="I48" s="1245">
        <f t="shared" si="16"/>
        <v>0</v>
      </c>
      <c r="J48" s="1245">
        <f t="shared" si="16"/>
        <v>0</v>
      </c>
      <c r="K48" s="1245">
        <f t="shared" si="16"/>
        <v>0</v>
      </c>
      <c r="L48" s="1245">
        <f t="shared" si="16"/>
        <v>0</v>
      </c>
      <c r="M48" s="1245">
        <f t="shared" si="16"/>
        <v>0</v>
      </c>
      <c r="N48" s="1365">
        <f t="shared" si="16"/>
        <v>0</v>
      </c>
      <c r="O48" s="1687">
        <f t="shared" si="16"/>
        <v>0</v>
      </c>
      <c r="P48" s="1560">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7">
        <f t="shared" si="14"/>
        <v>33</v>
      </c>
      <c r="B49" s="1267" t="s">
        <v>1161</v>
      </c>
      <c r="C49" s="1293">
        <f>'C, C1, C2&amp; C3 - Savings Schemes'!D22</f>
        <v>454.5</v>
      </c>
      <c r="D49" s="1294">
        <f>'C, C1, C2&amp; C3 - Savings Schemes'!E22</f>
        <v>118.5</v>
      </c>
      <c r="E49" s="1294">
        <f>'C, C1, C2&amp; C3 - Savings Schemes'!F22</f>
        <v>118.5</v>
      </c>
      <c r="F49" s="1294">
        <f>'C, C1, C2&amp; C3 - Savings Schemes'!G22</f>
        <v>118.5</v>
      </c>
      <c r="G49" s="1294">
        <f>'C, C1, C2&amp; C3 - Savings Schemes'!H22</f>
        <v>118.5</v>
      </c>
      <c r="H49" s="1294">
        <f>'C, C1, C2&amp; C3 - Savings Schemes'!I22</f>
        <v>118.5</v>
      </c>
      <c r="I49" s="1294">
        <f>'C, C1, C2&amp; C3 - Savings Schemes'!J22</f>
        <v>118.5</v>
      </c>
      <c r="J49" s="1294">
        <f>'C, C1, C2&amp; C3 - Savings Schemes'!K22</f>
        <v>118.5</v>
      </c>
      <c r="K49" s="1294">
        <f>'C, C1, C2&amp; C3 - Savings Schemes'!L22</f>
        <v>118.5</v>
      </c>
      <c r="L49" s="1294">
        <f>'C, C1, C2&amp; C3 - Savings Schemes'!M22</f>
        <v>118.5</v>
      </c>
      <c r="M49" s="1294">
        <f>'C, C1, C2&amp; C3 - Savings Schemes'!N22</f>
        <v>118.5</v>
      </c>
      <c r="N49" s="1295">
        <f>'C, C1, C2&amp; C3 - Savings Schemes'!O22</f>
        <v>118.5</v>
      </c>
      <c r="O49" s="1232">
        <f t="shared" ref="O49:O55" si="17">SUMPRODUCT($C$6:$N$6,C49:N49)</f>
        <v>454.5</v>
      </c>
      <c r="P49" s="1101">
        <f t="shared" ref="P49:P55" si="18">SUM(C49:N49)</f>
        <v>1758</v>
      </c>
      <c r="Q49" s="1248"/>
      <c r="R49" s="80"/>
      <c r="S49" s="80"/>
      <c r="T49" s="80"/>
      <c r="U49" s="308"/>
      <c r="V49" s="80"/>
      <c r="W49" s="80"/>
      <c r="X49" s="80"/>
      <c r="Y49" s="80"/>
      <c r="Z49" s="80"/>
      <c r="AA49" s="80"/>
      <c r="AB49" s="80"/>
      <c r="AC49" s="80"/>
      <c r="AD49" s="80"/>
      <c r="AE49" s="80"/>
      <c r="AF49" s="80"/>
      <c r="AG49" s="80"/>
      <c r="AH49" s="80"/>
      <c r="AI49" s="80"/>
      <c r="AJ49" s="80"/>
      <c r="AK49" s="80"/>
    </row>
    <row r="50" spans="1:37">
      <c r="A50" s="890">
        <f t="shared" si="14"/>
        <v>34</v>
      </c>
      <c r="B50" s="1268" t="s">
        <v>496</v>
      </c>
      <c r="C50" s="1693">
        <f>'C, C1, C2&amp; C3 - Savings Schemes'!D23</f>
        <v>454.5</v>
      </c>
      <c r="D50" s="1694">
        <f>'C, C1, C2&amp; C3 - Savings Schemes'!E23</f>
        <v>118.5</v>
      </c>
      <c r="E50" s="1694">
        <f>'C, C1, C2&amp; C3 - Savings Schemes'!F23</f>
        <v>118.5</v>
      </c>
      <c r="F50" s="1694">
        <f>'C, C1, C2&amp; C3 - Savings Schemes'!G23</f>
        <v>118.5</v>
      </c>
      <c r="G50" s="1694">
        <f>'C, C1, C2&amp; C3 - Savings Schemes'!H23</f>
        <v>118.5</v>
      </c>
      <c r="H50" s="1694">
        <f>'C, C1, C2&amp; C3 - Savings Schemes'!I23</f>
        <v>118.5</v>
      </c>
      <c r="I50" s="1694">
        <f>'C, C1, C2&amp; C3 - Savings Schemes'!J23</f>
        <v>118.5</v>
      </c>
      <c r="J50" s="1694">
        <f>'C, C1, C2&amp; C3 - Savings Schemes'!K23</f>
        <v>118.5</v>
      </c>
      <c r="K50" s="1694">
        <f>'C, C1, C2&amp; C3 - Savings Schemes'!L23</f>
        <v>118.5</v>
      </c>
      <c r="L50" s="1694">
        <f>'C, C1, C2&amp; C3 - Savings Schemes'!M23</f>
        <v>118.5</v>
      </c>
      <c r="M50" s="1694">
        <f>'C, C1, C2&amp; C3 - Savings Schemes'!N23</f>
        <v>118.5</v>
      </c>
      <c r="N50" s="1695">
        <f>'C, C1, C2&amp; C3 - Savings Schemes'!O23</f>
        <v>118.5</v>
      </c>
      <c r="O50" s="1233">
        <f t="shared" si="17"/>
        <v>454.5</v>
      </c>
      <c r="P50" s="1215">
        <f t="shared" si="18"/>
        <v>1758</v>
      </c>
      <c r="Q50" s="1248"/>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500" t="s">
        <v>1080</v>
      </c>
      <c r="C51" s="2501"/>
      <c r="D51" s="1189"/>
      <c r="E51" s="1189"/>
      <c r="F51" s="1189"/>
      <c r="G51" s="1189"/>
      <c r="H51" s="1189"/>
      <c r="I51" s="1189"/>
      <c r="J51" s="1189"/>
      <c r="K51" s="1189"/>
      <c r="L51" s="1189"/>
      <c r="M51" s="1189"/>
      <c r="N51" s="1189"/>
      <c r="O51" s="1692">
        <f t="shared" si="17"/>
        <v>0</v>
      </c>
      <c r="P51" s="1692">
        <f t="shared" si="18"/>
        <v>0</v>
      </c>
      <c r="Q51" s="1248"/>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8" t="s">
        <v>1108</v>
      </c>
      <c r="C52" s="1218">
        <f t="shared" ref="C52:N52" si="19">C50-C49-C51</f>
        <v>0</v>
      </c>
      <c r="D52" s="1219">
        <f t="shared" si="19"/>
        <v>0</v>
      </c>
      <c r="E52" s="1219">
        <f t="shared" si="19"/>
        <v>0</v>
      </c>
      <c r="F52" s="1219">
        <f t="shared" si="19"/>
        <v>0</v>
      </c>
      <c r="G52" s="1219">
        <f t="shared" si="19"/>
        <v>0</v>
      </c>
      <c r="H52" s="1219">
        <f t="shared" si="19"/>
        <v>0</v>
      </c>
      <c r="I52" s="1219">
        <f t="shared" si="19"/>
        <v>0</v>
      </c>
      <c r="J52" s="1219">
        <f t="shared" si="19"/>
        <v>0</v>
      </c>
      <c r="K52" s="1219">
        <f t="shared" si="19"/>
        <v>0</v>
      </c>
      <c r="L52" s="1219">
        <f t="shared" si="19"/>
        <v>0</v>
      </c>
      <c r="M52" s="1219">
        <f t="shared" si="19"/>
        <v>0</v>
      </c>
      <c r="N52" s="1362">
        <f t="shared" si="19"/>
        <v>0</v>
      </c>
      <c r="O52" s="1101">
        <f t="shared" si="17"/>
        <v>0</v>
      </c>
      <c r="P52" s="1101">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1" t="s">
        <v>1138</v>
      </c>
      <c r="C53" s="1290">
        <f>SUMIFS('Table C4 Tracker'!AI$43:AI$1496,'Table C4 Tracker'!$O$43:$O$1496, "&lt;&gt;Red",'Table C4 Tracker'!$S$43:$S$1496,'Table C4 Tracker'!$CS$4,'Table C4 Tracker'!$R$43:$R$1496, 'Table C4 Tracker'!$CQ$3)</f>
        <v>0</v>
      </c>
      <c r="D53" s="1291">
        <f>SUMIFS('Table C4 Tracker'!AJ$43:AJ$1496,'Table C4 Tracker'!$O$43:$O$1496, "&lt;&gt;Red",'Table C4 Tracker'!$S$43:$S$1496,'Table C4 Tracker'!$CS$4,'Table C4 Tracker'!$R$43:$R$1496, 'Table C4 Tracker'!$CQ$3)</f>
        <v>0</v>
      </c>
      <c r="E53" s="1291">
        <f>SUMIFS('Table C4 Tracker'!AK$43:AK$1496,'Table C4 Tracker'!$O$43:$O$1496, "&lt;&gt;Red",'Table C4 Tracker'!$S$43:$S$1496,'Table C4 Tracker'!$CS$4,'Table C4 Tracker'!$R$43:$R$1496, 'Table C4 Tracker'!$CQ$3)</f>
        <v>0</v>
      </c>
      <c r="F53" s="1291">
        <f>SUMIFS('Table C4 Tracker'!AL$43:AL$1496,'Table C4 Tracker'!$O$43:$O$1496, "&lt;&gt;Red",'Table C4 Tracker'!$S$43:$S$1496,'Table C4 Tracker'!$CS$4,'Table C4 Tracker'!$R$43:$R$1496, 'Table C4 Tracker'!$CQ$3)</f>
        <v>0</v>
      </c>
      <c r="G53" s="1291">
        <f>SUMIFS('Table C4 Tracker'!AM$43:AM$1496,'Table C4 Tracker'!$O$43:$O$1496, "&lt;&gt;Red",'Table C4 Tracker'!$S$43:$S$1496,'Table C4 Tracker'!$CS$4,'Table C4 Tracker'!$R$43:$R$1496, 'Table C4 Tracker'!$CQ$3)</f>
        <v>0</v>
      </c>
      <c r="H53" s="1291">
        <f>SUMIFS('Table C4 Tracker'!AN$43:AN$1496,'Table C4 Tracker'!$O$43:$O$1496, "&lt;&gt;Red",'Table C4 Tracker'!$S$43:$S$1496,'Table C4 Tracker'!$CS$4,'Table C4 Tracker'!$R$43:$R$1496, 'Table C4 Tracker'!$CQ$3)</f>
        <v>0</v>
      </c>
      <c r="I53" s="1291">
        <f>SUMIFS('Table C4 Tracker'!AO$43:AO$1496,'Table C4 Tracker'!$O$43:$O$1496, "&lt;&gt;Red",'Table C4 Tracker'!$S$43:$S$1496,'Table C4 Tracker'!$CS$4,'Table C4 Tracker'!$R$43:$R$1496, 'Table C4 Tracker'!$CQ$3)</f>
        <v>0</v>
      </c>
      <c r="J53" s="1291">
        <f>SUMIFS('Table C4 Tracker'!AP$43:AP$1496,'Table C4 Tracker'!$O$43:$O$1496, "&lt;&gt;Red",'Table C4 Tracker'!$S$43:$S$1496,'Table C4 Tracker'!$CS$4,'Table C4 Tracker'!$R$43:$R$1496, 'Table C4 Tracker'!$CQ$3)</f>
        <v>0</v>
      </c>
      <c r="K53" s="1291">
        <f>SUMIFS('Table C4 Tracker'!AQ$43:AQ$1496,'Table C4 Tracker'!$O$43:$O$1496, "&lt;&gt;Red",'Table C4 Tracker'!$S$43:$S$1496,'Table C4 Tracker'!$CS$4,'Table C4 Tracker'!$R$43:$R$1496, 'Table C4 Tracker'!$CQ$3)</f>
        <v>0</v>
      </c>
      <c r="L53" s="1291">
        <f>SUMIFS('Table C4 Tracker'!AR$43:AR$1496,'Table C4 Tracker'!$O$43:$O$1496, "&lt;&gt;Red",'Table C4 Tracker'!$S$43:$S$1496,'Table C4 Tracker'!$CS$4,'Table C4 Tracker'!$R$43:$R$1496, 'Table C4 Tracker'!$CQ$3)</f>
        <v>0</v>
      </c>
      <c r="M53" s="1291">
        <f>SUMIFS('Table C4 Tracker'!AS$43:AS$1496,'Table C4 Tracker'!$O$43:$O$1496, "&lt;&gt;Red",'Table C4 Tracker'!$S$43:$S$1496,'Table C4 Tracker'!$CS$4,'Table C4 Tracker'!$R$43:$R$1496, 'Table C4 Tracker'!$CQ$3)</f>
        <v>0</v>
      </c>
      <c r="N53" s="1292">
        <f>SUMIFS('Table C4 Tracker'!AT$43:AT$1496,'Table C4 Tracker'!$O$43:$O$1496, "&lt;&gt;Red",'Table C4 Tracker'!$S$43:$S$1496,'Table C4 Tracker'!$CS$4,'Table C4 Tracker'!$R$43:$R$1496, 'Table C4 Tracker'!$CQ$3)</f>
        <v>0</v>
      </c>
      <c r="O53" s="1233">
        <f t="shared" si="17"/>
        <v>0</v>
      </c>
      <c r="P53" s="1215">
        <f t="shared" si="18"/>
        <v>0</v>
      </c>
      <c r="Q53" s="1248"/>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9" t="s">
        <v>1047</v>
      </c>
      <c r="C54" s="2503"/>
      <c r="D54" s="2504"/>
      <c r="E54" s="2504"/>
      <c r="F54" s="2504"/>
      <c r="G54" s="2504"/>
      <c r="H54" s="2504"/>
      <c r="I54" s="2504"/>
      <c r="J54" s="2504"/>
      <c r="K54" s="2504"/>
      <c r="L54" s="2504"/>
      <c r="M54" s="2504"/>
      <c r="N54" s="2505"/>
      <c r="O54" s="1692">
        <f t="shared" si="17"/>
        <v>0</v>
      </c>
      <c r="P54" s="1692">
        <f t="shared" si="18"/>
        <v>0</v>
      </c>
      <c r="Q54" s="1248"/>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5" t="s">
        <v>1162</v>
      </c>
      <c r="C55" s="2506"/>
      <c r="D55" s="2502"/>
      <c r="E55" s="2502"/>
      <c r="F55" s="2502"/>
      <c r="G55" s="2502"/>
      <c r="H55" s="2502"/>
      <c r="I55" s="2502"/>
      <c r="J55" s="2502"/>
      <c r="K55" s="2502"/>
      <c r="L55" s="2502"/>
      <c r="M55" s="2502"/>
      <c r="N55" s="2502"/>
      <c r="O55" s="1101">
        <f t="shared" si="17"/>
        <v>0</v>
      </c>
      <c r="P55" s="1101">
        <f t="shared" si="18"/>
        <v>0</v>
      </c>
      <c r="Q55" s="1248"/>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049"/>
      <c r="C56" s="3050"/>
      <c r="D56" s="3050"/>
      <c r="E56" s="3050"/>
      <c r="F56" s="3050"/>
      <c r="G56" s="3050"/>
      <c r="H56" s="3050"/>
      <c r="I56" s="3050"/>
      <c r="J56" s="3050"/>
      <c r="K56" s="3050"/>
      <c r="L56" s="3050"/>
      <c r="M56" s="3050"/>
      <c r="N56" s="3050"/>
      <c r="O56" s="3050"/>
      <c r="P56" s="3050"/>
      <c r="Q56" s="1248"/>
      <c r="R56" s="80"/>
      <c r="S56" s="80"/>
      <c r="T56" s="80"/>
      <c r="U56" s="80"/>
      <c r="V56" s="80"/>
      <c r="W56" s="80"/>
      <c r="X56" s="80"/>
      <c r="Y56" s="80"/>
      <c r="Z56" s="80"/>
      <c r="AA56" s="80"/>
      <c r="AB56" s="80"/>
      <c r="AC56" s="80"/>
      <c r="AD56" s="80"/>
      <c r="AE56" s="80"/>
      <c r="AF56" s="80"/>
      <c r="AG56" s="80"/>
      <c r="AH56" s="80"/>
      <c r="AI56" s="80"/>
      <c r="AJ56" s="80"/>
      <c r="AK56" s="80"/>
    </row>
    <row r="57" spans="1:37" ht="16" thickBot="1">
      <c r="A57" s="1696">
        <f>A55+1</f>
        <v>40</v>
      </c>
      <c r="B57" s="1270" t="s">
        <v>1163</v>
      </c>
      <c r="C57" s="1110">
        <f>C42-C49</f>
        <v>-454.5</v>
      </c>
      <c r="D57" s="1110">
        <f t="shared" ref="D57:P57" si="20">D42-D49</f>
        <v>-118.5</v>
      </c>
      <c r="E57" s="1110">
        <f t="shared" si="20"/>
        <v>-118.5</v>
      </c>
      <c r="F57" s="1110">
        <f t="shared" si="20"/>
        <v>-118.5</v>
      </c>
      <c r="G57" s="1110">
        <f t="shared" si="20"/>
        <v>-118.5</v>
      </c>
      <c r="H57" s="1110">
        <f t="shared" si="20"/>
        <v>-118.5</v>
      </c>
      <c r="I57" s="1110">
        <f t="shared" si="20"/>
        <v>-118.5</v>
      </c>
      <c r="J57" s="1110">
        <f t="shared" si="20"/>
        <v>-118.5</v>
      </c>
      <c r="K57" s="1110">
        <f t="shared" si="20"/>
        <v>-118.5</v>
      </c>
      <c r="L57" s="1110">
        <f t="shared" si="20"/>
        <v>-118.5</v>
      </c>
      <c r="M57" s="1110">
        <f t="shared" si="20"/>
        <v>-118.5</v>
      </c>
      <c r="N57" s="1110">
        <f t="shared" si="20"/>
        <v>-118.5</v>
      </c>
      <c r="O57" s="1110">
        <f t="shared" si="20"/>
        <v>-454.5</v>
      </c>
      <c r="P57" s="1110">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70" t="s">
        <v>1048</v>
      </c>
      <c r="C58" s="1110">
        <f>C47-C50-C53-C54-C55</f>
        <v>-454.5</v>
      </c>
      <c r="D58" s="1110">
        <f t="shared" ref="D58:P58" si="21">D47-D50-D53-D54-D55</f>
        <v>-118.5</v>
      </c>
      <c r="E58" s="1110">
        <f t="shared" si="21"/>
        <v>-118.5</v>
      </c>
      <c r="F58" s="1110">
        <f t="shared" si="21"/>
        <v>-118.5</v>
      </c>
      <c r="G58" s="1110">
        <f t="shared" si="21"/>
        <v>-118.5</v>
      </c>
      <c r="H58" s="1110">
        <f t="shared" si="21"/>
        <v>-118.5</v>
      </c>
      <c r="I58" s="1110">
        <f t="shared" si="21"/>
        <v>-118.5</v>
      </c>
      <c r="J58" s="1110">
        <f t="shared" si="21"/>
        <v>-118.5</v>
      </c>
      <c r="K58" s="1110">
        <f t="shared" si="21"/>
        <v>-118.5</v>
      </c>
      <c r="L58" s="1110">
        <f t="shared" si="21"/>
        <v>-118.5</v>
      </c>
      <c r="M58" s="1110">
        <f t="shared" si="21"/>
        <v>-118.5</v>
      </c>
      <c r="N58" s="1110">
        <f t="shared" si="21"/>
        <v>-118.5</v>
      </c>
      <c r="O58" s="1110">
        <f t="shared" si="21"/>
        <v>-454.5</v>
      </c>
      <c r="P58" s="1110">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7">
        <f>A58+1</f>
        <v>42</v>
      </c>
      <c r="B59" s="1270" t="s">
        <v>1049</v>
      </c>
      <c r="C59" s="1110">
        <f>C58-C57</f>
        <v>0</v>
      </c>
      <c r="D59" s="1110">
        <f t="shared" ref="D59:P59" si="22">D58-D57</f>
        <v>0</v>
      </c>
      <c r="E59" s="1110">
        <f t="shared" si="22"/>
        <v>0</v>
      </c>
      <c r="F59" s="1110">
        <f t="shared" si="22"/>
        <v>0</v>
      </c>
      <c r="G59" s="1110">
        <f t="shared" si="22"/>
        <v>0</v>
      </c>
      <c r="H59" s="1110">
        <f t="shared" si="22"/>
        <v>0</v>
      </c>
      <c r="I59" s="1110">
        <f t="shared" si="22"/>
        <v>0</v>
      </c>
      <c r="J59" s="1110">
        <f t="shared" si="22"/>
        <v>0</v>
      </c>
      <c r="K59" s="1110">
        <f t="shared" si="22"/>
        <v>0</v>
      </c>
      <c r="L59" s="1110">
        <f t="shared" si="22"/>
        <v>0</v>
      </c>
      <c r="M59" s="1110">
        <f t="shared" si="22"/>
        <v>0</v>
      </c>
      <c r="N59" s="1110">
        <f t="shared" si="22"/>
        <v>0</v>
      </c>
      <c r="O59" s="1110">
        <f t="shared" si="22"/>
        <v>0</v>
      </c>
      <c r="P59" s="1110">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7">
        <f>A59+1</f>
        <v>43</v>
      </c>
      <c r="B60" s="1270" t="s">
        <v>1081</v>
      </c>
      <c r="C60" s="1110">
        <f>C44-C40-C51-C54-C55</f>
        <v>0</v>
      </c>
      <c r="D60" s="1110">
        <f t="shared" ref="D60:P60" si="23">D44-D40-D51-D54-D55</f>
        <v>0</v>
      </c>
      <c r="E60" s="1110">
        <f t="shared" si="23"/>
        <v>0</v>
      </c>
      <c r="F60" s="1110">
        <f t="shared" si="23"/>
        <v>0</v>
      </c>
      <c r="G60" s="1110">
        <f t="shared" si="23"/>
        <v>0</v>
      </c>
      <c r="H60" s="1110">
        <f t="shared" si="23"/>
        <v>0</v>
      </c>
      <c r="I60" s="1110">
        <f t="shared" si="23"/>
        <v>0</v>
      </c>
      <c r="J60" s="1110">
        <f t="shared" si="23"/>
        <v>0</v>
      </c>
      <c r="K60" s="1110">
        <f t="shared" si="23"/>
        <v>0</v>
      </c>
      <c r="L60" s="1110">
        <f t="shared" si="23"/>
        <v>0</v>
      </c>
      <c r="M60" s="1110">
        <f t="shared" si="23"/>
        <v>0</v>
      </c>
      <c r="N60" s="1110">
        <f t="shared" si="23"/>
        <v>0</v>
      </c>
      <c r="O60" s="1110">
        <f t="shared" si="23"/>
        <v>0</v>
      </c>
      <c r="P60" s="1110">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7">
        <f>A60+1</f>
        <v>44</v>
      </c>
      <c r="B61" s="1270" t="s">
        <v>1046</v>
      </c>
      <c r="C61" s="1110">
        <f>C59-C60</f>
        <v>0</v>
      </c>
      <c r="D61" s="1110">
        <f t="shared" ref="D61:P61" si="24">D59-D60</f>
        <v>0</v>
      </c>
      <c r="E61" s="1110">
        <f t="shared" si="24"/>
        <v>0</v>
      </c>
      <c r="F61" s="1110">
        <f t="shared" si="24"/>
        <v>0</v>
      </c>
      <c r="G61" s="1110">
        <f t="shared" si="24"/>
        <v>0</v>
      </c>
      <c r="H61" s="1110">
        <f t="shared" si="24"/>
        <v>0</v>
      </c>
      <c r="I61" s="1110">
        <f t="shared" si="24"/>
        <v>0</v>
      </c>
      <c r="J61" s="1110">
        <f t="shared" si="24"/>
        <v>0</v>
      </c>
      <c r="K61" s="1110">
        <f t="shared" si="24"/>
        <v>0</v>
      </c>
      <c r="L61" s="1110">
        <f t="shared" si="24"/>
        <v>0</v>
      </c>
      <c r="M61" s="1110">
        <f t="shared" si="24"/>
        <v>0</v>
      </c>
      <c r="N61" s="1110">
        <f t="shared" si="24"/>
        <v>0</v>
      </c>
      <c r="O61" s="1110">
        <f t="shared" si="24"/>
        <v>0</v>
      </c>
      <c r="P61" s="1110">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6"/>
      <c r="C65" s="1236">
        <v>1</v>
      </c>
      <c r="D65" s="1222">
        <v>2</v>
      </c>
      <c r="E65" s="1222">
        <v>3</v>
      </c>
      <c r="F65" s="1222">
        <v>4</v>
      </c>
      <c r="G65" s="1222">
        <v>5</v>
      </c>
      <c r="H65" s="1222">
        <v>6</v>
      </c>
      <c r="I65" s="1222">
        <v>7</v>
      </c>
      <c r="J65" s="1222">
        <v>8</v>
      </c>
      <c r="K65" s="1222">
        <v>9</v>
      </c>
      <c r="L65" s="1222">
        <v>10</v>
      </c>
      <c r="M65" s="1222">
        <v>11</v>
      </c>
      <c r="N65" s="1223">
        <v>12</v>
      </c>
      <c r="O65" s="1249"/>
      <c r="P65" s="1250"/>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2" t="s">
        <v>498</v>
      </c>
      <c r="C66" s="1238" t="s">
        <v>181</v>
      </c>
      <c r="D66" s="1225" t="s">
        <v>89</v>
      </c>
      <c r="E66" s="1225" t="s">
        <v>90</v>
      </c>
      <c r="F66" s="1225" t="s">
        <v>91</v>
      </c>
      <c r="G66" s="1225" t="s">
        <v>92</v>
      </c>
      <c r="H66" s="1225" t="s">
        <v>93</v>
      </c>
      <c r="I66" s="1225" t="s">
        <v>94</v>
      </c>
      <c r="J66" s="1225" t="s">
        <v>95</v>
      </c>
      <c r="K66" s="1225" t="s">
        <v>96</v>
      </c>
      <c r="L66" s="1225" t="s">
        <v>97</v>
      </c>
      <c r="M66" s="1225" t="s">
        <v>98</v>
      </c>
      <c r="N66" s="1251" t="s">
        <v>99</v>
      </c>
      <c r="O66" s="1227" t="s">
        <v>493</v>
      </c>
      <c r="P66" s="1252"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3"/>
      <c r="C67" s="1239" t="s">
        <v>50</v>
      </c>
      <c r="D67" s="1240" t="s">
        <v>50</v>
      </c>
      <c r="E67" s="1240" t="s">
        <v>50</v>
      </c>
      <c r="F67" s="1240" t="s">
        <v>50</v>
      </c>
      <c r="G67" s="1240" t="s">
        <v>50</v>
      </c>
      <c r="H67" s="1240" t="s">
        <v>50</v>
      </c>
      <c r="I67" s="1240" t="s">
        <v>50</v>
      </c>
      <c r="J67" s="1240" t="s">
        <v>50</v>
      </c>
      <c r="K67" s="1240" t="s">
        <v>50</v>
      </c>
      <c r="L67" s="1240" t="s">
        <v>50</v>
      </c>
      <c r="M67" s="1240" t="s">
        <v>50</v>
      </c>
      <c r="N67" s="1253" t="s">
        <v>50</v>
      </c>
      <c r="O67" s="1231" t="s">
        <v>50</v>
      </c>
      <c r="P67" s="1254"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3" t="s">
        <v>1164</v>
      </c>
      <c r="C68" s="1217"/>
      <c r="D68" s="1189"/>
      <c r="E68" s="1189"/>
      <c r="F68" s="1189"/>
      <c r="G68" s="1189"/>
      <c r="H68" s="1189"/>
      <c r="I68" s="1189"/>
      <c r="J68" s="1189"/>
      <c r="K68" s="1189"/>
      <c r="L68" s="1189"/>
      <c r="M68" s="1189"/>
      <c r="N68" s="1189"/>
      <c r="O68" s="1215">
        <f>SUMPRODUCT($C$6:$N$6,C68:N68)</f>
        <v>0</v>
      </c>
      <c r="P68" s="1215">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500" t="s">
        <v>1165</v>
      </c>
      <c r="C69" s="1217"/>
      <c r="D69" s="1189"/>
      <c r="E69" s="1189"/>
      <c r="F69" s="1189"/>
      <c r="G69" s="1189"/>
      <c r="H69" s="1189"/>
      <c r="I69" s="1189"/>
      <c r="J69" s="1189"/>
      <c r="K69" s="1189"/>
      <c r="L69" s="1189"/>
      <c r="M69" s="1189"/>
      <c r="N69" s="1189"/>
      <c r="O69" s="1215">
        <f>SUMPRODUCT($C$6:$N$6,C69:N69)</f>
        <v>0</v>
      </c>
      <c r="P69" s="1215">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4" t="str">
        <f>""&amp;'A - Movement'!$B$23&amp;" Allocated to Drugs - (ENTER AS NEGATIVE)"</f>
        <v>Planning Assumptions still to be finalised at Month 1 Allocated to Drugs - (ENTER AS NEGATIVE)</v>
      </c>
      <c r="C70" s="1217"/>
      <c r="D70" s="1189"/>
      <c r="E70" s="1189"/>
      <c r="F70" s="1189"/>
      <c r="G70" s="1189"/>
      <c r="H70" s="1189"/>
      <c r="I70" s="1189"/>
      <c r="J70" s="1189"/>
      <c r="K70" s="1189"/>
      <c r="L70" s="1189"/>
      <c r="M70" s="1189"/>
      <c r="N70" s="1189"/>
      <c r="O70" s="1215">
        <f>SUMPRODUCT($C$6:$N$6,C70:N70)</f>
        <v>0</v>
      </c>
      <c r="P70" s="1215">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9" t="s">
        <v>1166</v>
      </c>
      <c r="C71" s="1110">
        <f t="shared" ref="C71:P71" si="25">SUM(C68:C70)</f>
        <v>0</v>
      </c>
      <c r="D71" s="1219">
        <f t="shared" si="25"/>
        <v>0</v>
      </c>
      <c r="E71" s="1219">
        <f t="shared" si="25"/>
        <v>0</v>
      </c>
      <c r="F71" s="1219">
        <f t="shared" si="25"/>
        <v>0</v>
      </c>
      <c r="G71" s="1219">
        <f t="shared" si="25"/>
        <v>0</v>
      </c>
      <c r="H71" s="1219">
        <f t="shared" si="25"/>
        <v>0</v>
      </c>
      <c r="I71" s="1219">
        <f t="shared" si="25"/>
        <v>0</v>
      </c>
      <c r="J71" s="1219">
        <f t="shared" si="25"/>
        <v>0</v>
      </c>
      <c r="K71" s="1219">
        <f t="shared" si="25"/>
        <v>0</v>
      </c>
      <c r="L71" s="1219">
        <f t="shared" si="25"/>
        <v>0</v>
      </c>
      <c r="M71" s="1219">
        <f t="shared" si="25"/>
        <v>0</v>
      </c>
      <c r="N71" s="1220">
        <f t="shared" si="25"/>
        <v>0</v>
      </c>
      <c r="O71" s="1101">
        <f t="shared" si="25"/>
        <v>0</v>
      </c>
      <c r="P71" s="1232">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90">
        <f>A71+1</f>
        <v>49</v>
      </c>
      <c r="B72" s="1274" t="s">
        <v>1139</v>
      </c>
      <c r="C72" s="1214"/>
      <c r="D72" s="964"/>
      <c r="E72" s="964"/>
      <c r="F72" s="964"/>
      <c r="G72" s="964"/>
      <c r="H72" s="964"/>
      <c r="I72" s="964"/>
      <c r="J72" s="964"/>
      <c r="K72" s="964"/>
      <c r="L72" s="964"/>
      <c r="M72" s="964"/>
      <c r="N72" s="1242"/>
      <c r="O72" s="1215">
        <f>SUMPRODUCT($C$6:$N$6,C72:N72)</f>
        <v>0</v>
      </c>
      <c r="P72" s="1215">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5" t="s">
        <v>1050</v>
      </c>
      <c r="C73" s="1216"/>
      <c r="D73" s="892"/>
      <c r="E73" s="892"/>
      <c r="F73" s="892"/>
      <c r="G73" s="892"/>
      <c r="H73" s="892"/>
      <c r="I73" s="892"/>
      <c r="J73" s="892"/>
      <c r="K73" s="892"/>
      <c r="L73" s="892"/>
      <c r="M73" s="892"/>
      <c r="N73" s="1247"/>
      <c r="O73" s="1215">
        <f>SUMPRODUCT($C$6:$N$6,C73:N73)</f>
        <v>0</v>
      </c>
      <c r="P73" s="1215">
        <f>SUM(C73:N73)</f>
        <v>0</v>
      </c>
      <c r="Q73" s="1248"/>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5" t="s">
        <v>1082</v>
      </c>
      <c r="C74" s="1216"/>
      <c r="D74" s="892"/>
      <c r="E74" s="892"/>
      <c r="F74" s="892"/>
      <c r="G74" s="892"/>
      <c r="H74" s="892"/>
      <c r="I74" s="892"/>
      <c r="J74" s="892"/>
      <c r="K74" s="892"/>
      <c r="L74" s="892"/>
      <c r="M74" s="892"/>
      <c r="N74" s="1247"/>
      <c r="O74" s="1215">
        <f>SUMPRODUCT($C$6:$N$6,C74:N74)</f>
        <v>0</v>
      </c>
      <c r="P74" s="1215">
        <f>SUM(C74:N74)</f>
        <v>0</v>
      </c>
      <c r="Q74" s="1248"/>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6" t="s">
        <v>1131</v>
      </c>
      <c r="C75" s="1243"/>
      <c r="D75" s="965"/>
      <c r="E75" s="965"/>
      <c r="F75" s="965"/>
      <c r="G75" s="965"/>
      <c r="H75" s="965"/>
      <c r="I75" s="965"/>
      <c r="J75" s="965"/>
      <c r="K75" s="965"/>
      <c r="L75" s="965"/>
      <c r="M75" s="965"/>
      <c r="N75" s="1244"/>
      <c r="O75" s="1215">
        <f>SUMPRODUCT($C$6:$N$6,C75:N75)</f>
        <v>0</v>
      </c>
      <c r="P75" s="1215">
        <f>SUM(C75:N75)</f>
        <v>0</v>
      </c>
      <c r="Q75" s="1248"/>
      <c r="R75" s="80"/>
      <c r="S75" s="80"/>
      <c r="T75" s="80"/>
      <c r="U75" s="80"/>
      <c r="V75" s="80"/>
      <c r="W75" s="80"/>
      <c r="X75" s="80"/>
      <c r="Y75" s="80"/>
      <c r="Z75" s="80"/>
      <c r="AA75" s="80"/>
      <c r="AB75" s="80"/>
      <c r="AC75" s="80"/>
      <c r="AD75" s="80"/>
      <c r="AE75" s="80"/>
      <c r="AF75" s="80"/>
      <c r="AG75" s="80"/>
      <c r="AH75" s="80"/>
      <c r="AI75" s="80"/>
      <c r="AJ75" s="80"/>
      <c r="AK75" s="80"/>
    </row>
    <row r="76" spans="1:37" ht="16" thickBot="1">
      <c r="A76" s="1696">
        <f t="shared" si="26"/>
        <v>53</v>
      </c>
      <c r="B76" s="1277" t="s">
        <v>1140</v>
      </c>
      <c r="C76" s="1218">
        <f>SUM(C72:C75)</f>
        <v>0</v>
      </c>
      <c r="D76" s="1219">
        <f t="shared" ref="D76:O76" si="27">SUM(D72:D75)</f>
        <v>0</v>
      </c>
      <c r="E76" s="1219">
        <f t="shared" si="27"/>
        <v>0</v>
      </c>
      <c r="F76" s="1219">
        <f t="shared" si="27"/>
        <v>0</v>
      </c>
      <c r="G76" s="1219">
        <f t="shared" si="27"/>
        <v>0</v>
      </c>
      <c r="H76" s="1219">
        <f t="shared" si="27"/>
        <v>0</v>
      </c>
      <c r="I76" s="1219">
        <f t="shared" si="27"/>
        <v>0</v>
      </c>
      <c r="J76" s="1219">
        <f t="shared" si="27"/>
        <v>0</v>
      </c>
      <c r="K76" s="1219">
        <f t="shared" si="27"/>
        <v>0</v>
      </c>
      <c r="L76" s="1219">
        <f t="shared" si="27"/>
        <v>0</v>
      </c>
      <c r="M76" s="1219">
        <f t="shared" si="27"/>
        <v>0</v>
      </c>
      <c r="N76" s="1362">
        <f t="shared" si="27"/>
        <v>0</v>
      </c>
      <c r="O76" s="1363">
        <f t="shared" si="27"/>
        <v>0</v>
      </c>
      <c r="P76" s="1101">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2" t="s">
        <v>1034</v>
      </c>
      <c r="C77" s="1245">
        <f t="shared" ref="C77:P77" si="28">C76-C71</f>
        <v>0</v>
      </c>
      <c r="D77" s="1255">
        <f t="shared" si="28"/>
        <v>0</v>
      </c>
      <c r="E77" s="1255">
        <f t="shared" si="28"/>
        <v>0</v>
      </c>
      <c r="F77" s="1255">
        <f t="shared" si="28"/>
        <v>0</v>
      </c>
      <c r="G77" s="1255">
        <f t="shared" si="28"/>
        <v>0</v>
      </c>
      <c r="H77" s="1255">
        <f t="shared" si="28"/>
        <v>0</v>
      </c>
      <c r="I77" s="1255">
        <f t="shared" si="28"/>
        <v>0</v>
      </c>
      <c r="J77" s="1255">
        <f t="shared" si="28"/>
        <v>0</v>
      </c>
      <c r="K77" s="1255">
        <f t="shared" si="28"/>
        <v>0</v>
      </c>
      <c r="L77" s="1255">
        <f t="shared" si="28"/>
        <v>0</v>
      </c>
      <c r="M77" s="1255">
        <f t="shared" si="28"/>
        <v>0</v>
      </c>
      <c r="N77" s="1256">
        <f t="shared" si="28"/>
        <v>0</v>
      </c>
      <c r="O77" s="1363">
        <f t="shared" si="28"/>
        <v>0</v>
      </c>
      <c r="P77" s="1101">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7">
        <f t="shared" si="26"/>
        <v>55</v>
      </c>
      <c r="B78" s="1267" t="s">
        <v>1167</v>
      </c>
      <c r="C78" s="1293">
        <f>'C, C1, C2&amp; C3 - Savings Schemes'!D19</f>
        <v>0</v>
      </c>
      <c r="D78" s="1294">
        <f>'C, C1, C2&amp; C3 - Savings Schemes'!E19</f>
        <v>0</v>
      </c>
      <c r="E78" s="1294">
        <f>'C, C1, C2&amp; C3 - Savings Schemes'!F19</f>
        <v>0</v>
      </c>
      <c r="F78" s="1294">
        <f>'C, C1, C2&amp; C3 - Savings Schemes'!G19</f>
        <v>0</v>
      </c>
      <c r="G78" s="1294">
        <f>'C, C1, C2&amp; C3 - Savings Schemes'!H19</f>
        <v>0</v>
      </c>
      <c r="H78" s="1294">
        <f>'C, C1, C2&amp; C3 - Savings Schemes'!I19</f>
        <v>0</v>
      </c>
      <c r="I78" s="1294">
        <f>'C, C1, C2&amp; C3 - Savings Schemes'!J19</f>
        <v>0</v>
      </c>
      <c r="J78" s="1294">
        <f>'C, C1, C2&amp; C3 - Savings Schemes'!K19</f>
        <v>0</v>
      </c>
      <c r="K78" s="1294">
        <f>'C, C1, C2&amp; C3 - Savings Schemes'!L19</f>
        <v>0</v>
      </c>
      <c r="L78" s="1294">
        <f>'C, C1, C2&amp; C3 - Savings Schemes'!M19</f>
        <v>0</v>
      </c>
      <c r="M78" s="1294">
        <f>'C, C1, C2&amp; C3 - Savings Schemes'!N19</f>
        <v>0</v>
      </c>
      <c r="N78" s="1295">
        <f>'C, C1, C2&amp; C3 - Savings Schemes'!O19</f>
        <v>0</v>
      </c>
      <c r="O78" s="1232">
        <f t="shared" ref="O78:O84" si="29">SUMPRODUCT($C$6:$N$6,C78:N78)</f>
        <v>0</v>
      </c>
      <c r="P78" s="1101">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90">
        <f t="shared" si="26"/>
        <v>56</v>
      </c>
      <c r="B79" s="1268" t="s">
        <v>499</v>
      </c>
      <c r="C79" s="1693">
        <f>'C, C1, C2&amp; C3 - Savings Schemes'!D20</f>
        <v>0</v>
      </c>
      <c r="D79" s="1694">
        <f>'C, C1, C2&amp; C3 - Savings Schemes'!E20</f>
        <v>0</v>
      </c>
      <c r="E79" s="1694">
        <f>'C, C1, C2&amp; C3 - Savings Schemes'!F20</f>
        <v>0</v>
      </c>
      <c r="F79" s="1694">
        <f>'C, C1, C2&amp; C3 - Savings Schemes'!G20</f>
        <v>0</v>
      </c>
      <c r="G79" s="1694">
        <f>'C, C1, C2&amp; C3 - Savings Schemes'!H20</f>
        <v>0</v>
      </c>
      <c r="H79" s="1694">
        <f>'C, C1, C2&amp; C3 - Savings Schemes'!I20</f>
        <v>0</v>
      </c>
      <c r="I79" s="1694">
        <f>'C, C1, C2&amp; C3 - Savings Schemes'!J20</f>
        <v>0</v>
      </c>
      <c r="J79" s="1694">
        <f>'C, C1, C2&amp; C3 - Savings Schemes'!K20</f>
        <v>0</v>
      </c>
      <c r="K79" s="1694">
        <f>'C, C1, C2&amp; C3 - Savings Schemes'!L20</f>
        <v>0</v>
      </c>
      <c r="L79" s="1694">
        <f>'C, C1, C2&amp; C3 - Savings Schemes'!M20</f>
        <v>0</v>
      </c>
      <c r="M79" s="1694">
        <f>'C, C1, C2&amp; C3 - Savings Schemes'!N20</f>
        <v>0</v>
      </c>
      <c r="N79" s="1695">
        <f>'C, C1, C2&amp; C3 - Savings Schemes'!O20</f>
        <v>0</v>
      </c>
      <c r="O79" s="1233">
        <f t="shared" si="29"/>
        <v>0</v>
      </c>
      <c r="P79" s="1215">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500" t="s">
        <v>1083</v>
      </c>
      <c r="C80" s="2501"/>
      <c r="D80" s="1189"/>
      <c r="E80" s="1189"/>
      <c r="F80" s="1189"/>
      <c r="G80" s="1189"/>
      <c r="H80" s="1189"/>
      <c r="I80" s="1189"/>
      <c r="J80" s="1189"/>
      <c r="K80" s="1189"/>
      <c r="L80" s="1189"/>
      <c r="M80" s="1189"/>
      <c r="N80" s="1189"/>
      <c r="O80" s="1692">
        <f t="shared" si="29"/>
        <v>0</v>
      </c>
      <c r="P80" s="1692">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8" t="s">
        <v>1107</v>
      </c>
      <c r="C81" s="1218">
        <f t="shared" ref="C81:N81" si="31">C79-C78-C80</f>
        <v>0</v>
      </c>
      <c r="D81" s="1219">
        <f t="shared" si="31"/>
        <v>0</v>
      </c>
      <c r="E81" s="1219">
        <f t="shared" si="31"/>
        <v>0</v>
      </c>
      <c r="F81" s="1219">
        <f t="shared" si="31"/>
        <v>0</v>
      </c>
      <c r="G81" s="1219">
        <f t="shared" si="31"/>
        <v>0</v>
      </c>
      <c r="H81" s="1219">
        <f t="shared" si="31"/>
        <v>0</v>
      </c>
      <c r="I81" s="1219">
        <f t="shared" si="31"/>
        <v>0</v>
      </c>
      <c r="J81" s="1219">
        <f t="shared" si="31"/>
        <v>0</v>
      </c>
      <c r="K81" s="1219">
        <f t="shared" si="31"/>
        <v>0</v>
      </c>
      <c r="L81" s="1219">
        <f t="shared" si="31"/>
        <v>0</v>
      </c>
      <c r="M81" s="1219">
        <f t="shared" si="31"/>
        <v>0</v>
      </c>
      <c r="N81" s="1362">
        <f t="shared" si="31"/>
        <v>0</v>
      </c>
      <c r="O81" s="1101">
        <f t="shared" si="29"/>
        <v>0</v>
      </c>
      <c r="P81" s="1101">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90">
        <f>SUMIFS('Table C4 Tracker'!AI$43:AI$1496,'Table C4 Tracker'!$O$43:$O$1496, "&lt;&gt;Red",'Table C4 Tracker'!$S$43:$S$1496,'Table C4 Tracker'!$CS$3,'Table C4 Tracker'!$R$43:$R$1496, 'Table C4 Tracker'!$CQ$3)</f>
        <v>0</v>
      </c>
      <c r="D82" s="1291">
        <f>SUMIFS('Table C4 Tracker'!AJ$43:AJ$1496,'Table C4 Tracker'!$O$43:$O$1496, "&lt;&gt;Red",'Table C4 Tracker'!$S$43:$S$1496,'Table C4 Tracker'!$CS$3,'Table C4 Tracker'!$R$43:$R$1496, 'Table C4 Tracker'!$CQ$3)</f>
        <v>0</v>
      </c>
      <c r="E82" s="1291">
        <f>SUMIFS('Table C4 Tracker'!AK$43:AK$1496,'Table C4 Tracker'!$O$43:$O$1496, "&lt;&gt;Red",'Table C4 Tracker'!$S$43:$S$1496,'Table C4 Tracker'!$CS$3,'Table C4 Tracker'!$R$43:$R$1496, 'Table C4 Tracker'!$CQ$3)</f>
        <v>0</v>
      </c>
      <c r="F82" s="1291">
        <f>SUMIFS('Table C4 Tracker'!AL$43:AL$1496,'Table C4 Tracker'!$O$43:$O$1496, "&lt;&gt;Red",'Table C4 Tracker'!$S$43:$S$1496,'Table C4 Tracker'!$CS$3,'Table C4 Tracker'!$R$43:$R$1496, 'Table C4 Tracker'!$CQ$3)</f>
        <v>0</v>
      </c>
      <c r="G82" s="1291">
        <f>SUMIFS('Table C4 Tracker'!AM$43:AM$1496,'Table C4 Tracker'!$O$43:$O$1496, "&lt;&gt;Red",'Table C4 Tracker'!$S$43:$S$1496,'Table C4 Tracker'!$CS$3,'Table C4 Tracker'!$R$43:$R$1496, 'Table C4 Tracker'!$CQ$3)</f>
        <v>0</v>
      </c>
      <c r="H82" s="1291">
        <f>SUMIFS('Table C4 Tracker'!AN$43:AN$1496,'Table C4 Tracker'!$O$43:$O$1496, "&lt;&gt;Red",'Table C4 Tracker'!$S$43:$S$1496,'Table C4 Tracker'!$CS$3,'Table C4 Tracker'!$R$43:$R$1496, 'Table C4 Tracker'!$CQ$3)</f>
        <v>0</v>
      </c>
      <c r="I82" s="1291">
        <f>SUMIFS('Table C4 Tracker'!AO$43:AO$1496,'Table C4 Tracker'!$O$43:$O$1496, "&lt;&gt;Red",'Table C4 Tracker'!$S$43:$S$1496,'Table C4 Tracker'!$CS$3,'Table C4 Tracker'!$R$43:$R$1496, 'Table C4 Tracker'!$CQ$3)</f>
        <v>0</v>
      </c>
      <c r="J82" s="1291">
        <f>SUMIFS('Table C4 Tracker'!AP$43:AP$1496,'Table C4 Tracker'!$O$43:$O$1496, "&lt;&gt;Red",'Table C4 Tracker'!$S$43:$S$1496,'Table C4 Tracker'!$CS$3,'Table C4 Tracker'!$R$43:$R$1496, 'Table C4 Tracker'!$CQ$3)</f>
        <v>0</v>
      </c>
      <c r="K82" s="1291">
        <f>SUMIFS('Table C4 Tracker'!AQ$43:AQ$1496,'Table C4 Tracker'!$O$43:$O$1496, "&lt;&gt;Red",'Table C4 Tracker'!$S$43:$S$1496,'Table C4 Tracker'!$CS$3,'Table C4 Tracker'!$R$43:$R$1496, 'Table C4 Tracker'!$CQ$3)</f>
        <v>0</v>
      </c>
      <c r="L82" s="1291">
        <f>SUMIFS('Table C4 Tracker'!AR$43:AR$1496,'Table C4 Tracker'!$O$43:$O$1496, "&lt;&gt;Red",'Table C4 Tracker'!$S$43:$S$1496,'Table C4 Tracker'!$CS$3,'Table C4 Tracker'!$R$43:$R$1496, 'Table C4 Tracker'!$CQ$3)</f>
        <v>0</v>
      </c>
      <c r="M82" s="1291">
        <f>SUMIFS('Table C4 Tracker'!AS$43:AS$1496,'Table C4 Tracker'!$O$43:$O$1496, "&lt;&gt;Red",'Table C4 Tracker'!$S$43:$S$1496,'Table C4 Tracker'!$CS$3,'Table C4 Tracker'!$R$43:$R$1496, 'Table C4 Tracker'!$CQ$3)</f>
        <v>0</v>
      </c>
      <c r="N82" s="1292">
        <f>SUMIFS('Table C4 Tracker'!AT$43:AT$1496,'Table C4 Tracker'!$O$43:$O$1496, "&lt;&gt;Red",'Table C4 Tracker'!$S$43:$S$1496,'Table C4 Tracker'!$CS$3,'Table C4 Tracker'!$R$43:$R$1496, 'Table C4 Tracker'!$CQ$3)</f>
        <v>0</v>
      </c>
      <c r="O82" s="1215">
        <f t="shared" si="29"/>
        <v>0</v>
      </c>
      <c r="P82" s="1215">
        <f t="shared" si="30"/>
        <v>0</v>
      </c>
      <c r="Q82" s="1248"/>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9" t="s">
        <v>1051</v>
      </c>
      <c r="C83" s="2503"/>
      <c r="D83" s="2504"/>
      <c r="E83" s="2504"/>
      <c r="F83" s="2504"/>
      <c r="G83" s="2504"/>
      <c r="H83" s="2504"/>
      <c r="I83" s="2504"/>
      <c r="J83" s="2504"/>
      <c r="K83" s="2504"/>
      <c r="L83" s="2504"/>
      <c r="M83" s="2504"/>
      <c r="N83" s="2505"/>
      <c r="O83" s="1692">
        <f t="shared" si="29"/>
        <v>0</v>
      </c>
      <c r="P83" s="1692">
        <f t="shared" si="30"/>
        <v>0</v>
      </c>
      <c r="Q83" s="1248"/>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5" t="s">
        <v>1168</v>
      </c>
      <c r="C84" s="2506"/>
      <c r="D84" s="2502"/>
      <c r="E84" s="2502"/>
      <c r="F84" s="2502"/>
      <c r="G84" s="2502"/>
      <c r="H84" s="2502"/>
      <c r="I84" s="2502"/>
      <c r="J84" s="2502"/>
      <c r="K84" s="2502"/>
      <c r="L84" s="2502"/>
      <c r="M84" s="2502"/>
      <c r="N84" s="2502"/>
      <c r="O84" s="1101">
        <f t="shared" si="29"/>
        <v>0</v>
      </c>
      <c r="P84" s="1101">
        <f t="shared" si="30"/>
        <v>0</v>
      </c>
      <c r="Q84" s="1248"/>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6">
        <f>A84+1</f>
        <v>62</v>
      </c>
      <c r="B86" s="1270" t="s">
        <v>1169</v>
      </c>
      <c r="C86" s="1110">
        <f>C71-C78</f>
        <v>0</v>
      </c>
      <c r="D86" s="1110">
        <f t="shared" ref="D86:P86" si="32">D71-D78</f>
        <v>0</v>
      </c>
      <c r="E86" s="1110">
        <f t="shared" si="32"/>
        <v>0</v>
      </c>
      <c r="F86" s="1110">
        <f t="shared" si="32"/>
        <v>0</v>
      </c>
      <c r="G86" s="1110">
        <f t="shared" si="32"/>
        <v>0</v>
      </c>
      <c r="H86" s="1110">
        <f t="shared" si="32"/>
        <v>0</v>
      </c>
      <c r="I86" s="1110">
        <f t="shared" si="32"/>
        <v>0</v>
      </c>
      <c r="J86" s="1110">
        <f t="shared" si="32"/>
        <v>0</v>
      </c>
      <c r="K86" s="1110">
        <f t="shared" si="32"/>
        <v>0</v>
      </c>
      <c r="L86" s="1110">
        <f t="shared" si="32"/>
        <v>0</v>
      </c>
      <c r="M86" s="1110">
        <f t="shared" si="32"/>
        <v>0</v>
      </c>
      <c r="N86" s="1110">
        <f t="shared" si="32"/>
        <v>0</v>
      </c>
      <c r="O86" s="1110">
        <f t="shared" si="32"/>
        <v>0</v>
      </c>
      <c r="P86" s="1110">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70" t="s">
        <v>1053</v>
      </c>
      <c r="C87" s="1110">
        <f>C76-C79-C82-C83-C84</f>
        <v>0</v>
      </c>
      <c r="D87" s="1110">
        <f t="shared" ref="D87:P87" si="33">D76-D79-D82-D83-D84</f>
        <v>0</v>
      </c>
      <c r="E87" s="1110">
        <f t="shared" si="33"/>
        <v>0</v>
      </c>
      <c r="F87" s="1110">
        <f t="shared" si="33"/>
        <v>0</v>
      </c>
      <c r="G87" s="1110">
        <f t="shared" si="33"/>
        <v>0</v>
      </c>
      <c r="H87" s="1110">
        <f t="shared" si="33"/>
        <v>0</v>
      </c>
      <c r="I87" s="1110">
        <f t="shared" si="33"/>
        <v>0</v>
      </c>
      <c r="J87" s="1110">
        <f t="shared" si="33"/>
        <v>0</v>
      </c>
      <c r="K87" s="1110">
        <f t="shared" si="33"/>
        <v>0</v>
      </c>
      <c r="L87" s="1110">
        <f t="shared" si="33"/>
        <v>0</v>
      </c>
      <c r="M87" s="1110">
        <f t="shared" si="33"/>
        <v>0</v>
      </c>
      <c r="N87" s="1110">
        <f t="shared" si="33"/>
        <v>0</v>
      </c>
      <c r="O87" s="1110">
        <f t="shared" si="33"/>
        <v>0</v>
      </c>
      <c r="P87" s="1110">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7">
        <f>A87+1</f>
        <v>64</v>
      </c>
      <c r="B88" s="1270" t="s">
        <v>1054</v>
      </c>
      <c r="C88" s="1110">
        <f t="shared" ref="C88:P88" si="34">C87-C86</f>
        <v>0</v>
      </c>
      <c r="D88" s="1110">
        <f t="shared" si="34"/>
        <v>0</v>
      </c>
      <c r="E88" s="1110">
        <f t="shared" si="34"/>
        <v>0</v>
      </c>
      <c r="F88" s="1110">
        <f t="shared" si="34"/>
        <v>0</v>
      </c>
      <c r="G88" s="1110">
        <f t="shared" si="34"/>
        <v>0</v>
      </c>
      <c r="H88" s="1110">
        <f t="shared" si="34"/>
        <v>0</v>
      </c>
      <c r="I88" s="1110">
        <f t="shared" si="34"/>
        <v>0</v>
      </c>
      <c r="J88" s="1110">
        <f t="shared" si="34"/>
        <v>0</v>
      </c>
      <c r="K88" s="1110">
        <f t="shared" si="34"/>
        <v>0</v>
      </c>
      <c r="L88" s="1110">
        <f t="shared" si="34"/>
        <v>0</v>
      </c>
      <c r="M88" s="1110">
        <f t="shared" si="34"/>
        <v>0</v>
      </c>
      <c r="N88" s="1110">
        <f t="shared" si="34"/>
        <v>0</v>
      </c>
      <c r="O88" s="1110">
        <f t="shared" si="34"/>
        <v>0</v>
      </c>
      <c r="P88" s="1110">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7">
        <f>A88+1</f>
        <v>65</v>
      </c>
      <c r="B89" s="1270" t="s">
        <v>1084</v>
      </c>
      <c r="C89" s="1110">
        <f>C73-C69-C80-C83-C84</f>
        <v>0</v>
      </c>
      <c r="D89" s="1110">
        <f t="shared" ref="D89:P89" si="35">D73-D69-D80-D83-D84</f>
        <v>0</v>
      </c>
      <c r="E89" s="1110">
        <f t="shared" si="35"/>
        <v>0</v>
      </c>
      <c r="F89" s="1110">
        <f t="shared" si="35"/>
        <v>0</v>
      </c>
      <c r="G89" s="1110">
        <f t="shared" si="35"/>
        <v>0</v>
      </c>
      <c r="H89" s="1110">
        <f t="shared" si="35"/>
        <v>0</v>
      </c>
      <c r="I89" s="1110">
        <f t="shared" si="35"/>
        <v>0</v>
      </c>
      <c r="J89" s="1110">
        <f t="shared" si="35"/>
        <v>0</v>
      </c>
      <c r="K89" s="1110">
        <f t="shared" si="35"/>
        <v>0</v>
      </c>
      <c r="L89" s="1110">
        <f t="shared" si="35"/>
        <v>0</v>
      </c>
      <c r="M89" s="1110">
        <f t="shared" si="35"/>
        <v>0</v>
      </c>
      <c r="N89" s="1110">
        <f t="shared" si="35"/>
        <v>0</v>
      </c>
      <c r="O89" s="1110">
        <f t="shared" si="35"/>
        <v>0</v>
      </c>
      <c r="P89" s="1110">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7">
        <f>A89+1</f>
        <v>66</v>
      </c>
      <c r="B90" s="1270" t="s">
        <v>1055</v>
      </c>
      <c r="C90" s="1110">
        <f t="shared" ref="C90:P90" si="36">C88-C89</f>
        <v>0</v>
      </c>
      <c r="D90" s="1110">
        <f t="shared" si="36"/>
        <v>0</v>
      </c>
      <c r="E90" s="1110">
        <f t="shared" si="36"/>
        <v>0</v>
      </c>
      <c r="F90" s="1110">
        <f t="shared" si="36"/>
        <v>0</v>
      </c>
      <c r="G90" s="1110">
        <f t="shared" si="36"/>
        <v>0</v>
      </c>
      <c r="H90" s="1110">
        <f t="shared" si="36"/>
        <v>0</v>
      </c>
      <c r="I90" s="1110">
        <f t="shared" si="36"/>
        <v>0</v>
      </c>
      <c r="J90" s="1110">
        <f t="shared" si="36"/>
        <v>0</v>
      </c>
      <c r="K90" s="1110">
        <f t="shared" si="36"/>
        <v>0</v>
      </c>
      <c r="L90" s="1110">
        <f t="shared" si="36"/>
        <v>0</v>
      </c>
      <c r="M90" s="1110">
        <f t="shared" si="36"/>
        <v>0</v>
      </c>
      <c r="N90" s="1110">
        <f t="shared" si="36"/>
        <v>0</v>
      </c>
      <c r="O90" s="1110">
        <f t="shared" si="36"/>
        <v>0</v>
      </c>
      <c r="P90" s="1110">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5"/>
      <c r="C94" s="1236">
        <v>1</v>
      </c>
      <c r="D94" s="1222">
        <v>2</v>
      </c>
      <c r="E94" s="1222">
        <v>3</v>
      </c>
      <c r="F94" s="1222">
        <v>4</v>
      </c>
      <c r="G94" s="1222">
        <v>5</v>
      </c>
      <c r="H94" s="1222">
        <v>6</v>
      </c>
      <c r="I94" s="1222">
        <v>7</v>
      </c>
      <c r="J94" s="1222">
        <v>8</v>
      </c>
      <c r="K94" s="1222">
        <v>9</v>
      </c>
      <c r="L94" s="1222">
        <v>10</v>
      </c>
      <c r="M94" s="1222">
        <v>11</v>
      </c>
      <c r="N94" s="1221">
        <v>12</v>
      </c>
      <c r="O94" s="1237"/>
      <c r="P94" s="1211"/>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2" t="s">
        <v>501</v>
      </c>
      <c r="C95" s="1238" t="s">
        <v>181</v>
      </c>
      <c r="D95" s="1225" t="s">
        <v>89</v>
      </c>
      <c r="E95" s="1225" t="s">
        <v>90</v>
      </c>
      <c r="F95" s="1225" t="s">
        <v>91</v>
      </c>
      <c r="G95" s="1225" t="s">
        <v>92</v>
      </c>
      <c r="H95" s="1225" t="s">
        <v>93</v>
      </c>
      <c r="I95" s="1225" t="s">
        <v>94</v>
      </c>
      <c r="J95" s="1225" t="s">
        <v>95</v>
      </c>
      <c r="K95" s="1225" t="s">
        <v>96</v>
      </c>
      <c r="L95" s="1225" t="s">
        <v>97</v>
      </c>
      <c r="M95" s="1225" t="s">
        <v>98</v>
      </c>
      <c r="N95" s="1226" t="s">
        <v>99</v>
      </c>
      <c r="O95" s="1227" t="s">
        <v>493</v>
      </c>
      <c r="P95" s="1227"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3"/>
      <c r="C96" s="1239" t="s">
        <v>50</v>
      </c>
      <c r="D96" s="1240" t="s">
        <v>50</v>
      </c>
      <c r="E96" s="1240" t="s">
        <v>50</v>
      </c>
      <c r="F96" s="1240" t="s">
        <v>50</v>
      </c>
      <c r="G96" s="1240" t="s">
        <v>50</v>
      </c>
      <c r="H96" s="1240" t="s">
        <v>50</v>
      </c>
      <c r="I96" s="1240" t="s">
        <v>50</v>
      </c>
      <c r="J96" s="1240" t="s">
        <v>50</v>
      </c>
      <c r="K96" s="1240" t="s">
        <v>50</v>
      </c>
      <c r="L96" s="1240" t="s">
        <v>50</v>
      </c>
      <c r="M96" s="1240" t="s">
        <v>50</v>
      </c>
      <c r="N96" s="1241" t="s">
        <v>50</v>
      </c>
      <c r="O96" s="1231" t="s">
        <v>50</v>
      </c>
      <c r="P96" s="1231"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3" t="s">
        <v>1170</v>
      </c>
      <c r="C97" s="1217"/>
      <c r="D97" s="1189"/>
      <c r="E97" s="1189"/>
      <c r="F97" s="1189"/>
      <c r="G97" s="1189"/>
      <c r="H97" s="1189"/>
      <c r="I97" s="1189"/>
      <c r="J97" s="1189"/>
      <c r="K97" s="1189"/>
      <c r="L97" s="1189"/>
      <c r="M97" s="1189"/>
      <c r="N97" s="1189"/>
      <c r="O97" s="1215">
        <f>SUMPRODUCT($C$6:$N$6,C97:N97)</f>
        <v>0</v>
      </c>
      <c r="P97" s="1215">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500" t="s">
        <v>1171</v>
      </c>
      <c r="C98" s="1217"/>
      <c r="D98" s="1189"/>
      <c r="E98" s="1189"/>
      <c r="F98" s="1189"/>
      <c r="G98" s="1189"/>
      <c r="H98" s="1189"/>
      <c r="I98" s="1189"/>
      <c r="J98" s="1189"/>
      <c r="K98" s="1189"/>
      <c r="L98" s="1189"/>
      <c r="M98" s="1189"/>
      <c r="N98" s="1189"/>
      <c r="O98" s="1215">
        <f>SUMPRODUCT($C$6:$N$6,C98:N98)</f>
        <v>0</v>
      </c>
      <c r="P98" s="1215">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4" t="str">
        <f>""&amp;'A - Movement'!$B$23&amp;" Allocated to Primary Care - (ENTER AS NEGATIVE)"</f>
        <v>Planning Assumptions still to be finalised at Month 1 Allocated to Primary Care - (ENTER AS NEGATIVE)</v>
      </c>
      <c r="C99" s="1217"/>
      <c r="D99" s="1189"/>
      <c r="E99" s="1189"/>
      <c r="F99" s="1189"/>
      <c r="G99" s="1189"/>
      <c r="H99" s="1189"/>
      <c r="I99" s="1189"/>
      <c r="J99" s="1189"/>
      <c r="K99" s="1189"/>
      <c r="L99" s="1189"/>
      <c r="M99" s="1189"/>
      <c r="N99" s="1189"/>
      <c r="O99" s="1215">
        <f>SUMPRODUCT($C$6:$N$6,C99:N99)</f>
        <v>0</v>
      </c>
      <c r="P99" s="1215">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100" t="s">
        <v>1172</v>
      </c>
      <c r="C100" s="1110">
        <f t="shared" ref="C100:P100" si="38">SUM(C97:C99)</f>
        <v>0</v>
      </c>
      <c r="D100" s="1219">
        <f t="shared" si="38"/>
        <v>0</v>
      </c>
      <c r="E100" s="1219">
        <f t="shared" si="38"/>
        <v>0</v>
      </c>
      <c r="F100" s="1219">
        <f t="shared" si="38"/>
        <v>0</v>
      </c>
      <c r="G100" s="1219">
        <f t="shared" si="38"/>
        <v>0</v>
      </c>
      <c r="H100" s="1219">
        <f t="shared" si="38"/>
        <v>0</v>
      </c>
      <c r="I100" s="1219">
        <f t="shared" si="38"/>
        <v>0</v>
      </c>
      <c r="J100" s="1219">
        <f t="shared" si="38"/>
        <v>0</v>
      </c>
      <c r="K100" s="1219">
        <f t="shared" si="38"/>
        <v>0</v>
      </c>
      <c r="L100" s="1219">
        <f t="shared" si="38"/>
        <v>0</v>
      </c>
      <c r="M100" s="1219">
        <f t="shared" si="38"/>
        <v>0</v>
      </c>
      <c r="N100" s="1220">
        <f t="shared" si="38"/>
        <v>0</v>
      </c>
      <c r="O100" s="1101">
        <f t="shared" si="38"/>
        <v>0</v>
      </c>
      <c r="P100" s="1232">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8" t="s">
        <v>502</v>
      </c>
      <c r="C101" s="1214"/>
      <c r="D101" s="1214"/>
      <c r="E101" s="1214"/>
      <c r="F101" s="1214"/>
      <c r="G101" s="1214"/>
      <c r="H101" s="1214"/>
      <c r="I101" s="1214"/>
      <c r="J101" s="1214"/>
      <c r="K101" s="1214"/>
      <c r="L101" s="1214"/>
      <c r="M101" s="1214"/>
      <c r="N101" s="1214"/>
      <c r="O101" s="1215">
        <f>SUMPRODUCT($C$6:$N$6,C101:N101)</f>
        <v>0</v>
      </c>
      <c r="P101" s="1215">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8" t="s">
        <v>521</v>
      </c>
      <c r="C102" s="1214"/>
      <c r="D102" s="1214"/>
      <c r="E102" s="1214"/>
      <c r="F102" s="1214"/>
      <c r="G102" s="1214"/>
      <c r="H102" s="1214"/>
      <c r="I102" s="1214"/>
      <c r="J102" s="1214"/>
      <c r="K102" s="1214"/>
      <c r="L102" s="1214"/>
      <c r="M102" s="1214"/>
      <c r="N102" s="1214"/>
      <c r="O102" s="1215">
        <f>SUMPRODUCT($C$6:$N$6,C102:N102)</f>
        <v>0</v>
      </c>
      <c r="P102" s="1215">
        <f>SUM(C102:N102)</f>
        <v>0</v>
      </c>
      <c r="Q102" s="1248"/>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5" t="s">
        <v>1085</v>
      </c>
      <c r="C103" s="1214"/>
      <c r="D103" s="1214"/>
      <c r="E103" s="1214"/>
      <c r="F103" s="1214"/>
      <c r="G103" s="1214"/>
      <c r="H103" s="1214"/>
      <c r="I103" s="1214"/>
      <c r="J103" s="1214"/>
      <c r="K103" s="1214"/>
      <c r="L103" s="1214"/>
      <c r="M103" s="1214"/>
      <c r="N103" s="1214"/>
      <c r="O103" s="1215">
        <f>SUMPRODUCT($C$6:$N$6,C103:N103)</f>
        <v>0</v>
      </c>
      <c r="P103" s="1215">
        <f>SUM(C103:N103)</f>
        <v>0</v>
      </c>
      <c r="Q103" s="1248"/>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9" t="s">
        <v>1130</v>
      </c>
      <c r="C104" s="1243"/>
      <c r="D104" s="965"/>
      <c r="E104" s="965"/>
      <c r="F104" s="965"/>
      <c r="G104" s="965"/>
      <c r="H104" s="965"/>
      <c r="I104" s="965"/>
      <c r="J104" s="965"/>
      <c r="K104" s="965"/>
      <c r="L104" s="965"/>
      <c r="M104" s="965"/>
      <c r="N104" s="1244"/>
      <c r="O104" s="1215">
        <f>SUMPRODUCT($C$6:$N$6,C104:N104)</f>
        <v>0</v>
      </c>
      <c r="P104" s="1215">
        <f>SUM(C104:N104)</f>
        <v>0</v>
      </c>
      <c r="Q104" s="1248"/>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2" t="s">
        <v>1143</v>
      </c>
      <c r="C105" s="1218">
        <f>SUM(C101:C104)</f>
        <v>0</v>
      </c>
      <c r="D105" s="1218">
        <f t="shared" ref="D105:P105" si="40">SUM(D101:D104)</f>
        <v>0</v>
      </c>
      <c r="E105" s="1218">
        <f t="shared" si="40"/>
        <v>0</v>
      </c>
      <c r="F105" s="1218">
        <f t="shared" si="40"/>
        <v>0</v>
      </c>
      <c r="G105" s="1218">
        <f t="shared" si="40"/>
        <v>0</v>
      </c>
      <c r="H105" s="1218">
        <f t="shared" si="40"/>
        <v>0</v>
      </c>
      <c r="I105" s="1218">
        <f t="shared" si="40"/>
        <v>0</v>
      </c>
      <c r="J105" s="1218">
        <f t="shared" si="40"/>
        <v>0</v>
      </c>
      <c r="K105" s="1218">
        <f t="shared" si="40"/>
        <v>0</v>
      </c>
      <c r="L105" s="1218">
        <f>SUM(L101:L104)</f>
        <v>0</v>
      </c>
      <c r="M105" s="1218">
        <f t="shared" si="40"/>
        <v>0</v>
      </c>
      <c r="N105" s="1299">
        <f t="shared" si="40"/>
        <v>0</v>
      </c>
      <c r="O105" s="1101">
        <f t="shared" si="40"/>
        <v>0</v>
      </c>
      <c r="P105" s="1101">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2" t="s">
        <v>1035</v>
      </c>
      <c r="C106" s="1245">
        <f>C105-C100</f>
        <v>0</v>
      </c>
      <c r="D106" s="1245">
        <f t="shared" ref="D106:P106" si="41">D105-D100</f>
        <v>0</v>
      </c>
      <c r="E106" s="1245">
        <f t="shared" si="41"/>
        <v>0</v>
      </c>
      <c r="F106" s="1245">
        <f t="shared" si="41"/>
        <v>0</v>
      </c>
      <c r="G106" s="1245">
        <f t="shared" si="41"/>
        <v>0</v>
      </c>
      <c r="H106" s="1245">
        <f t="shared" si="41"/>
        <v>0</v>
      </c>
      <c r="I106" s="1245">
        <f t="shared" si="41"/>
        <v>0</v>
      </c>
      <c r="J106" s="1245">
        <f t="shared" si="41"/>
        <v>0</v>
      </c>
      <c r="K106" s="1245">
        <f t="shared" si="41"/>
        <v>0</v>
      </c>
      <c r="L106" s="1245">
        <f t="shared" si="41"/>
        <v>0</v>
      </c>
      <c r="M106" s="1245">
        <f t="shared" si="41"/>
        <v>0</v>
      </c>
      <c r="N106" s="1365">
        <f t="shared" si="41"/>
        <v>0</v>
      </c>
      <c r="O106" s="1363">
        <f t="shared" si="41"/>
        <v>0</v>
      </c>
      <c r="P106" s="1101">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90">
        <f t="shared" si="39"/>
        <v>77</v>
      </c>
      <c r="B107" s="1273" t="s">
        <v>1173</v>
      </c>
      <c r="C107" s="1293">
        <f>'C, C1, C2&amp; C3 - Savings Schemes'!D28</f>
        <v>0</v>
      </c>
      <c r="D107" s="1294">
        <f>'C, C1, C2&amp; C3 - Savings Schemes'!E28</f>
        <v>0</v>
      </c>
      <c r="E107" s="1294">
        <f>'C, C1, C2&amp; C3 - Savings Schemes'!F28</f>
        <v>0</v>
      </c>
      <c r="F107" s="1294">
        <f>'C, C1, C2&amp; C3 - Savings Schemes'!G28</f>
        <v>0</v>
      </c>
      <c r="G107" s="1294">
        <f>'C, C1, C2&amp; C3 - Savings Schemes'!H28</f>
        <v>0</v>
      </c>
      <c r="H107" s="1294">
        <f>'C, C1, C2&amp; C3 - Savings Schemes'!I28</f>
        <v>0</v>
      </c>
      <c r="I107" s="1294">
        <f>'C, C1, C2&amp; C3 - Savings Schemes'!J28</f>
        <v>0</v>
      </c>
      <c r="J107" s="1294">
        <f>'C, C1, C2&amp; C3 - Savings Schemes'!K28</f>
        <v>0</v>
      </c>
      <c r="K107" s="1294">
        <f>'C, C1, C2&amp; C3 - Savings Schemes'!L28</f>
        <v>0</v>
      </c>
      <c r="L107" s="1294">
        <f>'C, C1, C2&amp; C3 - Savings Schemes'!M28</f>
        <v>0</v>
      </c>
      <c r="M107" s="1294">
        <f>'C, C1, C2&amp; C3 - Savings Schemes'!N28</f>
        <v>0</v>
      </c>
      <c r="N107" s="1295">
        <f>'C, C1, C2&amp; C3 - Savings Schemes'!O28</f>
        <v>0</v>
      </c>
      <c r="O107" s="1232">
        <f t="shared" ref="O107:O113" si="42">SUMPRODUCT($C$6:$N$6,C107:N107)</f>
        <v>0</v>
      </c>
      <c r="P107" s="1101">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1" t="s">
        <v>503</v>
      </c>
      <c r="C108" s="1296">
        <f>'C, C1, C2&amp; C3 - Savings Schemes'!D29</f>
        <v>0</v>
      </c>
      <c r="D108" s="1297">
        <f>'C, C1, C2&amp; C3 - Savings Schemes'!E29</f>
        <v>0</v>
      </c>
      <c r="E108" s="1297">
        <f>'C, C1, C2&amp; C3 - Savings Schemes'!F29</f>
        <v>0</v>
      </c>
      <c r="F108" s="1297">
        <f>'C, C1, C2&amp; C3 - Savings Schemes'!G29</f>
        <v>0</v>
      </c>
      <c r="G108" s="1297">
        <f>'C, C1, C2&amp; C3 - Savings Schemes'!H29</f>
        <v>0</v>
      </c>
      <c r="H108" s="1297">
        <f>'C, C1, C2&amp; C3 - Savings Schemes'!I29</f>
        <v>0</v>
      </c>
      <c r="I108" s="1297">
        <f>'C, C1, C2&amp; C3 - Savings Schemes'!J29</f>
        <v>0</v>
      </c>
      <c r="J108" s="1297">
        <f>'C, C1, C2&amp; C3 - Savings Schemes'!K29</f>
        <v>0</v>
      </c>
      <c r="K108" s="1297">
        <f>'C, C1, C2&amp; C3 - Savings Schemes'!L29</f>
        <v>0</v>
      </c>
      <c r="L108" s="1297">
        <f>'C, C1, C2&amp; C3 - Savings Schemes'!M29</f>
        <v>0</v>
      </c>
      <c r="M108" s="1297">
        <f>'C, C1, C2&amp; C3 - Savings Schemes'!N29</f>
        <v>0</v>
      </c>
      <c r="N108" s="1298">
        <f>'C, C1, C2&amp; C3 - Savings Schemes'!O29</f>
        <v>0</v>
      </c>
      <c r="O108" s="1233">
        <f t="shared" si="42"/>
        <v>0</v>
      </c>
      <c r="P108" s="1215">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500" t="s">
        <v>1086</v>
      </c>
      <c r="C109" s="2501"/>
      <c r="D109" s="1189"/>
      <c r="E109" s="1189"/>
      <c r="F109" s="1189"/>
      <c r="G109" s="1189"/>
      <c r="H109" s="1189"/>
      <c r="I109" s="1189"/>
      <c r="J109" s="1189"/>
      <c r="K109" s="1189"/>
      <c r="L109" s="1189"/>
      <c r="M109" s="1189"/>
      <c r="N109" s="1189"/>
      <c r="O109" s="1692">
        <f t="shared" si="42"/>
        <v>0</v>
      </c>
      <c r="P109" s="1692">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8" t="s">
        <v>1105</v>
      </c>
      <c r="C110" s="1218">
        <f t="shared" ref="C110:N110" si="44">C108-C107-C109</f>
        <v>0</v>
      </c>
      <c r="D110" s="1219">
        <f t="shared" si="44"/>
        <v>0</v>
      </c>
      <c r="E110" s="1219">
        <f t="shared" si="44"/>
        <v>0</v>
      </c>
      <c r="F110" s="1219">
        <f t="shared" si="44"/>
        <v>0</v>
      </c>
      <c r="G110" s="1219">
        <f t="shared" si="44"/>
        <v>0</v>
      </c>
      <c r="H110" s="1219">
        <f t="shared" si="44"/>
        <v>0</v>
      </c>
      <c r="I110" s="1219">
        <f t="shared" si="44"/>
        <v>0</v>
      </c>
      <c r="J110" s="1219">
        <f t="shared" si="44"/>
        <v>0</v>
      </c>
      <c r="K110" s="1219">
        <f t="shared" si="44"/>
        <v>0</v>
      </c>
      <c r="L110" s="1219">
        <f t="shared" si="44"/>
        <v>0</v>
      </c>
      <c r="M110" s="1219">
        <f t="shared" si="44"/>
        <v>0</v>
      </c>
      <c r="N110" s="1362">
        <f t="shared" si="44"/>
        <v>0</v>
      </c>
      <c r="O110" s="1101">
        <f t="shared" si="42"/>
        <v>0</v>
      </c>
      <c r="P110" s="1101">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90">
        <f>SUMIFS('Table C4 Tracker'!AI$43:AI$1496,'Table C4 Tracker'!$O$43:$O$1496, "&lt;&gt;Red",'Table C4 Tracker'!$S$43:$S$1496,'Table C4 Tracker'!$CS$5,'Table C4 Tracker'!$R$43:$R$1496, 'Table C4 Tracker'!$CQ$3)</f>
        <v>0</v>
      </c>
      <c r="D111" s="1291">
        <f>SUMIFS('Table C4 Tracker'!AJ$43:AJ$1496,'Table C4 Tracker'!$O$43:$O$1496, "&lt;&gt;Red",'Table C4 Tracker'!$S$43:$S$1496,'Table C4 Tracker'!$CS$5,'Table C4 Tracker'!$R$43:$R$1496, 'Table C4 Tracker'!$CQ$3)</f>
        <v>0</v>
      </c>
      <c r="E111" s="1291">
        <f>SUMIFS('Table C4 Tracker'!AK$43:AK$1496,'Table C4 Tracker'!$O$43:$O$1496, "&lt;&gt;Red",'Table C4 Tracker'!$S$43:$S$1496,'Table C4 Tracker'!$CS$5,'Table C4 Tracker'!$R$43:$R$1496, 'Table C4 Tracker'!$CQ$3)</f>
        <v>0</v>
      </c>
      <c r="F111" s="1291">
        <f>SUMIFS('Table C4 Tracker'!AL$43:AL$1496,'Table C4 Tracker'!$O$43:$O$1496, "&lt;&gt;Red",'Table C4 Tracker'!$S$43:$S$1496,'Table C4 Tracker'!$CS$5,'Table C4 Tracker'!$R$43:$R$1496, 'Table C4 Tracker'!$CQ$3)</f>
        <v>0</v>
      </c>
      <c r="G111" s="1291">
        <f>SUMIFS('Table C4 Tracker'!AM$43:AM$1496,'Table C4 Tracker'!$O$43:$O$1496, "&lt;&gt;Red",'Table C4 Tracker'!$S$43:$S$1496,'Table C4 Tracker'!$CS$5,'Table C4 Tracker'!$R$43:$R$1496, 'Table C4 Tracker'!$CQ$3)</f>
        <v>0</v>
      </c>
      <c r="H111" s="1291">
        <f>SUMIFS('Table C4 Tracker'!AN$43:AN$1496,'Table C4 Tracker'!$O$43:$O$1496, "&lt;&gt;Red",'Table C4 Tracker'!$S$43:$S$1496,'Table C4 Tracker'!$CS$5,'Table C4 Tracker'!$R$43:$R$1496, 'Table C4 Tracker'!$CQ$3)</f>
        <v>0</v>
      </c>
      <c r="I111" s="1291">
        <f>SUMIFS('Table C4 Tracker'!AO$43:AO$1496,'Table C4 Tracker'!$O$43:$O$1496, "&lt;&gt;Red",'Table C4 Tracker'!$S$43:$S$1496,'Table C4 Tracker'!$CS$5,'Table C4 Tracker'!$R$43:$R$1496, 'Table C4 Tracker'!$CQ$3)</f>
        <v>0</v>
      </c>
      <c r="J111" s="1291">
        <f>SUMIFS('Table C4 Tracker'!AP$43:AP$1496,'Table C4 Tracker'!$O$43:$O$1496, "&lt;&gt;Red",'Table C4 Tracker'!$S$43:$S$1496,'Table C4 Tracker'!$CS$5,'Table C4 Tracker'!$R$43:$R$1496, 'Table C4 Tracker'!$CQ$3)</f>
        <v>0</v>
      </c>
      <c r="K111" s="1291">
        <f>SUMIFS('Table C4 Tracker'!AQ$43:AQ$1496,'Table C4 Tracker'!$O$43:$O$1496, "&lt;&gt;Red",'Table C4 Tracker'!$S$43:$S$1496,'Table C4 Tracker'!$CS$5,'Table C4 Tracker'!$R$43:$R$1496, 'Table C4 Tracker'!$CQ$3)</f>
        <v>0</v>
      </c>
      <c r="L111" s="1291">
        <f>SUMIFS('Table C4 Tracker'!AR$43:AR$1496,'Table C4 Tracker'!$O$43:$O$1496, "&lt;&gt;Red",'Table C4 Tracker'!$S$43:$S$1496,'Table C4 Tracker'!$CS$5,'Table C4 Tracker'!$R$43:$R$1496, 'Table C4 Tracker'!$CQ$3)</f>
        <v>0</v>
      </c>
      <c r="M111" s="1291">
        <f>SUMIFS('Table C4 Tracker'!AS$43:AS$1496,'Table C4 Tracker'!$O$43:$O$1496, "&lt;&gt;Red",'Table C4 Tracker'!$S$43:$S$1496,'Table C4 Tracker'!$CS$5,'Table C4 Tracker'!$R$43:$R$1496, 'Table C4 Tracker'!$CQ$3)</f>
        <v>0</v>
      </c>
      <c r="N111" s="1292">
        <f>SUMIFS('Table C4 Tracker'!AT$43:AT$1496,'Table C4 Tracker'!$O$43:$O$1496, "&lt;&gt;Red",'Table C4 Tracker'!$S$43:$S$1496,'Table C4 Tracker'!$CS$5,'Table C4 Tracker'!$R$43:$R$1496, 'Table C4 Tracker'!$CQ$3)</f>
        <v>0</v>
      </c>
      <c r="O111" s="1215">
        <f t="shared" si="42"/>
        <v>0</v>
      </c>
      <c r="P111" s="1215">
        <f t="shared" si="43"/>
        <v>0</v>
      </c>
      <c r="Q111" s="1248"/>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9" t="s">
        <v>1052</v>
      </c>
      <c r="C112" s="2503"/>
      <c r="D112" s="2504"/>
      <c r="E112" s="2504"/>
      <c r="F112" s="2504"/>
      <c r="G112" s="2504"/>
      <c r="H112" s="2504"/>
      <c r="I112" s="2504"/>
      <c r="J112" s="2504"/>
      <c r="K112" s="2504"/>
      <c r="L112" s="2504"/>
      <c r="M112" s="2504"/>
      <c r="N112" s="2505"/>
      <c r="O112" s="1692">
        <f t="shared" si="42"/>
        <v>0</v>
      </c>
      <c r="P112" s="1692">
        <f t="shared" si="43"/>
        <v>0</v>
      </c>
      <c r="Q112" s="1248"/>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5" t="s">
        <v>1174</v>
      </c>
      <c r="C113" s="2506"/>
      <c r="D113" s="2502"/>
      <c r="E113" s="2502"/>
      <c r="F113" s="2502"/>
      <c r="G113" s="2502"/>
      <c r="H113" s="2502"/>
      <c r="I113" s="2502"/>
      <c r="J113" s="2502"/>
      <c r="K113" s="2502"/>
      <c r="L113" s="2502"/>
      <c r="M113" s="2502"/>
      <c r="N113" s="2502"/>
      <c r="O113" s="1101">
        <f t="shared" si="42"/>
        <v>0</v>
      </c>
      <c r="P113" s="1101">
        <f t="shared" si="43"/>
        <v>0</v>
      </c>
      <c r="Q113" s="1248"/>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6">
        <f>A113+1</f>
        <v>84</v>
      </c>
      <c r="B115" s="1270" t="s">
        <v>1175</v>
      </c>
      <c r="C115" s="1110">
        <f>C100-C107</f>
        <v>0</v>
      </c>
      <c r="D115" s="1110">
        <f t="shared" ref="D115:P115" si="45">D100-D107</f>
        <v>0</v>
      </c>
      <c r="E115" s="1110">
        <f t="shared" si="45"/>
        <v>0</v>
      </c>
      <c r="F115" s="1110">
        <f t="shared" si="45"/>
        <v>0</v>
      </c>
      <c r="G115" s="1110">
        <f t="shared" si="45"/>
        <v>0</v>
      </c>
      <c r="H115" s="1110">
        <f t="shared" si="45"/>
        <v>0</v>
      </c>
      <c r="I115" s="1110">
        <f t="shared" si="45"/>
        <v>0</v>
      </c>
      <c r="J115" s="1110">
        <f t="shared" si="45"/>
        <v>0</v>
      </c>
      <c r="K115" s="1110">
        <f t="shared" si="45"/>
        <v>0</v>
      </c>
      <c r="L115" s="1110">
        <f t="shared" si="45"/>
        <v>0</v>
      </c>
      <c r="M115" s="1110">
        <f t="shared" si="45"/>
        <v>0</v>
      </c>
      <c r="N115" s="1110">
        <f t="shared" si="45"/>
        <v>0</v>
      </c>
      <c r="O115" s="1110">
        <f t="shared" si="45"/>
        <v>0</v>
      </c>
      <c r="P115" s="1110">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70" t="s">
        <v>1056</v>
      </c>
      <c r="C116" s="1110">
        <f>C105-C108-C111-C112-C113</f>
        <v>0</v>
      </c>
      <c r="D116" s="1110">
        <f t="shared" ref="D116:P116" si="46">D105-D108-D111-D112-D113</f>
        <v>0</v>
      </c>
      <c r="E116" s="1110">
        <f t="shared" si="46"/>
        <v>0</v>
      </c>
      <c r="F116" s="1110">
        <f t="shared" si="46"/>
        <v>0</v>
      </c>
      <c r="G116" s="1110">
        <f t="shared" si="46"/>
        <v>0</v>
      </c>
      <c r="H116" s="1110">
        <f t="shared" si="46"/>
        <v>0</v>
      </c>
      <c r="I116" s="1110">
        <f t="shared" si="46"/>
        <v>0</v>
      </c>
      <c r="J116" s="1110">
        <f t="shared" si="46"/>
        <v>0</v>
      </c>
      <c r="K116" s="1110">
        <f t="shared" si="46"/>
        <v>0</v>
      </c>
      <c r="L116" s="1110">
        <f t="shared" si="46"/>
        <v>0</v>
      </c>
      <c r="M116" s="1110">
        <f t="shared" si="46"/>
        <v>0</v>
      </c>
      <c r="N116" s="1110">
        <f t="shared" si="46"/>
        <v>0</v>
      </c>
      <c r="O116" s="1110">
        <f t="shared" si="46"/>
        <v>0</v>
      </c>
      <c r="P116" s="1110">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7">
        <f>A116+1</f>
        <v>86</v>
      </c>
      <c r="B117" s="1270" t="s">
        <v>1057</v>
      </c>
      <c r="C117" s="1110">
        <f t="shared" ref="C117:P117" si="47">C116-C115</f>
        <v>0</v>
      </c>
      <c r="D117" s="1110">
        <f t="shared" si="47"/>
        <v>0</v>
      </c>
      <c r="E117" s="1110">
        <f t="shared" si="47"/>
        <v>0</v>
      </c>
      <c r="F117" s="1110">
        <f t="shared" si="47"/>
        <v>0</v>
      </c>
      <c r="G117" s="1110">
        <f t="shared" si="47"/>
        <v>0</v>
      </c>
      <c r="H117" s="1110">
        <f t="shared" si="47"/>
        <v>0</v>
      </c>
      <c r="I117" s="1110">
        <f t="shared" si="47"/>
        <v>0</v>
      </c>
      <c r="J117" s="1110">
        <f t="shared" si="47"/>
        <v>0</v>
      </c>
      <c r="K117" s="1110">
        <f t="shared" si="47"/>
        <v>0</v>
      </c>
      <c r="L117" s="1110">
        <f t="shared" si="47"/>
        <v>0</v>
      </c>
      <c r="M117" s="1110">
        <f t="shared" si="47"/>
        <v>0</v>
      </c>
      <c r="N117" s="1110">
        <f t="shared" si="47"/>
        <v>0</v>
      </c>
      <c r="O117" s="1110">
        <f t="shared" si="47"/>
        <v>0</v>
      </c>
      <c r="P117" s="1110">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7">
        <f>A117+1</f>
        <v>87</v>
      </c>
      <c r="B118" s="1270" t="s">
        <v>1087</v>
      </c>
      <c r="C118" s="1110">
        <f>C102-C98-C109-C112-C113</f>
        <v>0</v>
      </c>
      <c r="D118" s="1110">
        <f t="shared" ref="D118:P118" si="48">D102-D98-D109-D112-D113</f>
        <v>0</v>
      </c>
      <c r="E118" s="1110">
        <f t="shared" si="48"/>
        <v>0</v>
      </c>
      <c r="F118" s="1110">
        <f t="shared" si="48"/>
        <v>0</v>
      </c>
      <c r="G118" s="1110">
        <f t="shared" si="48"/>
        <v>0</v>
      </c>
      <c r="H118" s="1110">
        <f t="shared" si="48"/>
        <v>0</v>
      </c>
      <c r="I118" s="1110">
        <f t="shared" si="48"/>
        <v>0</v>
      </c>
      <c r="J118" s="1110">
        <f t="shared" si="48"/>
        <v>0</v>
      </c>
      <c r="K118" s="1110">
        <f t="shared" si="48"/>
        <v>0</v>
      </c>
      <c r="L118" s="1110">
        <f t="shared" si="48"/>
        <v>0</v>
      </c>
      <c r="M118" s="1110">
        <f t="shared" si="48"/>
        <v>0</v>
      </c>
      <c r="N118" s="1110">
        <f t="shared" si="48"/>
        <v>0</v>
      </c>
      <c r="O118" s="1110">
        <f t="shared" si="48"/>
        <v>0</v>
      </c>
      <c r="P118" s="1110">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7">
        <f>A118+1</f>
        <v>88</v>
      </c>
      <c r="B119" s="1270" t="s">
        <v>1058</v>
      </c>
      <c r="C119" s="1110">
        <f t="shared" ref="C119:P119" si="49">C117-C118</f>
        <v>0</v>
      </c>
      <c r="D119" s="1110">
        <f t="shared" si="49"/>
        <v>0</v>
      </c>
      <c r="E119" s="1110">
        <f t="shared" si="49"/>
        <v>0</v>
      </c>
      <c r="F119" s="1110">
        <f t="shared" si="49"/>
        <v>0</v>
      </c>
      <c r="G119" s="1110">
        <f t="shared" si="49"/>
        <v>0</v>
      </c>
      <c r="H119" s="1110">
        <f t="shared" si="49"/>
        <v>0</v>
      </c>
      <c r="I119" s="1110">
        <f t="shared" si="49"/>
        <v>0</v>
      </c>
      <c r="J119" s="1110">
        <f t="shared" si="49"/>
        <v>0</v>
      </c>
      <c r="K119" s="1110">
        <f t="shared" si="49"/>
        <v>0</v>
      </c>
      <c r="L119" s="1110">
        <f t="shared" si="49"/>
        <v>0</v>
      </c>
      <c r="M119" s="1110">
        <f t="shared" si="49"/>
        <v>0</v>
      </c>
      <c r="N119" s="1110">
        <f t="shared" si="49"/>
        <v>0</v>
      </c>
      <c r="O119" s="1110">
        <f t="shared" si="49"/>
        <v>0</v>
      </c>
      <c r="P119" s="1110">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5"/>
      <c r="C123" s="1236">
        <v>1</v>
      </c>
      <c r="D123" s="1222">
        <v>2</v>
      </c>
      <c r="E123" s="1222">
        <v>3</v>
      </c>
      <c r="F123" s="1222">
        <v>4</v>
      </c>
      <c r="G123" s="1222">
        <v>5</v>
      </c>
      <c r="H123" s="1222">
        <v>6</v>
      </c>
      <c r="I123" s="1222">
        <v>7</v>
      </c>
      <c r="J123" s="1222">
        <v>8</v>
      </c>
      <c r="K123" s="1222">
        <v>9</v>
      </c>
      <c r="L123" s="1222">
        <v>10</v>
      </c>
      <c r="M123" s="1222">
        <v>11</v>
      </c>
      <c r="N123" s="1221">
        <v>12</v>
      </c>
      <c r="O123" s="1237"/>
      <c r="P123" s="1211"/>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2" t="s">
        <v>1146</v>
      </c>
      <c r="C124" s="1238" t="s">
        <v>181</v>
      </c>
      <c r="D124" s="1225" t="s">
        <v>89</v>
      </c>
      <c r="E124" s="1225" t="s">
        <v>90</v>
      </c>
      <c r="F124" s="1225" t="s">
        <v>91</v>
      </c>
      <c r="G124" s="1225" t="s">
        <v>92</v>
      </c>
      <c r="H124" s="1225" t="s">
        <v>93</v>
      </c>
      <c r="I124" s="1225" t="s">
        <v>94</v>
      </c>
      <c r="J124" s="1225" t="s">
        <v>95</v>
      </c>
      <c r="K124" s="1225" t="s">
        <v>96</v>
      </c>
      <c r="L124" s="1225" t="s">
        <v>97</v>
      </c>
      <c r="M124" s="1225" t="s">
        <v>98</v>
      </c>
      <c r="N124" s="1226" t="s">
        <v>99</v>
      </c>
      <c r="O124" s="1227" t="s">
        <v>493</v>
      </c>
      <c r="P124" s="1227"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3"/>
      <c r="C125" s="1239" t="s">
        <v>50</v>
      </c>
      <c r="D125" s="1240" t="s">
        <v>50</v>
      </c>
      <c r="E125" s="1240" t="s">
        <v>50</v>
      </c>
      <c r="F125" s="1240" t="s">
        <v>50</v>
      </c>
      <c r="G125" s="1240" t="s">
        <v>50</v>
      </c>
      <c r="H125" s="1240" t="s">
        <v>50</v>
      </c>
      <c r="I125" s="1240" t="s">
        <v>50</v>
      </c>
      <c r="J125" s="1240" t="s">
        <v>50</v>
      </c>
      <c r="K125" s="1240" t="s">
        <v>50</v>
      </c>
      <c r="L125" s="1240" t="s">
        <v>50</v>
      </c>
      <c r="M125" s="1240" t="s">
        <v>50</v>
      </c>
      <c r="N125" s="1241" t="s">
        <v>50</v>
      </c>
      <c r="O125" s="1231" t="s">
        <v>50</v>
      </c>
      <c r="P125" s="1231"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3" t="s">
        <v>1176</v>
      </c>
      <c r="C126" s="1217"/>
      <c r="D126" s="1189"/>
      <c r="E126" s="1189"/>
      <c r="F126" s="1189"/>
      <c r="G126" s="1189"/>
      <c r="H126" s="1189"/>
      <c r="I126" s="1189"/>
      <c r="J126" s="1189"/>
      <c r="K126" s="1189"/>
      <c r="L126" s="1189"/>
      <c r="M126" s="1189"/>
      <c r="N126" s="1189"/>
      <c r="O126" s="1215">
        <f>SUMPRODUCT($C$6:$N$6,C126:N126)</f>
        <v>0</v>
      </c>
      <c r="P126" s="1215">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1">
        <f>A126+1</f>
        <v>90</v>
      </c>
      <c r="B127" s="2500" t="s">
        <v>1177</v>
      </c>
      <c r="C127" s="2501"/>
      <c r="D127" s="1189"/>
      <c r="E127" s="1189"/>
      <c r="F127" s="1189"/>
      <c r="G127" s="1189"/>
      <c r="H127" s="1189"/>
      <c r="I127" s="1189"/>
      <c r="J127" s="1189"/>
      <c r="K127" s="1189"/>
      <c r="L127" s="1189"/>
      <c r="M127" s="1189"/>
      <c r="N127" s="1189"/>
      <c r="O127" s="1215">
        <f>SUMPRODUCT($C$6:$N$6,C127:N127)</f>
        <v>0</v>
      </c>
      <c r="P127" s="1215">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4" t="str">
        <f>""&amp;'A - Movement'!$B$23&amp;" Allocated to CHC / FNC - (ENTER AS NEGATIVE)"</f>
        <v>Planning Assumptions still to be finalised at Month 1 Allocated to CHC / FNC - (ENTER AS NEGATIVE)</v>
      </c>
      <c r="C128" s="1217"/>
      <c r="D128" s="1189"/>
      <c r="E128" s="1189"/>
      <c r="F128" s="1189"/>
      <c r="G128" s="1189"/>
      <c r="H128" s="1189"/>
      <c r="I128" s="1189"/>
      <c r="J128" s="1189"/>
      <c r="K128" s="1189"/>
      <c r="L128" s="1189"/>
      <c r="M128" s="1189"/>
      <c r="N128" s="1189"/>
      <c r="O128" s="1215">
        <f>SUMPRODUCT($C$6:$N$6,C128:N128)</f>
        <v>0</v>
      </c>
      <c r="P128" s="1215">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100" t="s">
        <v>1178</v>
      </c>
      <c r="C129" s="1110">
        <f t="shared" ref="C129:P129" si="51">SUM(C126:C128)</f>
        <v>0</v>
      </c>
      <c r="D129" s="1219">
        <f t="shared" si="51"/>
        <v>0</v>
      </c>
      <c r="E129" s="1219">
        <f t="shared" si="51"/>
        <v>0</v>
      </c>
      <c r="F129" s="1219">
        <f t="shared" si="51"/>
        <v>0</v>
      </c>
      <c r="G129" s="1219">
        <f t="shared" si="51"/>
        <v>0</v>
      </c>
      <c r="H129" s="1219">
        <f t="shared" si="51"/>
        <v>0</v>
      </c>
      <c r="I129" s="1219">
        <f t="shared" si="51"/>
        <v>0</v>
      </c>
      <c r="J129" s="1219">
        <f t="shared" si="51"/>
        <v>0</v>
      </c>
      <c r="K129" s="1219">
        <f t="shared" si="51"/>
        <v>0</v>
      </c>
      <c r="L129" s="1219">
        <f t="shared" si="51"/>
        <v>0</v>
      </c>
      <c r="M129" s="1219">
        <f t="shared" si="51"/>
        <v>0</v>
      </c>
      <c r="N129" s="1220">
        <f t="shared" si="51"/>
        <v>0</v>
      </c>
      <c r="O129" s="1101">
        <f t="shared" si="51"/>
        <v>0</v>
      </c>
      <c r="P129" s="1232">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90">
        <f t="shared" si="50"/>
        <v>93</v>
      </c>
      <c r="B130" s="1278" t="s">
        <v>1063</v>
      </c>
      <c r="C130" s="1214"/>
      <c r="D130" s="1214"/>
      <c r="E130" s="1214"/>
      <c r="F130" s="1214"/>
      <c r="G130" s="1214"/>
      <c r="H130" s="1214"/>
      <c r="I130" s="1214"/>
      <c r="J130" s="1214"/>
      <c r="K130" s="1214"/>
      <c r="L130" s="1214"/>
      <c r="M130" s="1214"/>
      <c r="N130" s="1214"/>
      <c r="O130" s="1215">
        <f>SUMPRODUCT($C$6:$N$6,C130:N130)</f>
        <v>0</v>
      </c>
      <c r="P130" s="1215">
        <f>SUM(C130:N130)</f>
        <v>0</v>
      </c>
      <c r="Q130" s="1248"/>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1">
        <f t="shared" si="50"/>
        <v>94</v>
      </c>
      <c r="B131" s="1275" t="s">
        <v>1088</v>
      </c>
      <c r="C131" s="1214"/>
      <c r="D131" s="1214"/>
      <c r="E131" s="1214"/>
      <c r="F131" s="1214"/>
      <c r="G131" s="1214"/>
      <c r="H131" s="1214"/>
      <c r="I131" s="1214"/>
      <c r="J131" s="1214"/>
      <c r="K131" s="1214"/>
      <c r="L131" s="1214"/>
      <c r="M131" s="1214"/>
      <c r="N131" s="1214"/>
      <c r="O131" s="1215">
        <f>SUMPRODUCT($C$6:$N$6,C131:N131)</f>
        <v>0</v>
      </c>
      <c r="P131" s="1215">
        <f>SUM(C131:N131)</f>
        <v>0</v>
      </c>
      <c r="Q131" s="1248"/>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9" t="s">
        <v>1129</v>
      </c>
      <c r="C132" s="1214"/>
      <c r="D132" s="1214"/>
      <c r="E132" s="1214"/>
      <c r="F132" s="1214"/>
      <c r="G132" s="1214"/>
      <c r="H132" s="1214"/>
      <c r="I132" s="1214"/>
      <c r="J132" s="1214"/>
      <c r="K132" s="1214"/>
      <c r="L132" s="1214"/>
      <c r="M132" s="1214"/>
      <c r="N132" s="1214"/>
      <c r="O132" s="1215">
        <f>SUMPRODUCT($C$6:$N$6,C132:N132)</f>
        <v>0</v>
      </c>
      <c r="P132" s="1215">
        <f>SUM(C132:N132)</f>
        <v>0</v>
      </c>
      <c r="Q132" s="1248"/>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2" t="s">
        <v>1065</v>
      </c>
      <c r="C133" s="1218">
        <f>SUM(C130:C132)</f>
        <v>0</v>
      </c>
      <c r="D133" s="1218">
        <f t="shared" ref="D133:P133" si="52">SUM(D130:D132)</f>
        <v>0</v>
      </c>
      <c r="E133" s="1218">
        <f t="shared" si="52"/>
        <v>0</v>
      </c>
      <c r="F133" s="1218">
        <f t="shared" si="52"/>
        <v>0</v>
      </c>
      <c r="G133" s="1218">
        <f t="shared" si="52"/>
        <v>0</v>
      </c>
      <c r="H133" s="1218">
        <f t="shared" si="52"/>
        <v>0</v>
      </c>
      <c r="I133" s="1218">
        <f t="shared" si="52"/>
        <v>0</v>
      </c>
      <c r="J133" s="1218">
        <f t="shared" si="52"/>
        <v>0</v>
      </c>
      <c r="K133" s="1218">
        <f t="shared" si="52"/>
        <v>0</v>
      </c>
      <c r="L133" s="1218">
        <f t="shared" si="52"/>
        <v>0</v>
      </c>
      <c r="M133" s="1218">
        <f t="shared" si="52"/>
        <v>0</v>
      </c>
      <c r="N133" s="1299">
        <f t="shared" si="52"/>
        <v>0</v>
      </c>
      <c r="O133" s="1101">
        <f t="shared" si="52"/>
        <v>0</v>
      </c>
      <c r="P133" s="1101">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2" t="s">
        <v>1066</v>
      </c>
      <c r="C134" s="1245">
        <f>C133-C129</f>
        <v>0</v>
      </c>
      <c r="D134" s="1245">
        <f t="shared" ref="D134:P134" si="53">D133-D129</f>
        <v>0</v>
      </c>
      <c r="E134" s="1245">
        <f t="shared" si="53"/>
        <v>0</v>
      </c>
      <c r="F134" s="1245">
        <f t="shared" si="53"/>
        <v>0</v>
      </c>
      <c r="G134" s="1245">
        <f t="shared" si="53"/>
        <v>0</v>
      </c>
      <c r="H134" s="1245">
        <f t="shared" si="53"/>
        <v>0</v>
      </c>
      <c r="I134" s="1245">
        <f t="shared" si="53"/>
        <v>0</v>
      </c>
      <c r="J134" s="1245">
        <f t="shared" si="53"/>
        <v>0</v>
      </c>
      <c r="K134" s="1245">
        <f t="shared" si="53"/>
        <v>0</v>
      </c>
      <c r="L134" s="1245">
        <f t="shared" si="53"/>
        <v>0</v>
      </c>
      <c r="M134" s="1245">
        <f t="shared" si="53"/>
        <v>0</v>
      </c>
      <c r="N134" s="1365">
        <f t="shared" si="53"/>
        <v>0</v>
      </c>
      <c r="O134" s="1101">
        <f t="shared" si="53"/>
        <v>0</v>
      </c>
      <c r="P134" s="1101">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3" t="s">
        <v>1179</v>
      </c>
      <c r="C135" s="1293">
        <f>'C, C1, C2&amp; C3 - Savings Schemes'!D13</f>
        <v>0</v>
      </c>
      <c r="D135" s="1294">
        <f>'C, C1, C2&amp; C3 - Savings Schemes'!E13</f>
        <v>0</v>
      </c>
      <c r="E135" s="1294">
        <f>'C, C1, C2&amp; C3 - Savings Schemes'!F13</f>
        <v>0</v>
      </c>
      <c r="F135" s="1294">
        <f>'C, C1, C2&amp; C3 - Savings Schemes'!G13</f>
        <v>0</v>
      </c>
      <c r="G135" s="1294">
        <f>'C, C1, C2&amp; C3 - Savings Schemes'!H13</f>
        <v>0</v>
      </c>
      <c r="H135" s="1294">
        <f>'C, C1, C2&amp; C3 - Savings Schemes'!I13</f>
        <v>0</v>
      </c>
      <c r="I135" s="1294">
        <f>'C, C1, C2&amp; C3 - Savings Schemes'!J13</f>
        <v>0</v>
      </c>
      <c r="J135" s="1294">
        <f>'C, C1, C2&amp; C3 - Savings Schemes'!K13</f>
        <v>0</v>
      </c>
      <c r="K135" s="1294">
        <f>'C, C1, C2&amp; C3 - Savings Schemes'!L13</f>
        <v>0</v>
      </c>
      <c r="L135" s="1294">
        <f>'C, C1, C2&amp; C3 - Savings Schemes'!M13</f>
        <v>0</v>
      </c>
      <c r="M135" s="1294">
        <f>'C, C1, C2&amp; C3 - Savings Schemes'!N13</f>
        <v>0</v>
      </c>
      <c r="N135" s="1295">
        <f>'C, C1, C2&amp; C3 - Savings Schemes'!O13</f>
        <v>0</v>
      </c>
      <c r="O135" s="1232">
        <f t="shared" ref="O135:O141" si="54">SUMPRODUCT($C$6:$N$6,C135:N135)</f>
        <v>0</v>
      </c>
      <c r="P135" s="1101">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1">
        <f t="shared" si="50"/>
        <v>99</v>
      </c>
      <c r="B136" s="1271" t="s">
        <v>1064</v>
      </c>
      <c r="C136" s="1296">
        <f>'C, C1, C2&amp; C3 - Savings Schemes'!D14</f>
        <v>0</v>
      </c>
      <c r="D136" s="1297">
        <f>'C, C1, C2&amp; C3 - Savings Schemes'!E14</f>
        <v>0</v>
      </c>
      <c r="E136" s="1297">
        <f>'C, C1, C2&amp; C3 - Savings Schemes'!F14</f>
        <v>0</v>
      </c>
      <c r="F136" s="1297">
        <f>'C, C1, C2&amp; C3 - Savings Schemes'!G14</f>
        <v>0</v>
      </c>
      <c r="G136" s="1297">
        <f>'C, C1, C2&amp; C3 - Savings Schemes'!H14</f>
        <v>0</v>
      </c>
      <c r="H136" s="1297">
        <f>'C, C1, C2&amp; C3 - Savings Schemes'!I14</f>
        <v>0</v>
      </c>
      <c r="I136" s="1297">
        <f>'C, C1, C2&amp; C3 - Savings Schemes'!J14</f>
        <v>0</v>
      </c>
      <c r="J136" s="1297">
        <f>'C, C1, C2&amp; C3 - Savings Schemes'!K14</f>
        <v>0</v>
      </c>
      <c r="K136" s="1297">
        <f>'C, C1, C2&amp; C3 - Savings Schemes'!L14</f>
        <v>0</v>
      </c>
      <c r="L136" s="1297">
        <f>'C, C1, C2&amp; C3 - Savings Schemes'!M14</f>
        <v>0</v>
      </c>
      <c r="M136" s="1297">
        <f>'C, C1, C2&amp; C3 - Savings Schemes'!N14</f>
        <v>0</v>
      </c>
      <c r="N136" s="1298">
        <f>'C, C1, C2&amp; C3 - Savings Schemes'!O14</f>
        <v>0</v>
      </c>
      <c r="O136" s="1233">
        <f t="shared" si="54"/>
        <v>0</v>
      </c>
      <c r="P136" s="1215">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1">
        <f t="shared" si="50"/>
        <v>100</v>
      </c>
      <c r="B137" s="2500" t="s">
        <v>1089</v>
      </c>
      <c r="C137" s="2501"/>
      <c r="D137" s="1189"/>
      <c r="E137" s="1189"/>
      <c r="F137" s="1189"/>
      <c r="G137" s="1189"/>
      <c r="H137" s="1189"/>
      <c r="I137" s="1189"/>
      <c r="J137" s="1189"/>
      <c r="K137" s="1189"/>
      <c r="L137" s="1189"/>
      <c r="M137" s="1189"/>
      <c r="N137" s="1189"/>
      <c r="O137" s="1692">
        <f t="shared" si="54"/>
        <v>0</v>
      </c>
      <c r="P137" s="1692">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2" t="s">
        <v>1106</v>
      </c>
      <c r="C138" s="1218">
        <f t="shared" ref="C138:N138" si="56">C136-C135-C137</f>
        <v>0</v>
      </c>
      <c r="D138" s="1219">
        <f t="shared" si="56"/>
        <v>0</v>
      </c>
      <c r="E138" s="1219">
        <f t="shared" si="56"/>
        <v>0</v>
      </c>
      <c r="F138" s="1219">
        <f t="shared" si="56"/>
        <v>0</v>
      </c>
      <c r="G138" s="1219">
        <f t="shared" si="56"/>
        <v>0</v>
      </c>
      <c r="H138" s="1219">
        <f t="shared" si="56"/>
        <v>0</v>
      </c>
      <c r="I138" s="1219">
        <f t="shared" si="56"/>
        <v>0</v>
      </c>
      <c r="J138" s="1219">
        <f t="shared" si="56"/>
        <v>0</v>
      </c>
      <c r="K138" s="1219">
        <f t="shared" si="56"/>
        <v>0</v>
      </c>
      <c r="L138" s="1219">
        <f t="shared" si="56"/>
        <v>0</v>
      </c>
      <c r="M138" s="1219">
        <f t="shared" si="56"/>
        <v>0</v>
      </c>
      <c r="N138" s="1362">
        <f t="shared" si="56"/>
        <v>0</v>
      </c>
      <c r="O138" s="1101">
        <f t="shared" si="54"/>
        <v>0</v>
      </c>
      <c r="P138" s="1101">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90">
        <f>SUMIFS('Table C4 Tracker'!AI$43:AI$1496,'Table C4 Tracker'!$O$43:$O$1496, "&lt;&gt;Red",'Table C4 Tracker'!$S$43:$S$1496,'Table C4 Tracker'!$CS$1,'Table C4 Tracker'!$R$43:$R$1496, 'Table C4 Tracker'!$CQ$3)</f>
        <v>0</v>
      </c>
      <c r="D139" s="1291">
        <f>SUMIFS('Table C4 Tracker'!AJ$43:AJ$1496,'Table C4 Tracker'!$O$43:$O$1496, "&lt;&gt;Red",'Table C4 Tracker'!$S$43:$S$1496,'Table C4 Tracker'!$CS$1,'Table C4 Tracker'!$R$43:$R$1496, 'Table C4 Tracker'!$CQ$3)</f>
        <v>0</v>
      </c>
      <c r="E139" s="1291">
        <f>SUMIFS('Table C4 Tracker'!AK$43:AK$1496,'Table C4 Tracker'!$O$43:$O$1496, "&lt;&gt;Red",'Table C4 Tracker'!$S$43:$S$1496,'Table C4 Tracker'!$CS$1,'Table C4 Tracker'!$R$43:$R$1496, 'Table C4 Tracker'!$CQ$3)</f>
        <v>0</v>
      </c>
      <c r="F139" s="1291">
        <f>SUMIFS('Table C4 Tracker'!AL$43:AL$1496,'Table C4 Tracker'!$O$43:$O$1496, "&lt;&gt;Red",'Table C4 Tracker'!$S$43:$S$1496,'Table C4 Tracker'!$CS$1,'Table C4 Tracker'!$R$43:$R$1496, 'Table C4 Tracker'!$CQ$3)</f>
        <v>0</v>
      </c>
      <c r="G139" s="1291">
        <f>SUMIFS('Table C4 Tracker'!AM$43:AM$1496,'Table C4 Tracker'!$O$43:$O$1496, "&lt;&gt;Red",'Table C4 Tracker'!$S$43:$S$1496,'Table C4 Tracker'!$CS$1,'Table C4 Tracker'!$R$43:$R$1496, 'Table C4 Tracker'!$CQ$3)</f>
        <v>0</v>
      </c>
      <c r="H139" s="1291">
        <f>SUMIFS('Table C4 Tracker'!AN$43:AN$1496,'Table C4 Tracker'!$O$43:$O$1496, "&lt;&gt;Red",'Table C4 Tracker'!$S$43:$S$1496,'Table C4 Tracker'!$CS$1,'Table C4 Tracker'!$R$43:$R$1496, 'Table C4 Tracker'!$CQ$3)</f>
        <v>0</v>
      </c>
      <c r="I139" s="1291">
        <f>SUMIFS('Table C4 Tracker'!AO$43:AO$1496,'Table C4 Tracker'!$O$43:$O$1496, "&lt;&gt;Red",'Table C4 Tracker'!$S$43:$S$1496,'Table C4 Tracker'!$CS$1,'Table C4 Tracker'!$R$43:$R$1496, 'Table C4 Tracker'!$CQ$3)</f>
        <v>0</v>
      </c>
      <c r="J139" s="1291">
        <f>SUMIFS('Table C4 Tracker'!AP$43:AP$1496,'Table C4 Tracker'!$O$43:$O$1496, "&lt;&gt;Red",'Table C4 Tracker'!$S$43:$S$1496,'Table C4 Tracker'!$CS$1,'Table C4 Tracker'!$R$43:$R$1496, 'Table C4 Tracker'!$CQ$3)</f>
        <v>0</v>
      </c>
      <c r="K139" s="1291">
        <f>SUMIFS('Table C4 Tracker'!AQ$43:AQ$1496,'Table C4 Tracker'!$O$43:$O$1496, "&lt;&gt;Red",'Table C4 Tracker'!$S$43:$S$1496,'Table C4 Tracker'!$CS$1,'Table C4 Tracker'!$R$43:$R$1496, 'Table C4 Tracker'!$CQ$3)</f>
        <v>0</v>
      </c>
      <c r="L139" s="1291">
        <f>SUMIFS('Table C4 Tracker'!AR$43:AR$1496,'Table C4 Tracker'!$O$43:$O$1496, "&lt;&gt;Red",'Table C4 Tracker'!$S$43:$S$1496,'Table C4 Tracker'!$CS$1,'Table C4 Tracker'!$R$43:$R$1496, 'Table C4 Tracker'!$CQ$3)</f>
        <v>0</v>
      </c>
      <c r="M139" s="1291">
        <f>SUMIFS('Table C4 Tracker'!AS$43:AS$1496,'Table C4 Tracker'!$O$43:$O$1496, "&lt;&gt;Red",'Table C4 Tracker'!$S$43:$S$1496,'Table C4 Tracker'!$CS$1,'Table C4 Tracker'!$R$43:$R$1496, 'Table C4 Tracker'!$CQ$3)</f>
        <v>0</v>
      </c>
      <c r="N139" s="1292">
        <f>SUMIFS('Table C4 Tracker'!AT$43:AT$1496,'Table C4 Tracker'!$O$43:$O$1496, "&lt;&gt;Red",'Table C4 Tracker'!$S$43:$S$1496,'Table C4 Tracker'!$CS$1,'Table C4 Tracker'!$R$43:$R$1496, 'Table C4 Tracker'!$CQ$3)</f>
        <v>0</v>
      </c>
      <c r="O139" s="1215">
        <f t="shared" si="54"/>
        <v>0</v>
      </c>
      <c r="P139" s="1215">
        <f t="shared" si="55"/>
        <v>0</v>
      </c>
      <c r="Q139" s="1248"/>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9" t="s">
        <v>1061</v>
      </c>
      <c r="C140" s="2503"/>
      <c r="D140" s="2504"/>
      <c r="E140" s="2504"/>
      <c r="F140" s="2504"/>
      <c r="G140" s="2504"/>
      <c r="H140" s="2504"/>
      <c r="I140" s="2504"/>
      <c r="J140" s="2504"/>
      <c r="K140" s="2504"/>
      <c r="L140" s="2504"/>
      <c r="M140" s="2504"/>
      <c r="N140" s="2505"/>
      <c r="O140" s="1692">
        <f t="shared" si="54"/>
        <v>0</v>
      </c>
      <c r="P140" s="1692">
        <f t="shared" si="55"/>
        <v>0</v>
      </c>
      <c r="Q140" s="1248"/>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5" t="s">
        <v>1180</v>
      </c>
      <c r="C141" s="2506"/>
      <c r="D141" s="2502"/>
      <c r="E141" s="2502"/>
      <c r="F141" s="2502"/>
      <c r="G141" s="2502"/>
      <c r="H141" s="2502"/>
      <c r="I141" s="2502"/>
      <c r="J141" s="2502"/>
      <c r="K141" s="2502"/>
      <c r="L141" s="2502"/>
      <c r="M141" s="2502"/>
      <c r="N141" s="2502"/>
      <c r="O141" s="1101">
        <f t="shared" si="54"/>
        <v>0</v>
      </c>
      <c r="P141" s="1101">
        <f t="shared" si="55"/>
        <v>0</v>
      </c>
      <c r="Q141" s="1248"/>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6">
        <f>A141+1</f>
        <v>105</v>
      </c>
      <c r="B143" s="1270" t="s">
        <v>1181</v>
      </c>
      <c r="C143" s="1110">
        <f>C129-C135</f>
        <v>0</v>
      </c>
      <c r="D143" s="1110">
        <f t="shared" ref="D143:P143" si="57">D129-D135</f>
        <v>0</v>
      </c>
      <c r="E143" s="1110">
        <f t="shared" si="57"/>
        <v>0</v>
      </c>
      <c r="F143" s="1110">
        <f t="shared" si="57"/>
        <v>0</v>
      </c>
      <c r="G143" s="1110">
        <f t="shared" si="57"/>
        <v>0</v>
      </c>
      <c r="H143" s="1110">
        <f t="shared" si="57"/>
        <v>0</v>
      </c>
      <c r="I143" s="1110">
        <f t="shared" si="57"/>
        <v>0</v>
      </c>
      <c r="J143" s="1110">
        <f t="shared" si="57"/>
        <v>0</v>
      </c>
      <c r="K143" s="1110">
        <f t="shared" si="57"/>
        <v>0</v>
      </c>
      <c r="L143" s="1110">
        <f t="shared" si="57"/>
        <v>0</v>
      </c>
      <c r="M143" s="1110">
        <f t="shared" si="57"/>
        <v>0</v>
      </c>
      <c r="N143" s="1110">
        <f t="shared" si="57"/>
        <v>0</v>
      </c>
      <c r="O143" s="1110">
        <f t="shared" si="57"/>
        <v>0</v>
      </c>
      <c r="P143" s="1110">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70" t="s">
        <v>1070</v>
      </c>
      <c r="C144" s="1110">
        <f>C133-C136-C139-C140-C141</f>
        <v>0</v>
      </c>
      <c r="D144" s="1110">
        <f t="shared" ref="D144:P144" si="58">D133-D136-D139-D140-D141</f>
        <v>0</v>
      </c>
      <c r="E144" s="1110">
        <f t="shared" si="58"/>
        <v>0</v>
      </c>
      <c r="F144" s="1110">
        <f t="shared" si="58"/>
        <v>0</v>
      </c>
      <c r="G144" s="1110">
        <f t="shared" si="58"/>
        <v>0</v>
      </c>
      <c r="H144" s="1110">
        <f t="shared" si="58"/>
        <v>0</v>
      </c>
      <c r="I144" s="1110">
        <f t="shared" si="58"/>
        <v>0</v>
      </c>
      <c r="J144" s="1110">
        <f t="shared" si="58"/>
        <v>0</v>
      </c>
      <c r="K144" s="1110">
        <f t="shared" si="58"/>
        <v>0</v>
      </c>
      <c r="L144" s="1110">
        <f t="shared" si="58"/>
        <v>0</v>
      </c>
      <c r="M144" s="1110">
        <f t="shared" si="58"/>
        <v>0</v>
      </c>
      <c r="N144" s="1110">
        <f t="shared" si="58"/>
        <v>0</v>
      </c>
      <c r="O144" s="1110">
        <f t="shared" si="58"/>
        <v>0</v>
      </c>
      <c r="P144" s="1110">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7">
        <f>A144+1</f>
        <v>107</v>
      </c>
      <c r="B145" s="1270" t="s">
        <v>1069</v>
      </c>
      <c r="C145" s="1110">
        <f>C144-C143</f>
        <v>0</v>
      </c>
      <c r="D145" s="1110">
        <f t="shared" ref="D145:P145" si="59">D144-D143</f>
        <v>0</v>
      </c>
      <c r="E145" s="1110">
        <f t="shared" si="59"/>
        <v>0</v>
      </c>
      <c r="F145" s="1110">
        <f t="shared" si="59"/>
        <v>0</v>
      </c>
      <c r="G145" s="1110">
        <f t="shared" si="59"/>
        <v>0</v>
      </c>
      <c r="H145" s="1110">
        <f t="shared" si="59"/>
        <v>0</v>
      </c>
      <c r="I145" s="1110">
        <f t="shared" si="59"/>
        <v>0</v>
      </c>
      <c r="J145" s="1110">
        <f t="shared" si="59"/>
        <v>0</v>
      </c>
      <c r="K145" s="1110">
        <f t="shared" si="59"/>
        <v>0</v>
      </c>
      <c r="L145" s="1110">
        <f t="shared" si="59"/>
        <v>0</v>
      </c>
      <c r="M145" s="1110">
        <f t="shared" si="59"/>
        <v>0</v>
      </c>
      <c r="N145" s="1110">
        <f t="shared" si="59"/>
        <v>0</v>
      </c>
      <c r="O145" s="1110">
        <f t="shared" si="59"/>
        <v>0</v>
      </c>
      <c r="P145" s="1101">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7">
        <f>A145+1</f>
        <v>108</v>
      </c>
      <c r="B146" s="1270" t="s">
        <v>1090</v>
      </c>
      <c r="C146" s="1110">
        <f>C131-C127-C137-C140-C141</f>
        <v>0</v>
      </c>
      <c r="D146" s="1110">
        <f t="shared" ref="D146:P146" si="60">D131-D127-D137-D140-D141</f>
        <v>0</v>
      </c>
      <c r="E146" s="1110">
        <f t="shared" si="60"/>
        <v>0</v>
      </c>
      <c r="F146" s="1110">
        <f t="shared" si="60"/>
        <v>0</v>
      </c>
      <c r="G146" s="1110">
        <f t="shared" si="60"/>
        <v>0</v>
      </c>
      <c r="H146" s="1110">
        <f t="shared" si="60"/>
        <v>0</v>
      </c>
      <c r="I146" s="1110">
        <f t="shared" si="60"/>
        <v>0</v>
      </c>
      <c r="J146" s="1110">
        <f t="shared" si="60"/>
        <v>0</v>
      </c>
      <c r="K146" s="1110">
        <f t="shared" si="60"/>
        <v>0</v>
      </c>
      <c r="L146" s="1110">
        <f t="shared" si="60"/>
        <v>0</v>
      </c>
      <c r="M146" s="1110">
        <f t="shared" si="60"/>
        <v>0</v>
      </c>
      <c r="N146" s="1110">
        <f t="shared" si="60"/>
        <v>0</v>
      </c>
      <c r="O146" s="1110">
        <f t="shared" si="60"/>
        <v>0</v>
      </c>
      <c r="P146" s="1110">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7">
        <f>A146+1</f>
        <v>109</v>
      </c>
      <c r="B147" s="1270" t="s">
        <v>1062</v>
      </c>
      <c r="C147" s="1110">
        <f>C145-C146</f>
        <v>0</v>
      </c>
      <c r="D147" s="1110">
        <f t="shared" ref="D147:P147" si="61">D145-D146</f>
        <v>0</v>
      </c>
      <c r="E147" s="1110">
        <f t="shared" si="61"/>
        <v>0</v>
      </c>
      <c r="F147" s="1110">
        <f t="shared" si="61"/>
        <v>0</v>
      </c>
      <c r="G147" s="1110">
        <f t="shared" si="61"/>
        <v>0</v>
      </c>
      <c r="H147" s="1110">
        <f t="shared" si="61"/>
        <v>0</v>
      </c>
      <c r="I147" s="1110">
        <f t="shared" si="61"/>
        <v>0</v>
      </c>
      <c r="J147" s="1110">
        <f t="shared" si="61"/>
        <v>0</v>
      </c>
      <c r="K147" s="1110">
        <f t="shared" si="61"/>
        <v>0</v>
      </c>
      <c r="L147" s="1110">
        <f t="shared" si="61"/>
        <v>0</v>
      </c>
      <c r="M147" s="1110">
        <f t="shared" si="61"/>
        <v>0</v>
      </c>
      <c r="N147" s="1110">
        <f t="shared" si="61"/>
        <v>0</v>
      </c>
      <c r="O147" s="1110">
        <f t="shared" si="61"/>
        <v>0</v>
      </c>
      <c r="P147" s="1110">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9"/>
      <c r="C151" s="1221">
        <v>1</v>
      </c>
      <c r="D151" s="1222">
        <v>2</v>
      </c>
      <c r="E151" s="1222">
        <v>3</v>
      </c>
      <c r="F151" s="1222">
        <v>4</v>
      </c>
      <c r="G151" s="1222">
        <v>5</v>
      </c>
      <c r="H151" s="1222">
        <v>6</v>
      </c>
      <c r="I151" s="1222">
        <v>7</v>
      </c>
      <c r="J151" s="1222">
        <v>8</v>
      </c>
      <c r="K151" s="1222">
        <v>9</v>
      </c>
      <c r="L151" s="1222">
        <v>10</v>
      </c>
      <c r="M151" s="1222">
        <v>11</v>
      </c>
      <c r="N151" s="1223">
        <v>12</v>
      </c>
      <c r="O151" s="1210"/>
      <c r="P151" s="1211"/>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2" t="s">
        <v>509</v>
      </c>
      <c r="C152" s="1224" t="s">
        <v>181</v>
      </c>
      <c r="D152" s="1225" t="s">
        <v>89</v>
      </c>
      <c r="E152" s="1225" t="s">
        <v>90</v>
      </c>
      <c r="F152" s="1225" t="s">
        <v>91</v>
      </c>
      <c r="G152" s="1225" t="s">
        <v>92</v>
      </c>
      <c r="H152" s="1225" t="s">
        <v>93</v>
      </c>
      <c r="I152" s="1225" t="s">
        <v>94</v>
      </c>
      <c r="J152" s="1225" t="s">
        <v>95</v>
      </c>
      <c r="K152" s="1225" t="s">
        <v>96</v>
      </c>
      <c r="L152" s="1225" t="s">
        <v>97</v>
      </c>
      <c r="M152" s="1225" t="s">
        <v>98</v>
      </c>
      <c r="N152" s="1226" t="s">
        <v>99</v>
      </c>
      <c r="O152" s="1227" t="s">
        <v>493</v>
      </c>
      <c r="P152" s="1227"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3"/>
      <c r="C153" s="1228" t="s">
        <v>50</v>
      </c>
      <c r="D153" s="1229" t="s">
        <v>50</v>
      </c>
      <c r="E153" s="1229" t="s">
        <v>50</v>
      </c>
      <c r="F153" s="1229" t="s">
        <v>50</v>
      </c>
      <c r="G153" s="1229" t="s">
        <v>50</v>
      </c>
      <c r="H153" s="1229" t="s">
        <v>50</v>
      </c>
      <c r="I153" s="1229" t="s">
        <v>50</v>
      </c>
      <c r="J153" s="1229" t="s">
        <v>50</v>
      </c>
      <c r="K153" s="1229" t="s">
        <v>50</v>
      </c>
      <c r="L153" s="1229" t="s">
        <v>50</v>
      </c>
      <c r="M153" s="1229" t="s">
        <v>50</v>
      </c>
      <c r="N153" s="1230" t="s">
        <v>50</v>
      </c>
      <c r="O153" s="1231" t="s">
        <v>50</v>
      </c>
      <c r="P153" s="1231"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3" t="s">
        <v>1182</v>
      </c>
      <c r="C154" s="1217"/>
      <c r="D154" s="1189"/>
      <c r="E154" s="1189"/>
      <c r="F154" s="1189"/>
      <c r="G154" s="1189"/>
      <c r="H154" s="1189"/>
      <c r="I154" s="1189"/>
      <c r="J154" s="1189"/>
      <c r="K154" s="1189"/>
      <c r="L154" s="1189"/>
      <c r="M154" s="1189"/>
      <c r="N154" s="1189"/>
      <c r="O154" s="1215">
        <f>SUMPRODUCT($C$6:$N$6,C154:N154)</f>
        <v>0</v>
      </c>
      <c r="P154" s="1215">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1">
        <f>A154+1</f>
        <v>111</v>
      </c>
      <c r="B155" s="2500" t="s">
        <v>1183</v>
      </c>
      <c r="C155" s="2501"/>
      <c r="D155" s="1189"/>
      <c r="E155" s="1189"/>
      <c r="F155" s="1189"/>
      <c r="G155" s="1189"/>
      <c r="H155" s="1189"/>
      <c r="I155" s="1189"/>
      <c r="J155" s="1189"/>
      <c r="K155" s="1189"/>
      <c r="L155" s="1189"/>
      <c r="M155" s="1189"/>
      <c r="N155" s="1189"/>
      <c r="O155" s="1215">
        <f>SUMPRODUCT($C$6:$N$6,C155:N155)</f>
        <v>0</v>
      </c>
      <c r="P155" s="1215">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4" t="str">
        <f>""&amp;'A - Movement'!$B$23&amp;" Allocated to Commissioned Services - (ENTER AS NEGATIVE)"</f>
        <v>Planning Assumptions still to be finalised at Month 1 Allocated to Commissioned Services - (ENTER AS NEGATIVE)</v>
      </c>
      <c r="C156" s="1217"/>
      <c r="D156" s="1189"/>
      <c r="E156" s="1189"/>
      <c r="F156" s="1189"/>
      <c r="G156" s="1189"/>
      <c r="H156" s="1189"/>
      <c r="I156" s="1189"/>
      <c r="J156" s="1189"/>
      <c r="K156" s="1189"/>
      <c r="L156" s="1189"/>
      <c r="M156" s="1189"/>
      <c r="N156" s="1189"/>
      <c r="O156" s="1215">
        <f>SUMPRODUCT($C$6:$N$6,C156:N156)</f>
        <v>0</v>
      </c>
      <c r="P156" s="1215">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80" t="s">
        <v>1184</v>
      </c>
      <c r="C157" s="1110">
        <f t="shared" ref="C157:P157" si="63">SUM(C154:C156)</f>
        <v>0</v>
      </c>
      <c r="D157" s="1219">
        <f t="shared" si="63"/>
        <v>0</v>
      </c>
      <c r="E157" s="1219">
        <f t="shared" si="63"/>
        <v>0</v>
      </c>
      <c r="F157" s="1219">
        <f t="shared" si="63"/>
        <v>0</v>
      </c>
      <c r="G157" s="1219">
        <f t="shared" si="63"/>
        <v>0</v>
      </c>
      <c r="H157" s="1219">
        <f t="shared" si="63"/>
        <v>0</v>
      </c>
      <c r="I157" s="1219">
        <f t="shared" si="63"/>
        <v>0</v>
      </c>
      <c r="J157" s="1219">
        <f t="shared" si="63"/>
        <v>0</v>
      </c>
      <c r="K157" s="1219">
        <f t="shared" si="63"/>
        <v>0</v>
      </c>
      <c r="L157" s="1219">
        <f t="shared" si="63"/>
        <v>0</v>
      </c>
      <c r="M157" s="1219">
        <f t="shared" si="63"/>
        <v>0</v>
      </c>
      <c r="N157" s="1220">
        <f t="shared" si="63"/>
        <v>0</v>
      </c>
      <c r="O157" s="1101">
        <f t="shared" si="63"/>
        <v>0</v>
      </c>
      <c r="P157" s="1232">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90">
        <f t="shared" si="62"/>
        <v>114</v>
      </c>
      <c r="B158" s="1260" t="s">
        <v>505</v>
      </c>
      <c r="C158" s="1214"/>
      <c r="D158" s="964"/>
      <c r="E158" s="964"/>
      <c r="F158" s="964"/>
      <c r="G158" s="964"/>
      <c r="H158" s="964"/>
      <c r="I158" s="964"/>
      <c r="J158" s="964"/>
      <c r="K158" s="964"/>
      <c r="L158" s="964"/>
      <c r="M158" s="964"/>
      <c r="N158" s="964"/>
      <c r="O158" s="1215">
        <f t="shared" ref="O158:O163" si="64">SUMPRODUCT($C$6:$N$6,C158:N158)</f>
        <v>0</v>
      </c>
      <c r="P158" s="1215">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1" t="s">
        <v>506</v>
      </c>
      <c r="C159" s="1216"/>
      <c r="D159" s="892"/>
      <c r="E159" s="892"/>
      <c r="F159" s="892"/>
      <c r="G159" s="892"/>
      <c r="H159" s="892"/>
      <c r="I159" s="892"/>
      <c r="J159" s="892"/>
      <c r="K159" s="892"/>
      <c r="L159" s="892"/>
      <c r="M159" s="892"/>
      <c r="N159" s="892"/>
      <c r="O159" s="1215">
        <f t="shared" si="64"/>
        <v>0</v>
      </c>
      <c r="P159" s="1215">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2" t="s">
        <v>507</v>
      </c>
      <c r="C160" s="1216"/>
      <c r="D160" s="892"/>
      <c r="E160" s="892"/>
      <c r="F160" s="892"/>
      <c r="G160" s="892"/>
      <c r="H160" s="892"/>
      <c r="I160" s="892"/>
      <c r="J160" s="892"/>
      <c r="K160" s="892"/>
      <c r="L160" s="892"/>
      <c r="M160" s="892"/>
      <c r="N160" s="892"/>
      <c r="O160" s="1215">
        <f t="shared" si="64"/>
        <v>0</v>
      </c>
      <c r="P160" s="1215">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2" t="s">
        <v>508</v>
      </c>
      <c r="C161" s="1217"/>
      <c r="D161" s="1189"/>
      <c r="E161" s="1189"/>
      <c r="F161" s="1189"/>
      <c r="G161" s="1189"/>
      <c r="H161" s="1189"/>
      <c r="I161" s="1189"/>
      <c r="J161" s="1189"/>
      <c r="K161" s="1189"/>
      <c r="L161" s="1189"/>
      <c r="M161" s="1189"/>
      <c r="N161" s="1189"/>
      <c r="O161" s="1215">
        <f t="shared" si="64"/>
        <v>0</v>
      </c>
      <c r="P161" s="1215">
        <f>SUM(C161:N161)</f>
        <v>0</v>
      </c>
      <c r="Q161" s="1248"/>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5" t="s">
        <v>1091</v>
      </c>
      <c r="C162" s="2501"/>
      <c r="D162" s="1189"/>
      <c r="E162" s="1189"/>
      <c r="F162" s="1189"/>
      <c r="G162" s="1189"/>
      <c r="H162" s="1189"/>
      <c r="I162" s="1189"/>
      <c r="J162" s="1189"/>
      <c r="K162" s="1189"/>
      <c r="L162" s="1189"/>
      <c r="M162" s="1189"/>
      <c r="N162" s="1189"/>
      <c r="O162" s="1215"/>
      <c r="P162" s="1215"/>
      <c r="Q162" s="1248"/>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2" t="s">
        <v>1128</v>
      </c>
      <c r="C163" s="1217"/>
      <c r="D163" s="1189"/>
      <c r="E163" s="1189"/>
      <c r="F163" s="1189"/>
      <c r="G163" s="1189"/>
      <c r="H163" s="1189"/>
      <c r="I163" s="1189"/>
      <c r="J163" s="1189"/>
      <c r="K163" s="1189"/>
      <c r="L163" s="1189"/>
      <c r="M163" s="1189"/>
      <c r="N163" s="1189"/>
      <c r="O163" s="1215">
        <f t="shared" si="64"/>
        <v>0</v>
      </c>
      <c r="P163" s="1215">
        <f>SUM(C163:N163)</f>
        <v>0</v>
      </c>
      <c r="Q163" s="1248"/>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1" t="s">
        <v>1148</v>
      </c>
      <c r="C164" s="1218">
        <f>SUM(C158:C163)</f>
        <v>0</v>
      </c>
      <c r="D164" s="1219">
        <f t="shared" ref="D164:P164" si="65">SUM(D158:D163)</f>
        <v>0</v>
      </c>
      <c r="E164" s="1219">
        <f t="shared" si="65"/>
        <v>0</v>
      </c>
      <c r="F164" s="1219">
        <f t="shared" si="65"/>
        <v>0</v>
      </c>
      <c r="G164" s="1219">
        <f t="shared" si="65"/>
        <v>0</v>
      </c>
      <c r="H164" s="1219">
        <f t="shared" si="65"/>
        <v>0</v>
      </c>
      <c r="I164" s="1219">
        <f t="shared" si="65"/>
        <v>0</v>
      </c>
      <c r="J164" s="1219">
        <f t="shared" si="65"/>
        <v>0</v>
      </c>
      <c r="K164" s="1219">
        <f t="shared" si="65"/>
        <v>0</v>
      </c>
      <c r="L164" s="1219">
        <f t="shared" si="65"/>
        <v>0</v>
      </c>
      <c r="M164" s="1219">
        <f t="shared" si="65"/>
        <v>0</v>
      </c>
      <c r="N164" s="1219">
        <f t="shared" si="65"/>
        <v>0</v>
      </c>
      <c r="O164" s="1219">
        <f t="shared" si="65"/>
        <v>0</v>
      </c>
      <c r="P164" s="1220">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1">
        <f t="shared" si="62"/>
        <v>121</v>
      </c>
      <c r="B165" s="1266" t="s">
        <v>1036</v>
      </c>
      <c r="C165" s="1218">
        <f t="shared" ref="C165:P165" si="66">C164-C157</f>
        <v>0</v>
      </c>
      <c r="D165" s="1219">
        <f t="shared" si="66"/>
        <v>0</v>
      </c>
      <c r="E165" s="1219">
        <f t="shared" si="66"/>
        <v>0</v>
      </c>
      <c r="F165" s="1219">
        <f t="shared" si="66"/>
        <v>0</v>
      </c>
      <c r="G165" s="1219">
        <f t="shared" si="66"/>
        <v>0</v>
      </c>
      <c r="H165" s="1219">
        <f t="shared" si="66"/>
        <v>0</v>
      </c>
      <c r="I165" s="1219">
        <f t="shared" si="66"/>
        <v>0</v>
      </c>
      <c r="J165" s="1219">
        <f t="shared" si="66"/>
        <v>0</v>
      </c>
      <c r="K165" s="1219">
        <f t="shared" si="66"/>
        <v>0</v>
      </c>
      <c r="L165" s="1219">
        <f t="shared" si="66"/>
        <v>0</v>
      </c>
      <c r="M165" s="1219">
        <f t="shared" si="66"/>
        <v>0</v>
      </c>
      <c r="N165" s="1219">
        <f t="shared" si="66"/>
        <v>0</v>
      </c>
      <c r="O165" s="1219">
        <f t="shared" si="66"/>
        <v>0</v>
      </c>
      <c r="P165" s="1220">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7" t="s">
        <v>1185</v>
      </c>
      <c r="C166" s="1283">
        <f>'C, C1, C2&amp; C3 - Savings Schemes'!D16</f>
        <v>0</v>
      </c>
      <c r="D166" s="1284">
        <f>'C, C1, C2&amp; C3 - Savings Schemes'!E16</f>
        <v>0</v>
      </c>
      <c r="E166" s="1284">
        <f>'C, C1, C2&amp; C3 - Savings Schemes'!F16</f>
        <v>0</v>
      </c>
      <c r="F166" s="1284">
        <f>'C, C1, C2&amp; C3 - Savings Schemes'!G16</f>
        <v>0</v>
      </c>
      <c r="G166" s="1284">
        <f>'C, C1, C2&amp; C3 - Savings Schemes'!H16</f>
        <v>0</v>
      </c>
      <c r="H166" s="1284">
        <f>'C, C1, C2&amp; C3 - Savings Schemes'!I16</f>
        <v>0</v>
      </c>
      <c r="I166" s="1284">
        <f>'C, C1, C2&amp; C3 - Savings Schemes'!J16</f>
        <v>0</v>
      </c>
      <c r="J166" s="1284">
        <f>'C, C1, C2&amp; C3 - Savings Schemes'!K16</f>
        <v>0</v>
      </c>
      <c r="K166" s="1284">
        <f>'C, C1, C2&amp; C3 - Savings Schemes'!L16</f>
        <v>0</v>
      </c>
      <c r="L166" s="1284">
        <f>'C, C1, C2&amp; C3 - Savings Schemes'!M16</f>
        <v>0</v>
      </c>
      <c r="M166" s="1284">
        <f>'C, C1, C2&amp; C3 - Savings Schemes'!N16</f>
        <v>0</v>
      </c>
      <c r="N166" s="1285">
        <f>'C, C1, C2&amp; C3 - Savings Schemes'!O16</f>
        <v>0</v>
      </c>
      <c r="O166" s="1232">
        <f t="shared" ref="O166:O172" si="67">SUMPRODUCT($C$6:$N$6,C166:N166)</f>
        <v>0</v>
      </c>
      <c r="P166" s="1101">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1">
        <f t="shared" si="62"/>
        <v>123</v>
      </c>
      <c r="B167" s="1268" t="s">
        <v>510</v>
      </c>
      <c r="C167" s="1286">
        <f>'C, C1, C2&amp; C3 - Savings Schemes'!D17</f>
        <v>0</v>
      </c>
      <c r="D167" s="1287">
        <f>'C, C1, C2&amp; C3 - Savings Schemes'!E17</f>
        <v>0</v>
      </c>
      <c r="E167" s="1287">
        <f>'C, C1, C2&amp; C3 - Savings Schemes'!F17</f>
        <v>0</v>
      </c>
      <c r="F167" s="1287">
        <f>'C, C1, C2&amp; C3 - Savings Schemes'!G17</f>
        <v>0</v>
      </c>
      <c r="G167" s="1287">
        <f>'C, C1, C2&amp; C3 - Savings Schemes'!H17</f>
        <v>0</v>
      </c>
      <c r="H167" s="1287">
        <f>'C, C1, C2&amp; C3 - Savings Schemes'!I17</f>
        <v>0</v>
      </c>
      <c r="I167" s="1287">
        <f>'C, C1, C2&amp; C3 - Savings Schemes'!J17</f>
        <v>0</v>
      </c>
      <c r="J167" s="1287">
        <f>'C, C1, C2&amp; C3 - Savings Schemes'!K17</f>
        <v>0</v>
      </c>
      <c r="K167" s="1287">
        <f>'C, C1, C2&amp; C3 - Savings Schemes'!L17</f>
        <v>0</v>
      </c>
      <c r="L167" s="1287">
        <f>'C, C1, C2&amp; C3 - Savings Schemes'!M17</f>
        <v>0</v>
      </c>
      <c r="M167" s="1287">
        <f>'C, C1, C2&amp; C3 - Savings Schemes'!N17</f>
        <v>0</v>
      </c>
      <c r="N167" s="1288">
        <f>'C, C1, C2&amp; C3 - Savings Schemes'!O17</f>
        <v>0</v>
      </c>
      <c r="O167" s="1233">
        <f t="shared" si="67"/>
        <v>0</v>
      </c>
      <c r="P167" s="1215">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1">
        <f t="shared" si="62"/>
        <v>124</v>
      </c>
      <c r="B168" s="2500" t="s">
        <v>1092</v>
      </c>
      <c r="C168" s="2501"/>
      <c r="D168" s="1189"/>
      <c r="E168" s="1189"/>
      <c r="F168" s="1189"/>
      <c r="G168" s="1189"/>
      <c r="H168" s="1189"/>
      <c r="I168" s="1189"/>
      <c r="J168" s="1189"/>
      <c r="K168" s="1189"/>
      <c r="L168" s="1189"/>
      <c r="M168" s="1189"/>
      <c r="N168" s="1189"/>
      <c r="O168" s="1692">
        <f t="shared" si="67"/>
        <v>0</v>
      </c>
      <c r="P168" s="1692">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9" t="s">
        <v>1104</v>
      </c>
      <c r="C169" s="1110">
        <f t="shared" ref="C169:N169" si="69">C167-C166-C168</f>
        <v>0</v>
      </c>
      <c r="D169" s="1219">
        <f t="shared" si="69"/>
        <v>0</v>
      </c>
      <c r="E169" s="1219">
        <f t="shared" si="69"/>
        <v>0</v>
      </c>
      <c r="F169" s="1219">
        <f t="shared" si="69"/>
        <v>0</v>
      </c>
      <c r="G169" s="1219">
        <f t="shared" si="69"/>
        <v>0</v>
      </c>
      <c r="H169" s="1219">
        <f t="shared" si="69"/>
        <v>0</v>
      </c>
      <c r="I169" s="1219">
        <f t="shared" si="69"/>
        <v>0</v>
      </c>
      <c r="J169" s="1219">
        <f t="shared" si="69"/>
        <v>0</v>
      </c>
      <c r="K169" s="1219">
        <f t="shared" si="69"/>
        <v>0</v>
      </c>
      <c r="L169" s="1219">
        <f t="shared" si="69"/>
        <v>0</v>
      </c>
      <c r="M169" s="1219">
        <f t="shared" si="69"/>
        <v>0</v>
      </c>
      <c r="N169" s="1220">
        <f t="shared" si="69"/>
        <v>0</v>
      </c>
      <c r="O169" s="1101">
        <f t="shared" si="67"/>
        <v>0</v>
      </c>
      <c r="P169" s="1101">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90">
        <f>SUMIFS('Table C4 Tracker'!AI$43:AI$1496,'Table C4 Tracker'!$O$43:$O$1496, "&lt;&gt;Red",'Table C4 Tracker'!$S$43:$S$1496,'Table C4 Tracker'!$CS$2,'Table C4 Tracker'!$R$43:$R$1496, 'Table C4 Tracker'!$CQ$3)</f>
        <v>0</v>
      </c>
      <c r="D170" s="1291">
        <f>SUMIFS('Table C4 Tracker'!AJ$43:AJ$1496,'Table C4 Tracker'!$O$43:$O$1496, "&lt;&gt;Red",'Table C4 Tracker'!$S$43:$S$1496,'Table C4 Tracker'!$CS$2,'Table C4 Tracker'!$R$43:$R$1496, 'Table C4 Tracker'!$CQ$3)</f>
        <v>0</v>
      </c>
      <c r="E170" s="1291">
        <f>SUMIFS('Table C4 Tracker'!AK$43:AK$1496,'Table C4 Tracker'!$O$43:$O$1496, "&lt;&gt;Red",'Table C4 Tracker'!$S$43:$S$1496,'Table C4 Tracker'!$CS$2,'Table C4 Tracker'!$R$43:$R$1496, 'Table C4 Tracker'!$CQ$3)</f>
        <v>0</v>
      </c>
      <c r="F170" s="1291">
        <f>SUMIFS('Table C4 Tracker'!AL$43:AL$1496,'Table C4 Tracker'!$O$43:$O$1496, "&lt;&gt;Red",'Table C4 Tracker'!$S$43:$S$1496,'Table C4 Tracker'!$CS$2,'Table C4 Tracker'!$R$43:$R$1496, 'Table C4 Tracker'!$CQ$3)</f>
        <v>0</v>
      </c>
      <c r="G170" s="1291">
        <f>SUMIFS('Table C4 Tracker'!AM$43:AM$1496,'Table C4 Tracker'!$O$43:$O$1496, "&lt;&gt;Red",'Table C4 Tracker'!$S$43:$S$1496,'Table C4 Tracker'!$CS$2,'Table C4 Tracker'!$R$43:$R$1496, 'Table C4 Tracker'!$CQ$3)</f>
        <v>0</v>
      </c>
      <c r="H170" s="1291">
        <f>SUMIFS('Table C4 Tracker'!AN$43:AN$1496,'Table C4 Tracker'!$O$43:$O$1496, "&lt;&gt;Red",'Table C4 Tracker'!$S$43:$S$1496,'Table C4 Tracker'!$CS$2,'Table C4 Tracker'!$R$43:$R$1496, 'Table C4 Tracker'!$CQ$3)</f>
        <v>0</v>
      </c>
      <c r="I170" s="1291">
        <f>SUMIFS('Table C4 Tracker'!AO$43:AO$1496,'Table C4 Tracker'!$O$43:$O$1496, "&lt;&gt;Red",'Table C4 Tracker'!$S$43:$S$1496,'Table C4 Tracker'!$CS$2,'Table C4 Tracker'!$R$43:$R$1496, 'Table C4 Tracker'!$CQ$3)</f>
        <v>0</v>
      </c>
      <c r="J170" s="1291">
        <f>SUMIFS('Table C4 Tracker'!AP$43:AP$1496,'Table C4 Tracker'!$O$43:$O$1496, "&lt;&gt;Red",'Table C4 Tracker'!$S$43:$S$1496,'Table C4 Tracker'!$CS$2,'Table C4 Tracker'!$R$43:$R$1496, 'Table C4 Tracker'!$CQ$3)</f>
        <v>0</v>
      </c>
      <c r="K170" s="1291">
        <f>SUMIFS('Table C4 Tracker'!AQ$43:AQ$1496,'Table C4 Tracker'!$O$43:$O$1496, "&lt;&gt;Red",'Table C4 Tracker'!$S$43:$S$1496,'Table C4 Tracker'!$CS$2,'Table C4 Tracker'!$R$43:$R$1496, 'Table C4 Tracker'!$CQ$3)</f>
        <v>0</v>
      </c>
      <c r="L170" s="1291">
        <f>SUMIFS('Table C4 Tracker'!AR$43:AR$1496,'Table C4 Tracker'!$O$43:$O$1496, "&lt;&gt;Red",'Table C4 Tracker'!$S$43:$S$1496,'Table C4 Tracker'!$CS$2,'Table C4 Tracker'!$R$43:$R$1496, 'Table C4 Tracker'!$CQ$3)</f>
        <v>0</v>
      </c>
      <c r="M170" s="1291">
        <f>SUMIFS('Table C4 Tracker'!AS$43:AS$1496,'Table C4 Tracker'!$O$43:$O$1496, "&lt;&gt;Red",'Table C4 Tracker'!$S$43:$S$1496,'Table C4 Tracker'!$CS$2,'Table C4 Tracker'!$R$43:$R$1496, 'Table C4 Tracker'!$CQ$3)</f>
        <v>0</v>
      </c>
      <c r="N170" s="1292">
        <f>SUMIFS('Table C4 Tracker'!AT$43:AT$1496,'Table C4 Tracker'!$O$43:$O$1496, "&lt;&gt;Red",'Table C4 Tracker'!$S$43:$S$1496,'Table C4 Tracker'!$CS$2,'Table C4 Tracker'!$R$43:$R$1496, 'Table C4 Tracker'!$CQ$3)</f>
        <v>0</v>
      </c>
      <c r="O170" s="1215">
        <f t="shared" si="67"/>
        <v>0</v>
      </c>
      <c r="P170" s="1215">
        <f t="shared" si="68"/>
        <v>0</v>
      </c>
      <c r="Q170" s="1248"/>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9" t="s">
        <v>1067</v>
      </c>
      <c r="C171" s="2503"/>
      <c r="D171" s="2504"/>
      <c r="E171" s="2504"/>
      <c r="F171" s="2504"/>
      <c r="G171" s="2504"/>
      <c r="H171" s="2504"/>
      <c r="I171" s="2504"/>
      <c r="J171" s="2504"/>
      <c r="K171" s="2504"/>
      <c r="L171" s="2504"/>
      <c r="M171" s="2504"/>
      <c r="N171" s="2505"/>
      <c r="O171" s="1692">
        <f t="shared" si="67"/>
        <v>0</v>
      </c>
      <c r="P171" s="1692">
        <f t="shared" si="68"/>
        <v>0</v>
      </c>
      <c r="Q171" s="1248"/>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5" t="s">
        <v>1186</v>
      </c>
      <c r="C172" s="2506"/>
      <c r="D172" s="2502"/>
      <c r="E172" s="2502"/>
      <c r="F172" s="2502"/>
      <c r="G172" s="2502"/>
      <c r="H172" s="2502"/>
      <c r="I172" s="2502"/>
      <c r="J172" s="2502"/>
      <c r="K172" s="2502"/>
      <c r="L172" s="2502"/>
      <c r="M172" s="2502"/>
      <c r="N172" s="2502"/>
      <c r="O172" s="1101">
        <f t="shared" si="67"/>
        <v>0</v>
      </c>
      <c r="P172" s="1101">
        <f t="shared" si="68"/>
        <v>0</v>
      </c>
      <c r="Q172" s="1248"/>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6">
        <f>A172+1</f>
        <v>129</v>
      </c>
      <c r="B174" s="1270" t="s">
        <v>1187</v>
      </c>
      <c r="C174" s="1110">
        <f>C157-C166</f>
        <v>0</v>
      </c>
      <c r="D174" s="1110">
        <f t="shared" ref="D174:P174" si="70">D157-D166</f>
        <v>0</v>
      </c>
      <c r="E174" s="1110">
        <f t="shared" si="70"/>
        <v>0</v>
      </c>
      <c r="F174" s="1110">
        <f t="shared" si="70"/>
        <v>0</v>
      </c>
      <c r="G174" s="1110">
        <f t="shared" si="70"/>
        <v>0</v>
      </c>
      <c r="H174" s="1110">
        <f t="shared" si="70"/>
        <v>0</v>
      </c>
      <c r="I174" s="1110">
        <f t="shared" si="70"/>
        <v>0</v>
      </c>
      <c r="J174" s="1110">
        <f t="shared" si="70"/>
        <v>0</v>
      </c>
      <c r="K174" s="1110">
        <f t="shared" si="70"/>
        <v>0</v>
      </c>
      <c r="L174" s="1110">
        <f t="shared" si="70"/>
        <v>0</v>
      </c>
      <c r="M174" s="1110">
        <f t="shared" si="70"/>
        <v>0</v>
      </c>
      <c r="N174" s="1110">
        <f t="shared" si="70"/>
        <v>0</v>
      </c>
      <c r="O174" s="1110">
        <f t="shared" si="70"/>
        <v>0</v>
      </c>
      <c r="P174" s="1110">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70" t="s">
        <v>1071</v>
      </c>
      <c r="C175" s="1110">
        <f>C164-C167-C170-C171-C172</f>
        <v>0</v>
      </c>
      <c r="D175" s="1110">
        <f t="shared" ref="D175:P175" si="71">D164-D167-D170-D171-D172</f>
        <v>0</v>
      </c>
      <c r="E175" s="1110">
        <f t="shared" si="71"/>
        <v>0</v>
      </c>
      <c r="F175" s="1110">
        <f t="shared" si="71"/>
        <v>0</v>
      </c>
      <c r="G175" s="1110">
        <f t="shared" si="71"/>
        <v>0</v>
      </c>
      <c r="H175" s="1110">
        <f t="shared" si="71"/>
        <v>0</v>
      </c>
      <c r="I175" s="1110">
        <f t="shared" si="71"/>
        <v>0</v>
      </c>
      <c r="J175" s="1110">
        <f t="shared" si="71"/>
        <v>0</v>
      </c>
      <c r="K175" s="1110">
        <f t="shared" si="71"/>
        <v>0</v>
      </c>
      <c r="L175" s="1110">
        <f t="shared" si="71"/>
        <v>0</v>
      </c>
      <c r="M175" s="1110">
        <f t="shared" si="71"/>
        <v>0</v>
      </c>
      <c r="N175" s="1110">
        <f t="shared" si="71"/>
        <v>0</v>
      </c>
      <c r="O175" s="1110">
        <f t="shared" si="71"/>
        <v>0</v>
      </c>
      <c r="P175" s="1110">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7">
        <f>A175+1</f>
        <v>131</v>
      </c>
      <c r="B176" s="1270" t="s">
        <v>1072</v>
      </c>
      <c r="C176" s="1110">
        <f>C175-C174</f>
        <v>0</v>
      </c>
      <c r="D176" s="1110">
        <f t="shared" ref="D176:P176" si="72">D175-D174</f>
        <v>0</v>
      </c>
      <c r="E176" s="1110">
        <f t="shared" si="72"/>
        <v>0</v>
      </c>
      <c r="F176" s="1110">
        <f t="shared" si="72"/>
        <v>0</v>
      </c>
      <c r="G176" s="1110">
        <f t="shared" si="72"/>
        <v>0</v>
      </c>
      <c r="H176" s="1110">
        <f t="shared" si="72"/>
        <v>0</v>
      </c>
      <c r="I176" s="1110">
        <f t="shared" si="72"/>
        <v>0</v>
      </c>
      <c r="J176" s="1110">
        <f t="shared" si="72"/>
        <v>0</v>
      </c>
      <c r="K176" s="1110">
        <f t="shared" si="72"/>
        <v>0</v>
      </c>
      <c r="L176" s="1110">
        <f t="shared" si="72"/>
        <v>0</v>
      </c>
      <c r="M176" s="1110">
        <f t="shared" si="72"/>
        <v>0</v>
      </c>
      <c r="N176" s="1110">
        <f t="shared" si="72"/>
        <v>0</v>
      </c>
      <c r="O176" s="1110">
        <f t="shared" si="72"/>
        <v>0</v>
      </c>
      <c r="P176" s="1101">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7">
        <f>A176+1</f>
        <v>132</v>
      </c>
      <c r="B177" s="1270" t="s">
        <v>1093</v>
      </c>
      <c r="C177" s="1110">
        <f>C162-C155-C168-C171-C172</f>
        <v>0</v>
      </c>
      <c r="D177" s="1110">
        <f t="shared" ref="D177:P177" si="73">D162-D155-D168-D171-D172</f>
        <v>0</v>
      </c>
      <c r="E177" s="1110">
        <f t="shared" si="73"/>
        <v>0</v>
      </c>
      <c r="F177" s="1110">
        <f t="shared" si="73"/>
        <v>0</v>
      </c>
      <c r="G177" s="1110">
        <f t="shared" si="73"/>
        <v>0</v>
      </c>
      <c r="H177" s="1110">
        <f t="shared" si="73"/>
        <v>0</v>
      </c>
      <c r="I177" s="1110">
        <f t="shared" si="73"/>
        <v>0</v>
      </c>
      <c r="J177" s="1110">
        <f t="shared" si="73"/>
        <v>0</v>
      </c>
      <c r="K177" s="1110">
        <f t="shared" si="73"/>
        <v>0</v>
      </c>
      <c r="L177" s="1110">
        <f t="shared" si="73"/>
        <v>0</v>
      </c>
      <c r="M177" s="1110">
        <f t="shared" si="73"/>
        <v>0</v>
      </c>
      <c r="N177" s="1110">
        <f t="shared" si="73"/>
        <v>0</v>
      </c>
      <c r="O177" s="1110">
        <f t="shared" si="73"/>
        <v>0</v>
      </c>
      <c r="P177" s="1101">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7">
        <f>A177+1</f>
        <v>133</v>
      </c>
      <c r="B178" s="1270" t="s">
        <v>1068</v>
      </c>
      <c r="C178" s="1110">
        <f>C176-C177</f>
        <v>0</v>
      </c>
      <c r="D178" s="1110">
        <f t="shared" ref="D178:P178" si="74">D176-D177</f>
        <v>0</v>
      </c>
      <c r="E178" s="1110">
        <f t="shared" si="74"/>
        <v>0</v>
      </c>
      <c r="F178" s="1110">
        <f t="shared" si="74"/>
        <v>0</v>
      </c>
      <c r="G178" s="1110">
        <f t="shared" si="74"/>
        <v>0</v>
      </c>
      <c r="H178" s="1110">
        <f t="shared" si="74"/>
        <v>0</v>
      </c>
      <c r="I178" s="1110">
        <f t="shared" si="74"/>
        <v>0</v>
      </c>
      <c r="J178" s="1110">
        <f t="shared" si="74"/>
        <v>0</v>
      </c>
      <c r="K178" s="1110">
        <f t="shared" si="74"/>
        <v>0</v>
      </c>
      <c r="L178" s="1110">
        <f t="shared" si="74"/>
        <v>0</v>
      </c>
      <c r="M178" s="1110">
        <f t="shared" si="74"/>
        <v>0</v>
      </c>
      <c r="N178" s="1110">
        <f t="shared" si="74"/>
        <v>0</v>
      </c>
      <c r="O178" s="1110">
        <f t="shared" si="74"/>
        <v>0</v>
      </c>
      <c r="P178" s="1101">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9"/>
      <c r="C182" s="1221">
        <v>1</v>
      </c>
      <c r="D182" s="1222">
        <v>2</v>
      </c>
      <c r="E182" s="1222">
        <v>3</v>
      </c>
      <c r="F182" s="1222">
        <v>4</v>
      </c>
      <c r="G182" s="1222">
        <v>5</v>
      </c>
      <c r="H182" s="1222">
        <v>6</v>
      </c>
      <c r="I182" s="1222">
        <v>7</v>
      </c>
      <c r="J182" s="1222">
        <v>8</v>
      </c>
      <c r="K182" s="1222">
        <v>9</v>
      </c>
      <c r="L182" s="1222">
        <v>10</v>
      </c>
      <c r="M182" s="1222">
        <v>11</v>
      </c>
      <c r="N182" s="1223">
        <v>12</v>
      </c>
      <c r="O182" s="1210"/>
      <c r="P182" s="1211"/>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2" t="s">
        <v>809</v>
      </c>
      <c r="C183" s="1224" t="s">
        <v>181</v>
      </c>
      <c r="D183" s="1225" t="s">
        <v>89</v>
      </c>
      <c r="E183" s="1225" t="s">
        <v>90</v>
      </c>
      <c r="F183" s="1225" t="s">
        <v>91</v>
      </c>
      <c r="G183" s="1225" t="s">
        <v>92</v>
      </c>
      <c r="H183" s="1225" t="s">
        <v>93</v>
      </c>
      <c r="I183" s="1225" t="s">
        <v>94</v>
      </c>
      <c r="J183" s="1225" t="s">
        <v>95</v>
      </c>
      <c r="K183" s="1225" t="s">
        <v>96</v>
      </c>
      <c r="L183" s="1225" t="s">
        <v>97</v>
      </c>
      <c r="M183" s="1225" t="s">
        <v>98</v>
      </c>
      <c r="N183" s="1226" t="s">
        <v>99</v>
      </c>
      <c r="O183" s="1227" t="s">
        <v>493</v>
      </c>
      <c r="P183" s="1227"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3"/>
      <c r="C184" s="1228" t="s">
        <v>50</v>
      </c>
      <c r="D184" s="1229" t="s">
        <v>50</v>
      </c>
      <c r="E184" s="1229" t="s">
        <v>50</v>
      </c>
      <c r="F184" s="1229" t="s">
        <v>50</v>
      </c>
      <c r="G184" s="1229" t="s">
        <v>50</v>
      </c>
      <c r="H184" s="1229" t="s">
        <v>50</v>
      </c>
      <c r="I184" s="1229" t="s">
        <v>50</v>
      </c>
      <c r="J184" s="1229" t="s">
        <v>50</v>
      </c>
      <c r="K184" s="1229" t="s">
        <v>50</v>
      </c>
      <c r="L184" s="1229" t="s">
        <v>50</v>
      </c>
      <c r="M184" s="1229" t="s">
        <v>50</v>
      </c>
      <c r="N184" s="1230" t="s">
        <v>50</v>
      </c>
      <c r="O184" s="1231" t="s">
        <v>50</v>
      </c>
      <c r="P184" s="1231"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3" t="s">
        <v>1188</v>
      </c>
      <c r="C185" s="1286">
        <f>C154+C126+C97+C68+C39+C10</f>
        <v>0</v>
      </c>
      <c r="D185" s="1286">
        <f t="shared" ref="D185:N185" si="75">D154+D126+D97+D68+D39+D10</f>
        <v>0</v>
      </c>
      <c r="E185" s="1286">
        <f t="shared" si="75"/>
        <v>0</v>
      </c>
      <c r="F185" s="1286">
        <f t="shared" si="75"/>
        <v>0</v>
      </c>
      <c r="G185" s="1286">
        <f t="shared" si="75"/>
        <v>0</v>
      </c>
      <c r="H185" s="1286">
        <f t="shared" si="75"/>
        <v>0</v>
      </c>
      <c r="I185" s="1286">
        <f t="shared" si="75"/>
        <v>0</v>
      </c>
      <c r="J185" s="1286">
        <f t="shared" si="75"/>
        <v>0</v>
      </c>
      <c r="K185" s="1286">
        <f t="shared" si="75"/>
        <v>0</v>
      </c>
      <c r="L185" s="1286">
        <f t="shared" si="75"/>
        <v>0</v>
      </c>
      <c r="M185" s="1286">
        <f t="shared" si="75"/>
        <v>0</v>
      </c>
      <c r="N185" s="1286">
        <f t="shared" si="75"/>
        <v>0</v>
      </c>
      <c r="O185" s="1215">
        <f t="shared" ref="O185:O191" si="76">SUMPRODUCT($C$6:$N$6,C185:N185)</f>
        <v>0</v>
      </c>
      <c r="P185" s="1215">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1">
        <f>A185+1</f>
        <v>135</v>
      </c>
      <c r="B186" s="1263" t="s">
        <v>1189</v>
      </c>
      <c r="C186" s="2509">
        <f>C155+C127+C98+C69+C40+C11</f>
        <v>0</v>
      </c>
      <c r="D186" s="2509">
        <f t="shared" ref="D186:N186" si="77">D155+D127+D98+D69+D40+D11</f>
        <v>0</v>
      </c>
      <c r="E186" s="2509">
        <f t="shared" si="77"/>
        <v>0</v>
      </c>
      <c r="F186" s="2509">
        <f t="shared" si="77"/>
        <v>0</v>
      </c>
      <c r="G186" s="2509">
        <f t="shared" si="77"/>
        <v>0</v>
      </c>
      <c r="H186" s="2509">
        <f t="shared" si="77"/>
        <v>0</v>
      </c>
      <c r="I186" s="2509">
        <f t="shared" si="77"/>
        <v>0</v>
      </c>
      <c r="J186" s="2509">
        <f t="shared" si="77"/>
        <v>0</v>
      </c>
      <c r="K186" s="2509">
        <f t="shared" si="77"/>
        <v>0</v>
      </c>
      <c r="L186" s="2509">
        <f t="shared" si="77"/>
        <v>0</v>
      </c>
      <c r="M186" s="2509">
        <f t="shared" si="77"/>
        <v>0</v>
      </c>
      <c r="N186" s="2509">
        <f t="shared" si="77"/>
        <v>0</v>
      </c>
      <c r="O186" s="1215">
        <f t="shared" si="76"/>
        <v>0</v>
      </c>
      <c r="P186" s="1215">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4" t="str">
        <f>""&amp;'A - Movement'!$B$23&amp;""</f>
        <v>Planning Assumptions still to be finalised at Month 1</v>
      </c>
      <c r="C187" s="1290">
        <f t="shared" ref="C187:N187" si="79">C156+C128+C99+C70+C41+C12</f>
        <v>0</v>
      </c>
      <c r="D187" s="1290">
        <f t="shared" si="79"/>
        <v>0</v>
      </c>
      <c r="E187" s="1290">
        <f t="shared" si="79"/>
        <v>0</v>
      </c>
      <c r="F187" s="1290">
        <f t="shared" si="79"/>
        <v>0</v>
      </c>
      <c r="G187" s="1290">
        <f t="shared" si="79"/>
        <v>0</v>
      </c>
      <c r="H187" s="1290">
        <f t="shared" si="79"/>
        <v>0</v>
      </c>
      <c r="I187" s="1290">
        <f t="shared" si="79"/>
        <v>0</v>
      </c>
      <c r="J187" s="1290">
        <f t="shared" si="79"/>
        <v>0</v>
      </c>
      <c r="K187" s="1290">
        <f t="shared" si="79"/>
        <v>0</v>
      </c>
      <c r="L187" s="1290">
        <f t="shared" si="79"/>
        <v>0</v>
      </c>
      <c r="M187" s="1290">
        <f t="shared" si="79"/>
        <v>0</v>
      </c>
      <c r="N187" s="1290">
        <f t="shared" si="79"/>
        <v>0</v>
      </c>
      <c r="O187" s="1215">
        <f t="shared" si="76"/>
        <v>0</v>
      </c>
      <c r="P187" s="1215">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100" t="s">
        <v>1190</v>
      </c>
      <c r="C188" s="1283">
        <f t="shared" ref="C188:N188" si="80">C157+C129+C100+C71+C42+C13</f>
        <v>0</v>
      </c>
      <c r="D188" s="1283">
        <f t="shared" si="80"/>
        <v>0</v>
      </c>
      <c r="E188" s="1283">
        <f t="shared" si="80"/>
        <v>0</v>
      </c>
      <c r="F188" s="1283">
        <f t="shared" si="80"/>
        <v>0</v>
      </c>
      <c r="G188" s="1283">
        <f t="shared" si="80"/>
        <v>0</v>
      </c>
      <c r="H188" s="1283">
        <f t="shared" si="80"/>
        <v>0</v>
      </c>
      <c r="I188" s="1283">
        <f t="shared" si="80"/>
        <v>0</v>
      </c>
      <c r="J188" s="1283">
        <f t="shared" si="80"/>
        <v>0</v>
      </c>
      <c r="K188" s="1283">
        <f t="shared" si="80"/>
        <v>0</v>
      </c>
      <c r="L188" s="1283">
        <f t="shared" si="80"/>
        <v>0</v>
      </c>
      <c r="M188" s="1283">
        <f t="shared" si="80"/>
        <v>0</v>
      </c>
      <c r="N188" s="1283">
        <f t="shared" si="80"/>
        <v>0</v>
      </c>
      <c r="O188" s="1101">
        <f t="shared" si="76"/>
        <v>0</v>
      </c>
      <c r="P188" s="1101">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90">
        <f t="shared" si="78"/>
        <v>138</v>
      </c>
      <c r="B189" s="1278" t="s">
        <v>829</v>
      </c>
      <c r="C189" s="1286" t="e">
        <f>C164+C133+C105+C76+C47+C18-C191-C190</f>
        <v>#REF!</v>
      </c>
      <c r="D189" s="1286" t="e">
        <f t="shared" ref="D189:N189" si="81">D164+D133+D105+D76+D47+D18-D191-D190</f>
        <v>#REF!</v>
      </c>
      <c r="E189" s="1286" t="e">
        <f t="shared" si="81"/>
        <v>#REF!</v>
      </c>
      <c r="F189" s="1286" t="e">
        <f t="shared" si="81"/>
        <v>#REF!</v>
      </c>
      <c r="G189" s="1286" t="e">
        <f t="shared" si="81"/>
        <v>#REF!</v>
      </c>
      <c r="H189" s="1286" t="e">
        <f t="shared" si="81"/>
        <v>#REF!</v>
      </c>
      <c r="I189" s="1286" t="e">
        <f t="shared" si="81"/>
        <v>#REF!</v>
      </c>
      <c r="J189" s="1286" t="e">
        <f t="shared" si="81"/>
        <v>#REF!</v>
      </c>
      <c r="K189" s="1286" t="e">
        <f t="shared" si="81"/>
        <v>#REF!</v>
      </c>
      <c r="L189" s="1286" t="e">
        <f t="shared" si="81"/>
        <v>#REF!</v>
      </c>
      <c r="M189" s="1286" t="e">
        <f t="shared" si="81"/>
        <v>#REF!</v>
      </c>
      <c r="N189" s="1286" t="e">
        <f t="shared" si="81"/>
        <v>#REF!</v>
      </c>
      <c r="O189" s="1215" t="e">
        <f t="shared" si="76"/>
        <v>#REF!</v>
      </c>
      <c r="P189" s="1215" t="e">
        <f>SUM(C189:N189)</f>
        <v>#REF!</v>
      </c>
      <c r="Q189" s="1248"/>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1">
        <f t="shared" si="78"/>
        <v>139</v>
      </c>
      <c r="B190" s="1275" t="s">
        <v>1094</v>
      </c>
      <c r="C190" s="2509" t="e">
        <f>C162+C131+C103+C74+C44+C15</f>
        <v>#REF!</v>
      </c>
      <c r="D190" s="2509" t="e">
        <f t="shared" ref="D190:N190" si="82">D162+D131+D103+D74+D44+D15</f>
        <v>#REF!</v>
      </c>
      <c r="E190" s="2509" t="e">
        <f t="shared" si="82"/>
        <v>#REF!</v>
      </c>
      <c r="F190" s="2509" t="e">
        <f t="shared" si="82"/>
        <v>#REF!</v>
      </c>
      <c r="G190" s="2509" t="e">
        <f t="shared" si="82"/>
        <v>#REF!</v>
      </c>
      <c r="H190" s="2509" t="e">
        <f t="shared" si="82"/>
        <v>#REF!</v>
      </c>
      <c r="I190" s="2509" t="e">
        <f t="shared" si="82"/>
        <v>#REF!</v>
      </c>
      <c r="J190" s="2509" t="e">
        <f t="shared" si="82"/>
        <v>#REF!</v>
      </c>
      <c r="K190" s="2509" t="e">
        <f t="shared" si="82"/>
        <v>#REF!</v>
      </c>
      <c r="L190" s="2509" t="e">
        <f t="shared" si="82"/>
        <v>#REF!</v>
      </c>
      <c r="M190" s="2509" t="e">
        <f t="shared" si="82"/>
        <v>#REF!</v>
      </c>
      <c r="N190" s="2509" t="e">
        <f t="shared" si="82"/>
        <v>#REF!</v>
      </c>
      <c r="O190" s="1215" t="e">
        <f t="shared" si="76"/>
        <v>#REF!</v>
      </c>
      <c r="P190" s="1215" t="e">
        <f>SUM(C190:N190)</f>
        <v>#REF!</v>
      </c>
      <c r="Q190" s="1248"/>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9" t="s">
        <v>1132</v>
      </c>
      <c r="C191" s="1290">
        <f>C163+C132+C104+C75+C45+C16</f>
        <v>0</v>
      </c>
      <c r="D191" s="1290">
        <f t="shared" ref="D191:N191" si="83">D163+D132+D104+D75+D45+D16</f>
        <v>0</v>
      </c>
      <c r="E191" s="1290">
        <f t="shared" si="83"/>
        <v>0</v>
      </c>
      <c r="F191" s="1290">
        <f t="shared" si="83"/>
        <v>0</v>
      </c>
      <c r="G191" s="1290">
        <f t="shared" si="83"/>
        <v>0</v>
      </c>
      <c r="H191" s="1290">
        <f t="shared" si="83"/>
        <v>0</v>
      </c>
      <c r="I191" s="1290">
        <f t="shared" si="83"/>
        <v>0</v>
      </c>
      <c r="J191" s="1290">
        <f t="shared" si="83"/>
        <v>0</v>
      </c>
      <c r="K191" s="1290">
        <f t="shared" si="83"/>
        <v>0</v>
      </c>
      <c r="L191" s="1290">
        <f t="shared" si="83"/>
        <v>0</v>
      </c>
      <c r="M191" s="1290">
        <f t="shared" si="83"/>
        <v>0</v>
      </c>
      <c r="N191" s="1290">
        <f t="shared" si="83"/>
        <v>0</v>
      </c>
      <c r="O191" s="1215">
        <f t="shared" si="76"/>
        <v>0</v>
      </c>
      <c r="P191" s="1215">
        <f>SUM(C191:N191)</f>
        <v>0</v>
      </c>
      <c r="Q191" s="1248"/>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2" t="s">
        <v>1150</v>
      </c>
      <c r="C192" s="1218" t="e">
        <f>SUM(C189:C191)</f>
        <v>#REF!</v>
      </c>
      <c r="D192" s="1218" t="e">
        <f t="shared" ref="D192:P192" si="84">SUM(D189:D191)</f>
        <v>#REF!</v>
      </c>
      <c r="E192" s="1218" t="e">
        <f t="shared" si="84"/>
        <v>#REF!</v>
      </c>
      <c r="F192" s="1218" t="e">
        <f t="shared" si="84"/>
        <v>#REF!</v>
      </c>
      <c r="G192" s="1218" t="e">
        <f t="shared" si="84"/>
        <v>#REF!</v>
      </c>
      <c r="H192" s="1218" t="e">
        <f t="shared" si="84"/>
        <v>#REF!</v>
      </c>
      <c r="I192" s="1218" t="e">
        <f t="shared" si="84"/>
        <v>#REF!</v>
      </c>
      <c r="J192" s="1218" t="e">
        <f t="shared" si="84"/>
        <v>#REF!</v>
      </c>
      <c r="K192" s="1218" t="e">
        <f t="shared" si="84"/>
        <v>#REF!</v>
      </c>
      <c r="L192" s="1218" t="e">
        <f t="shared" si="84"/>
        <v>#REF!</v>
      </c>
      <c r="M192" s="1218" t="e">
        <f t="shared" si="84"/>
        <v>#REF!</v>
      </c>
      <c r="N192" s="1299" t="e">
        <f t="shared" si="84"/>
        <v>#REF!</v>
      </c>
      <c r="O192" s="1101" t="e">
        <f t="shared" si="84"/>
        <v>#REF!</v>
      </c>
      <c r="P192" s="1101"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2" t="s">
        <v>1037</v>
      </c>
      <c r="C193" s="1245" t="e">
        <f>C192-C188</f>
        <v>#REF!</v>
      </c>
      <c r="D193" s="1245" t="e">
        <f t="shared" ref="D193:P193" si="85">D192-D188</f>
        <v>#REF!</v>
      </c>
      <c r="E193" s="1245" t="e">
        <f t="shared" si="85"/>
        <v>#REF!</v>
      </c>
      <c r="F193" s="1245" t="e">
        <f t="shared" si="85"/>
        <v>#REF!</v>
      </c>
      <c r="G193" s="1245" t="e">
        <f t="shared" si="85"/>
        <v>#REF!</v>
      </c>
      <c r="H193" s="1245" t="e">
        <f t="shared" si="85"/>
        <v>#REF!</v>
      </c>
      <c r="I193" s="1245" t="e">
        <f t="shared" si="85"/>
        <v>#REF!</v>
      </c>
      <c r="J193" s="1245" t="e">
        <f t="shared" si="85"/>
        <v>#REF!</v>
      </c>
      <c r="K193" s="1245" t="e">
        <f t="shared" si="85"/>
        <v>#REF!</v>
      </c>
      <c r="L193" s="1245" t="e">
        <f t="shared" si="85"/>
        <v>#REF!</v>
      </c>
      <c r="M193" s="1245" t="e">
        <f t="shared" si="85"/>
        <v>#REF!</v>
      </c>
      <c r="N193" s="1365" t="e">
        <f t="shared" si="85"/>
        <v>#REF!</v>
      </c>
      <c r="O193" s="1101" t="e">
        <f t="shared" si="85"/>
        <v>#REF!</v>
      </c>
      <c r="P193" s="1101"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90">
        <f t="shared" si="78"/>
        <v>143</v>
      </c>
      <c r="B194" s="1273" t="s">
        <v>1191</v>
      </c>
      <c r="C194" s="1283">
        <f>'C, C1, C2&amp; C3 - Savings Schemes'!D31</f>
        <v>1244.4166666666665</v>
      </c>
      <c r="D194" s="1284">
        <f>'C, C1, C2&amp; C3 - Savings Schemes'!E31</f>
        <v>175.41666666666666</v>
      </c>
      <c r="E194" s="1284">
        <f>'C, C1, C2&amp; C3 - Savings Schemes'!F31</f>
        <v>175.41666666666666</v>
      </c>
      <c r="F194" s="1284">
        <f>'C, C1, C2&amp; C3 - Savings Schemes'!G31</f>
        <v>175.41666666666666</v>
      </c>
      <c r="G194" s="1284">
        <f>'C, C1, C2&amp; C3 - Savings Schemes'!H31</f>
        <v>175.41666666666666</v>
      </c>
      <c r="H194" s="1284">
        <f>'C, C1, C2&amp; C3 - Savings Schemes'!I31</f>
        <v>175.41666666666666</v>
      </c>
      <c r="I194" s="1284">
        <f>'C, C1, C2&amp; C3 - Savings Schemes'!J31</f>
        <v>175.41666666666666</v>
      </c>
      <c r="J194" s="1284">
        <f>'C, C1, C2&amp; C3 - Savings Schemes'!K31</f>
        <v>175.41666666666666</v>
      </c>
      <c r="K194" s="1284">
        <f>'C, C1, C2&amp; C3 - Savings Schemes'!L31</f>
        <v>175.41666666666666</v>
      </c>
      <c r="L194" s="1284">
        <f>'C, C1, C2&amp; C3 - Savings Schemes'!M31</f>
        <v>175.41666666666666</v>
      </c>
      <c r="M194" s="1284">
        <f>'C, C1, C2&amp; C3 - Savings Schemes'!N31</f>
        <v>175.41666666666666</v>
      </c>
      <c r="N194" s="1285">
        <f>'C, C1, C2&amp; C3 - Savings Schemes'!O31</f>
        <v>175.41666666666666</v>
      </c>
      <c r="O194" s="2515">
        <f>SUMPRODUCT($C$6:$N$6,C194:N194)</f>
        <v>1244.4166666666665</v>
      </c>
      <c r="P194" s="1560">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1" t="s">
        <v>830</v>
      </c>
      <c r="C195" s="1286">
        <f>'C, C1, C2&amp; C3 - Savings Schemes'!D32</f>
        <v>1244.4166666666665</v>
      </c>
      <c r="D195" s="1287">
        <f>'C, C1, C2&amp; C3 - Savings Schemes'!E32</f>
        <v>175.41666666666666</v>
      </c>
      <c r="E195" s="1287">
        <f>'C, C1, C2&amp; C3 - Savings Schemes'!F32</f>
        <v>175.41666666666666</v>
      </c>
      <c r="F195" s="1287">
        <f>'C, C1, C2&amp; C3 - Savings Schemes'!G32</f>
        <v>175.41666666666666</v>
      </c>
      <c r="G195" s="1287">
        <f>'C, C1, C2&amp; C3 - Savings Schemes'!H32</f>
        <v>175.41666666666666</v>
      </c>
      <c r="H195" s="1287">
        <f>'C, C1, C2&amp; C3 - Savings Schemes'!I32</f>
        <v>175.41666666666666</v>
      </c>
      <c r="I195" s="1287">
        <f>'C, C1, C2&amp; C3 - Savings Schemes'!J32</f>
        <v>175.41666666666666</v>
      </c>
      <c r="J195" s="1287">
        <f>'C, C1, C2&amp; C3 - Savings Schemes'!K32</f>
        <v>175.41666666666666</v>
      </c>
      <c r="K195" s="1287">
        <f>'C, C1, C2&amp; C3 - Savings Schemes'!L32</f>
        <v>175.41666666666666</v>
      </c>
      <c r="L195" s="1287">
        <f>'C, C1, C2&amp; C3 - Savings Schemes'!M32</f>
        <v>175.41666666666666</v>
      </c>
      <c r="M195" s="1287">
        <f>'C, C1, C2&amp; C3 - Savings Schemes'!N32</f>
        <v>175.41666666666666</v>
      </c>
      <c r="N195" s="1287">
        <f>'C, C1, C2&amp; C3 - Savings Schemes'!O32</f>
        <v>175.41666666666666</v>
      </c>
      <c r="O195" s="2511">
        <f>SUMPRODUCT($C$6:$N$6,C195:N195)</f>
        <v>1244.4166666666665</v>
      </c>
      <c r="P195" s="1323">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1">
        <f t="shared" si="78"/>
        <v>145</v>
      </c>
      <c r="B196" s="2514" t="s">
        <v>1095</v>
      </c>
      <c r="C196" s="1290">
        <f>C168+C137+C109+C80+C51+C22</f>
        <v>0</v>
      </c>
      <c r="D196" s="1291">
        <f t="shared" ref="D196:N196" si="86">D168+D137+D109+D80+D51+D22</f>
        <v>0</v>
      </c>
      <c r="E196" s="1291">
        <f t="shared" si="86"/>
        <v>0</v>
      </c>
      <c r="F196" s="1291">
        <f t="shared" si="86"/>
        <v>0</v>
      </c>
      <c r="G196" s="1291">
        <f t="shared" si="86"/>
        <v>0</v>
      </c>
      <c r="H196" s="1291">
        <f t="shared" si="86"/>
        <v>0</v>
      </c>
      <c r="I196" s="1291">
        <f t="shared" si="86"/>
        <v>0</v>
      </c>
      <c r="J196" s="1291">
        <f t="shared" si="86"/>
        <v>0</v>
      </c>
      <c r="K196" s="1291">
        <f t="shared" si="86"/>
        <v>0</v>
      </c>
      <c r="L196" s="1291">
        <f t="shared" si="86"/>
        <v>0</v>
      </c>
      <c r="M196" s="1291">
        <f t="shared" si="86"/>
        <v>0</v>
      </c>
      <c r="N196" s="1291">
        <f t="shared" si="86"/>
        <v>0</v>
      </c>
      <c r="O196" s="2513">
        <f>SUMPRODUCT($C$6:$N$6,C196:N196)</f>
        <v>0</v>
      </c>
      <c r="P196" s="1368">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2" t="s">
        <v>1096</v>
      </c>
      <c r="C197" s="2516">
        <f t="shared" ref="C197:N197" si="87">C195-C194-C196</f>
        <v>0</v>
      </c>
      <c r="D197" s="1684">
        <f t="shared" si="87"/>
        <v>0</v>
      </c>
      <c r="E197" s="1684">
        <f t="shared" si="87"/>
        <v>0</v>
      </c>
      <c r="F197" s="1684">
        <f t="shared" si="87"/>
        <v>0</v>
      </c>
      <c r="G197" s="1684">
        <f t="shared" si="87"/>
        <v>0</v>
      </c>
      <c r="H197" s="1684">
        <f t="shared" si="87"/>
        <v>0</v>
      </c>
      <c r="I197" s="1684">
        <f t="shared" si="87"/>
        <v>0</v>
      </c>
      <c r="J197" s="1684">
        <f t="shared" si="87"/>
        <v>0</v>
      </c>
      <c r="K197" s="1684">
        <f t="shared" si="87"/>
        <v>0</v>
      </c>
      <c r="L197" s="1684">
        <f t="shared" si="87"/>
        <v>0</v>
      </c>
      <c r="M197" s="1684">
        <f t="shared" si="87"/>
        <v>0</v>
      </c>
      <c r="N197" s="2517">
        <f t="shared" si="87"/>
        <v>0</v>
      </c>
      <c r="O197" s="1685">
        <f>O195-O194</f>
        <v>0</v>
      </c>
      <c r="P197" s="1692">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3">
        <f>+'A - Movement'!J35</f>
        <v>0</v>
      </c>
      <c r="D198" s="1284">
        <f>+'A - Movement'!K35</f>
        <v>0</v>
      </c>
      <c r="E198" s="1284">
        <f>+'A - Movement'!L35</f>
        <v>0</v>
      </c>
      <c r="F198" s="1284">
        <f>+'A - Movement'!M35</f>
        <v>0</v>
      </c>
      <c r="G198" s="1284">
        <f>+'A - Movement'!N35</f>
        <v>0</v>
      </c>
      <c r="H198" s="1284">
        <f>+'A - Movement'!O35</f>
        <v>0</v>
      </c>
      <c r="I198" s="1284">
        <f>+'A - Movement'!P35</f>
        <v>0</v>
      </c>
      <c r="J198" s="1284">
        <f>+'A - Movement'!Q35</f>
        <v>0</v>
      </c>
      <c r="K198" s="1284">
        <f>+'A - Movement'!R35</f>
        <v>0</v>
      </c>
      <c r="L198" s="1284">
        <f>+'A - Movement'!S35</f>
        <v>0</v>
      </c>
      <c r="M198" s="1284">
        <f>+'A - Movement'!T35</f>
        <v>0</v>
      </c>
      <c r="N198" s="1284">
        <f>+'A - Movement'!U35</f>
        <v>0</v>
      </c>
      <c r="O198" s="1255">
        <f>SUMPRODUCT($C$6:$N$6,C198:N198)</f>
        <v>0</v>
      </c>
      <c r="P198" s="2510">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700" t="s">
        <v>1073</v>
      </c>
      <c r="C199" s="1293">
        <f>C171+C140+C112+C83+C54+C25</f>
        <v>0</v>
      </c>
      <c r="D199" s="1294">
        <f t="shared" ref="D199:N200" si="88">D171+D140+D112+D83+D54+D25</f>
        <v>0</v>
      </c>
      <c r="E199" s="1294">
        <f t="shared" si="88"/>
        <v>0</v>
      </c>
      <c r="F199" s="1294">
        <f t="shared" si="88"/>
        <v>0</v>
      </c>
      <c r="G199" s="1294">
        <f t="shared" si="88"/>
        <v>0</v>
      </c>
      <c r="H199" s="1294">
        <f t="shared" si="88"/>
        <v>0</v>
      </c>
      <c r="I199" s="1294">
        <f t="shared" si="88"/>
        <v>0</v>
      </c>
      <c r="J199" s="1294">
        <f t="shared" si="88"/>
        <v>0</v>
      </c>
      <c r="K199" s="1294">
        <f t="shared" si="88"/>
        <v>0</v>
      </c>
      <c r="L199" s="1294">
        <f t="shared" si="88"/>
        <v>0</v>
      </c>
      <c r="M199" s="1294">
        <f t="shared" si="88"/>
        <v>0</v>
      </c>
      <c r="N199" s="1294">
        <f t="shared" si="88"/>
        <v>0</v>
      </c>
      <c r="O199" s="1219">
        <f>SUMPRODUCT($C$6:$N$6,C199:N199)</f>
        <v>0</v>
      </c>
      <c r="P199" s="1220">
        <f>SUM(C199:N199)</f>
        <v>0</v>
      </c>
      <c r="Q199" s="1248"/>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1" t="s">
        <v>1192</v>
      </c>
      <c r="C200" s="1296">
        <f>C172+C141+C113+C84+C55+C26</f>
        <v>0</v>
      </c>
      <c r="D200" s="1297">
        <f t="shared" si="88"/>
        <v>0</v>
      </c>
      <c r="E200" s="1297">
        <f t="shared" si="88"/>
        <v>0</v>
      </c>
      <c r="F200" s="1297">
        <f t="shared" si="88"/>
        <v>0</v>
      </c>
      <c r="G200" s="1297">
        <f t="shared" si="88"/>
        <v>0</v>
      </c>
      <c r="H200" s="1297">
        <f t="shared" si="88"/>
        <v>0</v>
      </c>
      <c r="I200" s="1297">
        <f t="shared" si="88"/>
        <v>0</v>
      </c>
      <c r="J200" s="1297">
        <f t="shared" si="88"/>
        <v>0</v>
      </c>
      <c r="K200" s="1297">
        <f t="shared" si="88"/>
        <v>0</v>
      </c>
      <c r="L200" s="1297">
        <f t="shared" si="88"/>
        <v>0</v>
      </c>
      <c r="M200" s="1297">
        <f t="shared" si="88"/>
        <v>0</v>
      </c>
      <c r="N200" s="1297">
        <f t="shared" si="88"/>
        <v>0</v>
      </c>
      <c r="O200" s="1234">
        <f>SUMPRODUCT($C$6:$N$6,C200:N200)</f>
        <v>0</v>
      </c>
      <c r="P200" s="2518">
        <f>SUM(C200:N200)</f>
        <v>0</v>
      </c>
      <c r="Q200" s="1248"/>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049"/>
      <c r="C201" s="3051"/>
      <c r="D201" s="3051"/>
      <c r="E201" s="3051"/>
      <c r="F201" s="3051"/>
      <c r="G201" s="3051"/>
      <c r="H201" s="3051"/>
      <c r="I201" s="3051"/>
      <c r="J201" s="3051"/>
      <c r="K201" s="3051"/>
      <c r="L201" s="3051"/>
      <c r="M201" s="3051"/>
      <c r="N201" s="3051"/>
      <c r="O201" s="3051"/>
      <c r="P201" s="3051"/>
      <c r="Q201" s="1248"/>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7" t="s">
        <v>1193</v>
      </c>
      <c r="C202" s="1283">
        <f t="shared" ref="C202:N202" si="89">C28+C57+C86+C115+C143+C174</f>
        <v>-1244.4166666666665</v>
      </c>
      <c r="D202" s="1284">
        <f t="shared" si="89"/>
        <v>-175.41666666666666</v>
      </c>
      <c r="E202" s="1284">
        <f t="shared" si="89"/>
        <v>-175.41666666666666</v>
      </c>
      <c r="F202" s="1284">
        <f t="shared" si="89"/>
        <v>-175.41666666666666</v>
      </c>
      <c r="G202" s="1284">
        <f t="shared" si="89"/>
        <v>-175.41666666666666</v>
      </c>
      <c r="H202" s="1284">
        <f t="shared" si="89"/>
        <v>-175.41666666666666</v>
      </c>
      <c r="I202" s="1284">
        <f t="shared" si="89"/>
        <v>-175.41666666666666</v>
      </c>
      <c r="J202" s="1284">
        <f t="shared" si="89"/>
        <v>-175.41666666666666</v>
      </c>
      <c r="K202" s="1284">
        <f t="shared" si="89"/>
        <v>-175.41666666666666</v>
      </c>
      <c r="L202" s="1284">
        <f t="shared" si="89"/>
        <v>-175.41666666666666</v>
      </c>
      <c r="M202" s="1284">
        <f t="shared" si="89"/>
        <v>-175.41666666666666</v>
      </c>
      <c r="N202" s="1285">
        <f t="shared" si="89"/>
        <v>-175.41666666666666</v>
      </c>
      <c r="O202" s="1232">
        <f t="shared" ref="O202:O208" si="90">SUMPRODUCT($C$6:$N$6,C202:N202)</f>
        <v>-1244.4166666666665</v>
      </c>
      <c r="P202" s="1101">
        <f t="shared" ref="P202:P208" si="91">SUM(C202:N202)</f>
        <v>-3173.9999999999991</v>
      </c>
      <c r="Q202" s="1248"/>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1" t="s">
        <v>1194</v>
      </c>
      <c r="C203" s="983"/>
      <c r="D203" s="984"/>
      <c r="E203" s="984"/>
      <c r="F203" s="984"/>
      <c r="G203" s="984"/>
      <c r="H203" s="984"/>
      <c r="I203" s="984"/>
      <c r="J203" s="984"/>
      <c r="K203" s="984"/>
      <c r="L203" s="984"/>
      <c r="M203" s="984"/>
      <c r="N203" s="1562"/>
      <c r="O203" s="1058">
        <f t="shared" si="90"/>
        <v>0</v>
      </c>
      <c r="P203" s="1058">
        <f t="shared" si="91"/>
        <v>0</v>
      </c>
      <c r="Q203" s="1248"/>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70" t="s">
        <v>1195</v>
      </c>
      <c r="C204" s="1110">
        <f>SUM(C202:C203)</f>
        <v>-1244.4166666666665</v>
      </c>
      <c r="D204" s="1110">
        <f t="shared" ref="D204:N204" si="93">SUM(D202:D203)</f>
        <v>-175.41666666666666</v>
      </c>
      <c r="E204" s="1110">
        <f t="shared" si="93"/>
        <v>-175.41666666666666</v>
      </c>
      <c r="F204" s="1110">
        <f t="shared" si="93"/>
        <v>-175.41666666666666</v>
      </c>
      <c r="G204" s="1110">
        <f t="shared" si="93"/>
        <v>-175.41666666666666</v>
      </c>
      <c r="H204" s="1110">
        <f t="shared" si="93"/>
        <v>-175.41666666666666</v>
      </c>
      <c r="I204" s="1110">
        <f t="shared" si="93"/>
        <v>-175.41666666666666</v>
      </c>
      <c r="J204" s="1110">
        <f t="shared" si="93"/>
        <v>-175.41666666666666</v>
      </c>
      <c r="K204" s="1110">
        <f t="shared" si="93"/>
        <v>-175.41666666666666</v>
      </c>
      <c r="L204" s="1110">
        <f t="shared" si="93"/>
        <v>-175.41666666666666</v>
      </c>
      <c r="M204" s="1110">
        <f t="shared" si="93"/>
        <v>-175.41666666666666</v>
      </c>
      <c r="N204" s="1110">
        <f t="shared" si="93"/>
        <v>-175.41666666666666</v>
      </c>
      <c r="O204" s="1110">
        <f t="shared" si="90"/>
        <v>-1244.4166666666665</v>
      </c>
      <c r="P204" s="1101">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90">
        <f t="shared" si="92"/>
        <v>153</v>
      </c>
      <c r="B205" s="1267" t="s">
        <v>807</v>
      </c>
      <c r="C205" s="1283" t="e">
        <f t="shared" ref="C205:N205" si="94">C29+C58+C87+C116+C144+C175</f>
        <v>#REF!</v>
      </c>
      <c r="D205" s="1284" t="e">
        <f t="shared" si="94"/>
        <v>#REF!</v>
      </c>
      <c r="E205" s="1284" t="e">
        <f t="shared" si="94"/>
        <v>#REF!</v>
      </c>
      <c r="F205" s="1284" t="e">
        <f t="shared" si="94"/>
        <v>#REF!</v>
      </c>
      <c r="G205" s="1284" t="e">
        <f t="shared" si="94"/>
        <v>#REF!</v>
      </c>
      <c r="H205" s="1284" t="e">
        <f t="shared" si="94"/>
        <v>#REF!</v>
      </c>
      <c r="I205" s="1284" t="e">
        <f t="shared" si="94"/>
        <v>#REF!</v>
      </c>
      <c r="J205" s="1284" t="e">
        <f t="shared" si="94"/>
        <v>#REF!</v>
      </c>
      <c r="K205" s="1284" t="e">
        <f t="shared" si="94"/>
        <v>#REF!</v>
      </c>
      <c r="L205" s="1284" t="e">
        <f t="shared" si="94"/>
        <v>#REF!</v>
      </c>
      <c r="M205" s="1284" t="e">
        <f t="shared" si="94"/>
        <v>#REF!</v>
      </c>
      <c r="N205" s="1285" t="e">
        <f t="shared" si="94"/>
        <v>#REF!</v>
      </c>
      <c r="O205" s="1232" t="e">
        <f t="shared" si="90"/>
        <v>#REF!</v>
      </c>
      <c r="P205" s="1101"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1" t="s">
        <v>808</v>
      </c>
      <c r="C206" s="1283">
        <f>SUM('B - Monthly Positions'!D28:D31)+SUM('B - Monthly Positions'!D34:D35)</f>
        <v>0</v>
      </c>
      <c r="D206" s="1284">
        <f>SUM('B - Monthly Positions'!E28:E31)+SUM('B - Monthly Positions'!E34:E35)</f>
        <v>0</v>
      </c>
      <c r="E206" s="1284">
        <f>SUM('B - Monthly Positions'!F28:F31)+SUM('B - Monthly Positions'!F34:F35)</f>
        <v>0</v>
      </c>
      <c r="F206" s="1284">
        <f>SUM('B - Monthly Positions'!G28:G31)+SUM('B - Monthly Positions'!G34:G35)</f>
        <v>0</v>
      </c>
      <c r="G206" s="1284">
        <f>SUM('B - Monthly Positions'!H28:H31)+SUM('B - Monthly Positions'!H34:H35)</f>
        <v>0</v>
      </c>
      <c r="H206" s="1284">
        <f>SUM('B - Monthly Positions'!I28:I31)+SUM('B - Monthly Positions'!I34:I35)</f>
        <v>0</v>
      </c>
      <c r="I206" s="1284">
        <f>SUM('B - Monthly Positions'!J28:J31)+SUM('B - Monthly Positions'!J34:J35)</f>
        <v>0</v>
      </c>
      <c r="J206" s="1284">
        <f>SUM('B - Monthly Positions'!K28:K31)+SUM('B - Monthly Positions'!K34:K35)</f>
        <v>0</v>
      </c>
      <c r="K206" s="1284">
        <f>SUM('B - Monthly Positions'!L28:L31)+SUM('B - Monthly Positions'!L34:L35)</f>
        <v>0</v>
      </c>
      <c r="L206" s="1284">
        <f>SUM('B - Monthly Positions'!M28:M31)+SUM('B - Monthly Positions'!M34:M35)</f>
        <v>0</v>
      </c>
      <c r="M206" s="1284">
        <f>SUM('B - Monthly Positions'!N28:N31)+SUM('B - Monthly Positions'!N34:N35)</f>
        <v>0</v>
      </c>
      <c r="N206" s="1285">
        <f>SUM('B - Monthly Positions'!O28:O31)+SUM('B - Monthly Positions'!O34:O35)</f>
        <v>0</v>
      </c>
      <c r="O206" s="1232">
        <f t="shared" si="90"/>
        <v>0</v>
      </c>
      <c r="P206" s="1101">
        <f t="shared" si="91"/>
        <v>0</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70" t="s">
        <v>805</v>
      </c>
      <c r="C207" s="1110" t="e">
        <f t="shared" ref="C207:N207" si="95">SUM(C205:C206)</f>
        <v>#REF!</v>
      </c>
      <c r="D207" s="1110" t="e">
        <f t="shared" si="95"/>
        <v>#REF!</v>
      </c>
      <c r="E207" s="1110" t="e">
        <f t="shared" si="95"/>
        <v>#REF!</v>
      </c>
      <c r="F207" s="1110" t="e">
        <f t="shared" si="95"/>
        <v>#REF!</v>
      </c>
      <c r="G207" s="1110" t="e">
        <f t="shared" si="95"/>
        <v>#REF!</v>
      </c>
      <c r="H207" s="1110" t="e">
        <f t="shared" si="95"/>
        <v>#REF!</v>
      </c>
      <c r="I207" s="1110" t="e">
        <f t="shared" si="95"/>
        <v>#REF!</v>
      </c>
      <c r="J207" s="1110" t="e">
        <f t="shared" si="95"/>
        <v>#REF!</v>
      </c>
      <c r="K207" s="1110" t="e">
        <f t="shared" si="95"/>
        <v>#REF!</v>
      </c>
      <c r="L207" s="1110" t="e">
        <f t="shared" si="95"/>
        <v>#REF!</v>
      </c>
      <c r="M207" s="1110" t="e">
        <f t="shared" si="95"/>
        <v>#REF!</v>
      </c>
      <c r="N207" s="1110" t="e">
        <f t="shared" si="95"/>
        <v>#REF!</v>
      </c>
      <c r="O207" s="1110" t="e">
        <f t="shared" si="90"/>
        <v>#REF!</v>
      </c>
      <c r="P207" s="1101"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7">
        <f t="shared" si="92"/>
        <v>156</v>
      </c>
      <c r="B208" s="1270" t="s">
        <v>1038</v>
      </c>
      <c r="C208" s="1110" t="e">
        <f>C207-C204</f>
        <v>#REF!</v>
      </c>
      <c r="D208" s="1110" t="e">
        <f t="shared" ref="D208:N208" si="96">D207-D204</f>
        <v>#REF!</v>
      </c>
      <c r="E208" s="1110" t="e">
        <f t="shared" si="96"/>
        <v>#REF!</v>
      </c>
      <c r="F208" s="1110" t="e">
        <f t="shared" si="96"/>
        <v>#REF!</v>
      </c>
      <c r="G208" s="1110" t="e">
        <f t="shared" si="96"/>
        <v>#REF!</v>
      </c>
      <c r="H208" s="1110" t="e">
        <f t="shared" si="96"/>
        <v>#REF!</v>
      </c>
      <c r="I208" s="1110" t="e">
        <f t="shared" si="96"/>
        <v>#REF!</v>
      </c>
      <c r="J208" s="1110" t="e">
        <f t="shared" si="96"/>
        <v>#REF!</v>
      </c>
      <c r="K208" s="1110" t="e">
        <f t="shared" si="96"/>
        <v>#REF!</v>
      </c>
      <c r="L208" s="1110" t="e">
        <f t="shared" si="96"/>
        <v>#REF!</v>
      </c>
      <c r="M208" s="1110" t="e">
        <f t="shared" si="96"/>
        <v>#REF!</v>
      </c>
      <c r="N208" s="1110" t="e">
        <f t="shared" si="96"/>
        <v>#REF!</v>
      </c>
      <c r="O208" s="1110" t="e">
        <f t="shared" si="90"/>
        <v>#REF!</v>
      </c>
      <c r="P208" s="1101"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7">
        <f t="shared" si="92"/>
        <v>157</v>
      </c>
      <c r="B209" s="1270" t="s">
        <v>1093</v>
      </c>
      <c r="C209" s="1110" t="e">
        <f>C190-C186-C196-C199-C200</f>
        <v>#REF!</v>
      </c>
      <c r="D209" s="1110" t="e">
        <f t="shared" ref="D209:P209" si="97">D190-D186-D196-D199-D200</f>
        <v>#REF!</v>
      </c>
      <c r="E209" s="1110" t="e">
        <f t="shared" si="97"/>
        <v>#REF!</v>
      </c>
      <c r="F209" s="1110" t="e">
        <f t="shared" si="97"/>
        <v>#REF!</v>
      </c>
      <c r="G209" s="1110" t="e">
        <f t="shared" si="97"/>
        <v>#REF!</v>
      </c>
      <c r="H209" s="1110" t="e">
        <f t="shared" si="97"/>
        <v>#REF!</v>
      </c>
      <c r="I209" s="1110" t="e">
        <f t="shared" si="97"/>
        <v>#REF!</v>
      </c>
      <c r="J209" s="1110" t="e">
        <f t="shared" si="97"/>
        <v>#REF!</v>
      </c>
      <c r="K209" s="1110" t="e">
        <f t="shared" si="97"/>
        <v>#REF!</v>
      </c>
      <c r="L209" s="1110" t="e">
        <f t="shared" si="97"/>
        <v>#REF!</v>
      </c>
      <c r="M209" s="1110" t="e">
        <f t="shared" si="97"/>
        <v>#REF!</v>
      </c>
      <c r="N209" s="1110" t="e">
        <f t="shared" si="97"/>
        <v>#REF!</v>
      </c>
      <c r="O209" s="1110" t="e">
        <f t="shared" si="97"/>
        <v>#REF!</v>
      </c>
      <c r="P209" s="1101"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7">
        <f t="shared" si="92"/>
        <v>158</v>
      </c>
      <c r="B210" s="1270" t="s">
        <v>1068</v>
      </c>
      <c r="C210" s="1110" t="e">
        <f t="shared" ref="C210:P210" si="98">C208-C209</f>
        <v>#REF!</v>
      </c>
      <c r="D210" s="1110" t="e">
        <f t="shared" si="98"/>
        <v>#REF!</v>
      </c>
      <c r="E210" s="1110" t="e">
        <f t="shared" si="98"/>
        <v>#REF!</v>
      </c>
      <c r="F210" s="1110" t="e">
        <f t="shared" si="98"/>
        <v>#REF!</v>
      </c>
      <c r="G210" s="1110" t="e">
        <f t="shared" si="98"/>
        <v>#REF!</v>
      </c>
      <c r="H210" s="1110" t="e">
        <f t="shared" si="98"/>
        <v>#REF!</v>
      </c>
      <c r="I210" s="1110" t="e">
        <f t="shared" si="98"/>
        <v>#REF!</v>
      </c>
      <c r="J210" s="1110" t="e">
        <f t="shared" si="98"/>
        <v>#REF!</v>
      </c>
      <c r="K210" s="1110" t="e">
        <f t="shared" si="98"/>
        <v>#REF!</v>
      </c>
      <c r="L210" s="1110" t="e">
        <f t="shared" si="98"/>
        <v>#REF!</v>
      </c>
      <c r="M210" s="1110" t="e">
        <f t="shared" si="98"/>
        <v>#REF!</v>
      </c>
      <c r="N210" s="1110" t="e">
        <f t="shared" si="98"/>
        <v>#REF!</v>
      </c>
      <c r="O210" s="1110" t="e">
        <f t="shared" si="98"/>
        <v>#REF!</v>
      </c>
      <c r="P210" s="1101"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70" t="s">
        <v>894</v>
      </c>
      <c r="C212" s="1110">
        <f>'B - Monthly Positions'!D77+'B - Monthly Positions'!D82</f>
        <v>283.82100000000003</v>
      </c>
      <c r="D212" s="1110">
        <f>'B - Monthly Positions'!E77+'B - Monthly Positions'!E82</f>
        <v>283.82100000000003</v>
      </c>
      <c r="E212" s="1110">
        <f>'B - Monthly Positions'!F77+'B - Monthly Positions'!F82</f>
        <v>283.82100000000003</v>
      </c>
      <c r="F212" s="1110">
        <f>'B - Monthly Positions'!G77+'B - Monthly Positions'!G82</f>
        <v>283.82100000000003</v>
      </c>
      <c r="G212" s="1110">
        <f>'B - Monthly Positions'!H77+'B - Monthly Positions'!H82</f>
        <v>283.82100000000003</v>
      </c>
      <c r="H212" s="1110">
        <f>'B - Monthly Positions'!I77+'B - Monthly Positions'!I82</f>
        <v>283.82100000000003</v>
      </c>
      <c r="I212" s="1110">
        <f>'B - Monthly Positions'!J77+'B - Monthly Positions'!J82</f>
        <v>283.82100000000003</v>
      </c>
      <c r="J212" s="1110">
        <f>'B - Monthly Positions'!K77+'B - Monthly Positions'!K82</f>
        <v>283.82100000000003</v>
      </c>
      <c r="K212" s="1110">
        <f>'B - Monthly Positions'!L77+'B - Monthly Positions'!L82</f>
        <v>283.82100000000003</v>
      </c>
      <c r="L212" s="1110">
        <f>'B - Monthly Positions'!M77+'B - Monthly Positions'!M82</f>
        <v>283.82100000000003</v>
      </c>
      <c r="M212" s="1110">
        <f>'B - Monthly Positions'!N77+'B - Monthly Positions'!N82</f>
        <v>283.82100000000003</v>
      </c>
      <c r="N212" s="1110">
        <f>'B - Monthly Positions'!O77+'B - Monthly Positions'!O82</f>
        <v>283.82100000000003</v>
      </c>
      <c r="O212" s="1110">
        <f>SUMPRODUCT($C$6:$N$6,C212:N212)</f>
        <v>283.82100000000003</v>
      </c>
      <c r="P212" s="1101">
        <f>SUM(C212:N212)</f>
        <v>3405.8519999999994</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9"/>
      <c r="C216" s="1221">
        <v>1</v>
      </c>
      <c r="D216" s="1222">
        <v>2</v>
      </c>
      <c r="E216" s="1222">
        <v>3</v>
      </c>
      <c r="F216" s="1222">
        <v>4</v>
      </c>
      <c r="G216" s="1222">
        <v>5</v>
      </c>
      <c r="H216" s="1222">
        <v>6</v>
      </c>
      <c r="I216" s="1222">
        <v>7</v>
      </c>
      <c r="J216" s="1222">
        <v>8</v>
      </c>
      <c r="K216" s="1222">
        <v>9</v>
      </c>
      <c r="L216" s="1222">
        <v>10</v>
      </c>
      <c r="M216" s="1222">
        <v>11</v>
      </c>
      <c r="N216" s="1223">
        <v>12</v>
      </c>
      <c r="O216" s="1210"/>
      <c r="P216" s="1211"/>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2" t="s">
        <v>811</v>
      </c>
      <c r="C217" s="1224" t="s">
        <v>181</v>
      </c>
      <c r="D217" s="1225" t="s">
        <v>89</v>
      </c>
      <c r="E217" s="1225" t="s">
        <v>90</v>
      </c>
      <c r="F217" s="1225" t="s">
        <v>91</v>
      </c>
      <c r="G217" s="1225" t="s">
        <v>92</v>
      </c>
      <c r="H217" s="1225" t="s">
        <v>93</v>
      </c>
      <c r="I217" s="1225" t="s">
        <v>94</v>
      </c>
      <c r="J217" s="1225" t="s">
        <v>95</v>
      </c>
      <c r="K217" s="1225" t="s">
        <v>96</v>
      </c>
      <c r="L217" s="1225" t="s">
        <v>97</v>
      </c>
      <c r="M217" s="1225" t="s">
        <v>98</v>
      </c>
      <c r="N217" s="1226" t="s">
        <v>99</v>
      </c>
      <c r="O217" s="1227" t="s">
        <v>493</v>
      </c>
      <c r="P217" s="1227"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3"/>
      <c r="C218" s="1228" t="s">
        <v>50</v>
      </c>
      <c r="D218" s="1229" t="s">
        <v>50</v>
      </c>
      <c r="E218" s="1229" t="s">
        <v>50</v>
      </c>
      <c r="F218" s="1229" t="s">
        <v>50</v>
      </c>
      <c r="G218" s="1229" t="s">
        <v>50</v>
      </c>
      <c r="H218" s="1229" t="s">
        <v>50</v>
      </c>
      <c r="I218" s="1229" t="s">
        <v>50</v>
      </c>
      <c r="J218" s="1229" t="s">
        <v>50</v>
      </c>
      <c r="K218" s="1229" t="s">
        <v>50</v>
      </c>
      <c r="L218" s="1229" t="s">
        <v>50</v>
      </c>
      <c r="M218" s="1229" t="s">
        <v>50</v>
      </c>
      <c r="N218" s="1230" t="s">
        <v>50</v>
      </c>
      <c r="O218" s="1231" t="s">
        <v>50</v>
      </c>
      <c r="P218" s="1231" t="s">
        <v>50</v>
      </c>
      <c r="Q218" s="1248"/>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6">
        <f>A212+1</f>
        <v>160</v>
      </c>
      <c r="B219" s="1561" t="s">
        <v>1196</v>
      </c>
      <c r="C219" s="983"/>
      <c r="D219" s="984"/>
      <c r="E219" s="984"/>
      <c r="F219" s="984"/>
      <c r="G219" s="984"/>
      <c r="H219" s="984"/>
      <c r="I219" s="984"/>
      <c r="J219" s="984"/>
      <c r="K219" s="984"/>
      <c r="L219" s="984"/>
      <c r="M219" s="984"/>
      <c r="N219" s="1562"/>
      <c r="O219" s="1058">
        <f t="shared" ref="O219:O229" si="99">SUMPRODUCT($C$6:$N$6,C219:N219)</f>
        <v>0</v>
      </c>
      <c r="P219" s="1101">
        <f t="shared" ref="P219:P229" si="100">SUM(C219:N219)</f>
        <v>0</v>
      </c>
      <c r="Q219" s="1248"/>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6">
        <f>A219+1</f>
        <v>161</v>
      </c>
      <c r="B220" s="1561" t="s">
        <v>1197</v>
      </c>
      <c r="C220" s="1283" t="e">
        <f>'B3 - COVID-19'!#REF!</f>
        <v>#REF!</v>
      </c>
      <c r="D220" s="1283" t="e">
        <f>'B3 - COVID-19'!#REF!</f>
        <v>#REF!</v>
      </c>
      <c r="E220" s="1283" t="e">
        <f>'B3 - COVID-19'!#REF!</f>
        <v>#REF!</v>
      </c>
      <c r="F220" s="1283" t="e">
        <f>'B3 - COVID-19'!#REF!</f>
        <v>#REF!</v>
      </c>
      <c r="G220" s="1283" t="e">
        <f>'B3 - COVID-19'!#REF!</f>
        <v>#REF!</v>
      </c>
      <c r="H220" s="1283" t="e">
        <f>'B3 - COVID-19'!#REF!</f>
        <v>#REF!</v>
      </c>
      <c r="I220" s="1283" t="e">
        <f>'B3 - COVID-19'!#REF!</f>
        <v>#REF!</v>
      </c>
      <c r="J220" s="1283" t="e">
        <f>'B3 - COVID-19'!#REF!</f>
        <v>#REF!</v>
      </c>
      <c r="K220" s="1283" t="e">
        <f>'B3 - COVID-19'!#REF!</f>
        <v>#REF!</v>
      </c>
      <c r="L220" s="1283" t="e">
        <f>'B3 - COVID-19'!#REF!</f>
        <v>#REF!</v>
      </c>
      <c r="M220" s="1283" t="e">
        <f>'B3 - COVID-19'!#REF!</f>
        <v>#REF!</v>
      </c>
      <c r="N220" s="1283" t="e">
        <f>'B3 - COVID-19'!#REF!</f>
        <v>#REF!</v>
      </c>
      <c r="O220" s="1058" t="e">
        <f>SUMPRODUCT($C$6:$N$6,C220:N220)</f>
        <v>#REF!</v>
      </c>
      <c r="P220" s="1101" t="e">
        <f>SUM(C220:N220)</f>
        <v>#REF!</v>
      </c>
      <c r="Q220" s="1248"/>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1" t="s">
        <v>1198</v>
      </c>
      <c r="C221" s="983"/>
      <c r="D221" s="984"/>
      <c r="E221" s="984"/>
      <c r="F221" s="984"/>
      <c r="G221" s="984"/>
      <c r="H221" s="984"/>
      <c r="I221" s="984"/>
      <c r="J221" s="984"/>
      <c r="K221" s="984"/>
      <c r="L221" s="984"/>
      <c r="M221" s="984"/>
      <c r="N221" s="1562"/>
      <c r="O221" s="1058">
        <f t="shared" si="99"/>
        <v>0</v>
      </c>
      <c r="P221" s="1058">
        <f t="shared" si="100"/>
        <v>0</v>
      </c>
      <c r="Q221" s="1248"/>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2" t="s">
        <v>1199</v>
      </c>
      <c r="C222" s="1283">
        <f>'Table C4 Tracker'!D17</f>
        <v>0</v>
      </c>
      <c r="D222" s="1283">
        <f>'Table C4 Tracker'!E17</f>
        <v>0</v>
      </c>
      <c r="E222" s="1283">
        <f>'Table C4 Tracker'!F17</f>
        <v>0</v>
      </c>
      <c r="F222" s="1283">
        <f>'Table C4 Tracker'!G17</f>
        <v>0</v>
      </c>
      <c r="G222" s="1283">
        <f>'Table C4 Tracker'!H17</f>
        <v>0</v>
      </c>
      <c r="H222" s="1283">
        <f>'Table C4 Tracker'!I17</f>
        <v>0</v>
      </c>
      <c r="I222" s="1283">
        <f>'Table C4 Tracker'!J17</f>
        <v>0</v>
      </c>
      <c r="J222" s="1283">
        <f>'Table C4 Tracker'!K17</f>
        <v>0</v>
      </c>
      <c r="K222" s="1283">
        <f>'Table C4 Tracker'!L17</f>
        <v>0</v>
      </c>
      <c r="L222" s="1283">
        <f>'Table C4 Tracker'!M17</f>
        <v>0</v>
      </c>
      <c r="M222" s="1283">
        <f>'Table C4 Tracker'!N17</f>
        <v>0</v>
      </c>
      <c r="N222" s="1283">
        <f>'Table C4 Tracker'!O17</f>
        <v>0</v>
      </c>
      <c r="O222" s="1058">
        <f>SUMPRODUCT($C$6:$N$6,C222:N222)</f>
        <v>0</v>
      </c>
      <c r="P222" s="1058">
        <f>SUM(C222:N222)</f>
        <v>0</v>
      </c>
      <c r="Q222" s="1248"/>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70" t="s">
        <v>1200</v>
      </c>
      <c r="C223" s="1110" t="e">
        <f>SUM(C219:C222)</f>
        <v>#REF!</v>
      </c>
      <c r="D223" s="1110" t="e">
        <f t="shared" ref="D223:N223" si="102">SUM(D219:D222)</f>
        <v>#REF!</v>
      </c>
      <c r="E223" s="1110" t="e">
        <f t="shared" si="102"/>
        <v>#REF!</v>
      </c>
      <c r="F223" s="1110" t="e">
        <f t="shared" si="102"/>
        <v>#REF!</v>
      </c>
      <c r="G223" s="1110" t="e">
        <f t="shared" si="102"/>
        <v>#REF!</v>
      </c>
      <c r="H223" s="1110" t="e">
        <f t="shared" si="102"/>
        <v>#REF!</v>
      </c>
      <c r="I223" s="1110" t="e">
        <f t="shared" si="102"/>
        <v>#REF!</v>
      </c>
      <c r="J223" s="1110" t="e">
        <f t="shared" si="102"/>
        <v>#REF!</v>
      </c>
      <c r="K223" s="1110" t="e">
        <f t="shared" si="102"/>
        <v>#REF!</v>
      </c>
      <c r="L223" s="1110" t="e">
        <f t="shared" si="102"/>
        <v>#REF!</v>
      </c>
      <c r="M223" s="1110" t="e">
        <f t="shared" si="102"/>
        <v>#REF!</v>
      </c>
      <c r="N223" s="1110" t="e">
        <f t="shared" si="102"/>
        <v>#REF!</v>
      </c>
      <c r="O223" s="1110" t="e">
        <f t="shared" si="99"/>
        <v>#REF!</v>
      </c>
      <c r="P223" s="1101"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7" t="s">
        <v>1098</v>
      </c>
      <c r="C224" s="1283" t="e">
        <f>'B - Monthly Positions'!D11-C225</f>
        <v>#REF!</v>
      </c>
      <c r="D224" s="1283" t="e">
        <f>'B - Monthly Positions'!E11-D225</f>
        <v>#REF!</v>
      </c>
      <c r="E224" s="1283" t="e">
        <f>'B - Monthly Positions'!F11-E225</f>
        <v>#REF!</v>
      </c>
      <c r="F224" s="1283" t="e">
        <f>'B - Monthly Positions'!G11-F225</f>
        <v>#REF!</v>
      </c>
      <c r="G224" s="1283" t="e">
        <f>'B - Monthly Positions'!H11-G225</f>
        <v>#REF!</v>
      </c>
      <c r="H224" s="1283" t="e">
        <f>'B - Monthly Positions'!I11-H225</f>
        <v>#REF!</v>
      </c>
      <c r="I224" s="1283" t="e">
        <f>'B - Monthly Positions'!J11-I225</f>
        <v>#REF!</v>
      </c>
      <c r="J224" s="1283" t="e">
        <f>'B - Monthly Positions'!K11-J225</f>
        <v>#REF!</v>
      </c>
      <c r="K224" s="1283" t="e">
        <f>'B - Monthly Positions'!L11-K225</f>
        <v>#REF!</v>
      </c>
      <c r="L224" s="1283" t="e">
        <f>'B - Monthly Positions'!M11-L225</f>
        <v>#REF!</v>
      </c>
      <c r="M224" s="1283" t="e">
        <f>'B - Monthly Positions'!N11-M225</f>
        <v>#REF!</v>
      </c>
      <c r="N224" s="1283" t="e">
        <f>'B - Monthly Positions'!O11-N225</f>
        <v>#REF!</v>
      </c>
      <c r="O224" s="1232" t="e">
        <f t="shared" si="99"/>
        <v>#REF!</v>
      </c>
      <c r="P224" s="1101"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7" t="s">
        <v>1099</v>
      </c>
      <c r="C225" s="1283" t="e">
        <f>'B3 - COVID-19'!#REF!</f>
        <v>#REF!</v>
      </c>
      <c r="D225" s="1283" t="e">
        <f>'B3 - COVID-19'!#REF!</f>
        <v>#REF!</v>
      </c>
      <c r="E225" s="1283" t="e">
        <f>'B3 - COVID-19'!#REF!</f>
        <v>#REF!</v>
      </c>
      <c r="F225" s="1283" t="e">
        <f>'B3 - COVID-19'!#REF!</f>
        <v>#REF!</v>
      </c>
      <c r="G225" s="1283" t="e">
        <f>'B3 - COVID-19'!#REF!</f>
        <v>#REF!</v>
      </c>
      <c r="H225" s="1283" t="e">
        <f>'B3 - COVID-19'!#REF!</f>
        <v>#REF!</v>
      </c>
      <c r="I225" s="1283" t="e">
        <f>'B3 - COVID-19'!#REF!</f>
        <v>#REF!</v>
      </c>
      <c r="J225" s="1283" t="e">
        <f>'B3 - COVID-19'!#REF!</f>
        <v>#REF!</v>
      </c>
      <c r="K225" s="1283" t="e">
        <f>'B3 - COVID-19'!#REF!</f>
        <v>#REF!</v>
      </c>
      <c r="L225" s="1283" t="e">
        <f>'B3 - COVID-19'!#REF!</f>
        <v>#REF!</v>
      </c>
      <c r="M225" s="1283" t="e">
        <f>'B3 - COVID-19'!#REF!</f>
        <v>#REF!</v>
      </c>
      <c r="N225" s="1283" t="e">
        <f>'B3 - COVID-19'!#REF!</f>
        <v>#REF!</v>
      </c>
      <c r="O225" s="1232" t="e">
        <f>SUMPRODUCT($C$6:$N$6,C225:N225)</f>
        <v>#REF!</v>
      </c>
      <c r="P225" s="1101"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1" t="s">
        <v>812</v>
      </c>
      <c r="C226" s="1283">
        <f>SUM('B - Monthly Positions'!D12:D16)-C227</f>
        <v>18197</v>
      </c>
      <c r="D226" s="1283">
        <f>SUM('B - Monthly Positions'!E12:E16)-D227</f>
        <v>18011.933909250896</v>
      </c>
      <c r="E226" s="1283">
        <f>SUM('B - Monthly Positions'!F12:F16)-E227</f>
        <v>18400.246342926086</v>
      </c>
      <c r="F226" s="1283">
        <f>SUM('B - Monthly Positions'!G12:G16)-F227</f>
        <v>18052.744234250895</v>
      </c>
      <c r="G226" s="1283">
        <f>SUM('B - Monthly Positions'!H12:H16)-G227</f>
        <v>18014.244234250895</v>
      </c>
      <c r="H226" s="1283">
        <f>SUM('B - Monthly Positions'!I12:I16)-H227</f>
        <v>18553.78735125942</v>
      </c>
      <c r="I226" s="1283">
        <f>SUM('B - Monthly Positions'!J12:J16)-I227</f>
        <v>18313.747946985815</v>
      </c>
      <c r="J226" s="1283">
        <f>SUM('B - Monthly Positions'!K12:K16)-J227</f>
        <v>18229.968375841603</v>
      </c>
      <c r="K226" s="1283">
        <f>SUM('B - Monthly Positions'!L12:L16)-K227</f>
        <v>18741.305338652484</v>
      </c>
      <c r="L226" s="1283">
        <f>SUM('B - Monthly Positions'!M12:M16)-L227</f>
        <v>18262.747946985815</v>
      </c>
      <c r="M226" s="1283">
        <f>SUM('B - Monthly Positions'!N12:N16)-M227</f>
        <v>18230.722954697387</v>
      </c>
      <c r="N226" s="1283">
        <f>SUM('B - Monthly Positions'!O12:O16)-N227</f>
        <v>19288.564175874708</v>
      </c>
      <c r="O226" s="1232">
        <f t="shared" si="99"/>
        <v>18197</v>
      </c>
      <c r="P226" s="1101">
        <f t="shared" si="100"/>
        <v>220297.01281097601</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2" t="s">
        <v>1000</v>
      </c>
      <c r="C227" s="1283">
        <f>'Table C4 Tracker'!D24</f>
        <v>0</v>
      </c>
      <c r="D227" s="1283">
        <f>'Table C4 Tracker'!E24</f>
        <v>0</v>
      </c>
      <c r="E227" s="1283">
        <f>'Table C4 Tracker'!F24</f>
        <v>0</v>
      </c>
      <c r="F227" s="1283">
        <f>'Table C4 Tracker'!G24</f>
        <v>0</v>
      </c>
      <c r="G227" s="1283">
        <f>'Table C4 Tracker'!H24</f>
        <v>0</v>
      </c>
      <c r="H227" s="1283">
        <f>'Table C4 Tracker'!I24</f>
        <v>0</v>
      </c>
      <c r="I227" s="1283">
        <f>'Table C4 Tracker'!J24</f>
        <v>0</v>
      </c>
      <c r="J227" s="1283">
        <f>'Table C4 Tracker'!K24</f>
        <v>0</v>
      </c>
      <c r="K227" s="1283">
        <f>'Table C4 Tracker'!L24</f>
        <v>0</v>
      </c>
      <c r="L227" s="1283">
        <f>'Table C4 Tracker'!M24</f>
        <v>0</v>
      </c>
      <c r="M227" s="1283">
        <f>'Table C4 Tracker'!N24</f>
        <v>0</v>
      </c>
      <c r="N227" s="1283">
        <f>'Table C4 Tracker'!O24</f>
        <v>0</v>
      </c>
      <c r="O227" s="1232">
        <f>SUMPRODUCT($C$6:$N$6,C227:N227)</f>
        <v>0</v>
      </c>
      <c r="P227" s="1101">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70" t="s">
        <v>813</v>
      </c>
      <c r="C228" s="1110" t="e">
        <f>SUM(C224:C227)</f>
        <v>#REF!</v>
      </c>
      <c r="D228" s="1110" t="e">
        <f t="shared" ref="D228:N228" si="103">SUM(D224:D227)</f>
        <v>#REF!</v>
      </c>
      <c r="E228" s="1110" t="e">
        <f t="shared" si="103"/>
        <v>#REF!</v>
      </c>
      <c r="F228" s="1110" t="e">
        <f t="shared" si="103"/>
        <v>#REF!</v>
      </c>
      <c r="G228" s="1110" t="e">
        <f t="shared" si="103"/>
        <v>#REF!</v>
      </c>
      <c r="H228" s="1110" t="e">
        <f t="shared" si="103"/>
        <v>#REF!</v>
      </c>
      <c r="I228" s="1110" t="e">
        <f t="shared" si="103"/>
        <v>#REF!</v>
      </c>
      <c r="J228" s="1110" t="e">
        <f t="shared" si="103"/>
        <v>#REF!</v>
      </c>
      <c r="K228" s="1110" t="e">
        <f t="shared" si="103"/>
        <v>#REF!</v>
      </c>
      <c r="L228" s="1110" t="e">
        <f t="shared" si="103"/>
        <v>#REF!</v>
      </c>
      <c r="M228" s="1110" t="e">
        <f t="shared" si="103"/>
        <v>#REF!</v>
      </c>
      <c r="N228" s="1110" t="e">
        <f t="shared" si="103"/>
        <v>#REF!</v>
      </c>
      <c r="O228" s="1110" t="e">
        <f t="shared" si="99"/>
        <v>#REF!</v>
      </c>
      <c r="P228" s="1101"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7">
        <f t="shared" si="101"/>
        <v>170</v>
      </c>
      <c r="B229" s="1270" t="s">
        <v>1039</v>
      </c>
      <c r="C229" s="1110" t="e">
        <f>C228-C223</f>
        <v>#REF!</v>
      </c>
      <c r="D229" s="1110" t="e">
        <f t="shared" ref="D229:N229" si="104">D228-D223</f>
        <v>#REF!</v>
      </c>
      <c r="E229" s="1110" t="e">
        <f t="shared" si="104"/>
        <v>#REF!</v>
      </c>
      <c r="F229" s="1110" t="e">
        <f t="shared" si="104"/>
        <v>#REF!</v>
      </c>
      <c r="G229" s="1110" t="e">
        <f t="shared" si="104"/>
        <v>#REF!</v>
      </c>
      <c r="H229" s="1110" t="e">
        <f t="shared" si="104"/>
        <v>#REF!</v>
      </c>
      <c r="I229" s="1110" t="e">
        <f t="shared" si="104"/>
        <v>#REF!</v>
      </c>
      <c r="J229" s="1110" t="e">
        <f t="shared" si="104"/>
        <v>#REF!</v>
      </c>
      <c r="K229" s="1110" t="e">
        <f t="shared" si="104"/>
        <v>#REF!</v>
      </c>
      <c r="L229" s="1110" t="e">
        <f t="shared" si="104"/>
        <v>#REF!</v>
      </c>
      <c r="M229" s="1110" t="e">
        <f t="shared" si="104"/>
        <v>#REF!</v>
      </c>
      <c r="N229" s="1110" t="e">
        <f t="shared" si="104"/>
        <v>#REF!</v>
      </c>
      <c r="O229" s="1110" t="e">
        <f t="shared" si="99"/>
        <v>#REF!</v>
      </c>
      <c r="P229" s="1101"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7">
        <f t="shared" si="101"/>
        <v>171</v>
      </c>
      <c r="B230" s="1270" t="s">
        <v>1224</v>
      </c>
      <c r="C230" s="1110" t="e">
        <f t="shared" ref="C230:N230" si="105">C225-C222</f>
        <v>#REF!</v>
      </c>
      <c r="D230" s="1110" t="e">
        <f t="shared" si="105"/>
        <v>#REF!</v>
      </c>
      <c r="E230" s="1110" t="e">
        <f t="shared" si="105"/>
        <v>#REF!</v>
      </c>
      <c r="F230" s="1110" t="e">
        <f t="shared" si="105"/>
        <v>#REF!</v>
      </c>
      <c r="G230" s="1110" t="e">
        <f t="shared" si="105"/>
        <v>#REF!</v>
      </c>
      <c r="H230" s="1110" t="e">
        <f t="shared" si="105"/>
        <v>#REF!</v>
      </c>
      <c r="I230" s="1110" t="e">
        <f t="shared" si="105"/>
        <v>#REF!</v>
      </c>
      <c r="J230" s="1110" t="e">
        <f t="shared" si="105"/>
        <v>#REF!</v>
      </c>
      <c r="K230" s="1110" t="e">
        <f t="shared" si="105"/>
        <v>#REF!</v>
      </c>
      <c r="L230" s="1110" t="e">
        <f t="shared" si="105"/>
        <v>#REF!</v>
      </c>
      <c r="M230" s="1110" t="e">
        <f t="shared" si="105"/>
        <v>#REF!</v>
      </c>
      <c r="N230" s="1110" t="e">
        <f t="shared" si="105"/>
        <v>#REF!</v>
      </c>
      <c r="O230" s="1110" t="e">
        <f>O215-O208-O221-O224-O225</f>
        <v>#REF!</v>
      </c>
      <c r="P230" s="1101"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7">
        <f t="shared" si="101"/>
        <v>172</v>
      </c>
      <c r="B231" s="1270" t="s">
        <v>1074</v>
      </c>
      <c r="C231" s="1110" t="e">
        <f t="shared" ref="C231:P231" si="106">C229-C230</f>
        <v>#REF!</v>
      </c>
      <c r="D231" s="1110" t="e">
        <f t="shared" si="106"/>
        <v>#REF!</v>
      </c>
      <c r="E231" s="1110" t="e">
        <f t="shared" si="106"/>
        <v>#REF!</v>
      </c>
      <c r="F231" s="1110" t="e">
        <f t="shared" si="106"/>
        <v>#REF!</v>
      </c>
      <c r="G231" s="1110" t="e">
        <f t="shared" si="106"/>
        <v>#REF!</v>
      </c>
      <c r="H231" s="1110" t="e">
        <f t="shared" si="106"/>
        <v>#REF!</v>
      </c>
      <c r="I231" s="1110" t="e">
        <f t="shared" si="106"/>
        <v>#REF!</v>
      </c>
      <c r="J231" s="1110" t="e">
        <f t="shared" si="106"/>
        <v>#REF!</v>
      </c>
      <c r="K231" s="1110" t="e">
        <f t="shared" si="106"/>
        <v>#REF!</v>
      </c>
      <c r="L231" s="1110" t="e">
        <f t="shared" si="106"/>
        <v>#REF!</v>
      </c>
      <c r="M231" s="1110" t="e">
        <f t="shared" si="106"/>
        <v>#REF!</v>
      </c>
      <c r="N231" s="1110" t="e">
        <f t="shared" si="106"/>
        <v>#REF!</v>
      </c>
      <c r="O231" s="1110" t="e">
        <f t="shared" si="106"/>
        <v>#REF!</v>
      </c>
      <c r="P231" s="1101"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9"/>
      <c r="C235" s="1221">
        <v>1</v>
      </c>
      <c r="D235" s="1222">
        <v>2</v>
      </c>
      <c r="E235" s="1222">
        <v>3</v>
      </c>
      <c r="F235" s="1222">
        <v>4</v>
      </c>
      <c r="G235" s="1222">
        <v>5</v>
      </c>
      <c r="H235" s="1222">
        <v>6</v>
      </c>
      <c r="I235" s="1222">
        <v>7</v>
      </c>
      <c r="J235" s="1222">
        <v>8</v>
      </c>
      <c r="K235" s="1222">
        <v>9</v>
      </c>
      <c r="L235" s="1222">
        <v>10</v>
      </c>
      <c r="M235" s="1222">
        <v>11</v>
      </c>
      <c r="N235" s="1223">
        <v>12</v>
      </c>
      <c r="O235" s="1210"/>
      <c r="P235" s="1211"/>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2" t="s">
        <v>814</v>
      </c>
      <c r="C236" s="1224" t="s">
        <v>181</v>
      </c>
      <c r="D236" s="1225" t="s">
        <v>89</v>
      </c>
      <c r="E236" s="1225" t="s">
        <v>90</v>
      </c>
      <c r="F236" s="1225" t="s">
        <v>91</v>
      </c>
      <c r="G236" s="1225" t="s">
        <v>92</v>
      </c>
      <c r="H236" s="1225" t="s">
        <v>93</v>
      </c>
      <c r="I236" s="1225" t="s">
        <v>94</v>
      </c>
      <c r="J236" s="1225" t="s">
        <v>95</v>
      </c>
      <c r="K236" s="1225" t="s">
        <v>96</v>
      </c>
      <c r="L236" s="1225" t="s">
        <v>97</v>
      </c>
      <c r="M236" s="1225" t="s">
        <v>98</v>
      </c>
      <c r="N236" s="1226" t="s">
        <v>99</v>
      </c>
      <c r="O236" s="1227" t="s">
        <v>493</v>
      </c>
      <c r="P236" s="1227"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3"/>
      <c r="C237" s="1228" t="s">
        <v>50</v>
      </c>
      <c r="D237" s="1229" t="s">
        <v>50</v>
      </c>
      <c r="E237" s="1229" t="s">
        <v>50</v>
      </c>
      <c r="F237" s="1229" t="s">
        <v>50</v>
      </c>
      <c r="G237" s="1229" t="s">
        <v>50</v>
      </c>
      <c r="H237" s="1229" t="s">
        <v>50</v>
      </c>
      <c r="I237" s="1229" t="s">
        <v>50</v>
      </c>
      <c r="J237" s="1229" t="s">
        <v>50</v>
      </c>
      <c r="K237" s="1229" t="s">
        <v>50</v>
      </c>
      <c r="L237" s="1229" t="s">
        <v>50</v>
      </c>
      <c r="M237" s="1229" t="s">
        <v>50</v>
      </c>
      <c r="N237" s="1230" t="s">
        <v>50</v>
      </c>
      <c r="O237" s="1231" t="s">
        <v>50</v>
      </c>
      <c r="P237" s="1231"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6">
        <v>173</v>
      </c>
      <c r="B238" s="1270" t="s">
        <v>1201</v>
      </c>
      <c r="C238" s="1110" t="e">
        <f>C223-C204-C212</f>
        <v>#REF!</v>
      </c>
      <c r="D238" s="1110" t="e">
        <f t="shared" ref="D238:N238" si="107">D223-D204-D212</f>
        <v>#REF!</v>
      </c>
      <c r="E238" s="1110" t="e">
        <f t="shared" si="107"/>
        <v>#REF!</v>
      </c>
      <c r="F238" s="1110" t="e">
        <f t="shared" si="107"/>
        <v>#REF!</v>
      </c>
      <c r="G238" s="1110" t="e">
        <f t="shared" si="107"/>
        <v>#REF!</v>
      </c>
      <c r="H238" s="1110" t="e">
        <f t="shared" si="107"/>
        <v>#REF!</v>
      </c>
      <c r="I238" s="1110" t="e">
        <f t="shared" si="107"/>
        <v>#REF!</v>
      </c>
      <c r="J238" s="1110" t="e">
        <f t="shared" si="107"/>
        <v>#REF!</v>
      </c>
      <c r="K238" s="1110" t="e">
        <f t="shared" si="107"/>
        <v>#REF!</v>
      </c>
      <c r="L238" s="1110" t="e">
        <f t="shared" si="107"/>
        <v>#REF!</v>
      </c>
      <c r="M238" s="1110" t="e">
        <f t="shared" si="107"/>
        <v>#REF!</v>
      </c>
      <c r="N238" s="1110" t="e">
        <f t="shared" si="107"/>
        <v>#REF!</v>
      </c>
      <c r="O238" s="1110" t="e">
        <f>SUMPRODUCT($C$6:$N$6,C238:N238)</f>
        <v>#REF!</v>
      </c>
      <c r="P238" s="1101"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70" t="s">
        <v>815</v>
      </c>
      <c r="C239" s="1110" t="e">
        <f>C228-C207-C212</f>
        <v>#REF!</v>
      </c>
      <c r="D239" s="1110" t="e">
        <f t="shared" ref="D239:N239" si="108">D228-D207-D212</f>
        <v>#REF!</v>
      </c>
      <c r="E239" s="1110" t="e">
        <f t="shared" si="108"/>
        <v>#REF!</v>
      </c>
      <c r="F239" s="1110" t="e">
        <f t="shared" si="108"/>
        <v>#REF!</v>
      </c>
      <c r="G239" s="1110" t="e">
        <f t="shared" si="108"/>
        <v>#REF!</v>
      </c>
      <c r="H239" s="1110" t="e">
        <f t="shared" si="108"/>
        <v>#REF!</v>
      </c>
      <c r="I239" s="1110" t="e">
        <f t="shared" si="108"/>
        <v>#REF!</v>
      </c>
      <c r="J239" s="1110" t="e">
        <f t="shared" si="108"/>
        <v>#REF!</v>
      </c>
      <c r="K239" s="1110" t="e">
        <f t="shared" si="108"/>
        <v>#REF!</v>
      </c>
      <c r="L239" s="1110" t="e">
        <f t="shared" si="108"/>
        <v>#REF!</v>
      </c>
      <c r="M239" s="1110" t="e">
        <f t="shared" si="108"/>
        <v>#REF!</v>
      </c>
      <c r="N239" s="1110" t="e">
        <f t="shared" si="108"/>
        <v>#REF!</v>
      </c>
      <c r="O239" s="1110" t="e">
        <f>SUMPRODUCT($C$6:$N$6,C239:N239)</f>
        <v>#REF!</v>
      </c>
      <c r="P239" s="1101"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7">
        <f>A239+1</f>
        <v>175</v>
      </c>
      <c r="B240" s="1270" t="s">
        <v>1040</v>
      </c>
      <c r="C240" s="1110" t="e">
        <f>C239-C238</f>
        <v>#REF!</v>
      </c>
      <c r="D240" s="1110" t="e">
        <f t="shared" ref="D240:N240" si="109">D239-D238</f>
        <v>#REF!</v>
      </c>
      <c r="E240" s="1110" t="e">
        <f t="shared" si="109"/>
        <v>#REF!</v>
      </c>
      <c r="F240" s="1110" t="e">
        <f t="shared" si="109"/>
        <v>#REF!</v>
      </c>
      <c r="G240" s="1110" t="e">
        <f t="shared" si="109"/>
        <v>#REF!</v>
      </c>
      <c r="H240" s="1110" t="e">
        <f t="shared" si="109"/>
        <v>#REF!</v>
      </c>
      <c r="I240" s="1110" t="e">
        <f t="shared" si="109"/>
        <v>#REF!</v>
      </c>
      <c r="J240" s="1110" t="e">
        <f t="shared" si="109"/>
        <v>#REF!</v>
      </c>
      <c r="K240" s="1110" t="e">
        <f t="shared" si="109"/>
        <v>#REF!</v>
      </c>
      <c r="L240" s="1110" t="e">
        <f t="shared" si="109"/>
        <v>#REF!</v>
      </c>
      <c r="M240" s="1110" t="e">
        <f t="shared" si="109"/>
        <v>#REF!</v>
      </c>
      <c r="N240" s="1110" t="e">
        <f t="shared" si="109"/>
        <v>#REF!</v>
      </c>
      <c r="O240" s="1110" t="e">
        <f>SUMPRODUCT($C$6:$N$6,C240:N240)</f>
        <v>#REF!</v>
      </c>
      <c r="P240" s="1101"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7">
        <f>A240+1</f>
        <v>176</v>
      </c>
      <c r="B241" s="1270" t="s">
        <v>1097</v>
      </c>
      <c r="C241" s="1110" t="e">
        <f>C230+C209</f>
        <v>#REF!</v>
      </c>
      <c r="D241" s="1110" t="e">
        <f t="shared" ref="D241:N241" si="110">D230+D209</f>
        <v>#REF!</v>
      </c>
      <c r="E241" s="1110" t="e">
        <f t="shared" si="110"/>
        <v>#REF!</v>
      </c>
      <c r="F241" s="1110" t="e">
        <f t="shared" si="110"/>
        <v>#REF!</v>
      </c>
      <c r="G241" s="1110" t="e">
        <f t="shared" si="110"/>
        <v>#REF!</v>
      </c>
      <c r="H241" s="1110" t="e">
        <f t="shared" si="110"/>
        <v>#REF!</v>
      </c>
      <c r="I241" s="1110" t="e">
        <f t="shared" si="110"/>
        <v>#REF!</v>
      </c>
      <c r="J241" s="1110" t="e">
        <f t="shared" si="110"/>
        <v>#REF!</v>
      </c>
      <c r="K241" s="1110" t="e">
        <f t="shared" si="110"/>
        <v>#REF!</v>
      </c>
      <c r="L241" s="1110" t="e">
        <f t="shared" si="110"/>
        <v>#REF!</v>
      </c>
      <c r="M241" s="1110" t="e">
        <f t="shared" si="110"/>
        <v>#REF!</v>
      </c>
      <c r="N241" s="1110" t="e">
        <f t="shared" si="110"/>
        <v>#REF!</v>
      </c>
      <c r="O241" s="1110" t="e">
        <f>SUMPRODUCT($C$6:$N$6,C241:N241)</f>
        <v>#REF!</v>
      </c>
      <c r="P241" s="1101"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7">
        <f>A241+1</f>
        <v>177</v>
      </c>
      <c r="B242" s="1270" t="s">
        <v>1075</v>
      </c>
      <c r="C242" s="1110" t="e">
        <f>C240-C241</f>
        <v>#REF!</v>
      </c>
      <c r="D242" s="1110" t="e">
        <f t="shared" ref="D242:N242" si="111">D240-D241</f>
        <v>#REF!</v>
      </c>
      <c r="E242" s="1110" t="e">
        <f t="shared" si="111"/>
        <v>#REF!</v>
      </c>
      <c r="F242" s="1110" t="e">
        <f t="shared" si="111"/>
        <v>#REF!</v>
      </c>
      <c r="G242" s="1110" t="e">
        <f t="shared" si="111"/>
        <v>#REF!</v>
      </c>
      <c r="H242" s="1110" t="e">
        <f t="shared" si="111"/>
        <v>#REF!</v>
      </c>
      <c r="I242" s="1110" t="e">
        <f t="shared" si="111"/>
        <v>#REF!</v>
      </c>
      <c r="J242" s="1110" t="e">
        <f t="shared" si="111"/>
        <v>#REF!</v>
      </c>
      <c r="K242" s="1110" t="e">
        <f t="shared" si="111"/>
        <v>#REF!</v>
      </c>
      <c r="L242" s="1110" t="e">
        <f t="shared" si="111"/>
        <v>#REF!</v>
      </c>
      <c r="M242" s="1110" t="e">
        <f t="shared" si="111"/>
        <v>#REF!</v>
      </c>
      <c r="N242" s="1110" t="e">
        <f t="shared" si="111"/>
        <v>#REF!</v>
      </c>
      <c r="O242" s="1110" t="e">
        <f>SUMPRODUCT($C$6:$N$6,C242:N242)</f>
        <v>#REF!</v>
      </c>
      <c r="P242" s="1101"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5"/>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zoomScale="68" zoomScaleNormal="68" workbookViewId="0">
      <selection activeCell="A34" sqref="A34"/>
    </sheetView>
  </sheetViews>
  <sheetFormatPr defaultRowHeight="15.5"/>
  <cols>
    <col min="1" max="1" width="89.15234375" bestFit="1" customWidth="1"/>
    <col min="2" max="2" width="102.07421875" customWidth="1"/>
  </cols>
  <sheetData>
    <row r="1" spans="1:24" ht="21.5">
      <c r="A1" s="752" t="str">
        <f>"VALIDATION SUMMARY "&amp;Summary!U1&amp;""</f>
        <v>VALIDATION SUMMARY 2023-24</v>
      </c>
      <c r="B1" s="60"/>
      <c r="C1" s="744"/>
      <c r="D1" s="48"/>
      <c r="E1" s="48"/>
      <c r="F1" s="48"/>
      <c r="G1" s="48"/>
      <c r="H1" s="48"/>
      <c r="I1" s="48"/>
      <c r="J1" s="48"/>
      <c r="K1" s="48"/>
      <c r="L1" s="48"/>
      <c r="M1" s="48"/>
      <c r="N1" s="48"/>
      <c r="O1" s="48"/>
      <c r="P1" s="265"/>
      <c r="Q1" s="573"/>
      <c r="R1" s="265"/>
      <c r="S1" s="265"/>
      <c r="T1" s="265"/>
      <c r="U1" s="48"/>
      <c r="V1" s="48"/>
      <c r="W1" s="48"/>
      <c r="X1" s="48"/>
    </row>
    <row r="2" spans="1:24" ht="21.5">
      <c r="A2" s="268"/>
      <c r="B2" s="48"/>
      <c r="C2" s="744"/>
      <c r="D2" s="48"/>
      <c r="E2" s="48"/>
      <c r="F2" s="48"/>
      <c r="G2" s="48"/>
      <c r="H2" s="48"/>
      <c r="I2" s="48"/>
      <c r="J2" s="48"/>
      <c r="K2" s="48"/>
      <c r="L2" s="48"/>
      <c r="M2" s="48"/>
      <c r="N2" s="48"/>
      <c r="O2" s="48"/>
      <c r="P2" s="606" t="s">
        <v>362</v>
      </c>
      <c r="Q2" s="573"/>
      <c r="R2" s="265"/>
      <c r="S2" s="265"/>
      <c r="T2" s="265"/>
      <c r="U2" s="48"/>
      <c r="V2" s="49"/>
      <c r="W2" s="48"/>
      <c r="X2" s="48"/>
    </row>
    <row r="3" spans="1:24" ht="23">
      <c r="A3" s="972" t="s">
        <v>36</v>
      </c>
      <c r="B3" s="962" t="str">
        <f>UPPER(Summary!A1)</f>
        <v>PUBLIC HEALTH WALES TRUST</v>
      </c>
      <c r="C3" s="745"/>
      <c r="D3" s="158"/>
      <c r="E3" s="48"/>
      <c r="F3" s="51"/>
      <c r="G3" s="51"/>
      <c r="H3" s="48"/>
      <c r="I3" s="48"/>
      <c r="J3" s="48"/>
      <c r="K3" s="48"/>
      <c r="L3" s="48"/>
      <c r="M3" s="48"/>
      <c r="N3" s="48"/>
      <c r="O3" s="48"/>
      <c r="P3" s="265"/>
      <c r="Q3" s="48"/>
      <c r="R3" s="48"/>
      <c r="S3" s="48"/>
      <c r="T3" s="48"/>
      <c r="U3" s="48"/>
      <c r="V3" s="48"/>
      <c r="W3" s="48"/>
      <c r="X3" s="50"/>
    </row>
    <row r="4" spans="1:24" ht="23.25" customHeight="1">
      <c r="A4" s="973" t="s">
        <v>37</v>
      </c>
      <c r="B4" s="974" t="str">
        <f>UPPER(Summary!H1)</f>
        <v>APR 23</v>
      </c>
      <c r="C4" s="746"/>
      <c r="D4" s="51"/>
      <c r="E4" s="51"/>
      <c r="F4" s="62"/>
      <c r="G4" s="62"/>
      <c r="H4" s="62"/>
      <c r="I4" s="62"/>
      <c r="J4" s="62"/>
      <c r="K4" s="62"/>
      <c r="L4" s="62"/>
      <c r="M4" s="48"/>
      <c r="N4" s="48"/>
      <c r="O4" s="48"/>
      <c r="P4" s="48"/>
      <c r="Q4" s="48"/>
      <c r="R4" s="48"/>
      <c r="S4" s="60"/>
      <c r="T4" s="48"/>
      <c r="U4" s="48"/>
      <c r="V4" s="48"/>
      <c r="W4" s="48"/>
      <c r="X4" s="50"/>
    </row>
    <row r="5" spans="1:24" ht="22.5" customHeight="1">
      <c r="A5" s="979" t="s">
        <v>358</v>
      </c>
      <c r="B5" s="1004" t="str">
        <f>" "&amp;$B$3&amp;" IS CURRENTLY SHOWING "&amp;'A - Movement'!$W$66&amp;" ERRORS FOR THIS TABLE"</f>
        <v xml:space="preserve"> PUBLIC HEALTH WALES TRUST IS CURRENTLY SHOWING 0 ERRORS FOR THIS TABLE</v>
      </c>
      <c r="C5" s="785">
        <f>+'A - Movement'!$W$66</f>
        <v>0</v>
      </c>
      <c r="D5" s="785">
        <f>IF(C5&lt;&gt;0,1,0)</f>
        <v>0</v>
      </c>
      <c r="E5" s="51"/>
      <c r="F5" s="62"/>
      <c r="G5" s="62"/>
      <c r="H5" s="62"/>
      <c r="I5" s="62"/>
      <c r="J5" s="62"/>
      <c r="K5" s="62"/>
      <c r="L5" s="62"/>
      <c r="M5" s="48"/>
      <c r="N5" s="48"/>
      <c r="O5" s="48"/>
      <c r="P5" s="48"/>
      <c r="Q5" s="48"/>
      <c r="R5" s="48"/>
      <c r="S5" s="60"/>
      <c r="T5" s="48"/>
      <c r="U5" s="48"/>
      <c r="V5" s="48"/>
      <c r="W5" s="48"/>
      <c r="X5" s="50"/>
    </row>
    <row r="6" spans="1:24" ht="29.25" customHeight="1">
      <c r="A6" s="973" t="s">
        <v>558</v>
      </c>
      <c r="B6" s="974" t="str">
        <f>" "&amp;$B$3&amp;" IS CURRENTLY SHOWING "&amp;'A1 - Underlying Position'!$R$9&amp;" ERRORS FOR THIS TABLE"</f>
        <v xml:space="preserve"> PUBLIC HEALTH WALES TRUST IS CURRENTLY SHOWING 0 ERRORS FOR THIS TABLE</v>
      </c>
      <c r="C6" s="785">
        <f>+'A1 - Underlying Position'!$R$9</f>
        <v>0</v>
      </c>
      <c r="D6" s="785">
        <f>IF(C6&lt;&gt;0,1,0)</f>
        <v>0</v>
      </c>
      <c r="E6" s="51"/>
      <c r="F6" s="62"/>
      <c r="G6" s="62"/>
      <c r="H6" s="62"/>
      <c r="I6" s="62"/>
      <c r="J6" s="62"/>
      <c r="K6" s="62"/>
      <c r="L6" s="62"/>
      <c r="M6" s="48"/>
      <c r="N6" s="48"/>
      <c r="O6" s="48"/>
      <c r="P6" s="48"/>
      <c r="Q6" s="48"/>
      <c r="R6" s="48"/>
      <c r="S6" s="60"/>
      <c r="T6" s="48"/>
      <c r="U6" s="48"/>
      <c r="V6" s="48"/>
      <c r="W6" s="48"/>
      <c r="X6" s="50"/>
    </row>
    <row r="7" spans="1:24" ht="26.25" customHeight="1">
      <c r="A7" s="979" t="s">
        <v>911</v>
      </c>
      <c r="B7" s="1004" t="str">
        <f>" "&amp;$B$3&amp;" IS CURRENTLY SHOWING "&amp;'A2 - Risks'!$I$7&amp;" ERRORS FOR THIS TABLE"</f>
        <v xml:space="preserve"> PUBLIC HEALTH WALES TRUST IS CURRENTLY SHOWING 0 ERRORS FOR THIS TABLE</v>
      </c>
      <c r="C7" s="785">
        <f>+'A2 - Risks'!$I$7</f>
        <v>0</v>
      </c>
      <c r="D7" s="785">
        <f>IF(C7&lt;&gt;0,1,0)</f>
        <v>0</v>
      </c>
      <c r="E7" s="51"/>
      <c r="F7" s="62"/>
      <c r="G7" s="62"/>
      <c r="H7" s="62"/>
      <c r="I7" s="62"/>
      <c r="J7" s="62"/>
      <c r="K7" s="62"/>
      <c r="L7" s="62"/>
      <c r="M7" s="48"/>
      <c r="N7" s="48"/>
      <c r="O7" s="48"/>
      <c r="P7" s="48"/>
      <c r="Q7" s="48"/>
      <c r="R7" s="48"/>
      <c r="S7" s="60"/>
      <c r="T7" s="48"/>
      <c r="U7" s="48"/>
      <c r="V7" s="48"/>
      <c r="W7" s="48"/>
      <c r="X7" s="50"/>
    </row>
    <row r="8" spans="1:24" ht="29.25" customHeight="1">
      <c r="A8" s="973" t="s">
        <v>449</v>
      </c>
      <c r="B8" s="974" t="str">
        <f>" "&amp;$B$3&amp;" IS CURRENTLY SHOWING "&amp;'B - Monthly Positions'!$Y$33&amp;" ERRORS FOR THIS TABLE"</f>
        <v xml:space="preserve"> PUBLIC HEALTH WALES TRUST IS CURRENTLY SHOWING 0 ERRORS FOR THIS TABLE</v>
      </c>
      <c r="C8" s="785">
        <f>+'B - Monthly Positions'!$Y$33</f>
        <v>0</v>
      </c>
      <c r="D8" s="785">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9" t="s">
        <v>515</v>
      </c>
      <c r="B9" s="1004" t="str">
        <f>" "&amp;$B$3&amp;" IS CURRENTLY SHOWING "&amp;' Table Z Net Exp Profiles'!V15&amp;" ERRORS FOR THIS TABLE"</f>
        <v xml:space="preserve"> PUBLIC HEALTH WALES TRUST IS CURRENTLY SHOWING 0 ERRORS FOR THIS TABLE</v>
      </c>
      <c r="C9" s="785">
        <f>' Table Z Net Exp Profiles'!V15</f>
        <v>0</v>
      </c>
      <c r="D9" s="785">
        <f t="shared" si="0"/>
        <v>0</v>
      </c>
      <c r="E9" s="51"/>
      <c r="F9" s="62"/>
      <c r="G9" s="62"/>
      <c r="H9" s="62"/>
      <c r="I9" s="62"/>
      <c r="J9" s="62"/>
      <c r="K9" s="62"/>
      <c r="L9" s="62"/>
      <c r="M9" s="48"/>
      <c r="N9" s="48"/>
      <c r="O9" s="48"/>
      <c r="P9" s="48"/>
      <c r="Q9" s="48"/>
      <c r="R9" s="48"/>
      <c r="S9" s="60"/>
      <c r="T9" s="48"/>
      <c r="U9" s="48"/>
      <c r="V9" s="48"/>
      <c r="W9" s="48"/>
      <c r="X9" s="50"/>
    </row>
    <row r="10" spans="1:24" ht="26.25" customHeight="1">
      <c r="A10" s="973" t="s">
        <v>531</v>
      </c>
      <c r="B10" s="974" t="str">
        <f>" "&amp;$B$3&amp;" IS CURRENTLY SHOWING "&amp;'B2 - Pay &amp; Agency'!$T$11&amp;" ERRORS FOR THIS TABLE"</f>
        <v xml:space="preserve"> PUBLIC HEALTH WALES TRUST IS CURRENTLY SHOWING 0 ERRORS FOR THIS TABLE</v>
      </c>
      <c r="C10" s="785">
        <f>+'B2 - Pay &amp; Agency'!$T$11</f>
        <v>0</v>
      </c>
      <c r="D10" s="785">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9" t="s">
        <v>922</v>
      </c>
      <c r="B11" s="1004" t="str">
        <f>" "&amp;$B$3&amp;" IS CURRENTLY SHOWING "&amp;'B3 - COVID-19'!Y5&amp;" ERRORS FOR THIS TABLE"</f>
        <v xml:space="preserve"> PUBLIC HEALTH WALES TRUST IS CURRENTLY SHOWING 0 ERRORS FOR THIS TABLE</v>
      </c>
      <c r="C11" s="785">
        <f>'B3 - COVID-19'!$Y$5</f>
        <v>0</v>
      </c>
      <c r="D11" s="785">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3" t="s">
        <v>1272</v>
      </c>
      <c r="B12" s="974" t="str">
        <f>" "&amp;$B$3&amp;" IS CURRENTLY SHOWING "&amp;'C, C1, C2&amp; C3 - Savings Schemes'!$AF$7&amp;" ERRORS FOR THIS TABLE"</f>
        <v xml:space="preserve"> PUBLIC HEALTH WALES TRUST IS CURRENTLY SHOWING 0 ERRORS FOR THIS TABLE</v>
      </c>
      <c r="C12" s="785">
        <f>+'C, C1, C2&amp; C3 - Savings Schemes'!$AF$7</f>
        <v>0</v>
      </c>
      <c r="D12" s="785">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9" t="s">
        <v>1271</v>
      </c>
      <c r="B13" s="1004" t="str">
        <f ca="1">" "&amp;$B$3&amp;" IS CURRENTLY SHOWING "&amp;'Table C4 Tracker'!$BU$1497&amp;" ERRORS FOR THIS TABLE"</f>
        <v xml:space="preserve"> PUBLIC HEALTH WALES TRUST IS CURRENTLY SHOWING 0 ERRORS FOR THIS TABLE</v>
      </c>
      <c r="C13" s="785">
        <f ca="1">+'Table C4 Tracker'!$BU$1497</f>
        <v>0</v>
      </c>
      <c r="D13" s="785">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3" t="s">
        <v>795</v>
      </c>
      <c r="B14" s="974" t="str">
        <f>" "&amp;$B$3&amp;" IS CURRENTLY SHOWING "&amp;'E - Resource Limits'!$T$7&amp;" ERRORS FOR THIS TABLE"</f>
        <v xml:space="preserve"> PUBLIC HEALTH WALES TRUST IS CURRENTLY SHOWING 0 ERRORS FOR THIS TABLE</v>
      </c>
      <c r="C14" s="785">
        <f>+'E - Resource Limits'!$T$7</f>
        <v>0</v>
      </c>
      <c r="D14" s="785">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9" t="s">
        <v>835</v>
      </c>
      <c r="B15" s="1004" t="str">
        <f>" "&amp;$B$3&amp;" IS CURRENTLY SHOWING "&amp;'E1 - Invoiced Income'!AA5&amp;" ERRORS FOR THIS TABLE"</f>
        <v xml:space="preserve"> PUBLIC HEALTH WALES TRUST IS CURRENTLY SHOWING 0 ERRORS FOR THIS TABLE</v>
      </c>
      <c r="C15" s="785">
        <f>+'E1 - Invoiced Income'!$AA$5</f>
        <v>0</v>
      </c>
      <c r="D15" s="785">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3" t="s">
        <v>912</v>
      </c>
      <c r="B16" s="974" t="str">
        <f>" "&amp;$B$3&amp;" IS CURRENTLY SHOWING "&amp;'F - SoFP'!$J$21&amp;" ERRORS FOR THIS TABLE"</f>
        <v xml:space="preserve"> PUBLIC HEALTH WALES TRUST IS CURRENTLY SHOWING 0 ERRORS FOR THIS TABLE</v>
      </c>
      <c r="C16" s="785">
        <f>+'F - SoFP'!$J$21</f>
        <v>0</v>
      </c>
      <c r="D16" s="785">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9" t="s">
        <v>913</v>
      </c>
      <c r="B17" s="1004" t="str">
        <f>" "&amp;$B$3&amp;" IS CURRENTLY SHOWING "&amp;'G - Cash Flow'!$S$6&amp;" ERRORS FOR THIS TABLE"</f>
        <v xml:space="preserve"> PUBLIC HEALTH WALES TRUST IS CURRENTLY SHOWING 0 ERRORS FOR THIS TABLE</v>
      </c>
      <c r="C17" s="785">
        <f>+'G - Cash Flow'!$S$6</f>
        <v>0</v>
      </c>
      <c r="D17" s="785">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3" t="s">
        <v>914</v>
      </c>
      <c r="B18" s="974" t="str">
        <f>" "&amp;$B$3&amp;" IS CURRENTLY SHOWING "&amp;'I - Capital RLM'!$O$17&amp;" ERRORS FOR THIS TABLE"</f>
        <v xml:space="preserve"> PUBLIC HEALTH WALES TRUST IS CURRENTLY SHOWING 0 ERRORS FOR THIS TABLE</v>
      </c>
      <c r="C18" s="785">
        <f>+'I - Capital RLM'!$O$17</f>
        <v>0</v>
      </c>
      <c r="D18" s="785">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9" t="s">
        <v>915</v>
      </c>
      <c r="B19" s="1004" t="str">
        <f>" "&amp;$B$3&amp;" IS CURRENTLY SHOWING "&amp;'J - Capital In Year Schemes'!$AA$24&amp;" ERRORS FOR THIS TABLE"</f>
        <v xml:space="preserve"> PUBLIC HEALTH WALES TRUST IS CURRENTLY SHOWING 0 ERRORS FOR THIS TABLE</v>
      </c>
      <c r="C19" s="785">
        <f>+'J - Capital In Year Schemes'!$AA$24</f>
        <v>0</v>
      </c>
      <c r="D19" s="785">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3" t="s">
        <v>916</v>
      </c>
      <c r="B20" s="974" t="str">
        <f>" "&amp;$B$3&amp;" IS CURRENTLY SHOWING "&amp;'K - Capital Disposals'!$AA$5&amp;" ERRORS FOR THIS TABLE"</f>
        <v xml:space="preserve"> PUBLIC HEALTH WALES TRUST IS CURRENTLY SHOWING 0 ERRORS FOR THIS TABLE</v>
      </c>
      <c r="C20" s="785">
        <f>+'K - Capital Disposals'!$AA$5</f>
        <v>0</v>
      </c>
      <c r="D20" s="785">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9" t="s">
        <v>917</v>
      </c>
      <c r="B21" s="1004" t="str">
        <f>" "&amp;$B$3&amp;" IS CURRENTLY SHOWING "&amp;'L - EFL'!J5&amp;" ERRORS FOR THIS TABLE"</f>
        <v xml:space="preserve"> PUBLIC HEALTH WALES TRUST IS CURRENTLY SHOWING 0 ERRORS FOR THIS TABLE</v>
      </c>
      <c r="C21" s="785">
        <f>+'K - Capital Disposals'!$AA$5</f>
        <v>0</v>
      </c>
      <c r="D21" s="785">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3" t="s">
        <v>918</v>
      </c>
      <c r="B22" s="974" t="str">
        <f>" "&amp;$B$3&amp;" IS CURRENTLY SHOWING "&amp;'N - GMS'!$R$36&amp;" ERRORS FOR THIS TABLE"</f>
        <v xml:space="preserve"> PUBLIC HEALTH WALES TRUST IS CURRENTLY SHOWING 0 ERRORS FOR THIS TABLE</v>
      </c>
      <c r="C22" s="785">
        <f>+'N - GMS'!$R$36</f>
        <v>0</v>
      </c>
      <c r="D22" s="785">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9" t="s">
        <v>919</v>
      </c>
      <c r="B23" s="1004" t="str">
        <f>" "&amp;$B$3&amp;" IS CURRENTLY SHOWING "&amp;'O - Dental'!$P$10&amp;" ERRORS FOR THIS TABLE"</f>
        <v xml:space="preserve"> PUBLIC HEALTH WALES TRUST IS CURRENTLY SHOWING 0 ERRORS FOR THIS TABLE</v>
      </c>
      <c r="C23" s="785">
        <f>+'O - Dental'!$P$10</f>
        <v>0</v>
      </c>
      <c r="D23" s="785">
        <f t="shared" si="0"/>
        <v>0</v>
      </c>
      <c r="E23" s="51"/>
      <c r="F23" s="62"/>
      <c r="G23" s="62"/>
      <c r="H23" s="62"/>
      <c r="I23" s="62"/>
      <c r="J23" s="62"/>
      <c r="K23" s="62"/>
      <c r="L23" s="62"/>
      <c r="M23" s="48"/>
      <c r="N23" s="48"/>
      <c r="O23" s="48"/>
      <c r="P23" s="48"/>
      <c r="Q23" s="48"/>
      <c r="R23" s="48"/>
      <c r="S23" s="60"/>
      <c r="T23" s="48"/>
      <c r="U23" s="48"/>
      <c r="V23" s="48"/>
      <c r="W23" s="48"/>
      <c r="X23" s="50"/>
    </row>
    <row r="24" spans="1:44" ht="23">
      <c r="A24" s="975"/>
      <c r="B24" s="1128"/>
      <c r="C24" s="785"/>
      <c r="D24" s="785"/>
      <c r="E24" s="51"/>
      <c r="F24" s="62"/>
      <c r="G24" s="62"/>
      <c r="H24" s="62"/>
      <c r="I24" s="62"/>
      <c r="J24" s="62"/>
      <c r="K24" s="62"/>
      <c r="L24" s="62"/>
      <c r="M24" s="48"/>
      <c r="N24" s="48"/>
      <c r="O24" s="48"/>
      <c r="P24" s="265"/>
      <c r="Q24" s="573"/>
      <c r="R24" s="265"/>
      <c r="S24" s="266"/>
      <c r="T24" s="267"/>
      <c r="U24" s="48"/>
      <c r="V24" s="48"/>
      <c r="W24" s="48"/>
      <c r="X24" s="50"/>
    </row>
    <row r="25" spans="1:44" ht="23">
      <c r="A25" s="1868" t="str">
        <f>"TOTAL ERRORS FOR YOUR "&amp;B4&amp;" RETURN IS "</f>
        <v xml:space="preserve">TOTAL ERRORS FOR YOUR APR 23 RETURN IS </v>
      </c>
      <c r="B25" s="1869" t="str">
        <f ca="1">IF(D25=0,"YOUR RETURN HAS ZERO ERRORS",C25&amp;" ERRORS ON  "&amp;D25&amp; "  DIFFERENT TABLE/S")</f>
        <v>YOUR RETURN HAS ZERO ERRORS</v>
      </c>
      <c r="C25" s="841">
        <f ca="1">SUM(C5:C24)</f>
        <v>0</v>
      </c>
      <c r="D25" s="976">
        <f ca="1">SUM(D5:D24)</f>
        <v>0</v>
      </c>
      <c r="E25" s="55"/>
      <c r="F25" s="53"/>
      <c r="G25" s="53"/>
      <c r="H25" s="53"/>
      <c r="I25" s="53"/>
      <c r="J25" s="53"/>
      <c r="K25" s="53"/>
      <c r="L25" s="53"/>
      <c r="M25" s="61"/>
      <c r="N25" s="56"/>
      <c r="O25" s="773"/>
      <c r="P25" s="1111"/>
      <c r="Q25" s="1111"/>
      <c r="R25" s="1111"/>
      <c r="S25" s="1111"/>
      <c r="T25" s="773"/>
      <c r="U25" s="773"/>
      <c r="V25" s="773"/>
      <c r="W25" s="773"/>
      <c r="X25" s="773"/>
    </row>
    <row r="26" spans="1:44">
      <c r="A26" s="773"/>
      <c r="B26" s="772"/>
      <c r="C26" s="778"/>
      <c r="D26" s="53"/>
      <c r="E26" s="55"/>
      <c r="F26" s="53"/>
      <c r="G26" s="53"/>
      <c r="H26" s="53"/>
      <c r="I26" s="53"/>
      <c r="J26" s="53"/>
      <c r="K26" s="53"/>
      <c r="L26" s="53"/>
      <c r="M26" s="61"/>
      <c r="N26" s="56"/>
      <c r="O26" s="773"/>
      <c r="P26" s="1111"/>
      <c r="Q26" s="1111"/>
      <c r="R26" s="1111"/>
      <c r="S26" s="1111"/>
      <c r="T26" s="773"/>
      <c r="U26" s="773"/>
      <c r="V26" s="773"/>
      <c r="W26" s="773"/>
      <c r="X26" s="773"/>
      <c r="Y26" s="773"/>
      <c r="Z26" s="773"/>
      <c r="AA26" s="773"/>
      <c r="AB26" s="773"/>
      <c r="AC26" s="773"/>
      <c r="AD26" s="773"/>
      <c r="AE26" s="773"/>
      <c r="AF26" s="773"/>
      <c r="AG26" s="773"/>
      <c r="AH26" s="773"/>
      <c r="AI26" s="773"/>
      <c r="AJ26" s="773"/>
      <c r="AK26" s="773"/>
      <c r="AL26" s="773"/>
      <c r="AM26" s="773"/>
      <c r="AN26" s="773"/>
      <c r="AO26" s="773"/>
      <c r="AP26" s="773"/>
      <c r="AQ26" s="773"/>
      <c r="AR26" s="773"/>
    </row>
    <row r="27" spans="1:44">
      <c r="A27" s="773"/>
      <c r="B27" s="772"/>
      <c r="C27" s="778"/>
      <c r="D27" s="53"/>
      <c r="E27" s="55"/>
      <c r="F27" s="53"/>
      <c r="G27" s="53"/>
      <c r="H27" s="53"/>
      <c r="I27" s="138"/>
      <c r="J27" s="138"/>
      <c r="K27" s="128"/>
      <c r="L27" s="53"/>
      <c r="M27" s="61"/>
      <c r="N27" s="56"/>
      <c r="O27" s="773"/>
      <c r="P27" s="1111"/>
      <c r="Q27" s="1111"/>
      <c r="R27" s="1111"/>
      <c r="S27" s="1111"/>
      <c r="T27" s="773"/>
      <c r="U27" s="773"/>
      <c r="V27" s="773"/>
      <c r="W27" s="773"/>
      <c r="X27" s="773"/>
      <c r="Y27" s="773"/>
      <c r="Z27" s="773"/>
      <c r="AA27" s="773"/>
      <c r="AB27" s="773"/>
      <c r="AC27" s="773"/>
      <c r="AD27" s="773"/>
      <c r="AE27" s="773"/>
      <c r="AF27" s="773"/>
      <c r="AG27" s="773"/>
      <c r="AH27" s="773"/>
      <c r="AI27" s="773"/>
      <c r="AJ27" s="773"/>
      <c r="AK27" s="773"/>
      <c r="AL27" s="773"/>
      <c r="AM27" s="773"/>
      <c r="AN27" s="773"/>
      <c r="AO27" s="773"/>
      <c r="AP27" s="773"/>
      <c r="AQ27" s="773"/>
      <c r="AR27" s="773"/>
    </row>
    <row r="28" spans="1:44">
      <c r="A28" s="773"/>
      <c r="B28" s="772"/>
      <c r="C28" s="778"/>
      <c r="D28" s="53"/>
      <c r="E28" s="55"/>
      <c r="F28" s="53"/>
      <c r="G28" s="53"/>
      <c r="H28" s="53"/>
      <c r="I28" s="138"/>
      <c r="J28" s="138"/>
      <c r="K28" s="128"/>
      <c r="L28" s="53"/>
      <c r="M28" s="61"/>
      <c r="N28" s="56"/>
      <c r="O28" s="773"/>
      <c r="P28" s="1111"/>
      <c r="Q28" s="1111"/>
      <c r="R28" s="1111"/>
      <c r="S28" s="1111"/>
      <c r="T28" s="773"/>
      <c r="U28" s="773"/>
      <c r="V28" s="773"/>
      <c r="W28" s="773"/>
      <c r="X28" s="773"/>
      <c r="Y28" s="773"/>
      <c r="Z28" s="773"/>
      <c r="AA28" s="773"/>
      <c r="AB28" s="773"/>
      <c r="AC28" s="773"/>
      <c r="AD28" s="773"/>
      <c r="AE28" s="773"/>
      <c r="AF28" s="773"/>
      <c r="AG28" s="773"/>
      <c r="AH28" s="773"/>
      <c r="AI28" s="773"/>
      <c r="AJ28" s="773"/>
      <c r="AK28" s="773"/>
      <c r="AL28" s="773"/>
      <c r="AM28" s="773"/>
      <c r="AN28" s="773"/>
      <c r="AO28" s="773"/>
      <c r="AP28" s="773"/>
      <c r="AQ28" s="773"/>
      <c r="AR28" s="773"/>
    </row>
    <row r="29" spans="1:44">
      <c r="A29" s="773"/>
      <c r="B29" s="772"/>
      <c r="C29" s="778"/>
      <c r="D29" s="53"/>
      <c r="E29" s="55"/>
      <c r="F29" s="53"/>
      <c r="G29" s="53"/>
      <c r="H29" s="53"/>
      <c r="I29" s="138"/>
      <c r="J29" s="138"/>
      <c r="K29" s="128"/>
      <c r="L29" s="53"/>
      <c r="M29" s="61"/>
      <c r="N29" s="56"/>
      <c r="O29" s="773"/>
      <c r="P29" s="1111"/>
      <c r="Q29" s="1111"/>
      <c r="R29" s="1111"/>
      <c r="S29" s="1111"/>
      <c r="T29" s="773"/>
      <c r="U29" s="773"/>
      <c r="V29" s="773"/>
      <c r="W29" s="773"/>
      <c r="X29" s="773"/>
      <c r="Y29" s="773"/>
      <c r="Z29" s="773"/>
      <c r="AA29" s="773"/>
      <c r="AB29" s="773"/>
      <c r="AC29" s="773"/>
      <c r="AD29" s="773"/>
      <c r="AE29" s="773"/>
      <c r="AF29" s="773"/>
      <c r="AG29" s="773"/>
      <c r="AH29" s="773"/>
      <c r="AI29" s="773"/>
      <c r="AJ29" s="773"/>
      <c r="AK29" s="773"/>
      <c r="AL29" s="773"/>
      <c r="AM29" s="773"/>
      <c r="AN29" s="773"/>
      <c r="AO29" s="773"/>
      <c r="AP29" s="773"/>
      <c r="AQ29" s="773"/>
      <c r="AR29" s="773"/>
    </row>
    <row r="30" spans="1:44">
      <c r="A30" s="773"/>
      <c r="B30" s="779"/>
      <c r="C30" s="775"/>
      <c r="D30" s="1112"/>
      <c r="E30" s="1112"/>
      <c r="F30" s="1112"/>
      <c r="G30" s="1112"/>
      <c r="H30" s="1112"/>
      <c r="I30" s="139"/>
      <c r="J30" s="139"/>
      <c r="K30" s="80"/>
      <c r="L30" s="1112"/>
      <c r="M30" s="159"/>
      <c r="N30" s="1113"/>
      <c r="O30" s="773"/>
      <c r="P30" s="1111"/>
      <c r="Q30" s="1111"/>
      <c r="R30" s="1111"/>
      <c r="S30" s="1111"/>
      <c r="T30" s="773"/>
      <c r="U30" s="773"/>
      <c r="V30" s="773"/>
      <c r="W30" s="773"/>
      <c r="X30" s="773"/>
      <c r="Y30" s="773"/>
      <c r="Z30" s="773"/>
      <c r="AA30" s="773"/>
      <c r="AB30" s="773"/>
      <c r="AC30" s="773"/>
      <c r="AD30" s="773"/>
      <c r="AE30" s="773"/>
      <c r="AF30" s="773"/>
      <c r="AG30" s="773"/>
      <c r="AH30" s="773"/>
      <c r="AI30" s="773"/>
      <c r="AJ30" s="773"/>
      <c r="AK30" s="773"/>
      <c r="AL30" s="773"/>
      <c r="AM30" s="773"/>
      <c r="AN30" s="773"/>
      <c r="AO30" s="773"/>
      <c r="AP30" s="773"/>
      <c r="AQ30" s="773"/>
      <c r="AR30" s="773"/>
    </row>
    <row r="31" spans="1:44">
      <c r="A31" s="773"/>
      <c r="B31" s="779"/>
      <c r="C31" s="775"/>
      <c r="D31" s="1112"/>
      <c r="E31" s="1112"/>
      <c r="F31" s="1112"/>
      <c r="G31" s="1112"/>
      <c r="H31" s="1112"/>
      <c r="I31" s="1112"/>
      <c r="J31" s="1112"/>
      <c r="K31" s="1112"/>
      <c r="L31" s="1112"/>
      <c r="M31" s="159"/>
      <c r="N31" s="1113"/>
      <c r="O31" s="773"/>
      <c r="P31" s="1111"/>
      <c r="Q31" s="1111"/>
      <c r="R31" s="1111"/>
      <c r="S31" s="1111"/>
      <c r="T31" s="773"/>
      <c r="U31" s="773"/>
      <c r="V31" s="773"/>
      <c r="W31" s="773"/>
      <c r="X31" s="773"/>
      <c r="Y31" s="773"/>
      <c r="Z31" s="773"/>
      <c r="AA31" s="773"/>
      <c r="AB31" s="773"/>
      <c r="AC31" s="773"/>
      <c r="AD31" s="773"/>
      <c r="AE31" s="773"/>
      <c r="AF31" s="773"/>
      <c r="AG31" s="773"/>
      <c r="AH31" s="773"/>
      <c r="AI31" s="773"/>
      <c r="AJ31" s="773"/>
      <c r="AK31" s="773"/>
      <c r="AL31" s="773"/>
      <c r="AM31" s="773"/>
      <c r="AN31" s="773"/>
      <c r="AO31" s="773"/>
      <c r="AP31" s="773"/>
      <c r="AQ31" s="773"/>
      <c r="AR31" s="773"/>
    </row>
    <row r="32" spans="1:44">
      <c r="A32" s="773"/>
      <c r="B32" s="779"/>
      <c r="C32" s="775"/>
      <c r="D32" s="1112"/>
      <c r="E32" s="1112"/>
      <c r="F32" s="1112"/>
      <c r="G32" s="1112"/>
      <c r="H32" s="1112"/>
      <c r="I32" s="1112"/>
      <c r="J32" s="1112"/>
      <c r="K32" s="1112"/>
      <c r="L32" s="1112"/>
      <c r="M32" s="159"/>
      <c r="N32" s="1113"/>
      <c r="O32" s="773"/>
      <c r="P32" s="1111"/>
      <c r="Q32" s="1111"/>
      <c r="R32" s="1111"/>
      <c r="S32" s="1111"/>
      <c r="T32" s="773"/>
      <c r="U32" s="773"/>
      <c r="V32" s="773"/>
      <c r="W32" s="773"/>
      <c r="X32" s="773"/>
      <c r="Y32" s="773"/>
      <c r="Z32" s="773"/>
      <c r="AA32" s="773"/>
      <c r="AB32" s="773"/>
      <c r="AC32" s="773"/>
      <c r="AD32" s="773"/>
      <c r="AE32" s="773"/>
      <c r="AF32" s="773"/>
      <c r="AG32" s="773"/>
      <c r="AH32" s="773"/>
      <c r="AI32" s="773"/>
      <c r="AJ32" s="773"/>
      <c r="AK32" s="773"/>
      <c r="AL32" s="773"/>
      <c r="AM32" s="773"/>
      <c r="AN32" s="773"/>
      <c r="AO32" s="773"/>
      <c r="AP32" s="773"/>
      <c r="AQ32" s="773"/>
      <c r="AR32" s="773"/>
    </row>
    <row r="33" spans="1:44">
      <c r="A33" s="773"/>
      <c r="B33" s="779"/>
      <c r="C33" s="775"/>
      <c r="D33" s="1112"/>
      <c r="E33" s="55"/>
      <c r="F33" s="1112"/>
      <c r="G33" s="1112"/>
      <c r="H33" s="1112"/>
      <c r="I33" s="1112"/>
      <c r="J33" s="1112"/>
      <c r="K33" s="1112"/>
      <c r="L33" s="1112"/>
      <c r="M33" s="159"/>
      <c r="N33" s="1113"/>
      <c r="O33" s="773"/>
      <c r="P33" s="1111"/>
      <c r="Q33" s="1111"/>
      <c r="R33" s="1111"/>
      <c r="S33" s="1111"/>
      <c r="T33" s="773"/>
      <c r="U33" s="773"/>
      <c r="V33" s="773"/>
      <c r="W33" s="773"/>
      <c r="X33" s="773"/>
      <c r="Y33" s="773"/>
      <c r="Z33" s="773"/>
      <c r="AA33" s="773"/>
      <c r="AB33" s="773"/>
      <c r="AC33" s="773"/>
      <c r="AD33" s="773"/>
      <c r="AE33" s="773"/>
      <c r="AF33" s="773"/>
      <c r="AG33" s="773"/>
      <c r="AH33" s="773"/>
      <c r="AI33" s="773"/>
      <c r="AJ33" s="773"/>
      <c r="AK33" s="773"/>
      <c r="AL33" s="773"/>
      <c r="AM33" s="773"/>
      <c r="AN33" s="773"/>
      <c r="AO33" s="773"/>
      <c r="AP33" s="773"/>
      <c r="AQ33" s="773"/>
      <c r="AR33" s="773"/>
    </row>
    <row r="34" spans="1:44">
      <c r="A34" s="773"/>
      <c r="B34" s="779"/>
      <c r="C34" s="775"/>
      <c r="D34" s="1112"/>
      <c r="E34" s="55"/>
      <c r="F34" s="1112"/>
      <c r="G34" s="1112"/>
      <c r="H34" s="1112"/>
      <c r="I34" s="1112"/>
      <c r="J34" s="1112"/>
      <c r="K34" s="1112"/>
      <c r="L34" s="1112"/>
      <c r="M34" s="159"/>
      <c r="N34" s="1113"/>
      <c r="O34" s="773"/>
      <c r="P34" s="1111"/>
      <c r="Q34" s="1111"/>
      <c r="R34" s="1111"/>
      <c r="S34" s="1111"/>
      <c r="T34" s="773"/>
      <c r="U34" s="773"/>
      <c r="V34" s="773"/>
      <c r="W34" s="773"/>
      <c r="X34" s="773"/>
      <c r="Y34" s="773"/>
      <c r="Z34" s="773"/>
      <c r="AA34" s="773"/>
      <c r="AB34" s="773"/>
      <c r="AC34" s="773"/>
      <c r="AD34" s="773"/>
      <c r="AE34" s="773"/>
      <c r="AF34" s="773"/>
      <c r="AG34" s="773"/>
      <c r="AH34" s="773"/>
      <c r="AI34" s="773"/>
      <c r="AJ34" s="773"/>
      <c r="AK34" s="773"/>
      <c r="AL34" s="773"/>
      <c r="AM34" s="773"/>
      <c r="AN34" s="773"/>
      <c r="AO34" s="773"/>
      <c r="AP34" s="773"/>
      <c r="AQ34" s="773"/>
      <c r="AR34" s="773"/>
    </row>
    <row r="35" spans="1:44">
      <c r="A35" s="773"/>
      <c r="B35" s="779"/>
      <c r="C35" s="775"/>
      <c r="D35" s="1112"/>
      <c r="E35" s="55"/>
      <c r="F35" s="1112"/>
      <c r="G35" s="1112"/>
      <c r="H35" s="1112"/>
      <c r="I35" s="1112"/>
      <c r="J35" s="1112"/>
      <c r="K35" s="1112"/>
      <c r="L35" s="1112"/>
      <c r="M35" s="159"/>
      <c r="N35" s="1113"/>
      <c r="O35" s="773"/>
      <c r="P35" s="1111"/>
      <c r="Q35" s="1111"/>
      <c r="R35" s="1111"/>
      <c r="S35" s="1111"/>
      <c r="T35" s="773"/>
      <c r="U35" s="773"/>
      <c r="V35" s="773"/>
      <c r="W35" s="773"/>
      <c r="X35" s="773"/>
      <c r="Y35" s="773"/>
      <c r="Z35" s="773"/>
      <c r="AA35" s="773"/>
      <c r="AB35" s="773"/>
      <c r="AC35" s="773"/>
      <c r="AD35" s="773"/>
      <c r="AE35" s="773"/>
      <c r="AF35" s="773"/>
      <c r="AG35" s="773"/>
      <c r="AH35" s="773"/>
      <c r="AI35" s="773"/>
      <c r="AJ35" s="773"/>
      <c r="AK35" s="773"/>
      <c r="AL35" s="773"/>
      <c r="AM35" s="773"/>
      <c r="AN35" s="773"/>
      <c r="AO35" s="773"/>
      <c r="AP35" s="773"/>
      <c r="AQ35" s="773"/>
      <c r="AR35" s="773"/>
    </row>
    <row r="36" spans="1:44">
      <c r="A36" s="773"/>
      <c r="B36" s="779"/>
      <c r="C36" s="775"/>
      <c r="D36" s="1112"/>
      <c r="E36" s="1112"/>
      <c r="F36" s="1112"/>
      <c r="G36" s="1112"/>
      <c r="H36" s="1112"/>
      <c r="I36" s="1112"/>
      <c r="J36" s="1112"/>
      <c r="K36" s="1112"/>
      <c r="L36" s="1112"/>
      <c r="M36" s="159"/>
      <c r="N36" s="1113"/>
      <c r="O36" s="773"/>
      <c r="P36" s="1111"/>
      <c r="Q36" s="1111"/>
      <c r="R36" s="1111"/>
      <c r="S36" s="1111"/>
      <c r="T36" s="773"/>
      <c r="U36" s="773"/>
      <c r="V36" s="773"/>
      <c r="W36" s="773"/>
      <c r="X36" s="773"/>
      <c r="Y36" s="773"/>
      <c r="Z36" s="773"/>
      <c r="AA36" s="773"/>
      <c r="AB36" s="773"/>
      <c r="AC36" s="773"/>
      <c r="AD36" s="773"/>
      <c r="AE36" s="773"/>
      <c r="AF36" s="773"/>
      <c r="AG36" s="773"/>
      <c r="AH36" s="773"/>
      <c r="AI36" s="773"/>
      <c r="AJ36" s="773"/>
      <c r="AK36" s="773"/>
      <c r="AL36" s="773"/>
      <c r="AM36" s="773"/>
      <c r="AN36" s="773"/>
      <c r="AO36" s="773"/>
      <c r="AP36" s="773"/>
      <c r="AQ36" s="773"/>
      <c r="AR36" s="773"/>
    </row>
    <row r="37" spans="1:44">
      <c r="A37" s="773"/>
      <c r="B37" s="779"/>
      <c r="C37" s="775"/>
      <c r="D37" s="1112"/>
      <c r="E37" s="1112"/>
      <c r="F37" s="1112"/>
      <c r="G37" s="1112"/>
      <c r="H37" s="1112"/>
      <c r="I37" s="1112"/>
      <c r="J37" s="1112"/>
      <c r="K37" s="1112"/>
      <c r="L37" s="1112"/>
      <c r="M37" s="159"/>
      <c r="N37" s="1113"/>
      <c r="O37" s="773"/>
      <c r="P37" s="1111"/>
      <c r="Q37" s="1111"/>
      <c r="R37" s="1111"/>
      <c r="S37" s="1111"/>
      <c r="T37" s="773"/>
      <c r="U37" s="773"/>
      <c r="V37" s="773"/>
      <c r="W37" s="773"/>
      <c r="X37" s="773"/>
      <c r="Y37" s="773"/>
      <c r="Z37" s="773"/>
      <c r="AA37" s="773"/>
      <c r="AB37" s="773"/>
      <c r="AC37" s="773"/>
      <c r="AD37" s="773"/>
      <c r="AE37" s="773"/>
      <c r="AF37" s="773"/>
      <c r="AG37" s="773"/>
      <c r="AH37" s="773"/>
      <c r="AI37" s="773"/>
      <c r="AJ37" s="773"/>
      <c r="AK37" s="773"/>
      <c r="AL37" s="773"/>
      <c r="AM37" s="773"/>
      <c r="AN37" s="773"/>
      <c r="AO37" s="773"/>
      <c r="AP37" s="773"/>
      <c r="AQ37" s="773"/>
      <c r="AR37" s="773"/>
    </row>
    <row r="38" spans="1:44">
      <c r="A38" s="773"/>
      <c r="B38" s="779"/>
      <c r="C38" s="775"/>
      <c r="D38" s="1112"/>
      <c r="E38" s="1112"/>
      <c r="F38" s="1112"/>
      <c r="G38" s="1112"/>
      <c r="H38" s="1112"/>
      <c r="I38" s="1112"/>
      <c r="J38" s="1112"/>
      <c r="K38" s="1112"/>
      <c r="L38" s="1112"/>
      <c r="M38" s="159"/>
      <c r="N38" s="1113"/>
      <c r="O38" s="773"/>
      <c r="P38" s="1111"/>
      <c r="Q38" s="1111"/>
      <c r="R38" s="1111"/>
      <c r="S38" s="1111"/>
      <c r="T38" s="773"/>
      <c r="U38" s="773"/>
      <c r="V38" s="773"/>
      <c r="W38" s="773"/>
      <c r="X38" s="773"/>
      <c r="Y38" s="773"/>
      <c r="Z38" s="773"/>
      <c r="AA38" s="773"/>
      <c r="AB38" s="773"/>
      <c r="AC38" s="773"/>
      <c r="AD38" s="773"/>
      <c r="AE38" s="773"/>
      <c r="AF38" s="773"/>
      <c r="AG38" s="773"/>
      <c r="AH38" s="773"/>
      <c r="AI38" s="773"/>
      <c r="AJ38" s="773"/>
      <c r="AK38" s="773"/>
      <c r="AL38" s="773"/>
      <c r="AM38" s="773"/>
      <c r="AN38" s="773"/>
      <c r="AO38" s="773"/>
      <c r="AP38" s="773"/>
      <c r="AQ38" s="773"/>
      <c r="AR38" s="773"/>
    </row>
    <row r="39" spans="1:44">
      <c r="A39" s="773"/>
      <c r="B39" s="780"/>
      <c r="C39" s="775"/>
      <c r="D39" s="1112"/>
      <c r="E39" s="55"/>
      <c r="F39" s="1112"/>
      <c r="G39" s="1112"/>
      <c r="H39" s="1112"/>
      <c r="I39" s="1112"/>
      <c r="J39" s="1112"/>
      <c r="K39" s="1112"/>
      <c r="L39" s="1112"/>
      <c r="M39" s="159"/>
      <c r="N39" s="1113"/>
      <c r="O39" s="773"/>
      <c r="P39" s="1111"/>
      <c r="Q39" s="1111"/>
      <c r="R39" s="1111"/>
      <c r="S39" s="1111"/>
      <c r="T39" s="773"/>
      <c r="U39" s="773"/>
      <c r="V39" s="773"/>
      <c r="W39" s="773"/>
      <c r="X39" s="773"/>
      <c r="Y39" s="773"/>
      <c r="Z39" s="773"/>
      <c r="AA39" s="773"/>
      <c r="AB39" s="773"/>
      <c r="AC39" s="773"/>
      <c r="AD39" s="773"/>
      <c r="AE39" s="773"/>
      <c r="AF39" s="773"/>
      <c r="AG39" s="773"/>
      <c r="AH39" s="773"/>
      <c r="AI39" s="773"/>
      <c r="AJ39" s="773"/>
      <c r="AK39" s="773"/>
      <c r="AL39" s="773"/>
      <c r="AM39" s="773"/>
      <c r="AN39" s="773"/>
      <c r="AO39" s="773"/>
      <c r="AP39" s="773"/>
      <c r="AQ39" s="773"/>
      <c r="AR39" s="773"/>
    </row>
    <row r="40" spans="1:44">
      <c r="A40" s="773"/>
      <c r="B40" s="780"/>
      <c r="C40" s="775"/>
      <c r="D40" s="1112"/>
      <c r="E40" s="55"/>
      <c r="F40" s="1112"/>
      <c r="G40" s="1112"/>
      <c r="H40" s="1112"/>
      <c r="I40" s="1112"/>
      <c r="J40" s="1112"/>
      <c r="K40" s="1112"/>
      <c r="L40" s="1112"/>
      <c r="M40" s="159"/>
      <c r="N40" s="1113"/>
      <c r="O40" s="773"/>
      <c r="P40" s="1111"/>
      <c r="Q40" s="1111"/>
      <c r="R40" s="1111"/>
      <c r="S40" s="1111"/>
      <c r="T40" s="773"/>
      <c r="U40" s="773"/>
      <c r="V40" s="773"/>
      <c r="W40" s="773"/>
      <c r="X40" s="773"/>
      <c r="Y40" s="773"/>
      <c r="Z40" s="773"/>
      <c r="AA40" s="773"/>
      <c r="AB40" s="773"/>
      <c r="AC40" s="773"/>
      <c r="AD40" s="773"/>
      <c r="AE40" s="773"/>
      <c r="AF40" s="773"/>
      <c r="AG40" s="773"/>
      <c r="AH40" s="773"/>
      <c r="AI40" s="773"/>
      <c r="AJ40" s="773"/>
      <c r="AK40" s="773"/>
      <c r="AL40" s="773"/>
      <c r="AM40" s="773"/>
      <c r="AN40" s="773"/>
      <c r="AO40" s="773"/>
      <c r="AP40" s="773"/>
      <c r="AQ40" s="773"/>
      <c r="AR40" s="773"/>
    </row>
    <row r="41" spans="1:44">
      <c r="A41" s="773"/>
      <c r="B41" s="780"/>
      <c r="C41" s="775"/>
      <c r="D41" s="1112"/>
      <c r="E41" s="55"/>
      <c r="F41" s="1112"/>
      <c r="G41" s="1112"/>
      <c r="H41" s="1112"/>
      <c r="I41" s="1112"/>
      <c r="J41" s="1112"/>
      <c r="K41" s="1112"/>
      <c r="L41" s="1112"/>
      <c r="M41" s="159"/>
      <c r="N41" s="1113"/>
      <c r="O41" s="773"/>
      <c r="P41" s="1111"/>
      <c r="Q41" s="1111"/>
      <c r="R41" s="1111"/>
      <c r="S41" s="1111"/>
      <c r="T41" s="773"/>
      <c r="U41" s="773"/>
      <c r="V41" s="773"/>
      <c r="W41" s="773"/>
      <c r="X41" s="773"/>
      <c r="Y41" s="773"/>
      <c r="Z41" s="773"/>
      <c r="AA41" s="773"/>
      <c r="AB41" s="773"/>
      <c r="AC41" s="773"/>
      <c r="AD41" s="773"/>
      <c r="AE41" s="773"/>
      <c r="AF41" s="773"/>
      <c r="AG41" s="773"/>
      <c r="AH41" s="773"/>
      <c r="AI41" s="773"/>
      <c r="AJ41" s="773"/>
      <c r="AK41" s="773"/>
      <c r="AL41" s="773"/>
      <c r="AM41" s="773"/>
      <c r="AN41" s="773"/>
      <c r="AO41" s="773"/>
      <c r="AP41" s="773"/>
      <c r="AQ41" s="773"/>
      <c r="AR41" s="773"/>
    </row>
    <row r="42" spans="1:44">
      <c r="A42" s="773"/>
      <c r="B42" s="780"/>
      <c r="C42" s="775"/>
      <c r="D42" s="1112"/>
      <c r="E42" s="55"/>
      <c r="F42" s="1112"/>
      <c r="G42" s="1112"/>
      <c r="H42" s="1112"/>
      <c r="I42" s="1112"/>
      <c r="J42" s="1112"/>
      <c r="K42" s="1112"/>
      <c r="L42" s="1112"/>
      <c r="M42" s="159"/>
      <c r="N42" s="1113"/>
      <c r="O42" s="773"/>
      <c r="P42" s="1111"/>
      <c r="Q42" s="1111"/>
      <c r="R42" s="1111"/>
      <c r="S42" s="1111"/>
      <c r="T42" s="773"/>
      <c r="U42" s="773"/>
      <c r="V42" s="773"/>
      <c r="W42" s="773"/>
      <c r="X42" s="773"/>
      <c r="Y42" s="773"/>
      <c r="Z42" s="773"/>
      <c r="AA42" s="773"/>
      <c r="AB42" s="773"/>
      <c r="AC42" s="773"/>
      <c r="AD42" s="773"/>
      <c r="AE42" s="773"/>
      <c r="AF42" s="773"/>
      <c r="AG42" s="773"/>
      <c r="AH42" s="773"/>
      <c r="AI42" s="773"/>
      <c r="AJ42" s="773"/>
      <c r="AK42" s="773"/>
      <c r="AL42" s="773"/>
      <c r="AM42" s="773"/>
      <c r="AN42" s="773"/>
      <c r="AO42" s="773"/>
      <c r="AP42" s="773"/>
      <c r="AQ42" s="773"/>
      <c r="AR42" s="773"/>
    </row>
    <row r="43" spans="1:44">
      <c r="A43" s="773"/>
      <c r="B43" s="780"/>
      <c r="C43" s="775"/>
      <c r="D43" s="1112"/>
      <c r="E43" s="55"/>
      <c r="F43" s="1112"/>
      <c r="G43" s="1112"/>
      <c r="H43" s="1112"/>
      <c r="I43" s="1112"/>
      <c r="J43" s="1112"/>
      <c r="K43" s="1112"/>
      <c r="L43" s="1112"/>
      <c r="M43" s="159"/>
      <c r="N43" s="1113"/>
      <c r="O43" s="773"/>
      <c r="P43" s="1111"/>
      <c r="Q43" s="1111"/>
      <c r="R43" s="1111"/>
      <c r="S43" s="1111"/>
      <c r="T43" s="773"/>
      <c r="U43" s="773"/>
      <c r="V43" s="773"/>
      <c r="W43" s="773"/>
      <c r="X43" s="773"/>
      <c r="Y43" s="773"/>
      <c r="Z43" s="773"/>
      <c r="AA43" s="773"/>
      <c r="AB43" s="773"/>
      <c r="AC43" s="773"/>
      <c r="AD43" s="773"/>
      <c r="AE43" s="773"/>
      <c r="AF43" s="773"/>
      <c r="AG43" s="773"/>
      <c r="AH43" s="773"/>
      <c r="AI43" s="773"/>
      <c r="AJ43" s="773"/>
      <c r="AK43" s="773"/>
      <c r="AL43" s="773"/>
      <c r="AM43" s="773"/>
      <c r="AN43" s="773"/>
      <c r="AO43" s="773"/>
      <c r="AP43" s="773"/>
      <c r="AQ43" s="773"/>
      <c r="AR43" s="773"/>
    </row>
    <row r="44" spans="1:44">
      <c r="A44" s="62"/>
      <c r="B44" s="57"/>
      <c r="C44" s="1114"/>
      <c r="D44" s="1112"/>
      <c r="E44" s="55"/>
      <c r="F44" s="1112"/>
      <c r="G44" s="1112"/>
      <c r="H44" s="1112"/>
      <c r="I44" s="1112"/>
      <c r="J44" s="1112"/>
      <c r="K44" s="1112"/>
      <c r="L44" s="1112"/>
      <c r="M44" s="159"/>
      <c r="N44" s="1113"/>
      <c r="O44" s="773"/>
      <c r="P44" s="1111"/>
      <c r="Q44" s="1111"/>
      <c r="R44" s="1111"/>
      <c r="S44" s="1111"/>
      <c r="T44" s="773"/>
      <c r="U44" s="773"/>
      <c r="V44" s="773"/>
      <c r="W44" s="773"/>
      <c r="X44" s="773"/>
      <c r="Y44" s="773"/>
      <c r="Z44" s="773"/>
      <c r="AA44" s="773"/>
      <c r="AB44" s="773"/>
      <c r="AC44" s="773"/>
      <c r="AD44" s="773"/>
      <c r="AE44" s="773"/>
      <c r="AF44" s="773"/>
      <c r="AG44" s="773"/>
      <c r="AH44" s="773"/>
      <c r="AI44" s="773"/>
      <c r="AJ44" s="773"/>
      <c r="AK44" s="773"/>
      <c r="AL44" s="773"/>
      <c r="AM44" s="773"/>
      <c r="AN44" s="773"/>
      <c r="AO44" s="773"/>
      <c r="AP44" s="773"/>
      <c r="AQ44" s="773"/>
      <c r="AR44" s="773"/>
    </row>
    <row r="45" spans="1:44">
      <c r="A45" s="62"/>
      <c r="B45" s="57"/>
      <c r="C45" s="1114"/>
      <c r="D45" s="1112"/>
      <c r="E45" s="55"/>
      <c r="F45" s="1112"/>
      <c r="G45" s="1112"/>
      <c r="H45" s="1112"/>
      <c r="I45" s="1112"/>
      <c r="J45" s="1112"/>
      <c r="K45" s="1112"/>
      <c r="L45" s="1112"/>
      <c r="M45" s="159"/>
      <c r="N45" s="1113"/>
      <c r="O45" s="773"/>
      <c r="P45" s="1111"/>
      <c r="Q45" s="1111"/>
      <c r="R45" s="1111"/>
      <c r="S45" s="1111"/>
      <c r="T45" s="773"/>
      <c r="U45" s="773"/>
      <c r="V45" s="773"/>
      <c r="W45" s="773"/>
      <c r="X45" s="773"/>
      <c r="Y45" s="773"/>
      <c r="Z45" s="773"/>
      <c r="AA45" s="773"/>
      <c r="AB45" s="773"/>
      <c r="AC45" s="773"/>
      <c r="AD45" s="773"/>
      <c r="AE45" s="773"/>
      <c r="AF45" s="773"/>
      <c r="AG45" s="773"/>
      <c r="AH45" s="773"/>
      <c r="AI45" s="773"/>
      <c r="AJ45" s="773"/>
      <c r="AK45" s="773"/>
      <c r="AL45" s="773"/>
      <c r="AM45" s="773"/>
      <c r="AN45" s="773"/>
      <c r="AO45" s="773"/>
      <c r="AP45" s="773"/>
      <c r="AQ45" s="773"/>
      <c r="AR45" s="773"/>
    </row>
    <row r="46" spans="1:44">
      <c r="A46" s="62"/>
      <c r="B46" s="57"/>
      <c r="C46" s="1114"/>
      <c r="D46" s="1112"/>
      <c r="E46" s="55"/>
      <c r="F46" s="1112"/>
      <c r="G46" s="1112"/>
      <c r="H46" s="1112"/>
      <c r="I46" s="1112"/>
      <c r="J46" s="1112"/>
      <c r="K46" s="1112"/>
      <c r="L46" s="1112"/>
      <c r="M46" s="159"/>
      <c r="N46" s="1113"/>
      <c r="O46" s="773"/>
      <c r="P46" s="1111"/>
      <c r="Q46" s="1111"/>
      <c r="R46" s="1111"/>
      <c r="S46" s="1111"/>
      <c r="T46" s="773"/>
      <c r="U46" s="773"/>
      <c r="V46" s="773"/>
      <c r="W46" s="773"/>
      <c r="X46" s="773"/>
      <c r="Y46" s="773"/>
      <c r="Z46" s="773"/>
      <c r="AA46" s="773"/>
      <c r="AB46" s="773"/>
      <c r="AC46" s="773"/>
      <c r="AD46" s="773"/>
      <c r="AE46" s="773"/>
      <c r="AF46" s="773"/>
      <c r="AG46" s="773"/>
      <c r="AH46" s="773"/>
      <c r="AI46" s="773"/>
      <c r="AJ46" s="773"/>
      <c r="AK46" s="773"/>
      <c r="AL46" s="773"/>
      <c r="AM46" s="773"/>
      <c r="AN46" s="773"/>
      <c r="AO46" s="773"/>
      <c r="AP46" s="773"/>
      <c r="AQ46" s="773"/>
      <c r="AR46" s="773"/>
    </row>
    <row r="47" spans="1:44">
      <c r="A47" s="62"/>
      <c r="B47" s="57"/>
      <c r="C47" s="1114"/>
      <c r="D47" s="1112"/>
      <c r="E47" s="55"/>
      <c r="F47" s="1112"/>
      <c r="G47" s="1112"/>
      <c r="H47" s="1112"/>
      <c r="I47" s="1112"/>
      <c r="J47" s="1112"/>
      <c r="K47" s="1112"/>
      <c r="L47" s="1112"/>
      <c r="M47" s="159"/>
      <c r="N47" s="1113"/>
      <c r="O47" s="773"/>
      <c r="P47" s="1111"/>
      <c r="Q47" s="1111"/>
      <c r="R47" s="1111"/>
      <c r="S47" s="1111"/>
      <c r="T47" s="773"/>
      <c r="U47" s="773"/>
      <c r="V47" s="773"/>
      <c r="W47" s="773"/>
      <c r="X47" s="773"/>
      <c r="Y47" s="773"/>
      <c r="Z47" s="773"/>
      <c r="AA47" s="773"/>
      <c r="AB47" s="773"/>
      <c r="AC47" s="773"/>
      <c r="AD47" s="773"/>
      <c r="AE47" s="773"/>
      <c r="AF47" s="773"/>
      <c r="AG47" s="773"/>
      <c r="AH47" s="773"/>
      <c r="AI47" s="773"/>
      <c r="AJ47" s="773"/>
      <c r="AK47" s="773"/>
      <c r="AL47" s="773"/>
      <c r="AM47" s="773"/>
      <c r="AN47" s="773"/>
      <c r="AO47" s="773"/>
      <c r="AP47" s="773"/>
      <c r="AQ47" s="773"/>
      <c r="AR47" s="773"/>
    </row>
    <row r="48" spans="1:44">
      <c r="A48" s="62"/>
      <c r="B48" s="57"/>
      <c r="C48" s="1114"/>
      <c r="D48" s="1112"/>
      <c r="E48" s="55"/>
      <c r="F48" s="1112"/>
      <c r="G48" s="1112"/>
      <c r="H48" s="1112"/>
      <c r="I48" s="1112"/>
      <c r="J48" s="1112"/>
      <c r="K48" s="1112"/>
      <c r="L48" s="1112"/>
      <c r="M48" s="159"/>
      <c r="N48" s="1113"/>
      <c r="O48" s="773"/>
      <c r="P48" s="1111"/>
      <c r="Q48" s="1111"/>
      <c r="R48" s="1111"/>
      <c r="S48" s="1111"/>
      <c r="T48" s="773"/>
      <c r="U48" s="773"/>
      <c r="V48" s="773"/>
      <c r="W48" s="773"/>
      <c r="X48" s="773"/>
      <c r="Y48" s="773"/>
      <c r="Z48" s="773"/>
      <c r="AA48" s="773"/>
      <c r="AB48" s="773"/>
      <c r="AC48" s="773"/>
      <c r="AD48" s="773"/>
      <c r="AE48" s="773"/>
      <c r="AF48" s="773"/>
      <c r="AG48" s="773"/>
      <c r="AH48" s="773"/>
      <c r="AI48" s="773"/>
      <c r="AJ48" s="773"/>
      <c r="AK48" s="773"/>
      <c r="AL48" s="773"/>
      <c r="AM48" s="773"/>
      <c r="AN48" s="773"/>
      <c r="AO48" s="773"/>
      <c r="AP48" s="773"/>
      <c r="AQ48" s="773"/>
      <c r="AR48" s="773"/>
    </row>
    <row r="49" spans="1:44">
      <c r="A49" s="62"/>
      <c r="B49" s="57"/>
      <c r="C49" s="1114"/>
      <c r="D49" s="1112"/>
      <c r="E49" s="55"/>
      <c r="F49" s="1112"/>
      <c r="G49" s="1112"/>
      <c r="H49" s="1112"/>
      <c r="I49" s="1112"/>
      <c r="J49" s="1112"/>
      <c r="K49" s="1112"/>
      <c r="L49" s="1112"/>
      <c r="M49" s="159"/>
      <c r="N49" s="1113"/>
      <c r="O49" s="773"/>
      <c r="P49" s="1111"/>
      <c r="Q49" s="1111"/>
      <c r="R49" s="1111"/>
      <c r="S49" s="1111"/>
      <c r="T49" s="773"/>
      <c r="U49" s="773"/>
      <c r="V49" s="773"/>
      <c r="W49" s="773"/>
      <c r="X49" s="773"/>
      <c r="Y49" s="773"/>
      <c r="Z49" s="773"/>
      <c r="AA49" s="773"/>
      <c r="AB49" s="773"/>
      <c r="AC49" s="773"/>
      <c r="AD49" s="773"/>
      <c r="AE49" s="773"/>
      <c r="AF49" s="773"/>
      <c r="AG49" s="773"/>
      <c r="AH49" s="773"/>
      <c r="AI49" s="773"/>
      <c r="AJ49" s="773"/>
      <c r="AK49" s="773"/>
      <c r="AL49" s="773"/>
      <c r="AM49" s="773"/>
      <c r="AN49" s="773"/>
      <c r="AO49" s="773"/>
      <c r="AP49" s="773"/>
      <c r="AQ49" s="773"/>
      <c r="AR49" s="773"/>
    </row>
    <row r="50" spans="1:44">
      <c r="A50" s="62"/>
      <c r="B50" s="57"/>
      <c r="C50" s="1114"/>
      <c r="D50" s="1112"/>
      <c r="E50" s="1112"/>
      <c r="F50" s="1112"/>
      <c r="G50" s="1112"/>
      <c r="H50" s="1112"/>
      <c r="I50" s="1112"/>
      <c r="J50" s="1112"/>
      <c r="K50" s="1112"/>
      <c r="L50" s="1112"/>
      <c r="M50" s="159"/>
      <c r="N50" s="1113"/>
      <c r="O50" s="773"/>
      <c r="P50" s="1111"/>
      <c r="Q50" s="1111"/>
      <c r="R50" s="1111"/>
      <c r="S50" s="1111"/>
      <c r="T50" s="773"/>
      <c r="U50" s="773"/>
      <c r="V50" s="773"/>
      <c r="W50" s="773"/>
      <c r="X50" s="773"/>
      <c r="Y50" s="773"/>
      <c r="Z50" s="773"/>
      <c r="AA50" s="773"/>
      <c r="AB50" s="773"/>
      <c r="AC50" s="773"/>
      <c r="AD50" s="773"/>
      <c r="AE50" s="773"/>
      <c r="AF50" s="773"/>
      <c r="AG50" s="773"/>
      <c r="AH50" s="773"/>
      <c r="AI50" s="773"/>
      <c r="AJ50" s="773"/>
      <c r="AK50" s="773"/>
      <c r="AL50" s="773"/>
      <c r="AM50" s="773"/>
      <c r="AN50" s="773"/>
      <c r="AO50" s="773"/>
      <c r="AP50" s="773"/>
      <c r="AQ50" s="773"/>
      <c r="AR50" s="773"/>
    </row>
    <row r="51" spans="1:44">
      <c r="A51" s="62"/>
      <c r="B51" s="57"/>
      <c r="C51" s="1114"/>
      <c r="D51" s="1112"/>
      <c r="E51" s="1112"/>
      <c r="F51" s="1112"/>
      <c r="G51" s="1112"/>
      <c r="H51" s="1112"/>
      <c r="I51" s="1112"/>
      <c r="J51" s="1112"/>
      <c r="K51" s="1112"/>
      <c r="L51" s="1112"/>
      <c r="M51" s="159"/>
      <c r="N51" s="1113"/>
      <c r="O51" s="773"/>
      <c r="P51" s="1111"/>
      <c r="Q51" s="1111"/>
      <c r="R51" s="1111"/>
      <c r="S51" s="1111"/>
      <c r="T51" s="773"/>
      <c r="U51" s="773"/>
      <c r="V51" s="773"/>
      <c r="W51" s="773"/>
      <c r="X51" s="773"/>
      <c r="Y51" s="773"/>
      <c r="Z51" s="773"/>
      <c r="AA51" s="773"/>
      <c r="AB51" s="773"/>
      <c r="AC51" s="773"/>
      <c r="AD51" s="773"/>
      <c r="AE51" s="773"/>
      <c r="AF51" s="773"/>
      <c r="AG51" s="773"/>
      <c r="AH51" s="773"/>
      <c r="AI51" s="773"/>
      <c r="AJ51" s="773"/>
      <c r="AK51" s="773"/>
      <c r="AL51" s="773"/>
      <c r="AM51" s="773"/>
      <c r="AN51" s="773"/>
      <c r="AO51" s="773"/>
      <c r="AP51" s="773"/>
      <c r="AQ51" s="773"/>
      <c r="AR51" s="773"/>
    </row>
    <row r="52" spans="1:44">
      <c r="A52" s="62"/>
      <c r="B52" s="58"/>
      <c r="C52" s="1114"/>
      <c r="D52" s="1112"/>
      <c r="E52" s="55"/>
      <c r="F52" s="1112"/>
      <c r="G52" s="1112"/>
      <c r="H52" s="1112"/>
      <c r="I52" s="1112"/>
      <c r="J52" s="1112"/>
      <c r="K52" s="1112"/>
      <c r="L52" s="1112"/>
      <c r="M52" s="159"/>
      <c r="N52" s="1113"/>
      <c r="O52" s="773"/>
      <c r="P52" s="1111"/>
      <c r="Q52" s="1111"/>
      <c r="R52" s="1111"/>
      <c r="S52" s="1111"/>
      <c r="T52" s="773"/>
      <c r="U52" s="773"/>
      <c r="V52" s="773"/>
      <c r="W52" s="773"/>
      <c r="X52" s="773"/>
      <c r="Y52" s="773"/>
      <c r="Z52" s="773"/>
      <c r="AA52" s="773"/>
      <c r="AB52" s="773"/>
      <c r="AC52" s="773"/>
      <c r="AD52" s="773"/>
      <c r="AE52" s="773"/>
      <c r="AF52" s="773"/>
      <c r="AG52" s="773"/>
      <c r="AH52" s="773"/>
      <c r="AI52" s="773"/>
      <c r="AJ52" s="773"/>
      <c r="AK52" s="773"/>
      <c r="AL52" s="773"/>
      <c r="AM52" s="773"/>
      <c r="AN52" s="773"/>
      <c r="AO52" s="773"/>
      <c r="AP52" s="773"/>
      <c r="AQ52" s="773"/>
      <c r="AR52" s="773"/>
    </row>
    <row r="53" spans="1:44">
      <c r="A53" s="62"/>
      <c r="B53" s="57"/>
      <c r="C53" s="1114"/>
      <c r="D53" s="54"/>
      <c r="E53" s="59"/>
      <c r="F53" s="55"/>
      <c r="G53" s="1112"/>
      <c r="H53" s="1112"/>
      <c r="I53" s="54"/>
      <c r="J53" s="1112"/>
      <c r="K53" s="1112"/>
      <c r="L53" s="1112"/>
      <c r="M53" s="159"/>
      <c r="N53" s="1113"/>
      <c r="O53" s="773"/>
      <c r="P53" s="1111"/>
      <c r="Q53" s="1111"/>
      <c r="R53" s="1111"/>
      <c r="S53" s="1111"/>
      <c r="T53" s="773"/>
      <c r="U53" s="773"/>
      <c r="V53" s="773"/>
      <c r="W53" s="773"/>
      <c r="X53" s="773"/>
      <c r="Y53" s="773"/>
      <c r="Z53" s="773"/>
      <c r="AA53" s="773"/>
      <c r="AB53" s="773"/>
      <c r="AC53" s="773"/>
      <c r="AD53" s="773"/>
      <c r="AE53" s="773"/>
      <c r="AF53" s="773"/>
      <c r="AG53" s="773"/>
      <c r="AH53" s="773"/>
      <c r="AI53" s="773"/>
      <c r="AJ53" s="773"/>
      <c r="AK53" s="773"/>
      <c r="AL53" s="773"/>
      <c r="AM53" s="773"/>
      <c r="AN53" s="773"/>
      <c r="AO53" s="773"/>
      <c r="AP53" s="773"/>
      <c r="AQ53" s="773"/>
      <c r="AR53" s="773"/>
    </row>
    <row r="54" spans="1:44">
      <c r="A54" s="62"/>
      <c r="B54" s="57"/>
      <c r="C54" s="1114"/>
      <c r="D54" s="54"/>
      <c r="E54" s="55"/>
      <c r="F54" s="55"/>
      <c r="G54" s="1112"/>
      <c r="H54" s="1112"/>
      <c r="I54" s="55"/>
      <c r="J54" s="1112"/>
      <c r="K54" s="1112"/>
      <c r="L54" s="1112"/>
      <c r="M54" s="159"/>
      <c r="N54" s="1113"/>
      <c r="O54" s="773"/>
      <c r="P54" s="1111"/>
      <c r="Q54" s="1111"/>
      <c r="R54" s="1111"/>
      <c r="S54" s="1111"/>
      <c r="T54" s="773"/>
      <c r="U54" s="773"/>
      <c r="V54" s="773"/>
      <c r="W54" s="773"/>
      <c r="X54" s="773"/>
      <c r="Y54" s="773"/>
      <c r="Z54" s="773"/>
      <c r="AA54" s="773"/>
      <c r="AB54" s="773"/>
      <c r="AC54" s="773"/>
      <c r="AD54" s="773"/>
      <c r="AE54" s="773"/>
      <c r="AF54" s="773"/>
      <c r="AG54" s="773"/>
      <c r="AH54" s="773"/>
      <c r="AI54" s="773"/>
      <c r="AJ54" s="773"/>
      <c r="AK54" s="773"/>
      <c r="AL54" s="773"/>
      <c r="AM54" s="773"/>
      <c r="AN54" s="773"/>
      <c r="AO54" s="773"/>
      <c r="AP54" s="773"/>
      <c r="AQ54" s="773"/>
      <c r="AR54" s="773"/>
    </row>
    <row r="55" spans="1:44">
      <c r="A55" s="62"/>
      <c r="B55" s="58"/>
      <c r="C55" s="1114"/>
      <c r="D55" s="54"/>
      <c r="E55" s="1112"/>
      <c r="F55" s="1112"/>
      <c r="G55" s="1112"/>
      <c r="H55" s="1112"/>
      <c r="I55" s="1112"/>
      <c r="J55" s="1112"/>
      <c r="K55" s="1112"/>
      <c r="L55" s="1112"/>
      <c r="M55" s="159"/>
      <c r="N55" s="1113"/>
      <c r="O55" s="773"/>
      <c r="P55" s="1111"/>
      <c r="Q55" s="1111"/>
      <c r="R55" s="1111"/>
      <c r="S55" s="1111"/>
      <c r="T55" s="773"/>
      <c r="U55" s="773"/>
      <c r="V55" s="773"/>
      <c r="W55" s="773"/>
      <c r="X55" s="773"/>
      <c r="Y55" s="773"/>
      <c r="Z55" s="773"/>
      <c r="AA55" s="773"/>
      <c r="AB55" s="773"/>
      <c r="AC55" s="773"/>
      <c r="AD55" s="773"/>
      <c r="AE55" s="773"/>
      <c r="AF55" s="773"/>
      <c r="AG55" s="773"/>
      <c r="AH55" s="773"/>
      <c r="AI55" s="773"/>
      <c r="AJ55" s="773"/>
      <c r="AK55" s="773"/>
      <c r="AL55" s="773"/>
      <c r="AM55" s="773"/>
      <c r="AN55" s="773"/>
      <c r="AO55" s="773"/>
      <c r="AP55" s="773"/>
      <c r="AQ55" s="773"/>
      <c r="AR55" s="773"/>
    </row>
    <row r="56" spans="1:44">
      <c r="A56" s="62"/>
      <c r="B56" s="57"/>
      <c r="C56" s="1114"/>
      <c r="D56" s="54"/>
      <c r="E56" s="55"/>
      <c r="F56" s="1112"/>
      <c r="G56" s="1112"/>
      <c r="H56" s="1112"/>
      <c r="I56" s="1112"/>
      <c r="J56" s="1112"/>
      <c r="K56" s="1112"/>
      <c r="L56" s="1112"/>
      <c r="M56" s="159"/>
      <c r="N56" s="1113"/>
      <c r="O56" s="773"/>
      <c r="P56" s="1111"/>
      <c r="Q56" s="1111"/>
      <c r="R56" s="1111"/>
      <c r="S56" s="1111"/>
      <c r="T56" s="773"/>
      <c r="U56" s="773"/>
      <c r="V56" s="773"/>
      <c r="W56" s="773"/>
      <c r="X56" s="773"/>
      <c r="Y56" s="773"/>
      <c r="Z56" s="773"/>
      <c r="AA56" s="773"/>
      <c r="AB56" s="773"/>
      <c r="AC56" s="773"/>
      <c r="AD56" s="773"/>
      <c r="AE56" s="773"/>
      <c r="AF56" s="773"/>
      <c r="AG56" s="773"/>
      <c r="AH56" s="773"/>
      <c r="AI56" s="773"/>
      <c r="AJ56" s="773"/>
      <c r="AK56" s="773"/>
      <c r="AL56" s="773"/>
      <c r="AM56" s="773"/>
      <c r="AN56" s="773"/>
      <c r="AO56" s="773"/>
      <c r="AP56" s="773"/>
      <c r="AQ56" s="773"/>
      <c r="AR56" s="773"/>
    </row>
    <row r="57" spans="1:44">
      <c r="A57" s="62"/>
      <c r="B57" s="57"/>
      <c r="C57" s="1114"/>
      <c r="D57" s="54"/>
      <c r="E57" s="55"/>
      <c r="F57" s="1112"/>
      <c r="G57" s="1112"/>
      <c r="H57" s="1112"/>
      <c r="I57" s="1112"/>
      <c r="J57" s="1112"/>
      <c r="K57" s="1112"/>
      <c r="L57" s="1112"/>
      <c r="M57" s="159"/>
      <c r="N57" s="1113"/>
      <c r="O57" s="773"/>
      <c r="P57" s="1111"/>
      <c r="Q57" s="1111"/>
      <c r="R57" s="1111"/>
      <c r="S57" s="1111"/>
      <c r="T57" s="773"/>
      <c r="U57" s="773"/>
      <c r="V57" s="773"/>
      <c r="W57" s="773"/>
      <c r="X57" s="773"/>
      <c r="Y57" s="773"/>
      <c r="Z57" s="773"/>
      <c r="AA57" s="773"/>
      <c r="AB57" s="773"/>
      <c r="AC57" s="773"/>
      <c r="AD57" s="773"/>
      <c r="AE57" s="773"/>
      <c r="AF57" s="773"/>
      <c r="AG57" s="773"/>
      <c r="AH57" s="773"/>
      <c r="AI57" s="773"/>
      <c r="AJ57" s="773"/>
      <c r="AK57" s="773"/>
      <c r="AL57" s="773"/>
      <c r="AM57" s="773"/>
      <c r="AN57" s="773"/>
      <c r="AO57" s="773"/>
      <c r="AP57" s="773"/>
      <c r="AQ57" s="773"/>
      <c r="AR57" s="773"/>
    </row>
    <row r="58" spans="1:44">
      <c r="A58" s="62"/>
      <c r="B58" s="58"/>
      <c r="C58" s="1114"/>
      <c r="D58" s="1112"/>
      <c r="E58" s="1112"/>
      <c r="F58" s="1112"/>
      <c r="G58" s="1112"/>
      <c r="H58" s="1112"/>
      <c r="I58" s="1112"/>
      <c r="J58" s="1112"/>
      <c r="K58" s="1112"/>
      <c r="L58" s="1112"/>
      <c r="M58" s="159"/>
      <c r="N58" s="1113"/>
      <c r="O58" s="773"/>
      <c r="P58" s="1111"/>
      <c r="Q58" s="1111"/>
      <c r="R58" s="1111"/>
      <c r="S58" s="1111"/>
      <c r="T58" s="773"/>
      <c r="U58" s="773"/>
      <c r="V58" s="773"/>
      <c r="W58" s="773"/>
      <c r="X58" s="773"/>
      <c r="Y58" s="773"/>
      <c r="Z58" s="773"/>
      <c r="AA58" s="773"/>
      <c r="AB58" s="773"/>
      <c r="AC58" s="773"/>
      <c r="AD58" s="773"/>
      <c r="AE58" s="773"/>
      <c r="AF58" s="773"/>
      <c r="AG58" s="773"/>
      <c r="AH58" s="773"/>
      <c r="AI58" s="773"/>
      <c r="AJ58" s="773"/>
      <c r="AK58" s="773"/>
      <c r="AL58" s="773"/>
      <c r="AM58" s="773"/>
      <c r="AN58" s="773"/>
      <c r="AO58" s="773"/>
      <c r="AP58" s="773"/>
      <c r="AQ58" s="773"/>
      <c r="AR58" s="773"/>
    </row>
    <row r="59" spans="1:44">
      <c r="A59" s="62"/>
      <c r="B59" s="57"/>
      <c r="C59" s="1114"/>
      <c r="D59" s="54"/>
      <c r="E59" s="55"/>
      <c r="F59" s="1112"/>
      <c r="G59" s="1112"/>
      <c r="H59" s="1112"/>
      <c r="I59" s="1112"/>
      <c r="J59" s="1112"/>
      <c r="K59" s="1112"/>
      <c r="L59" s="1112"/>
      <c r="M59" s="159"/>
      <c r="N59" s="1113"/>
      <c r="O59" s="773"/>
      <c r="P59" s="1111"/>
      <c r="Q59" s="1111"/>
      <c r="R59" s="1111"/>
      <c r="S59" s="1111"/>
      <c r="T59" s="773"/>
      <c r="U59" s="773"/>
      <c r="V59" s="773"/>
      <c r="W59" s="773"/>
      <c r="X59" s="773"/>
      <c r="Y59" s="773"/>
      <c r="Z59" s="773"/>
      <c r="AA59" s="773"/>
      <c r="AB59" s="773"/>
      <c r="AC59" s="773"/>
      <c r="AD59" s="773"/>
      <c r="AE59" s="773"/>
      <c r="AF59" s="773"/>
      <c r="AG59" s="773"/>
      <c r="AH59" s="773"/>
      <c r="AI59" s="773"/>
      <c r="AJ59" s="773"/>
      <c r="AK59" s="773"/>
      <c r="AL59" s="773"/>
      <c r="AM59" s="773"/>
      <c r="AN59" s="773"/>
      <c r="AO59" s="773"/>
      <c r="AP59" s="773"/>
      <c r="AQ59" s="773"/>
      <c r="AR59" s="773"/>
    </row>
    <row r="60" spans="1:44">
      <c r="A60" s="62"/>
      <c r="B60" s="57"/>
      <c r="C60" s="1114"/>
      <c r="D60" s="54"/>
      <c r="E60" s="55"/>
      <c r="F60" s="1112"/>
      <c r="G60" s="1112"/>
      <c r="H60" s="1112"/>
      <c r="I60" s="1112"/>
      <c r="J60" s="1112"/>
      <c r="K60" s="1112"/>
      <c r="L60" s="1112"/>
      <c r="M60" s="159"/>
      <c r="N60" s="1113"/>
      <c r="O60" s="773"/>
      <c r="P60" s="1111"/>
      <c r="Q60" s="1111"/>
      <c r="R60" s="1111"/>
      <c r="S60" s="1111"/>
      <c r="T60" s="773"/>
      <c r="U60" s="773"/>
      <c r="V60" s="773"/>
      <c r="W60" s="773"/>
      <c r="X60" s="773"/>
      <c r="Y60" s="773"/>
      <c r="Z60" s="773"/>
      <c r="AA60" s="773"/>
      <c r="AB60" s="773"/>
      <c r="AC60" s="773"/>
      <c r="AD60" s="773"/>
      <c r="AE60" s="773"/>
      <c r="AF60" s="773"/>
      <c r="AG60" s="773"/>
      <c r="AH60" s="773"/>
      <c r="AI60" s="773"/>
      <c r="AJ60" s="773"/>
      <c r="AK60" s="773"/>
      <c r="AL60" s="773"/>
      <c r="AM60" s="773"/>
      <c r="AN60" s="773"/>
      <c r="AO60" s="773"/>
      <c r="AP60" s="773"/>
      <c r="AQ60" s="773"/>
      <c r="AR60" s="773"/>
    </row>
    <row r="61" spans="1:44">
      <c r="A61" s="62"/>
      <c r="B61" s="58"/>
      <c r="C61" s="1114"/>
      <c r="D61" s="1112"/>
      <c r="E61" s="1112"/>
      <c r="F61" s="1112"/>
      <c r="G61" s="1112"/>
      <c r="H61" s="1112"/>
      <c r="I61" s="1112"/>
      <c r="J61" s="1112"/>
      <c r="K61" s="1112"/>
      <c r="L61" s="1112"/>
      <c r="M61" s="159"/>
      <c r="N61" s="1113"/>
      <c r="O61" s="773"/>
      <c r="P61" s="1111"/>
      <c r="Q61" s="1111"/>
      <c r="R61" s="1111"/>
      <c r="S61" s="1111"/>
      <c r="T61" s="773"/>
      <c r="U61" s="773"/>
      <c r="V61" s="773"/>
      <c r="W61" s="773"/>
      <c r="X61" s="773"/>
      <c r="Y61" s="773"/>
      <c r="Z61" s="773"/>
      <c r="AA61" s="773"/>
      <c r="AB61" s="773"/>
      <c r="AC61" s="773"/>
      <c r="AD61" s="773"/>
      <c r="AE61" s="773"/>
      <c r="AF61" s="773"/>
      <c r="AG61" s="773"/>
      <c r="AH61" s="773"/>
      <c r="AI61" s="773"/>
      <c r="AJ61" s="773"/>
      <c r="AK61" s="773"/>
      <c r="AL61" s="773"/>
      <c r="AM61" s="773"/>
      <c r="AN61" s="773"/>
      <c r="AO61" s="773"/>
      <c r="AP61" s="773"/>
      <c r="AQ61" s="773"/>
      <c r="AR61" s="773"/>
    </row>
    <row r="62" spans="1:44">
      <c r="A62" s="62"/>
      <c r="B62" s="57"/>
      <c r="C62" s="1114"/>
      <c r="D62" s="54"/>
      <c r="E62" s="55"/>
      <c r="F62" s="1112"/>
      <c r="G62" s="1112"/>
      <c r="H62" s="1112"/>
      <c r="I62" s="1112"/>
      <c r="J62" s="1112"/>
      <c r="K62" s="1112"/>
      <c r="L62" s="1112"/>
      <c r="M62" s="159"/>
      <c r="N62" s="1113"/>
      <c r="O62" s="773"/>
      <c r="P62" s="1111"/>
      <c r="Q62" s="1111"/>
      <c r="R62" s="1111"/>
      <c r="S62" s="1111"/>
      <c r="T62" s="773"/>
      <c r="U62" s="773"/>
      <c r="V62" s="773"/>
      <c r="W62" s="773"/>
      <c r="X62" s="773"/>
      <c r="Y62" s="773"/>
      <c r="Z62" s="773"/>
      <c r="AA62" s="773"/>
      <c r="AB62" s="773"/>
      <c r="AC62" s="773"/>
      <c r="AD62" s="773"/>
      <c r="AE62" s="773"/>
      <c r="AF62" s="773"/>
      <c r="AG62" s="773"/>
      <c r="AH62" s="773"/>
      <c r="AI62" s="773"/>
      <c r="AJ62" s="773"/>
      <c r="AK62" s="773"/>
      <c r="AL62" s="773"/>
      <c r="AM62" s="773"/>
      <c r="AN62" s="773"/>
      <c r="AO62" s="773"/>
      <c r="AP62" s="773"/>
      <c r="AQ62" s="773"/>
      <c r="AR62" s="773"/>
    </row>
    <row r="63" spans="1:44">
      <c r="A63" s="62"/>
      <c r="B63" s="57"/>
      <c r="C63" s="1114"/>
      <c r="D63" s="54"/>
      <c r="E63" s="55"/>
      <c r="F63" s="1112"/>
      <c r="G63" s="1112"/>
      <c r="H63" s="1112"/>
      <c r="I63" s="1112"/>
      <c r="J63" s="1112"/>
      <c r="K63" s="1112"/>
      <c r="L63" s="1112"/>
      <c r="M63" s="159"/>
      <c r="N63" s="1113"/>
      <c r="O63" s="773"/>
      <c r="P63" s="1111"/>
      <c r="Q63" s="1111"/>
      <c r="R63" s="1111"/>
      <c r="S63" s="1111"/>
      <c r="T63" s="773"/>
      <c r="U63" s="773"/>
      <c r="V63" s="773"/>
      <c r="W63" s="773"/>
      <c r="X63" s="773"/>
      <c r="Y63" s="773"/>
      <c r="Z63" s="773"/>
      <c r="AA63" s="773"/>
      <c r="AB63" s="773"/>
      <c r="AC63" s="773"/>
      <c r="AD63" s="773"/>
      <c r="AE63" s="773"/>
      <c r="AF63" s="773"/>
      <c r="AG63" s="773"/>
      <c r="AH63" s="773"/>
      <c r="AI63" s="773"/>
      <c r="AJ63" s="773"/>
      <c r="AK63" s="773"/>
      <c r="AL63" s="773"/>
      <c r="AM63" s="773"/>
      <c r="AN63" s="773"/>
      <c r="AO63" s="773"/>
      <c r="AP63" s="773"/>
      <c r="AQ63" s="773"/>
      <c r="AR63" s="773"/>
    </row>
    <row r="64" spans="1:44">
      <c r="A64" s="62"/>
      <c r="B64" s="58"/>
      <c r="C64" s="1114"/>
      <c r="D64" s="1112"/>
      <c r="E64" s="1112"/>
      <c r="F64" s="1112"/>
      <c r="G64" s="1112"/>
      <c r="H64" s="1112"/>
      <c r="I64" s="1112"/>
      <c r="J64" s="1112"/>
      <c r="K64" s="1112"/>
      <c r="L64" s="1112"/>
      <c r="M64" s="159"/>
      <c r="N64" s="1113"/>
      <c r="O64" s="773"/>
      <c r="P64" s="1111"/>
      <c r="Q64" s="1111"/>
      <c r="R64" s="1111"/>
      <c r="S64" s="1111"/>
      <c r="T64" s="773"/>
      <c r="U64" s="773"/>
      <c r="V64" s="773"/>
      <c r="W64" s="773"/>
      <c r="X64" s="773"/>
      <c r="Y64" s="773"/>
      <c r="Z64" s="773"/>
      <c r="AA64" s="773"/>
      <c r="AB64" s="773"/>
      <c r="AC64" s="773"/>
      <c r="AD64" s="773"/>
      <c r="AE64" s="773"/>
      <c r="AF64" s="773"/>
      <c r="AG64" s="773"/>
      <c r="AH64" s="773"/>
      <c r="AI64" s="773"/>
      <c r="AJ64" s="773"/>
      <c r="AK64" s="773"/>
      <c r="AL64" s="773"/>
      <c r="AM64" s="773"/>
      <c r="AN64" s="773"/>
      <c r="AO64" s="773"/>
      <c r="AP64" s="773"/>
      <c r="AQ64" s="773"/>
      <c r="AR64" s="773"/>
    </row>
    <row r="65" spans="1:44">
      <c r="A65" s="62"/>
      <c r="B65" s="57"/>
      <c r="C65" s="1114"/>
      <c r="D65" s="54"/>
      <c r="E65" s="55"/>
      <c r="F65" s="1112"/>
      <c r="G65" s="1112"/>
      <c r="H65" s="1112"/>
      <c r="I65" s="1112"/>
      <c r="J65" s="1112"/>
      <c r="K65" s="1112"/>
      <c r="L65" s="1112"/>
      <c r="M65" s="159"/>
      <c r="N65" s="1113"/>
      <c r="O65" s="773"/>
      <c r="P65" s="1111"/>
      <c r="Q65" s="1111"/>
      <c r="R65" s="1111"/>
      <c r="S65" s="1111"/>
      <c r="T65" s="773"/>
      <c r="U65" s="773"/>
      <c r="V65" s="773"/>
      <c r="W65" s="773"/>
      <c r="X65" s="773"/>
      <c r="Y65" s="773"/>
      <c r="Z65" s="773"/>
      <c r="AA65" s="773"/>
      <c r="AB65" s="773"/>
      <c r="AC65" s="773"/>
      <c r="AD65" s="773"/>
      <c r="AE65" s="773"/>
      <c r="AF65" s="773"/>
      <c r="AG65" s="773"/>
      <c r="AH65" s="773"/>
      <c r="AI65" s="773"/>
      <c r="AJ65" s="773"/>
      <c r="AK65" s="773"/>
      <c r="AL65" s="773"/>
      <c r="AM65" s="773"/>
      <c r="AN65" s="773"/>
      <c r="AO65" s="773"/>
      <c r="AP65" s="773"/>
      <c r="AQ65" s="773"/>
      <c r="AR65" s="773"/>
    </row>
    <row r="66" spans="1:44">
      <c r="A66" s="62"/>
      <c r="B66" s="57"/>
      <c r="C66" s="1114"/>
      <c r="D66" s="54"/>
      <c r="E66" s="55"/>
      <c r="F66" s="1112"/>
      <c r="G66" s="1112"/>
      <c r="H66" s="1112"/>
      <c r="I66" s="1112"/>
      <c r="J66" s="1112"/>
      <c r="K66" s="1112"/>
      <c r="L66" s="1112"/>
      <c r="M66" s="159"/>
      <c r="N66" s="1113"/>
      <c r="O66" s="773"/>
      <c r="P66" s="1111"/>
      <c r="Q66" s="1111"/>
      <c r="R66" s="1111"/>
      <c r="S66" s="1111"/>
      <c r="T66" s="773"/>
      <c r="U66" s="773"/>
      <c r="V66" s="773"/>
      <c r="W66" s="773"/>
      <c r="X66" s="773"/>
      <c r="Y66" s="773"/>
      <c r="Z66" s="773"/>
      <c r="AA66" s="773"/>
      <c r="AB66" s="773"/>
      <c r="AC66" s="773"/>
      <c r="AD66" s="773"/>
      <c r="AE66" s="773"/>
      <c r="AF66" s="773"/>
      <c r="AG66" s="773"/>
      <c r="AH66" s="773"/>
      <c r="AI66" s="773"/>
      <c r="AJ66" s="773"/>
      <c r="AK66" s="773"/>
      <c r="AL66" s="773"/>
      <c r="AM66" s="773"/>
      <c r="AN66" s="773"/>
      <c r="AO66" s="773"/>
      <c r="AP66" s="773"/>
      <c r="AQ66" s="773"/>
      <c r="AR66" s="773"/>
    </row>
    <row r="67" spans="1:44">
      <c r="A67" s="62"/>
      <c r="B67" s="57"/>
      <c r="C67" s="1114"/>
      <c r="D67" s="1112"/>
      <c r="E67" s="1112"/>
      <c r="F67" s="1112"/>
      <c r="G67" s="1112"/>
      <c r="H67" s="1112"/>
      <c r="I67" s="1112"/>
      <c r="J67" s="1112"/>
      <c r="K67" s="1112"/>
      <c r="L67" s="1112"/>
      <c r="M67" s="159"/>
      <c r="N67" s="1113"/>
      <c r="O67" s="773"/>
      <c r="P67" s="1111"/>
      <c r="Q67" s="1111"/>
      <c r="R67" s="1111"/>
      <c r="S67" s="1111"/>
      <c r="T67" s="773"/>
      <c r="U67" s="773"/>
      <c r="V67" s="773"/>
      <c r="W67" s="773"/>
      <c r="X67" s="773"/>
      <c r="Y67" s="773"/>
      <c r="Z67" s="773"/>
      <c r="AA67" s="773"/>
      <c r="AB67" s="773"/>
      <c r="AC67" s="773"/>
      <c r="AD67" s="773"/>
      <c r="AE67" s="773"/>
      <c r="AF67" s="773"/>
      <c r="AG67" s="773"/>
      <c r="AH67" s="773"/>
      <c r="AI67" s="773"/>
      <c r="AJ67" s="773"/>
      <c r="AK67" s="773"/>
      <c r="AL67" s="773"/>
      <c r="AM67" s="773"/>
      <c r="AN67" s="773"/>
      <c r="AO67" s="773"/>
      <c r="AP67" s="773"/>
      <c r="AQ67" s="773"/>
      <c r="AR67" s="773"/>
    </row>
    <row r="68" spans="1:44">
      <c r="A68" s="62"/>
      <c r="B68" s="57"/>
      <c r="C68" s="1114"/>
      <c r="D68" s="1112"/>
      <c r="E68" s="1112"/>
      <c r="F68" s="1112"/>
      <c r="G68" s="1112"/>
      <c r="H68" s="1112"/>
      <c r="I68" s="1112"/>
      <c r="J68" s="1112"/>
      <c r="K68" s="1112"/>
      <c r="L68" s="1112"/>
      <c r="M68" s="159"/>
      <c r="N68" s="1113"/>
      <c r="O68" s="773"/>
      <c r="P68" s="1111"/>
      <c r="Q68" s="1111"/>
      <c r="R68" s="1111"/>
      <c r="S68" s="1111"/>
      <c r="T68" s="773"/>
      <c r="U68" s="773"/>
      <c r="V68" s="773"/>
      <c r="W68" s="773"/>
      <c r="X68" s="773"/>
      <c r="Y68" s="773"/>
      <c r="Z68" s="773"/>
      <c r="AA68" s="773"/>
      <c r="AB68" s="773"/>
      <c r="AC68" s="773"/>
      <c r="AD68" s="773"/>
      <c r="AE68" s="773"/>
      <c r="AF68" s="773"/>
      <c r="AG68" s="773"/>
      <c r="AH68" s="773"/>
      <c r="AI68" s="773"/>
      <c r="AJ68" s="773"/>
      <c r="AK68" s="773"/>
      <c r="AL68" s="773"/>
      <c r="AM68" s="773"/>
      <c r="AN68" s="773"/>
      <c r="AO68" s="773"/>
      <c r="AP68" s="773"/>
      <c r="AQ68" s="773"/>
      <c r="AR68" s="773"/>
    </row>
    <row r="69" spans="1:44">
      <c r="A69" s="62"/>
      <c r="B69" s="57"/>
      <c r="C69" s="1114"/>
      <c r="D69" s="1112"/>
      <c r="E69" s="1112"/>
      <c r="F69" s="1112"/>
      <c r="G69" s="1112"/>
      <c r="H69" s="1112"/>
      <c r="I69" s="1112"/>
      <c r="J69" s="1112"/>
      <c r="K69" s="1112"/>
      <c r="L69" s="1112"/>
      <c r="M69" s="159"/>
      <c r="N69" s="1113"/>
      <c r="O69" s="773"/>
      <c r="P69" s="1111"/>
      <c r="Q69" s="1111"/>
      <c r="R69" s="1111"/>
      <c r="S69" s="1111"/>
      <c r="T69" s="773"/>
      <c r="U69" s="773"/>
      <c r="V69" s="773"/>
      <c r="W69" s="773"/>
      <c r="X69" s="773"/>
      <c r="Y69" s="773"/>
      <c r="Z69" s="773"/>
      <c r="AA69" s="773"/>
      <c r="AB69" s="773"/>
      <c r="AC69" s="773"/>
      <c r="AD69" s="773"/>
      <c r="AE69" s="773"/>
      <c r="AF69" s="773"/>
      <c r="AG69" s="773"/>
      <c r="AH69" s="773"/>
      <c r="AI69" s="773"/>
      <c r="AJ69" s="773"/>
      <c r="AK69" s="773"/>
      <c r="AL69" s="773"/>
      <c r="AM69" s="773"/>
      <c r="AN69" s="773"/>
      <c r="AO69" s="773"/>
      <c r="AP69" s="773"/>
      <c r="AQ69" s="773"/>
      <c r="AR69" s="773"/>
    </row>
    <row r="70" spans="1:44">
      <c r="A70" s="62"/>
      <c r="B70" s="58"/>
      <c r="C70" s="1114"/>
      <c r="D70" s="1112"/>
      <c r="E70" s="1112"/>
      <c r="F70" s="1112"/>
      <c r="G70" s="1112"/>
      <c r="H70" s="1112"/>
      <c r="I70" s="1112"/>
      <c r="J70" s="1112"/>
      <c r="K70" s="1112"/>
      <c r="L70" s="1112"/>
      <c r="M70" s="159"/>
      <c r="N70" s="1113"/>
      <c r="O70" s="773"/>
      <c r="P70" s="1111"/>
      <c r="Q70" s="1111"/>
      <c r="R70" s="1111"/>
      <c r="S70" s="1111"/>
      <c r="T70" s="773"/>
      <c r="U70" s="773"/>
      <c r="V70" s="773"/>
      <c r="W70" s="773"/>
      <c r="X70" s="773"/>
      <c r="Y70" s="773"/>
      <c r="Z70" s="773"/>
      <c r="AA70" s="773"/>
      <c r="AB70" s="773"/>
      <c r="AC70" s="773"/>
      <c r="AD70" s="773"/>
      <c r="AE70" s="773"/>
      <c r="AF70" s="773"/>
      <c r="AG70" s="773"/>
      <c r="AH70" s="773"/>
      <c r="AI70" s="773"/>
      <c r="AJ70" s="773"/>
      <c r="AK70" s="773"/>
      <c r="AL70" s="773"/>
      <c r="AM70" s="773"/>
      <c r="AN70" s="773"/>
      <c r="AO70" s="773"/>
      <c r="AP70" s="773"/>
      <c r="AQ70" s="773"/>
      <c r="AR70" s="773"/>
    </row>
    <row r="71" spans="1:44">
      <c r="A71" s="62"/>
      <c r="B71" s="58"/>
      <c r="C71" s="1114"/>
      <c r="D71" s="58"/>
      <c r="E71" s="59"/>
      <c r="F71" s="1112"/>
      <c r="G71" s="1112"/>
      <c r="H71" s="1112"/>
      <c r="I71" s="1112"/>
      <c r="J71" s="1112"/>
      <c r="K71" s="1112"/>
      <c r="L71" s="1112"/>
      <c r="M71" s="159"/>
      <c r="N71" s="1113"/>
      <c r="O71" s="773"/>
      <c r="P71" s="1111"/>
      <c r="Q71" s="1111"/>
      <c r="R71" s="1111"/>
      <c r="S71" s="1111"/>
      <c r="T71" s="773"/>
      <c r="U71" s="773"/>
      <c r="V71" s="773"/>
      <c r="W71" s="773"/>
      <c r="X71" s="773"/>
      <c r="Y71" s="773"/>
      <c r="Z71" s="773"/>
      <c r="AA71" s="773"/>
      <c r="AB71" s="773"/>
      <c r="AC71" s="773"/>
      <c r="AD71" s="773"/>
      <c r="AE71" s="773"/>
      <c r="AF71" s="773"/>
      <c r="AG71" s="773"/>
      <c r="AH71" s="773"/>
      <c r="AI71" s="773"/>
      <c r="AJ71" s="773"/>
      <c r="AK71" s="773"/>
      <c r="AL71" s="773"/>
      <c r="AM71" s="773"/>
      <c r="AN71" s="773"/>
      <c r="AO71" s="773"/>
      <c r="AP71" s="773"/>
      <c r="AQ71" s="773"/>
      <c r="AR71" s="773"/>
    </row>
    <row r="72" spans="1:44">
      <c r="A72" s="62"/>
      <c r="B72" s="57"/>
      <c r="C72" s="1114"/>
      <c r="D72" s="58"/>
      <c r="E72" s="59"/>
      <c r="F72" s="1112"/>
      <c r="G72" s="1112"/>
      <c r="H72" s="1112"/>
      <c r="I72" s="1112"/>
      <c r="J72" s="1112"/>
      <c r="K72" s="1112"/>
      <c r="L72" s="1112"/>
      <c r="M72" s="159"/>
      <c r="N72" s="1113"/>
      <c r="O72" s="773"/>
      <c r="P72" s="1111"/>
      <c r="Q72" s="1111"/>
      <c r="R72" s="1111"/>
      <c r="S72" s="1111"/>
      <c r="T72" s="773"/>
      <c r="U72" s="773"/>
      <c r="V72" s="773"/>
      <c r="W72" s="773"/>
      <c r="X72" s="773"/>
      <c r="Y72" s="773"/>
      <c r="Z72" s="773"/>
      <c r="AA72" s="773"/>
      <c r="AB72" s="773"/>
      <c r="AC72" s="773"/>
      <c r="AD72" s="773"/>
      <c r="AE72" s="773"/>
      <c r="AF72" s="773"/>
      <c r="AG72" s="773"/>
      <c r="AH72" s="773"/>
      <c r="AI72" s="773"/>
      <c r="AJ72" s="773"/>
      <c r="AK72" s="773"/>
      <c r="AL72" s="773"/>
      <c r="AM72" s="773"/>
      <c r="AN72" s="773"/>
      <c r="AO72" s="773"/>
      <c r="AP72" s="773"/>
      <c r="AQ72" s="773"/>
      <c r="AR72" s="773"/>
    </row>
    <row r="73" spans="1:44">
      <c r="A73" s="62"/>
      <c r="B73" s="58"/>
      <c r="C73" s="1114"/>
      <c r="D73" s="58"/>
      <c r="E73" s="59"/>
      <c r="F73" s="1112"/>
      <c r="G73" s="1112"/>
      <c r="H73" s="1112"/>
      <c r="I73" s="1112"/>
      <c r="J73" s="1112"/>
      <c r="K73" s="1112"/>
      <c r="L73" s="1112"/>
      <c r="M73" s="159"/>
      <c r="N73" s="1113"/>
      <c r="O73" s="773"/>
      <c r="P73" s="1111"/>
      <c r="Q73" s="1111"/>
      <c r="R73" s="1111"/>
      <c r="S73" s="1111"/>
      <c r="T73" s="773"/>
      <c r="U73" s="773"/>
      <c r="V73" s="773"/>
      <c r="W73" s="773"/>
      <c r="X73" s="773"/>
      <c r="Y73" s="773"/>
      <c r="Z73" s="773"/>
      <c r="AA73" s="773"/>
      <c r="AB73" s="773"/>
      <c r="AC73" s="773"/>
      <c r="AD73" s="773"/>
      <c r="AE73" s="773"/>
      <c r="AF73" s="773"/>
      <c r="AG73" s="773"/>
      <c r="AH73" s="773"/>
      <c r="AI73" s="773"/>
      <c r="AJ73" s="773"/>
      <c r="AK73" s="773"/>
      <c r="AL73" s="773"/>
      <c r="AM73" s="773"/>
      <c r="AN73" s="773"/>
      <c r="AO73" s="773"/>
      <c r="AP73" s="773"/>
      <c r="AQ73" s="773"/>
      <c r="AR73" s="773"/>
    </row>
    <row r="74" spans="1:44">
      <c r="A74" s="62"/>
      <c r="B74" s="58"/>
      <c r="C74" s="1114"/>
      <c r="D74" s="54"/>
      <c r="E74" s="59"/>
      <c r="F74" s="1112"/>
      <c r="G74" s="1112"/>
      <c r="H74" s="1112"/>
      <c r="I74" s="1112"/>
      <c r="J74" s="1112"/>
      <c r="K74" s="1112"/>
      <c r="L74" s="1112"/>
      <c r="M74" s="159"/>
      <c r="N74" s="1113"/>
      <c r="O74" s="773"/>
      <c r="P74" s="1111"/>
      <c r="Q74" s="1111"/>
      <c r="R74" s="1111"/>
      <c r="S74" s="1111"/>
      <c r="T74" s="773"/>
      <c r="U74" s="773"/>
      <c r="V74" s="773"/>
      <c r="W74" s="773"/>
      <c r="X74" s="773"/>
      <c r="Y74" s="773"/>
      <c r="Z74" s="773"/>
      <c r="AA74" s="773"/>
      <c r="AB74" s="773"/>
      <c r="AC74" s="773"/>
      <c r="AD74" s="773"/>
      <c r="AE74" s="773"/>
      <c r="AF74" s="773"/>
      <c r="AG74" s="773"/>
      <c r="AH74" s="773"/>
      <c r="AI74" s="773"/>
      <c r="AJ74" s="773"/>
      <c r="AK74" s="773"/>
      <c r="AL74" s="773"/>
      <c r="AM74" s="773"/>
      <c r="AN74" s="773"/>
      <c r="AO74" s="773"/>
      <c r="AP74" s="773"/>
      <c r="AQ74" s="773"/>
      <c r="AR74" s="773"/>
    </row>
    <row r="75" spans="1:44">
      <c r="A75" s="62"/>
      <c r="B75" s="58"/>
      <c r="C75" s="1114"/>
      <c r="D75" s="58"/>
      <c r="E75" s="59"/>
      <c r="F75" s="1112"/>
      <c r="G75" s="1112"/>
      <c r="H75" s="1112"/>
      <c r="I75" s="1112"/>
      <c r="J75" s="1112"/>
      <c r="K75" s="1112"/>
      <c r="L75" s="1112"/>
      <c r="M75" s="159"/>
      <c r="N75" s="1113"/>
      <c r="O75" s="773"/>
      <c r="P75" s="1111"/>
      <c r="Q75" s="1111"/>
      <c r="R75" s="1111"/>
      <c r="S75" s="1111"/>
      <c r="T75" s="773"/>
      <c r="U75" s="773"/>
      <c r="V75" s="773"/>
      <c r="W75" s="773"/>
      <c r="X75" s="773"/>
      <c r="Y75" s="773"/>
      <c r="Z75" s="773"/>
      <c r="AA75" s="773"/>
      <c r="AB75" s="773"/>
      <c r="AC75" s="773"/>
      <c r="AD75" s="773"/>
      <c r="AE75" s="773"/>
      <c r="AF75" s="773"/>
      <c r="AG75" s="773"/>
      <c r="AH75" s="773"/>
      <c r="AI75" s="773"/>
      <c r="AJ75" s="773"/>
      <c r="AK75" s="773"/>
      <c r="AL75" s="773"/>
      <c r="AM75" s="773"/>
      <c r="AN75" s="773"/>
      <c r="AO75" s="773"/>
      <c r="AP75" s="773"/>
      <c r="AQ75" s="773"/>
      <c r="AR75" s="773"/>
    </row>
    <row r="76" spans="1:44">
      <c r="A76" s="62"/>
      <c r="B76" s="58"/>
      <c r="C76" s="1114"/>
      <c r="D76" s="58"/>
      <c r="E76" s="59"/>
      <c r="F76" s="1112"/>
      <c r="G76" s="1112"/>
      <c r="H76" s="1112"/>
      <c r="I76" s="1112"/>
      <c r="J76" s="1112"/>
      <c r="K76" s="1112"/>
      <c r="L76" s="1112"/>
      <c r="M76" s="159"/>
      <c r="N76" s="1113"/>
      <c r="O76" s="773"/>
      <c r="P76" s="1111"/>
      <c r="Q76" s="1111"/>
      <c r="R76" s="1111"/>
      <c r="S76" s="1111"/>
      <c r="T76" s="773"/>
      <c r="U76" s="773"/>
      <c r="V76" s="773"/>
      <c r="W76" s="773"/>
      <c r="X76" s="773"/>
      <c r="Y76" s="773"/>
      <c r="Z76" s="773"/>
      <c r="AA76" s="773"/>
      <c r="AB76" s="773"/>
      <c r="AC76" s="773"/>
      <c r="AD76" s="773"/>
      <c r="AE76" s="773"/>
      <c r="AF76" s="773"/>
      <c r="AG76" s="773"/>
      <c r="AH76" s="773"/>
      <c r="AI76" s="773"/>
      <c r="AJ76" s="773"/>
      <c r="AK76" s="773"/>
      <c r="AL76" s="773"/>
      <c r="AM76" s="773"/>
      <c r="AN76" s="773"/>
      <c r="AO76" s="773"/>
      <c r="AP76" s="773"/>
      <c r="AQ76" s="773"/>
      <c r="AR76" s="773"/>
    </row>
    <row r="77" spans="1:44">
      <c r="A77" s="62"/>
      <c r="B77" s="57"/>
      <c r="C77" s="1114"/>
      <c r="D77" s="58"/>
      <c r="E77" s="59"/>
      <c r="F77" s="1112"/>
      <c r="G77" s="1112"/>
      <c r="H77" s="1112"/>
      <c r="I77" s="1112"/>
      <c r="J77" s="1112"/>
      <c r="K77" s="1112"/>
      <c r="L77" s="1112"/>
      <c r="M77" s="159"/>
      <c r="N77" s="1113"/>
      <c r="O77" s="773"/>
      <c r="P77" s="1111"/>
      <c r="Q77" s="1111"/>
      <c r="R77" s="1111"/>
      <c r="S77" s="1111"/>
      <c r="T77" s="773"/>
      <c r="U77" s="773"/>
      <c r="V77" s="773"/>
      <c r="W77" s="773"/>
      <c r="X77" s="773"/>
      <c r="Y77" s="773"/>
      <c r="Z77" s="773"/>
      <c r="AA77" s="773"/>
      <c r="AB77" s="773"/>
      <c r="AC77" s="773"/>
      <c r="AD77" s="773"/>
      <c r="AE77" s="773"/>
      <c r="AF77" s="773"/>
      <c r="AG77" s="773"/>
      <c r="AH77" s="773"/>
      <c r="AI77" s="773"/>
      <c r="AJ77" s="773"/>
      <c r="AK77" s="773"/>
      <c r="AL77" s="773"/>
      <c r="AM77" s="773"/>
      <c r="AN77" s="773"/>
      <c r="AO77" s="773"/>
      <c r="AP77" s="773"/>
      <c r="AQ77" s="773"/>
      <c r="AR77" s="773"/>
    </row>
    <row r="78" spans="1:44">
      <c r="A78" s="62"/>
      <c r="B78" s="58"/>
      <c r="C78" s="1114"/>
      <c r="D78" s="54"/>
      <c r="E78" s="59"/>
      <c r="F78" s="1112"/>
      <c r="G78" s="1112"/>
      <c r="H78" s="1112"/>
      <c r="I78" s="1112"/>
      <c r="J78" s="1112"/>
      <c r="K78" s="1112"/>
      <c r="L78" s="1112"/>
      <c r="M78" s="159"/>
      <c r="N78" s="1113"/>
      <c r="O78" s="773"/>
      <c r="P78" s="1111"/>
      <c r="Q78" s="1111"/>
      <c r="R78" s="1111"/>
      <c r="S78" s="1111"/>
      <c r="T78" s="773"/>
      <c r="U78" s="773"/>
      <c r="V78" s="773"/>
      <c r="W78" s="773"/>
      <c r="X78" s="773"/>
      <c r="Y78" s="773"/>
      <c r="Z78" s="773"/>
      <c r="AA78" s="773"/>
      <c r="AB78" s="773"/>
      <c r="AC78" s="773"/>
      <c r="AD78" s="773"/>
      <c r="AE78" s="773"/>
      <c r="AF78" s="773"/>
      <c r="AG78" s="773"/>
      <c r="AH78" s="773"/>
      <c r="AI78" s="773"/>
      <c r="AJ78" s="773"/>
      <c r="AK78" s="773"/>
      <c r="AL78" s="773"/>
      <c r="AM78" s="773"/>
      <c r="AN78" s="773"/>
      <c r="AO78" s="773"/>
      <c r="AP78" s="773"/>
      <c r="AQ78" s="773"/>
      <c r="AR78" s="773"/>
    </row>
    <row r="79" spans="1:44">
      <c r="A79" s="62"/>
      <c r="B79" s="58"/>
      <c r="C79" s="1114"/>
      <c r="D79" s="58"/>
      <c r="E79" s="59"/>
      <c r="F79" s="1112"/>
      <c r="G79" s="1112"/>
      <c r="H79" s="1112"/>
      <c r="I79" s="1112"/>
      <c r="J79" s="1112"/>
      <c r="K79" s="1112"/>
      <c r="L79" s="1112"/>
      <c r="M79" s="159"/>
      <c r="N79" s="1113"/>
      <c r="O79" s="773"/>
      <c r="P79" s="1111"/>
      <c r="Q79" s="1111"/>
      <c r="R79" s="1111"/>
      <c r="S79" s="1111"/>
      <c r="T79" s="773"/>
      <c r="U79" s="773"/>
      <c r="V79" s="773"/>
      <c r="W79" s="773"/>
      <c r="X79" s="773"/>
      <c r="Y79" s="773"/>
      <c r="Z79" s="773"/>
      <c r="AA79" s="773"/>
      <c r="AB79" s="773"/>
      <c r="AC79" s="773"/>
      <c r="AD79" s="773"/>
      <c r="AE79" s="773"/>
      <c r="AF79" s="773"/>
      <c r="AG79" s="773"/>
      <c r="AH79" s="773"/>
      <c r="AI79" s="773"/>
      <c r="AJ79" s="773"/>
      <c r="AK79" s="773"/>
      <c r="AL79" s="773"/>
      <c r="AM79" s="773"/>
      <c r="AN79" s="773"/>
      <c r="AO79" s="773"/>
      <c r="AP79" s="773"/>
      <c r="AQ79" s="773"/>
      <c r="AR79" s="773"/>
    </row>
    <row r="80" spans="1:44">
      <c r="A80" s="62"/>
      <c r="B80" s="58"/>
      <c r="C80" s="1114"/>
      <c r="D80" s="58"/>
      <c r="E80" s="59"/>
      <c r="F80" s="1112"/>
      <c r="G80" s="1112"/>
      <c r="H80" s="1112"/>
      <c r="I80" s="1112"/>
      <c r="J80" s="1112"/>
      <c r="K80" s="1112"/>
      <c r="L80" s="1112"/>
      <c r="M80" s="159"/>
      <c r="N80" s="1113"/>
      <c r="O80" s="773"/>
      <c r="P80" s="1111"/>
      <c r="Q80" s="1111"/>
      <c r="R80" s="1111"/>
      <c r="S80" s="1111"/>
      <c r="T80" s="773"/>
      <c r="U80" s="773"/>
      <c r="V80" s="773"/>
      <c r="W80" s="773"/>
      <c r="X80" s="773"/>
      <c r="Y80" s="773"/>
      <c r="Z80" s="773"/>
      <c r="AA80" s="773"/>
      <c r="AB80" s="773"/>
      <c r="AC80" s="773"/>
      <c r="AD80" s="773"/>
      <c r="AE80" s="773"/>
      <c r="AF80" s="773"/>
      <c r="AG80" s="773"/>
      <c r="AH80" s="773"/>
      <c r="AI80" s="773"/>
      <c r="AJ80" s="773"/>
      <c r="AK80" s="773"/>
      <c r="AL80" s="773"/>
      <c r="AM80" s="773"/>
      <c r="AN80" s="773"/>
      <c r="AO80" s="773"/>
      <c r="AP80" s="773"/>
      <c r="AQ80" s="773"/>
      <c r="AR80" s="773"/>
    </row>
    <row r="81" spans="1:44">
      <c r="A81" s="62"/>
      <c r="B81" s="57"/>
      <c r="C81" s="1114"/>
      <c r="D81" s="58"/>
      <c r="E81" s="59"/>
      <c r="F81" s="62"/>
      <c r="G81" s="62"/>
      <c r="H81" s="62"/>
      <c r="I81" s="62"/>
      <c r="J81" s="62"/>
      <c r="K81" s="62"/>
      <c r="L81" s="62"/>
      <c r="M81" s="52"/>
      <c r="N81" s="773"/>
      <c r="O81" s="773"/>
      <c r="P81" s="1111"/>
      <c r="Q81" s="1111"/>
      <c r="R81" s="1111"/>
      <c r="S81" s="1111"/>
      <c r="T81" s="773"/>
      <c r="U81" s="773"/>
      <c r="V81" s="773"/>
      <c r="W81" s="773"/>
      <c r="X81" s="773"/>
      <c r="Y81" s="773"/>
      <c r="Z81" s="773"/>
      <c r="AA81" s="773"/>
      <c r="AB81" s="773"/>
      <c r="AC81" s="773"/>
      <c r="AD81" s="773"/>
      <c r="AE81" s="773"/>
      <c r="AF81" s="773"/>
      <c r="AG81" s="773"/>
      <c r="AH81" s="773"/>
      <c r="AI81" s="773"/>
      <c r="AJ81" s="773"/>
      <c r="AK81" s="773"/>
      <c r="AL81" s="773"/>
      <c r="AM81" s="773"/>
      <c r="AN81" s="773"/>
      <c r="AO81" s="773"/>
      <c r="AP81" s="773"/>
      <c r="AQ81" s="773"/>
      <c r="AR81" s="773"/>
    </row>
    <row r="82" spans="1:44">
      <c r="A82" s="62"/>
      <c r="B82" s="62"/>
      <c r="C82" s="1114"/>
      <c r="D82" s="58"/>
      <c r="E82" s="62"/>
      <c r="F82" s="62"/>
      <c r="G82" s="62"/>
      <c r="H82" s="62"/>
      <c r="I82" s="62"/>
      <c r="J82" s="62"/>
      <c r="K82" s="62"/>
      <c r="L82" s="62"/>
      <c r="M82" s="52"/>
      <c r="N82" s="773"/>
      <c r="O82" s="773"/>
      <c r="P82" s="1111"/>
      <c r="Q82" s="1111"/>
      <c r="R82" s="1111"/>
      <c r="S82" s="1111"/>
      <c r="T82" s="773"/>
      <c r="U82" s="773"/>
      <c r="V82" s="773"/>
      <c r="W82" s="773"/>
      <c r="X82" s="773"/>
      <c r="Y82" s="773"/>
      <c r="Z82" s="773"/>
      <c r="AA82" s="773"/>
      <c r="AB82" s="773"/>
      <c r="AC82" s="773"/>
      <c r="AD82" s="773"/>
      <c r="AE82" s="773"/>
      <c r="AF82" s="773"/>
      <c r="AG82" s="773"/>
      <c r="AH82" s="773"/>
      <c r="AI82" s="773"/>
      <c r="AJ82" s="773"/>
      <c r="AK82" s="773"/>
      <c r="AL82" s="773"/>
      <c r="AM82" s="773"/>
      <c r="AN82" s="773"/>
      <c r="AO82" s="773"/>
      <c r="AP82" s="773"/>
      <c r="AQ82" s="773"/>
      <c r="AR82" s="773"/>
    </row>
    <row r="83" spans="1:44">
      <c r="A83" s="62"/>
      <c r="B83" s="62"/>
      <c r="C83" s="749"/>
      <c r="D83" s="62"/>
      <c r="E83" s="62"/>
      <c r="F83" s="62"/>
      <c r="G83" s="62"/>
      <c r="H83" s="62"/>
      <c r="I83" s="62"/>
      <c r="J83" s="62"/>
      <c r="K83" s="62"/>
      <c r="L83" s="62"/>
      <c r="M83" s="52"/>
      <c r="N83" s="773"/>
      <c r="O83" s="773"/>
      <c r="P83" s="1111"/>
      <c r="Q83" s="1111"/>
      <c r="R83" s="1111"/>
      <c r="S83" s="1111"/>
      <c r="T83" s="773"/>
      <c r="U83" s="773"/>
      <c r="V83" s="773"/>
      <c r="W83" s="773"/>
      <c r="X83" s="773"/>
      <c r="Y83" s="773"/>
      <c r="Z83" s="773"/>
      <c r="AA83" s="773"/>
      <c r="AB83" s="773"/>
      <c r="AC83" s="773"/>
      <c r="AD83" s="773"/>
      <c r="AE83" s="773"/>
      <c r="AF83" s="773"/>
      <c r="AG83" s="773"/>
      <c r="AH83" s="773"/>
      <c r="AI83" s="773"/>
      <c r="AJ83" s="773"/>
      <c r="AK83" s="773"/>
      <c r="AL83" s="773"/>
      <c r="AM83" s="773"/>
      <c r="AN83" s="773"/>
      <c r="AO83" s="773"/>
      <c r="AP83" s="773"/>
      <c r="AQ83" s="773"/>
      <c r="AR83" s="773"/>
    </row>
    <row r="84" spans="1:44">
      <c r="A84" s="62"/>
      <c r="B84" s="62"/>
      <c r="C84" s="749"/>
      <c r="D84" s="62"/>
      <c r="E84" s="62"/>
      <c r="F84" s="62"/>
      <c r="G84" s="62"/>
      <c r="H84" s="62"/>
      <c r="I84" s="62"/>
      <c r="J84" s="62"/>
      <c r="K84" s="62"/>
      <c r="L84" s="62"/>
      <c r="M84" s="52"/>
      <c r="N84" s="773"/>
      <c r="O84" s="773"/>
      <c r="P84" s="1111"/>
      <c r="Q84" s="1111"/>
      <c r="R84" s="1111"/>
      <c r="S84" s="1111"/>
      <c r="T84" s="773"/>
      <c r="U84" s="773"/>
      <c r="V84" s="773"/>
      <c r="W84" s="773"/>
      <c r="X84" s="773"/>
      <c r="Y84" s="773"/>
      <c r="Z84" s="773"/>
      <c r="AA84" s="773"/>
      <c r="AB84" s="773"/>
      <c r="AC84" s="773"/>
      <c r="AD84" s="773"/>
      <c r="AE84" s="773"/>
      <c r="AF84" s="773"/>
      <c r="AG84" s="773"/>
      <c r="AH84" s="773"/>
      <c r="AI84" s="773"/>
      <c r="AJ84" s="773"/>
      <c r="AK84" s="773"/>
      <c r="AL84" s="773"/>
      <c r="AM84" s="773"/>
      <c r="AN84" s="773"/>
      <c r="AO84" s="773"/>
      <c r="AP84" s="773"/>
      <c r="AQ84" s="773"/>
      <c r="AR84" s="773"/>
    </row>
    <row r="85" spans="1:44">
      <c r="A85" s="62"/>
      <c r="B85" s="58"/>
      <c r="C85" s="749"/>
      <c r="D85" s="51"/>
      <c r="E85" s="62"/>
      <c r="F85" s="62"/>
      <c r="G85" s="62"/>
      <c r="H85" s="62"/>
      <c r="I85" s="62"/>
      <c r="J85" s="62"/>
      <c r="K85" s="62"/>
      <c r="L85" s="62"/>
      <c r="M85" s="52"/>
      <c r="N85" s="773"/>
      <c r="O85" s="773"/>
      <c r="P85" s="1111"/>
      <c r="Q85" s="1111"/>
      <c r="R85" s="1111"/>
      <c r="S85" s="1111"/>
      <c r="T85" s="773"/>
      <c r="U85" s="773"/>
      <c r="V85" s="773"/>
      <c r="W85" s="773"/>
      <c r="X85" s="773"/>
      <c r="Y85" s="773"/>
      <c r="Z85" s="773"/>
      <c r="AA85" s="773"/>
      <c r="AB85" s="773"/>
      <c r="AC85" s="773"/>
      <c r="AD85" s="773"/>
      <c r="AE85" s="773"/>
      <c r="AF85" s="773"/>
      <c r="AG85" s="773"/>
      <c r="AH85" s="773"/>
      <c r="AI85" s="773"/>
      <c r="AJ85" s="773"/>
      <c r="AK85" s="773"/>
      <c r="AL85" s="773"/>
      <c r="AM85" s="773"/>
      <c r="AN85" s="773"/>
      <c r="AO85" s="773"/>
      <c r="AP85" s="773"/>
      <c r="AQ85" s="773"/>
      <c r="AR85" s="773"/>
    </row>
    <row r="86" spans="1:44">
      <c r="A86" s="62"/>
      <c r="B86" s="62"/>
      <c r="C86" s="749"/>
      <c r="D86" s="58"/>
      <c r="E86" s="59"/>
      <c r="F86" s="62"/>
      <c r="G86" s="62"/>
      <c r="H86" s="62"/>
      <c r="I86" s="62"/>
      <c r="J86" s="62"/>
      <c r="K86" s="62"/>
      <c r="L86" s="62"/>
      <c r="M86" s="52"/>
      <c r="N86" s="773"/>
      <c r="O86" s="773"/>
      <c r="P86" s="1111"/>
      <c r="Q86" s="1111"/>
      <c r="R86" s="1111"/>
      <c r="S86" s="1111"/>
      <c r="T86" s="773"/>
      <c r="U86" s="773"/>
      <c r="V86" s="773"/>
      <c r="W86" s="773"/>
      <c r="X86" s="773"/>
      <c r="Y86" s="773"/>
      <c r="Z86" s="773"/>
      <c r="AA86" s="773"/>
      <c r="AB86" s="773"/>
      <c r="AC86" s="773"/>
      <c r="AD86" s="773"/>
      <c r="AE86" s="773"/>
      <c r="AF86" s="773"/>
      <c r="AG86" s="773"/>
      <c r="AH86" s="773"/>
      <c r="AI86" s="773"/>
      <c r="AJ86" s="773"/>
      <c r="AK86" s="773"/>
      <c r="AL86" s="773"/>
      <c r="AM86" s="773"/>
      <c r="AN86" s="773"/>
      <c r="AO86" s="773"/>
      <c r="AP86" s="773"/>
      <c r="AQ86" s="773"/>
      <c r="AR86" s="773"/>
    </row>
    <row r="87" spans="1:44">
      <c r="A87" s="62"/>
      <c r="B87" s="62"/>
      <c r="C87" s="749"/>
      <c r="D87" s="51"/>
      <c r="E87" s="59"/>
      <c r="F87" s="62"/>
      <c r="G87" s="62"/>
      <c r="H87" s="62"/>
      <c r="I87" s="62"/>
      <c r="J87" s="62"/>
      <c r="K87" s="62"/>
      <c r="L87" s="62"/>
      <c r="M87" s="52"/>
      <c r="N87" s="773"/>
      <c r="O87" s="773"/>
      <c r="P87" s="1111"/>
      <c r="Q87" s="1111"/>
      <c r="R87" s="1111"/>
      <c r="S87" s="1111"/>
      <c r="T87" s="773"/>
      <c r="U87" s="773"/>
      <c r="V87" s="773"/>
      <c r="W87" s="773"/>
      <c r="X87" s="773"/>
      <c r="Y87" s="773"/>
      <c r="Z87" s="773"/>
      <c r="AA87" s="773"/>
      <c r="AB87" s="773"/>
      <c r="AC87" s="773"/>
      <c r="AD87" s="773"/>
      <c r="AE87" s="773"/>
      <c r="AF87" s="773"/>
      <c r="AG87" s="773"/>
      <c r="AH87" s="773"/>
      <c r="AI87" s="773"/>
      <c r="AJ87" s="773"/>
      <c r="AK87" s="773"/>
      <c r="AL87" s="773"/>
      <c r="AM87" s="773"/>
      <c r="AN87" s="773"/>
      <c r="AO87" s="773"/>
      <c r="AP87" s="773"/>
      <c r="AQ87" s="773"/>
      <c r="AR87" s="773"/>
    </row>
    <row r="88" spans="1:44">
      <c r="A88" s="62"/>
      <c r="B88" s="62"/>
      <c r="C88" s="749"/>
      <c r="D88" s="51"/>
      <c r="E88" s="59"/>
      <c r="F88" s="62"/>
      <c r="G88" s="62"/>
      <c r="H88" s="62"/>
      <c r="I88" s="62"/>
      <c r="J88" s="62"/>
      <c r="K88" s="62"/>
      <c r="L88" s="62"/>
      <c r="M88" s="52"/>
      <c r="N88" s="773"/>
      <c r="O88" s="773"/>
      <c r="P88" s="1111"/>
      <c r="Q88" s="1111"/>
      <c r="R88" s="1111"/>
      <c r="S88" s="1111"/>
      <c r="T88" s="773"/>
      <c r="U88" s="773"/>
      <c r="V88" s="773"/>
      <c r="W88" s="773"/>
      <c r="X88" s="773"/>
      <c r="Y88" s="773"/>
      <c r="Z88" s="773"/>
      <c r="AA88" s="773"/>
      <c r="AB88" s="773"/>
      <c r="AC88" s="773"/>
      <c r="AD88" s="773"/>
      <c r="AE88" s="773"/>
      <c r="AF88" s="773"/>
      <c r="AG88" s="773"/>
      <c r="AH88" s="773"/>
      <c r="AI88" s="773"/>
      <c r="AJ88" s="773"/>
      <c r="AK88" s="773"/>
      <c r="AL88" s="773"/>
      <c r="AM88" s="773"/>
      <c r="AN88" s="773"/>
      <c r="AO88" s="773"/>
      <c r="AP88" s="773"/>
      <c r="AQ88" s="773"/>
      <c r="AR88" s="773"/>
    </row>
    <row r="89" spans="1:44">
      <c r="A89" s="62"/>
      <c r="B89" s="58"/>
      <c r="C89" s="749"/>
      <c r="D89" s="51"/>
      <c r="E89" s="62"/>
      <c r="F89" s="62"/>
      <c r="G89" s="62"/>
      <c r="H89" s="62"/>
      <c r="I89" s="62"/>
      <c r="J89" s="62"/>
      <c r="K89" s="62"/>
      <c r="L89" s="62"/>
      <c r="M89" s="52"/>
      <c r="N89" s="773"/>
      <c r="O89" s="773"/>
      <c r="P89" s="1111"/>
      <c r="Q89" s="1111"/>
      <c r="R89" s="1111"/>
      <c r="S89" s="1111"/>
      <c r="T89" s="773"/>
      <c r="U89" s="773"/>
      <c r="V89" s="773"/>
      <c r="W89" s="773"/>
      <c r="X89" s="773"/>
      <c r="Y89" s="773"/>
      <c r="Z89" s="773"/>
      <c r="AA89" s="773"/>
      <c r="AB89" s="773"/>
      <c r="AC89" s="773"/>
      <c r="AD89" s="773"/>
      <c r="AE89" s="773"/>
      <c r="AF89" s="773"/>
      <c r="AG89" s="773"/>
      <c r="AH89" s="773"/>
      <c r="AI89" s="773"/>
      <c r="AJ89" s="773"/>
      <c r="AK89" s="773"/>
      <c r="AL89" s="773"/>
      <c r="AM89" s="773"/>
      <c r="AN89" s="773"/>
      <c r="AO89" s="773"/>
      <c r="AP89" s="773"/>
      <c r="AQ89" s="773"/>
      <c r="AR89" s="773"/>
    </row>
    <row r="90" spans="1:44">
      <c r="A90" s="62"/>
      <c r="B90" s="62"/>
      <c r="C90" s="749"/>
      <c r="D90" s="58"/>
      <c r="E90" s="59"/>
      <c r="F90" s="62"/>
      <c r="G90" s="62"/>
      <c r="H90" s="62"/>
      <c r="I90" s="62"/>
      <c r="J90" s="62"/>
      <c r="K90" s="62"/>
      <c r="L90" s="62"/>
      <c r="M90" s="52"/>
      <c r="N90" s="773"/>
      <c r="O90" s="773"/>
      <c r="P90" s="1111"/>
      <c r="Q90" s="1111"/>
      <c r="R90" s="1111"/>
      <c r="S90" s="1111"/>
      <c r="T90" s="773"/>
      <c r="U90" s="773"/>
      <c r="V90" s="773"/>
      <c r="W90" s="773"/>
      <c r="X90" s="773"/>
      <c r="Y90" s="773"/>
      <c r="Z90" s="773"/>
      <c r="AA90" s="773"/>
      <c r="AB90" s="773"/>
      <c r="AC90" s="773"/>
      <c r="AD90" s="773"/>
      <c r="AE90" s="773"/>
      <c r="AF90" s="773"/>
      <c r="AG90" s="773"/>
      <c r="AH90" s="773"/>
      <c r="AI90" s="773"/>
      <c r="AJ90" s="773"/>
      <c r="AK90" s="773"/>
      <c r="AL90" s="773"/>
      <c r="AM90" s="773"/>
      <c r="AN90" s="773"/>
      <c r="AO90" s="773"/>
      <c r="AP90" s="773"/>
      <c r="AQ90" s="773"/>
      <c r="AR90" s="773"/>
    </row>
    <row r="91" spans="1:44">
      <c r="A91" s="62"/>
      <c r="B91" s="62"/>
      <c r="C91" s="749"/>
      <c r="D91" s="51"/>
      <c r="E91" s="59"/>
      <c r="F91" s="62"/>
      <c r="G91" s="62"/>
      <c r="H91" s="62"/>
      <c r="I91" s="62"/>
      <c r="J91" s="62"/>
      <c r="K91" s="62"/>
      <c r="L91" s="62"/>
      <c r="M91" s="52"/>
      <c r="N91" s="773"/>
      <c r="O91" s="773"/>
      <c r="P91" s="1111"/>
      <c r="Q91" s="1111"/>
      <c r="R91" s="1111"/>
      <c r="S91" s="1111"/>
      <c r="T91" s="773"/>
      <c r="U91" s="773"/>
      <c r="V91" s="773"/>
      <c r="W91" s="773"/>
      <c r="X91" s="773"/>
      <c r="Y91" s="773"/>
      <c r="Z91" s="773"/>
      <c r="AA91" s="773"/>
      <c r="AB91" s="773"/>
      <c r="AC91" s="773"/>
      <c r="AD91" s="773"/>
      <c r="AE91" s="773"/>
      <c r="AF91" s="773"/>
      <c r="AG91" s="773"/>
      <c r="AH91" s="773"/>
      <c r="AI91" s="773"/>
      <c r="AJ91" s="773"/>
      <c r="AK91" s="773"/>
      <c r="AL91" s="773"/>
      <c r="AM91" s="773"/>
      <c r="AN91" s="773"/>
      <c r="AO91" s="773"/>
      <c r="AP91" s="773"/>
      <c r="AQ91" s="773"/>
      <c r="AR91" s="773"/>
    </row>
    <row r="92" spans="1:44">
      <c r="A92" s="62"/>
      <c r="B92" s="62"/>
      <c r="C92" s="749"/>
      <c r="D92" s="51"/>
      <c r="E92" s="59"/>
      <c r="F92" s="62"/>
      <c r="G92" s="62"/>
      <c r="H92" s="62"/>
      <c r="I92" s="62"/>
      <c r="J92" s="62"/>
      <c r="K92" s="62"/>
      <c r="L92" s="62"/>
      <c r="M92" s="52"/>
      <c r="N92" s="773"/>
      <c r="O92" s="773"/>
      <c r="P92" s="1111"/>
      <c r="Q92" s="1111"/>
      <c r="R92" s="1111"/>
      <c r="S92" s="1111"/>
      <c r="T92" s="773"/>
      <c r="U92" s="773"/>
      <c r="V92" s="773"/>
      <c r="W92" s="773"/>
      <c r="X92" s="773"/>
      <c r="Y92" s="773"/>
      <c r="Z92" s="773"/>
      <c r="AA92" s="773"/>
      <c r="AB92" s="773"/>
      <c r="AC92" s="773"/>
      <c r="AD92" s="773"/>
      <c r="AE92" s="773"/>
      <c r="AF92" s="773"/>
      <c r="AG92" s="773"/>
      <c r="AH92" s="773"/>
      <c r="AI92" s="773"/>
      <c r="AJ92" s="773"/>
      <c r="AK92" s="773"/>
      <c r="AL92" s="773"/>
      <c r="AM92" s="773"/>
      <c r="AN92" s="773"/>
      <c r="AO92" s="773"/>
      <c r="AP92" s="773"/>
      <c r="AQ92" s="773"/>
      <c r="AR92" s="773"/>
    </row>
    <row r="93" spans="1:44">
      <c r="A93" s="52"/>
      <c r="B93" s="58"/>
      <c r="C93" s="749"/>
      <c r="D93" s="51"/>
      <c r="E93" s="52"/>
      <c r="F93" s="52"/>
      <c r="G93" s="52"/>
      <c r="H93" s="52"/>
      <c r="I93" s="52"/>
      <c r="J93" s="52"/>
      <c r="K93" s="52"/>
      <c r="L93" s="52"/>
      <c r="M93" s="52"/>
      <c r="N93" s="773"/>
      <c r="O93" s="773"/>
      <c r="P93" s="1111"/>
      <c r="Q93" s="1111"/>
      <c r="R93" s="1111"/>
      <c r="S93" s="1111"/>
      <c r="T93" s="773"/>
      <c r="U93" s="773"/>
      <c r="V93" s="773"/>
      <c r="W93" s="773"/>
      <c r="X93" s="773"/>
      <c r="Y93" s="773"/>
      <c r="Z93" s="773"/>
      <c r="AA93" s="773"/>
      <c r="AB93" s="773"/>
      <c r="AC93" s="773"/>
      <c r="AD93" s="773"/>
      <c r="AE93" s="773"/>
      <c r="AF93" s="773"/>
      <c r="AG93" s="773"/>
      <c r="AH93" s="773"/>
      <c r="AI93" s="773"/>
      <c r="AJ93" s="773"/>
      <c r="AK93" s="773"/>
      <c r="AL93" s="773"/>
      <c r="AM93" s="773"/>
      <c r="AN93" s="773"/>
      <c r="AO93" s="773"/>
      <c r="AP93" s="773"/>
      <c r="AQ93" s="773"/>
      <c r="AR93" s="773"/>
    </row>
    <row r="94" spans="1:44">
      <c r="A94" s="52"/>
      <c r="B94" s="62"/>
      <c r="C94" s="749"/>
      <c r="D94" s="58"/>
      <c r="E94" s="59"/>
      <c r="F94" s="52"/>
      <c r="G94" s="52"/>
      <c r="H94" s="52"/>
      <c r="I94" s="52"/>
      <c r="J94" s="52"/>
      <c r="K94" s="52"/>
      <c r="L94" s="52"/>
      <c r="M94" s="52"/>
      <c r="N94" s="773"/>
      <c r="O94" s="773"/>
      <c r="P94" s="1111"/>
      <c r="Q94" s="1111"/>
      <c r="R94" s="1111"/>
      <c r="S94" s="1111"/>
      <c r="T94" s="773"/>
      <c r="U94" s="773"/>
      <c r="V94" s="773"/>
      <c r="W94" s="773"/>
      <c r="X94" s="773"/>
      <c r="Y94" s="773"/>
      <c r="Z94" s="773"/>
      <c r="AA94" s="773"/>
      <c r="AB94" s="773"/>
      <c r="AC94" s="773"/>
      <c r="AD94" s="773"/>
      <c r="AE94" s="773"/>
      <c r="AF94" s="773"/>
      <c r="AG94" s="773"/>
      <c r="AH94" s="773"/>
      <c r="AI94" s="773"/>
      <c r="AJ94" s="773"/>
      <c r="AK94" s="773"/>
      <c r="AL94" s="773"/>
      <c r="AM94" s="773"/>
      <c r="AN94" s="773"/>
      <c r="AO94" s="773"/>
      <c r="AP94" s="773"/>
      <c r="AQ94" s="773"/>
      <c r="AR94" s="773"/>
    </row>
    <row r="95" spans="1:44">
      <c r="A95" s="52"/>
      <c r="B95" s="62"/>
      <c r="C95" s="749"/>
      <c r="D95" s="51"/>
      <c r="E95" s="59"/>
      <c r="F95" s="52"/>
      <c r="G95" s="52"/>
      <c r="H95" s="52"/>
      <c r="I95" s="52"/>
      <c r="J95" s="52"/>
      <c r="K95" s="52"/>
      <c r="L95" s="52"/>
      <c r="M95" s="52"/>
      <c r="N95" s="773"/>
      <c r="O95" s="773"/>
      <c r="P95" s="1111"/>
      <c r="Q95" s="1111"/>
      <c r="R95" s="1111"/>
      <c r="S95" s="1111"/>
      <c r="T95" s="773"/>
      <c r="U95" s="773"/>
      <c r="V95" s="773"/>
      <c r="W95" s="773"/>
      <c r="X95" s="773"/>
      <c r="Y95" s="773"/>
      <c r="Z95" s="773"/>
      <c r="AA95" s="773"/>
      <c r="AB95" s="773"/>
      <c r="AC95" s="773"/>
      <c r="AD95" s="773"/>
      <c r="AE95" s="773"/>
      <c r="AF95" s="773"/>
      <c r="AG95" s="773"/>
      <c r="AH95" s="773"/>
      <c r="AI95" s="773"/>
      <c r="AJ95" s="773"/>
      <c r="AK95" s="773"/>
      <c r="AL95" s="773"/>
      <c r="AM95" s="773"/>
      <c r="AN95" s="773"/>
      <c r="AO95" s="773"/>
      <c r="AP95" s="773"/>
      <c r="AQ95" s="773"/>
      <c r="AR95" s="773"/>
    </row>
    <row r="96" spans="1:44">
      <c r="A96" s="52"/>
      <c r="B96" s="62"/>
      <c r="C96" s="749"/>
      <c r="D96" s="51"/>
      <c r="E96" s="59"/>
      <c r="F96" s="52"/>
      <c r="G96" s="52"/>
      <c r="H96" s="52"/>
      <c r="I96" s="52"/>
      <c r="J96" s="52"/>
      <c r="K96" s="52"/>
      <c r="L96" s="52"/>
      <c r="M96" s="52"/>
      <c r="N96" s="773"/>
      <c r="O96" s="773"/>
      <c r="P96" s="1111"/>
      <c r="Q96" s="1111"/>
      <c r="R96" s="1111"/>
      <c r="S96" s="1111"/>
      <c r="T96" s="773"/>
      <c r="U96" s="773"/>
      <c r="V96" s="773"/>
      <c r="W96" s="773"/>
      <c r="X96" s="773"/>
      <c r="Y96" s="773"/>
      <c r="Z96" s="773"/>
      <c r="AA96" s="773"/>
      <c r="AB96" s="773"/>
      <c r="AC96" s="773"/>
      <c r="AD96" s="773"/>
      <c r="AE96" s="773"/>
      <c r="AF96" s="773"/>
      <c r="AG96" s="773"/>
      <c r="AH96" s="773"/>
      <c r="AI96" s="773"/>
      <c r="AJ96" s="773"/>
      <c r="AK96" s="773"/>
      <c r="AL96" s="773"/>
      <c r="AM96" s="773"/>
      <c r="AN96" s="773"/>
      <c r="AO96" s="773"/>
      <c r="AP96" s="773"/>
      <c r="AQ96" s="773"/>
      <c r="AR96" s="773"/>
    </row>
    <row r="97" spans="1:44">
      <c r="A97" s="52"/>
      <c r="B97" s="58"/>
      <c r="C97" s="749"/>
      <c r="D97" s="51"/>
      <c r="E97" s="52"/>
      <c r="F97" s="52"/>
      <c r="G97" s="52"/>
      <c r="H97" s="52"/>
      <c r="I97" s="52"/>
      <c r="J97" s="52"/>
      <c r="K97" s="52"/>
      <c r="L97" s="52"/>
      <c r="M97" s="52"/>
      <c r="N97" s="773"/>
      <c r="O97" s="773"/>
      <c r="P97" s="1111"/>
      <c r="Q97" s="1111"/>
      <c r="R97" s="1111"/>
      <c r="S97" s="1111"/>
      <c r="T97" s="773"/>
      <c r="U97" s="773"/>
      <c r="V97" s="773"/>
      <c r="W97" s="773"/>
      <c r="X97" s="773"/>
      <c r="Y97" s="773"/>
      <c r="Z97" s="773"/>
      <c r="AA97" s="773"/>
      <c r="AB97" s="773"/>
      <c r="AC97" s="773"/>
      <c r="AD97" s="773"/>
      <c r="AE97" s="773"/>
      <c r="AF97" s="773"/>
      <c r="AG97" s="773"/>
      <c r="AH97" s="773"/>
      <c r="AI97" s="773"/>
      <c r="AJ97" s="773"/>
      <c r="AK97" s="773"/>
      <c r="AL97" s="773"/>
      <c r="AM97" s="773"/>
      <c r="AN97" s="773"/>
      <c r="AO97" s="773"/>
      <c r="AP97" s="773"/>
      <c r="AQ97" s="773"/>
      <c r="AR97" s="773"/>
    </row>
    <row r="98" spans="1:44">
      <c r="A98" s="52"/>
      <c r="B98" s="62"/>
      <c r="C98" s="749"/>
      <c r="D98" s="58"/>
      <c r="E98" s="59"/>
      <c r="F98" s="52"/>
      <c r="G98" s="52"/>
      <c r="H98" s="52"/>
      <c r="I98" s="52"/>
      <c r="J98" s="52"/>
      <c r="K98" s="52"/>
      <c r="L98" s="52"/>
      <c r="M98" s="52"/>
      <c r="N98" s="773"/>
      <c r="O98" s="773"/>
      <c r="P98" s="1111"/>
      <c r="Q98" s="1111"/>
      <c r="R98" s="1111"/>
      <c r="S98" s="1111"/>
      <c r="T98" s="773"/>
      <c r="U98" s="773"/>
      <c r="V98" s="773"/>
      <c r="W98" s="773"/>
      <c r="X98" s="773"/>
      <c r="Y98" s="773"/>
      <c r="Z98" s="773"/>
      <c r="AA98" s="773"/>
      <c r="AB98" s="773"/>
      <c r="AC98" s="773"/>
      <c r="AD98" s="773"/>
      <c r="AE98" s="773"/>
      <c r="AF98" s="773"/>
      <c r="AG98" s="773"/>
      <c r="AH98" s="773"/>
      <c r="AI98" s="773"/>
      <c r="AJ98" s="773"/>
      <c r="AK98" s="773"/>
      <c r="AL98" s="773"/>
      <c r="AM98" s="773"/>
      <c r="AN98" s="773"/>
      <c r="AO98" s="773"/>
      <c r="AP98" s="773"/>
      <c r="AQ98" s="773"/>
      <c r="AR98" s="773"/>
    </row>
    <row r="99" spans="1:44">
      <c r="A99" s="52"/>
      <c r="B99" s="62"/>
      <c r="C99" s="749"/>
      <c r="D99" s="51"/>
      <c r="E99" s="59"/>
      <c r="F99" s="52"/>
      <c r="G99" s="52"/>
      <c r="H99" s="52"/>
      <c r="I99" s="52"/>
      <c r="J99" s="52"/>
      <c r="K99" s="52"/>
      <c r="L99" s="52"/>
      <c r="M99" s="52"/>
      <c r="N99" s="773"/>
      <c r="O99" s="773"/>
      <c r="P99" s="1111"/>
      <c r="Q99" s="1111"/>
      <c r="R99" s="1111"/>
      <c r="S99" s="1111"/>
      <c r="T99" s="773"/>
      <c r="U99" s="773"/>
      <c r="V99" s="773"/>
      <c r="W99" s="773"/>
      <c r="X99" s="773"/>
      <c r="Y99" s="773"/>
      <c r="Z99" s="773"/>
      <c r="AA99" s="773"/>
      <c r="AB99" s="773"/>
      <c r="AC99" s="773"/>
      <c r="AD99" s="773"/>
      <c r="AE99" s="773"/>
      <c r="AF99" s="773"/>
      <c r="AG99" s="773"/>
      <c r="AH99" s="773"/>
      <c r="AI99" s="773"/>
      <c r="AJ99" s="773"/>
      <c r="AK99" s="773"/>
      <c r="AL99" s="773"/>
      <c r="AM99" s="773"/>
      <c r="AN99" s="773"/>
      <c r="AO99" s="773"/>
      <c r="AP99" s="773"/>
      <c r="AQ99" s="773"/>
      <c r="AR99" s="773"/>
    </row>
    <row r="100" spans="1:44">
      <c r="A100" s="52"/>
      <c r="B100" s="62"/>
      <c r="C100" s="749"/>
      <c r="D100" s="51"/>
      <c r="E100" s="59"/>
      <c r="F100" s="52"/>
      <c r="G100" s="52"/>
      <c r="H100" s="52"/>
      <c r="I100" s="52"/>
      <c r="J100" s="52"/>
      <c r="K100" s="52"/>
      <c r="L100" s="52"/>
      <c r="M100" s="52"/>
      <c r="N100" s="773"/>
      <c r="O100" s="773"/>
      <c r="P100" s="1111"/>
      <c r="Q100" s="1111"/>
      <c r="R100" s="1111"/>
      <c r="S100" s="1111"/>
      <c r="T100" s="773"/>
      <c r="U100" s="773"/>
      <c r="V100" s="773"/>
      <c r="W100" s="773"/>
      <c r="X100" s="773"/>
      <c r="Y100" s="773"/>
      <c r="Z100" s="773"/>
      <c r="AA100" s="773"/>
      <c r="AB100" s="773"/>
      <c r="AC100" s="773"/>
      <c r="AD100" s="773"/>
      <c r="AE100" s="773"/>
      <c r="AF100" s="773"/>
      <c r="AG100" s="773"/>
      <c r="AH100" s="773"/>
      <c r="AI100" s="773"/>
      <c r="AJ100" s="773"/>
      <c r="AK100" s="773"/>
      <c r="AL100" s="773"/>
      <c r="AM100" s="773"/>
      <c r="AN100" s="773"/>
      <c r="AO100" s="773"/>
      <c r="AP100" s="773"/>
      <c r="AQ100" s="773"/>
      <c r="AR100" s="773"/>
    </row>
    <row r="101" spans="1:44">
      <c r="A101" s="52"/>
      <c r="B101" s="58"/>
      <c r="C101" s="749"/>
      <c r="D101" s="51"/>
      <c r="E101" s="52"/>
      <c r="F101" s="52"/>
      <c r="G101" s="52"/>
      <c r="H101" s="52"/>
      <c r="I101" s="52"/>
      <c r="J101" s="52"/>
      <c r="K101" s="52"/>
      <c r="L101" s="52"/>
      <c r="M101" s="52"/>
      <c r="N101" s="773"/>
      <c r="O101" s="773"/>
      <c r="P101" s="1111"/>
      <c r="Q101" s="1111"/>
      <c r="R101" s="1111"/>
      <c r="S101" s="1111"/>
      <c r="T101" s="773"/>
      <c r="U101" s="773"/>
      <c r="V101" s="773"/>
      <c r="W101" s="773"/>
      <c r="X101" s="773"/>
      <c r="Y101" s="773"/>
      <c r="Z101" s="773"/>
      <c r="AA101" s="773"/>
      <c r="AB101" s="773"/>
      <c r="AC101" s="773"/>
      <c r="AD101" s="773"/>
      <c r="AE101" s="773"/>
      <c r="AF101" s="773"/>
      <c r="AG101" s="773"/>
      <c r="AH101" s="773"/>
      <c r="AI101" s="773"/>
      <c r="AJ101" s="773"/>
      <c r="AK101" s="773"/>
      <c r="AL101" s="773"/>
      <c r="AM101" s="773"/>
      <c r="AN101" s="773"/>
      <c r="AO101" s="773"/>
      <c r="AP101" s="773"/>
      <c r="AQ101" s="773"/>
      <c r="AR101" s="773"/>
    </row>
    <row r="102" spans="1:44">
      <c r="A102" s="52"/>
      <c r="B102" s="62"/>
      <c r="C102" s="749"/>
      <c r="D102" s="58"/>
      <c r="E102" s="59"/>
      <c r="F102" s="52"/>
      <c r="G102" s="52"/>
      <c r="H102" s="52"/>
      <c r="I102" s="52"/>
      <c r="J102" s="52"/>
      <c r="K102" s="52"/>
      <c r="L102" s="52"/>
      <c r="M102" s="52"/>
      <c r="N102" s="773"/>
      <c r="O102" s="773"/>
      <c r="P102" s="1111"/>
      <c r="Q102" s="1111"/>
      <c r="R102" s="1111"/>
      <c r="S102" s="1111"/>
      <c r="T102" s="773"/>
      <c r="U102" s="773"/>
      <c r="V102" s="773"/>
      <c r="W102" s="773"/>
      <c r="X102" s="773"/>
      <c r="Y102" s="773"/>
      <c r="Z102" s="773"/>
      <c r="AA102" s="773"/>
      <c r="AB102" s="773"/>
      <c r="AC102" s="773"/>
      <c r="AD102" s="773"/>
      <c r="AE102" s="773"/>
      <c r="AF102" s="773"/>
      <c r="AG102" s="773"/>
      <c r="AH102" s="773"/>
      <c r="AI102" s="773"/>
      <c r="AJ102" s="773"/>
      <c r="AK102" s="773"/>
      <c r="AL102" s="773"/>
      <c r="AM102" s="773"/>
      <c r="AN102" s="773"/>
      <c r="AO102" s="773"/>
      <c r="AP102" s="773"/>
      <c r="AQ102" s="773"/>
      <c r="AR102" s="773"/>
    </row>
    <row r="103" spans="1:44">
      <c r="A103" s="52"/>
      <c r="B103" s="62"/>
      <c r="C103" s="749"/>
      <c r="D103" s="51"/>
      <c r="E103" s="59"/>
      <c r="F103" s="52"/>
      <c r="G103" s="52"/>
      <c r="H103" s="52"/>
      <c r="I103" s="52"/>
      <c r="J103" s="52"/>
      <c r="K103" s="52"/>
      <c r="L103" s="52"/>
      <c r="M103" s="52"/>
      <c r="N103" s="773"/>
      <c r="O103" s="773"/>
      <c r="P103" s="1111"/>
      <c r="Q103" s="1111"/>
      <c r="R103" s="1111"/>
      <c r="S103" s="1111"/>
      <c r="T103" s="773"/>
      <c r="U103" s="773"/>
      <c r="V103" s="773"/>
      <c r="W103" s="773"/>
      <c r="X103" s="773"/>
      <c r="Y103" s="773"/>
      <c r="Z103" s="773"/>
      <c r="AA103" s="773"/>
      <c r="AB103" s="773"/>
      <c r="AC103" s="773"/>
      <c r="AD103" s="773"/>
      <c r="AE103" s="773"/>
      <c r="AF103" s="773"/>
      <c r="AG103" s="773"/>
      <c r="AH103" s="773"/>
      <c r="AI103" s="773"/>
      <c r="AJ103" s="773"/>
      <c r="AK103" s="773"/>
      <c r="AL103" s="773"/>
      <c r="AM103" s="773"/>
      <c r="AN103" s="773"/>
      <c r="AO103" s="773"/>
      <c r="AP103" s="773"/>
      <c r="AQ103" s="773"/>
      <c r="AR103" s="773"/>
    </row>
    <row r="104" spans="1:44">
      <c r="A104" s="52"/>
      <c r="B104" s="62"/>
      <c r="C104" s="749"/>
      <c r="D104" s="51"/>
      <c r="E104" s="59"/>
      <c r="F104" s="52"/>
      <c r="G104" s="52"/>
      <c r="H104" s="52"/>
      <c r="I104" s="52"/>
      <c r="J104" s="52"/>
      <c r="K104" s="52"/>
      <c r="L104" s="52"/>
      <c r="M104" s="52"/>
      <c r="N104" s="773"/>
      <c r="O104" s="773"/>
      <c r="P104" s="1111"/>
      <c r="Q104" s="1111"/>
      <c r="R104" s="1111"/>
      <c r="S104" s="1111"/>
      <c r="T104" s="773"/>
      <c r="U104" s="773"/>
      <c r="V104" s="773"/>
      <c r="W104" s="773"/>
      <c r="X104" s="773"/>
      <c r="Y104" s="773"/>
      <c r="Z104" s="773"/>
      <c r="AA104" s="773"/>
      <c r="AB104" s="773"/>
      <c r="AC104" s="773"/>
      <c r="AD104" s="773"/>
      <c r="AE104" s="773"/>
      <c r="AF104" s="773"/>
      <c r="AG104" s="773"/>
      <c r="AH104" s="773"/>
      <c r="AI104" s="773"/>
      <c r="AJ104" s="773"/>
      <c r="AK104" s="773"/>
      <c r="AL104" s="773"/>
      <c r="AM104" s="773"/>
      <c r="AN104" s="773"/>
      <c r="AO104" s="773"/>
      <c r="AP104" s="773"/>
      <c r="AQ104" s="773"/>
      <c r="AR104" s="773"/>
    </row>
    <row r="105" spans="1:44">
      <c r="A105" s="52"/>
      <c r="B105" s="52"/>
      <c r="C105" s="748"/>
      <c r="D105" s="52"/>
      <c r="E105" s="52"/>
      <c r="F105" s="52"/>
      <c r="G105" s="52"/>
      <c r="H105" s="52"/>
      <c r="I105" s="52"/>
      <c r="J105" s="52"/>
      <c r="K105" s="52"/>
      <c r="L105" s="52"/>
      <c r="M105" s="52"/>
      <c r="N105" s="773"/>
      <c r="O105" s="773"/>
      <c r="P105" s="1111"/>
      <c r="Q105" s="1111"/>
      <c r="R105" s="1111"/>
      <c r="S105" s="1111"/>
      <c r="T105" s="773"/>
      <c r="U105" s="773"/>
      <c r="V105" s="773"/>
      <c r="W105" s="773"/>
      <c r="X105" s="773"/>
      <c r="Y105" s="773"/>
      <c r="Z105" s="773"/>
      <c r="AA105" s="773"/>
      <c r="AB105" s="773"/>
      <c r="AC105" s="773"/>
      <c r="AD105" s="773"/>
      <c r="AE105" s="773"/>
      <c r="AF105" s="773"/>
      <c r="AG105" s="773"/>
      <c r="AH105" s="773"/>
      <c r="AI105" s="773"/>
      <c r="AJ105" s="773"/>
      <c r="AK105" s="773"/>
      <c r="AL105" s="773"/>
      <c r="AM105" s="773"/>
      <c r="AN105" s="773"/>
      <c r="AO105" s="773"/>
      <c r="AP105" s="773"/>
      <c r="AQ105" s="773"/>
      <c r="AR105" s="773"/>
    </row>
    <row r="106" spans="1:44">
      <c r="A106" s="62"/>
      <c r="B106" s="52"/>
      <c r="C106" s="748"/>
      <c r="D106" s="52"/>
      <c r="E106" s="52"/>
      <c r="F106" s="52"/>
      <c r="G106" s="52"/>
      <c r="H106" s="52"/>
      <c r="I106" s="52"/>
      <c r="J106" s="52"/>
      <c r="K106" s="52"/>
      <c r="L106" s="52"/>
      <c r="M106" s="52"/>
      <c r="N106" s="773"/>
      <c r="O106" s="773"/>
      <c r="P106" s="1111"/>
      <c r="Q106" s="1111"/>
      <c r="R106" s="1111"/>
      <c r="S106" s="1111"/>
      <c r="T106" s="773"/>
      <c r="U106" s="773"/>
      <c r="V106" s="773"/>
      <c r="W106" s="773"/>
      <c r="X106" s="773"/>
      <c r="Y106" s="773"/>
      <c r="Z106" s="773"/>
      <c r="AA106" s="773"/>
      <c r="AB106" s="773"/>
      <c r="AC106" s="773"/>
      <c r="AD106" s="773"/>
      <c r="AE106" s="773"/>
      <c r="AF106" s="773"/>
      <c r="AG106" s="773"/>
      <c r="AH106" s="773"/>
      <c r="AI106" s="773"/>
      <c r="AJ106" s="773"/>
      <c r="AK106" s="773"/>
      <c r="AL106" s="773"/>
      <c r="AM106" s="773"/>
      <c r="AN106" s="773"/>
      <c r="AO106" s="773"/>
      <c r="AP106" s="773"/>
      <c r="AQ106" s="773"/>
      <c r="AR106" s="773"/>
    </row>
    <row r="107" spans="1:44">
      <c r="A107" s="52"/>
      <c r="B107" s="52"/>
      <c r="C107" s="748"/>
      <c r="D107" s="52"/>
      <c r="E107" s="52"/>
      <c r="F107" s="52"/>
      <c r="G107" s="52"/>
      <c r="H107" s="52"/>
      <c r="I107" s="52"/>
      <c r="J107" s="52"/>
      <c r="K107" s="52"/>
      <c r="L107" s="52"/>
      <c r="M107" s="52"/>
      <c r="N107" s="773"/>
      <c r="O107" s="773"/>
      <c r="P107" s="1111"/>
      <c r="Q107" s="1111"/>
      <c r="R107" s="1111"/>
      <c r="S107" s="1111"/>
      <c r="T107" s="773"/>
      <c r="U107" s="773"/>
      <c r="V107" s="773"/>
      <c r="W107" s="773"/>
      <c r="X107" s="773"/>
      <c r="Y107" s="773"/>
      <c r="Z107" s="773"/>
      <c r="AA107" s="773"/>
      <c r="AB107" s="773"/>
      <c r="AC107" s="773"/>
      <c r="AD107" s="773"/>
      <c r="AE107" s="773"/>
      <c r="AF107" s="773"/>
      <c r="AG107" s="773"/>
      <c r="AH107" s="773"/>
      <c r="AI107" s="773"/>
      <c r="AJ107" s="773"/>
      <c r="AK107" s="773"/>
      <c r="AL107" s="773"/>
      <c r="AM107" s="773"/>
      <c r="AN107" s="773"/>
      <c r="AO107" s="773"/>
      <c r="AP107" s="773"/>
      <c r="AQ107" s="773"/>
      <c r="AR107" s="773"/>
    </row>
    <row r="108" spans="1:44">
      <c r="A108" s="52"/>
      <c r="B108" s="60"/>
      <c r="C108" s="748"/>
      <c r="D108" s="52"/>
      <c r="E108" s="55"/>
      <c r="F108" s="52"/>
      <c r="G108" s="52"/>
      <c r="H108" s="52"/>
      <c r="I108" s="52"/>
      <c r="J108" s="52"/>
      <c r="K108" s="52"/>
      <c r="L108" s="52"/>
      <c r="M108" s="52"/>
      <c r="N108" s="773"/>
      <c r="O108" s="773"/>
      <c r="P108" s="1111"/>
      <c r="Q108" s="1111"/>
      <c r="R108" s="1111"/>
      <c r="S108" s="1111"/>
      <c r="T108" s="773"/>
      <c r="U108" s="773"/>
      <c r="V108" s="773"/>
      <c r="W108" s="773"/>
      <c r="X108" s="773"/>
      <c r="Y108" s="773"/>
      <c r="Z108" s="773"/>
      <c r="AA108" s="773"/>
      <c r="AB108" s="773"/>
      <c r="AC108" s="773"/>
      <c r="AD108" s="773"/>
      <c r="AE108" s="773"/>
      <c r="AF108" s="773"/>
      <c r="AG108" s="773"/>
      <c r="AH108" s="773"/>
      <c r="AI108" s="773"/>
      <c r="AJ108" s="773"/>
      <c r="AK108" s="773"/>
      <c r="AL108" s="773"/>
      <c r="AM108" s="773"/>
      <c r="AN108" s="773"/>
      <c r="AO108" s="773"/>
      <c r="AP108" s="773"/>
      <c r="AQ108" s="773"/>
      <c r="AR108" s="773"/>
    </row>
    <row r="109" spans="1:44">
      <c r="A109" s="52"/>
      <c r="B109" s="52"/>
      <c r="C109" s="748"/>
      <c r="D109" s="52"/>
      <c r="E109" s="52"/>
      <c r="F109" s="52"/>
      <c r="G109" s="52"/>
      <c r="H109" s="52"/>
      <c r="I109" s="52"/>
      <c r="J109" s="52"/>
      <c r="K109" s="52"/>
      <c r="L109" s="52"/>
      <c r="M109" s="52"/>
      <c r="N109" s="773"/>
      <c r="O109" s="773"/>
      <c r="P109" s="1111"/>
      <c r="Q109" s="1111"/>
      <c r="R109" s="1111"/>
      <c r="S109" s="1111"/>
      <c r="T109" s="773"/>
      <c r="U109" s="773"/>
      <c r="V109" s="773"/>
      <c r="W109" s="773"/>
      <c r="X109" s="773"/>
      <c r="Y109" s="773"/>
      <c r="Z109" s="773"/>
      <c r="AA109" s="773"/>
      <c r="AB109" s="773"/>
      <c r="AC109" s="773"/>
      <c r="AD109" s="773"/>
      <c r="AE109" s="773"/>
      <c r="AF109" s="773"/>
      <c r="AG109" s="773"/>
      <c r="AH109" s="773"/>
      <c r="AI109" s="773"/>
      <c r="AJ109" s="773"/>
      <c r="AK109" s="773"/>
      <c r="AL109" s="773"/>
      <c r="AM109" s="773"/>
      <c r="AN109" s="773"/>
      <c r="AO109" s="773"/>
      <c r="AP109" s="773"/>
      <c r="AQ109" s="773"/>
      <c r="AR109" s="773"/>
    </row>
    <row r="110" spans="1:44">
      <c r="A110" s="62"/>
      <c r="B110" s="52"/>
      <c r="C110" s="748"/>
      <c r="D110" s="52"/>
      <c r="E110" s="52"/>
      <c r="F110" s="52"/>
      <c r="G110" s="52"/>
      <c r="H110" s="52"/>
      <c r="I110" s="52"/>
      <c r="J110" s="52"/>
      <c r="K110" s="52"/>
      <c r="L110" s="52"/>
      <c r="M110" s="52"/>
      <c r="N110" s="773"/>
      <c r="O110" s="773"/>
      <c r="P110" s="1111"/>
      <c r="Q110" s="1111"/>
      <c r="R110" s="1111"/>
      <c r="S110" s="1111"/>
      <c r="T110" s="773"/>
      <c r="U110" s="773"/>
      <c r="V110" s="773"/>
      <c r="W110" s="773"/>
      <c r="X110" s="773"/>
      <c r="Y110" s="773"/>
      <c r="Z110" s="773"/>
      <c r="AA110" s="773"/>
      <c r="AB110" s="773"/>
      <c r="AC110" s="773"/>
      <c r="AD110" s="773"/>
      <c r="AE110" s="773"/>
      <c r="AF110" s="773"/>
      <c r="AG110" s="773"/>
      <c r="AH110" s="773"/>
      <c r="AI110" s="773"/>
      <c r="AJ110" s="773"/>
      <c r="AK110" s="773"/>
      <c r="AL110" s="773"/>
      <c r="AM110" s="773"/>
      <c r="AN110" s="773"/>
      <c r="AO110" s="773"/>
      <c r="AP110" s="773"/>
      <c r="AQ110" s="773"/>
      <c r="AR110" s="773"/>
    </row>
    <row r="111" spans="1:44">
      <c r="A111" s="52"/>
      <c r="B111" s="52"/>
      <c r="C111" s="748"/>
      <c r="D111" s="52"/>
      <c r="E111" s="52"/>
      <c r="F111" s="52"/>
      <c r="G111" s="52"/>
      <c r="H111" s="52"/>
      <c r="I111" s="52"/>
      <c r="J111" s="52"/>
      <c r="K111" s="52"/>
      <c r="L111" s="52"/>
      <c r="M111" s="52"/>
      <c r="N111" s="773"/>
      <c r="O111" s="773"/>
      <c r="P111" s="1111"/>
      <c r="Q111" s="1111"/>
      <c r="R111" s="1111"/>
      <c r="S111" s="1111"/>
      <c r="T111" s="773"/>
      <c r="U111" s="773"/>
      <c r="V111" s="773"/>
      <c r="W111" s="773"/>
      <c r="X111" s="773"/>
      <c r="Y111" s="773"/>
      <c r="Z111" s="773"/>
      <c r="AA111" s="773"/>
      <c r="AB111" s="773"/>
      <c r="AC111" s="773"/>
      <c r="AD111" s="773"/>
      <c r="AE111" s="773"/>
      <c r="AF111" s="773"/>
      <c r="AG111" s="773"/>
      <c r="AH111" s="773"/>
      <c r="AI111" s="773"/>
      <c r="AJ111" s="773"/>
      <c r="AK111" s="773"/>
      <c r="AL111" s="773"/>
      <c r="AM111" s="773"/>
      <c r="AN111" s="773"/>
      <c r="AO111" s="773"/>
      <c r="AP111" s="773"/>
      <c r="AQ111" s="773"/>
      <c r="AR111" s="773"/>
    </row>
    <row r="112" spans="1:44">
      <c r="A112" s="52"/>
      <c r="B112" s="60"/>
      <c r="C112" s="748"/>
      <c r="D112" s="52"/>
      <c r="E112" s="52"/>
      <c r="F112" s="52"/>
      <c r="G112" s="52"/>
      <c r="H112" s="52"/>
      <c r="I112" s="52"/>
      <c r="J112" s="52"/>
      <c r="K112" s="52"/>
      <c r="L112" s="52"/>
      <c r="M112" s="52"/>
      <c r="N112" s="773"/>
      <c r="O112" s="773"/>
      <c r="P112" s="1111"/>
      <c r="Q112" s="1111"/>
      <c r="R112" s="1111"/>
      <c r="S112" s="1111"/>
      <c r="T112" s="773"/>
      <c r="U112" s="773"/>
      <c r="V112" s="773"/>
      <c r="W112" s="773"/>
      <c r="X112" s="773"/>
      <c r="Y112" s="773"/>
      <c r="Z112" s="773"/>
      <c r="AA112" s="773"/>
      <c r="AB112" s="773"/>
      <c r="AC112" s="773"/>
      <c r="AD112" s="773"/>
      <c r="AE112" s="773"/>
      <c r="AF112" s="773"/>
      <c r="AG112" s="773"/>
      <c r="AH112" s="773"/>
      <c r="AI112" s="773"/>
      <c r="AJ112" s="773"/>
      <c r="AK112" s="773"/>
      <c r="AL112" s="773"/>
      <c r="AM112" s="773"/>
      <c r="AN112" s="773"/>
      <c r="AO112" s="773"/>
      <c r="AP112" s="773"/>
      <c r="AQ112" s="773"/>
      <c r="AR112" s="773"/>
    </row>
    <row r="113" spans="1:44">
      <c r="A113" s="52"/>
      <c r="B113" s="52"/>
      <c r="C113" s="748"/>
      <c r="D113" s="52"/>
      <c r="E113" s="61"/>
      <c r="F113" s="61"/>
      <c r="G113" s="61"/>
      <c r="H113" s="61"/>
      <c r="I113" s="61"/>
      <c r="J113" s="61"/>
      <c r="K113" s="61"/>
      <c r="L113" s="52"/>
      <c r="M113" s="52"/>
      <c r="N113" s="773"/>
      <c r="O113" s="773"/>
      <c r="P113" s="1111"/>
      <c r="Q113" s="1111"/>
      <c r="R113" s="1111"/>
      <c r="S113" s="1111"/>
      <c r="T113" s="773"/>
      <c r="U113" s="773"/>
      <c r="V113" s="773"/>
      <c r="W113" s="773"/>
      <c r="X113" s="773"/>
      <c r="Y113" s="773"/>
      <c r="Z113" s="773"/>
      <c r="AA113" s="773"/>
      <c r="AB113" s="773"/>
      <c r="AC113" s="773"/>
      <c r="AD113" s="773"/>
      <c r="AE113" s="773"/>
      <c r="AF113" s="773"/>
      <c r="AG113" s="773"/>
      <c r="AH113" s="773"/>
      <c r="AI113" s="773"/>
      <c r="AJ113" s="773"/>
      <c r="AK113" s="773"/>
      <c r="AL113" s="773"/>
      <c r="AM113" s="773"/>
      <c r="AN113" s="773"/>
      <c r="AO113" s="773"/>
      <c r="AP113" s="773"/>
      <c r="AQ113" s="773"/>
      <c r="AR113" s="773"/>
    </row>
    <row r="114" spans="1:44">
      <c r="A114" s="52"/>
      <c r="B114" s="52"/>
      <c r="C114" s="748"/>
      <c r="D114" s="52"/>
      <c r="E114" s="52"/>
      <c r="F114" s="52"/>
      <c r="G114" s="52"/>
      <c r="H114" s="52"/>
      <c r="I114" s="52"/>
      <c r="J114" s="52"/>
      <c r="K114" s="160"/>
      <c r="L114" s="52"/>
      <c r="M114" s="52"/>
      <c r="N114" s="773"/>
      <c r="O114" s="773"/>
      <c r="P114" s="1111"/>
      <c r="Q114" s="1111"/>
      <c r="R114" s="1111"/>
      <c r="S114" s="1111"/>
      <c r="T114" s="773"/>
      <c r="U114" s="773"/>
      <c r="V114" s="773"/>
      <c r="W114" s="773"/>
      <c r="X114" s="773"/>
      <c r="Y114" s="773"/>
      <c r="Z114" s="773"/>
      <c r="AA114" s="773"/>
      <c r="AB114" s="773"/>
      <c r="AC114" s="773"/>
      <c r="AD114" s="773"/>
      <c r="AE114" s="773"/>
      <c r="AF114" s="773"/>
      <c r="AG114" s="773"/>
      <c r="AH114" s="773"/>
      <c r="AI114" s="773"/>
      <c r="AJ114" s="773"/>
      <c r="AK114" s="773"/>
      <c r="AL114" s="773"/>
      <c r="AM114" s="773"/>
      <c r="AN114" s="773"/>
      <c r="AO114" s="773"/>
      <c r="AP114" s="773"/>
      <c r="AQ114" s="773"/>
      <c r="AR114" s="773"/>
    </row>
    <row r="115" spans="1:44">
      <c r="A115" s="52"/>
      <c r="B115" s="52"/>
      <c r="C115" s="748"/>
      <c r="D115" s="52"/>
      <c r="E115" s="52"/>
      <c r="F115" s="52"/>
      <c r="G115" s="52"/>
      <c r="H115" s="52"/>
      <c r="I115" s="160"/>
      <c r="J115" s="52"/>
      <c r="K115" s="52"/>
      <c r="L115" s="52"/>
      <c r="M115" s="52"/>
      <c r="N115" s="773"/>
      <c r="O115" s="773"/>
      <c r="P115" s="1111"/>
      <c r="Q115" s="1111"/>
      <c r="R115" s="1111"/>
      <c r="S115" s="1111"/>
      <c r="T115" s="773"/>
      <c r="U115" s="773"/>
      <c r="V115" s="773"/>
      <c r="W115" s="773"/>
      <c r="X115" s="773"/>
      <c r="Y115" s="773"/>
      <c r="Z115" s="773"/>
      <c r="AA115" s="773"/>
      <c r="AB115" s="773"/>
      <c r="AC115" s="773"/>
      <c r="AD115" s="773"/>
      <c r="AE115" s="773"/>
      <c r="AF115" s="773"/>
      <c r="AG115" s="773"/>
      <c r="AH115" s="773"/>
      <c r="AI115" s="773"/>
      <c r="AJ115" s="773"/>
      <c r="AK115" s="773"/>
      <c r="AL115" s="773"/>
      <c r="AM115" s="773"/>
      <c r="AN115" s="773"/>
      <c r="AO115" s="773"/>
      <c r="AP115" s="773"/>
      <c r="AQ115" s="773"/>
      <c r="AR115" s="773"/>
    </row>
    <row r="116" spans="1:44">
      <c r="A116" s="52"/>
      <c r="B116" s="52"/>
      <c r="C116" s="748"/>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3"/>
      <c r="AR116" s="773"/>
    </row>
    <row r="117" spans="1:44">
      <c r="A117" s="52"/>
      <c r="B117" s="52"/>
      <c r="C117" s="748"/>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3"/>
      <c r="AR117" s="773"/>
    </row>
    <row r="118" spans="1:44">
      <c r="A118" s="52"/>
      <c r="B118" s="52"/>
      <c r="C118" s="748"/>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3"/>
      <c r="AR118" s="773"/>
    </row>
    <row r="119" spans="1:44">
      <c r="A119" s="52"/>
      <c r="B119" s="52"/>
      <c r="C119" s="748"/>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3"/>
      <c r="AR119" s="773"/>
    </row>
    <row r="120" spans="1:44">
      <c r="A120" s="52"/>
      <c r="B120" s="52"/>
      <c r="C120" s="748"/>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3"/>
      <c r="AR120" s="773"/>
    </row>
    <row r="121" spans="1:44">
      <c r="A121" s="52"/>
      <c r="B121" s="52"/>
      <c r="C121" s="748"/>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3"/>
      <c r="AR121" s="773"/>
    </row>
    <row r="122" spans="1:44">
      <c r="A122" s="52"/>
      <c r="B122" s="52"/>
      <c r="C122" s="748"/>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3"/>
      <c r="AR122" s="773"/>
    </row>
    <row r="123" spans="1:44">
      <c r="A123" s="52"/>
      <c r="B123" s="52"/>
      <c r="C123" s="748"/>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3"/>
      <c r="AR123" s="773"/>
    </row>
    <row r="124" spans="1:44">
      <c r="A124" s="52"/>
      <c r="B124" s="52"/>
      <c r="C124" s="748"/>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3"/>
      <c r="AR124" s="773"/>
    </row>
    <row r="125" spans="1:44">
      <c r="A125" s="52"/>
      <c r="B125" s="52"/>
      <c r="C125" s="748"/>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3"/>
      <c r="AR125" s="773"/>
    </row>
    <row r="126" spans="1:44">
      <c r="A126" s="52"/>
      <c r="B126" s="52"/>
      <c r="C126" s="748"/>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3"/>
      <c r="AR126" s="773"/>
    </row>
    <row r="127" spans="1:44">
      <c r="A127" s="52"/>
      <c r="B127" s="52"/>
      <c r="C127" s="748"/>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3"/>
      <c r="AR127" s="773"/>
    </row>
    <row r="128" spans="1:44">
      <c r="A128" s="52"/>
      <c r="B128" s="52"/>
      <c r="C128" s="748"/>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3"/>
      <c r="AR128" s="773"/>
    </row>
    <row r="129" spans="1:44">
      <c r="A129" s="52"/>
      <c r="B129" s="52"/>
      <c r="C129" s="748"/>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3"/>
      <c r="AR129" s="773"/>
    </row>
    <row r="130" spans="1:44">
      <c r="A130" s="52"/>
      <c r="B130" s="52"/>
      <c r="C130" s="748"/>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3"/>
      <c r="AR130" s="773"/>
    </row>
    <row r="131" spans="1:44">
      <c r="A131" s="52"/>
      <c r="B131" s="52"/>
      <c r="C131" s="748"/>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3"/>
      <c r="AR131" s="773"/>
    </row>
    <row r="132" spans="1:44">
      <c r="A132" s="52"/>
      <c r="B132" s="52"/>
      <c r="C132" s="748"/>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3"/>
      <c r="AR132" s="773"/>
    </row>
    <row r="133" spans="1:44">
      <c r="A133" s="52"/>
      <c r="B133" s="52"/>
      <c r="C133" s="748"/>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3"/>
      <c r="AR133" s="773"/>
    </row>
    <row r="134" spans="1:44">
      <c r="A134" s="52"/>
      <c r="B134" s="52"/>
      <c r="C134" s="748"/>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3"/>
      <c r="AR134" s="773"/>
    </row>
    <row r="135" spans="1:44">
      <c r="A135" s="52"/>
      <c r="B135" s="52"/>
      <c r="C135" s="748"/>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3"/>
      <c r="AR135" s="773"/>
    </row>
    <row r="136" spans="1:44">
      <c r="A136" s="52"/>
      <c r="B136" s="52"/>
      <c r="C136" s="748"/>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3"/>
      <c r="AR136" s="773"/>
    </row>
    <row r="137" spans="1:44">
      <c r="A137" s="52"/>
      <c r="B137" s="52"/>
      <c r="C137" s="748"/>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3"/>
      <c r="AR137" s="773"/>
    </row>
    <row r="138" spans="1:44">
      <c r="A138" s="52"/>
      <c r="B138" s="52"/>
      <c r="C138" s="748"/>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3"/>
      <c r="AR138" s="773"/>
    </row>
    <row r="139" spans="1:44">
      <c r="A139" s="52"/>
      <c r="B139" s="52"/>
      <c r="C139" s="748"/>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3"/>
      <c r="AR139" s="773"/>
    </row>
    <row r="140" spans="1:44">
      <c r="A140" s="52"/>
      <c r="B140" s="52"/>
      <c r="C140" s="748"/>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3"/>
      <c r="AR140" s="773"/>
    </row>
    <row r="141" spans="1:44">
      <c r="A141" s="52"/>
      <c r="B141" s="52"/>
      <c r="C141" s="748"/>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3"/>
      <c r="AR141" s="773"/>
    </row>
    <row r="142" spans="1:44">
      <c r="A142" s="52"/>
      <c r="B142" s="52"/>
      <c r="C142" s="748"/>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3"/>
      <c r="AR142" s="773"/>
    </row>
    <row r="143" spans="1:44">
      <c r="A143" s="52"/>
      <c r="B143" s="52"/>
      <c r="C143" s="748"/>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3"/>
      <c r="AR143" s="773"/>
    </row>
    <row r="144" spans="1:44">
      <c r="A144" s="52"/>
      <c r="B144" s="60"/>
      <c r="C144" s="748"/>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3"/>
      <c r="AR144" s="773"/>
    </row>
    <row r="145" spans="1:44">
      <c r="A145" s="52"/>
      <c r="B145" s="52"/>
      <c r="C145" s="748"/>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3"/>
      <c r="AR145" s="773"/>
    </row>
    <row r="146" spans="1:44">
      <c r="A146" s="52"/>
      <c r="B146" s="52"/>
      <c r="C146" s="748"/>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3"/>
      <c r="AR146" s="773"/>
    </row>
    <row r="147" spans="1:44">
      <c r="A147" s="52"/>
      <c r="B147" s="52"/>
      <c r="C147" s="748"/>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3"/>
      <c r="AR147" s="773"/>
    </row>
    <row r="148" spans="1:44">
      <c r="A148" s="52"/>
      <c r="B148" s="52"/>
      <c r="C148" s="748"/>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3"/>
      <c r="AR148" s="773"/>
    </row>
    <row r="149" spans="1:44">
      <c r="A149" s="52"/>
      <c r="B149" s="52"/>
      <c r="C149" s="748"/>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3"/>
      <c r="AR149" s="773"/>
    </row>
    <row r="150" spans="1:44">
      <c r="A150" s="52"/>
      <c r="B150" s="52"/>
      <c r="C150" s="748"/>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3"/>
      <c r="AR150" s="773"/>
    </row>
    <row r="151" spans="1:44">
      <c r="A151" s="52"/>
      <c r="B151" s="52"/>
      <c r="C151" s="748"/>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3"/>
      <c r="AR151" s="773"/>
    </row>
    <row r="152" spans="1:44">
      <c r="A152" s="52"/>
      <c r="B152" s="52"/>
      <c r="C152" s="748"/>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3"/>
      <c r="AR152" s="773"/>
    </row>
    <row r="153" spans="1:44">
      <c r="A153" s="52"/>
      <c r="B153" s="52"/>
      <c r="C153" s="748"/>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3"/>
      <c r="AR153" s="773"/>
    </row>
    <row r="154" spans="1:44">
      <c r="A154" s="52"/>
      <c r="B154" s="52"/>
      <c r="C154" s="748"/>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3"/>
      <c r="AR154" s="773"/>
    </row>
    <row r="155" spans="1:44">
      <c r="A155" s="52"/>
      <c r="B155" s="60"/>
      <c r="C155" s="748"/>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3"/>
      <c r="AR155" s="773"/>
    </row>
    <row r="156" spans="1:44">
      <c r="A156" s="52"/>
      <c r="B156" s="52"/>
      <c r="C156" s="748"/>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3"/>
      <c r="AR156" s="773"/>
    </row>
    <row r="157" spans="1:44">
      <c r="A157" s="52"/>
      <c r="B157" s="52"/>
      <c r="C157" s="748"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3"/>
      <c r="AR157" s="773"/>
    </row>
    <row r="158" spans="1:44">
      <c r="A158" s="52"/>
      <c r="B158" s="52"/>
      <c r="C158" s="748"/>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3"/>
      <c r="AR158" s="773"/>
    </row>
    <row r="159" spans="1:44">
      <c r="A159" s="773"/>
      <c r="B159" s="60"/>
      <c r="C159" s="748"/>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3"/>
      <c r="AR159" s="773"/>
    </row>
    <row r="160" spans="1:44">
      <c r="A160" s="773"/>
      <c r="B160" s="52"/>
      <c r="C160" s="748"/>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3"/>
      <c r="AR160" s="773"/>
    </row>
    <row r="161" spans="1:44">
      <c r="A161" s="773"/>
      <c r="B161" s="52"/>
      <c r="C161" s="748"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3"/>
      <c r="AR161" s="773"/>
    </row>
    <row r="162" spans="1:44">
      <c r="A162" s="773"/>
      <c r="B162" s="773"/>
      <c r="C162" s="920"/>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3"/>
      <c r="AR162" s="773"/>
    </row>
    <row r="163" spans="1:44">
      <c r="A163" s="773"/>
      <c r="B163" s="60"/>
      <c r="C163" s="748"/>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3"/>
      <c r="AR163" s="773"/>
    </row>
    <row r="164" spans="1:44">
      <c r="A164" s="773"/>
      <c r="B164" s="52"/>
      <c r="C164" s="748"/>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3"/>
      <c r="AR164" s="773"/>
    </row>
    <row r="165" spans="1:44">
      <c r="A165" s="773"/>
      <c r="B165" s="52"/>
      <c r="C165" s="748"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3"/>
      <c r="AR165" s="773"/>
    </row>
    <row r="166" spans="1:44">
      <c r="A166" s="773"/>
      <c r="B166" s="773"/>
      <c r="C166" s="920"/>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3"/>
      <c r="AR166" s="773"/>
    </row>
    <row r="167" spans="1:44">
      <c r="A167" s="773"/>
      <c r="B167" s="60"/>
      <c r="C167" s="748"/>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3"/>
      <c r="AR167" s="773"/>
    </row>
    <row r="168" spans="1:44">
      <c r="A168" s="773"/>
      <c r="B168" s="52"/>
      <c r="C168" s="748"/>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3"/>
      <c r="AR168" s="773"/>
    </row>
    <row r="169" spans="1:44">
      <c r="A169" s="773"/>
      <c r="B169" s="52"/>
      <c r="C169" s="748"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3"/>
      <c r="AR169" s="773"/>
    </row>
    <row r="170" spans="1:44">
      <c r="A170" s="773"/>
      <c r="B170" s="773"/>
      <c r="C170" s="920"/>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3"/>
      <c r="AR170" s="773"/>
    </row>
    <row r="171" spans="1:44">
      <c r="A171" s="773"/>
      <c r="B171" s="773"/>
      <c r="C171" s="920"/>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3"/>
      <c r="AR171" s="773"/>
    </row>
    <row r="172" spans="1:44">
      <c r="A172" s="773"/>
      <c r="B172" s="773"/>
      <c r="C172" s="920"/>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3"/>
      <c r="AR172" s="773"/>
    </row>
    <row r="173" spans="1:44">
      <c r="A173" s="773"/>
      <c r="B173" s="773"/>
      <c r="C173" s="920"/>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3"/>
      <c r="AR173" s="773"/>
    </row>
    <row r="174" spans="1:44">
      <c r="A174" s="773"/>
      <c r="B174" s="773"/>
      <c r="C174" s="920"/>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3"/>
      <c r="AR174" s="773"/>
    </row>
    <row r="175" spans="1:44">
      <c r="A175" s="773"/>
      <c r="B175" s="773"/>
      <c r="C175" s="920"/>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3"/>
      <c r="AR175" s="773"/>
    </row>
    <row r="176" spans="1:44">
      <c r="A176" s="773"/>
      <c r="B176" s="773"/>
      <c r="C176" s="920"/>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3"/>
      <c r="AR176" s="773"/>
    </row>
    <row r="177" spans="1:44">
      <c r="A177" s="773"/>
      <c r="B177" s="773"/>
      <c r="C177" s="920"/>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3"/>
      <c r="AR177" s="773"/>
    </row>
    <row r="178" spans="1:44">
      <c r="A178" s="773"/>
      <c r="B178" s="773"/>
      <c r="C178" s="920"/>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3"/>
      <c r="AR178" s="773"/>
    </row>
    <row r="179" spans="1:44">
      <c r="A179" s="773"/>
      <c r="B179" s="773"/>
      <c r="C179" s="920"/>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3"/>
      <c r="AR179" s="773"/>
    </row>
    <row r="180" spans="1:44">
      <c r="A180" s="773"/>
      <c r="B180" s="773"/>
      <c r="C180" s="920"/>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3"/>
      <c r="AR180" s="773"/>
    </row>
    <row r="181" spans="1:44">
      <c r="A181" s="773"/>
      <c r="B181" s="773"/>
      <c r="C181" s="920"/>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3"/>
      <c r="AR181" s="773"/>
    </row>
    <row r="182" spans="1:44">
      <c r="A182" s="773"/>
      <c r="B182" s="773"/>
      <c r="C182" s="920"/>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3"/>
      <c r="AR182" s="773"/>
    </row>
    <row r="183" spans="1:44">
      <c r="A183" s="773"/>
      <c r="B183" s="773"/>
      <c r="C183" s="920"/>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3"/>
      <c r="AR183" s="773"/>
    </row>
    <row r="184" spans="1:44">
      <c r="A184" s="773"/>
      <c r="B184" s="773"/>
      <c r="C184" s="920"/>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3"/>
      <c r="AR184" s="773"/>
    </row>
    <row r="185" spans="1:44">
      <c r="A185" s="773"/>
      <c r="B185" s="773"/>
      <c r="C185" s="920"/>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3"/>
      <c r="AR185" s="773"/>
    </row>
    <row r="186" spans="1:44">
      <c r="A186" s="773"/>
      <c r="B186" s="773"/>
      <c r="C186" s="920"/>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3"/>
      <c r="AR186" s="773"/>
    </row>
    <row r="187" spans="1:44">
      <c r="A187" s="773"/>
      <c r="B187" s="773"/>
      <c r="C187" s="920"/>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3"/>
      <c r="AR187" s="773"/>
    </row>
    <row r="188" spans="1:44">
      <c r="A188" s="773"/>
      <c r="B188" s="773"/>
      <c r="C188" s="920"/>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3"/>
      <c r="AR188" s="773"/>
    </row>
    <row r="189" spans="1:44">
      <c r="A189" s="773"/>
      <c r="B189" s="773"/>
      <c r="C189" s="920"/>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3"/>
      <c r="AR189" s="773"/>
    </row>
    <row r="190" spans="1:44">
      <c r="A190" s="773"/>
      <c r="B190" s="773"/>
      <c r="C190" s="920"/>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3"/>
      <c r="AR190" s="773"/>
    </row>
    <row r="191" spans="1:44">
      <c r="A191" s="773"/>
      <c r="B191" s="773"/>
      <c r="C191" s="920"/>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3"/>
      <c r="AR191" s="773"/>
    </row>
    <row r="192" spans="1:44">
      <c r="A192" s="773"/>
      <c r="B192" s="773"/>
      <c r="C192" s="920"/>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3"/>
      <c r="AR192" s="773"/>
    </row>
    <row r="193" spans="1:44">
      <c r="A193" s="773"/>
      <c r="B193" s="773"/>
      <c r="C193" s="920"/>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3"/>
      <c r="AR193" s="773"/>
    </row>
    <row r="194" spans="1:44">
      <c r="A194" s="773"/>
      <c r="B194" s="773"/>
      <c r="C194" s="920"/>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3"/>
      <c r="AR194" s="773"/>
    </row>
    <row r="195" spans="1:44">
      <c r="A195" s="773"/>
      <c r="B195" s="773"/>
      <c r="C195" s="920"/>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3"/>
      <c r="AR195" s="773"/>
    </row>
    <row r="196" spans="1:44">
      <c r="A196" s="773"/>
      <c r="B196" s="773"/>
      <c r="C196" s="920"/>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3"/>
      <c r="AR196" s="773"/>
    </row>
    <row r="197" spans="1:44">
      <c r="A197" s="773"/>
      <c r="B197" s="773"/>
      <c r="C197" s="920"/>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3"/>
      <c r="AR197" s="773"/>
    </row>
    <row r="198" spans="1:44">
      <c r="A198" s="773"/>
      <c r="B198" s="773"/>
      <c r="C198" s="920"/>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3"/>
      <c r="AR198" s="773"/>
    </row>
    <row r="199" spans="1:44">
      <c r="A199" s="773"/>
      <c r="B199" s="773"/>
      <c r="C199" s="920"/>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3"/>
      <c r="AR199" s="773"/>
    </row>
    <row r="200" spans="1:44">
      <c r="A200" s="773"/>
      <c r="B200" s="773"/>
      <c r="C200" s="920"/>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3"/>
      <c r="AR200" s="773"/>
    </row>
    <row r="201" spans="1:44">
      <c r="A201" s="773"/>
      <c r="B201" s="773"/>
      <c r="C201" s="920"/>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3"/>
      <c r="AR201" s="773"/>
    </row>
    <row r="202" spans="1:44">
      <c r="A202" s="773"/>
      <c r="B202" s="773"/>
      <c r="C202" s="920"/>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3"/>
      <c r="AR202" s="773"/>
    </row>
    <row r="203" spans="1:44">
      <c r="A203" s="773"/>
      <c r="B203" s="773"/>
      <c r="C203" s="920"/>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3"/>
      <c r="AR203" s="773"/>
    </row>
    <row r="204" spans="1:44">
      <c r="A204" s="773"/>
      <c r="B204" s="773"/>
      <c r="C204" s="920"/>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3"/>
      <c r="AR204" s="773"/>
    </row>
    <row r="205" spans="1:44">
      <c r="A205" s="62"/>
      <c r="B205" s="62"/>
      <c r="C205" s="749"/>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50"/>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50"/>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heetViews>
  <sheetFormatPr defaultColWidth="8.921875" defaultRowHeight="15.5"/>
  <cols>
    <col min="1" max="1" width="6.61328125" style="1468" customWidth="1"/>
    <col min="2" max="2" width="59.15234375" style="1468" customWidth="1"/>
    <col min="3" max="8" width="10.921875" style="1468" customWidth="1"/>
    <col min="9" max="21" width="8.921875" style="1468"/>
    <col min="22" max="22" width="10.15234375" style="1468" customWidth="1"/>
    <col min="23" max="25" width="8.921875" style="1468"/>
    <col min="26" max="26" width="8.921875" style="2590"/>
    <col min="27" max="27" width="9.53515625" style="1468" customWidth="1"/>
    <col min="28" max="16384" width="8.921875" style="1468"/>
  </cols>
  <sheetData>
    <row r="1" spans="1:29" ht="30">
      <c r="A1" s="2568" t="s">
        <v>373</v>
      </c>
      <c r="B1" s="2569"/>
      <c r="C1" s="2570"/>
      <c r="D1" s="2571"/>
      <c r="E1" s="2571"/>
      <c r="F1" s="2571"/>
      <c r="G1" s="2572" t="s">
        <v>51</v>
      </c>
      <c r="H1" s="2573" t="s">
        <v>1211</v>
      </c>
      <c r="I1" s="2571"/>
      <c r="J1" s="2571"/>
      <c r="K1" s="2574">
        <f>VLOOKUP(Summary!$H$1,Summary!$V$1:$W$12,2,0)</f>
        <v>1</v>
      </c>
      <c r="L1" s="2571"/>
      <c r="M1" s="2571"/>
      <c r="N1" s="2571"/>
      <c r="O1" s="2571"/>
      <c r="P1" s="2571"/>
      <c r="Q1" s="2571"/>
      <c r="R1" s="2571"/>
      <c r="S1" s="2571"/>
      <c r="T1" s="2571"/>
      <c r="U1" s="2574" t="s">
        <v>1210</v>
      </c>
      <c r="V1" s="2575" t="s">
        <v>1211</v>
      </c>
      <c r="W1" s="2574">
        <v>1</v>
      </c>
      <c r="X1" s="2574" t="s">
        <v>743</v>
      </c>
      <c r="Y1" s="2574" t="s">
        <v>52</v>
      </c>
      <c r="Z1" s="2575" t="s">
        <v>731</v>
      </c>
      <c r="AA1" s="2574"/>
      <c r="AB1" s="2574"/>
      <c r="AC1" s="2574"/>
    </row>
    <row r="2" spans="1:29">
      <c r="C2" s="2571"/>
      <c r="D2" s="2571"/>
      <c r="E2" s="2571"/>
      <c r="F2" s="2571"/>
      <c r="G2" s="2571"/>
      <c r="H2" s="2571"/>
      <c r="I2" s="2571"/>
      <c r="J2" s="2571"/>
      <c r="K2" s="2571"/>
      <c r="L2" s="2571"/>
      <c r="M2" s="2571"/>
      <c r="N2" s="2571"/>
      <c r="O2" s="2571"/>
      <c r="P2" s="2571"/>
      <c r="Q2" s="2571"/>
      <c r="R2" s="2571"/>
      <c r="S2" s="2571"/>
      <c r="T2" s="2571"/>
      <c r="U2" s="2574" t="s">
        <v>1210</v>
      </c>
      <c r="V2" s="2575" t="s">
        <v>1212</v>
      </c>
      <c r="W2" s="2574">
        <v>2</v>
      </c>
      <c r="X2" s="2574" t="s">
        <v>743</v>
      </c>
      <c r="Y2" s="2574" t="s">
        <v>53</v>
      </c>
      <c r="Z2" s="2575" t="s">
        <v>400</v>
      </c>
      <c r="AA2" s="2574"/>
      <c r="AB2" s="2574"/>
      <c r="AC2" s="2574"/>
    </row>
    <row r="3" spans="1:29">
      <c r="A3" s="2576"/>
      <c r="B3" s="2576"/>
      <c r="C3" s="2571"/>
      <c r="D3" s="2571"/>
      <c r="E3" s="2571"/>
      <c r="F3" s="2571"/>
      <c r="G3" s="2571"/>
      <c r="H3" s="2571"/>
      <c r="I3" s="2571"/>
      <c r="J3" s="2571"/>
      <c r="K3" s="2571"/>
      <c r="L3" s="2571"/>
      <c r="M3" s="2571"/>
      <c r="N3" s="2571"/>
      <c r="O3" s="2571"/>
      <c r="P3" s="2571"/>
      <c r="Q3" s="2571"/>
      <c r="R3" s="2571"/>
      <c r="S3" s="2571"/>
      <c r="T3" s="2571"/>
      <c r="U3" s="2571"/>
      <c r="V3" s="2575" t="s">
        <v>1213</v>
      </c>
      <c r="W3" s="2574">
        <v>3</v>
      </c>
      <c r="X3" s="2574" t="s">
        <v>743</v>
      </c>
      <c r="Y3" s="2574" t="s">
        <v>195</v>
      </c>
      <c r="Z3" s="2575" t="s">
        <v>401</v>
      </c>
      <c r="AA3" s="2574"/>
      <c r="AB3" s="2574"/>
      <c r="AC3" s="2574"/>
    </row>
    <row r="4" spans="1:29">
      <c r="A4" s="2576" t="s">
        <v>309</v>
      </c>
      <c r="C4" s="2571"/>
      <c r="D4" s="2571"/>
      <c r="E4" s="2571"/>
      <c r="F4" s="2571"/>
      <c r="G4" s="2571"/>
      <c r="H4" s="2571"/>
      <c r="I4" s="2571"/>
      <c r="J4" s="2571"/>
      <c r="K4" s="2571"/>
      <c r="L4" s="2571"/>
      <c r="M4" s="2571"/>
      <c r="N4" s="2571"/>
      <c r="O4" s="2571"/>
      <c r="P4" s="2571"/>
      <c r="Q4" s="2571"/>
      <c r="R4" s="2571"/>
      <c r="S4" s="2571"/>
      <c r="T4" s="2571"/>
      <c r="U4" s="2571"/>
      <c r="V4" s="2575" t="s">
        <v>1214</v>
      </c>
      <c r="W4" s="2574">
        <v>4</v>
      </c>
      <c r="X4" s="2574" t="s">
        <v>743</v>
      </c>
      <c r="Y4" s="2574" t="s">
        <v>289</v>
      </c>
      <c r="Z4" s="2575" t="s">
        <v>402</v>
      </c>
      <c r="AA4" s="2574"/>
      <c r="AB4" s="2574"/>
      <c r="AC4" s="2574"/>
    </row>
    <row r="5" spans="1:29" ht="30">
      <c r="A5" s="2577"/>
      <c r="B5" s="2577"/>
      <c r="C5" s="2571"/>
      <c r="D5" s="2571"/>
      <c r="E5" s="2571"/>
      <c r="F5" s="2578"/>
      <c r="G5" s="2571"/>
      <c r="H5" s="2571"/>
      <c r="I5" s="2571"/>
      <c r="J5" s="2571"/>
      <c r="K5" s="2571"/>
      <c r="L5" s="2571"/>
      <c r="M5" s="2571"/>
      <c r="N5" s="2571"/>
      <c r="O5" s="2571"/>
      <c r="P5" s="2571"/>
      <c r="Q5" s="2571"/>
      <c r="R5" s="2571"/>
      <c r="S5" s="2571"/>
      <c r="T5" s="2571"/>
      <c r="U5" s="2571"/>
      <c r="V5" s="2575" t="s">
        <v>1215</v>
      </c>
      <c r="W5" s="2574">
        <v>5</v>
      </c>
      <c r="X5" s="2574" t="s">
        <v>743</v>
      </c>
      <c r="Y5" s="2574"/>
      <c r="Z5" s="2575" t="s">
        <v>732</v>
      </c>
      <c r="AA5" s="2574"/>
      <c r="AB5" s="2574"/>
      <c r="AC5" s="2574"/>
    </row>
    <row r="6" spans="1:29">
      <c r="C6" s="2571"/>
      <c r="D6" s="2571"/>
      <c r="E6" s="2571"/>
      <c r="F6" s="2571"/>
      <c r="G6" s="2571"/>
      <c r="H6" s="2571"/>
      <c r="I6" s="2571"/>
      <c r="J6" s="2571"/>
      <c r="K6" s="2571"/>
      <c r="L6" s="2571"/>
      <c r="M6" s="2571"/>
      <c r="N6" s="2571"/>
      <c r="O6" s="2571"/>
      <c r="P6" s="2571"/>
      <c r="Q6" s="2571"/>
      <c r="R6" s="2571"/>
      <c r="S6" s="2571"/>
      <c r="T6" s="2571"/>
      <c r="U6" s="2571"/>
      <c r="V6" s="2575" t="s">
        <v>1216</v>
      </c>
      <c r="W6" s="2574">
        <v>6</v>
      </c>
      <c r="X6" s="2574" t="s">
        <v>744</v>
      </c>
      <c r="Y6" s="2574"/>
      <c r="Z6" s="2575" t="s">
        <v>407</v>
      </c>
      <c r="AA6" s="2574"/>
      <c r="AB6" s="2574"/>
      <c r="AC6" s="2574"/>
    </row>
    <row r="7" spans="1:29" ht="23.5" thickBot="1">
      <c r="A7" s="2579" t="s">
        <v>43</v>
      </c>
      <c r="B7" s="2579"/>
      <c r="C7" s="2571"/>
      <c r="D7" s="2571"/>
      <c r="E7" s="2571"/>
      <c r="F7" s="2571"/>
      <c r="G7" s="2571"/>
      <c r="H7" s="2571"/>
      <c r="I7" s="2571"/>
      <c r="J7" s="2571"/>
      <c r="K7" s="2571"/>
      <c r="L7" s="2571"/>
      <c r="M7" s="2571"/>
      <c r="N7" s="2571"/>
      <c r="O7" s="2571"/>
      <c r="P7" s="2571"/>
      <c r="Q7" s="2571"/>
      <c r="R7" s="2571"/>
      <c r="S7" s="2571"/>
      <c r="T7" s="2571"/>
      <c r="U7" s="2571"/>
      <c r="V7" s="2575" t="s">
        <v>1217</v>
      </c>
      <c r="W7" s="2574">
        <v>7</v>
      </c>
      <c r="X7" s="2574" t="s">
        <v>743</v>
      </c>
      <c r="Y7" s="2574"/>
      <c r="Z7" s="2575" t="s">
        <v>49</v>
      </c>
      <c r="AA7" s="2574"/>
      <c r="AB7" s="2574"/>
      <c r="AC7" s="2574"/>
    </row>
    <row r="8" spans="1:29" ht="20">
      <c r="B8" s="2580"/>
      <c r="C8" s="2581" t="s">
        <v>41</v>
      </c>
      <c r="D8" s="2581" t="s">
        <v>155</v>
      </c>
      <c r="E8" s="2582"/>
      <c r="F8" s="2583"/>
      <c r="G8" s="2583"/>
      <c r="H8" s="2583"/>
      <c r="I8" s="2571"/>
      <c r="J8" s="2571"/>
      <c r="K8" s="2571"/>
      <c r="L8" s="2571"/>
      <c r="M8" s="2571"/>
      <c r="N8" s="2571"/>
      <c r="O8" s="2571"/>
      <c r="P8" s="2571"/>
      <c r="Q8" s="2571"/>
      <c r="R8" s="2571"/>
      <c r="S8" s="2571"/>
      <c r="T8" s="2571"/>
      <c r="U8" s="2571"/>
      <c r="V8" s="2575" t="s">
        <v>1218</v>
      </c>
      <c r="W8" s="2574">
        <v>8</v>
      </c>
      <c r="X8" s="2574" t="s">
        <v>743</v>
      </c>
      <c r="Y8" s="2574"/>
      <c r="Z8" s="2575" t="s">
        <v>170</v>
      </c>
      <c r="AA8" s="2574"/>
      <c r="AB8" s="2574"/>
      <c r="AC8" s="2574"/>
    </row>
    <row r="9" spans="1:29">
      <c r="C9" s="2584" t="s">
        <v>38</v>
      </c>
      <c r="D9" s="2584" t="s">
        <v>39</v>
      </c>
      <c r="E9" s="2582"/>
      <c r="F9" s="2583"/>
      <c r="G9" s="2583"/>
      <c r="H9" s="2583"/>
      <c r="I9" s="2571"/>
      <c r="J9" s="2571"/>
      <c r="K9" s="2571"/>
      <c r="L9" s="2571"/>
      <c r="M9" s="2571"/>
      <c r="N9" s="2571"/>
      <c r="O9" s="2571"/>
      <c r="P9" s="2571"/>
      <c r="Q9" s="2571"/>
      <c r="R9" s="2571"/>
      <c r="S9" s="2571"/>
      <c r="T9" s="2571"/>
      <c r="U9" s="2571"/>
      <c r="V9" s="2575" t="s">
        <v>1219</v>
      </c>
      <c r="W9" s="2574">
        <v>9</v>
      </c>
      <c r="X9" s="2574" t="s">
        <v>744</v>
      </c>
      <c r="Y9" s="2574"/>
      <c r="Z9" s="2575" t="s">
        <v>538</v>
      </c>
      <c r="AA9" s="2574"/>
      <c r="AB9" s="2574"/>
      <c r="AC9" s="2574"/>
    </row>
    <row r="10" spans="1:29" ht="16" thickBot="1">
      <c r="C10" s="2585" t="s">
        <v>50</v>
      </c>
      <c r="D10" s="2585" t="s">
        <v>50</v>
      </c>
      <c r="E10" s="2586"/>
      <c r="F10" s="2587"/>
      <c r="G10" s="2587"/>
      <c r="H10" s="2587"/>
      <c r="I10" s="2571"/>
      <c r="J10" s="2571"/>
      <c r="K10" s="2571"/>
      <c r="L10" s="2571"/>
      <c r="M10" s="2571"/>
      <c r="N10" s="2571"/>
      <c r="O10" s="2571"/>
      <c r="P10" s="2571"/>
      <c r="Q10" s="2571"/>
      <c r="R10" s="2571"/>
      <c r="S10" s="2571"/>
      <c r="T10" s="2571"/>
      <c r="U10" s="2571"/>
      <c r="V10" s="2575" t="s">
        <v>1220</v>
      </c>
      <c r="W10" s="2574">
        <v>10</v>
      </c>
      <c r="X10" s="2574" t="s">
        <v>743</v>
      </c>
      <c r="Y10" s="2574"/>
      <c r="Z10" s="2575" t="s">
        <v>997</v>
      </c>
      <c r="AA10" s="2574"/>
      <c r="AB10" s="2574" t="s">
        <v>926</v>
      </c>
      <c r="AC10" s="2574"/>
    </row>
    <row r="11" spans="1:29" ht="25.5" customHeight="1" thickBot="1">
      <c r="A11" s="1737">
        <v>1</v>
      </c>
      <c r="B11" s="2588" t="s">
        <v>871</v>
      </c>
      <c r="C11" s="1155">
        <f>'B - Monthly Positions'!P37</f>
        <v>50</v>
      </c>
      <c r="D11" s="1155">
        <f>'A - Movement'!C50</f>
        <v>-1.8999998428625986E-4</v>
      </c>
      <c r="E11" s="2571"/>
      <c r="F11" s="2571"/>
      <c r="G11" s="2571"/>
      <c r="H11" s="2571"/>
      <c r="V11" s="2575" t="s">
        <v>1221</v>
      </c>
      <c r="W11" s="2574">
        <v>11</v>
      </c>
      <c r="X11" s="2574" t="s">
        <v>743</v>
      </c>
      <c r="Y11" s="2574"/>
      <c r="Z11" s="2575" t="s">
        <v>742</v>
      </c>
      <c r="AA11" s="2574"/>
      <c r="AB11" s="2574"/>
      <c r="AC11" s="2574"/>
    </row>
    <row r="12" spans="1:29" ht="25.5" customHeight="1">
      <c r="V12" s="2575" t="s">
        <v>1222</v>
      </c>
      <c r="W12" s="2574">
        <v>12</v>
      </c>
      <c r="X12" s="2574" t="s">
        <v>744</v>
      </c>
      <c r="Y12" s="2574"/>
      <c r="Z12" s="2575" t="s">
        <v>373</v>
      </c>
      <c r="AA12" s="2574" t="s">
        <v>821</v>
      </c>
      <c r="AB12" s="2574" t="s">
        <v>926</v>
      </c>
      <c r="AC12" s="2574"/>
    </row>
    <row r="13" spans="1:29" ht="25.5" customHeight="1">
      <c r="V13" s="2575" t="s">
        <v>1211</v>
      </c>
      <c r="Z13" s="2575" t="s">
        <v>739</v>
      </c>
      <c r="AA13" s="2574" t="s">
        <v>821</v>
      </c>
      <c r="AB13" s="2574" t="s">
        <v>926</v>
      </c>
    </row>
    <row r="14" spans="1:29">
      <c r="V14" s="2575" t="s">
        <v>1212</v>
      </c>
      <c r="Z14" s="2575" t="s">
        <v>740</v>
      </c>
      <c r="AA14" s="2574" t="s">
        <v>821</v>
      </c>
      <c r="AB14" s="2574" t="s">
        <v>926</v>
      </c>
    </row>
    <row r="15" spans="1:29">
      <c r="V15" s="2575" t="s">
        <v>1213</v>
      </c>
      <c r="Z15" s="2575" t="s">
        <v>741</v>
      </c>
      <c r="AB15" s="2574" t="s">
        <v>926</v>
      </c>
    </row>
    <row r="16" spans="1:29">
      <c r="F16" s="2589"/>
      <c r="G16" s="2589"/>
      <c r="V16" s="2575" t="s">
        <v>1214</v>
      </c>
      <c r="Z16" s="2575" t="s">
        <v>621</v>
      </c>
    </row>
    <row r="17" spans="22:22" ht="26.25" customHeight="1">
      <c r="V17" s="2575" t="s">
        <v>1215</v>
      </c>
    </row>
    <row r="18" spans="22:22" ht="26.25" customHeight="1">
      <c r="V18" s="2575" t="s">
        <v>1216</v>
      </c>
    </row>
    <row r="19" spans="22:22" ht="26.25" customHeight="1">
      <c r="V19" s="2575" t="s">
        <v>1217</v>
      </c>
    </row>
    <row r="20" spans="22:22" ht="26.25" customHeight="1">
      <c r="V20" s="2575" t="s">
        <v>1218</v>
      </c>
    </row>
    <row r="21" spans="22:22" ht="26.25" customHeight="1">
      <c r="V21" s="2575" t="s">
        <v>1219</v>
      </c>
    </row>
    <row r="22" spans="22:22">
      <c r="V22" s="2575" t="s">
        <v>1220</v>
      </c>
    </row>
    <row r="23" spans="22:22">
      <c r="V23" s="2575" t="s">
        <v>1221</v>
      </c>
    </row>
    <row r="24" spans="22:22">
      <c r="V24" s="2575" t="s">
        <v>1222</v>
      </c>
    </row>
    <row r="98" spans="27:27">
      <c r="AA98" s="2591"/>
    </row>
    <row r="188" spans="2:2">
      <c r="B188" s="1468" t="s">
        <v>729</v>
      </c>
    </row>
    <row r="189" spans="2:2">
      <c r="B189" s="1468" t="s">
        <v>45</v>
      </c>
    </row>
    <row r="190" spans="2:2">
      <c r="B190" s="1468" t="s">
        <v>46</v>
      </c>
    </row>
    <row r="191" spans="2:2">
      <c r="B191" s="1468" t="s">
        <v>47</v>
      </c>
    </row>
    <row r="192" spans="2:2">
      <c r="B192" s="1468" t="s">
        <v>730</v>
      </c>
    </row>
    <row r="193" spans="2:2">
      <c r="B193" s="1468" t="s">
        <v>48</v>
      </c>
    </row>
    <row r="194" spans="2:2">
      <c r="B194" s="1468" t="s">
        <v>49</v>
      </c>
    </row>
    <row r="195" spans="2:2">
      <c r="B195" s="1468" t="s">
        <v>538</v>
      </c>
    </row>
    <row r="199" spans="2:2">
      <c r="B199" s="2592" t="s">
        <v>52</v>
      </c>
    </row>
    <row r="200" spans="2:2">
      <c r="B200" s="2593"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L45" sqref="L45"/>
    </sheetView>
  </sheetViews>
  <sheetFormatPr defaultRowHeight="15.5"/>
  <cols>
    <col min="1" max="1" width="4.15234375" customWidth="1"/>
    <col min="2" max="2" width="97.53515625" customWidth="1"/>
    <col min="3" max="3" width="11.61328125" customWidth="1"/>
    <col min="4" max="4" width="10.15234375" customWidth="1"/>
    <col min="5" max="5" width="11.07421875" customWidth="1"/>
    <col min="6" max="6" width="10.61328125" customWidth="1"/>
    <col min="7" max="8" width="3.07421875" customWidth="1"/>
    <col min="9" max="9" width="3.921875" customWidth="1"/>
    <col min="21" max="21" width="9.07421875" customWidth="1"/>
    <col min="25" max="27" width="8.61328125" customWidth="1"/>
  </cols>
  <sheetData>
    <row r="1" spans="1:66" ht="18">
      <c r="A1" s="127" t="str">
        <f>+Summary!A1</f>
        <v>Public Health Wales Trust</v>
      </c>
      <c r="B1" s="150"/>
      <c r="C1" s="150"/>
      <c r="D1" s="150"/>
      <c r="E1" s="150" t="s">
        <v>51</v>
      </c>
      <c r="F1" s="955" t="str">
        <f>+Summary!H1</f>
        <v>Apr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40">
        <f t="shared" ref="J4:U4" si="0">IF(D61="Ok",0,1)</f>
        <v>1</v>
      </c>
      <c r="K4" s="840">
        <f t="shared" si="0"/>
        <v>1</v>
      </c>
      <c r="L4" s="840">
        <f t="shared" si="0"/>
        <v>1</v>
      </c>
      <c r="M4" s="840">
        <f t="shared" si="0"/>
        <v>1</v>
      </c>
      <c r="N4" s="840">
        <f t="shared" si="0"/>
        <v>1</v>
      </c>
      <c r="O4" s="840">
        <f t="shared" si="0"/>
        <v>1</v>
      </c>
      <c r="P4" s="840">
        <f t="shared" si="0"/>
        <v>1</v>
      </c>
      <c r="Q4" s="840">
        <f t="shared" si="0"/>
        <v>1</v>
      </c>
      <c r="R4" s="840">
        <f t="shared" si="0"/>
        <v>1</v>
      </c>
      <c r="S4" s="840">
        <f t="shared" si="0"/>
        <v>1</v>
      </c>
      <c r="T4" s="840">
        <f t="shared" si="0"/>
        <v>1</v>
      </c>
      <c r="U4" s="840">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4" t="str">
        <f>"This Table is currently showing "&amp;$W$66&amp;" errors"</f>
        <v>This Table is currently showing 0 errors</v>
      </c>
      <c r="C5" s="71"/>
      <c r="D5" s="71"/>
      <c r="E5" s="71"/>
      <c r="F5" s="71"/>
      <c r="G5" s="71"/>
      <c r="H5" s="71"/>
      <c r="I5" s="71"/>
      <c r="J5" s="840">
        <f t="shared" ref="J5:U5" si="1">IF(D62="Ok",0,1)</f>
        <v>1</v>
      </c>
      <c r="K5" s="840">
        <f t="shared" si="1"/>
        <v>1</v>
      </c>
      <c r="L5" s="840">
        <f t="shared" si="1"/>
        <v>1</v>
      </c>
      <c r="M5" s="840">
        <f t="shared" si="1"/>
        <v>1</v>
      </c>
      <c r="N5" s="840">
        <f t="shared" si="1"/>
        <v>1</v>
      </c>
      <c r="O5" s="840">
        <f t="shared" si="1"/>
        <v>1</v>
      </c>
      <c r="P5" s="840">
        <f t="shared" si="1"/>
        <v>1</v>
      </c>
      <c r="Q5" s="840">
        <f t="shared" si="1"/>
        <v>1</v>
      </c>
      <c r="R5" s="840">
        <f t="shared" si="1"/>
        <v>1</v>
      </c>
      <c r="S5" s="840">
        <f t="shared" si="1"/>
        <v>1</v>
      </c>
      <c r="T5" s="840">
        <f t="shared" si="1"/>
        <v>1</v>
      </c>
      <c r="U5" s="840">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4"/>
      <c r="C6" s="71"/>
      <c r="D6" s="71"/>
      <c r="E6" s="71"/>
      <c r="F6" s="71"/>
      <c r="G6" s="71"/>
      <c r="H6" s="71"/>
      <c r="I6" s="71"/>
      <c r="J6" s="840">
        <f t="shared" ref="J6:U6" si="2">IF(D63="Ok",0,1)</f>
        <v>1</v>
      </c>
      <c r="K6" s="840">
        <f t="shared" si="2"/>
        <v>1</v>
      </c>
      <c r="L6" s="840">
        <f t="shared" si="2"/>
        <v>1</v>
      </c>
      <c r="M6" s="840">
        <f t="shared" si="2"/>
        <v>1</v>
      </c>
      <c r="N6" s="840">
        <f t="shared" si="2"/>
        <v>1</v>
      </c>
      <c r="O6" s="840">
        <f t="shared" si="2"/>
        <v>1</v>
      </c>
      <c r="P6" s="840">
        <f t="shared" si="2"/>
        <v>1</v>
      </c>
      <c r="Q6" s="840">
        <f t="shared" si="2"/>
        <v>1</v>
      </c>
      <c r="R6" s="840">
        <f t="shared" si="2"/>
        <v>1</v>
      </c>
      <c r="S6" s="840">
        <f t="shared" si="2"/>
        <v>1</v>
      </c>
      <c r="T6" s="840">
        <f t="shared" si="2"/>
        <v>1</v>
      </c>
      <c r="U6" s="840">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30" t="s">
        <v>1015</v>
      </c>
      <c r="C7" s="71"/>
      <c r="D7" s="71"/>
      <c r="E7" s="71"/>
      <c r="F7" s="71"/>
      <c r="G7" s="71"/>
      <c r="H7" s="71"/>
      <c r="I7" s="71"/>
      <c r="J7" s="840">
        <f t="shared" ref="J7:U7" si="3">IF(D64="Ok",0,1)</f>
        <v>1</v>
      </c>
      <c r="K7" s="840">
        <f t="shared" si="3"/>
        <v>1</v>
      </c>
      <c r="L7" s="840">
        <f t="shared" si="3"/>
        <v>1</v>
      </c>
      <c r="M7" s="840">
        <f t="shared" si="3"/>
        <v>1</v>
      </c>
      <c r="N7" s="840">
        <f t="shared" si="3"/>
        <v>1</v>
      </c>
      <c r="O7" s="840">
        <f t="shared" si="3"/>
        <v>1</v>
      </c>
      <c r="P7" s="840">
        <f t="shared" si="3"/>
        <v>1</v>
      </c>
      <c r="Q7" s="840">
        <f t="shared" si="3"/>
        <v>1</v>
      </c>
      <c r="R7" s="840">
        <f t="shared" si="3"/>
        <v>1</v>
      </c>
      <c r="S7" s="840">
        <f t="shared" si="3"/>
        <v>1</v>
      </c>
      <c r="T7" s="840">
        <f t="shared" si="3"/>
        <v>1</v>
      </c>
      <c r="U7" s="840">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30"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3" t="s">
        <v>712</v>
      </c>
      <c r="D9" s="1553" t="s">
        <v>434</v>
      </c>
      <c r="E9" s="1553" t="s">
        <v>708</v>
      </c>
      <c r="F9" s="1553" t="s">
        <v>709</v>
      </c>
      <c r="G9" s="71"/>
      <c r="H9" s="71"/>
      <c r="I9" s="71"/>
      <c r="J9" s="1553" t="s">
        <v>181</v>
      </c>
      <c r="K9" s="1553" t="s">
        <v>89</v>
      </c>
      <c r="L9" s="1553" t="s">
        <v>90</v>
      </c>
      <c r="M9" s="1553" t="s">
        <v>91</v>
      </c>
      <c r="N9" s="1553" t="s">
        <v>92</v>
      </c>
      <c r="O9" s="1553" t="s">
        <v>93</v>
      </c>
      <c r="P9" s="1553" t="s">
        <v>94</v>
      </c>
      <c r="Q9" s="1553" t="s">
        <v>95</v>
      </c>
      <c r="R9" s="1553" t="s">
        <v>96</v>
      </c>
      <c r="S9" s="1553" t="s">
        <v>97</v>
      </c>
      <c r="T9" s="1553" t="s">
        <v>98</v>
      </c>
      <c r="U9" s="1553" t="s">
        <v>99</v>
      </c>
      <c r="V9" s="1553" t="s">
        <v>38</v>
      </c>
      <c r="W9" s="1553"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1"/>
      <c r="C10" s="986" t="s">
        <v>50</v>
      </c>
      <c r="D10" s="986" t="s">
        <v>50</v>
      </c>
      <c r="E10" s="986" t="s">
        <v>50</v>
      </c>
      <c r="F10" s="986" t="s">
        <v>50</v>
      </c>
      <c r="G10" s="71"/>
      <c r="H10" s="71"/>
      <c r="I10" s="71"/>
      <c r="J10" s="986" t="s">
        <v>50</v>
      </c>
      <c r="K10" s="986" t="s">
        <v>50</v>
      </c>
      <c r="L10" s="986" t="s">
        <v>50</v>
      </c>
      <c r="M10" s="986" t="s">
        <v>50</v>
      </c>
      <c r="N10" s="986" t="s">
        <v>50</v>
      </c>
      <c r="O10" s="986" t="s">
        <v>50</v>
      </c>
      <c r="P10" s="986" t="s">
        <v>50</v>
      </c>
      <c r="Q10" s="986" t="s">
        <v>50</v>
      </c>
      <c r="R10" s="986" t="s">
        <v>50</v>
      </c>
      <c r="S10" s="986" t="s">
        <v>50</v>
      </c>
      <c r="T10" s="986" t="s">
        <v>50</v>
      </c>
      <c r="U10" s="986" t="s">
        <v>50</v>
      </c>
      <c r="V10" s="986" t="s">
        <v>50</v>
      </c>
      <c r="W10" s="986"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50">
        <v>1</v>
      </c>
      <c r="B11" s="991" t="s">
        <v>1029</v>
      </c>
      <c r="C11" s="1131">
        <f t="shared" ref="C11:C17" si="4">W11</f>
        <v>0</v>
      </c>
      <c r="D11" s="1131">
        <v>0</v>
      </c>
      <c r="E11" s="1131">
        <f>C11</f>
        <v>0</v>
      </c>
      <c r="F11" s="1131">
        <f>E11</f>
        <v>0</v>
      </c>
      <c r="G11" s="111">
        <f>IF(ABS(F11)-ABS(E11)&gt;-1,0,1)+IF(E11=0,0,IF(SIGN(E11)=SIGN(F11),0,1))</f>
        <v>0</v>
      </c>
      <c r="H11" s="111">
        <f>IF(ABS(E11)&gt;ABS(C11),1,0)+IF(ABS(D11)&gt;ABS(C11),1,0)</f>
        <v>0</v>
      </c>
      <c r="I11" s="950">
        <f t="shared" ref="I11:I27" si="5">A11</f>
        <v>1</v>
      </c>
      <c r="J11" s="954"/>
      <c r="K11" s="954"/>
      <c r="L11" s="954"/>
      <c r="M11" s="954"/>
      <c r="N11" s="954"/>
      <c r="O11" s="954"/>
      <c r="P11" s="954"/>
      <c r="Q11" s="954"/>
      <c r="R11" s="954"/>
      <c r="S11" s="954"/>
      <c r="T11" s="954"/>
      <c r="U11" s="954"/>
      <c r="V11" s="1131">
        <f>SUMPRODUCT('B - Monthly Positions'!$D$7:$O$7,J11:U11)</f>
        <v>0</v>
      </c>
      <c r="W11" s="1131">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50">
        <f>A11+1</f>
        <v>2</v>
      </c>
      <c r="B12" s="991" t="s">
        <v>1030</v>
      </c>
      <c r="C12" s="1131">
        <f t="shared" si="4"/>
        <v>-33615.999999999993</v>
      </c>
      <c r="D12" s="1131">
        <f t="shared" ref="D12:D17" si="7">C12-E12</f>
        <v>-3060.9999999999927</v>
      </c>
      <c r="E12" s="954">
        <f>-E14-E18</f>
        <v>-30555</v>
      </c>
      <c r="F12" s="954">
        <f>E12</f>
        <v>-30555</v>
      </c>
      <c r="G12" s="111">
        <f>IF(ABS(F12)-ABS(E12)&gt;-1,0,1)+IF(E12=0,0,IF(SIGN(E12)=SIGN(F12),0,1))</f>
        <v>0</v>
      </c>
      <c r="H12" s="111">
        <f>IF(ABS(E12)&gt;ABS(C12),1,0)+IF(ABS(D12)&gt;ABS(C12),1,0)</f>
        <v>0</v>
      </c>
      <c r="I12" s="950">
        <f t="shared" si="5"/>
        <v>2</v>
      </c>
      <c r="J12" s="954">
        <f t="shared" ref="J12:U12" si="8">-33616/12</f>
        <v>-2801.3333333333335</v>
      </c>
      <c r="K12" s="954">
        <f t="shared" si="8"/>
        <v>-2801.3333333333335</v>
      </c>
      <c r="L12" s="954">
        <f t="shared" si="8"/>
        <v>-2801.3333333333335</v>
      </c>
      <c r="M12" s="954">
        <f t="shared" si="8"/>
        <v>-2801.3333333333335</v>
      </c>
      <c r="N12" s="954">
        <f t="shared" si="8"/>
        <v>-2801.3333333333335</v>
      </c>
      <c r="O12" s="954">
        <f t="shared" si="8"/>
        <v>-2801.3333333333335</v>
      </c>
      <c r="P12" s="954">
        <f t="shared" si="8"/>
        <v>-2801.3333333333335</v>
      </c>
      <c r="Q12" s="954">
        <f t="shared" si="8"/>
        <v>-2801.3333333333335</v>
      </c>
      <c r="R12" s="954">
        <f t="shared" si="8"/>
        <v>-2801.3333333333335</v>
      </c>
      <c r="S12" s="954">
        <f t="shared" si="8"/>
        <v>-2801.3333333333335</v>
      </c>
      <c r="T12" s="954">
        <f t="shared" si="8"/>
        <v>-2801.3333333333335</v>
      </c>
      <c r="U12" s="954">
        <f t="shared" si="8"/>
        <v>-2801.3333333333335</v>
      </c>
      <c r="V12" s="1131">
        <f>SUMPRODUCT('B - Monthly Positions'!$D$7:$O$7,J12:U12)</f>
        <v>-2801.3333333333335</v>
      </c>
      <c r="W12" s="1131">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50">
        <f t="shared" ref="A13:A39" si="9">A12+1</f>
        <v>3</v>
      </c>
      <c r="B13" s="1862" t="s">
        <v>1031</v>
      </c>
      <c r="C13" s="1131">
        <f t="shared" si="4"/>
        <v>-16930.000000976004</v>
      </c>
      <c r="D13" s="1131">
        <f t="shared" si="7"/>
        <v>-16930.000000976004</v>
      </c>
      <c r="E13" s="954">
        <v>0</v>
      </c>
      <c r="F13" s="954">
        <v>0</v>
      </c>
      <c r="G13" s="111"/>
      <c r="H13" s="111"/>
      <c r="I13" s="950">
        <f t="shared" si="5"/>
        <v>3</v>
      </c>
      <c r="J13" s="1131">
        <f>-'B3 - COVID-19'!C147</f>
        <v>-984.98719000000006</v>
      </c>
      <c r="K13" s="1131">
        <f>-'B3 - COVID-19'!D147</f>
        <v>-1046.9339092508944</v>
      </c>
      <c r="L13" s="1131">
        <f>-'B3 - COVID-19'!E147</f>
        <v>-1570.2463429260856</v>
      </c>
      <c r="M13" s="1131">
        <f>-'B3 - COVID-19'!F147</f>
        <v>-1144.7442342508946</v>
      </c>
      <c r="N13" s="1131">
        <f>-'B3 - COVID-19'!G147</f>
        <v>-1135.2442342508946</v>
      </c>
      <c r="O13" s="1131">
        <f>-'B3 - COVID-19'!H147</f>
        <v>-1651.787351259419</v>
      </c>
      <c r="P13" s="1131">
        <f>-'B3 - COVID-19'!I147</f>
        <v>-1438.7479469858174</v>
      </c>
      <c r="Q13" s="1131">
        <f>-'B3 - COVID-19'!J147</f>
        <v>-1383.9683758416022</v>
      </c>
      <c r="R13" s="1131">
        <f>-'B3 - COVID-19'!K147</f>
        <v>-1908.3053386524839</v>
      </c>
      <c r="S13" s="1131">
        <f>-'B3 - COVID-19'!L147</f>
        <v>-1416.7479469858174</v>
      </c>
      <c r="T13" s="1131">
        <f>-'B3 - COVID-19'!M147</f>
        <v>-1364.7229546973872</v>
      </c>
      <c r="U13" s="1131">
        <f>-'B3 - COVID-19'!N147</f>
        <v>-1883.5641758747061</v>
      </c>
      <c r="V13" s="1131">
        <f>SUMPRODUCT('B - Monthly Positions'!$D$7:$O$7,J13:U13)</f>
        <v>-984.98719000000006</v>
      </c>
      <c r="W13" s="1131">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50">
        <f t="shared" si="9"/>
        <v>4</v>
      </c>
      <c r="B14" s="991" t="s">
        <v>1017</v>
      </c>
      <c r="C14" s="1131">
        <f t="shared" si="4"/>
        <v>30442.000000000011</v>
      </c>
      <c r="D14" s="1131">
        <f t="shared" si="7"/>
        <v>2400.0000000000109</v>
      </c>
      <c r="E14" s="954">
        <v>28042</v>
      </c>
      <c r="F14" s="954">
        <f>E14</f>
        <v>28042</v>
      </c>
      <c r="G14" s="111">
        <f>IF(ABS(F14)-ABS(E14)&gt;-1,0,1)+IF(E14=0,0,IF(SIGN(E14)=SIGN(F14),0,1))</f>
        <v>0</v>
      </c>
      <c r="H14" s="111">
        <f>IF(ABS(E14)&gt;ABS(C14),1,0)+IF(ABS(D14)&gt;ABS(C14),1,0)</f>
        <v>0</v>
      </c>
      <c r="I14" s="950">
        <f t="shared" si="5"/>
        <v>4</v>
      </c>
      <c r="J14" s="954">
        <f>33616/12-J18</f>
        <v>1556.916666666667</v>
      </c>
      <c r="K14" s="954">
        <f t="shared" ref="K14:U14" si="10">33616/12-K18</f>
        <v>2625.916666666667</v>
      </c>
      <c r="L14" s="954">
        <f t="shared" si="10"/>
        <v>2625.916666666667</v>
      </c>
      <c r="M14" s="954">
        <f t="shared" si="10"/>
        <v>2625.916666666667</v>
      </c>
      <c r="N14" s="954">
        <f t="shared" si="10"/>
        <v>2625.916666666667</v>
      </c>
      <c r="O14" s="954">
        <f t="shared" si="10"/>
        <v>2625.916666666667</v>
      </c>
      <c r="P14" s="954">
        <f t="shared" si="10"/>
        <v>2625.916666666667</v>
      </c>
      <c r="Q14" s="954">
        <f t="shared" si="10"/>
        <v>2625.916666666667</v>
      </c>
      <c r="R14" s="954">
        <f t="shared" si="10"/>
        <v>2625.916666666667</v>
      </c>
      <c r="S14" s="954">
        <f t="shared" si="10"/>
        <v>2625.916666666667</v>
      </c>
      <c r="T14" s="954">
        <f t="shared" si="10"/>
        <v>2625.916666666667</v>
      </c>
      <c r="U14" s="954">
        <f t="shared" si="10"/>
        <v>2625.916666666667</v>
      </c>
      <c r="V14" s="1131">
        <f>SUMPRODUCT('B - Monthly Positions'!$D$7:$O$7,J14:U14)</f>
        <v>1556.916666666667</v>
      </c>
      <c r="W14" s="1131">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50">
        <f t="shared" si="9"/>
        <v>5</v>
      </c>
      <c r="B15" s="1862" t="s">
        <v>1024</v>
      </c>
      <c r="C15" s="1131">
        <f t="shared" si="4"/>
        <v>16929.999810976002</v>
      </c>
      <c r="D15" s="1131">
        <f t="shared" si="7"/>
        <v>16929.999810976002</v>
      </c>
      <c r="E15" s="954">
        <v>0</v>
      </c>
      <c r="F15" s="954">
        <v>0</v>
      </c>
      <c r="G15" s="111"/>
      <c r="H15" s="111"/>
      <c r="I15" s="950">
        <f t="shared" si="5"/>
        <v>5</v>
      </c>
      <c r="J15" s="1131">
        <f>'B3 - COVID-19'!C151</f>
        <v>984.98699999999997</v>
      </c>
      <c r="K15" s="1131">
        <f>'B3 - COVID-19'!D151</f>
        <v>1046.9339092508944</v>
      </c>
      <c r="L15" s="1131">
        <f>'B3 - COVID-19'!E151</f>
        <v>1570.2463429260856</v>
      </c>
      <c r="M15" s="1131">
        <f>'B3 - COVID-19'!F151</f>
        <v>1144.7442342508946</v>
      </c>
      <c r="N15" s="1131">
        <f>'B3 - COVID-19'!G151</f>
        <v>1135.2442342508946</v>
      </c>
      <c r="O15" s="1131">
        <f>'B3 - COVID-19'!H151</f>
        <v>1651.787351259419</v>
      </c>
      <c r="P15" s="1131">
        <f>'B3 - COVID-19'!I151</f>
        <v>1438.7479469858174</v>
      </c>
      <c r="Q15" s="1131">
        <f>'B3 - COVID-19'!J151</f>
        <v>1383.9683758416022</v>
      </c>
      <c r="R15" s="1131">
        <f>'B3 - COVID-19'!K151</f>
        <v>1908.3053386524839</v>
      </c>
      <c r="S15" s="1131">
        <f>'B3 - COVID-19'!L151</f>
        <v>1416.7479469858174</v>
      </c>
      <c r="T15" s="1131">
        <f>'B3 - COVID-19'!M151</f>
        <v>1364.7229546973872</v>
      </c>
      <c r="U15" s="1131">
        <f>'B3 - COVID-19'!N151</f>
        <v>1883.5641758747061</v>
      </c>
      <c r="V15" s="1131">
        <f>SUMPRODUCT('B - Monthly Positions'!$D$7:$O$7,J15:U15)</f>
        <v>984.98699999999997</v>
      </c>
      <c r="W15" s="1131">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50">
        <f t="shared" si="9"/>
        <v>6</v>
      </c>
      <c r="B16" s="991" t="s">
        <v>1018</v>
      </c>
      <c r="C16" s="1131">
        <f t="shared" si="4"/>
        <v>0</v>
      </c>
      <c r="D16" s="1131">
        <f t="shared" si="7"/>
        <v>0</v>
      </c>
      <c r="E16" s="954"/>
      <c r="F16" s="954"/>
      <c r="G16" s="111">
        <f>IF(ABS(F16)-ABS(E16)&gt;-1,0,1)+IF(E16=0,0,IF(SIGN(E16)=SIGN(F16),0,1))</f>
        <v>0</v>
      </c>
      <c r="H16" s="111">
        <f>IF(ABS(E16)&gt;ABS(C16),1,0)+IF(ABS(D16)&gt;ABS(C16),1,0)</f>
        <v>0</v>
      </c>
      <c r="I16" s="950">
        <f t="shared" si="5"/>
        <v>6</v>
      </c>
      <c r="J16" s="954"/>
      <c r="K16" s="954"/>
      <c r="L16" s="954"/>
      <c r="M16" s="954"/>
      <c r="N16" s="954"/>
      <c r="O16" s="954"/>
      <c r="P16" s="954"/>
      <c r="Q16" s="954"/>
      <c r="R16" s="954"/>
      <c r="S16" s="954"/>
      <c r="T16" s="954"/>
      <c r="U16" s="954"/>
      <c r="V16" s="1131">
        <f>SUMPRODUCT('B - Monthly Positions'!$D$7:$O$7,J16:U16)</f>
        <v>0</v>
      </c>
      <c r="W16" s="1131">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50">
        <f t="shared" si="9"/>
        <v>7</v>
      </c>
      <c r="B17" s="991" t="s">
        <v>999</v>
      </c>
      <c r="C17" s="1131">
        <f t="shared" si="4"/>
        <v>0</v>
      </c>
      <c r="D17" s="1131">
        <f t="shared" si="7"/>
        <v>0</v>
      </c>
      <c r="E17" s="1131">
        <v>0</v>
      </c>
      <c r="F17" s="1131">
        <v>0</v>
      </c>
      <c r="G17" s="111">
        <f>IF(ABS(F17)-ABS(E17)&gt;-1,0,1)+IF(E17=0,0,IF(SIGN(E17)=SIGN(F17),0,1))</f>
        <v>0</v>
      </c>
      <c r="H17" s="111">
        <f>IF(ABS(E17)&gt;ABS(C17),1,0)+IF(ABS(D17)&gt;ABS(C17),1,0)</f>
        <v>0</v>
      </c>
      <c r="I17" s="950">
        <f t="shared" si="5"/>
        <v>7</v>
      </c>
      <c r="J17" s="954"/>
      <c r="K17" s="954"/>
      <c r="L17" s="954"/>
      <c r="M17" s="954"/>
      <c r="N17" s="954"/>
      <c r="O17" s="954"/>
      <c r="P17" s="954"/>
      <c r="Q17" s="954"/>
      <c r="R17" s="954"/>
      <c r="S17" s="954"/>
      <c r="T17" s="954"/>
      <c r="U17" s="1689">
        <f>-SUM(J17:T17)</f>
        <v>0</v>
      </c>
      <c r="V17" s="1131">
        <f>SUMPRODUCT('B - Monthly Positions'!$D$7:$O$7,J17:U17)</f>
        <v>0</v>
      </c>
      <c r="W17" s="1131">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50">
        <f t="shared" si="9"/>
        <v>8</v>
      </c>
      <c r="B18" s="991" t="s">
        <v>1019</v>
      </c>
      <c r="C18" s="2038">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8">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8">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8">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50">
        <f t="shared" si="5"/>
        <v>8</v>
      </c>
      <c r="J18" s="1689">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9">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9">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9">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9">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9">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9">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9">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9">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9">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9">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9">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1">
        <f>SUMPRODUCT('B - Monthly Positions'!$D$7:$O$7,J18:U18)</f>
        <v>1244.4166666666665</v>
      </c>
      <c r="W18" s="1131">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50">
        <f t="shared" si="9"/>
        <v>9</v>
      </c>
      <c r="B19" s="991" t="s">
        <v>1020</v>
      </c>
      <c r="C19" s="2038">
        <f>SUMIFS('Table C4 Tracker'!$G$43:$G$1496,'Table C4 Tracker'!$L$43:$L$1496,'Table C4 Tracker'!$BY$1,'Table C4 Tracker'!$R$43:$R$1496,'Table C4 Tracker'!$CQ$2,'Table C4 Tracker'!$O$43:$O$1496, "&lt;&gt;Red")</f>
        <v>0</v>
      </c>
      <c r="D19" s="2038">
        <f>SUMIFS('Table C4 Tracker'!$G$43:$G$1496,'Table C4 Tracker'!$L$43:$L$1496,'Table C4 Tracker'!$BY$1,'Table C4 Tracker'!$F$43:$F$1496,'Table C4 Tracker'!$BZ$2,'Table C4 Tracker'!$R$43:$R$1496,'Table C4 Tracker'!$CQ$2,'Table C4 Tracker'!$O$43:$O$1496, "&lt;&gt;Red")</f>
        <v>0</v>
      </c>
      <c r="E19" s="2038">
        <f>SUMIFS('Table C4 Tracker'!$G$43:$G$1496,'Table C4 Tracker'!$L$43:$L$1496,'Table C4 Tracker'!$BY$1,'Table C4 Tracker'!$F$43:$F$1496,'Table C4 Tracker'!$BZ$1,'Table C4 Tracker'!$R$43:$R$1496,'Table C4 Tracker'!$CQ$2,'Table C4 Tracker'!$O$43:$O$1496, "&lt;&gt;Red")</f>
        <v>0</v>
      </c>
      <c r="F19" s="2038">
        <f>SUMIFS('Table C4 Tracker'!$H$43:$H$1496,'Table C4 Tracker'!$L$43:$L$1496,'Table C4 Tracker'!$BY$1,'Table C4 Tracker'!$R$43:$R$1496,'Table C4 Tracker'!$CQ$2,'Table C4 Tracker'!$O$43:$O$1496, "&lt;&gt;Red")</f>
        <v>0</v>
      </c>
      <c r="G19" s="111"/>
      <c r="H19" s="111"/>
      <c r="I19" s="950">
        <f t="shared" si="5"/>
        <v>9</v>
      </c>
      <c r="J19" s="2108">
        <f>SUMIFS('Table C4 Tracker'!V$43:V$1496,'Table C4 Tracker'!$O$43:$O$1496, "&lt;&gt;Red",'Table C4 Tracker'!$L$43:$L$1496,'Table C4 Tracker'!$BY$1,'Table C4 Tracker'!$R$43:$R$1496,'Table C4 Tracker'!$CQ$2)</f>
        <v>0</v>
      </c>
      <c r="K19" s="2108">
        <f>SUMIFS('Table C4 Tracker'!W$43:W$1496,'Table C4 Tracker'!$O$43:$O$1496, "&lt;&gt;Red",'Table C4 Tracker'!$L$43:$L$1496,'Table C4 Tracker'!$BY$1,'Table C4 Tracker'!$R$43:$R$1496,'Table C4 Tracker'!$CQ$2)</f>
        <v>0</v>
      </c>
      <c r="L19" s="2108">
        <f>SUMIFS('Table C4 Tracker'!X$43:X$1496,'Table C4 Tracker'!$O$43:$O$1496, "&lt;&gt;Red",'Table C4 Tracker'!$L$43:$L$1496,'Table C4 Tracker'!$BY$1,'Table C4 Tracker'!$R$43:$R$1496,'Table C4 Tracker'!$CQ$2)</f>
        <v>0</v>
      </c>
      <c r="M19" s="2108">
        <f>SUMIFS('Table C4 Tracker'!Y$43:Y$1496,'Table C4 Tracker'!$O$43:$O$1496, "&lt;&gt;Red",'Table C4 Tracker'!$L$43:$L$1496,'Table C4 Tracker'!$BY$1,'Table C4 Tracker'!$R$43:$R$1496,'Table C4 Tracker'!$CQ$2)</f>
        <v>0</v>
      </c>
      <c r="N19" s="2108">
        <f>SUMIFS('Table C4 Tracker'!Z$43:Z$1496,'Table C4 Tracker'!$O$43:$O$1496, "&lt;&gt;Red",'Table C4 Tracker'!$L$43:$L$1496,'Table C4 Tracker'!$BY$1,'Table C4 Tracker'!$R$43:$R$1496,'Table C4 Tracker'!$CQ$2)</f>
        <v>0</v>
      </c>
      <c r="O19" s="2108">
        <f>SUMIFS('Table C4 Tracker'!AA$43:AA$1496,'Table C4 Tracker'!$O$43:$O$1496, "&lt;&gt;Red",'Table C4 Tracker'!$L$43:$L$1496,'Table C4 Tracker'!$BY$1,'Table C4 Tracker'!$R$43:$R$1496,'Table C4 Tracker'!$CQ$2)</f>
        <v>0</v>
      </c>
      <c r="P19" s="2108">
        <f>SUMIFS('Table C4 Tracker'!AB$43:AB$1496,'Table C4 Tracker'!$O$43:$O$1496, "&lt;&gt;Red",'Table C4 Tracker'!$L$43:$L$1496,'Table C4 Tracker'!$BY$1,'Table C4 Tracker'!$R$43:$R$1496,'Table C4 Tracker'!$CQ$2)</f>
        <v>0</v>
      </c>
      <c r="Q19" s="2108">
        <f>SUMIFS('Table C4 Tracker'!AC$43:AC$1496,'Table C4 Tracker'!$O$43:$O$1496, "&lt;&gt;Red",'Table C4 Tracker'!$L$43:$L$1496,'Table C4 Tracker'!$BY$1,'Table C4 Tracker'!$R$43:$R$1496,'Table C4 Tracker'!$CQ$2)</f>
        <v>0</v>
      </c>
      <c r="R19" s="2108">
        <f>SUMIFS('Table C4 Tracker'!AD$43:AD$1496,'Table C4 Tracker'!$O$43:$O$1496, "&lt;&gt;Red",'Table C4 Tracker'!$L$43:$L$1496,'Table C4 Tracker'!$BY$1,'Table C4 Tracker'!$R$43:$R$1496,'Table C4 Tracker'!$CQ$2)</f>
        <v>0</v>
      </c>
      <c r="S19" s="2108">
        <f>SUMIFS('Table C4 Tracker'!AE$43:AE$1496,'Table C4 Tracker'!$O$43:$O$1496, "&lt;&gt;Red",'Table C4 Tracker'!$L$43:$L$1496,'Table C4 Tracker'!$BY$1,'Table C4 Tracker'!$R$43:$R$1496,'Table C4 Tracker'!$CQ$2)</f>
        <v>0</v>
      </c>
      <c r="T19" s="2108">
        <f>SUMIFS('Table C4 Tracker'!AF$43:AF$1496,'Table C4 Tracker'!$O$43:$O$1496, "&lt;&gt;Red",'Table C4 Tracker'!$L$43:$L$1496,'Table C4 Tracker'!$BY$1,'Table C4 Tracker'!$R$43:$R$1496,'Table C4 Tracker'!$CQ$2)</f>
        <v>0</v>
      </c>
      <c r="U19" s="2108">
        <f>SUMIFS('Table C4 Tracker'!AG$43:AG$1496,'Table C4 Tracker'!$O$43:$O$1496, "&lt;&gt;Red",'Table C4 Tracker'!$L$43:$L$1496,'Table C4 Tracker'!$BY$1,'Table C4 Tracker'!$R$43:$R$1496,'Table C4 Tracker'!$CQ$2)</f>
        <v>0</v>
      </c>
      <c r="V19" s="1131">
        <f>SUMPRODUCT('B - Monthly Positions'!$D$7:$O$7,J19:U19)</f>
        <v>0</v>
      </c>
      <c r="W19" s="1131">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50">
        <f t="shared" si="9"/>
        <v>10</v>
      </c>
      <c r="B20" s="991" t="s">
        <v>863</v>
      </c>
      <c r="C20" s="1131">
        <f>W20</f>
        <v>0</v>
      </c>
      <c r="D20" s="1131">
        <f>C20</f>
        <v>0</v>
      </c>
      <c r="E20" s="1131">
        <v>0</v>
      </c>
      <c r="F20" s="1131">
        <v>0</v>
      </c>
      <c r="G20" s="111"/>
      <c r="H20" s="111"/>
      <c r="I20" s="950">
        <f t="shared" si="5"/>
        <v>10</v>
      </c>
      <c r="J20" s="954"/>
      <c r="K20" s="954"/>
      <c r="L20" s="954"/>
      <c r="M20" s="954"/>
      <c r="N20" s="954"/>
      <c r="O20" s="954"/>
      <c r="P20" s="954"/>
      <c r="Q20" s="954"/>
      <c r="R20" s="954"/>
      <c r="S20" s="954"/>
      <c r="T20" s="954"/>
      <c r="U20" s="954"/>
      <c r="V20" s="1131">
        <f>SUMPRODUCT('B - Monthly Positions'!$D$7:$O$7,J20:U20)</f>
        <v>0</v>
      </c>
      <c r="W20" s="1131">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50">
        <f t="shared" si="9"/>
        <v>11</v>
      </c>
      <c r="B21" s="991" t="s">
        <v>864</v>
      </c>
      <c r="C21" s="1131">
        <f>W21</f>
        <v>0</v>
      </c>
      <c r="D21" s="1131">
        <f>C21-E21</f>
        <v>0</v>
      </c>
      <c r="E21" s="954"/>
      <c r="F21" s="954"/>
      <c r="G21" s="111">
        <f>IF(ABS(F21)-ABS(E21)&gt;-1,0,1)+IF(E21=0,0,IF(SIGN(E21)=SIGN(F21),0,1))</f>
        <v>0</v>
      </c>
      <c r="H21" s="111">
        <f>IF(ABS(E21)&gt;ABS(C21),1,0)+IF(ABS(D21)&gt;ABS(C21),1,0)</f>
        <v>0</v>
      </c>
      <c r="I21" s="950">
        <f t="shared" si="5"/>
        <v>11</v>
      </c>
      <c r="J21" s="954"/>
      <c r="K21" s="954"/>
      <c r="L21" s="954"/>
      <c r="M21" s="954"/>
      <c r="N21" s="954"/>
      <c r="O21" s="954"/>
      <c r="P21" s="954"/>
      <c r="Q21" s="954"/>
      <c r="R21" s="954"/>
      <c r="S21" s="954"/>
      <c r="T21" s="954"/>
      <c r="U21" s="954"/>
      <c r="V21" s="1131">
        <f>SUMPRODUCT('B - Monthly Positions'!$D$7:$O$7,J21:U21)</f>
        <v>0</v>
      </c>
      <c r="W21" s="1131">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50">
        <f t="shared" si="9"/>
        <v>12</v>
      </c>
      <c r="B22" s="1559"/>
      <c r="C22" s="1131">
        <f>W22</f>
        <v>0</v>
      </c>
      <c r="D22" s="1131">
        <f>C22-E22</f>
        <v>0</v>
      </c>
      <c r="E22" s="954"/>
      <c r="F22" s="954"/>
      <c r="G22" s="111">
        <f>IF(ABS(F22)-ABS(E22)&gt;-1,0,1)+IF(E22=0,0,IF(SIGN(E22)=SIGN(F22),0,1))</f>
        <v>0</v>
      </c>
      <c r="H22" s="111">
        <f>IF(ABS(E22)&gt;ABS(C22),1,0)+IF(ABS(D22)&gt;ABS(C22),1,0)</f>
        <v>0</v>
      </c>
      <c r="I22" s="950">
        <f t="shared" si="5"/>
        <v>12</v>
      </c>
      <c r="J22" s="954"/>
      <c r="K22" s="954"/>
      <c r="L22" s="954"/>
      <c r="M22" s="954"/>
      <c r="N22" s="954"/>
      <c r="O22" s="954"/>
      <c r="P22" s="954"/>
      <c r="Q22" s="954"/>
      <c r="R22" s="954"/>
      <c r="S22" s="954"/>
      <c r="T22" s="954"/>
      <c r="U22" s="954"/>
      <c r="V22" s="1131">
        <f>SUMPRODUCT('B - Monthly Positions'!$D$7:$O$7,J22:U22)</f>
        <v>0</v>
      </c>
      <c r="W22" s="1131">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50">
        <f t="shared" si="9"/>
        <v>13</v>
      </c>
      <c r="B23" s="991" t="s">
        <v>839</v>
      </c>
      <c r="C23" s="1131">
        <f>W23</f>
        <v>0</v>
      </c>
      <c r="D23" s="1131">
        <f>C23-E23</f>
        <v>0</v>
      </c>
      <c r="E23" s="954"/>
      <c r="F23" s="954"/>
      <c r="G23" s="111">
        <f>IF(ABS(F23)-ABS(E23)&gt;-1,0,1)+IF(E23=0,0,IF(SIGN(E23)=SIGN(F23),0,1))</f>
        <v>0</v>
      </c>
      <c r="H23" s="111">
        <f>IF(ABS(E23)&gt;ABS(C23),1,0)+IF(ABS(D23)&gt;ABS(C23),1,0)</f>
        <v>0</v>
      </c>
      <c r="I23" s="950">
        <f t="shared" si="5"/>
        <v>13</v>
      </c>
      <c r="J23" s="954"/>
      <c r="K23" s="954"/>
      <c r="L23" s="954"/>
      <c r="M23" s="954"/>
      <c r="N23" s="954"/>
      <c r="O23" s="954"/>
      <c r="P23" s="954"/>
      <c r="Q23" s="954"/>
      <c r="R23" s="954"/>
      <c r="S23" s="954"/>
      <c r="T23" s="954"/>
      <c r="U23" s="954"/>
      <c r="V23" s="1131">
        <f>SUMPRODUCT('B - Monthly Positions'!$D$7:$O$7,J23:U23)</f>
        <v>0</v>
      </c>
      <c r="W23" s="1131">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50">
        <f t="shared" si="9"/>
        <v>14</v>
      </c>
      <c r="B24" s="1129" t="s">
        <v>1011</v>
      </c>
      <c r="C24" s="951">
        <f>SUM(C11:C23)</f>
        <v>-1.8999998428625986E-4</v>
      </c>
      <c r="D24" s="951">
        <f>SUM(D11:D23)</f>
        <v>-1.8999998428625986E-4</v>
      </c>
      <c r="E24" s="951">
        <f>SUM(E11:E23)</f>
        <v>0</v>
      </c>
      <c r="F24" s="951">
        <f>SUM(F11:F23)</f>
        <v>0</v>
      </c>
      <c r="G24" s="111"/>
      <c r="H24" s="111"/>
      <c r="I24" s="950">
        <f t="shared" si="5"/>
        <v>14</v>
      </c>
      <c r="J24" s="951">
        <f t="shared" ref="J24:W24" si="11">SUM(J11:J23)</f>
        <v>-1.9000000020241714E-4</v>
      </c>
      <c r="K24" s="951">
        <f t="shared" si="11"/>
        <v>1.4210854715202004E-13</v>
      </c>
      <c r="L24" s="951">
        <f t="shared" si="11"/>
        <v>1.4210854715202004E-13</v>
      </c>
      <c r="M24" s="951">
        <f t="shared" si="11"/>
        <v>3.694822225952521E-13</v>
      </c>
      <c r="N24" s="951">
        <f t="shared" si="11"/>
        <v>3.694822225952521E-13</v>
      </c>
      <c r="O24" s="951">
        <f t="shared" si="11"/>
        <v>-8.5265128291212022E-14</v>
      </c>
      <c r="P24" s="951">
        <f t="shared" si="11"/>
        <v>-8.5265128291212022E-14</v>
      </c>
      <c r="Q24" s="951">
        <f t="shared" si="11"/>
        <v>5.9685589803848416E-13</v>
      </c>
      <c r="R24" s="951">
        <f t="shared" si="11"/>
        <v>1.4210854715202004E-13</v>
      </c>
      <c r="S24" s="951">
        <f t="shared" si="11"/>
        <v>-8.5265128291212022E-14</v>
      </c>
      <c r="T24" s="951">
        <f t="shared" si="11"/>
        <v>1.4210854715202004E-13</v>
      </c>
      <c r="U24" s="951">
        <f>SUM(U11:U23)</f>
        <v>-3.1263880373444408E-13</v>
      </c>
      <c r="V24" s="951">
        <f>SUM(V11:V23)</f>
        <v>-1.9000000020241714E-4</v>
      </c>
      <c r="W24" s="951">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50">
        <f t="shared" si="9"/>
        <v>15</v>
      </c>
      <c r="B25" s="1030" t="str">
        <f>"Reversal of "&amp;B23&amp;""</f>
        <v>Reversal of Planning Assumptions still to be finalised at Month 1</v>
      </c>
      <c r="C25" s="1131">
        <f>-C23</f>
        <v>0</v>
      </c>
      <c r="D25" s="1131">
        <f>-D23</f>
        <v>0</v>
      </c>
      <c r="E25" s="1131">
        <f>-E23</f>
        <v>0</v>
      </c>
      <c r="F25" s="1131">
        <f>-F23</f>
        <v>0</v>
      </c>
      <c r="G25" s="111"/>
      <c r="H25" s="111"/>
      <c r="I25" s="950">
        <f t="shared" si="5"/>
        <v>15</v>
      </c>
      <c r="J25" s="1131">
        <f t="shared" ref="J25:W25" si="12">-J23</f>
        <v>0</v>
      </c>
      <c r="K25" s="1131">
        <f t="shared" si="12"/>
        <v>0</v>
      </c>
      <c r="L25" s="1131">
        <f t="shared" si="12"/>
        <v>0</v>
      </c>
      <c r="M25" s="1131">
        <f t="shared" si="12"/>
        <v>0</v>
      </c>
      <c r="N25" s="1131">
        <f t="shared" si="12"/>
        <v>0</v>
      </c>
      <c r="O25" s="1131">
        <f t="shared" si="12"/>
        <v>0</v>
      </c>
      <c r="P25" s="1131">
        <f t="shared" si="12"/>
        <v>0</v>
      </c>
      <c r="Q25" s="1131">
        <f t="shared" si="12"/>
        <v>0</v>
      </c>
      <c r="R25" s="1131">
        <f t="shared" si="12"/>
        <v>0</v>
      </c>
      <c r="S25" s="1131">
        <f t="shared" si="12"/>
        <v>0</v>
      </c>
      <c r="T25" s="1131">
        <f t="shared" si="12"/>
        <v>0</v>
      </c>
      <c r="U25" s="1131">
        <f t="shared" si="12"/>
        <v>0</v>
      </c>
      <c r="V25" s="1131">
        <f t="shared" si="12"/>
        <v>0</v>
      </c>
      <c r="W25" s="1131">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50">
        <f t="shared" si="9"/>
        <v>16</v>
      </c>
      <c r="B26" s="1030" t="s">
        <v>1021</v>
      </c>
      <c r="C26" s="1131">
        <f>W26</f>
        <v>0</v>
      </c>
      <c r="D26" s="1131">
        <f>C26-E26</f>
        <v>0</v>
      </c>
      <c r="E26" s="954"/>
      <c r="F26" s="954"/>
      <c r="G26" s="111">
        <f>IF(ABS(F26)-ABS(E26)&gt;-1,0,1)+IF(E26=0,0,IF(SIGN(E26)=SIGN(F26),0,1))</f>
        <v>0</v>
      </c>
      <c r="H26" s="111">
        <f>IF(ABS(E26)&gt;ABS(C26),1,0)+IF(ABS(D26)&gt;ABS(C26),1,0)</f>
        <v>0</v>
      </c>
      <c r="I26" s="950">
        <f t="shared" si="5"/>
        <v>16</v>
      </c>
      <c r="J26" s="954"/>
      <c r="K26" s="954"/>
      <c r="L26" s="954"/>
      <c r="M26" s="954"/>
      <c r="N26" s="954"/>
      <c r="O26" s="954"/>
      <c r="P26" s="954"/>
      <c r="Q26" s="954"/>
      <c r="R26" s="954"/>
      <c r="S26" s="954"/>
      <c r="T26" s="954"/>
      <c r="U26" s="954"/>
      <c r="V26" s="1131">
        <f>SUMPRODUCT('B - Monthly Positions'!$D$7:$O$7,J26:U26)</f>
        <v>0</v>
      </c>
      <c r="W26" s="1131">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50">
        <f t="shared" si="9"/>
        <v>17</v>
      </c>
      <c r="B27" s="991" t="s">
        <v>1022</v>
      </c>
      <c r="C27" s="1131">
        <f>W27</f>
        <v>0</v>
      </c>
      <c r="D27" s="1131">
        <f>C27-E27</f>
        <v>0</v>
      </c>
      <c r="E27" s="954"/>
      <c r="F27" s="954"/>
      <c r="G27" s="111"/>
      <c r="H27" s="111"/>
      <c r="I27" s="950">
        <f t="shared" si="5"/>
        <v>17</v>
      </c>
      <c r="J27" s="954"/>
      <c r="K27" s="954"/>
      <c r="L27" s="954"/>
      <c r="M27" s="954"/>
      <c r="N27" s="954"/>
      <c r="O27" s="954"/>
      <c r="P27" s="954"/>
      <c r="Q27" s="954"/>
      <c r="R27" s="954"/>
      <c r="S27" s="954"/>
      <c r="T27" s="954"/>
      <c r="U27" s="954"/>
      <c r="V27" s="1131">
        <f>SUMPRODUCT('B - Monthly Positions'!$D$7:$O$7,J27:U27)</f>
        <v>0</v>
      </c>
      <c r="W27" s="1131">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50">
        <f t="shared" si="9"/>
        <v>18</v>
      </c>
      <c r="B28" s="991" t="s">
        <v>1208</v>
      </c>
      <c r="C28" s="2038">
        <f>SUMIFS('Table C4 Tracker'!$I$43:$I$1496,'Table C4 Tracker'!$R$43:$R$1496,'Table C4 Tracker'!$CQ$2,'Table C4 Tracker'!$O$43:$O$1496, "&lt;&gt;Red")-C19</f>
        <v>0</v>
      </c>
      <c r="D28" s="2038">
        <f>SUMIFS('Table C4 Tracker'!$I$43:$I$1496,'Table C4 Tracker'!$F$43:$F$1496,'Table C4 Tracker'!$BZ$2,'Table C4 Tracker'!$R$43:$R$1496,'Table C4 Tracker'!$CQ$2,'Table C4 Tracker'!$O$43:$O$1496, "&lt;&gt;Red")-D19</f>
        <v>0</v>
      </c>
      <c r="E28" s="2038">
        <f>SUMIFS('Table C4 Tracker'!$I$43:$I$1496,'Table C4 Tracker'!$F$43:$F$1496,'Table C4 Tracker'!$BZ$1,'Table C4 Tracker'!$R$43:$R$1496,'Table C4 Tracker'!$CQ$2,'Table C4 Tracker'!$O$43:$O$1496, "&lt;&gt;Red")-E19</f>
        <v>0</v>
      </c>
      <c r="F28" s="2038">
        <f>SUMIFS('Table C4 Tracker'!$J$43:$J$1496,'Table C4 Tracker'!$R$43:$R$1496,'Table C4 Tracker'!$CQ$2,'Table C4 Tracker'!$O$43:$O$1496, "&lt;&gt;Red")-F19</f>
        <v>0</v>
      </c>
      <c r="G28" s="111"/>
      <c r="H28" s="111"/>
      <c r="I28" s="950">
        <f t="shared" ref="I28:I33" si="14">A28</f>
        <v>18</v>
      </c>
      <c r="J28" s="1689">
        <f>SUMIFS('Table C4 Tracker'!AI$43:AI$1496,'Table C4 Tracker'!$O$43:$O$1496, "&lt;&gt;Red",'Table C4 Tracker'!$R$43:$R$1496,'Table C4 Tracker'!$CQ$2)-J19</f>
        <v>0</v>
      </c>
      <c r="K28" s="1689">
        <f>SUMIFS('Table C4 Tracker'!AJ$43:AJ$1496,'Table C4 Tracker'!$O$43:$O$1496, "&lt;&gt;Red",'Table C4 Tracker'!$R$43:$R$1496,'Table C4 Tracker'!$CQ$2)-K19</f>
        <v>0</v>
      </c>
      <c r="L28" s="1689">
        <f>SUMIFS('Table C4 Tracker'!AK$43:AK$1496,'Table C4 Tracker'!$O$43:$O$1496, "&lt;&gt;Red",'Table C4 Tracker'!$R$43:$R$1496,'Table C4 Tracker'!$CQ$2)-L19</f>
        <v>0</v>
      </c>
      <c r="M28" s="1689">
        <f>SUMIFS('Table C4 Tracker'!AL$43:AL$1496,'Table C4 Tracker'!$O$43:$O$1496, "&lt;&gt;Red",'Table C4 Tracker'!$R$43:$R$1496,'Table C4 Tracker'!$CQ$2)-M19</f>
        <v>0</v>
      </c>
      <c r="N28" s="1689">
        <f>SUMIFS('Table C4 Tracker'!AM$43:AM$1496,'Table C4 Tracker'!$O$43:$O$1496, "&lt;&gt;Red",'Table C4 Tracker'!$R$43:$R$1496,'Table C4 Tracker'!$CQ$2)-N19</f>
        <v>0</v>
      </c>
      <c r="O28" s="1689">
        <f>SUMIFS('Table C4 Tracker'!AN$43:AN$1496,'Table C4 Tracker'!$O$43:$O$1496, "&lt;&gt;Red",'Table C4 Tracker'!$R$43:$R$1496,'Table C4 Tracker'!$CQ$2)-O19</f>
        <v>0</v>
      </c>
      <c r="P28" s="1689">
        <f>SUMIFS('Table C4 Tracker'!AO$43:AO$1496,'Table C4 Tracker'!$O$43:$O$1496, "&lt;&gt;Red",'Table C4 Tracker'!$R$43:$R$1496,'Table C4 Tracker'!$CQ$2)-P19</f>
        <v>0</v>
      </c>
      <c r="Q28" s="1689">
        <f>SUMIFS('Table C4 Tracker'!AP$43:AP$1496,'Table C4 Tracker'!$O$43:$O$1496, "&lt;&gt;Red",'Table C4 Tracker'!$R$43:$R$1496,'Table C4 Tracker'!$CQ$2)-Q19</f>
        <v>0</v>
      </c>
      <c r="R28" s="1689">
        <f>SUMIFS('Table C4 Tracker'!AQ$43:AQ$1496,'Table C4 Tracker'!$O$43:$O$1496, "&lt;&gt;Red",'Table C4 Tracker'!$R$43:$R$1496,'Table C4 Tracker'!$CQ$2)-R19</f>
        <v>0</v>
      </c>
      <c r="S28" s="1689">
        <f>SUMIFS('Table C4 Tracker'!AR$43:AR$1496,'Table C4 Tracker'!$O$43:$O$1496, "&lt;&gt;Red",'Table C4 Tracker'!$R$43:$R$1496,'Table C4 Tracker'!$CQ$2)-S19</f>
        <v>0</v>
      </c>
      <c r="T28" s="1689">
        <f>SUMIFS('Table C4 Tracker'!AS$43:AS$1496,'Table C4 Tracker'!$O$43:$O$1496, "&lt;&gt;Red",'Table C4 Tracker'!$R$43:$R$1496,'Table C4 Tracker'!$CQ$2)-T19</f>
        <v>0</v>
      </c>
      <c r="U28" s="1689">
        <f>SUMIFS('Table C4 Tracker'!AT$43:AT$1496,'Table C4 Tracker'!$O$43:$O$1496, "&lt;&gt;Red",'Table C4 Tracker'!$R$43:$R$1496,'Table C4 Tracker'!$CQ$2)-U19</f>
        <v>0</v>
      </c>
      <c r="V28" s="1131">
        <f>SUMPRODUCT('B - Monthly Positions'!$D$7:$O$7,J28:U28)</f>
        <v>0</v>
      </c>
      <c r="W28" s="1131">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50">
        <f t="shared" si="9"/>
        <v>19</v>
      </c>
      <c r="B29" s="991" t="s">
        <v>1023</v>
      </c>
      <c r="C29" s="2038">
        <f>W29</f>
        <v>0</v>
      </c>
      <c r="D29" s="2038">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8">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8">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50">
        <f t="shared" si="14"/>
        <v>19</v>
      </c>
      <c r="J29" s="2038">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8">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8">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8">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8">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8">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8">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8">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8">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8">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8">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8">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1">
        <f>SUMPRODUCT('B - Monthly Positions'!$D$7:$O$7,J29:U29)</f>
        <v>0</v>
      </c>
      <c r="W29" s="1131">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50">
        <f t="shared" si="9"/>
        <v>20</v>
      </c>
      <c r="B30" s="991" t="s">
        <v>1001</v>
      </c>
      <c r="C30" s="2038">
        <f>SUMIFS('Table C4 Tracker'!$I$43:$I$1496,'Table C4 Tracker'!$R$43:$R$1496,'Table C4 Tracker'!$CQ$1,'Table C4 Tracker'!$O$43:$O$1496, "&lt;&gt;Red")+SUMIFS('Table C4 Tracker'!$I$43:$I$1496,'Table C4 Tracker'!$R$43:$R$1496,'Table C4 Tracker'!$CQ$5,'Table C4 Tracker'!$O$43:$O$1496, "&lt;&gt;Red")-C18-C29</f>
        <v>0</v>
      </c>
      <c r="D30" s="2038">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8">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8">
        <f>SUMIFS('Table C4 Tracker'!$J$43:$J$1496,'Table C4 Tracker'!$R$43:$R$1496,'Table C4 Tracker'!$CQ$1,'Table C4 Tracker'!$O$43:$O$1496, "&lt;&gt;Red")+SUMIFS('Table C4 Tracker'!$J$43:$J$1496,'Table C4 Tracker'!$R$43:$R$1496,'Table C4 Tracker'!$CQ$5,'Table C4 Tracker'!$O$43:$O$1496, "&lt;&gt;Red")-F18-F29</f>
        <v>0</v>
      </c>
      <c r="G30" s="111"/>
      <c r="H30" s="111"/>
      <c r="I30" s="950">
        <f t="shared" si="14"/>
        <v>20</v>
      </c>
      <c r="J30" s="2038">
        <f>SUMIFS('Table C4 Tracker'!AI$43:AI$1496,'Table C4 Tracker'!$O$43:$O$1496, "&lt;&gt;Red",'Table C4 Tracker'!$R$43:$R$1496,'Table C4 Tracker'!$CQ$1)+SUMIFS('Table C4 Tracker'!AI$43:AI$1496,'Table C4 Tracker'!$O$43:$O$1496, "&lt;&gt;Red",'Table C4 Tracker'!$R$43:$R$1496,'Table C4 Tracker'!$CQ$5)-J18-J29</f>
        <v>0</v>
      </c>
      <c r="K30" s="2038">
        <f>SUMIFS('Table C4 Tracker'!AJ$43:AJ$1496,'Table C4 Tracker'!$O$43:$O$1496, "&lt;&gt;Red",'Table C4 Tracker'!$R$43:$R$1496,'Table C4 Tracker'!$CQ$1)+SUMIFS('Table C4 Tracker'!AJ$43:AJ$1496,'Table C4 Tracker'!$O$43:$O$1496, "&lt;&gt;Red",'Table C4 Tracker'!$R$43:$R$1496,'Table C4 Tracker'!$CQ$5)-K18-K29</f>
        <v>0</v>
      </c>
      <c r="L30" s="2038">
        <f>SUMIFS('Table C4 Tracker'!AK$43:AK$1496,'Table C4 Tracker'!$O$43:$O$1496, "&lt;&gt;Red",'Table C4 Tracker'!$R$43:$R$1496,'Table C4 Tracker'!$CQ$1)+SUMIFS('Table C4 Tracker'!AK$43:AK$1496,'Table C4 Tracker'!$O$43:$O$1496, "&lt;&gt;Red",'Table C4 Tracker'!$R$43:$R$1496,'Table C4 Tracker'!$CQ$5)-L18-L29</f>
        <v>0</v>
      </c>
      <c r="M30" s="2038">
        <f>SUMIFS('Table C4 Tracker'!AL$43:AL$1496,'Table C4 Tracker'!$O$43:$O$1496, "&lt;&gt;Red",'Table C4 Tracker'!$R$43:$R$1496,'Table C4 Tracker'!$CQ$1)+SUMIFS('Table C4 Tracker'!AL$43:AL$1496,'Table C4 Tracker'!$O$43:$O$1496, "&lt;&gt;Red",'Table C4 Tracker'!$R$43:$R$1496,'Table C4 Tracker'!$CQ$5)-M18-M29</f>
        <v>0</v>
      </c>
      <c r="N30" s="2038">
        <f>SUMIFS('Table C4 Tracker'!AM$43:AM$1496,'Table C4 Tracker'!$O$43:$O$1496, "&lt;&gt;Red",'Table C4 Tracker'!$R$43:$R$1496,'Table C4 Tracker'!$CQ$1)+SUMIFS('Table C4 Tracker'!AM$43:AM$1496,'Table C4 Tracker'!$O$43:$O$1496, "&lt;&gt;Red",'Table C4 Tracker'!$R$43:$R$1496,'Table C4 Tracker'!$CQ$5)-N18-N29</f>
        <v>0</v>
      </c>
      <c r="O30" s="2038">
        <f>SUMIFS('Table C4 Tracker'!AN$43:AN$1496,'Table C4 Tracker'!$O$43:$O$1496, "&lt;&gt;Red",'Table C4 Tracker'!$R$43:$R$1496,'Table C4 Tracker'!$CQ$1)+SUMIFS('Table C4 Tracker'!AN$43:AN$1496,'Table C4 Tracker'!$O$43:$O$1496, "&lt;&gt;Red",'Table C4 Tracker'!$R$43:$R$1496,'Table C4 Tracker'!$CQ$5)-O18-O29</f>
        <v>0</v>
      </c>
      <c r="P30" s="2038">
        <f>SUMIFS('Table C4 Tracker'!AO$43:AO$1496,'Table C4 Tracker'!$O$43:$O$1496, "&lt;&gt;Red",'Table C4 Tracker'!$R$43:$R$1496,'Table C4 Tracker'!$CQ$1)+SUMIFS('Table C4 Tracker'!AO$43:AO$1496,'Table C4 Tracker'!$O$43:$O$1496, "&lt;&gt;Red",'Table C4 Tracker'!$R$43:$R$1496,'Table C4 Tracker'!$CQ$5)-P18-P29</f>
        <v>0</v>
      </c>
      <c r="Q30" s="2038">
        <f>SUMIFS('Table C4 Tracker'!AP$43:AP$1496,'Table C4 Tracker'!$O$43:$O$1496, "&lt;&gt;Red",'Table C4 Tracker'!$R$43:$R$1496,'Table C4 Tracker'!$CQ$1)+SUMIFS('Table C4 Tracker'!AP$43:AP$1496,'Table C4 Tracker'!$O$43:$O$1496, "&lt;&gt;Red",'Table C4 Tracker'!$R$43:$R$1496,'Table C4 Tracker'!$CQ$5)-Q18-Q29</f>
        <v>0</v>
      </c>
      <c r="R30" s="2038">
        <f>SUMIFS('Table C4 Tracker'!AQ$43:AQ$1496,'Table C4 Tracker'!$O$43:$O$1496, "&lt;&gt;Red",'Table C4 Tracker'!$R$43:$R$1496,'Table C4 Tracker'!$CQ$1)+SUMIFS('Table C4 Tracker'!AQ$43:AQ$1496,'Table C4 Tracker'!$O$43:$O$1496, "&lt;&gt;Red",'Table C4 Tracker'!$R$43:$R$1496,'Table C4 Tracker'!$CQ$5)-R18-R29</f>
        <v>0</v>
      </c>
      <c r="S30" s="2038">
        <f>SUMIFS('Table C4 Tracker'!AR$43:AR$1496,'Table C4 Tracker'!$O$43:$O$1496, "&lt;&gt;Red",'Table C4 Tracker'!$R$43:$R$1496,'Table C4 Tracker'!$CQ$1)+SUMIFS('Table C4 Tracker'!AR$43:AR$1496,'Table C4 Tracker'!$O$43:$O$1496, "&lt;&gt;Red",'Table C4 Tracker'!$R$43:$R$1496,'Table C4 Tracker'!$CQ$5)-S18-S29</f>
        <v>0</v>
      </c>
      <c r="T30" s="2038">
        <f>SUMIFS('Table C4 Tracker'!AS$43:AS$1496,'Table C4 Tracker'!$O$43:$O$1496, "&lt;&gt;Red",'Table C4 Tracker'!$R$43:$R$1496,'Table C4 Tracker'!$CQ$1)+SUMIFS('Table C4 Tracker'!AS$43:AS$1496,'Table C4 Tracker'!$O$43:$O$1496, "&lt;&gt;Red",'Table C4 Tracker'!$R$43:$R$1496,'Table C4 Tracker'!$CQ$5)-T18-T29</f>
        <v>0</v>
      </c>
      <c r="U30" s="2038">
        <f>SUMIFS('Table C4 Tracker'!AT$43:AT$1496,'Table C4 Tracker'!$O$43:$O$1496, "&lt;&gt;Red",'Table C4 Tracker'!$R$43:$R$1496,'Table C4 Tracker'!$CQ$1)+SUMIFS('Table C4 Tracker'!AT$43:AT$1496,'Table C4 Tracker'!$O$43:$O$1496, "&lt;&gt;Red",'Table C4 Tracker'!$R$43:$R$1496,'Table C4 Tracker'!$CQ$5)-U18-U29</f>
        <v>0</v>
      </c>
      <c r="V30" s="1131">
        <f>SUMPRODUCT('B - Monthly Positions'!$D$7:$O$7,J30:U30)</f>
        <v>0</v>
      </c>
      <c r="W30" s="1131">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50">
        <f t="shared" si="9"/>
        <v>21</v>
      </c>
      <c r="B31" s="2499" t="s">
        <v>1032</v>
      </c>
      <c r="C31" s="1131">
        <f t="shared" ref="C31:C34" si="15">W31</f>
        <v>0</v>
      </c>
      <c r="D31" s="1131">
        <f t="shared" ref="D31:D34" si="16">C31-E31</f>
        <v>0</v>
      </c>
      <c r="E31" s="954"/>
      <c r="F31" s="954"/>
      <c r="G31" s="111">
        <f t="shared" ref="G31:G34" si="17">IF(ABS(F31)-ABS(E31)&gt;-1,0,1)+IF(E31=0,0,IF(SIGN(E31)=SIGN(F31),0,1))</f>
        <v>0</v>
      </c>
      <c r="H31" s="111">
        <f t="shared" ref="H31:H34" si="18">IF(ABS(E31)&gt;ABS(C31),1,0)+IF(ABS(D31)&gt;ABS(C31),1,0)</f>
        <v>0</v>
      </c>
      <c r="I31" s="950">
        <f t="shared" si="14"/>
        <v>21</v>
      </c>
      <c r="J31" s="954"/>
      <c r="K31" s="954"/>
      <c r="L31" s="954"/>
      <c r="M31" s="954"/>
      <c r="N31" s="954"/>
      <c r="O31" s="954"/>
      <c r="P31" s="954"/>
      <c r="Q31" s="954"/>
      <c r="R31" s="954"/>
      <c r="S31" s="954"/>
      <c r="T31" s="954"/>
      <c r="U31" s="954"/>
      <c r="V31" s="1131">
        <f>SUMPRODUCT('B - Monthly Positions'!$D$7:$O$7,J31:U31)</f>
        <v>0</v>
      </c>
      <c r="W31" s="1131">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50">
        <f t="shared" si="9"/>
        <v>22</v>
      </c>
      <c r="B32" s="1862" t="s">
        <v>1351</v>
      </c>
      <c r="C32" s="1131">
        <f t="shared" si="15"/>
        <v>0</v>
      </c>
      <c r="D32" s="1131">
        <f t="shared" si="16"/>
        <v>0</v>
      </c>
      <c r="E32" s="954"/>
      <c r="F32" s="954"/>
      <c r="G32" s="111">
        <f t="shared" si="17"/>
        <v>0</v>
      </c>
      <c r="H32" s="111">
        <f t="shared" si="18"/>
        <v>0</v>
      </c>
      <c r="I32" s="950">
        <f t="shared" si="14"/>
        <v>22</v>
      </c>
      <c r="J32" s="1131">
        <f>'B3 - COVID-19'!C155</f>
        <v>0</v>
      </c>
      <c r="K32" s="1131">
        <f>'B3 - COVID-19'!D155</f>
        <v>0</v>
      </c>
      <c r="L32" s="1131">
        <f>'B3 - COVID-19'!E155</f>
        <v>0</v>
      </c>
      <c r="M32" s="1131">
        <f>'B3 - COVID-19'!F155</f>
        <v>0</v>
      </c>
      <c r="N32" s="1131">
        <f>'B3 - COVID-19'!G155</f>
        <v>0</v>
      </c>
      <c r="O32" s="1131">
        <f>'B3 - COVID-19'!H155</f>
        <v>0</v>
      </c>
      <c r="P32" s="1131">
        <f>'B3 - COVID-19'!I155</f>
        <v>0</v>
      </c>
      <c r="Q32" s="1131">
        <f>'B3 - COVID-19'!J155</f>
        <v>0</v>
      </c>
      <c r="R32" s="1131">
        <f>'B3 - COVID-19'!K155</f>
        <v>0</v>
      </c>
      <c r="S32" s="1131">
        <f>'B3 - COVID-19'!L155</f>
        <v>0</v>
      </c>
      <c r="T32" s="1131">
        <f>'B3 - COVID-19'!M155</f>
        <v>0</v>
      </c>
      <c r="U32" s="1131">
        <f>'B3 - COVID-19'!N155</f>
        <v>0</v>
      </c>
      <c r="V32" s="1131">
        <f>SUMPRODUCT('B - Monthly Positions'!$D$7:$O$7,J32:U32)</f>
        <v>0</v>
      </c>
      <c r="W32" s="1131">
        <f t="shared" si="13"/>
        <v>0</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50">
        <f t="shared" si="9"/>
        <v>23</v>
      </c>
      <c r="B33" s="1030" t="s">
        <v>1026</v>
      </c>
      <c r="C33" s="1131">
        <f t="shared" si="15"/>
        <v>0</v>
      </c>
      <c r="D33" s="1131">
        <f t="shared" si="16"/>
        <v>0</v>
      </c>
      <c r="E33" s="954"/>
      <c r="F33" s="954"/>
      <c r="G33" s="111">
        <f t="shared" si="17"/>
        <v>0</v>
      </c>
      <c r="H33" s="111">
        <f t="shared" si="18"/>
        <v>0</v>
      </c>
      <c r="I33" s="950">
        <f t="shared" si="14"/>
        <v>23</v>
      </c>
      <c r="J33" s="954"/>
      <c r="K33" s="954"/>
      <c r="L33" s="954"/>
      <c r="M33" s="954"/>
      <c r="N33" s="954"/>
      <c r="O33" s="954"/>
      <c r="P33" s="954"/>
      <c r="Q33" s="954"/>
      <c r="R33" s="954"/>
      <c r="S33" s="954"/>
      <c r="T33" s="954"/>
      <c r="U33" s="954"/>
      <c r="V33" s="1131">
        <f>SUMPRODUCT('B - Monthly Positions'!$D$7:$O$7,J33:U33)</f>
        <v>0</v>
      </c>
      <c r="W33" s="1131">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50">
        <f t="shared" si="9"/>
        <v>24</v>
      </c>
      <c r="B34" s="1862" t="s">
        <v>1223</v>
      </c>
      <c r="C34" s="1131">
        <f t="shared" si="15"/>
        <v>0</v>
      </c>
      <c r="D34" s="1131">
        <f t="shared" si="16"/>
        <v>0</v>
      </c>
      <c r="E34" s="954"/>
      <c r="F34" s="954"/>
      <c r="G34" s="111">
        <f t="shared" si="17"/>
        <v>0</v>
      </c>
      <c r="H34" s="111">
        <f t="shared" si="18"/>
        <v>0</v>
      </c>
      <c r="I34" s="950">
        <f>A34</f>
        <v>24</v>
      </c>
      <c r="J34" s="1131">
        <f>'B3 - COVID-19'!C149</f>
        <v>0</v>
      </c>
      <c r="K34" s="1131">
        <f>'B3 - COVID-19'!D149</f>
        <v>0</v>
      </c>
      <c r="L34" s="1131">
        <f>'B3 - COVID-19'!E149</f>
        <v>0</v>
      </c>
      <c r="M34" s="1131">
        <f>'B3 - COVID-19'!F149</f>
        <v>0</v>
      </c>
      <c r="N34" s="1131">
        <f>'B3 - COVID-19'!G149</f>
        <v>0</v>
      </c>
      <c r="O34" s="1131">
        <f>'B3 - COVID-19'!H149</f>
        <v>0</v>
      </c>
      <c r="P34" s="1131">
        <f>'B3 - COVID-19'!I149</f>
        <v>0</v>
      </c>
      <c r="Q34" s="1131">
        <f>'B3 - COVID-19'!J149</f>
        <v>0</v>
      </c>
      <c r="R34" s="1131">
        <f>'B3 - COVID-19'!K149</f>
        <v>0</v>
      </c>
      <c r="S34" s="1131">
        <f>'B3 - COVID-19'!L149</f>
        <v>0</v>
      </c>
      <c r="T34" s="1131">
        <f>'B3 - COVID-19'!M149</f>
        <v>0</v>
      </c>
      <c r="U34" s="1131">
        <f>'B3 - COVID-19'!N149</f>
        <v>0</v>
      </c>
      <c r="V34" s="1131">
        <f>SUMPRODUCT('B - Monthly Positions'!$D$7:$O$7,J34:U34)</f>
        <v>0</v>
      </c>
      <c r="W34" s="1131">
        <f t="shared" si="13"/>
        <v>0</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50">
        <f t="shared" si="9"/>
        <v>25</v>
      </c>
      <c r="B35" s="991" t="s">
        <v>1025</v>
      </c>
      <c r="C35" s="2038">
        <f>SUMIFS('Table C4 Tracker'!$I$43:$I$1496,'Table C4 Tracker'!$R$43:$R$1496,'Table C4 Tracker'!$CQ$3,'Table C4 Tracker'!$O$43:$O$1496, "&lt;&gt;Red")</f>
        <v>0</v>
      </c>
      <c r="D35" s="2038">
        <f>SUMIFS('Table C4 Tracker'!$I$43:$I$1496,'Table C4 Tracker'!$F$43:$F$1496,'Table C4 Tracker'!$BZ$2,'Table C4 Tracker'!$R$43:$R$1496,'Table C4 Tracker'!$CQ$3,'Table C4 Tracker'!$O$43:$O$1496, "&lt;&gt;Red")</f>
        <v>0</v>
      </c>
      <c r="E35" s="2038">
        <f>SUMIFS('Table C4 Tracker'!$I$43:$I$1496,'Table C4 Tracker'!$F$43:$F$1496,'Table C4 Tracker'!$BZ$1,'Table C4 Tracker'!$R$43:$R$1496,'Table C4 Tracker'!$CQ$3,'Table C4 Tracker'!$O$43:$O$1496, "&lt;&gt;Red")</f>
        <v>0</v>
      </c>
      <c r="F35" s="2038">
        <f>SUMIFS('Table C4 Tracker'!$J$43:$J$1496,'Table C4 Tracker'!$R$43:$R$1496,'Table C4 Tracker'!$CQ$3,'Table C4 Tracker'!$O$43:$O$1496, "&lt;&gt;Red")</f>
        <v>0</v>
      </c>
      <c r="G35" s="111"/>
      <c r="H35" s="111"/>
      <c r="I35" s="950">
        <f>A35</f>
        <v>25</v>
      </c>
      <c r="J35" s="2038">
        <f>SUMIFS('Table C4 Tracker'!AI$43:AI$1496,'Table C4 Tracker'!$R$43:$R$1496,'Table C4 Tracker'!$CQ$3,'Table C4 Tracker'!$O$43:$O$1496, "&lt;&gt;Red")</f>
        <v>0</v>
      </c>
      <c r="K35" s="2038">
        <f>SUMIFS('Table C4 Tracker'!AJ$43:AJ$1496,'Table C4 Tracker'!$R$43:$R$1496,'Table C4 Tracker'!$CQ$3,'Table C4 Tracker'!$O$43:$O$1496, "&lt;&gt;Red")</f>
        <v>0</v>
      </c>
      <c r="L35" s="2038">
        <f>SUMIFS('Table C4 Tracker'!AK$43:AK$1496,'Table C4 Tracker'!$R$43:$R$1496,'Table C4 Tracker'!$CQ$3,'Table C4 Tracker'!$O$43:$O$1496, "&lt;&gt;Red")</f>
        <v>0</v>
      </c>
      <c r="M35" s="2038">
        <f>SUMIFS('Table C4 Tracker'!AL$43:AL$1496,'Table C4 Tracker'!$R$43:$R$1496,'Table C4 Tracker'!$CQ$3,'Table C4 Tracker'!$O$43:$O$1496, "&lt;&gt;Red")</f>
        <v>0</v>
      </c>
      <c r="N35" s="2038">
        <f>SUMIFS('Table C4 Tracker'!AM$43:AM$1496,'Table C4 Tracker'!$R$43:$R$1496,'Table C4 Tracker'!$CQ$3,'Table C4 Tracker'!$O$43:$O$1496, "&lt;&gt;Red")</f>
        <v>0</v>
      </c>
      <c r="O35" s="2038">
        <f>SUMIFS('Table C4 Tracker'!AN$43:AN$1496,'Table C4 Tracker'!$R$43:$R$1496,'Table C4 Tracker'!$CQ$3,'Table C4 Tracker'!$O$43:$O$1496, "&lt;&gt;Red")</f>
        <v>0</v>
      </c>
      <c r="P35" s="2038">
        <f>SUMIFS('Table C4 Tracker'!AO$43:AO$1496,'Table C4 Tracker'!$R$43:$R$1496,'Table C4 Tracker'!$CQ$3,'Table C4 Tracker'!$O$43:$O$1496, "&lt;&gt;Red")</f>
        <v>0</v>
      </c>
      <c r="Q35" s="2038">
        <f>SUMIFS('Table C4 Tracker'!AP$43:AP$1496,'Table C4 Tracker'!$R$43:$R$1496,'Table C4 Tracker'!$CQ$3,'Table C4 Tracker'!$O$43:$O$1496, "&lt;&gt;Red")</f>
        <v>0</v>
      </c>
      <c r="R35" s="2038">
        <f>SUMIFS('Table C4 Tracker'!AQ$43:AQ$1496,'Table C4 Tracker'!$R$43:$R$1496,'Table C4 Tracker'!$CQ$3,'Table C4 Tracker'!$O$43:$O$1496, "&lt;&gt;Red")</f>
        <v>0</v>
      </c>
      <c r="S35" s="2038">
        <f>SUMIFS('Table C4 Tracker'!AR$43:AR$1496,'Table C4 Tracker'!$R$43:$R$1496,'Table C4 Tracker'!$CQ$3,'Table C4 Tracker'!$O$43:$O$1496, "&lt;&gt;Red")</f>
        <v>0</v>
      </c>
      <c r="T35" s="2038">
        <f>SUMIFS('Table C4 Tracker'!AS$43:AS$1496,'Table C4 Tracker'!$R$43:$R$1496,'Table C4 Tracker'!$CQ$3,'Table C4 Tracker'!$O$43:$O$1496, "&lt;&gt;Red")</f>
        <v>0</v>
      </c>
      <c r="U35" s="2038">
        <f>SUMIFS('Table C4 Tracker'!AT$43:AT$1496,'Table C4 Tracker'!$R$43:$R$1496,'Table C4 Tracker'!$CQ$3,'Table C4 Tracker'!$O$43:$O$1496, "&lt;&gt;Red")</f>
        <v>0</v>
      </c>
      <c r="V35" s="1131">
        <f>SUMPRODUCT('B - Monthly Positions'!$D$7:$O$7,J35:U35)</f>
        <v>0</v>
      </c>
      <c r="W35" s="1131">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50">
        <f t="shared" si="9"/>
        <v>26</v>
      </c>
      <c r="B36" s="1030" t="s">
        <v>862</v>
      </c>
      <c r="C36" s="1131">
        <f t="shared" ref="C36:C49" si="20">W36</f>
        <v>0</v>
      </c>
      <c r="D36" s="1131">
        <f t="shared" ref="D36:D49" si="21">C36-E36</f>
        <v>0</v>
      </c>
      <c r="E36" s="954"/>
      <c r="F36" s="954"/>
      <c r="G36" s="111">
        <f t="shared" ref="G36:G49" si="22">IF(ABS(F36)-ABS(E36)&gt;-1,0,1)+IF(E36=0,0,IF(SIGN(E36)=SIGN(F36),0,1))</f>
        <v>0</v>
      </c>
      <c r="H36" s="111">
        <f t="shared" ref="H36:H49" si="23">IF(ABS(E36)&gt;ABS(C36),1,0)+IF(ABS(D36)&gt;ABS(C36),1,0)</f>
        <v>0</v>
      </c>
      <c r="I36" s="950">
        <f t="shared" ref="I36:I49" si="24">A36</f>
        <v>26</v>
      </c>
      <c r="J36" s="954">
        <v>50</v>
      </c>
      <c r="K36" s="954"/>
      <c r="L36" s="954"/>
      <c r="M36" s="954"/>
      <c r="N36" s="954"/>
      <c r="O36" s="954"/>
      <c r="P36" s="954"/>
      <c r="Q36" s="954"/>
      <c r="R36" s="954"/>
      <c r="S36" s="954"/>
      <c r="T36" s="954"/>
      <c r="U36" s="954">
        <v>-50</v>
      </c>
      <c r="V36" s="1131">
        <f>SUMPRODUCT('B - Monthly Positions'!$D$7:$O$7,J36:U36)</f>
        <v>50</v>
      </c>
      <c r="W36" s="1131">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50">
        <f t="shared" si="9"/>
        <v>27</v>
      </c>
      <c r="B37" s="1893"/>
      <c r="C37" s="1131">
        <f>W37</f>
        <v>0</v>
      </c>
      <c r="D37" s="1131">
        <f>C37-E37</f>
        <v>0</v>
      </c>
      <c r="E37" s="954"/>
      <c r="F37" s="954"/>
      <c r="G37" s="111">
        <f>IF(ABS(F37)-ABS(E37)&gt;-1,0,1)+IF(E37=0,0,IF(SIGN(E37)=SIGN(F37),0,1))</f>
        <v>0</v>
      </c>
      <c r="H37" s="111">
        <f>IF(ABS(E37)&gt;ABS(C37),1,0)+IF(ABS(D37)&gt;ABS(C37),1,0)</f>
        <v>0</v>
      </c>
      <c r="I37" s="950">
        <f t="shared" si="24"/>
        <v>27</v>
      </c>
      <c r="J37" s="954"/>
      <c r="K37" s="954"/>
      <c r="L37" s="954"/>
      <c r="M37" s="954"/>
      <c r="N37" s="954"/>
      <c r="O37" s="954"/>
      <c r="P37" s="954"/>
      <c r="Q37" s="954"/>
      <c r="R37" s="954"/>
      <c r="S37" s="954"/>
      <c r="T37" s="954"/>
      <c r="U37" s="954"/>
      <c r="V37" s="1131">
        <f>SUMPRODUCT('B - Monthly Positions'!$D$7:$O$7,J37:U37)</f>
        <v>0</v>
      </c>
      <c r="W37" s="1131">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50">
        <f t="shared" si="9"/>
        <v>28</v>
      </c>
      <c r="B38" s="1893"/>
      <c r="C38" s="1131">
        <f>W38</f>
        <v>0</v>
      </c>
      <c r="D38" s="1131">
        <f>C38-E38</f>
        <v>0</v>
      </c>
      <c r="E38" s="954"/>
      <c r="F38" s="954"/>
      <c r="G38" s="111">
        <f>IF(ABS(F38)-ABS(E38)&gt;-1,0,1)+IF(E38=0,0,IF(SIGN(E38)=SIGN(F38),0,1))</f>
        <v>0</v>
      </c>
      <c r="H38" s="111">
        <f>IF(ABS(E38)&gt;ABS(C38),1,0)+IF(ABS(D38)&gt;ABS(C38),1,0)</f>
        <v>0</v>
      </c>
      <c r="I38" s="950">
        <f t="shared" si="24"/>
        <v>28</v>
      </c>
      <c r="J38" s="954"/>
      <c r="K38" s="954"/>
      <c r="L38" s="954"/>
      <c r="M38" s="954"/>
      <c r="N38" s="954"/>
      <c r="O38" s="954"/>
      <c r="P38" s="954"/>
      <c r="Q38" s="954"/>
      <c r="R38" s="954"/>
      <c r="S38" s="954"/>
      <c r="T38" s="954"/>
      <c r="U38" s="954"/>
      <c r="V38" s="1131">
        <f>SUMPRODUCT('B - Monthly Positions'!$D$7:$O$7,J38:U38)</f>
        <v>0</v>
      </c>
      <c r="W38" s="1131">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50">
        <f t="shared" si="9"/>
        <v>29</v>
      </c>
      <c r="B39" s="1893"/>
      <c r="C39" s="1131">
        <f t="shared" si="20"/>
        <v>0</v>
      </c>
      <c r="D39" s="1131">
        <f t="shared" si="21"/>
        <v>0</v>
      </c>
      <c r="E39" s="954"/>
      <c r="F39" s="954"/>
      <c r="G39" s="111">
        <f t="shared" si="22"/>
        <v>0</v>
      </c>
      <c r="H39" s="111">
        <f t="shared" si="23"/>
        <v>0</v>
      </c>
      <c r="I39" s="950">
        <f t="shared" si="24"/>
        <v>29</v>
      </c>
      <c r="J39" s="954"/>
      <c r="K39" s="954"/>
      <c r="L39" s="954"/>
      <c r="M39" s="954"/>
      <c r="N39" s="954"/>
      <c r="O39" s="954"/>
      <c r="P39" s="954"/>
      <c r="Q39" s="954"/>
      <c r="R39" s="954"/>
      <c r="S39" s="954"/>
      <c r="T39" s="954"/>
      <c r="U39" s="954"/>
      <c r="V39" s="1131">
        <f>SUMPRODUCT('B - Monthly Positions'!$D$7:$O$7,J39:U39)</f>
        <v>0</v>
      </c>
      <c r="W39" s="1131">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50">
        <f t="shared" ref="A40:A50" si="26">A39+1</f>
        <v>30</v>
      </c>
      <c r="B40" s="1893"/>
      <c r="C40" s="1131">
        <f t="shared" si="20"/>
        <v>0</v>
      </c>
      <c r="D40" s="1131">
        <f t="shared" si="21"/>
        <v>0</v>
      </c>
      <c r="E40" s="954"/>
      <c r="F40" s="954"/>
      <c r="G40" s="111">
        <f t="shared" si="22"/>
        <v>0</v>
      </c>
      <c r="H40" s="111">
        <f t="shared" si="23"/>
        <v>0</v>
      </c>
      <c r="I40" s="950">
        <f t="shared" si="24"/>
        <v>30</v>
      </c>
      <c r="J40" s="954"/>
      <c r="K40" s="954"/>
      <c r="L40" s="954"/>
      <c r="M40" s="954"/>
      <c r="N40" s="954"/>
      <c r="O40" s="954"/>
      <c r="P40" s="954"/>
      <c r="Q40" s="954"/>
      <c r="R40" s="954"/>
      <c r="S40" s="954"/>
      <c r="T40" s="954"/>
      <c r="U40" s="954"/>
      <c r="V40" s="1131">
        <f>SUMPRODUCT('B - Monthly Positions'!$D$7:$O$7,J40:U40)</f>
        <v>0</v>
      </c>
      <c r="W40" s="1131">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50">
        <f t="shared" si="26"/>
        <v>31</v>
      </c>
      <c r="B41" s="1893"/>
      <c r="C41" s="1131">
        <f t="shared" ref="C41:C44" si="27">W41</f>
        <v>0</v>
      </c>
      <c r="D41" s="1131">
        <f t="shared" ref="D41:D44" si="28">C41-E41</f>
        <v>0</v>
      </c>
      <c r="E41" s="954"/>
      <c r="F41" s="954"/>
      <c r="G41" s="111">
        <f t="shared" si="22"/>
        <v>0</v>
      </c>
      <c r="H41" s="111">
        <f t="shared" si="23"/>
        <v>0</v>
      </c>
      <c r="I41" s="950">
        <f t="shared" si="24"/>
        <v>31</v>
      </c>
      <c r="J41" s="954"/>
      <c r="K41" s="954"/>
      <c r="L41" s="954"/>
      <c r="M41" s="954"/>
      <c r="N41" s="954"/>
      <c r="O41" s="954"/>
      <c r="P41" s="954"/>
      <c r="Q41" s="954"/>
      <c r="R41" s="954"/>
      <c r="S41" s="954"/>
      <c r="T41" s="954"/>
      <c r="U41" s="954"/>
      <c r="V41" s="1131">
        <f>SUMPRODUCT('B - Monthly Positions'!$D$7:$O$7,J41:U41)</f>
        <v>0</v>
      </c>
      <c r="W41" s="1131">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50">
        <f t="shared" si="26"/>
        <v>32</v>
      </c>
      <c r="B42" s="1893"/>
      <c r="C42" s="1131">
        <f t="shared" si="27"/>
        <v>0</v>
      </c>
      <c r="D42" s="1131">
        <f t="shared" si="28"/>
        <v>0</v>
      </c>
      <c r="E42" s="954"/>
      <c r="F42" s="954"/>
      <c r="G42" s="111">
        <f t="shared" si="22"/>
        <v>0</v>
      </c>
      <c r="H42" s="111">
        <f t="shared" si="23"/>
        <v>0</v>
      </c>
      <c r="I42" s="950">
        <f t="shared" si="24"/>
        <v>32</v>
      </c>
      <c r="J42" s="954"/>
      <c r="K42" s="954"/>
      <c r="L42" s="954"/>
      <c r="M42" s="954"/>
      <c r="N42" s="954"/>
      <c r="O42" s="954"/>
      <c r="P42" s="954"/>
      <c r="Q42" s="954"/>
      <c r="R42" s="954"/>
      <c r="S42" s="954"/>
      <c r="T42" s="954"/>
      <c r="U42" s="954"/>
      <c r="V42" s="1131">
        <f>SUMPRODUCT('B - Monthly Positions'!$D$7:$O$7,J42:U42)</f>
        <v>0</v>
      </c>
      <c r="W42" s="1131">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50">
        <f t="shared" si="26"/>
        <v>33</v>
      </c>
      <c r="B43" s="1893"/>
      <c r="C43" s="1131">
        <f t="shared" si="27"/>
        <v>0</v>
      </c>
      <c r="D43" s="1131">
        <f t="shared" si="28"/>
        <v>0</v>
      </c>
      <c r="E43" s="954"/>
      <c r="F43" s="954"/>
      <c r="G43" s="111">
        <f t="shared" si="22"/>
        <v>0</v>
      </c>
      <c r="H43" s="111">
        <f t="shared" si="23"/>
        <v>0</v>
      </c>
      <c r="I43" s="950">
        <f t="shared" si="24"/>
        <v>33</v>
      </c>
      <c r="J43" s="954"/>
      <c r="K43" s="954"/>
      <c r="L43" s="954"/>
      <c r="M43" s="954"/>
      <c r="N43" s="954"/>
      <c r="O43" s="954"/>
      <c r="P43" s="954"/>
      <c r="Q43" s="954"/>
      <c r="R43" s="954"/>
      <c r="S43" s="954"/>
      <c r="T43" s="954"/>
      <c r="U43" s="954"/>
      <c r="V43" s="1131">
        <f>SUMPRODUCT('B - Monthly Positions'!$D$7:$O$7,J43:U43)</f>
        <v>0</v>
      </c>
      <c r="W43" s="1131">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50">
        <f t="shared" si="26"/>
        <v>34</v>
      </c>
      <c r="B44" s="1893"/>
      <c r="C44" s="1131">
        <f t="shared" si="27"/>
        <v>0</v>
      </c>
      <c r="D44" s="1131">
        <f t="shared" si="28"/>
        <v>0</v>
      </c>
      <c r="E44" s="954"/>
      <c r="F44" s="954"/>
      <c r="G44" s="111">
        <f t="shared" si="22"/>
        <v>0</v>
      </c>
      <c r="H44" s="111">
        <f t="shared" si="23"/>
        <v>0</v>
      </c>
      <c r="I44" s="950">
        <f t="shared" si="24"/>
        <v>34</v>
      </c>
      <c r="J44" s="954"/>
      <c r="K44" s="954"/>
      <c r="L44" s="954"/>
      <c r="M44" s="954"/>
      <c r="N44" s="954"/>
      <c r="O44" s="954"/>
      <c r="P44" s="954"/>
      <c r="Q44" s="954"/>
      <c r="R44" s="954"/>
      <c r="S44" s="954"/>
      <c r="T44" s="954"/>
      <c r="U44" s="954"/>
      <c r="V44" s="1131">
        <f>SUMPRODUCT('B - Monthly Positions'!$D$7:$O$7,J44:U44)</f>
        <v>0</v>
      </c>
      <c r="W44" s="1131">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50">
        <f t="shared" si="26"/>
        <v>35</v>
      </c>
      <c r="B45" s="1893"/>
      <c r="C45" s="1131">
        <f t="shared" si="20"/>
        <v>0</v>
      </c>
      <c r="D45" s="1131">
        <f t="shared" si="21"/>
        <v>0</v>
      </c>
      <c r="E45" s="954"/>
      <c r="F45" s="954"/>
      <c r="G45" s="111">
        <f t="shared" si="22"/>
        <v>0</v>
      </c>
      <c r="H45" s="111">
        <f t="shared" si="23"/>
        <v>0</v>
      </c>
      <c r="I45" s="950">
        <f t="shared" si="24"/>
        <v>35</v>
      </c>
      <c r="J45" s="954"/>
      <c r="K45" s="954"/>
      <c r="L45" s="954"/>
      <c r="M45" s="954"/>
      <c r="N45" s="954"/>
      <c r="O45" s="954"/>
      <c r="P45" s="954"/>
      <c r="Q45" s="954"/>
      <c r="R45" s="954"/>
      <c r="S45" s="954"/>
      <c r="T45" s="954"/>
      <c r="U45" s="954"/>
      <c r="V45" s="1131">
        <f>SUMPRODUCT('B - Monthly Positions'!$D$7:$O$7,J45:U45)</f>
        <v>0</v>
      </c>
      <c r="W45" s="1131">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50">
        <f t="shared" si="26"/>
        <v>36</v>
      </c>
      <c r="B46" s="1893"/>
      <c r="C46" s="1131">
        <f t="shared" si="20"/>
        <v>0</v>
      </c>
      <c r="D46" s="1131">
        <f t="shared" si="21"/>
        <v>0</v>
      </c>
      <c r="E46" s="954"/>
      <c r="F46" s="954"/>
      <c r="G46" s="111">
        <f t="shared" si="22"/>
        <v>0</v>
      </c>
      <c r="H46" s="111">
        <f t="shared" si="23"/>
        <v>0</v>
      </c>
      <c r="I46" s="950">
        <f t="shared" si="24"/>
        <v>36</v>
      </c>
      <c r="J46" s="954"/>
      <c r="K46" s="954"/>
      <c r="L46" s="954"/>
      <c r="M46" s="954"/>
      <c r="N46" s="954"/>
      <c r="O46" s="954"/>
      <c r="P46" s="954"/>
      <c r="Q46" s="954"/>
      <c r="R46" s="954"/>
      <c r="S46" s="954"/>
      <c r="T46" s="954"/>
      <c r="U46" s="954"/>
      <c r="V46" s="1131">
        <f>SUMPRODUCT('B - Monthly Positions'!$D$7:$O$7,J46:U46)</f>
        <v>0</v>
      </c>
      <c r="W46" s="1131">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50">
        <f t="shared" si="26"/>
        <v>37</v>
      </c>
      <c r="B47" s="1893"/>
      <c r="C47" s="1131">
        <f t="shared" si="20"/>
        <v>0</v>
      </c>
      <c r="D47" s="1131">
        <f t="shared" si="21"/>
        <v>0</v>
      </c>
      <c r="E47" s="954"/>
      <c r="F47" s="954"/>
      <c r="G47" s="111">
        <f t="shared" si="22"/>
        <v>0</v>
      </c>
      <c r="H47" s="111">
        <f t="shared" si="23"/>
        <v>0</v>
      </c>
      <c r="I47" s="950">
        <f t="shared" si="24"/>
        <v>37</v>
      </c>
      <c r="J47" s="954"/>
      <c r="K47" s="954"/>
      <c r="L47" s="954"/>
      <c r="M47" s="954"/>
      <c r="N47" s="954"/>
      <c r="O47" s="954"/>
      <c r="P47" s="954"/>
      <c r="Q47" s="954"/>
      <c r="R47" s="954"/>
      <c r="S47" s="954"/>
      <c r="T47" s="954"/>
      <c r="U47" s="954"/>
      <c r="V47" s="1131">
        <f>SUMPRODUCT('B - Monthly Positions'!$D$7:$O$7,J47:U47)</f>
        <v>0</v>
      </c>
      <c r="W47" s="1131">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50">
        <f t="shared" si="26"/>
        <v>38</v>
      </c>
      <c r="B48" s="1893"/>
      <c r="C48" s="1131">
        <f t="shared" si="20"/>
        <v>0</v>
      </c>
      <c r="D48" s="1131">
        <f t="shared" si="21"/>
        <v>0</v>
      </c>
      <c r="E48" s="954"/>
      <c r="F48" s="954"/>
      <c r="G48" s="111">
        <f t="shared" si="22"/>
        <v>0</v>
      </c>
      <c r="H48" s="111">
        <f t="shared" si="23"/>
        <v>0</v>
      </c>
      <c r="I48" s="950">
        <f t="shared" si="24"/>
        <v>38</v>
      </c>
      <c r="J48" s="954"/>
      <c r="K48" s="954"/>
      <c r="L48" s="954"/>
      <c r="M48" s="954"/>
      <c r="N48" s="954"/>
      <c r="O48" s="954"/>
      <c r="P48" s="954"/>
      <c r="Q48" s="954"/>
      <c r="R48" s="954"/>
      <c r="S48" s="954"/>
      <c r="T48" s="954"/>
      <c r="U48" s="954"/>
      <c r="V48" s="1131">
        <f>SUMPRODUCT('B - Monthly Positions'!$D$7:$O$7,J48:U48)</f>
        <v>0</v>
      </c>
      <c r="W48" s="1131">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50">
        <f t="shared" si="26"/>
        <v>39</v>
      </c>
      <c r="B49" s="1893"/>
      <c r="C49" s="1131">
        <f t="shared" si="20"/>
        <v>0</v>
      </c>
      <c r="D49" s="1131">
        <f t="shared" si="21"/>
        <v>0</v>
      </c>
      <c r="E49" s="954"/>
      <c r="F49" s="954"/>
      <c r="G49" s="111">
        <f t="shared" si="22"/>
        <v>0</v>
      </c>
      <c r="H49" s="111">
        <f t="shared" si="23"/>
        <v>0</v>
      </c>
      <c r="I49" s="950">
        <f t="shared" si="24"/>
        <v>39</v>
      </c>
      <c r="J49" s="954"/>
      <c r="K49" s="954"/>
      <c r="L49" s="954"/>
      <c r="M49" s="954"/>
      <c r="N49" s="954"/>
      <c r="O49" s="954"/>
      <c r="P49" s="954"/>
      <c r="Q49" s="954"/>
      <c r="R49" s="954"/>
      <c r="S49" s="954"/>
      <c r="T49" s="954"/>
      <c r="U49" s="954"/>
      <c r="V49" s="1131">
        <f>SUMPRODUCT('B - Monthly Positions'!$D$7:$O$7,J49:U49)</f>
        <v>0</v>
      </c>
      <c r="W49" s="1131">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50">
        <f t="shared" si="26"/>
        <v>40</v>
      </c>
      <c r="B50" s="953" t="s">
        <v>33</v>
      </c>
      <c r="C50" s="951">
        <f>SUM(C24:C49)</f>
        <v>-1.8999998428625986E-4</v>
      </c>
      <c r="D50" s="951">
        <f>SUM(D24:D49)</f>
        <v>-1.8999998428625986E-4</v>
      </c>
      <c r="E50" s="951">
        <f>SUM(E24:E49)</f>
        <v>0</v>
      </c>
      <c r="F50" s="951">
        <f>SUM(F24:F49)</f>
        <v>0</v>
      </c>
      <c r="G50" s="111">
        <f>SUM(G11:G49)</f>
        <v>0</v>
      </c>
      <c r="H50" s="111">
        <f>SUM(H11:H49)</f>
        <v>0</v>
      </c>
      <c r="I50" s="950">
        <f>A50</f>
        <v>40</v>
      </c>
      <c r="J50" s="951">
        <f t="shared" ref="J50:U50" si="29">SUM(J24:J49)</f>
        <v>49.999809999999798</v>
      </c>
      <c r="K50" s="951">
        <f t="shared" si="29"/>
        <v>1.4210854715202004E-13</v>
      </c>
      <c r="L50" s="951">
        <f t="shared" si="29"/>
        <v>1.4210854715202004E-13</v>
      </c>
      <c r="M50" s="951">
        <f t="shared" si="29"/>
        <v>3.694822225952521E-13</v>
      </c>
      <c r="N50" s="951">
        <f t="shared" si="29"/>
        <v>3.694822225952521E-13</v>
      </c>
      <c r="O50" s="951">
        <f t="shared" si="29"/>
        <v>-8.5265128291212022E-14</v>
      </c>
      <c r="P50" s="951">
        <f t="shared" si="29"/>
        <v>-8.5265128291212022E-14</v>
      </c>
      <c r="Q50" s="951">
        <f t="shared" si="29"/>
        <v>5.9685589803848416E-13</v>
      </c>
      <c r="R50" s="951">
        <f t="shared" si="29"/>
        <v>1.4210854715202004E-13</v>
      </c>
      <c r="S50" s="951">
        <f t="shared" si="29"/>
        <v>-8.5265128291212022E-14</v>
      </c>
      <c r="T50" s="951">
        <f t="shared" si="29"/>
        <v>1.4210854715202004E-13</v>
      </c>
      <c r="U50" s="951">
        <f t="shared" si="29"/>
        <v>-50.000000000000313</v>
      </c>
      <c r="V50" s="951">
        <f>SUMPRODUCT('B - Monthly Positions'!$D$7:$O$7,J50:U50)</f>
        <v>49.999809999999798</v>
      </c>
      <c r="W50" s="951">
        <f>SUM(J50:U50)</f>
        <v>-1.899999988665968E-4</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50"/>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50">
        <f>A50+1</f>
        <v>41</v>
      </c>
      <c r="B52" s="2482" t="s">
        <v>1027</v>
      </c>
      <c r="C52" s="951">
        <f>W52</f>
        <v>-1.900000000887303E-4</v>
      </c>
      <c r="D52" s="71"/>
      <c r="E52" s="71"/>
      <c r="F52" s="71"/>
      <c r="G52" s="111">
        <f>SUM(G14:G51)</f>
        <v>0</v>
      </c>
      <c r="H52" s="111">
        <f>SUM(H14:H51)</f>
        <v>0</v>
      </c>
      <c r="I52" s="950">
        <f>A52</f>
        <v>41</v>
      </c>
      <c r="J52" s="951">
        <f>'B3 - COVID-19'!C158</f>
        <v>-1.900000000887303E-4</v>
      </c>
      <c r="K52" s="951">
        <f>'B3 - COVID-19'!D158</f>
        <v>0</v>
      </c>
      <c r="L52" s="951">
        <f>'B3 - COVID-19'!E158</f>
        <v>0</v>
      </c>
      <c r="M52" s="951">
        <f>'B3 - COVID-19'!F158</f>
        <v>0</v>
      </c>
      <c r="N52" s="951">
        <f>'B3 - COVID-19'!G158</f>
        <v>0</v>
      </c>
      <c r="O52" s="951">
        <f>'B3 - COVID-19'!H158</f>
        <v>0</v>
      </c>
      <c r="P52" s="951">
        <f>'B3 - COVID-19'!I158</f>
        <v>0</v>
      </c>
      <c r="Q52" s="951">
        <f>'B3 - COVID-19'!J158</f>
        <v>0</v>
      </c>
      <c r="R52" s="951">
        <f>'B3 - COVID-19'!K158</f>
        <v>0</v>
      </c>
      <c r="S52" s="951">
        <f>'B3 - COVID-19'!L158</f>
        <v>0</v>
      </c>
      <c r="T52" s="951">
        <f>'B3 - COVID-19'!M158</f>
        <v>0</v>
      </c>
      <c r="U52" s="951">
        <f>'B3 - COVID-19'!N158</f>
        <v>0</v>
      </c>
      <c r="V52" s="951">
        <f>'B3 - COVID-19'!O158</f>
        <v>-1.900000000887303E-4</v>
      </c>
      <c r="W52" s="951">
        <f>SUM(J52:U52)</f>
        <v>-1.900000000887303E-4</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50">
        <f>A52+1</f>
        <v>42</v>
      </c>
      <c r="B54" s="2482" t="s">
        <v>1028</v>
      </c>
      <c r="C54" s="951">
        <f>C50-C52</f>
        <v>1.5802470443304628E-11</v>
      </c>
      <c r="D54" s="71"/>
      <c r="E54" s="71"/>
      <c r="F54" s="71"/>
      <c r="G54" s="111">
        <f>SUM(G16:G53)</f>
        <v>0</v>
      </c>
      <c r="H54" s="111">
        <f>SUM(H16:H53)</f>
        <v>0</v>
      </c>
      <c r="I54" s="950">
        <f>A54</f>
        <v>42</v>
      </c>
      <c r="J54" s="951">
        <f>J50-J52</f>
        <v>49.999999999999886</v>
      </c>
      <c r="K54" s="951">
        <f t="shared" ref="K54:V54" si="30">K50-K52</f>
        <v>1.4210854715202004E-13</v>
      </c>
      <c r="L54" s="951">
        <f t="shared" si="30"/>
        <v>1.4210854715202004E-13</v>
      </c>
      <c r="M54" s="951">
        <f t="shared" si="30"/>
        <v>3.694822225952521E-13</v>
      </c>
      <c r="N54" s="951">
        <f t="shared" si="30"/>
        <v>3.694822225952521E-13</v>
      </c>
      <c r="O54" s="951">
        <f t="shared" si="30"/>
        <v>-8.5265128291212022E-14</v>
      </c>
      <c r="P54" s="951">
        <f t="shared" si="30"/>
        <v>-8.5265128291212022E-14</v>
      </c>
      <c r="Q54" s="951">
        <f t="shared" si="30"/>
        <v>5.9685589803848416E-13</v>
      </c>
      <c r="R54" s="951">
        <f t="shared" si="30"/>
        <v>1.4210854715202004E-13</v>
      </c>
      <c r="S54" s="951">
        <f t="shared" si="30"/>
        <v>-8.5265128291212022E-14</v>
      </c>
      <c r="T54" s="951">
        <f t="shared" si="30"/>
        <v>1.4210854715202004E-13</v>
      </c>
      <c r="U54" s="951">
        <f t="shared" si="30"/>
        <v>-50.000000000000313</v>
      </c>
      <c r="V54" s="951">
        <f t="shared" si="30"/>
        <v>49.999999999999886</v>
      </c>
      <c r="W54" s="951">
        <f>SUM(J54:U54)</f>
        <v>1.2221335055073723E-12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50">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9"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6" t="str">
        <f>IF($W$66&gt;0," If there are any validation errors, you must include an explanation within your narrative","")</f>
        <v/>
      </c>
      <c r="J59" s="71"/>
      <c r="K59" s="766"/>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2"/>
      <c r="J60" s="895"/>
      <c r="K60" s="840">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40">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921875" defaultRowHeight="14.5"/>
  <cols>
    <col min="1" max="1" width="3.921875" style="1418" customWidth="1"/>
    <col min="2" max="2" width="72.3828125" style="1418" customWidth="1"/>
    <col min="3" max="3" width="9.07421875" style="1418" customWidth="1"/>
    <col min="4" max="5" width="9.4609375" style="1418" customWidth="1"/>
    <col min="6" max="6" width="8.921875" style="1418"/>
    <col min="7" max="7" width="11.15234375" style="1418" customWidth="1"/>
    <col min="8" max="8" width="8.61328125" style="1418" customWidth="1"/>
    <col min="9" max="15" width="8.921875" style="1418"/>
    <col min="16" max="16" width="93.15234375" style="1418" bestFit="1" customWidth="1"/>
    <col min="17" max="17" width="67.61328125" style="1418" customWidth="1"/>
    <col min="18" max="16384" width="8.921875" style="1418"/>
  </cols>
  <sheetData>
    <row r="1" spans="1:18" ht="18">
      <c r="A1" s="127" t="str">
        <f>+Summary!A1</f>
        <v>Public Health Wales Trust</v>
      </c>
      <c r="B1" s="150"/>
      <c r="C1" s="1378"/>
      <c r="D1" s="1378"/>
      <c r="E1" s="1379"/>
      <c r="F1" s="1379"/>
      <c r="G1" s="1378" t="s">
        <v>51</v>
      </c>
      <c r="H1" s="1417" t="str">
        <f>+Summary!H1</f>
        <v>Apr 23</v>
      </c>
      <c r="P1" s="769" t="s">
        <v>557</v>
      </c>
      <c r="Q1" s="956" t="s">
        <v>205</v>
      </c>
      <c r="R1" s="71"/>
    </row>
    <row r="2" spans="1:18" ht="15.5">
      <c r="A2" s="70"/>
      <c r="B2" s="163"/>
      <c r="C2" s="1125"/>
      <c r="D2" s="1379"/>
      <c r="E2" s="1379"/>
      <c r="F2" s="1379"/>
      <c r="G2" s="1379"/>
      <c r="H2" s="1379"/>
      <c r="P2" s="71"/>
      <c r="Q2" s="71"/>
      <c r="R2" s="766"/>
    </row>
    <row r="3" spans="1:18" ht="15.5">
      <c r="A3" s="70" t="s">
        <v>540</v>
      </c>
      <c r="B3" s="71"/>
      <c r="C3" s="1379"/>
      <c r="D3" s="1379"/>
      <c r="E3" s="1379"/>
      <c r="F3" s="1379"/>
      <c r="G3" s="1379"/>
      <c r="H3" s="1381"/>
      <c r="P3" s="772"/>
      <c r="Q3" s="895"/>
      <c r="R3" s="840">
        <v>1</v>
      </c>
    </row>
    <row r="4" spans="1:18">
      <c r="A4" s="1380"/>
      <c r="B4" s="1382"/>
      <c r="C4" s="1383"/>
      <c r="D4" s="1379"/>
      <c r="E4" s="1379"/>
      <c r="F4" s="1379"/>
      <c r="G4" s="1379"/>
      <c r="H4" s="1379"/>
      <c r="P4" s="999" t="s">
        <v>972</v>
      </c>
      <c r="Q4" s="770" t="str">
        <f>IF($H$5&gt;VLOOKUP(Summary!$H$1,Summary!$V$1:$W$12,2,0),"Ok",IF(ABS(C33-C51)&lt;1,"Ok","Check Underlying Position b/f Analyses"))</f>
        <v>Ok</v>
      </c>
      <c r="R4" s="782">
        <f>IF(Q4="Ok",0,1)</f>
        <v>0</v>
      </c>
    </row>
    <row r="5" spans="1:18" ht="15.5">
      <c r="A5" s="3189"/>
      <c r="B5" s="3190"/>
      <c r="C5" s="2563"/>
      <c r="D5" s="2564"/>
      <c r="E5" s="2565"/>
      <c r="F5" s="2564"/>
      <c r="G5" s="2566" t="s">
        <v>970</v>
      </c>
      <c r="H5" s="2567">
        <v>1</v>
      </c>
      <c r="P5" s="999" t="s">
        <v>973</v>
      </c>
      <c r="Q5" s="770" t="str">
        <f>IF($H$5&gt;VLOOKUP(Summary!$H$1,Summary!$V$1:$W$12,2,0),"Ok",IF(ABS(H51-H33)&lt;1,"Ok","Check Underlying Position b/f Analyses"))</f>
        <v>Ok</v>
      </c>
      <c r="R5" s="782">
        <f>IF(Q5="Ok",0,1)</f>
        <v>0</v>
      </c>
    </row>
    <row r="6" spans="1:18" ht="15.5">
      <c r="A6" s="3190"/>
      <c r="B6" s="3190"/>
      <c r="C6" s="1390" t="s">
        <v>205</v>
      </c>
      <c r="D6" s="1391"/>
      <c r="E6" s="1391"/>
      <c r="F6" s="1391"/>
      <c r="G6" s="1391"/>
      <c r="H6" s="1392"/>
      <c r="P6" s="999" t="s">
        <v>974</v>
      </c>
      <c r="Q6" s="770" t="str">
        <f>IF($H$5&gt;VLOOKUP(Summary!$H$1,Summary!$V$1:$W$12,2,0),"Ok",IF(ABS(C33-'A - Movement'!C11)&lt;1,"Ok","Underlying Position b/f does not agree to Table A"))</f>
        <v>Ok</v>
      </c>
      <c r="R6" s="782">
        <f>IF(Q6="Ok",0,1)</f>
        <v>0</v>
      </c>
    </row>
    <row r="7" spans="1:18" ht="15.5">
      <c r="A7" s="844" t="str">
        <f>"This Table is currently showing "&amp;R9&amp;" errors"</f>
        <v>This Table is currently showing 0 errors</v>
      </c>
      <c r="B7" s="1394"/>
      <c r="C7" s="1125">
        <v>1</v>
      </c>
      <c r="D7" s="1125"/>
      <c r="E7" s="1125"/>
      <c r="F7" s="1125"/>
      <c r="G7" s="1125"/>
      <c r="H7" s="1125"/>
      <c r="P7" s="999" t="s">
        <v>975</v>
      </c>
      <c r="Q7" s="770" t="str">
        <f>IF($H$5&gt;VLOOKUP(Summary!$H$1,Summary!$V$1:$W$12,2,0),"Ok",IF(ABS(H33-'A - Movement'!F50)&lt;1,"Ok","Underlying Position c/f does not agree to Table A"))</f>
        <v>Ok</v>
      </c>
      <c r="R7" s="782">
        <f>IF(Q7="Ok",0,1)</f>
        <v>0</v>
      </c>
    </row>
    <row r="8" spans="1:18" ht="15" customHeight="1" thickBot="1">
      <c r="A8" s="1393"/>
      <c r="B8" s="1394"/>
      <c r="C8" s="1125"/>
      <c r="D8" s="1125"/>
      <c r="E8" s="1125"/>
      <c r="F8" s="1125"/>
      <c r="G8" s="1125"/>
      <c r="H8" s="1125"/>
    </row>
    <row r="9" spans="1:18">
      <c r="A9" s="1395"/>
      <c r="B9" s="1395"/>
      <c r="C9" s="1406" t="s">
        <v>541</v>
      </c>
      <c r="D9" s="3187" t="s">
        <v>598</v>
      </c>
      <c r="E9" s="3188"/>
      <c r="F9" s="1396"/>
      <c r="G9" s="3191" t="s">
        <v>601</v>
      </c>
      <c r="H9" s="1396" t="s">
        <v>541</v>
      </c>
      <c r="R9" s="782">
        <f>SUM(R4:R8)</f>
        <v>0</v>
      </c>
    </row>
    <row r="10" spans="1:18" ht="50">
      <c r="A10" s="1397"/>
      <c r="B10" s="1398" t="s">
        <v>840</v>
      </c>
      <c r="C10" s="1408" t="s">
        <v>559</v>
      </c>
      <c r="D10" s="1409" t="s">
        <v>585</v>
      </c>
      <c r="E10" s="1409" t="s">
        <v>827</v>
      </c>
      <c r="F10" s="1399" t="s">
        <v>542</v>
      </c>
      <c r="G10" s="3192"/>
      <c r="H10" s="1399" t="s">
        <v>560</v>
      </c>
    </row>
    <row r="11" spans="1:18" ht="15" thickBot="1">
      <c r="A11" s="1397"/>
      <c r="B11" s="1398"/>
      <c r="C11" s="1414" t="s">
        <v>50</v>
      </c>
      <c r="D11" s="1415" t="s">
        <v>50</v>
      </c>
      <c r="E11" s="1415" t="s">
        <v>50</v>
      </c>
      <c r="F11" s="1413" t="s">
        <v>50</v>
      </c>
      <c r="G11" s="1416" t="s">
        <v>50</v>
      </c>
      <c r="H11" s="1413" t="s">
        <v>50</v>
      </c>
    </row>
    <row r="12" spans="1:18">
      <c r="A12" s="1400">
        <v>1</v>
      </c>
      <c r="B12" s="1372" t="s">
        <v>543</v>
      </c>
      <c r="C12" s="963"/>
      <c r="D12" s="984"/>
      <c r="E12" s="984"/>
      <c r="F12" s="73">
        <f t="shared" ref="F12:F32" si="0">C12+SUM(D12:E12)</f>
        <v>0</v>
      </c>
      <c r="G12" s="983"/>
      <c r="H12" s="73">
        <f>F12+G12</f>
        <v>0</v>
      </c>
    </row>
    <row r="13" spans="1:18">
      <c r="A13" s="1401">
        <v>2</v>
      </c>
      <c r="B13" s="1373" t="s">
        <v>544</v>
      </c>
      <c r="C13" s="891"/>
      <c r="D13" s="892"/>
      <c r="E13" s="892"/>
      <c r="F13" s="75">
        <f t="shared" si="0"/>
        <v>0</v>
      </c>
      <c r="G13" s="1216"/>
      <c r="H13" s="75">
        <f t="shared" ref="H13:H32" si="1">F13+G13</f>
        <v>0</v>
      </c>
    </row>
    <row r="14" spans="1:18">
      <c r="A14" s="1401">
        <v>3</v>
      </c>
      <c r="B14" s="1374" t="s">
        <v>545</v>
      </c>
      <c r="C14" s="891"/>
      <c r="D14" s="892"/>
      <c r="E14" s="892"/>
      <c r="F14" s="75">
        <f t="shared" si="0"/>
        <v>0</v>
      </c>
      <c r="G14" s="1216"/>
      <c r="H14" s="75">
        <f t="shared" si="1"/>
        <v>0</v>
      </c>
    </row>
    <row r="15" spans="1:18">
      <c r="A15" s="1401">
        <v>4</v>
      </c>
      <c r="B15" s="1373" t="s">
        <v>546</v>
      </c>
      <c r="C15" s="891"/>
      <c r="D15" s="892"/>
      <c r="E15" s="892"/>
      <c r="F15" s="75">
        <f t="shared" si="0"/>
        <v>0</v>
      </c>
      <c r="G15" s="1216"/>
      <c r="H15" s="75">
        <f t="shared" si="1"/>
        <v>0</v>
      </c>
    </row>
    <row r="16" spans="1:18">
      <c r="A16" s="1401">
        <v>5</v>
      </c>
      <c r="B16" s="1373" t="s">
        <v>547</v>
      </c>
      <c r="C16" s="891"/>
      <c r="D16" s="892"/>
      <c r="E16" s="892"/>
      <c r="F16" s="75">
        <f t="shared" si="0"/>
        <v>0</v>
      </c>
      <c r="G16" s="1216"/>
      <c r="H16" s="75">
        <f t="shared" si="1"/>
        <v>0</v>
      </c>
    </row>
    <row r="17" spans="1:8">
      <c r="A17" s="1402">
        <v>6</v>
      </c>
      <c r="B17" s="1373" t="s">
        <v>548</v>
      </c>
      <c r="C17" s="891"/>
      <c r="D17" s="892"/>
      <c r="E17" s="892"/>
      <c r="F17" s="75">
        <f t="shared" si="0"/>
        <v>0</v>
      </c>
      <c r="G17" s="1216"/>
      <c r="H17" s="75">
        <f t="shared" si="1"/>
        <v>0</v>
      </c>
    </row>
    <row r="18" spans="1:8">
      <c r="A18" s="1403">
        <v>7</v>
      </c>
      <c r="B18" s="1373" t="s">
        <v>549</v>
      </c>
      <c r="C18" s="891"/>
      <c r="D18" s="892"/>
      <c r="E18" s="892"/>
      <c r="F18" s="75">
        <f t="shared" si="0"/>
        <v>0</v>
      </c>
      <c r="G18" s="1216"/>
      <c r="H18" s="75">
        <f t="shared" si="1"/>
        <v>0</v>
      </c>
    </row>
    <row r="19" spans="1:8">
      <c r="A19" s="1403">
        <v>8</v>
      </c>
      <c r="B19" s="1373" t="s">
        <v>561</v>
      </c>
      <c r="C19" s="891"/>
      <c r="D19" s="892"/>
      <c r="E19" s="892"/>
      <c r="F19" s="75">
        <f t="shared" si="0"/>
        <v>0</v>
      </c>
      <c r="G19" s="1216"/>
      <c r="H19" s="75">
        <f t="shared" si="1"/>
        <v>0</v>
      </c>
    </row>
    <row r="20" spans="1:8">
      <c r="A20" s="1403">
        <v>9</v>
      </c>
      <c r="B20" s="1373" t="s">
        <v>579</v>
      </c>
      <c r="C20" s="891"/>
      <c r="D20" s="892"/>
      <c r="E20" s="892"/>
      <c r="F20" s="75">
        <f t="shared" si="0"/>
        <v>0</v>
      </c>
      <c r="G20" s="1216"/>
      <c r="H20" s="75">
        <f t="shared" si="1"/>
        <v>0</v>
      </c>
    </row>
    <row r="21" spans="1:8">
      <c r="A21" s="1403">
        <v>10</v>
      </c>
      <c r="B21" s="1375" t="s">
        <v>550</v>
      </c>
      <c r="C21" s="1070"/>
      <c r="D21" s="1282"/>
      <c r="E21" s="1282"/>
      <c r="F21" s="75">
        <f t="shared" si="0"/>
        <v>0</v>
      </c>
      <c r="G21" s="1217"/>
      <c r="H21" s="75">
        <f t="shared" si="1"/>
        <v>0</v>
      </c>
    </row>
    <row r="22" spans="1:8">
      <c r="A22" s="1403">
        <v>11</v>
      </c>
      <c r="B22" s="1376" t="s">
        <v>551</v>
      </c>
      <c r="C22" s="1070"/>
      <c r="D22" s="1282"/>
      <c r="E22" s="1282"/>
      <c r="F22" s="75">
        <f t="shared" si="0"/>
        <v>0</v>
      </c>
      <c r="G22" s="1217"/>
      <c r="H22" s="75">
        <f t="shared" si="1"/>
        <v>0</v>
      </c>
    </row>
    <row r="23" spans="1:8">
      <c r="A23" s="1403">
        <v>12</v>
      </c>
      <c r="B23" s="1375" t="s">
        <v>552</v>
      </c>
      <c r="C23" s="1070"/>
      <c r="D23" s="1282"/>
      <c r="E23" s="1282"/>
      <c r="F23" s="75">
        <f t="shared" si="0"/>
        <v>0</v>
      </c>
      <c r="G23" s="1217"/>
      <c r="H23" s="75">
        <f t="shared" si="1"/>
        <v>0</v>
      </c>
    </row>
    <row r="24" spans="1:8">
      <c r="A24" s="1403">
        <v>13</v>
      </c>
      <c r="B24" s="1375" t="s">
        <v>553</v>
      </c>
      <c r="C24" s="1070"/>
      <c r="D24" s="1282"/>
      <c r="E24" s="1282"/>
      <c r="F24" s="75">
        <f t="shared" si="0"/>
        <v>0</v>
      </c>
      <c r="G24" s="1217"/>
      <c r="H24" s="75">
        <f t="shared" si="1"/>
        <v>0</v>
      </c>
    </row>
    <row r="25" spans="1:8">
      <c r="A25" s="1403">
        <v>14</v>
      </c>
      <c r="B25" s="1375" t="s">
        <v>554</v>
      </c>
      <c r="C25" s="1070"/>
      <c r="D25" s="1282"/>
      <c r="E25" s="1282"/>
      <c r="F25" s="75">
        <f t="shared" si="0"/>
        <v>0</v>
      </c>
      <c r="G25" s="1217"/>
      <c r="H25" s="75">
        <f t="shared" si="1"/>
        <v>0</v>
      </c>
    </row>
    <row r="26" spans="1:8">
      <c r="A26" s="1403">
        <v>15</v>
      </c>
      <c r="B26" s="1375" t="s">
        <v>555</v>
      </c>
      <c r="C26" s="1070"/>
      <c r="D26" s="1282"/>
      <c r="E26" s="1282"/>
      <c r="F26" s="75">
        <f t="shared" si="0"/>
        <v>0</v>
      </c>
      <c r="G26" s="1217"/>
      <c r="H26" s="75">
        <f t="shared" si="1"/>
        <v>0</v>
      </c>
    </row>
    <row r="27" spans="1:8" ht="15" customHeight="1">
      <c r="A27" s="1403">
        <v>16</v>
      </c>
      <c r="B27" s="1375" t="s">
        <v>556</v>
      </c>
      <c r="C27" s="1070"/>
      <c r="D27" s="1282"/>
      <c r="E27" s="1282"/>
      <c r="F27" s="75">
        <f>C27+SUM(D27:E27)</f>
        <v>0</v>
      </c>
      <c r="G27" s="1217"/>
      <c r="H27" s="75">
        <f>F27+G27</f>
        <v>0</v>
      </c>
    </row>
    <row r="28" spans="1:8">
      <c r="A28" s="1403">
        <v>17</v>
      </c>
      <c r="B28" s="1375" t="s">
        <v>580</v>
      </c>
      <c r="C28" s="1070"/>
      <c r="D28" s="1282"/>
      <c r="E28" s="1282"/>
      <c r="F28" s="75">
        <f>C28+SUM(D28:E28)</f>
        <v>0</v>
      </c>
      <c r="G28" s="1217"/>
      <c r="H28" s="75">
        <f>F28+G28</f>
        <v>0</v>
      </c>
    </row>
    <row r="29" spans="1:8">
      <c r="A29" s="1403">
        <v>18</v>
      </c>
      <c r="B29" s="1375" t="s">
        <v>581</v>
      </c>
      <c r="C29" s="1070"/>
      <c r="D29" s="1282"/>
      <c r="E29" s="1282"/>
      <c r="F29" s="75">
        <f>C29+SUM(D29:E29)</f>
        <v>0</v>
      </c>
      <c r="G29" s="1217"/>
      <c r="H29" s="75">
        <f>F29+G29</f>
        <v>0</v>
      </c>
    </row>
    <row r="30" spans="1:8">
      <c r="A30" s="1403">
        <v>19</v>
      </c>
      <c r="B30" s="1375" t="s">
        <v>582</v>
      </c>
      <c r="C30" s="1070"/>
      <c r="D30" s="1282"/>
      <c r="E30" s="1282"/>
      <c r="F30" s="75">
        <f>C30+SUM(D30:E30)</f>
        <v>0</v>
      </c>
      <c r="G30" s="1217"/>
      <c r="H30" s="75">
        <f>F30+G30</f>
        <v>0</v>
      </c>
    </row>
    <row r="31" spans="1:8">
      <c r="A31" s="1403">
        <v>20</v>
      </c>
      <c r="B31" s="1375" t="s">
        <v>583</v>
      </c>
      <c r="C31" s="1070"/>
      <c r="D31" s="1282"/>
      <c r="E31" s="1282"/>
      <c r="F31" s="75">
        <f>C31+SUM(D31:E31)</f>
        <v>0</v>
      </c>
      <c r="G31" s="1217"/>
      <c r="H31" s="75">
        <f>F31+G31</f>
        <v>0</v>
      </c>
    </row>
    <row r="32" spans="1:8" ht="15" thickBot="1">
      <c r="A32" s="1403">
        <v>21</v>
      </c>
      <c r="B32" s="1375" t="s">
        <v>584</v>
      </c>
      <c r="C32" s="1070"/>
      <c r="D32" s="1282"/>
      <c r="E32" s="1282"/>
      <c r="F32" s="1081">
        <f t="shared" si="0"/>
        <v>0</v>
      </c>
      <c r="G32" s="1217"/>
      <c r="H32" s="1081">
        <f t="shared" si="1"/>
        <v>0</v>
      </c>
    </row>
    <row r="33" spans="1:8" ht="15" thickBot="1">
      <c r="A33" s="1404">
        <v>22</v>
      </c>
      <c r="B33" s="1410" t="s">
        <v>78</v>
      </c>
      <c r="C33" s="1110">
        <f t="shared" ref="C33:H33" si="2">SUM(C12:C32)</f>
        <v>0</v>
      </c>
      <c r="D33" s="1110">
        <f t="shared" si="2"/>
        <v>0</v>
      </c>
      <c r="E33" s="1110">
        <f t="shared" si="2"/>
        <v>0</v>
      </c>
      <c r="F33" s="1101">
        <f t="shared" si="2"/>
        <v>0</v>
      </c>
      <c r="G33" s="1110">
        <f t="shared" si="2"/>
        <v>0</v>
      </c>
      <c r="H33" s="1101">
        <f t="shared" si="2"/>
        <v>0</v>
      </c>
    </row>
    <row r="34" spans="1:8">
      <c r="A34" s="1393"/>
      <c r="B34" s="1394"/>
      <c r="C34" s="1125">
        <v>-1</v>
      </c>
      <c r="D34" s="1125"/>
      <c r="E34" s="1125"/>
      <c r="F34" s="1125"/>
      <c r="G34" s="1125"/>
      <c r="H34" s="1125"/>
    </row>
    <row r="35" spans="1:8">
      <c r="A35" s="1393"/>
      <c r="B35" s="1394"/>
      <c r="C35" s="1125">
        <v>0</v>
      </c>
      <c r="D35" s="1125"/>
      <c r="E35" s="1125"/>
      <c r="F35" s="1125"/>
      <c r="G35" s="1125"/>
      <c r="H35" s="1125"/>
    </row>
    <row r="36" spans="1:8" ht="15" thickBot="1">
      <c r="A36" s="1393"/>
      <c r="B36" s="1394"/>
      <c r="C36" s="1125">
        <v>1</v>
      </c>
      <c r="D36" s="1125"/>
      <c r="E36" s="1125"/>
      <c r="F36" s="1125"/>
      <c r="G36" s="1125"/>
      <c r="H36" s="1125"/>
    </row>
    <row r="37" spans="1:8">
      <c r="A37" s="1395"/>
      <c r="B37" s="1395"/>
      <c r="C37" s="1406" t="str">
        <f>C9</f>
        <v>IMTP</v>
      </c>
      <c r="D37" s="3187" t="s">
        <v>598</v>
      </c>
      <c r="E37" s="3188"/>
      <c r="F37" s="1396"/>
      <c r="G37" s="3191" t="str">
        <f>G9</f>
        <v>New, Recurring, Full Year Effect of Unmitigated Pressures (-ve)</v>
      </c>
      <c r="H37" s="1396" t="s">
        <v>541</v>
      </c>
    </row>
    <row r="38" spans="1:8" ht="50">
      <c r="A38" s="1397"/>
      <c r="B38" s="1398" t="s">
        <v>841</v>
      </c>
      <c r="C38" s="1408" t="str">
        <f>C10</f>
        <v>Underlying Position b/f</v>
      </c>
      <c r="D38" s="1409" t="str">
        <f>D10</f>
        <v>Recurring Savings (+ve)</v>
      </c>
      <c r="E38" s="1409" t="str">
        <f>E10</f>
        <v>Recurring Allocations / Income (+ve)</v>
      </c>
      <c r="F38" s="1399" t="str">
        <f>F10</f>
        <v>Subtotal</v>
      </c>
      <c r="G38" s="3192"/>
      <c r="H38" s="1399" t="str">
        <f>H10</f>
        <v>Underlying Position c/f</v>
      </c>
    </row>
    <row r="39" spans="1:8" ht="15" thickBot="1">
      <c r="A39" s="1397"/>
      <c r="B39" s="1398"/>
      <c r="C39" s="1414" t="s">
        <v>50</v>
      </c>
      <c r="D39" s="1415" t="s">
        <v>50</v>
      </c>
      <c r="E39" s="1415" t="s">
        <v>50</v>
      </c>
      <c r="F39" s="1413" t="s">
        <v>50</v>
      </c>
      <c r="G39" s="1413" t="s">
        <v>50</v>
      </c>
      <c r="H39" s="1413" t="s">
        <v>50</v>
      </c>
    </row>
    <row r="40" spans="1:8">
      <c r="A40" s="1400">
        <v>1</v>
      </c>
      <c r="B40" s="1377" t="s">
        <v>398</v>
      </c>
      <c r="C40" s="963"/>
      <c r="D40" s="984"/>
      <c r="E40" s="984"/>
      <c r="F40" s="73">
        <f t="shared" ref="F40:F50" si="3">C40+SUM(D40:E40)</f>
        <v>0</v>
      </c>
      <c r="G40" s="983"/>
      <c r="H40" s="73">
        <f>F40+G40</f>
        <v>0</v>
      </c>
    </row>
    <row r="41" spans="1:8">
      <c r="A41" s="1401">
        <v>2</v>
      </c>
      <c r="B41" s="1411" t="s">
        <v>210</v>
      </c>
      <c r="C41" s="891"/>
      <c r="D41" s="892"/>
      <c r="E41" s="892"/>
      <c r="F41" s="75">
        <f t="shared" si="3"/>
        <v>0</v>
      </c>
      <c r="G41" s="1216"/>
      <c r="H41" s="75">
        <f t="shared" ref="H41:H50" si="4">F41+G41</f>
        <v>0</v>
      </c>
    </row>
    <row r="42" spans="1:8">
      <c r="A42" s="1401">
        <v>3</v>
      </c>
      <c r="B42" s="1412" t="s">
        <v>566</v>
      </c>
      <c r="C42" s="891"/>
      <c r="D42" s="892"/>
      <c r="E42" s="892"/>
      <c r="F42" s="75">
        <f t="shared" si="3"/>
        <v>0</v>
      </c>
      <c r="G42" s="1216"/>
      <c r="H42" s="75">
        <f t="shared" si="4"/>
        <v>0</v>
      </c>
    </row>
    <row r="43" spans="1:8">
      <c r="A43" s="1401">
        <v>4</v>
      </c>
      <c r="B43" s="1411" t="s">
        <v>396</v>
      </c>
      <c r="C43" s="1070"/>
      <c r="D43" s="1282"/>
      <c r="E43" s="1282"/>
      <c r="F43" s="75">
        <f t="shared" si="3"/>
        <v>0</v>
      </c>
      <c r="G43" s="1217"/>
      <c r="H43" s="75">
        <f t="shared" si="4"/>
        <v>0</v>
      </c>
    </row>
    <row r="44" spans="1:8">
      <c r="A44" s="1401">
        <v>5</v>
      </c>
      <c r="B44" s="1411" t="s">
        <v>567</v>
      </c>
      <c r="C44" s="1070"/>
      <c r="D44" s="1282"/>
      <c r="E44" s="1282"/>
      <c r="F44" s="75">
        <f t="shared" si="3"/>
        <v>0</v>
      </c>
      <c r="G44" s="1217"/>
      <c r="H44" s="75">
        <f t="shared" si="4"/>
        <v>0</v>
      </c>
    </row>
    <row r="45" spans="1:8">
      <c r="A45" s="1402">
        <v>6</v>
      </c>
      <c r="B45" s="1411" t="s">
        <v>568</v>
      </c>
      <c r="C45" s="1070"/>
      <c r="D45" s="1282"/>
      <c r="E45" s="1282"/>
      <c r="F45" s="75">
        <f t="shared" si="3"/>
        <v>0</v>
      </c>
      <c r="G45" s="1217"/>
      <c r="H45" s="75">
        <f t="shared" si="4"/>
        <v>0</v>
      </c>
    </row>
    <row r="46" spans="1:8">
      <c r="A46" s="1403">
        <v>7</v>
      </c>
      <c r="B46" s="1411" t="s">
        <v>575</v>
      </c>
      <c r="C46" s="1070"/>
      <c r="D46" s="1282"/>
      <c r="E46" s="1282"/>
      <c r="F46" s="75">
        <f t="shared" si="3"/>
        <v>0</v>
      </c>
      <c r="G46" s="1217"/>
      <c r="H46" s="75">
        <f t="shared" si="4"/>
        <v>0</v>
      </c>
    </row>
    <row r="47" spans="1:8">
      <c r="A47" s="1403">
        <v>8</v>
      </c>
      <c r="B47" s="1411" t="s">
        <v>569</v>
      </c>
      <c r="C47" s="1070"/>
      <c r="D47" s="1282"/>
      <c r="E47" s="1282"/>
      <c r="F47" s="75">
        <f>C47+SUM(D47:E47)</f>
        <v>0</v>
      </c>
      <c r="G47" s="1217"/>
      <c r="H47" s="75">
        <f>F47+G47</f>
        <v>0</v>
      </c>
    </row>
    <row r="48" spans="1:8">
      <c r="A48" s="1403">
        <v>9</v>
      </c>
      <c r="B48" s="1411" t="s">
        <v>576</v>
      </c>
      <c r="C48" s="1070"/>
      <c r="D48" s="1282"/>
      <c r="E48" s="1282"/>
      <c r="F48" s="75">
        <f>C48+SUM(D48:E48)</f>
        <v>0</v>
      </c>
      <c r="G48" s="1217"/>
      <c r="H48" s="75">
        <f>F48+G48</f>
        <v>0</v>
      </c>
    </row>
    <row r="49" spans="1:8">
      <c r="A49" s="1403">
        <v>10</v>
      </c>
      <c r="B49" s="1411" t="s">
        <v>577</v>
      </c>
      <c r="C49" s="1070"/>
      <c r="D49" s="1282"/>
      <c r="E49" s="1282"/>
      <c r="F49" s="75">
        <f t="shared" si="3"/>
        <v>0</v>
      </c>
      <c r="G49" s="1217"/>
      <c r="H49" s="75">
        <f t="shared" si="4"/>
        <v>0</v>
      </c>
    </row>
    <row r="50" spans="1:8" ht="15" thickBot="1">
      <c r="A50" s="1403">
        <v>11</v>
      </c>
      <c r="B50" s="1411" t="s">
        <v>578</v>
      </c>
      <c r="C50" s="1070"/>
      <c r="D50" s="1282"/>
      <c r="E50" s="1282"/>
      <c r="F50" s="75">
        <f t="shared" si="3"/>
        <v>0</v>
      </c>
      <c r="G50" s="1217"/>
      <c r="H50" s="75">
        <f t="shared" si="4"/>
        <v>0</v>
      </c>
    </row>
    <row r="51" spans="1:8" ht="15" thickBot="1">
      <c r="A51" s="1404">
        <v>12</v>
      </c>
      <c r="B51" s="1405" t="s">
        <v>78</v>
      </c>
      <c r="C51" s="1110">
        <f t="shared" ref="C51:H51" si="5">SUM(C40:C50)</f>
        <v>0</v>
      </c>
      <c r="D51" s="1110">
        <f t="shared" si="5"/>
        <v>0</v>
      </c>
      <c r="E51" s="1110">
        <f t="shared" si="5"/>
        <v>0</v>
      </c>
      <c r="F51" s="1101">
        <f t="shared" si="5"/>
        <v>0</v>
      </c>
      <c r="G51" s="1110">
        <f t="shared" si="5"/>
        <v>0</v>
      </c>
      <c r="H51" s="1101">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topLeftCell="B6" zoomScaleNormal="100" workbookViewId="0">
      <selection activeCell="B22" sqref="B22"/>
    </sheetView>
  </sheetViews>
  <sheetFormatPr defaultColWidth="8.921875" defaultRowHeight="15.5"/>
  <cols>
    <col min="1" max="1" width="3.07421875" customWidth="1"/>
    <col min="2" max="2" width="70.07421875" customWidth="1"/>
    <col min="3" max="3" width="13.61328125" customWidth="1"/>
    <col min="4" max="4" width="10.15234375" bestFit="1" customWidth="1"/>
    <col min="5" max="6" width="8.921875" style="760"/>
    <col min="7" max="7" width="51.4609375" style="760" customWidth="1"/>
    <col min="8" max="8" width="65.61328125" style="760" bestFit="1" customWidth="1"/>
    <col min="9" max="9" width="25.61328125" customWidth="1"/>
  </cols>
  <sheetData>
    <row r="1" spans="1:26" ht="30">
      <c r="A1" s="79" t="str">
        <f>+Summary!A1</f>
        <v>Public Health Wales Trust</v>
      </c>
      <c r="B1" s="71"/>
      <c r="C1" s="70" t="s">
        <v>80</v>
      </c>
      <c r="D1" s="151" t="str">
        <f>+Summary!H1</f>
        <v>Apr 23</v>
      </c>
      <c r="E1" s="759"/>
      <c r="F1" s="759"/>
      <c r="G1" s="759"/>
      <c r="H1" s="254"/>
      <c r="I1" s="850"/>
      <c r="J1" s="746"/>
      <c r="K1" s="272"/>
      <c r="L1" s="272"/>
      <c r="M1" s="272"/>
      <c r="N1" s="71"/>
      <c r="O1" s="71"/>
      <c r="P1" s="71"/>
      <c r="Q1" s="71"/>
      <c r="R1" s="71"/>
      <c r="S1" s="71"/>
      <c r="T1" s="71"/>
      <c r="U1" s="71"/>
      <c r="V1" s="71"/>
      <c r="W1" s="71"/>
      <c r="X1" s="71"/>
      <c r="Y1" s="71"/>
      <c r="Z1" s="71"/>
    </row>
    <row r="2" spans="1:26" ht="29.5">
      <c r="A2" s="355"/>
      <c r="B2" s="71"/>
      <c r="C2" s="845"/>
      <c r="D2" s="48"/>
      <c r="E2" s="759"/>
      <c r="F2" s="759"/>
      <c r="G2" s="254" t="s">
        <v>900</v>
      </c>
      <c r="H2" s="48"/>
      <c r="I2" s="1195"/>
      <c r="J2" s="71"/>
      <c r="K2" s="155" t="s">
        <v>110</v>
      </c>
      <c r="L2" s="71"/>
      <c r="M2" s="69"/>
      <c r="N2" s="71"/>
      <c r="O2" s="71"/>
      <c r="P2" s="71"/>
      <c r="Q2" s="71"/>
      <c r="R2" s="71"/>
      <c r="S2" s="71"/>
      <c r="T2" s="71"/>
      <c r="U2" s="71"/>
      <c r="V2" s="71"/>
      <c r="W2" s="71"/>
      <c r="X2" s="71"/>
      <c r="Y2" s="71"/>
      <c r="Z2" s="71"/>
    </row>
    <row r="3" spans="1:26" ht="29.5">
      <c r="A3" s="355"/>
      <c r="B3" s="1196" t="str">
        <f>"This Table is currently showing "&amp;$I$7&amp;" errors"</f>
        <v>This Table is currently showing 0 errors</v>
      </c>
      <c r="C3" s="48"/>
      <c r="D3" s="48"/>
      <c r="E3" s="759"/>
      <c r="F3" s="759"/>
      <c r="G3" s="1197" t="s">
        <v>872</v>
      </c>
      <c r="H3" s="770" t="str">
        <f>IF('A2 - Risks'!$G$34&gt;0,"There is one or more Risks reported as a positive value", "Ok")</f>
        <v>Ok</v>
      </c>
      <c r="I3" s="840">
        <f>IF(H3="OK",0,1)</f>
        <v>0</v>
      </c>
      <c r="J3" s="71"/>
      <c r="K3" s="155" t="s">
        <v>102</v>
      </c>
      <c r="L3" s="71"/>
      <c r="M3" s="69"/>
      <c r="N3" s="71"/>
      <c r="O3" s="71"/>
      <c r="P3" s="71"/>
      <c r="Q3" s="71"/>
      <c r="R3" s="71"/>
      <c r="S3" s="71"/>
      <c r="T3" s="71"/>
      <c r="U3" s="71"/>
      <c r="V3" s="71"/>
      <c r="W3" s="71"/>
      <c r="X3" s="71"/>
      <c r="Y3" s="71"/>
      <c r="Z3" s="71"/>
    </row>
    <row r="4" spans="1:26" ht="23.25" customHeight="1" thickBot="1">
      <c r="A4" s="355"/>
      <c r="B4" s="781"/>
      <c r="C4" s="71"/>
      <c r="D4" s="71"/>
      <c r="E4" s="759"/>
      <c r="F4" s="759"/>
      <c r="G4" s="255" t="s">
        <v>519</v>
      </c>
      <c r="H4" s="770" t="str">
        <f>IF('A2 - Risks'!$G$43&gt;0,"There is one or more opportunity reported as a negative value", "Ok")</f>
        <v>Ok</v>
      </c>
      <c r="I4" s="840">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9"/>
      <c r="F5" s="759"/>
      <c r="G5" s="255" t="s">
        <v>889</v>
      </c>
      <c r="H5" s="1569" t="str">
        <f>IF(($F$43)&gt;0,"There are one or more amounts in column C without supporting narrative in column B", "Ok")</f>
        <v>Ok</v>
      </c>
      <c r="I5" s="840">
        <f>IF(H5="OK",0,1)</f>
        <v>0</v>
      </c>
      <c r="J5" s="71"/>
      <c r="K5" s="71"/>
      <c r="L5" s="71"/>
      <c r="M5" s="71"/>
      <c r="N5" s="71"/>
      <c r="O5" s="71"/>
      <c r="P5" s="71"/>
      <c r="Q5" s="71"/>
      <c r="R5" s="71"/>
      <c r="S5" s="71"/>
      <c r="T5" s="71"/>
      <c r="U5" s="71"/>
      <c r="V5" s="71"/>
      <c r="W5" s="71"/>
      <c r="X5" s="71"/>
      <c r="Y5" s="71"/>
      <c r="Z5" s="71"/>
    </row>
    <row r="6" spans="1:26" ht="18.75" customHeight="1" thickBot="1">
      <c r="A6" s="274"/>
      <c r="B6" s="1741"/>
      <c r="C6" s="1716" t="s">
        <v>50</v>
      </c>
      <c r="D6" s="1730" t="s">
        <v>488</v>
      </c>
      <c r="E6" s="759"/>
      <c r="F6" s="759"/>
      <c r="G6" s="255" t="s">
        <v>873</v>
      </c>
      <c r="H6" s="1569" t="str">
        <f>IF((E43)&gt;0,"There are one or more amounts in column C with no likelihood selected in column D", "Ok")</f>
        <v>Ok</v>
      </c>
      <c r="I6" s="840">
        <f>IF(H6="OK",0,1)</f>
        <v>0</v>
      </c>
      <c r="J6" s="71"/>
      <c r="K6" s="71"/>
      <c r="L6" s="71"/>
      <c r="M6" s="71"/>
      <c r="N6" s="71"/>
      <c r="O6" s="71"/>
      <c r="P6" s="71"/>
      <c r="Q6" s="71"/>
      <c r="R6" s="71"/>
      <c r="S6" s="71"/>
      <c r="T6" s="71"/>
      <c r="U6" s="71"/>
      <c r="V6" s="71"/>
      <c r="W6" s="71"/>
      <c r="X6" s="71"/>
      <c r="Y6" s="71"/>
      <c r="Z6" s="71"/>
    </row>
    <row r="7" spans="1:26" s="2602" customFormat="1" ht="23.4" customHeight="1" thickBot="1">
      <c r="A7" s="119"/>
      <c r="B7" s="2597" t="s">
        <v>856</v>
      </c>
      <c r="C7" s="2598"/>
      <c r="D7" s="2599"/>
      <c r="E7" s="1603"/>
      <c r="F7" s="1603"/>
      <c r="G7" s="1603"/>
      <c r="H7" s="2600"/>
      <c r="I7" s="2601">
        <f>SUM(I3:I6)</f>
        <v>0</v>
      </c>
      <c r="J7" s="2600"/>
      <c r="K7" s="2600"/>
      <c r="L7" s="2600"/>
      <c r="M7" s="2600"/>
      <c r="N7" s="2600"/>
      <c r="O7" s="2600"/>
      <c r="P7" s="2600"/>
      <c r="Q7" s="2600"/>
      <c r="R7" s="2600"/>
      <c r="S7" s="2600"/>
      <c r="T7" s="2600"/>
      <c r="U7" s="2600"/>
      <c r="V7" s="2600"/>
      <c r="W7" s="2600"/>
      <c r="X7" s="2600"/>
      <c r="Y7" s="2600"/>
      <c r="Z7" s="2600"/>
    </row>
    <row r="8" spans="1:26" s="2602" customFormat="1" ht="27" customHeight="1" thickBot="1">
      <c r="A8" s="1198">
        <v>1</v>
      </c>
      <c r="B8" s="2598" t="s">
        <v>855</v>
      </c>
      <c r="C8" s="2598"/>
      <c r="D8" s="2603"/>
      <c r="E8" s="1001">
        <f>IF(AND(C8&lt;&gt;"",D8=""),1,0)</f>
        <v>0</v>
      </c>
      <c r="F8" s="1001"/>
      <c r="G8" s="1001">
        <f>IF(AND(ISNUMBER(C8),C8&lt;0),1,0)</f>
        <v>0</v>
      </c>
      <c r="H8" s="2600"/>
      <c r="I8" s="2604"/>
      <c r="J8" s="2600"/>
      <c r="K8" s="2600"/>
      <c r="L8" s="2600"/>
      <c r="M8" s="2600"/>
      <c r="N8" s="2600"/>
      <c r="O8" s="2600"/>
      <c r="P8" s="2600"/>
      <c r="Q8" s="2600"/>
      <c r="R8" s="2600"/>
      <c r="S8" s="2600"/>
      <c r="T8" s="2600"/>
      <c r="U8" s="2600"/>
      <c r="V8" s="2600"/>
      <c r="W8" s="2600"/>
      <c r="X8" s="2600"/>
      <c r="Y8" s="2600"/>
      <c r="Z8" s="2600"/>
    </row>
    <row r="9" spans="1:26" s="2602" customFormat="1" ht="27" customHeight="1" thickBot="1">
      <c r="A9" s="1739">
        <f>A8+1</f>
        <v>2</v>
      </c>
      <c r="B9" s="2598" t="s">
        <v>857</v>
      </c>
      <c r="C9" s="2598"/>
      <c r="D9" s="2603"/>
      <c r="E9" s="1001">
        <f>IF(AND(C9&lt;&gt;"",D9=""),1,0)</f>
        <v>0</v>
      </c>
      <c r="F9" s="1001"/>
      <c r="G9" s="1001">
        <f>IF(AND(ISNUMBER(C9),C9&lt;0),1,0)</f>
        <v>0</v>
      </c>
      <c r="H9" s="2600"/>
      <c r="I9" s="2600"/>
      <c r="J9" s="2600"/>
      <c r="K9" s="2600"/>
      <c r="L9" s="2600"/>
      <c r="M9" s="2600"/>
      <c r="N9" s="2600"/>
      <c r="O9" s="2600"/>
      <c r="P9" s="2600"/>
      <c r="Q9" s="2600"/>
      <c r="R9" s="2600"/>
      <c r="S9" s="2600"/>
      <c r="T9" s="2600"/>
      <c r="U9" s="2600"/>
      <c r="V9" s="2600"/>
      <c r="W9" s="2600"/>
      <c r="X9" s="2600"/>
      <c r="Y9" s="2600"/>
      <c r="Z9" s="2600"/>
    </row>
    <row r="10" spans="1:26" s="2602" customFormat="1" ht="27" customHeight="1" thickBot="1">
      <c r="A10" s="119">
        <f>A9+1</f>
        <v>3</v>
      </c>
      <c r="B10" s="2598" t="s">
        <v>861</v>
      </c>
      <c r="C10" s="2598">
        <f>SUM(C8:C9)</f>
        <v>0</v>
      </c>
      <c r="D10" s="2605"/>
      <c r="E10" s="1001"/>
      <c r="F10" s="1001"/>
      <c r="G10" s="1001"/>
      <c r="H10" s="2600"/>
      <c r="I10" s="2600"/>
      <c r="J10" s="2600"/>
      <c r="K10" s="2600"/>
      <c r="L10" s="2600"/>
      <c r="M10" s="2600"/>
      <c r="N10" s="2600"/>
      <c r="O10" s="2600"/>
      <c r="P10" s="2600"/>
      <c r="Q10" s="2600"/>
      <c r="R10" s="2600"/>
      <c r="S10" s="2600"/>
      <c r="T10" s="2600"/>
      <c r="U10" s="2600"/>
      <c r="V10" s="2600"/>
      <c r="W10" s="2600"/>
      <c r="X10" s="2600"/>
      <c r="Y10" s="2600"/>
      <c r="Z10" s="2600"/>
    </row>
    <row r="11" spans="1:26" ht="27" customHeight="1" thickBot="1">
      <c r="A11" s="119"/>
      <c r="B11" s="386" t="s">
        <v>490</v>
      </c>
      <c r="C11" s="1199"/>
      <c r="D11" s="1032"/>
      <c r="E11" s="759"/>
      <c r="F11" s="759"/>
      <c r="G11" s="1201"/>
      <c r="H11" s="71"/>
      <c r="I11" s="71"/>
      <c r="J11" s="71"/>
      <c r="K11" s="71"/>
      <c r="L11" s="71"/>
      <c r="M11" s="71"/>
      <c r="N11" s="71"/>
      <c r="O11" s="71"/>
      <c r="P11" s="71"/>
      <c r="Q11" s="71"/>
      <c r="R11" s="71"/>
      <c r="S11" s="71"/>
      <c r="T11" s="71"/>
      <c r="U11" s="71"/>
      <c r="V11" s="71"/>
      <c r="W11" s="71"/>
      <c r="X11" s="71"/>
      <c r="Y11" s="71"/>
      <c r="Z11" s="71"/>
    </row>
    <row r="12" spans="1:26" ht="27" customHeight="1">
      <c r="A12" s="1198">
        <f>A10+1</f>
        <v>4</v>
      </c>
      <c r="B12" s="1718" t="s">
        <v>853</v>
      </c>
      <c r="C12" s="1724" t="str">
        <f>IF(-SUMIFS('Table C4 Tracker'!K43:K1496,'Table C4 Tracker'!O43:O1496,'Table C4 Tracker'!CA2)=0,"",-SUMIFS('Table C4 Tracker'!K43:K1496,'Table C4 Tracker'!O43:O1496,'Table C4 Tracker'!CA2))</f>
        <v/>
      </c>
      <c r="D12" s="1725"/>
      <c r="E12" s="1201">
        <f t="shared" ref="E12:E33" si="0">IF(AND(C12&lt;&gt;"",D12=""),1,0)</f>
        <v>0</v>
      </c>
      <c r="F12" s="1201"/>
      <c r="G12" s="1201">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7">
        <f>A12+1</f>
        <v>5</v>
      </c>
      <c r="B13" s="1719" t="s">
        <v>305</v>
      </c>
      <c r="C13" s="1200"/>
      <c r="D13" s="1725"/>
      <c r="E13" s="1201">
        <f t="shared" si="0"/>
        <v>0</v>
      </c>
      <c r="F13" s="1201"/>
      <c r="G13" s="1201">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7">
        <f t="shared" ref="A14:A33" si="2">A13+1</f>
        <v>6</v>
      </c>
      <c r="B14" s="1719" t="s">
        <v>306</v>
      </c>
      <c r="C14" s="1200"/>
      <c r="D14" s="1725"/>
      <c r="E14" s="1201">
        <f t="shared" si="0"/>
        <v>0</v>
      </c>
      <c r="F14" s="1201"/>
      <c r="G14" s="1201">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7">
        <f t="shared" si="2"/>
        <v>7</v>
      </c>
      <c r="B15" s="1719" t="s">
        <v>307</v>
      </c>
      <c r="C15" s="1200"/>
      <c r="D15" s="1725"/>
      <c r="E15" s="1201">
        <f t="shared" si="0"/>
        <v>0</v>
      </c>
      <c r="F15" s="1201"/>
      <c r="G15" s="1201">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7">
        <f t="shared" si="2"/>
        <v>8</v>
      </c>
      <c r="B16" s="1720" t="s">
        <v>368</v>
      </c>
      <c r="C16" s="1200"/>
      <c r="D16" s="1725"/>
      <c r="E16" s="1201">
        <f t="shared" si="0"/>
        <v>0</v>
      </c>
      <c r="F16" s="1201"/>
      <c r="G16" s="1201">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7">
        <f t="shared" si="2"/>
        <v>9</v>
      </c>
      <c r="B17" s="1720" t="s">
        <v>369</v>
      </c>
      <c r="C17" s="1200"/>
      <c r="D17" s="1725"/>
      <c r="E17" s="1201">
        <f t="shared" si="0"/>
        <v>0</v>
      </c>
      <c r="F17" s="1201"/>
      <c r="G17" s="1201">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7">
        <f t="shared" si="2"/>
        <v>10</v>
      </c>
      <c r="B18" s="1721" t="s">
        <v>724</v>
      </c>
      <c r="C18" s="1200"/>
      <c r="D18" s="1725"/>
      <c r="E18" s="1201">
        <f t="shared" si="0"/>
        <v>0</v>
      </c>
      <c r="F18" s="1201"/>
      <c r="G18" s="1201">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7">
        <f t="shared" si="2"/>
        <v>11</v>
      </c>
      <c r="B19" s="1721" t="s">
        <v>723</v>
      </c>
      <c r="C19" s="1200"/>
      <c r="D19" s="1725"/>
      <c r="E19" s="1201">
        <f t="shared" si="0"/>
        <v>0</v>
      </c>
      <c r="F19" s="1201"/>
      <c r="G19" s="1201">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7">
        <f t="shared" si="2"/>
        <v>12</v>
      </c>
      <c r="B20" s="1722"/>
      <c r="C20" s="1200"/>
      <c r="D20" s="1725"/>
      <c r="E20" s="1201">
        <f t="shared" si="0"/>
        <v>0</v>
      </c>
      <c r="F20" s="1201">
        <f t="shared" ref="F20:F42" si="3">IF(AND(C20&lt;&gt;"",B20=""),1,0)</f>
        <v>0</v>
      </c>
      <c r="G20" s="1201">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7">
        <f t="shared" si="2"/>
        <v>13</v>
      </c>
      <c r="B21" s="1722" t="s">
        <v>1451</v>
      </c>
      <c r="C21" s="1200">
        <v>-979</v>
      </c>
      <c r="D21" s="1725" t="s">
        <v>101</v>
      </c>
      <c r="E21" s="1201">
        <f t="shared" si="0"/>
        <v>0</v>
      </c>
      <c r="F21" s="1201">
        <f t="shared" si="3"/>
        <v>0</v>
      </c>
      <c r="G21" s="1201">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7">
        <f t="shared" si="2"/>
        <v>14</v>
      </c>
      <c r="B22" s="1722" t="s">
        <v>1452</v>
      </c>
      <c r="C22" s="1200">
        <v>-400</v>
      </c>
      <c r="D22" s="1725" t="s">
        <v>110</v>
      </c>
      <c r="E22" s="1201">
        <f t="shared" si="0"/>
        <v>0</v>
      </c>
      <c r="F22" s="1201">
        <f t="shared" si="3"/>
        <v>0</v>
      </c>
      <c r="G22" s="1201">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7">
        <f t="shared" si="2"/>
        <v>15</v>
      </c>
      <c r="B23" s="1722"/>
      <c r="C23" s="1200"/>
      <c r="D23" s="1725"/>
      <c r="E23" s="1201">
        <f t="shared" si="0"/>
        <v>0</v>
      </c>
      <c r="F23" s="1201">
        <f t="shared" si="3"/>
        <v>0</v>
      </c>
      <c r="G23" s="1201">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7">
        <f t="shared" si="2"/>
        <v>16</v>
      </c>
      <c r="B24" s="1722"/>
      <c r="C24" s="1200"/>
      <c r="D24" s="1725"/>
      <c r="E24" s="1201">
        <f t="shared" si="0"/>
        <v>0</v>
      </c>
      <c r="F24" s="1201">
        <f t="shared" si="3"/>
        <v>0</v>
      </c>
      <c r="G24" s="1201">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7">
        <f t="shared" si="2"/>
        <v>17</v>
      </c>
      <c r="B25" s="1722"/>
      <c r="C25" s="1200"/>
      <c r="D25" s="1725"/>
      <c r="E25" s="1201">
        <f t="shared" si="0"/>
        <v>0</v>
      </c>
      <c r="F25" s="1201">
        <f t="shared" si="3"/>
        <v>0</v>
      </c>
      <c r="G25" s="1201">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7">
        <f t="shared" si="2"/>
        <v>18</v>
      </c>
      <c r="B26" s="1722"/>
      <c r="C26" s="1200"/>
      <c r="D26" s="1725"/>
      <c r="E26" s="1201">
        <f t="shared" si="0"/>
        <v>0</v>
      </c>
      <c r="F26" s="1201">
        <f t="shared" si="3"/>
        <v>0</v>
      </c>
      <c r="G26" s="1201">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7">
        <f t="shared" si="2"/>
        <v>19</v>
      </c>
      <c r="B27" s="1722"/>
      <c r="C27" s="1200"/>
      <c r="D27" s="1725"/>
      <c r="E27" s="1201">
        <f t="shared" si="0"/>
        <v>0</v>
      </c>
      <c r="F27" s="1201">
        <f t="shared" si="3"/>
        <v>0</v>
      </c>
      <c r="G27" s="1201">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7">
        <f t="shared" si="2"/>
        <v>20</v>
      </c>
      <c r="B28" s="1722"/>
      <c r="C28" s="1200"/>
      <c r="D28" s="1725"/>
      <c r="E28" s="1201">
        <f t="shared" si="0"/>
        <v>0</v>
      </c>
      <c r="F28" s="1201">
        <f t="shared" si="3"/>
        <v>0</v>
      </c>
      <c r="G28" s="1201">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7">
        <f t="shared" si="2"/>
        <v>21</v>
      </c>
      <c r="B29" s="1722"/>
      <c r="C29" s="1200"/>
      <c r="D29" s="1725"/>
      <c r="E29" s="1201">
        <f t="shared" si="0"/>
        <v>0</v>
      </c>
      <c r="F29" s="1201">
        <f t="shared" si="3"/>
        <v>0</v>
      </c>
      <c r="G29" s="1201">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7">
        <f t="shared" si="2"/>
        <v>22</v>
      </c>
      <c r="B30" s="1722"/>
      <c r="C30" s="1200"/>
      <c r="D30" s="1725"/>
      <c r="E30" s="1201">
        <f t="shared" si="0"/>
        <v>0</v>
      </c>
      <c r="F30" s="1201">
        <f t="shared" si="3"/>
        <v>0</v>
      </c>
      <c r="G30" s="1201">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7">
        <f t="shared" si="2"/>
        <v>23</v>
      </c>
      <c r="B31" s="1722"/>
      <c r="C31" s="1200"/>
      <c r="D31" s="1725"/>
      <c r="E31" s="1201">
        <f t="shared" si="0"/>
        <v>0</v>
      </c>
      <c r="F31" s="1201">
        <f t="shared" si="3"/>
        <v>0</v>
      </c>
      <c r="G31" s="1201">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7">
        <f t="shared" si="2"/>
        <v>24</v>
      </c>
      <c r="B32" s="1722"/>
      <c r="C32" s="1200"/>
      <c r="D32" s="1725"/>
      <c r="E32" s="1201">
        <f t="shared" si="0"/>
        <v>0</v>
      </c>
      <c r="F32" s="1201">
        <f t="shared" si="3"/>
        <v>0</v>
      </c>
      <c r="G32" s="1201">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9">
        <f t="shared" si="2"/>
        <v>25</v>
      </c>
      <c r="B33" s="1723"/>
      <c r="C33" s="1726"/>
      <c r="D33" s="1727"/>
      <c r="E33" s="1201">
        <f t="shared" si="0"/>
        <v>0</v>
      </c>
      <c r="F33" s="1201">
        <f t="shared" si="3"/>
        <v>0</v>
      </c>
      <c r="G33" s="1201">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8" t="s">
        <v>860</v>
      </c>
      <c r="C34" s="1143">
        <f>SUM(C12:C33)</f>
        <v>-1379</v>
      </c>
      <c r="D34" s="358"/>
      <c r="E34" s="1201"/>
      <c r="F34" s="1201"/>
      <c r="G34" s="1201">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7"/>
      <c r="B35" s="1203" t="s">
        <v>858</v>
      </c>
      <c r="C35" s="1735"/>
      <c r="D35" s="1736"/>
      <c r="E35" s="1201">
        <f>SUM(E12:E33)</f>
        <v>0</v>
      </c>
      <c r="F35" s="1201"/>
      <c r="G35" s="1201">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6"/>
      <c r="C36" s="1563"/>
      <c r="D36" s="1728"/>
      <c r="E36" s="1201">
        <f t="shared" ref="E36:E42" si="4">IF(AND(C36&lt;&gt;"",D36=""),1,0)</f>
        <v>0</v>
      </c>
      <c r="F36" s="1201">
        <f t="shared" si="3"/>
        <v>0</v>
      </c>
      <c r="G36" s="1201">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6"/>
      <c r="C37" s="1564"/>
      <c r="D37" s="1729"/>
      <c r="E37" s="1201">
        <f t="shared" si="4"/>
        <v>0</v>
      </c>
      <c r="F37" s="1201">
        <f t="shared" si="3"/>
        <v>0</v>
      </c>
      <c r="G37" s="1201">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6"/>
      <c r="C38" s="1564"/>
      <c r="D38" s="1729"/>
      <c r="E38" s="1201">
        <f t="shared" si="4"/>
        <v>0</v>
      </c>
      <c r="F38" s="1201">
        <f t="shared" si="3"/>
        <v>0</v>
      </c>
      <c r="G38" s="1201">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6"/>
      <c r="C39" s="1205"/>
      <c r="D39" s="1206"/>
      <c r="E39" s="1201">
        <f t="shared" si="4"/>
        <v>0</v>
      </c>
      <c r="F39" s="1201">
        <f t="shared" si="3"/>
        <v>0</v>
      </c>
      <c r="G39" s="1201">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6"/>
      <c r="C40" s="1205"/>
      <c r="D40" s="1206"/>
      <c r="E40" s="1201">
        <f t="shared" si="4"/>
        <v>0</v>
      </c>
      <c r="F40" s="1201">
        <f t="shared" si="3"/>
        <v>0</v>
      </c>
      <c r="G40" s="1201">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6"/>
      <c r="C41" s="1205"/>
      <c r="D41" s="1206"/>
      <c r="E41" s="1201">
        <f t="shared" si="4"/>
        <v>0</v>
      </c>
      <c r="F41" s="1201">
        <f t="shared" si="3"/>
        <v>0</v>
      </c>
      <c r="G41" s="1201">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40">
        <f t="shared" si="6"/>
        <v>33</v>
      </c>
      <c r="B42" s="1541"/>
      <c r="C42" s="1207"/>
      <c r="D42" s="1208"/>
      <c r="E42" s="1201">
        <f t="shared" si="4"/>
        <v>0</v>
      </c>
      <c r="F42" s="1201">
        <f t="shared" si="3"/>
        <v>0</v>
      </c>
      <c r="G42" s="1201">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8" t="s">
        <v>859</v>
      </c>
      <c r="C43" s="1143">
        <f>SUM(C36:C42)</f>
        <v>0</v>
      </c>
      <c r="D43" s="358" t="s">
        <v>289</v>
      </c>
      <c r="E43" s="1201">
        <f>SUM(E36:E42)+SUM(E12:E33)+SUM(E8:E9)</f>
        <v>0</v>
      </c>
      <c r="F43" s="1201">
        <f>SUM(F20:F42)</f>
        <v>0</v>
      </c>
      <c r="G43" s="1201">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5"/>
      <c r="B44" s="1204"/>
      <c r="C44" s="197"/>
      <c r="D44" s="197"/>
      <c r="E44" s="1201"/>
      <c r="F44" s="1201"/>
      <c r="G44" s="1201"/>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8" t="s">
        <v>489</v>
      </c>
      <c r="C45" s="117">
        <f>'A - Movement'!C50</f>
        <v>-1.8999998428625986E-4</v>
      </c>
      <c r="D45" s="1155"/>
      <c r="E45" s="1201"/>
      <c r="F45" s="1201"/>
      <c r="G45" s="1201"/>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9"/>
      <c r="F46" s="759"/>
      <c r="G46" s="759"/>
      <c r="H46" s="71"/>
      <c r="I46" s="71"/>
      <c r="J46" s="71"/>
      <c r="K46" s="71"/>
      <c r="L46" s="71"/>
      <c r="M46" s="71"/>
      <c r="N46" s="71"/>
      <c r="O46" s="71"/>
      <c r="P46" s="71"/>
      <c r="Q46" s="71"/>
      <c r="R46" s="71"/>
      <c r="S46" s="71"/>
      <c r="T46" s="71"/>
      <c r="U46" s="71"/>
      <c r="V46" s="71"/>
      <c r="W46" s="71"/>
      <c r="X46" s="71"/>
      <c r="Y46" s="71"/>
      <c r="Z46" s="71"/>
    </row>
    <row r="47" spans="1:26" s="2608" customFormat="1" ht="23.25" customHeight="1" thickBot="1">
      <c r="A47" s="1737">
        <f>A45+1</f>
        <v>36</v>
      </c>
      <c r="B47" s="2606" t="s">
        <v>874</v>
      </c>
      <c r="C47" s="2603">
        <f>C45+C10</f>
        <v>-1.8999998428625986E-4</v>
      </c>
      <c r="D47" s="2603"/>
      <c r="E47" s="2607"/>
      <c r="F47" s="2607"/>
      <c r="G47" s="2607"/>
    </row>
    <row r="48" spans="1:26" ht="16" thickBot="1">
      <c r="A48" s="71"/>
      <c r="B48" s="71"/>
      <c r="C48" s="71"/>
      <c r="D48" s="71"/>
      <c r="E48" s="759"/>
      <c r="F48" s="759"/>
      <c r="G48" s="759"/>
      <c r="H48" s="71"/>
      <c r="I48" s="71"/>
      <c r="J48" s="71"/>
      <c r="K48" s="71"/>
      <c r="L48" s="71"/>
      <c r="M48" s="71"/>
      <c r="N48" s="71"/>
      <c r="O48" s="71"/>
      <c r="P48" s="71"/>
      <c r="Q48" s="71"/>
      <c r="R48" s="71"/>
      <c r="S48" s="71"/>
      <c r="T48" s="71"/>
      <c r="U48" s="71"/>
      <c r="V48" s="71"/>
      <c r="W48" s="71"/>
      <c r="X48" s="71"/>
      <c r="Y48" s="71"/>
      <c r="Z48" s="71"/>
    </row>
    <row r="49" spans="1:26" ht="24.9" customHeight="1" thickBot="1">
      <c r="A49" s="119">
        <f>A47+1</f>
        <v>37</v>
      </c>
      <c r="B49" s="1738" t="s">
        <v>875</v>
      </c>
      <c r="C49" s="117">
        <f>IF(C10+C34+C43&gt;0,C45,C45+C10+C34+C43)</f>
        <v>-1379.0001899999843</v>
      </c>
      <c r="D49" s="1155"/>
      <c r="E49" s="759"/>
      <c r="F49" s="759"/>
      <c r="G49" s="759"/>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9"/>
      <c r="F50" s="759"/>
      <c r="G50" s="759"/>
      <c r="H50" s="71"/>
      <c r="I50" s="272"/>
      <c r="J50" s="71"/>
      <c r="K50" s="71"/>
      <c r="L50" s="71"/>
      <c r="M50" s="71"/>
      <c r="N50" s="71"/>
      <c r="O50" s="71"/>
      <c r="P50" s="71"/>
      <c r="Q50" s="71"/>
      <c r="R50" s="71"/>
      <c r="S50" s="71"/>
      <c r="T50" s="71"/>
      <c r="U50" s="71"/>
      <c r="V50" s="71"/>
      <c r="W50" s="71"/>
      <c r="X50" s="71"/>
      <c r="Y50" s="71"/>
      <c r="Z50" s="71"/>
    </row>
    <row r="51" spans="1:26" ht="26.4" customHeight="1" thickBot="1">
      <c r="A51" s="119">
        <f>A49+1</f>
        <v>38</v>
      </c>
      <c r="B51" s="1738" t="s">
        <v>876</v>
      </c>
      <c r="C51" s="117">
        <f>C45+C10+C43</f>
        <v>-1.8999998428625986E-4</v>
      </c>
      <c r="D51" s="1155"/>
      <c r="E51" s="759"/>
      <c r="F51" s="759"/>
      <c r="G51" s="759"/>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9"/>
      <c r="F52" s="759"/>
      <c r="G52" s="759"/>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9"/>
      <c r="F53" s="759"/>
      <c r="G53" s="759"/>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9"/>
      <c r="F54" s="759"/>
      <c r="G54" s="759"/>
      <c r="H54" s="759"/>
      <c r="I54" s="272"/>
      <c r="J54" s="272"/>
      <c r="K54" s="272"/>
      <c r="L54" s="272"/>
      <c r="M54" s="272"/>
      <c r="N54" s="71"/>
      <c r="O54" s="71"/>
      <c r="P54" s="71"/>
      <c r="Q54" s="71"/>
      <c r="R54" s="71"/>
      <c r="S54" s="71"/>
      <c r="T54" s="71"/>
      <c r="U54" s="71"/>
      <c r="V54" s="71"/>
      <c r="W54" s="71"/>
      <c r="X54" s="71"/>
      <c r="Y54" s="71"/>
      <c r="Z54" s="71"/>
    </row>
    <row r="55" spans="1:26">
      <c r="A55" s="71"/>
      <c r="B55" s="71"/>
      <c r="C55" s="71"/>
      <c r="D55" s="71"/>
      <c r="E55" s="759"/>
      <c r="F55" s="759"/>
      <c r="G55" s="759"/>
      <c r="H55" s="759"/>
      <c r="I55" s="272"/>
      <c r="J55" s="272"/>
      <c r="K55" s="272"/>
      <c r="L55" s="272"/>
      <c r="M55" s="272"/>
      <c r="N55" s="71"/>
      <c r="O55" s="71"/>
      <c r="P55" s="71"/>
      <c r="Q55" s="71"/>
      <c r="R55" s="71"/>
      <c r="S55" s="71"/>
      <c r="T55" s="71"/>
      <c r="U55" s="71"/>
      <c r="V55" s="71"/>
      <c r="W55" s="71"/>
      <c r="X55" s="71"/>
      <c r="Y55" s="71"/>
      <c r="Z55" s="71"/>
    </row>
    <row r="56" spans="1:26">
      <c r="A56" s="71"/>
      <c r="B56" s="71"/>
      <c r="C56" s="71"/>
      <c r="D56" s="71"/>
      <c r="E56" s="759"/>
      <c r="F56" s="759"/>
      <c r="G56" s="759"/>
      <c r="H56" s="759"/>
      <c r="I56" s="272"/>
      <c r="J56" s="272"/>
      <c r="K56" s="272"/>
      <c r="L56" s="272"/>
      <c r="M56" s="272"/>
      <c r="N56" s="71"/>
      <c r="O56" s="71"/>
      <c r="P56" s="71"/>
      <c r="Q56" s="71"/>
      <c r="R56" s="71"/>
      <c r="S56" s="71"/>
      <c r="T56" s="71"/>
      <c r="U56" s="71"/>
      <c r="V56" s="71"/>
      <c r="W56" s="71"/>
      <c r="X56" s="71"/>
      <c r="Y56" s="71"/>
      <c r="Z56" s="71"/>
    </row>
    <row r="57" spans="1:26">
      <c r="A57" s="71"/>
      <c r="B57" s="71"/>
      <c r="C57" s="71"/>
      <c r="D57" s="71"/>
      <c r="E57" s="759"/>
      <c r="F57" s="759"/>
      <c r="G57" s="759"/>
      <c r="H57" s="759"/>
      <c r="I57" s="272"/>
      <c r="J57" s="272"/>
      <c r="K57" s="272"/>
      <c r="L57" s="272"/>
      <c r="M57" s="272"/>
      <c r="N57" s="71"/>
      <c r="O57" s="71"/>
      <c r="P57" s="71"/>
      <c r="Q57" s="71"/>
      <c r="R57" s="71"/>
      <c r="S57" s="71"/>
      <c r="T57" s="71"/>
      <c r="U57" s="71"/>
      <c r="V57" s="71"/>
      <c r="W57" s="71"/>
      <c r="X57" s="71"/>
      <c r="Y57" s="71"/>
      <c r="Z57" s="71"/>
    </row>
    <row r="58" spans="1:26">
      <c r="A58" s="71"/>
      <c r="B58" s="71"/>
      <c r="C58" s="71"/>
      <c r="D58" s="71"/>
      <c r="E58" s="759"/>
      <c r="F58" s="759"/>
      <c r="G58" s="759"/>
      <c r="H58" s="759"/>
      <c r="I58" s="272"/>
      <c r="J58" s="272"/>
      <c r="K58" s="272"/>
      <c r="L58" s="272"/>
      <c r="M58" s="272"/>
      <c r="N58" s="71"/>
      <c r="O58" s="71"/>
      <c r="P58" s="71"/>
      <c r="Q58" s="71"/>
      <c r="R58" s="71"/>
      <c r="S58" s="71"/>
      <c r="T58" s="71"/>
      <c r="U58" s="71"/>
      <c r="V58" s="71"/>
      <c r="W58" s="71"/>
      <c r="X58" s="71"/>
      <c r="Y58" s="71"/>
      <c r="Z58" s="71"/>
    </row>
    <row r="59" spans="1:26">
      <c r="A59" s="71"/>
      <c r="B59" s="71"/>
      <c r="C59" s="71"/>
      <c r="D59" s="71"/>
      <c r="E59" s="759"/>
      <c r="F59" s="759"/>
      <c r="G59" s="759"/>
      <c r="H59" s="759"/>
      <c r="I59" s="272"/>
      <c r="J59" s="272"/>
      <c r="K59" s="272"/>
      <c r="L59" s="272"/>
      <c r="M59" s="272"/>
      <c r="N59" s="71"/>
      <c r="O59" s="71"/>
      <c r="P59" s="71"/>
      <c r="Q59" s="71"/>
      <c r="R59" s="71"/>
      <c r="S59" s="71"/>
      <c r="T59" s="71"/>
      <c r="U59" s="71"/>
      <c r="V59" s="71"/>
      <c r="W59" s="71"/>
      <c r="X59" s="71"/>
      <c r="Y59" s="71"/>
      <c r="Z59" s="71"/>
    </row>
    <row r="60" spans="1:26">
      <c r="A60" s="71"/>
      <c r="B60" s="71"/>
      <c r="C60" s="71"/>
      <c r="D60" s="71"/>
      <c r="E60" s="759"/>
      <c r="F60" s="759"/>
      <c r="G60" s="759"/>
      <c r="H60" s="759"/>
      <c r="I60" s="272"/>
      <c r="J60" s="272"/>
      <c r="K60" s="272"/>
      <c r="L60" s="272"/>
      <c r="M60" s="272"/>
      <c r="N60" s="71"/>
      <c r="O60" s="71"/>
      <c r="P60" s="71"/>
      <c r="Q60" s="71"/>
      <c r="R60" s="71"/>
      <c r="S60" s="71"/>
      <c r="T60" s="71"/>
      <c r="U60" s="71"/>
      <c r="V60" s="71"/>
      <c r="W60" s="71"/>
      <c r="X60" s="71"/>
      <c r="Y60" s="71"/>
      <c r="Z60" s="71"/>
    </row>
    <row r="61" spans="1:26">
      <c r="A61" s="71"/>
      <c r="B61" s="71"/>
      <c r="C61" s="71"/>
      <c r="D61" s="71"/>
      <c r="E61" s="759"/>
      <c r="F61" s="759"/>
      <c r="G61" s="759"/>
      <c r="H61" s="759"/>
      <c r="I61" s="272"/>
      <c r="J61" s="272"/>
      <c r="K61" s="272"/>
      <c r="L61" s="272"/>
      <c r="M61" s="272"/>
      <c r="N61" s="71"/>
      <c r="O61" s="71"/>
      <c r="P61" s="71"/>
      <c r="Q61" s="71"/>
      <c r="R61" s="71"/>
      <c r="S61" s="71"/>
      <c r="T61" s="71"/>
      <c r="U61" s="71"/>
      <c r="V61" s="71"/>
      <c r="W61" s="71"/>
      <c r="X61" s="71"/>
      <c r="Y61" s="71"/>
      <c r="Z61" s="71"/>
    </row>
    <row r="62" spans="1:26">
      <c r="A62" s="71"/>
      <c r="B62" s="71"/>
      <c r="C62" s="71"/>
      <c r="D62" s="71"/>
      <c r="E62" s="759"/>
      <c r="F62" s="759"/>
      <c r="G62" s="759"/>
      <c r="H62" s="759"/>
      <c r="I62" s="272"/>
      <c r="J62" s="272"/>
      <c r="K62" s="272"/>
      <c r="L62" s="272"/>
      <c r="M62" s="272"/>
      <c r="N62" s="71"/>
      <c r="O62" s="71"/>
      <c r="P62" s="71"/>
      <c r="Q62" s="71"/>
      <c r="R62" s="71"/>
      <c r="S62" s="71"/>
      <c r="T62" s="71"/>
      <c r="U62" s="71"/>
      <c r="V62" s="71"/>
      <c r="W62" s="71"/>
      <c r="X62" s="71"/>
      <c r="Y62" s="71"/>
      <c r="Z62" s="71"/>
    </row>
    <row r="63" spans="1:26">
      <c r="A63" s="71"/>
      <c r="B63" s="71"/>
      <c r="C63" s="71"/>
      <c r="D63" s="71"/>
      <c r="E63" s="759"/>
      <c r="F63" s="759"/>
      <c r="G63" s="759"/>
      <c r="H63" s="759"/>
      <c r="I63" s="272"/>
      <c r="J63" s="272"/>
      <c r="K63" s="272"/>
      <c r="L63" s="272"/>
      <c r="M63" s="272"/>
      <c r="N63" s="71"/>
      <c r="O63" s="71"/>
      <c r="P63" s="71"/>
      <c r="Q63" s="71"/>
      <c r="R63" s="71"/>
      <c r="S63" s="71"/>
      <c r="T63" s="71"/>
      <c r="U63" s="71"/>
      <c r="V63" s="71"/>
      <c r="W63" s="71"/>
      <c r="X63" s="71"/>
      <c r="Y63" s="71"/>
      <c r="Z63" s="71"/>
    </row>
    <row r="64" spans="1:26">
      <c r="A64" s="71"/>
      <c r="B64" s="71"/>
      <c r="C64" s="71"/>
      <c r="D64" s="71"/>
      <c r="E64" s="759"/>
      <c r="F64" s="759"/>
      <c r="G64" s="759"/>
      <c r="H64" s="759"/>
      <c r="I64" s="272"/>
      <c r="J64" s="272"/>
      <c r="K64" s="272"/>
      <c r="L64" s="272"/>
      <c r="M64" s="272"/>
      <c r="N64" s="71"/>
      <c r="O64" s="71"/>
      <c r="P64" s="71"/>
      <c r="Q64" s="71"/>
      <c r="R64" s="71"/>
      <c r="S64" s="71"/>
      <c r="T64" s="71"/>
      <c r="U64" s="71"/>
      <c r="V64" s="71"/>
      <c r="W64" s="71"/>
      <c r="X64" s="71"/>
      <c r="Y64" s="71"/>
      <c r="Z64" s="71"/>
    </row>
    <row r="65" spans="1:26">
      <c r="A65" s="71"/>
      <c r="B65" s="71"/>
      <c r="C65" s="71"/>
      <c r="D65" s="71"/>
      <c r="E65" s="759"/>
      <c r="F65" s="759"/>
      <c r="G65" s="759"/>
      <c r="H65" s="759"/>
      <c r="I65" s="272"/>
      <c r="J65" s="272"/>
      <c r="K65" s="272"/>
      <c r="L65" s="272"/>
      <c r="M65" s="272"/>
      <c r="N65" s="71"/>
      <c r="O65" s="71"/>
      <c r="P65" s="71"/>
      <c r="Q65" s="71"/>
      <c r="R65" s="71"/>
      <c r="S65" s="71"/>
      <c r="T65" s="71"/>
      <c r="U65" s="71"/>
      <c r="V65" s="71"/>
      <c r="W65" s="71"/>
      <c r="X65" s="71"/>
      <c r="Y65" s="71"/>
      <c r="Z65" s="71"/>
    </row>
    <row r="66" spans="1:26">
      <c r="A66" s="71"/>
      <c r="B66" s="71"/>
      <c r="C66" s="71"/>
      <c r="D66" s="71"/>
      <c r="E66" s="759"/>
      <c r="F66" s="759"/>
      <c r="G66" s="759"/>
      <c r="H66" s="759"/>
      <c r="I66" s="272"/>
      <c r="J66" s="272"/>
      <c r="K66" s="272"/>
      <c r="L66" s="272"/>
      <c r="M66" s="272"/>
      <c r="N66" s="71"/>
      <c r="O66" s="71"/>
      <c r="P66" s="71"/>
      <c r="Q66" s="71"/>
      <c r="R66" s="71"/>
      <c r="S66" s="71"/>
      <c r="T66" s="71"/>
      <c r="U66" s="71"/>
      <c r="V66" s="71"/>
      <c r="W66" s="71"/>
      <c r="X66" s="71"/>
      <c r="Y66" s="71"/>
      <c r="Z66" s="71"/>
    </row>
    <row r="67" spans="1:26">
      <c r="A67" s="71"/>
      <c r="B67" s="71"/>
      <c r="C67" s="71"/>
      <c r="D67" s="71"/>
      <c r="E67" s="759"/>
      <c r="F67" s="759"/>
      <c r="G67" s="759"/>
      <c r="H67" s="759"/>
      <c r="I67" s="272"/>
      <c r="J67" s="272"/>
      <c r="K67" s="272"/>
      <c r="L67" s="272"/>
      <c r="M67" s="272"/>
      <c r="N67" s="71"/>
      <c r="O67" s="71"/>
      <c r="P67" s="71"/>
      <c r="Q67" s="71"/>
      <c r="R67" s="71"/>
      <c r="S67" s="71"/>
      <c r="T67" s="71"/>
      <c r="U67" s="71"/>
      <c r="V67" s="71"/>
      <c r="W67" s="71"/>
      <c r="X67" s="71"/>
      <c r="Y67" s="71"/>
      <c r="Z67" s="71"/>
    </row>
    <row r="68" spans="1:26">
      <c r="A68" s="71"/>
      <c r="B68" s="71"/>
      <c r="C68" s="71"/>
      <c r="D68" s="71"/>
      <c r="E68" s="759"/>
      <c r="F68" s="759"/>
      <c r="G68" s="759"/>
      <c r="H68" s="759"/>
      <c r="I68" s="272"/>
      <c r="J68" s="272"/>
      <c r="K68" s="272"/>
      <c r="L68" s="272"/>
      <c r="M68" s="272"/>
      <c r="N68" s="71"/>
      <c r="O68" s="71"/>
      <c r="P68" s="71"/>
      <c r="Q68" s="71"/>
      <c r="R68" s="71"/>
      <c r="S68" s="71"/>
      <c r="T68" s="71"/>
      <c r="U68" s="71"/>
      <c r="V68" s="71"/>
      <c r="W68" s="71"/>
      <c r="X68" s="71"/>
      <c r="Y68" s="71"/>
      <c r="Z68" s="71"/>
    </row>
    <row r="69" spans="1:26">
      <c r="A69" s="71"/>
      <c r="B69" s="71"/>
      <c r="C69" s="71"/>
      <c r="D69" s="71"/>
      <c r="E69" s="759"/>
      <c r="F69" s="759"/>
      <c r="G69" s="759"/>
      <c r="H69" s="759"/>
      <c r="I69" s="272"/>
      <c r="J69" s="272"/>
      <c r="K69" s="272"/>
      <c r="L69" s="272"/>
      <c r="M69" s="272"/>
      <c r="N69" s="71"/>
      <c r="O69" s="71"/>
      <c r="P69" s="71"/>
      <c r="Q69" s="71"/>
      <c r="R69" s="71"/>
      <c r="S69" s="71"/>
      <c r="T69" s="71"/>
      <c r="U69" s="71"/>
      <c r="V69" s="71"/>
      <c r="W69" s="71"/>
      <c r="X69" s="71"/>
      <c r="Y69" s="71"/>
      <c r="Z69" s="71"/>
    </row>
    <row r="70" spans="1:26">
      <c r="A70" s="71"/>
      <c r="B70" s="71"/>
      <c r="C70" s="71"/>
      <c r="D70" s="71"/>
      <c r="E70" s="759"/>
      <c r="F70" s="759"/>
      <c r="G70" s="759"/>
      <c r="H70" s="759"/>
      <c r="I70" s="272"/>
      <c r="J70" s="272"/>
      <c r="K70" s="272"/>
      <c r="L70" s="272"/>
      <c r="M70" s="272"/>
      <c r="N70" s="71"/>
      <c r="O70" s="71"/>
      <c r="P70" s="71"/>
      <c r="Q70" s="71"/>
      <c r="R70" s="71"/>
      <c r="S70" s="71"/>
      <c r="T70" s="71"/>
      <c r="U70" s="71"/>
      <c r="V70" s="71"/>
      <c r="W70" s="71"/>
      <c r="X70" s="71"/>
      <c r="Y70" s="71"/>
      <c r="Z70" s="71"/>
    </row>
    <row r="71" spans="1:26">
      <c r="A71" s="71"/>
      <c r="B71" s="71"/>
      <c r="C71" s="71"/>
      <c r="D71" s="71"/>
      <c r="E71" s="759"/>
      <c r="F71" s="759"/>
      <c r="G71" s="759"/>
      <c r="H71" s="759"/>
      <c r="I71" s="272"/>
      <c r="J71" s="272"/>
      <c r="K71" s="272"/>
      <c r="L71" s="272"/>
      <c r="M71" s="272"/>
      <c r="N71" s="71"/>
      <c r="O71" s="71"/>
      <c r="P71" s="71"/>
      <c r="Q71" s="71"/>
      <c r="R71" s="71"/>
      <c r="S71" s="71"/>
      <c r="T71" s="71"/>
      <c r="U71" s="71"/>
      <c r="V71" s="71"/>
      <c r="W71" s="71"/>
      <c r="X71" s="71"/>
      <c r="Y71" s="71"/>
      <c r="Z71" s="71"/>
    </row>
    <row r="72" spans="1:26">
      <c r="A72" s="71"/>
      <c r="B72" s="71"/>
      <c r="C72" s="71"/>
      <c r="D72" s="71"/>
      <c r="E72" s="759"/>
      <c r="F72" s="759"/>
      <c r="G72" s="759"/>
      <c r="H72" s="759"/>
      <c r="I72" s="272"/>
      <c r="J72" s="272"/>
      <c r="K72" s="272"/>
      <c r="L72" s="272"/>
      <c r="M72" s="272"/>
      <c r="N72" s="71"/>
      <c r="O72" s="71"/>
      <c r="P72" s="71"/>
      <c r="Q72" s="71"/>
      <c r="R72" s="71"/>
      <c r="S72" s="71"/>
      <c r="T72" s="71"/>
      <c r="U72" s="71"/>
      <c r="V72" s="71"/>
      <c r="W72" s="71"/>
      <c r="X72" s="71"/>
      <c r="Y72" s="71"/>
      <c r="Z72" s="71"/>
    </row>
    <row r="73" spans="1:26">
      <c r="A73" s="71"/>
      <c r="B73" s="71"/>
      <c r="C73" s="71"/>
      <c r="D73" s="71"/>
      <c r="E73" s="759"/>
      <c r="F73" s="759"/>
      <c r="G73" s="759"/>
      <c r="H73" s="759"/>
      <c r="I73" s="272"/>
      <c r="J73" s="272"/>
      <c r="K73" s="272"/>
      <c r="L73" s="272"/>
      <c r="M73" s="272"/>
      <c r="N73" s="71"/>
      <c r="O73" s="71"/>
      <c r="P73" s="71"/>
      <c r="Q73" s="71"/>
      <c r="R73" s="71"/>
      <c r="S73" s="71"/>
      <c r="T73" s="71"/>
      <c r="U73" s="71"/>
      <c r="V73" s="71"/>
      <c r="W73" s="71"/>
      <c r="X73" s="71"/>
      <c r="Y73" s="71"/>
      <c r="Z73" s="71"/>
    </row>
    <row r="74" spans="1:26">
      <c r="A74" s="71"/>
      <c r="B74" s="71"/>
      <c r="C74" s="71"/>
      <c r="D74" s="71"/>
      <c r="E74" s="759"/>
      <c r="F74" s="759"/>
      <c r="G74" s="759"/>
      <c r="H74" s="759"/>
      <c r="I74" s="272"/>
      <c r="J74" s="272"/>
      <c r="K74" s="272"/>
      <c r="L74" s="272"/>
      <c r="M74" s="272"/>
      <c r="N74" s="71"/>
      <c r="O74" s="71"/>
      <c r="P74" s="71"/>
      <c r="Q74" s="71"/>
      <c r="R74" s="71"/>
      <c r="S74" s="71"/>
      <c r="T74" s="71"/>
      <c r="U74" s="71"/>
      <c r="V74" s="71"/>
      <c r="W74" s="71"/>
      <c r="X74" s="71"/>
      <c r="Y74" s="71"/>
      <c r="Z74" s="71"/>
    </row>
    <row r="75" spans="1:26">
      <c r="A75" s="71"/>
      <c r="B75" s="71"/>
      <c r="C75" s="71"/>
      <c r="D75" s="71"/>
      <c r="E75" s="759"/>
      <c r="F75" s="759"/>
      <c r="G75" s="759"/>
      <c r="H75" s="759"/>
      <c r="I75" s="272"/>
      <c r="J75" s="272"/>
      <c r="K75" s="272"/>
      <c r="L75" s="272"/>
      <c r="M75" s="272"/>
      <c r="N75" s="71"/>
      <c r="O75" s="71"/>
      <c r="P75" s="71"/>
      <c r="Q75" s="71"/>
      <c r="R75" s="71"/>
      <c r="S75" s="71"/>
      <c r="T75" s="71"/>
      <c r="U75" s="71"/>
      <c r="V75" s="71"/>
      <c r="W75" s="71"/>
      <c r="X75" s="71"/>
      <c r="Y75" s="71"/>
      <c r="Z75" s="71"/>
    </row>
    <row r="76" spans="1:26">
      <c r="A76" s="71"/>
      <c r="B76" s="71"/>
      <c r="C76" s="71"/>
      <c r="D76" s="71"/>
      <c r="E76" s="759"/>
      <c r="F76" s="759"/>
      <c r="G76" s="759"/>
      <c r="H76" s="759"/>
      <c r="I76" s="272"/>
      <c r="J76" s="272"/>
      <c r="K76" s="272"/>
      <c r="L76" s="272"/>
      <c r="M76" s="272"/>
      <c r="N76" s="71"/>
      <c r="O76" s="71"/>
      <c r="P76" s="71"/>
      <c r="Q76" s="71"/>
      <c r="R76" s="71"/>
      <c r="S76" s="71"/>
      <c r="T76" s="71"/>
      <c r="U76" s="71"/>
      <c r="V76" s="71"/>
      <c r="W76" s="71"/>
      <c r="X76" s="71"/>
      <c r="Y76" s="71"/>
      <c r="Z76" s="71"/>
    </row>
    <row r="77" spans="1:26">
      <c r="A77" s="71"/>
      <c r="B77" s="71"/>
      <c r="C77" s="71"/>
      <c r="D77" s="71"/>
      <c r="E77" s="759"/>
      <c r="F77" s="759"/>
      <c r="G77" s="759"/>
      <c r="H77" s="759"/>
      <c r="I77" s="272"/>
      <c r="J77" s="272"/>
      <c r="K77" s="272"/>
      <c r="L77" s="272"/>
      <c r="M77" s="272"/>
      <c r="N77" s="71"/>
      <c r="O77" s="71"/>
      <c r="P77" s="71"/>
      <c r="Q77" s="71"/>
      <c r="R77" s="71"/>
      <c r="S77" s="71"/>
      <c r="T77" s="71"/>
      <c r="U77" s="71"/>
      <c r="V77" s="71"/>
      <c r="W77" s="71"/>
      <c r="X77" s="71"/>
      <c r="Y77" s="71"/>
      <c r="Z77" s="71"/>
    </row>
    <row r="78" spans="1:26">
      <c r="A78" s="71"/>
      <c r="B78" s="71"/>
      <c r="C78" s="71"/>
      <c r="D78" s="71"/>
      <c r="E78" s="759"/>
      <c r="F78" s="759"/>
      <c r="G78" s="759"/>
      <c r="H78" s="759"/>
      <c r="I78" s="272"/>
      <c r="J78" s="272"/>
      <c r="K78" s="272"/>
      <c r="L78" s="272"/>
      <c r="M78" s="272"/>
      <c r="N78" s="71"/>
      <c r="O78" s="71"/>
      <c r="P78" s="71"/>
      <c r="Q78" s="71"/>
      <c r="R78" s="71"/>
      <c r="S78" s="71"/>
      <c r="T78" s="71"/>
      <c r="U78" s="71"/>
      <c r="V78" s="71"/>
      <c r="W78" s="71"/>
      <c r="X78" s="71"/>
      <c r="Y78" s="71"/>
      <c r="Z78" s="71"/>
    </row>
    <row r="79" spans="1:26">
      <c r="A79" s="71"/>
      <c r="B79" s="71"/>
      <c r="C79" s="71"/>
      <c r="D79" s="71"/>
      <c r="E79" s="759"/>
      <c r="F79" s="759"/>
      <c r="G79" s="759"/>
      <c r="H79" s="759"/>
      <c r="I79" s="272"/>
      <c r="J79" s="272"/>
      <c r="K79" s="272"/>
      <c r="L79" s="272"/>
      <c r="M79" s="272"/>
      <c r="N79" s="71"/>
      <c r="O79" s="71"/>
      <c r="P79" s="71"/>
      <c r="Q79" s="71"/>
      <c r="R79" s="71"/>
      <c r="S79" s="71"/>
      <c r="T79" s="71"/>
      <c r="U79" s="71"/>
      <c r="V79" s="71"/>
      <c r="W79" s="71"/>
      <c r="X79" s="71"/>
      <c r="Y79" s="71"/>
      <c r="Z79" s="71"/>
    </row>
    <row r="80" spans="1:26">
      <c r="A80" s="71"/>
      <c r="B80" s="71"/>
      <c r="C80" s="71"/>
      <c r="D80" s="71"/>
      <c r="E80" s="759"/>
      <c r="F80" s="759"/>
      <c r="G80" s="759"/>
      <c r="H80" s="759"/>
      <c r="I80" s="272"/>
      <c r="J80" s="272"/>
      <c r="K80" s="272"/>
      <c r="L80" s="272"/>
      <c r="M80" s="272"/>
      <c r="N80" s="71"/>
      <c r="O80" s="71"/>
      <c r="P80" s="71"/>
      <c r="Q80" s="71"/>
      <c r="R80" s="71"/>
      <c r="S80" s="71"/>
      <c r="T80" s="71"/>
      <c r="U80" s="71"/>
      <c r="V80" s="71"/>
      <c r="W80" s="71"/>
      <c r="X80" s="71"/>
      <c r="Y80" s="71"/>
      <c r="Z80" s="71"/>
    </row>
    <row r="81" spans="1:26">
      <c r="A81" s="71"/>
      <c r="B81" s="71"/>
      <c r="C81" s="71"/>
      <c r="D81" s="71"/>
      <c r="E81" s="759"/>
      <c r="F81" s="759"/>
      <c r="G81" s="759"/>
      <c r="H81" s="759"/>
      <c r="I81" s="272"/>
      <c r="J81" s="272"/>
      <c r="K81" s="272"/>
      <c r="L81" s="272"/>
      <c r="M81" s="272"/>
      <c r="N81" s="71"/>
      <c r="O81" s="71"/>
      <c r="P81" s="71"/>
      <c r="Q81" s="71"/>
      <c r="R81" s="71"/>
      <c r="S81" s="71"/>
      <c r="T81" s="71"/>
      <c r="U81" s="71"/>
      <c r="V81" s="71"/>
      <c r="W81" s="71"/>
      <c r="X81" s="71"/>
      <c r="Y81" s="71"/>
      <c r="Z81" s="71"/>
    </row>
    <row r="82" spans="1:26">
      <c r="A82" s="71"/>
      <c r="B82" s="71"/>
      <c r="C82" s="71"/>
      <c r="D82" s="71"/>
      <c r="E82" s="759"/>
      <c r="F82" s="759"/>
      <c r="G82" s="759"/>
      <c r="H82" s="759"/>
      <c r="I82" s="272"/>
      <c r="J82" s="272"/>
      <c r="K82" s="272"/>
      <c r="L82" s="272"/>
      <c r="M82" s="272"/>
      <c r="N82" s="71"/>
      <c r="O82" s="71"/>
      <c r="P82" s="71"/>
      <c r="Q82" s="71"/>
      <c r="R82" s="71"/>
      <c r="S82" s="71"/>
      <c r="T82" s="71"/>
      <c r="U82" s="71"/>
      <c r="V82" s="71"/>
      <c r="W82" s="71"/>
      <c r="X82" s="71"/>
      <c r="Y82" s="71"/>
      <c r="Z82" s="71"/>
    </row>
    <row r="83" spans="1:26">
      <c r="A83" s="71"/>
      <c r="B83" s="71"/>
      <c r="C83" s="71"/>
      <c r="D83" s="71"/>
      <c r="E83" s="759"/>
      <c r="F83" s="759"/>
      <c r="G83" s="759"/>
      <c r="H83" s="759"/>
      <c r="I83" s="272"/>
      <c r="J83" s="272"/>
      <c r="K83" s="272"/>
      <c r="L83" s="272"/>
      <c r="M83" s="272"/>
      <c r="N83" s="71"/>
      <c r="O83" s="71"/>
      <c r="P83" s="71"/>
      <c r="Q83" s="71"/>
      <c r="R83" s="71"/>
      <c r="S83" s="71"/>
      <c r="T83" s="71"/>
      <c r="U83" s="71"/>
      <c r="V83" s="71"/>
      <c r="W83" s="71"/>
      <c r="X83" s="71"/>
      <c r="Y83" s="71"/>
      <c r="Z83" s="71"/>
    </row>
    <row r="84" spans="1:26">
      <c r="A84" s="71"/>
      <c r="B84" s="71"/>
      <c r="C84" s="71"/>
      <c r="D84" s="71"/>
      <c r="E84" s="759"/>
      <c r="F84" s="759"/>
      <c r="G84" s="759"/>
      <c r="H84" s="759"/>
      <c r="I84" s="272"/>
      <c r="J84" s="272"/>
      <c r="K84" s="272"/>
      <c r="L84" s="272"/>
      <c r="M84" s="272"/>
      <c r="N84" s="71"/>
      <c r="O84" s="71"/>
      <c r="P84" s="71"/>
      <c r="Q84" s="71"/>
      <c r="R84" s="71"/>
      <c r="S84" s="71"/>
      <c r="T84" s="71"/>
      <c r="U84" s="71"/>
      <c r="V84" s="71"/>
      <c r="W84" s="71"/>
      <c r="X84" s="71"/>
      <c r="Y84" s="71"/>
      <c r="Z84" s="71"/>
    </row>
    <row r="85" spans="1:26">
      <c r="A85" s="71"/>
      <c r="B85" s="71"/>
      <c r="C85" s="71"/>
      <c r="D85" s="71"/>
      <c r="E85" s="759"/>
      <c r="F85" s="759"/>
      <c r="G85" s="759"/>
      <c r="H85" s="759"/>
      <c r="I85" s="272"/>
      <c r="J85" s="272"/>
      <c r="K85" s="272"/>
      <c r="L85" s="272"/>
      <c r="M85" s="272"/>
      <c r="N85" s="71"/>
      <c r="O85" s="71"/>
      <c r="P85" s="71"/>
      <c r="Q85" s="71"/>
      <c r="R85" s="71"/>
      <c r="S85" s="71"/>
      <c r="T85" s="71"/>
      <c r="U85" s="71"/>
      <c r="V85" s="71"/>
      <c r="W85" s="71"/>
      <c r="X85" s="71"/>
      <c r="Y85" s="71"/>
      <c r="Z85" s="71"/>
    </row>
    <row r="86" spans="1:26">
      <c r="A86" s="71"/>
      <c r="B86" s="71"/>
      <c r="C86" s="71"/>
      <c r="D86" s="71"/>
      <c r="E86" s="759"/>
      <c r="F86" s="759"/>
      <c r="G86" s="759"/>
      <c r="H86" s="759"/>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topLeftCell="A6" zoomScale="120" zoomScaleNormal="120" workbookViewId="0">
      <selection activeCell="G20" sqref="G20"/>
    </sheetView>
  </sheetViews>
  <sheetFormatPr defaultColWidth="8.921875" defaultRowHeight="12.5"/>
  <cols>
    <col min="1" max="1" width="5" style="9" customWidth="1"/>
    <col min="2" max="2" width="62.4609375" style="9" customWidth="1"/>
    <col min="3" max="3" width="20.921875" style="9" customWidth="1"/>
    <col min="4" max="4" width="11.921875" style="9" customWidth="1"/>
    <col min="5" max="15" width="11.61328125" style="9" customWidth="1"/>
    <col min="16" max="16" width="8.921875" style="9"/>
    <col min="17" max="17" width="12.15234375" style="9" customWidth="1"/>
    <col min="18" max="18" width="9.921875" style="9" customWidth="1"/>
    <col min="19" max="22" width="8.921875" style="9"/>
    <col min="23" max="23" width="150.07421875" style="9" customWidth="1"/>
    <col min="24" max="24" width="40.84375" style="9" customWidth="1"/>
    <col min="25" max="25" width="8.921875" style="751"/>
    <col min="26" max="29" width="8.921875" style="9"/>
    <col min="30" max="30" width="9.15234375" style="9" customWidth="1"/>
    <col min="31" max="31" width="17.61328125" style="9" customWidth="1"/>
    <col min="32" max="16384" width="8.92187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2"/>
      <c r="V1" s="80"/>
      <c r="W1" s="254" t="s">
        <v>450</v>
      </c>
      <c r="X1" s="967" t="str">
        <f>IF($Y$33&gt;0," If there are any validation errors, you must include an explanation within your narrative","")</f>
        <v/>
      </c>
      <c r="Y1" s="846"/>
      <c r="Z1" s="111"/>
      <c r="AA1" s="1124" t="str">
        <f>+Summary!$V$3</f>
        <v>Jun 23</v>
      </c>
      <c r="AB1" s="1124" t="str">
        <f>+Summary!$H$1</f>
        <v>Apr 23</v>
      </c>
      <c r="AC1" s="1124">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9"/>
      <c r="E2" s="2560"/>
      <c r="F2" s="2560"/>
      <c r="G2" s="2560"/>
      <c r="H2" s="2560"/>
      <c r="I2" s="2561" t="s">
        <v>969</v>
      </c>
      <c r="J2" s="2561">
        <v>1</v>
      </c>
      <c r="K2" s="99"/>
      <c r="L2" s="99"/>
      <c r="M2" s="99"/>
      <c r="N2" s="99"/>
      <c r="O2" s="99"/>
      <c r="P2" s="99"/>
      <c r="Q2" s="80"/>
      <c r="R2" s="80"/>
      <c r="S2" s="80"/>
      <c r="T2" s="80"/>
      <c r="U2" s="1122"/>
      <c r="V2" s="80"/>
      <c r="W2" s="62"/>
      <c r="X2" s="62"/>
      <c r="Y2" s="846"/>
      <c r="Z2" s="111"/>
      <c r="AA2" s="1124" t="str">
        <f>+Summary!$V$4</f>
        <v>Jul 23</v>
      </c>
      <c r="AB2" s="1124" t="str">
        <f>+Summary!$H$1</f>
        <v>Apr 23</v>
      </c>
      <c r="AC2" s="1124">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2"/>
      <c r="E3" s="2560"/>
      <c r="F3" s="2560"/>
      <c r="G3" s="2560"/>
      <c r="H3" s="2560"/>
      <c r="I3" s="2561" t="s">
        <v>968</v>
      </c>
      <c r="J3" s="2561">
        <v>1</v>
      </c>
      <c r="K3" s="99"/>
      <c r="L3" s="99"/>
      <c r="M3" s="99"/>
      <c r="N3" s="99"/>
      <c r="O3" s="99"/>
      <c r="P3" s="80"/>
      <c r="Q3" s="280" t="s">
        <v>51</v>
      </c>
      <c r="R3" s="97" t="str">
        <f>+Summary!H1</f>
        <v>Apr 23</v>
      </c>
      <c r="S3" s="80"/>
      <c r="T3" s="80"/>
      <c r="U3" s="1122"/>
      <c r="V3" s="80"/>
      <c r="W3" s="258" t="s">
        <v>948</v>
      </c>
      <c r="X3" s="165" t="str">
        <f>IF($J$3&gt;Summary!$K$1,"Ok",IF($D$11="","Ok",IF(COUNTA('B - Monthly Positions'!$D$11:$O$11)&lt;&gt;12,"Please input Data for all 12 months","Ok")))</f>
        <v>Ok</v>
      </c>
      <c r="Y3" s="782">
        <f>IF(X3="Ok",0,1)</f>
        <v>0</v>
      </c>
      <c r="Z3" s="111"/>
      <c r="AA3" s="1124" t="str">
        <f>+Summary!$V$5</f>
        <v>Aug 23</v>
      </c>
      <c r="AB3" s="1124" t="str">
        <f>+Summary!$H$1</f>
        <v>Apr 23</v>
      </c>
      <c r="AC3" s="1124">
        <f t="shared" si="0"/>
        <v>0</v>
      </c>
      <c r="AD3" s="80"/>
      <c r="AE3" s="80"/>
      <c r="AF3" s="80"/>
      <c r="AG3" s="271" t="str">
        <f>Summary!V3</f>
        <v>Jun 23</v>
      </c>
      <c r="AH3" s="111">
        <f>SUM($D$37:$E$37)</f>
        <v>50.000000000003638</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2"/>
      <c r="V4" s="80"/>
      <c r="W4" s="258" t="s">
        <v>949</v>
      </c>
      <c r="X4" s="165" t="str">
        <f>IF($J$3&gt;Summary!$K$1,"Ok",IF($D$12="","Ok",IF(COUNTA('B - Monthly Positions'!$D$12:$O$12)&lt;&gt;12,"Please input Data for all 12 months","Ok")))</f>
        <v>Ok</v>
      </c>
      <c r="Y4" s="782">
        <f t="shared" ref="Y4:Y32" si="1">IF(X4="Ok",0,1)</f>
        <v>0</v>
      </c>
      <c r="Z4" s="111"/>
      <c r="AA4" s="1124" t="str">
        <f>+Summary!$V$6</f>
        <v>Sep 23</v>
      </c>
      <c r="AB4" s="1124" t="str">
        <f>+Summary!$H$1</f>
        <v>Apr 23</v>
      </c>
      <c r="AC4" s="1124">
        <f t="shared" si="0"/>
        <v>0</v>
      </c>
      <c r="AD4" s="80"/>
      <c r="AE4" s="80"/>
      <c r="AF4" s="80"/>
      <c r="AG4" s="271" t="str">
        <f>Summary!V4</f>
        <v>Jul 23</v>
      </c>
      <c r="AH4" s="111">
        <f>SUM($D$37:$F$37)</f>
        <v>50.000000000003638</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1</v>
      </c>
      <c r="D5" s="844" t="str">
        <f>"This Table is currently showing "&amp;$Y$33&amp;" errors"</f>
        <v>This Table is currently showing 0 errors</v>
      </c>
      <c r="E5" s="1115"/>
      <c r="F5" s="1115"/>
      <c r="G5" s="845" t="str">
        <f>IF($Y$38&gt;0," Check validations at cell W1","")</f>
        <v/>
      </c>
      <c r="H5" s="847"/>
      <c r="I5" s="848"/>
      <c r="J5" s="847"/>
      <c r="K5" s="99"/>
      <c r="L5" s="99"/>
      <c r="M5" s="99"/>
      <c r="N5" s="99"/>
      <c r="O5" s="99"/>
      <c r="P5" s="99"/>
      <c r="Q5" s="80"/>
      <c r="R5" s="80"/>
      <c r="S5" s="80"/>
      <c r="T5" s="80"/>
      <c r="U5" s="1122"/>
      <c r="V5" s="80"/>
      <c r="W5" s="258" t="s">
        <v>950</v>
      </c>
      <c r="X5" s="165" t="str">
        <f>IF($J$3&gt;Summary!$K$1,"Ok",IF($D$16="","Ok",IF(COUNTA('B - Monthly Positions'!$D$16:$O$16)&lt;&gt;12,"Please input Data for all 12 months","Ok")))</f>
        <v>Ok</v>
      </c>
      <c r="Y5" s="782">
        <f t="shared" si="1"/>
        <v>0</v>
      </c>
      <c r="Z5" s="111"/>
      <c r="AA5" s="1124" t="str">
        <f>+Summary!$V$7</f>
        <v>Oct 23</v>
      </c>
      <c r="AB5" s="1124" t="str">
        <f>+Summary!$H$1</f>
        <v>Apr 23</v>
      </c>
      <c r="AC5" s="1124">
        <f t="shared" si="0"/>
        <v>0</v>
      </c>
      <c r="AD5" s="80"/>
      <c r="AE5" s="80"/>
      <c r="AF5" s="80"/>
      <c r="AG5" s="271" t="str">
        <f>Summary!V5</f>
        <v>Aug 23</v>
      </c>
      <c r="AH5" s="111">
        <f>SUM($D$37:$G$37)</f>
        <v>50.000000000003638</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3"/>
      <c r="B6" s="107"/>
      <c r="C6" s="842"/>
      <c r="D6" s="897" t="str">
        <f>IF($Y$33&lt;=0,"","NOTE : Some errors will be resolved when associated tables are completed")</f>
        <v/>
      </c>
      <c r="E6" s="48"/>
      <c r="F6" s="48"/>
      <c r="G6" s="48"/>
      <c r="H6" s="48"/>
      <c r="I6" s="48"/>
      <c r="J6" s="48"/>
      <c r="K6" s="71"/>
      <c r="L6" s="784"/>
      <c r="M6" s="784"/>
      <c r="N6" s="82"/>
      <c r="O6" s="82"/>
      <c r="P6" s="82"/>
      <c r="Q6" s="82"/>
      <c r="R6" s="82"/>
      <c r="S6" s="82"/>
      <c r="T6" s="82"/>
      <c r="U6" s="1122"/>
      <c r="V6" s="82"/>
      <c r="W6" s="258" t="s">
        <v>951</v>
      </c>
      <c r="X6" s="165" t="str">
        <f>IF($J$3&gt;Summary!$K$1,"Ok",IF($D$18="","Ok",IF(COUNTA('B - Monthly Positions'!$D$18:$O$18)&lt;&gt;12,"Please input Data for all 12 months","Ok")))</f>
        <v>Ok</v>
      </c>
      <c r="Y6" s="782">
        <f t="shared" si="1"/>
        <v>0</v>
      </c>
      <c r="Z6" s="107"/>
      <c r="AA6" s="1125" t="str">
        <f>+Summary!$V$8</f>
        <v>Nov 23</v>
      </c>
      <c r="AB6" s="1124" t="str">
        <f>+Summary!$H$1</f>
        <v>Apr 23</v>
      </c>
      <c r="AC6" s="1124">
        <f t="shared" si="0"/>
        <v>0</v>
      </c>
      <c r="AD6" s="82"/>
      <c r="AE6" s="82"/>
      <c r="AF6" s="82"/>
      <c r="AG6" s="271" t="str">
        <f>Summary!V6</f>
        <v>Sep 23</v>
      </c>
      <c r="AH6" s="111">
        <f>SUM($D$37:$H$37)</f>
        <v>50.000000000003638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0</v>
      </c>
      <c r="F7" s="107">
        <f t="shared" si="2"/>
        <v>0</v>
      </c>
      <c r="G7" s="107">
        <f t="shared" si="2"/>
        <v>0</v>
      </c>
      <c r="H7" s="107">
        <f t="shared" si="2"/>
        <v>0</v>
      </c>
      <c r="I7" s="107">
        <f t="shared" si="2"/>
        <v>0</v>
      </c>
      <c r="J7" s="107">
        <f t="shared" si="2"/>
        <v>0</v>
      </c>
      <c r="K7" s="107">
        <f t="shared" si="2"/>
        <v>0</v>
      </c>
      <c r="L7" s="107">
        <f t="shared" si="2"/>
        <v>0</v>
      </c>
      <c r="M7" s="107">
        <f t="shared" si="2"/>
        <v>0</v>
      </c>
      <c r="N7" s="107">
        <f t="shared" si="2"/>
        <v>0</v>
      </c>
      <c r="O7" s="107">
        <f t="shared" si="2"/>
        <v>0</v>
      </c>
      <c r="P7" s="109"/>
      <c r="Q7" s="109"/>
      <c r="R7" s="107"/>
      <c r="S7" s="82"/>
      <c r="T7" s="82"/>
      <c r="U7" s="1122"/>
      <c r="V7" s="82"/>
      <c r="W7" s="258" t="s">
        <v>952</v>
      </c>
      <c r="X7" s="165" t="str">
        <f>IF($J$3&gt;Summary!K1,"Ok",IF($D$19="","Ok",IF(COUNTA('B - Monthly Positions'!$D$19:$O$19)&lt;&gt;12,"Please input Data for all 12 months","Ok")))</f>
        <v>Ok</v>
      </c>
      <c r="Y7" s="782">
        <f t="shared" si="1"/>
        <v>0</v>
      </c>
      <c r="Z7" s="107"/>
      <c r="AA7" s="1125" t="str">
        <f>+Summary!$V$9</f>
        <v>Dec 23</v>
      </c>
      <c r="AB7" s="1124" t="str">
        <f>+Summary!$H$1</f>
        <v>Apr 23</v>
      </c>
      <c r="AC7" s="1124">
        <f t="shared" si="0"/>
        <v>0</v>
      </c>
      <c r="AD7" s="82"/>
      <c r="AE7" s="82"/>
      <c r="AF7" s="82"/>
      <c r="AG7" s="271" t="str">
        <f>Summary!V7</f>
        <v>Oct 23</v>
      </c>
      <c r="AH7" s="111">
        <f>SUM($D$37:$I$37)</f>
        <v>50.000000000003638</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3"/>
      <c r="D8" s="101">
        <v>1</v>
      </c>
      <c r="E8" s="102">
        <v>2</v>
      </c>
      <c r="F8" s="102">
        <v>3</v>
      </c>
      <c r="G8" s="102">
        <v>4</v>
      </c>
      <c r="H8" s="102">
        <v>5</v>
      </c>
      <c r="I8" s="102">
        <v>6</v>
      </c>
      <c r="J8" s="102">
        <v>7</v>
      </c>
      <c r="K8" s="102">
        <v>8</v>
      </c>
      <c r="L8" s="102">
        <v>9</v>
      </c>
      <c r="M8" s="102">
        <v>10</v>
      </c>
      <c r="N8" s="102">
        <v>11</v>
      </c>
      <c r="O8" s="103">
        <v>12</v>
      </c>
      <c r="P8" s="104"/>
      <c r="Q8" s="98"/>
      <c r="R8" s="98"/>
      <c r="S8" s="1123"/>
      <c r="T8" s="84"/>
      <c r="U8" s="1122"/>
      <c r="V8" s="966"/>
      <c r="W8" s="258" t="s">
        <v>953</v>
      </c>
      <c r="X8" s="165" t="str">
        <f>IF($J$3&gt;Summary!$K$1,"Ok",IF($D$20="","Ok",IF(COUNTA('B - Monthly Positions'!$D$20:$O$20)&lt;&gt;12,"Please input Data for all 12 months","Ok")))</f>
        <v>Ok</v>
      </c>
      <c r="Y8" s="782">
        <f t="shared" si="1"/>
        <v>0</v>
      </c>
      <c r="Z8" s="783"/>
      <c r="AA8" s="1126" t="str">
        <f>+Summary!$V$10</f>
        <v>Jan 24</v>
      </c>
      <c r="AB8" s="1124" t="str">
        <f>+Summary!$H$1</f>
        <v>Apr 23</v>
      </c>
      <c r="AC8" s="1124">
        <f t="shared" si="0"/>
        <v>0</v>
      </c>
      <c r="AD8" s="84"/>
      <c r="AE8" s="84"/>
      <c r="AF8" s="84"/>
      <c r="AG8" s="271" t="str">
        <f>Summary!V8</f>
        <v>Nov 23</v>
      </c>
      <c r="AH8" s="111">
        <f>SUM($D$37:$J$37)</f>
        <v>50.000000000003638</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2" t="s">
        <v>794</v>
      </c>
      <c r="C9" s="843"/>
      <c r="D9" s="600" t="s">
        <v>181</v>
      </c>
      <c r="E9" s="601" t="s">
        <v>89</v>
      </c>
      <c r="F9" s="601" t="s">
        <v>90</v>
      </c>
      <c r="G9" s="601" t="s">
        <v>91</v>
      </c>
      <c r="H9" s="601" t="s">
        <v>92</v>
      </c>
      <c r="I9" s="601" t="s">
        <v>93</v>
      </c>
      <c r="J9" s="601" t="s">
        <v>94</v>
      </c>
      <c r="K9" s="601" t="s">
        <v>95</v>
      </c>
      <c r="L9" s="601" t="s">
        <v>96</v>
      </c>
      <c r="M9" s="601" t="s">
        <v>97</v>
      </c>
      <c r="N9" s="601" t="s">
        <v>98</v>
      </c>
      <c r="O9" s="602" t="s">
        <v>99</v>
      </c>
      <c r="P9" s="1059" t="s">
        <v>178</v>
      </c>
      <c r="Q9" s="1059" t="s">
        <v>440</v>
      </c>
      <c r="R9" s="1643" t="s">
        <v>289</v>
      </c>
      <c r="S9" s="609"/>
      <c r="T9" s="609"/>
      <c r="U9" s="1122"/>
      <c r="V9" s="298"/>
      <c r="W9" s="258" t="s">
        <v>954</v>
      </c>
      <c r="X9" s="165" t="str">
        <f>IF($J$3&gt;Summary!$K$1,"Ok",IF($D$21="","Ok",IF(COUNTA('B - Monthly Positions'!$D$21:$O$21)&lt;&gt;12,"Please input Data for all 12 months","Ok")))</f>
        <v>Ok</v>
      </c>
      <c r="Y9" s="782">
        <f t="shared" si="1"/>
        <v>0</v>
      </c>
      <c r="Z9" s="609"/>
      <c r="AA9" s="1127" t="str">
        <f>+Summary!$V$11</f>
        <v>Feb 24</v>
      </c>
      <c r="AB9" s="1124" t="str">
        <f>+Summary!$H$1</f>
        <v>Apr 23</v>
      </c>
      <c r="AC9" s="1124">
        <f t="shared" si="0"/>
        <v>0</v>
      </c>
      <c r="AD9" s="298"/>
      <c r="AE9" s="298"/>
      <c r="AF9" s="298"/>
      <c r="AG9" s="271" t="str">
        <f>Summary!V9</f>
        <v>Dec 23</v>
      </c>
      <c r="AH9" s="111">
        <f>SUM($D$37:$K$37)</f>
        <v>50.000000000003638</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2"/>
      <c r="D10" s="603" t="s">
        <v>50</v>
      </c>
      <c r="E10" s="604" t="s">
        <v>50</v>
      </c>
      <c r="F10" s="604" t="s">
        <v>50</v>
      </c>
      <c r="G10" s="604" t="s">
        <v>50</v>
      </c>
      <c r="H10" s="604" t="s">
        <v>50</v>
      </c>
      <c r="I10" s="604" t="s">
        <v>50</v>
      </c>
      <c r="J10" s="604" t="s">
        <v>50</v>
      </c>
      <c r="K10" s="604" t="s">
        <v>50</v>
      </c>
      <c r="L10" s="604" t="s">
        <v>50</v>
      </c>
      <c r="M10" s="604" t="s">
        <v>50</v>
      </c>
      <c r="N10" s="604" t="s">
        <v>50</v>
      </c>
      <c r="O10" s="605" t="s">
        <v>50</v>
      </c>
      <c r="P10" s="1061" t="s">
        <v>50</v>
      </c>
      <c r="Q10" s="1061" t="s">
        <v>50</v>
      </c>
      <c r="R10" s="1643"/>
      <c r="S10" s="609" t="str">
        <f>+Summary!$V$12</f>
        <v>Mar 24</v>
      </c>
      <c r="T10" s="609"/>
      <c r="U10" s="1122"/>
      <c r="V10" s="80"/>
      <c r="W10" s="258" t="s">
        <v>955</v>
      </c>
      <c r="X10" s="165" t="str">
        <f>IF($J$3&gt;Summary!$K$1,"Ok",IF($D$22="","Ok",IF(COUNTA('B - Monthly Positions'!$D$22:$O$22)&lt;&gt;12,"Please input Data for all 12 months","Ok")))</f>
        <v>Ok</v>
      </c>
      <c r="Y10" s="782">
        <f t="shared" si="1"/>
        <v>0</v>
      </c>
      <c r="Z10" s="609"/>
      <c r="AA10" s="1127" t="str">
        <f>+Summary!$V$12</f>
        <v>Mar 24</v>
      </c>
      <c r="AB10" s="1124" t="str">
        <f>+Summary!$H$1</f>
        <v>Apr 23</v>
      </c>
      <c r="AC10" s="1124">
        <f>SUM(AC1:AC9)</f>
        <v>0</v>
      </c>
      <c r="AD10" s="298"/>
      <c r="AE10" s="298"/>
      <c r="AF10" s="298"/>
      <c r="AG10" s="271" t="str">
        <f>Summary!V10</f>
        <v>Jan 24</v>
      </c>
      <c r="AH10" s="111">
        <f>SUM($D$37:$L$37)</f>
        <v>50.000000000003638</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3" t="s">
        <v>44</v>
      </c>
      <c r="C11" s="1064" t="s">
        <v>288</v>
      </c>
      <c r="D11" s="963"/>
      <c r="E11" s="984"/>
      <c r="F11" s="984"/>
      <c r="G11" s="984"/>
      <c r="H11" s="984"/>
      <c r="I11" s="984"/>
      <c r="J11" s="984"/>
      <c r="K11" s="984"/>
      <c r="L11" s="984"/>
      <c r="M11" s="984"/>
      <c r="N11" s="984"/>
      <c r="O11" s="1065"/>
      <c r="P11" s="78">
        <f>SUMPRODUCT($D$7:$O$7,D11:O11)</f>
        <v>0</v>
      </c>
      <c r="Q11" s="938">
        <f>P11+SUMPRODUCT(1-$D$7:$O$7,D11:O11)</f>
        <v>0</v>
      </c>
      <c r="R11" s="1643"/>
      <c r="S11" s="111">
        <f>SUM(D11:O11)</f>
        <v>0</v>
      </c>
      <c r="T11" s="111"/>
      <c r="U11" s="111"/>
      <c r="V11" s="80"/>
      <c r="W11" s="258" t="s">
        <v>956</v>
      </c>
      <c r="X11" s="165" t="str">
        <f>IF($J$3&gt;Summary!$K$1,"Ok",IF($D$23="","Ok",IF(COUNTA('B - Monthly Positions'!$D$23:$O$23)&lt;&gt;12,"Please input Data for all 12 months","Ok")))</f>
        <v>Ok</v>
      </c>
      <c r="Y11" s="782">
        <f t="shared" si="1"/>
        <v>0</v>
      </c>
      <c r="Z11" s="111"/>
      <c r="AA11" s="1116"/>
      <c r="AB11" s="1116"/>
      <c r="AC11" s="1116"/>
      <c r="AD11" s="80"/>
      <c r="AE11" s="80"/>
      <c r="AF11" s="80"/>
      <c r="AG11" s="271" t="str">
        <f>Summary!V11</f>
        <v>Feb 24</v>
      </c>
      <c r="AH11" s="111">
        <f>SUM($D$37:$M$37)</f>
        <v>50.000000000003638</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90">
        <f>A11+1</f>
        <v>2</v>
      </c>
      <c r="B12" s="89" t="s">
        <v>1207</v>
      </c>
      <c r="C12" s="93" t="s">
        <v>288</v>
      </c>
      <c r="D12" s="891"/>
      <c r="E12" s="892"/>
      <c r="F12" s="892"/>
      <c r="G12" s="892"/>
      <c r="H12" s="892"/>
      <c r="I12" s="892"/>
      <c r="J12" s="892"/>
      <c r="K12" s="892"/>
      <c r="L12" s="892"/>
      <c r="M12" s="892"/>
      <c r="N12" s="892"/>
      <c r="O12" s="1066"/>
      <c r="P12" s="74">
        <f t="shared" ref="P12:P36" si="3">SUMPRODUCT($D$7:$O$7,D12:O12)</f>
        <v>0</v>
      </c>
      <c r="Q12" s="1067">
        <f t="shared" ref="Q12:Q36" si="4">P12+SUMPRODUCT(1-$D$7:$O$7,D12:O12)</f>
        <v>0</v>
      </c>
      <c r="R12" s="1643"/>
      <c r="S12" s="111"/>
      <c r="T12" s="111"/>
      <c r="U12" s="111"/>
      <c r="V12" s="80"/>
      <c r="W12" s="258" t="s">
        <v>957</v>
      </c>
      <c r="X12" s="165" t="str">
        <f>IF($J$3&gt;Summary!$K$1,"Ok",IF($D$24="","Ok",IF(COUNTA('B - Monthly Positions'!$D$24:$O$24)&lt;&gt;12,"Please input Data for all 12 months","Ok")))</f>
        <v>Ok</v>
      </c>
      <c r="Y12" s="782">
        <f t="shared" si="1"/>
        <v>0</v>
      </c>
      <c r="Z12" s="111"/>
      <c r="AA12" s="80"/>
      <c r="AB12" s="80"/>
      <c r="AC12" s="80"/>
      <c r="AD12" s="80"/>
      <c r="AE12" s="80"/>
      <c r="AF12" s="80"/>
      <c r="AG12" s="271" t="str">
        <f>Summary!V12</f>
        <v>Mar 24</v>
      </c>
      <c r="AH12" s="111">
        <f>SUM($D$37:$N$37)</f>
        <v>50.000000000003638</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90">
        <f>A12+1</f>
        <v>3</v>
      </c>
      <c r="B13" s="89" t="s">
        <v>787</v>
      </c>
      <c r="C13" s="93" t="s">
        <v>288</v>
      </c>
      <c r="D13" s="891">
        <v>1922</v>
      </c>
      <c r="E13" s="892">
        <v>1887</v>
      </c>
      <c r="F13" s="892">
        <v>1887</v>
      </c>
      <c r="G13" s="892">
        <v>1887</v>
      </c>
      <c r="H13" s="892">
        <v>1887</v>
      </c>
      <c r="I13" s="892">
        <v>1887</v>
      </c>
      <c r="J13" s="892">
        <v>1887</v>
      </c>
      <c r="K13" s="892">
        <v>1887</v>
      </c>
      <c r="L13" s="892">
        <v>1887</v>
      </c>
      <c r="M13" s="892">
        <v>1887</v>
      </c>
      <c r="N13" s="892">
        <v>1887</v>
      </c>
      <c r="O13" s="1066">
        <v>1888</v>
      </c>
      <c r="P13" s="74">
        <f>SUMPRODUCT($D$7:$O$7,D13:O13)</f>
        <v>1922</v>
      </c>
      <c r="Q13" s="1067">
        <f>P13+SUMPRODUCT(1-$D$7:$O$7,D13:O13)</f>
        <v>22680</v>
      </c>
      <c r="R13" s="1643"/>
      <c r="S13" s="111"/>
      <c r="T13" s="111"/>
      <c r="U13" s="111"/>
      <c r="V13" s="80"/>
      <c r="W13" s="258" t="s">
        <v>958</v>
      </c>
      <c r="X13" s="165" t="str">
        <f>IF($J$3&gt;Summary!$K$1,"Ok",IF($D$25="","Ok",IF(COUNTA('B - Monthly Positions'!$D$25:$O$25)&lt;&gt;12,"Please input Data for all 12 months","Ok")))</f>
        <v>Ok</v>
      </c>
      <c r="Y13" s="782">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90">
        <f>A13+1</f>
        <v>4</v>
      </c>
      <c r="B14" s="89" t="s">
        <v>788</v>
      </c>
      <c r="C14" s="93" t="s">
        <v>288</v>
      </c>
      <c r="D14" s="891">
        <v>16</v>
      </c>
      <c r="E14" s="892">
        <v>0</v>
      </c>
      <c r="F14" s="892">
        <v>0</v>
      </c>
      <c r="G14" s="892">
        <v>0</v>
      </c>
      <c r="H14" s="892">
        <v>0</v>
      </c>
      <c r="I14" s="892">
        <v>0</v>
      </c>
      <c r="J14" s="892">
        <v>0</v>
      </c>
      <c r="K14" s="892">
        <v>0</v>
      </c>
      <c r="L14" s="892">
        <v>0</v>
      </c>
      <c r="M14" s="892">
        <v>0</v>
      </c>
      <c r="N14" s="892">
        <v>0</v>
      </c>
      <c r="O14" s="892">
        <v>0</v>
      </c>
      <c r="P14" s="74">
        <f>SUMPRODUCT($D$7:$O$7,D14:O14)</f>
        <v>16</v>
      </c>
      <c r="Q14" s="1067">
        <f>P14+SUMPRODUCT(1-$D$7:$O$7,D14:O14)</f>
        <v>16</v>
      </c>
      <c r="R14" s="1643"/>
      <c r="S14" s="111"/>
      <c r="T14" s="111"/>
      <c r="U14" s="111"/>
      <c r="V14" s="80"/>
      <c r="W14" s="258" t="s">
        <v>959</v>
      </c>
      <c r="X14" s="165" t="str">
        <f>IF($J$3&gt;Summary!$K$1,"Ok",IF($D$26="","Ok",IF(COUNTA('B - Monthly Positions'!$D$26:$O$26)&lt;&gt;12,"Please input Data for all 12 months","Ok")))</f>
        <v>Ok</v>
      </c>
      <c r="Y14" s="782">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90">
        <f>A14+1</f>
        <v>5</v>
      </c>
      <c r="B15" s="89" t="s">
        <v>790</v>
      </c>
      <c r="C15" s="93" t="s">
        <v>288</v>
      </c>
      <c r="D15" s="891">
        <v>15778</v>
      </c>
      <c r="E15" s="892">
        <f>15115+'B3 - COVID-19'!D154-346</f>
        <v>15815.933909250894</v>
      </c>
      <c r="F15" s="892">
        <f>14713+'B3 - COVID-19'!E154-79</f>
        <v>16204.246342926086</v>
      </c>
      <c r="G15" s="892">
        <f>14713+'B3 - COVID-19'!F154-1</f>
        <v>15856.744234250895</v>
      </c>
      <c r="H15" s="892">
        <f>14713+'B3 - COVID-19'!G154-22</f>
        <v>15826.244234250895</v>
      </c>
      <c r="I15" s="892">
        <f>14713+'B3 - COVID-19'!H154+1</f>
        <v>16365.78735125942</v>
      </c>
      <c r="J15" s="892">
        <f>14698+'B3 - COVID-19'!I154-11</f>
        <v>16125.747946985817</v>
      </c>
      <c r="K15" s="892">
        <f>14698+'B3 - COVID-19'!J154-40</f>
        <v>16041.968375841603</v>
      </c>
      <c r="L15" s="892">
        <f>14687+'B3 - COVID-19'!K154-42</f>
        <v>16553.305338652484</v>
      </c>
      <c r="M15" s="892">
        <f>14687+'B3 - COVID-19'!L154-29</f>
        <v>16074.747946985817</v>
      </c>
      <c r="N15" s="892">
        <f>14687+'B3 - COVID-19'!M154-9</f>
        <v>16042.722954697387</v>
      </c>
      <c r="O15" s="1066">
        <f>14687+'B3 - COVID-19'!N154+528</f>
        <v>17098.564175874708</v>
      </c>
      <c r="P15" s="74">
        <f>SUMPRODUCT($D$7:$O$7,D15:O15)</f>
        <v>15778</v>
      </c>
      <c r="Q15" s="1067">
        <f>P15+SUMPRODUCT(1-$D$7:$O$7,D15:O15)</f>
        <v>193784.01281097601</v>
      </c>
      <c r="R15" s="1643"/>
      <c r="S15" s="111"/>
      <c r="T15" s="111"/>
      <c r="U15" s="111"/>
      <c r="V15" s="80"/>
      <c r="W15" s="258" t="s">
        <v>960</v>
      </c>
      <c r="X15" s="165" t="str">
        <f>IF($J$3&gt;Summary!$K$1,"Ok",IF($D$27="","Ok",IF(COUNTA('B - Monthly Positions'!$D$27:$O$27)&lt;&gt;12,"Please input Data for all 12 months","Ok")))</f>
        <v>Ok</v>
      </c>
      <c r="Y15" s="782">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8" t="s">
        <v>789</v>
      </c>
      <c r="C16" s="1069" t="s">
        <v>288</v>
      </c>
      <c r="D16" s="1070">
        <v>481</v>
      </c>
      <c r="E16" s="892">
        <v>309</v>
      </c>
      <c r="F16" s="892">
        <v>309</v>
      </c>
      <c r="G16" s="892">
        <v>309</v>
      </c>
      <c r="H16" s="892">
        <v>301</v>
      </c>
      <c r="I16" s="892">
        <v>301</v>
      </c>
      <c r="J16" s="892">
        <v>301</v>
      </c>
      <c r="K16" s="892">
        <v>301</v>
      </c>
      <c r="L16" s="892">
        <v>301</v>
      </c>
      <c r="M16" s="892">
        <v>301</v>
      </c>
      <c r="N16" s="892">
        <v>301</v>
      </c>
      <c r="O16" s="1066">
        <v>302</v>
      </c>
      <c r="P16" s="1073">
        <f t="shared" si="3"/>
        <v>481</v>
      </c>
      <c r="Q16" s="1067">
        <f t="shared" si="4"/>
        <v>3817</v>
      </c>
      <c r="R16" s="1643"/>
      <c r="S16" s="111"/>
      <c r="T16" s="111"/>
      <c r="U16" s="111"/>
      <c r="V16" s="80"/>
      <c r="W16" s="258" t="s">
        <v>961</v>
      </c>
      <c r="X16" s="165" t="str">
        <f>IF($J$3&gt;Summary!$K$1,"Ok",IF($D$27="","Ok",IF(COUNTA('B - Monthly Positions'!$D$27:$O$27)&lt;&gt;12,"Please input Data for all 12 months","Ok")))</f>
        <v>Ok</v>
      </c>
      <c r="Y16" s="782">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4" t="s">
        <v>441</v>
      </c>
      <c r="C17" s="1075" t="s">
        <v>289</v>
      </c>
      <c r="D17" s="1110">
        <f t="shared" ref="D17:O17" si="6">SUM(D11:D16)</f>
        <v>18197</v>
      </c>
      <c r="E17" s="1110">
        <f t="shared" si="6"/>
        <v>18011.933909250896</v>
      </c>
      <c r="F17" s="1110">
        <f t="shared" si="6"/>
        <v>18400.246342926086</v>
      </c>
      <c r="G17" s="1110">
        <f t="shared" si="6"/>
        <v>18052.744234250895</v>
      </c>
      <c r="H17" s="1110">
        <f t="shared" si="6"/>
        <v>18014.244234250895</v>
      </c>
      <c r="I17" s="1110">
        <f t="shared" si="6"/>
        <v>18553.78735125942</v>
      </c>
      <c r="J17" s="1110">
        <f t="shared" si="6"/>
        <v>18313.747946985815</v>
      </c>
      <c r="K17" s="1110">
        <f t="shared" si="6"/>
        <v>18229.968375841603</v>
      </c>
      <c r="L17" s="1110">
        <f t="shared" si="6"/>
        <v>18741.305338652484</v>
      </c>
      <c r="M17" s="1110">
        <f t="shared" si="6"/>
        <v>18262.747946985815</v>
      </c>
      <c r="N17" s="1110">
        <f t="shared" si="6"/>
        <v>18230.722954697387</v>
      </c>
      <c r="O17" s="1110">
        <f t="shared" si="6"/>
        <v>19288.564175874708</v>
      </c>
      <c r="P17" s="1101">
        <f t="shared" si="3"/>
        <v>18197</v>
      </c>
      <c r="Q17" s="1133">
        <f t="shared" si="4"/>
        <v>220297.01281097601</v>
      </c>
      <c r="R17" s="1643"/>
      <c r="S17" s="111"/>
      <c r="T17" s="111"/>
      <c r="U17" s="111"/>
      <c r="V17" s="80"/>
      <c r="W17" s="258" t="s">
        <v>962</v>
      </c>
      <c r="X17" s="165" t="str">
        <f>IF($J$3&gt;Summary!$K$1,"Ok",IF($D$27="","Ok",IF(COUNTA('B - Monthly Positions'!$D$27:$O$27)&lt;&gt;12,"Please input Data for all 12 months","Ok")))</f>
        <v>Ok</v>
      </c>
      <c r="Y17" s="782">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6" t="s">
        <v>456</v>
      </c>
      <c r="C18" s="93" t="s">
        <v>288</v>
      </c>
      <c r="D18" s="963"/>
      <c r="E18" s="984"/>
      <c r="F18" s="984"/>
      <c r="G18" s="984"/>
      <c r="H18" s="984"/>
      <c r="I18" s="984"/>
      <c r="J18" s="984"/>
      <c r="K18" s="984"/>
      <c r="L18" s="984"/>
      <c r="M18" s="984"/>
      <c r="N18" s="984"/>
      <c r="O18" s="983"/>
      <c r="P18" s="73">
        <f t="shared" si="3"/>
        <v>0</v>
      </c>
      <c r="Q18" s="1067">
        <f t="shared" si="4"/>
        <v>0</v>
      </c>
      <c r="R18" s="1643"/>
      <c r="S18" s="111">
        <f>SUM(D17:O17)</f>
        <v>220297.01281097601</v>
      </c>
      <c r="T18" s="111"/>
      <c r="U18" s="111"/>
      <c r="V18" s="82"/>
      <c r="W18" s="258" t="s">
        <v>963</v>
      </c>
      <c r="X18" s="165" t="str">
        <f>IF($J$3&gt;Summary!$K$1,"Ok",IF($D$27="","Ok",IF(COUNTA('B - Monthly Positions'!$D$27:$O$27)&lt;&gt;12,"Please input Data for all 12 months","Ok")))</f>
        <v>Ok</v>
      </c>
      <c r="Y18" s="782">
        <f t="shared" si="1"/>
        <v>0</v>
      </c>
      <c r="Z18" s="111"/>
      <c r="AA18" s="80"/>
      <c r="AB18" s="80"/>
      <c r="AC18" s="80"/>
      <c r="AD18" s="1119"/>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90">
        <f t="shared" si="5"/>
        <v>9</v>
      </c>
      <c r="B19" s="1077" t="s">
        <v>463</v>
      </c>
      <c r="C19" s="93" t="s">
        <v>288</v>
      </c>
      <c r="D19" s="891"/>
      <c r="E19" s="892"/>
      <c r="F19" s="892"/>
      <c r="G19" s="892"/>
      <c r="H19" s="892"/>
      <c r="I19" s="892"/>
      <c r="J19" s="892"/>
      <c r="K19" s="892"/>
      <c r="L19" s="892"/>
      <c r="M19" s="892"/>
      <c r="N19" s="892"/>
      <c r="O19" s="892"/>
      <c r="P19" s="75">
        <f t="shared" si="3"/>
        <v>0</v>
      </c>
      <c r="Q19" s="1067">
        <f t="shared" si="4"/>
        <v>0</v>
      </c>
      <c r="R19" s="1643"/>
      <c r="S19" s="111">
        <f>SUM(D18:O18)</f>
        <v>0</v>
      </c>
      <c r="T19" s="111"/>
      <c r="U19" s="111"/>
      <c r="V19" s="82"/>
      <c r="W19" s="258" t="s">
        <v>964</v>
      </c>
      <c r="X19" s="165" t="str">
        <f>IF($J$3&gt;Summary!$K$1,"Ok",IF($D$27="","Ok",IF(COUNTA('B - Monthly Positions'!$D$27:$O$27)&lt;&gt;12,"Please input Data for all 12 months","Ok")))</f>
        <v>Ok</v>
      </c>
      <c r="Y19" s="782">
        <f t="shared" si="1"/>
        <v>0</v>
      </c>
      <c r="Z19" s="111"/>
      <c r="AA19" s="80"/>
      <c r="AB19" s="80"/>
      <c r="AC19" s="80"/>
      <c r="AD19" s="1119"/>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90">
        <f t="shared" si="5"/>
        <v>10</v>
      </c>
      <c r="B20" s="1078" t="s">
        <v>457</v>
      </c>
      <c r="C20" s="93" t="s">
        <v>288</v>
      </c>
      <c r="D20" s="891">
        <v>10151</v>
      </c>
      <c r="E20" s="892">
        <f>9715+'B3 - COVID-19'!D19+'B3 - COVID-19'!D62+'B3 - COVID-19'!D109</f>
        <v>9831.948833333332</v>
      </c>
      <c r="F20" s="892">
        <f>9704+'B3 - COVID-19'!E19+'B3 - COVID-19'!E62+'B3 - COVID-19'!E109</f>
        <v>9872.6593499999999</v>
      </c>
      <c r="G20" s="892">
        <f>9703+'B3 - COVID-19'!F19+'B3 - COVID-19'!F62+'B3 - COVID-19'!F109</f>
        <v>9902.2591583333324</v>
      </c>
      <c r="H20" s="892">
        <f>9696+'B3 - COVID-19'!G19+'B3 - COVID-19'!G62+'B3 - COVID-19'!G109</f>
        <v>9895.2591583333324</v>
      </c>
      <c r="I20" s="892">
        <f>9705+'B3 - COVID-19'!H19+'B3 - COVID-19'!H62+'B3 - COVID-19'!H109</f>
        <v>9904.7003583333335</v>
      </c>
      <c r="J20" s="892">
        <f>9681+'B3 - COVID-19'!I19+'B3 - COVID-19'!I62+'B3 - COVID-19'!I109</f>
        <v>9899.5761133333326</v>
      </c>
      <c r="K20" s="892">
        <f>9681+'B3 - COVID-19'!J19+'B3 - COVID-19'!J62+'B3 - COVID-19'!J109</f>
        <v>9899.5761133333326</v>
      </c>
      <c r="L20" s="892">
        <f>9670+'B3 - COVID-19'!K19+'B3 - COVID-19'!K62+'B3 - COVID-19'!K109</f>
        <v>9888.6128800000006</v>
      </c>
      <c r="M20" s="892">
        <f>9668+'B3 - COVID-19'!L19+'B3 - COVID-19'!L62+'B3 - COVID-19'!L109</f>
        <v>9886.5761133333326</v>
      </c>
      <c r="N20" s="892">
        <f>9668+'B3 - COVID-19'!M19+'B3 - COVID-19'!M62+'B3 - COVID-19'!M109</f>
        <v>9867.2591583333324</v>
      </c>
      <c r="O20" s="892">
        <f>9679+'B3 - COVID-19'!N19+'B3 - COVID-19'!N62+'B3 - COVID-19'!N109</f>
        <v>9878.2622222222217</v>
      </c>
      <c r="P20" s="75">
        <f t="shared" si="3"/>
        <v>10151</v>
      </c>
      <c r="Q20" s="1067">
        <f t="shared" si="4"/>
        <v>118877.68945888888</v>
      </c>
      <c r="R20" s="1643"/>
      <c r="S20" s="111"/>
      <c r="T20" s="111"/>
      <c r="U20" s="111"/>
      <c r="V20" s="82"/>
      <c r="W20" s="258" t="s">
        <v>965</v>
      </c>
      <c r="X20" s="165" t="str">
        <f>IF($J$3&gt;Summary!$K$1,"Ok",IF($D$32="","Ok",IF(COUNTA('B - Monthly Positions'!$D$32:$O$32)&lt;&gt;12,"Please input Data for all 12 months","Ok")))</f>
        <v>Ok</v>
      </c>
      <c r="Y20" s="782">
        <f t="shared" si="1"/>
        <v>0</v>
      </c>
      <c r="Z20" s="111"/>
      <c r="AA20" s="80"/>
      <c r="AB20" s="80"/>
      <c r="AC20" s="80"/>
      <c r="AD20" s="1119"/>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90">
        <f t="shared" si="5"/>
        <v>11</v>
      </c>
      <c r="B21" s="1077" t="s">
        <v>458</v>
      </c>
      <c r="C21" s="93" t="s">
        <v>288</v>
      </c>
      <c r="D21" s="891">
        <f>7995-SUM(D32:D35)+1</f>
        <v>7712.1790000000001</v>
      </c>
      <c r="E21" s="892">
        <f>7250-SUM(E32:E35)+('B3 - COVID-19'!D33+'B3 - COVID-19'!D76+'B3 - COVID-19'!D129)</f>
        <v>7896.1640759175616</v>
      </c>
      <c r="F21" s="892">
        <f>7126-SUM(F32:F35)+('B3 - COVID-19'!E33+'B3 - COVID-19'!E76+'B3 - COVID-19'!E129)</f>
        <v>8243.7659929260863</v>
      </c>
      <c r="G21" s="892">
        <f>7205-SUM(G32:G35)+('B3 - COVID-19'!F33+'B3 - COVID-19'!F76+'B3 - COVID-19'!F129)</f>
        <v>7866.6640759175616</v>
      </c>
      <c r="H21" s="892">
        <f>7183-SUM(H32:H35)+('B3 - COVID-19'!G33+'B3 - COVID-19'!G76+'B3 - COVID-19'!G129)</f>
        <v>7835.1640759175616</v>
      </c>
      <c r="I21" s="892">
        <f>7197-SUM(I32:I35)+('B3 - COVID-19'!H33+'B3 - COVID-19'!H76+'B3 - COVID-19'!H129)</f>
        <v>8365.2659929260863</v>
      </c>
      <c r="J21" s="892">
        <f>7194-SUM(J32:J35)+('B3 - COVID-19'!I33+'B3 - COVID-19'!I76+'B3 - COVID-19'!I129)</f>
        <v>8130.3508336524837</v>
      </c>
      <c r="K21" s="892">
        <f>7165-SUM(K32:K35)+('B3 - COVID-19'!J33+'B3 - COVID-19'!J76+'B3 - COVID-19'!J129)</f>
        <v>8046.5712625082688</v>
      </c>
      <c r="L21" s="892">
        <f>7163-SUM(L32:L35)+('B3 - COVID-19'!K33+'B3 - COVID-19'!K76+'B3 - COVID-19'!K129)</f>
        <v>8568.8714586524839</v>
      </c>
      <c r="M21" s="892">
        <f>7178-SUM(M32:M35)+('B3 - COVID-19'!L33+'B3 - COVID-19'!L76+'B3 - COVID-19'!L129)</f>
        <v>8092.3508336524837</v>
      </c>
      <c r="N21" s="892">
        <f>7198-SUM(N32:N35)+('B3 - COVID-19'!M33+'B3 - COVID-19'!M76+'B3 - COVID-19'!M129)</f>
        <v>8079.6427963640544</v>
      </c>
      <c r="O21" s="892">
        <f>7776-SUM(O32:O35)+('B3 - COVID-19'!N33+'B3 - COVID-19'!N76+'B3 - COVID-19'!N129)</f>
        <v>9176.4809536524845</v>
      </c>
      <c r="P21" s="75">
        <f t="shared" si="3"/>
        <v>7712.1790000000001</v>
      </c>
      <c r="Q21" s="1067">
        <f t="shared" si="4"/>
        <v>98013.471352087116</v>
      </c>
      <c r="R21" s="1643"/>
      <c r="S21" s="111">
        <f>SUM(D19:O19)</f>
        <v>0</v>
      </c>
      <c r="T21" s="111"/>
      <c r="U21" s="111"/>
      <c r="V21" s="966"/>
      <c r="W21" s="258" t="s">
        <v>966</v>
      </c>
      <c r="X21" s="165" t="str">
        <f>IF($J$3&gt;Summary!$K$1,"Ok",IF($D$33="","Ok",IF(COUNTA('B - Monthly Positions'!$D$33:$O$33)&lt;&gt;12,"Please input Data for all 12 months","Ok")))</f>
        <v>Ok</v>
      </c>
      <c r="Y21" s="782">
        <f t="shared" si="1"/>
        <v>0</v>
      </c>
      <c r="Z21" s="111"/>
      <c r="AA21" s="80"/>
      <c r="AB21" s="80"/>
      <c r="AC21" s="80"/>
      <c r="AD21" s="1119"/>
      <c r="AE21" s="895"/>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90">
        <f t="shared" si="5"/>
        <v>12</v>
      </c>
      <c r="B22" s="1077" t="s">
        <v>442</v>
      </c>
      <c r="C22" s="93" t="s">
        <v>288</v>
      </c>
      <c r="D22" s="891"/>
      <c r="E22" s="892"/>
      <c r="F22" s="892"/>
      <c r="G22" s="892"/>
      <c r="H22" s="892"/>
      <c r="I22" s="892"/>
      <c r="J22" s="892"/>
      <c r="K22" s="892"/>
      <c r="L22" s="892"/>
      <c r="M22" s="892"/>
      <c r="N22" s="892"/>
      <c r="O22" s="892"/>
      <c r="P22" s="75">
        <f t="shared" si="3"/>
        <v>0</v>
      </c>
      <c r="Q22" s="1067">
        <f t="shared" si="4"/>
        <v>0</v>
      </c>
      <c r="R22" s="1643"/>
      <c r="S22" s="111">
        <f>SUM(D20:O20)</f>
        <v>118877.68945888888</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2">
        <f t="shared" si="1"/>
        <v>0</v>
      </c>
      <c r="Z22" s="111"/>
      <c r="AA22" s="80"/>
      <c r="AB22" s="80"/>
      <c r="AC22" s="80"/>
      <c r="AD22" s="1120"/>
      <c r="AE22" s="895"/>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7" t="s">
        <v>464</v>
      </c>
      <c r="C23" s="93" t="s">
        <v>288</v>
      </c>
      <c r="D23" s="893"/>
      <c r="E23" s="964"/>
      <c r="F23" s="964"/>
      <c r="G23" s="964"/>
      <c r="H23" s="964"/>
      <c r="I23" s="964"/>
      <c r="J23" s="964"/>
      <c r="K23" s="964"/>
      <c r="L23" s="964"/>
      <c r="M23" s="964"/>
      <c r="N23" s="964"/>
      <c r="O23" s="964"/>
      <c r="P23" s="75">
        <f t="shared" si="3"/>
        <v>0</v>
      </c>
      <c r="Q23" s="1067">
        <f t="shared" si="4"/>
        <v>0</v>
      </c>
      <c r="R23" s="1643"/>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2">
        <f t="shared" si="1"/>
        <v>0</v>
      </c>
      <c r="Z23" s="111"/>
      <c r="AA23" s="80"/>
      <c r="AB23" s="80"/>
      <c r="AC23" s="80"/>
      <c r="AD23" s="1120"/>
      <c r="AE23" s="895"/>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7" t="s">
        <v>465</v>
      </c>
      <c r="C24" s="93" t="s">
        <v>288</v>
      </c>
      <c r="D24" s="893"/>
      <c r="E24" s="892"/>
      <c r="F24" s="892"/>
      <c r="G24" s="892"/>
      <c r="H24" s="892"/>
      <c r="I24" s="892"/>
      <c r="J24" s="892"/>
      <c r="K24" s="892"/>
      <c r="L24" s="892"/>
      <c r="M24" s="892"/>
      <c r="N24" s="892"/>
      <c r="O24" s="1066"/>
      <c r="P24" s="75">
        <f t="shared" si="3"/>
        <v>0</v>
      </c>
      <c r="Q24" s="1067">
        <f t="shared" si="4"/>
        <v>0</v>
      </c>
      <c r="R24" s="1643"/>
      <c r="S24" s="111">
        <f>SUM(D21:O21)</f>
        <v>98013.471352087116</v>
      </c>
      <c r="T24" s="111"/>
      <c r="U24" s="111"/>
      <c r="V24" s="80"/>
      <c r="W24" s="1117" t="s">
        <v>967</v>
      </c>
      <c r="X24" s="165" t="str">
        <f>IF($J$3&gt;Summary!$K$1,"Ok",IF($D$35="","Ok",IF(COUNTA('B - Monthly Positions'!$D$35:$O$35)&lt;&gt;12,"Please input Data for all 12 months","Ok")))</f>
        <v>Ok</v>
      </c>
      <c r="Y24" s="782">
        <f t="shared" si="1"/>
        <v>0</v>
      </c>
      <c r="Z24" s="111"/>
      <c r="AA24" s="80"/>
      <c r="AB24" s="80"/>
      <c r="AC24" s="80"/>
      <c r="AD24" s="1120"/>
      <c r="AE24" s="895"/>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7" t="s">
        <v>443</v>
      </c>
      <c r="C25" s="93" t="s">
        <v>288</v>
      </c>
      <c r="D25" s="893"/>
      <c r="E25" s="892"/>
      <c r="F25" s="892"/>
      <c r="G25" s="892"/>
      <c r="H25" s="892"/>
      <c r="I25" s="892"/>
      <c r="J25" s="892"/>
      <c r="K25" s="892"/>
      <c r="L25" s="892"/>
      <c r="M25" s="892"/>
      <c r="N25" s="892"/>
      <c r="O25" s="1079"/>
      <c r="P25" s="75">
        <f t="shared" si="3"/>
        <v>0</v>
      </c>
      <c r="Q25" s="1067">
        <f t="shared" si="4"/>
        <v>0</v>
      </c>
      <c r="R25" s="1643"/>
      <c r="S25" s="111">
        <f>SUM(D22:O22)</f>
        <v>0</v>
      </c>
      <c r="T25" s="111"/>
      <c r="U25" s="111"/>
      <c r="V25" s="80"/>
      <c r="W25" s="1117" t="s">
        <v>1261</v>
      </c>
      <c r="X25" s="165" t="str">
        <f>IF($J$3&gt;Summary!$K$1,"Ok",IF(ABS('B - Monthly Positions'!$Q$11-'E - Resource Limits'!$G$81)&lt;=2,"Ok","'Monthly Positions' ref 1, should equal, ref 66 on Res Limit Table to a tolerance of 2k to allow for rounding"))</f>
        <v>Ok</v>
      </c>
      <c r="Y25" s="782">
        <f t="shared" si="1"/>
        <v>0</v>
      </c>
      <c r="Z25" s="111"/>
      <c r="AA25" s="80"/>
      <c r="AB25" s="80"/>
      <c r="AC25" s="80"/>
      <c r="AD25" s="1120"/>
      <c r="AE25" s="895"/>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7" t="s">
        <v>444</v>
      </c>
      <c r="C26" s="93" t="s">
        <v>288</v>
      </c>
      <c r="D26" s="893"/>
      <c r="E26" s="892"/>
      <c r="F26" s="892"/>
      <c r="G26" s="892"/>
      <c r="H26" s="892"/>
      <c r="I26" s="892"/>
      <c r="J26" s="892"/>
      <c r="K26" s="892"/>
      <c r="L26" s="892"/>
      <c r="M26" s="892"/>
      <c r="N26" s="892"/>
      <c r="O26" s="1079"/>
      <c r="P26" s="75">
        <f t="shared" si="3"/>
        <v>0</v>
      </c>
      <c r="Q26" s="1067">
        <f t="shared" si="4"/>
        <v>0</v>
      </c>
      <c r="R26" s="1643"/>
      <c r="S26" s="111">
        <f>SUM(D23:O23)</f>
        <v>0</v>
      </c>
      <c r="T26" s="111"/>
      <c r="U26" s="111"/>
      <c r="V26" s="80"/>
      <c r="W26" s="1117"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2">
        <f t="shared" si="1"/>
        <v>0</v>
      </c>
      <c r="Z26" s="111"/>
      <c r="AA26" s="80"/>
      <c r="AB26" s="80"/>
      <c r="AC26" s="80"/>
      <c r="AD26" s="1119"/>
      <c r="AE26" s="895"/>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7" t="s">
        <v>445</v>
      </c>
      <c r="C27" s="93" t="s">
        <v>288</v>
      </c>
      <c r="D27" s="893"/>
      <c r="E27" s="892"/>
      <c r="F27" s="892"/>
      <c r="G27" s="892"/>
      <c r="H27" s="892"/>
      <c r="I27" s="892"/>
      <c r="J27" s="892"/>
      <c r="K27" s="892"/>
      <c r="L27" s="892"/>
      <c r="M27" s="892"/>
      <c r="N27" s="892"/>
      <c r="O27" s="1079"/>
      <c r="P27" s="75">
        <f t="shared" si="3"/>
        <v>0</v>
      </c>
      <c r="Q27" s="1067">
        <f t="shared" si="4"/>
        <v>0</v>
      </c>
      <c r="R27" s="1643"/>
      <c r="S27" s="111"/>
      <c r="T27" s="111"/>
      <c r="U27" s="111"/>
      <c r="V27" s="80"/>
      <c r="W27" s="261" t="s">
        <v>1247</v>
      </c>
      <c r="X27" s="1134" t="str">
        <f>IF($J$3&gt;Summary!$K$1,"Ok",IF(ABS('B - Monthly Positions'!$P$32-$P$77)&lt;=2,"Ok","No does not agree with Monthly Positions"))</f>
        <v>Ok</v>
      </c>
      <c r="Y27" s="782">
        <f t="shared" si="1"/>
        <v>0</v>
      </c>
      <c r="Z27" s="111"/>
      <c r="AA27" s="80"/>
      <c r="AB27" s="80"/>
      <c r="AC27" s="80"/>
      <c r="AD27" s="1119"/>
      <c r="AE27" s="895"/>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5" t="s">
        <v>776</v>
      </c>
      <c r="C28" s="93" t="s">
        <v>288</v>
      </c>
      <c r="D28" s="893"/>
      <c r="E28" s="892"/>
      <c r="F28" s="892"/>
      <c r="G28" s="892"/>
      <c r="H28" s="892"/>
      <c r="I28" s="892"/>
      <c r="J28" s="892"/>
      <c r="K28" s="892"/>
      <c r="L28" s="892"/>
      <c r="M28" s="892"/>
      <c r="N28" s="892"/>
      <c r="O28" s="1079"/>
      <c r="P28" s="75">
        <f>SUMPRODUCT($D$7:$O$7,D28:O28)</f>
        <v>0</v>
      </c>
      <c r="Q28" s="1067">
        <f>P28+SUMPRODUCT(1-$D$7:$O$7,D28:O28)</f>
        <v>0</v>
      </c>
      <c r="R28" s="1643"/>
      <c r="S28" s="111"/>
      <c r="T28" s="111"/>
      <c r="U28" s="111"/>
      <c r="V28" s="80"/>
      <c r="W28" s="261" t="s">
        <v>1248</v>
      </c>
      <c r="X28" s="1134" t="str">
        <f>IF($J$3&gt;Summary!$K$1,"Ok",IF(ABS('B - Monthly Positions'!$Q$32-$Q$77)&lt;=2,"Ok","No does not agree with Monthly Positions"))</f>
        <v>Ok</v>
      </c>
      <c r="Y28" s="782">
        <f t="shared" si="1"/>
        <v>0</v>
      </c>
      <c r="Z28" s="111"/>
      <c r="AA28" s="80"/>
      <c r="AB28" s="80"/>
      <c r="AC28" s="80"/>
      <c r="AD28" s="1119"/>
      <c r="AE28" s="895"/>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6" t="s">
        <v>791</v>
      </c>
      <c r="C29" s="93" t="s">
        <v>288</v>
      </c>
      <c r="D29" s="893"/>
      <c r="E29" s="892"/>
      <c r="F29" s="892"/>
      <c r="G29" s="892"/>
      <c r="H29" s="892"/>
      <c r="I29" s="892"/>
      <c r="J29" s="892"/>
      <c r="K29" s="892"/>
      <c r="L29" s="892"/>
      <c r="M29" s="892"/>
      <c r="N29" s="892"/>
      <c r="O29" s="1079"/>
      <c r="P29" s="75">
        <f>SUMPRODUCT($D$7:$O$7,D29:O29)</f>
        <v>0</v>
      </c>
      <c r="Q29" s="1067">
        <f>P29+SUMPRODUCT(1-$D$7:$O$7,D29:O29)</f>
        <v>0</v>
      </c>
      <c r="R29" s="1643"/>
      <c r="S29" s="111"/>
      <c r="T29" s="111"/>
      <c r="U29" s="111"/>
      <c r="V29" s="80"/>
      <c r="W29" s="261" t="s">
        <v>1249</v>
      </c>
      <c r="X29" s="1134" t="str">
        <f>IF($J$3&gt;Summary!$K$1,"Ok",IF(ABS('B - Monthly Positions'!$P$33-$P$82)&lt;=2,"Ok","No does not agree with Monthly Positions"))</f>
        <v>Ok</v>
      </c>
      <c r="Y29" s="782">
        <f t="shared" si="1"/>
        <v>0</v>
      </c>
      <c r="Z29" s="111"/>
      <c r="AA29" s="80"/>
      <c r="AB29" s="80"/>
      <c r="AC29" s="80"/>
      <c r="AD29" s="1120"/>
      <c r="AE29" s="895"/>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7" t="s">
        <v>792</v>
      </c>
      <c r="C30" s="93" t="s">
        <v>288</v>
      </c>
      <c r="D30" s="893"/>
      <c r="E30" s="892"/>
      <c r="F30" s="892"/>
      <c r="G30" s="892"/>
      <c r="H30" s="892"/>
      <c r="I30" s="892"/>
      <c r="J30" s="892"/>
      <c r="K30" s="892"/>
      <c r="L30" s="892"/>
      <c r="M30" s="892"/>
      <c r="N30" s="892"/>
      <c r="O30" s="1079"/>
      <c r="P30" s="75">
        <f>SUMPRODUCT($D$7:$O$7,D30:O30)</f>
        <v>0</v>
      </c>
      <c r="Q30" s="1067">
        <f>P30+SUMPRODUCT(1-$D$7:$O$7,D30:O30)</f>
        <v>0</v>
      </c>
      <c r="R30" s="1643"/>
      <c r="S30" s="111"/>
      <c r="T30" s="111"/>
      <c r="U30" s="111"/>
      <c r="V30" s="80"/>
      <c r="W30" s="1118" t="s">
        <v>1250</v>
      </c>
      <c r="X30" s="1134" t="str">
        <f>IF($J$3&gt;Summary!$K$1,"Ok",IF(ABS('B - Monthly Positions'!$Q$33-$Q$82)&lt;=2,"Ok","No does not agree with Monthly Positions"))</f>
        <v>Ok</v>
      </c>
      <c r="Y30" s="782">
        <f t="shared" si="1"/>
        <v>0</v>
      </c>
      <c r="Z30" s="111"/>
      <c r="AA30" s="80"/>
      <c r="AB30" s="80"/>
      <c r="AC30" s="80"/>
      <c r="AD30" s="1119"/>
      <c r="AE30" s="895"/>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6" t="s">
        <v>793</v>
      </c>
      <c r="C31" s="93" t="s">
        <v>288</v>
      </c>
      <c r="D31" s="893"/>
      <c r="E31" s="892"/>
      <c r="F31" s="892"/>
      <c r="G31" s="892"/>
      <c r="H31" s="892"/>
      <c r="I31" s="892"/>
      <c r="J31" s="892"/>
      <c r="K31" s="892"/>
      <c r="L31" s="892"/>
      <c r="M31" s="892"/>
      <c r="N31" s="892"/>
      <c r="O31" s="1079"/>
      <c r="P31" s="75">
        <f>SUMPRODUCT($D$7:$O$7,D31:O31)</f>
        <v>0</v>
      </c>
      <c r="Q31" s="1067">
        <f>P31+SUMPRODUCT(1-$D$7:$O$7,D31:O31)</f>
        <v>0</v>
      </c>
      <c r="R31" s="1643"/>
      <c r="S31" s="111"/>
      <c r="T31" s="111"/>
      <c r="U31" s="111"/>
      <c r="V31" s="80"/>
      <c r="W31" s="258" t="s">
        <v>1251</v>
      </c>
      <c r="X31" s="165" t="str">
        <f>IF(SUM($D$135:$O$135)=0,"Ok","Please remove YTD values for Committed Reserves &amp; Contingencies")</f>
        <v>Ok</v>
      </c>
      <c r="Y31" s="782">
        <f t="shared" si="1"/>
        <v>0</v>
      </c>
      <c r="Z31" s="111"/>
      <c r="AA31" s="80"/>
      <c r="AB31" s="80"/>
      <c r="AC31" s="80"/>
      <c r="AD31" s="1119"/>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3">
        <f>D77</f>
        <v>283.82100000000003</v>
      </c>
      <c r="E32" s="892">
        <f>E77</f>
        <v>283.82100000000003</v>
      </c>
      <c r="F32" s="892">
        <f t="shared" ref="F32:O32" si="7">F77</f>
        <v>283.82100000000003</v>
      </c>
      <c r="G32" s="892">
        <f t="shared" si="7"/>
        <v>283.82100000000003</v>
      </c>
      <c r="H32" s="892">
        <f t="shared" si="7"/>
        <v>283.82100000000003</v>
      </c>
      <c r="I32" s="892">
        <f t="shared" si="7"/>
        <v>283.82100000000003</v>
      </c>
      <c r="J32" s="892">
        <f t="shared" si="7"/>
        <v>283.82100000000003</v>
      </c>
      <c r="K32" s="892">
        <f t="shared" si="7"/>
        <v>283.82100000000003</v>
      </c>
      <c r="L32" s="892">
        <f t="shared" si="7"/>
        <v>283.82100000000003</v>
      </c>
      <c r="M32" s="892">
        <f t="shared" si="7"/>
        <v>283.82100000000003</v>
      </c>
      <c r="N32" s="892">
        <f t="shared" si="7"/>
        <v>283.82100000000003</v>
      </c>
      <c r="O32" s="892">
        <f t="shared" si="7"/>
        <v>283.82100000000003</v>
      </c>
      <c r="P32" s="75">
        <f t="shared" si="3"/>
        <v>283.82100000000003</v>
      </c>
      <c r="Q32" s="1067">
        <f t="shared" si="4"/>
        <v>3405.8519999999994</v>
      </c>
      <c r="R32" s="1643"/>
      <c r="S32" s="111"/>
      <c r="T32" s="111"/>
      <c r="U32" s="111"/>
      <c r="V32" s="80"/>
      <c r="W32" s="258" t="s">
        <v>1252</v>
      </c>
      <c r="X32" s="165" t="str">
        <f>IF(SUM(D56:O56)&gt;0,"Directorate Total costs does not agree to section A","Ok")</f>
        <v>Ok</v>
      </c>
      <c r="Y32" s="782">
        <f t="shared" si="1"/>
        <v>0</v>
      </c>
      <c r="Z32" s="55"/>
      <c r="AA32" s="55"/>
      <c r="AB32" s="55"/>
      <c r="AC32" s="55"/>
      <c r="AD32" s="1119"/>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3">
        <f>D82</f>
        <v>0</v>
      </c>
      <c r="E33" s="892">
        <f>E82</f>
        <v>0</v>
      </c>
      <c r="F33" s="892">
        <f t="shared" ref="F33:O33" si="8">F82</f>
        <v>0</v>
      </c>
      <c r="G33" s="892">
        <f t="shared" si="8"/>
        <v>0</v>
      </c>
      <c r="H33" s="892">
        <f t="shared" si="8"/>
        <v>0</v>
      </c>
      <c r="I33" s="892">
        <f t="shared" si="8"/>
        <v>0</v>
      </c>
      <c r="J33" s="892">
        <f t="shared" si="8"/>
        <v>0</v>
      </c>
      <c r="K33" s="892">
        <f t="shared" si="8"/>
        <v>0</v>
      </c>
      <c r="L33" s="892">
        <f t="shared" si="8"/>
        <v>0</v>
      </c>
      <c r="M33" s="892">
        <f t="shared" si="8"/>
        <v>0</v>
      </c>
      <c r="N33" s="892">
        <f t="shared" si="8"/>
        <v>0</v>
      </c>
      <c r="O33" s="892">
        <f t="shared" si="8"/>
        <v>0</v>
      </c>
      <c r="P33" s="75">
        <f t="shared" si="3"/>
        <v>0</v>
      </c>
      <c r="Q33" s="1067">
        <f t="shared" si="4"/>
        <v>0</v>
      </c>
      <c r="R33" s="1643"/>
      <c r="S33" s="111"/>
      <c r="T33" s="111"/>
      <c r="U33" s="111"/>
      <c r="V33" s="80"/>
      <c r="W33" s="1116"/>
      <c r="X33" s="1116"/>
      <c r="Y33" s="782">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3"/>
      <c r="E34" s="892"/>
      <c r="F34" s="892"/>
      <c r="G34" s="892"/>
      <c r="H34" s="892"/>
      <c r="I34" s="892"/>
      <c r="J34" s="892"/>
      <c r="K34" s="892"/>
      <c r="L34" s="892"/>
      <c r="M34" s="892"/>
      <c r="N34" s="892"/>
      <c r="O34" s="1079"/>
      <c r="P34" s="75">
        <f t="shared" si="3"/>
        <v>0</v>
      </c>
      <c r="Q34" s="1067">
        <f t="shared" si="4"/>
        <v>0</v>
      </c>
      <c r="R34" s="1643"/>
      <c r="S34" s="111"/>
      <c r="T34" s="111"/>
      <c r="U34" s="111"/>
      <c r="V34" s="82"/>
      <c r="W34" s="1116"/>
      <c r="X34" s="80"/>
      <c r="Y34" s="782"/>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8" t="s">
        <v>446</v>
      </c>
      <c r="C35" s="1069" t="s">
        <v>288</v>
      </c>
      <c r="D35" s="893"/>
      <c r="E35" s="1071"/>
      <c r="F35" s="1071"/>
      <c r="G35" s="1071"/>
      <c r="H35" s="1071"/>
      <c r="I35" s="1071"/>
      <c r="J35" s="1071"/>
      <c r="K35" s="1071"/>
      <c r="L35" s="1071"/>
      <c r="M35" s="1071"/>
      <c r="N35" s="1071"/>
      <c r="O35" s="1080"/>
      <c r="P35" s="1081">
        <f t="shared" si="3"/>
        <v>0</v>
      </c>
      <c r="Q35" s="1067">
        <f t="shared" si="4"/>
        <v>0</v>
      </c>
      <c r="R35" s="1643"/>
      <c r="S35" s="111"/>
      <c r="T35" s="111"/>
      <c r="U35" s="111"/>
      <c r="V35" s="82"/>
      <c r="W35" s="1116"/>
      <c r="X35" s="80"/>
      <c r="Y35" s="782"/>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4" t="s">
        <v>32</v>
      </c>
      <c r="C36" s="1075" t="s">
        <v>288</v>
      </c>
      <c r="D36" s="1110">
        <f t="shared" ref="D36:O36" si="9">SUM(D18:D35)</f>
        <v>18147</v>
      </c>
      <c r="E36" s="1110">
        <f t="shared" si="9"/>
        <v>18011.933909250893</v>
      </c>
      <c r="F36" s="1110">
        <f t="shared" si="9"/>
        <v>18400.246342926086</v>
      </c>
      <c r="G36" s="1110">
        <f t="shared" si="9"/>
        <v>18052.744234250895</v>
      </c>
      <c r="H36" s="1110">
        <f t="shared" si="9"/>
        <v>18014.244234250895</v>
      </c>
      <c r="I36" s="1110">
        <f t="shared" si="9"/>
        <v>18553.78735125942</v>
      </c>
      <c r="J36" s="1110">
        <f t="shared" si="9"/>
        <v>18313.747946985815</v>
      </c>
      <c r="K36" s="1110">
        <f t="shared" si="9"/>
        <v>18229.968375841603</v>
      </c>
      <c r="L36" s="1110">
        <f t="shared" si="9"/>
        <v>18741.305338652484</v>
      </c>
      <c r="M36" s="1110">
        <f t="shared" si="9"/>
        <v>18262.747946985815</v>
      </c>
      <c r="N36" s="1110">
        <f t="shared" si="9"/>
        <v>18230.722954697387</v>
      </c>
      <c r="O36" s="1110">
        <f t="shared" si="9"/>
        <v>19338.564175874704</v>
      </c>
      <c r="P36" s="1101">
        <f t="shared" si="3"/>
        <v>18147</v>
      </c>
      <c r="Q36" s="1133">
        <f t="shared" si="4"/>
        <v>220297.01281097601</v>
      </c>
      <c r="R36" s="1643"/>
      <c r="S36" s="111"/>
      <c r="T36" s="111"/>
      <c r="U36" s="111"/>
      <c r="V36" s="298"/>
      <c r="W36" s="1116"/>
      <c r="X36" s="80"/>
      <c r="Y36" s="782"/>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2" t="s">
        <v>182</v>
      </c>
      <c r="C37" s="95" t="s">
        <v>288</v>
      </c>
      <c r="D37" s="1110">
        <f t="shared" ref="D37:Q37" si="10">SUM(D17-D36)</f>
        <v>50</v>
      </c>
      <c r="E37" s="1110">
        <f t="shared" si="10"/>
        <v>3.637978807091713E-12</v>
      </c>
      <c r="F37" s="1110">
        <f t="shared" si="10"/>
        <v>0</v>
      </c>
      <c r="G37" s="1110">
        <f t="shared" si="10"/>
        <v>0</v>
      </c>
      <c r="H37" s="1110">
        <f t="shared" si="10"/>
        <v>0</v>
      </c>
      <c r="I37" s="1110">
        <f t="shared" si="10"/>
        <v>0</v>
      </c>
      <c r="J37" s="1110">
        <f t="shared" si="10"/>
        <v>0</v>
      </c>
      <c r="K37" s="1110">
        <f t="shared" si="10"/>
        <v>0</v>
      </c>
      <c r="L37" s="1110">
        <f t="shared" si="10"/>
        <v>0</v>
      </c>
      <c r="M37" s="1110">
        <f t="shared" si="10"/>
        <v>0</v>
      </c>
      <c r="N37" s="1101">
        <f t="shared" si="10"/>
        <v>0</v>
      </c>
      <c r="O37" s="1110">
        <f t="shared" si="10"/>
        <v>-49.999999999996362</v>
      </c>
      <c r="P37" s="1110">
        <f t="shared" si="10"/>
        <v>50</v>
      </c>
      <c r="Q37" s="1101">
        <f t="shared" si="10"/>
        <v>0</v>
      </c>
      <c r="R37" s="1643"/>
      <c r="S37" s="111"/>
      <c r="T37" s="111"/>
      <c r="U37" s="111"/>
      <c r="V37" s="80"/>
      <c r="W37" s="1116"/>
      <c r="X37" s="80"/>
      <c r="Y37" s="782"/>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4"/>
      <c r="S38" s="111"/>
      <c r="T38" s="111"/>
      <c r="U38" s="111"/>
      <c r="V38" s="80"/>
      <c r="W38" s="1116"/>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4"/>
      <c r="S39" s="111"/>
      <c r="T39" s="111"/>
      <c r="U39" s="111"/>
      <c r="V39" s="80"/>
      <c r="W39" s="1116"/>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4"/>
      <c r="G40" s="1644"/>
      <c r="H40" s="1644"/>
      <c r="I40" s="1644"/>
      <c r="J40" s="1644"/>
      <c r="K40" s="1644"/>
      <c r="L40" s="1644"/>
      <c r="M40" s="1644"/>
      <c r="N40" s="1644"/>
      <c r="O40" s="1644"/>
      <c r="P40" s="1644"/>
      <c r="Q40" s="1644"/>
      <c r="R40" s="1644"/>
      <c r="S40" s="111"/>
      <c r="T40" s="111"/>
      <c r="U40" s="111"/>
      <c r="V40" s="80"/>
      <c r="W40" s="1116"/>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2" t="s">
        <v>1243</v>
      </c>
      <c r="C41" s="843"/>
      <c r="D41" s="1059" t="s">
        <v>440</v>
      </c>
      <c r="E41" s="1644"/>
      <c r="F41" s="1644"/>
      <c r="G41" s="1644"/>
      <c r="H41" s="1644"/>
      <c r="I41" s="1644"/>
      <c r="J41" s="1644"/>
      <c r="K41" s="1644"/>
      <c r="L41" s="1644"/>
      <c r="M41" s="1644"/>
      <c r="N41" s="1644"/>
      <c r="O41" s="1644"/>
      <c r="P41" s="1644"/>
      <c r="Q41" s="1644"/>
      <c r="R41" s="1644"/>
      <c r="S41" s="111"/>
      <c r="T41" s="111"/>
      <c r="U41" s="111"/>
      <c r="V41" s="80"/>
      <c r="W41" s="1116"/>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2"/>
      <c r="D42" s="3004" t="s">
        <v>50</v>
      </c>
      <c r="E42" s="1644"/>
      <c r="F42" s="1644"/>
      <c r="G42" s="1644"/>
      <c r="H42" s="1644"/>
      <c r="I42" s="1644"/>
      <c r="J42" s="1644"/>
      <c r="K42" s="1644"/>
      <c r="L42" s="1644"/>
      <c r="M42" s="1644"/>
      <c r="N42" s="1644"/>
      <c r="O42" s="1644"/>
      <c r="P42" s="1644"/>
      <c r="Q42" s="1644"/>
      <c r="R42" s="1644"/>
      <c r="S42" s="111"/>
      <c r="T42" s="111"/>
      <c r="U42" s="111"/>
      <c r="V42" s="80"/>
      <c r="W42" s="1116"/>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400">
        <v>28</v>
      </c>
      <c r="B43" s="2614" t="s">
        <v>398</v>
      </c>
      <c r="C43" s="2619" t="s">
        <v>288</v>
      </c>
      <c r="D43" s="3005"/>
      <c r="E43" s="1644"/>
      <c r="F43" s="1644"/>
      <c r="G43" s="1644"/>
      <c r="H43" s="1644"/>
      <c r="I43" s="1644"/>
      <c r="J43" s="1644"/>
      <c r="K43" s="1644"/>
      <c r="L43" s="1644"/>
      <c r="M43" s="1644"/>
      <c r="N43" s="1644"/>
      <c r="O43" s="1644"/>
      <c r="P43" s="1644"/>
      <c r="Q43" s="1644"/>
      <c r="R43" s="1644"/>
      <c r="S43" s="111"/>
      <c r="T43" s="111"/>
      <c r="U43" s="111"/>
      <c r="V43" s="80"/>
      <c r="W43" s="1116"/>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400">
        <v>29</v>
      </c>
      <c r="B44" s="1077" t="s">
        <v>210</v>
      </c>
      <c r="C44" s="2620" t="s">
        <v>288</v>
      </c>
      <c r="D44" s="3005"/>
      <c r="E44" s="1644"/>
      <c r="F44" s="1644"/>
      <c r="G44" s="1644"/>
      <c r="H44" s="1644"/>
      <c r="I44" s="1644"/>
      <c r="J44" s="1644"/>
      <c r="K44" s="1644"/>
      <c r="L44" s="1644"/>
      <c r="M44" s="1644"/>
      <c r="N44" s="1644"/>
      <c r="O44" s="1644"/>
      <c r="P44" s="1644"/>
      <c r="Q44" s="1644"/>
      <c r="R44" s="1644"/>
      <c r="S44" s="111"/>
      <c r="T44" s="111"/>
      <c r="U44" s="111"/>
      <c r="V44" s="80"/>
      <c r="W44" s="1116"/>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400">
        <v>30</v>
      </c>
      <c r="B45" s="1077" t="s">
        <v>566</v>
      </c>
      <c r="C45" s="2620" t="s">
        <v>288</v>
      </c>
      <c r="D45" s="3005"/>
      <c r="E45" s="1644"/>
      <c r="F45" s="1644"/>
      <c r="G45" s="1644"/>
      <c r="H45" s="1644"/>
      <c r="I45" s="1644"/>
      <c r="J45" s="1644"/>
      <c r="K45" s="1644"/>
      <c r="L45" s="1644"/>
      <c r="M45" s="1644"/>
      <c r="N45" s="1644"/>
      <c r="O45" s="1644"/>
      <c r="P45" s="1644"/>
      <c r="Q45" s="1644"/>
      <c r="R45" s="1644"/>
      <c r="S45" s="111"/>
      <c r="T45" s="111"/>
      <c r="U45" s="111"/>
      <c r="V45" s="80"/>
      <c r="W45" s="1116"/>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400">
        <v>31</v>
      </c>
      <c r="B46" s="1077" t="s">
        <v>396</v>
      </c>
      <c r="C46" s="2620" t="s">
        <v>288</v>
      </c>
      <c r="D46" s="3005"/>
      <c r="E46" s="1644"/>
      <c r="F46" s="1644"/>
      <c r="G46" s="1644"/>
      <c r="H46" s="1644"/>
      <c r="I46" s="1644"/>
      <c r="J46" s="1644"/>
      <c r="K46" s="1644"/>
      <c r="L46" s="1644"/>
      <c r="M46" s="1644"/>
      <c r="N46" s="1644"/>
      <c r="O46" s="1644"/>
      <c r="P46" s="1644"/>
      <c r="Q46" s="1644"/>
      <c r="R46" s="1644"/>
      <c r="S46" s="111"/>
      <c r="T46" s="111"/>
      <c r="U46" s="111"/>
      <c r="V46" s="80"/>
      <c r="W46" s="1116"/>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400">
        <v>32</v>
      </c>
      <c r="B47" s="1077" t="s">
        <v>567</v>
      </c>
      <c r="C47" s="2620" t="s">
        <v>288</v>
      </c>
      <c r="D47" s="3005"/>
      <c r="E47" s="1644"/>
      <c r="F47" s="1644"/>
      <c r="G47" s="1644"/>
      <c r="H47" s="1644"/>
      <c r="I47" s="1644"/>
      <c r="J47" s="1644"/>
      <c r="K47" s="1644"/>
      <c r="L47" s="1644"/>
      <c r="M47" s="1644"/>
      <c r="N47" s="1644"/>
      <c r="O47" s="1644"/>
      <c r="P47" s="1644"/>
      <c r="Q47" s="1644"/>
      <c r="R47" s="1644"/>
      <c r="S47" s="111"/>
      <c r="T47" s="111"/>
      <c r="U47" s="111"/>
      <c r="V47" s="80"/>
      <c r="W47" s="1116"/>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400">
        <v>33</v>
      </c>
      <c r="B48" s="1077" t="s">
        <v>568</v>
      </c>
      <c r="C48" s="2620" t="s">
        <v>288</v>
      </c>
      <c r="D48" s="3005"/>
      <c r="E48" s="1644"/>
      <c r="F48" s="1644"/>
      <c r="G48" s="1644"/>
      <c r="H48" s="1644"/>
      <c r="I48" s="1644"/>
      <c r="J48" s="1644"/>
      <c r="K48" s="1644"/>
      <c r="L48" s="1644"/>
      <c r="M48" s="1644"/>
      <c r="N48" s="1644"/>
      <c r="O48" s="1644"/>
      <c r="P48" s="1644"/>
      <c r="Q48" s="1644"/>
      <c r="R48" s="1644"/>
      <c r="S48" s="111"/>
      <c r="T48" s="111"/>
      <c r="U48" s="111"/>
      <c r="V48" s="80"/>
      <c r="W48" s="1116"/>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400">
        <v>34</v>
      </c>
      <c r="B49" s="1077" t="s">
        <v>575</v>
      </c>
      <c r="C49" s="2620" t="s">
        <v>288</v>
      </c>
      <c r="D49" s="3005"/>
      <c r="E49" s="1644"/>
      <c r="F49" s="1644"/>
      <c r="G49" s="1644"/>
      <c r="H49" s="1644"/>
      <c r="I49" s="1644"/>
      <c r="J49" s="1644"/>
      <c r="K49" s="1644"/>
      <c r="L49" s="1644"/>
      <c r="M49" s="1644"/>
      <c r="N49" s="1644"/>
      <c r="O49" s="1644"/>
      <c r="P49" s="1644"/>
      <c r="Q49" s="1644"/>
      <c r="R49" s="1644"/>
      <c r="S49" s="111"/>
      <c r="T49" s="111"/>
      <c r="U49" s="111"/>
      <c r="V49" s="80"/>
      <c r="W49" s="1116"/>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400">
        <v>35</v>
      </c>
      <c r="B50" s="1077" t="s">
        <v>569</v>
      </c>
      <c r="C50" s="2620" t="s">
        <v>288</v>
      </c>
      <c r="D50" s="3005"/>
      <c r="E50" s="1644"/>
      <c r="F50" s="1644"/>
      <c r="G50" s="1644"/>
      <c r="H50" s="1644"/>
      <c r="I50" s="1644"/>
      <c r="J50" s="1644"/>
      <c r="K50" s="1644"/>
      <c r="L50" s="1644"/>
      <c r="M50" s="1644"/>
      <c r="N50" s="1644"/>
      <c r="O50" s="1644"/>
      <c r="P50" s="1644"/>
      <c r="Q50" s="1644"/>
      <c r="R50" s="1644"/>
      <c r="S50" s="111"/>
      <c r="T50" s="111"/>
      <c r="U50" s="111"/>
      <c r="V50" s="80"/>
      <c r="W50" s="1116"/>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400">
        <v>36</v>
      </c>
      <c r="B51" s="1077" t="s">
        <v>576</v>
      </c>
      <c r="C51" s="2620" t="s">
        <v>288</v>
      </c>
      <c r="D51" s="3005">
        <f>Q36-Q32-Q33-D52-D53</f>
        <v>201591.160810976</v>
      </c>
      <c r="E51" s="1644"/>
      <c r="F51" s="1644"/>
      <c r="G51" s="1644"/>
      <c r="H51" s="1644"/>
      <c r="I51" s="1644"/>
      <c r="J51" s="1644"/>
      <c r="K51" s="1644"/>
      <c r="L51" s="1644"/>
      <c r="M51" s="1644"/>
      <c r="N51" s="1644"/>
      <c r="O51" s="1644"/>
      <c r="P51" s="1644"/>
      <c r="Q51" s="1644"/>
      <c r="R51" s="1644"/>
      <c r="S51" s="111"/>
      <c r="T51" s="111"/>
      <c r="U51" s="111"/>
      <c r="V51" s="80"/>
      <c r="W51" s="1116"/>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400">
        <v>37</v>
      </c>
      <c r="B52" s="1077" t="s">
        <v>577</v>
      </c>
      <c r="C52" s="2620" t="s">
        <v>288</v>
      </c>
      <c r="D52" s="3005">
        <v>2256</v>
      </c>
      <c r="E52" s="1644"/>
      <c r="F52" s="1644"/>
      <c r="G52" s="1644"/>
      <c r="H52" s="1644"/>
      <c r="I52" s="1644"/>
      <c r="J52" s="1644"/>
      <c r="K52" s="1644"/>
      <c r="L52" s="1644"/>
      <c r="M52" s="1644"/>
      <c r="N52" s="1644"/>
      <c r="O52" s="1644"/>
      <c r="P52" s="1644"/>
      <c r="Q52" s="1644"/>
      <c r="R52" s="1644"/>
      <c r="S52" s="111"/>
      <c r="T52" s="111"/>
      <c r="U52" s="111"/>
      <c r="V52" s="80"/>
      <c r="W52" s="1116"/>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400">
        <v>38</v>
      </c>
      <c r="B53" s="1077" t="s">
        <v>578</v>
      </c>
      <c r="C53" s="2620" t="s">
        <v>288</v>
      </c>
      <c r="D53" s="3005">
        <f>10578+2466</f>
        <v>13044</v>
      </c>
      <c r="E53" s="1644"/>
      <c r="F53" s="1644"/>
      <c r="G53" s="1644"/>
      <c r="H53" s="1644"/>
      <c r="I53" s="1644"/>
      <c r="J53" s="1644"/>
      <c r="K53" s="1644"/>
      <c r="L53" s="1644"/>
      <c r="M53" s="1644"/>
      <c r="N53" s="1644"/>
      <c r="O53" s="1644"/>
      <c r="P53" s="1644"/>
      <c r="Q53" s="1644"/>
      <c r="R53" s="1644"/>
      <c r="S53" s="111"/>
      <c r="T53" s="111"/>
      <c r="U53" s="111"/>
      <c r="V53" s="80"/>
      <c r="W53" s="1116"/>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400">
        <v>39</v>
      </c>
      <c r="B54" s="2621" t="s">
        <v>1242</v>
      </c>
      <c r="C54" s="2622" t="s">
        <v>288</v>
      </c>
      <c r="D54" s="3005"/>
      <c r="E54" s="1644"/>
      <c r="F54" s="1644"/>
      <c r="G54" s="1644"/>
      <c r="H54" s="1644"/>
      <c r="I54" s="1644"/>
      <c r="J54" s="1644"/>
      <c r="K54" s="1644"/>
      <c r="L54" s="1644"/>
      <c r="M54" s="1644"/>
      <c r="N54" s="1644"/>
      <c r="O54" s="1644"/>
      <c r="P54" s="1644"/>
      <c r="Q54" s="1644"/>
      <c r="R54" s="1644"/>
      <c r="S54" s="111"/>
      <c r="T54" s="111"/>
      <c r="U54" s="111"/>
      <c r="V54" s="80"/>
      <c r="W54" s="1116"/>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3" customFormat="1" ht="18" customHeight="1" thickBot="1">
      <c r="A55" s="1404">
        <v>40</v>
      </c>
      <c r="B55" s="2623" t="s">
        <v>1254</v>
      </c>
      <c r="C55" s="2624" t="s">
        <v>288</v>
      </c>
      <c r="D55" s="1101">
        <f>SUM(D43:D54)</f>
        <v>216891.160810976</v>
      </c>
      <c r="E55" s="2616"/>
      <c r="F55" s="2616"/>
      <c r="G55" s="2616"/>
      <c r="H55" s="2616"/>
      <c r="I55" s="2616"/>
      <c r="J55" s="2616"/>
      <c r="K55" s="2616"/>
      <c r="L55" s="2616"/>
      <c r="M55" s="2616"/>
      <c r="N55" s="2616"/>
      <c r="O55" s="2616"/>
      <c r="P55" s="2616"/>
      <c r="Q55" s="2616"/>
      <c r="R55" s="2616"/>
      <c r="S55" s="1102"/>
      <c r="T55" s="1102"/>
      <c r="U55" s="1102"/>
      <c r="V55" s="373"/>
      <c r="W55" s="1915"/>
      <c r="X55" s="373"/>
      <c r="Y55" s="1102"/>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4"/>
      <c r="S56" s="111"/>
      <c r="T56" s="111"/>
      <c r="U56" s="111"/>
      <c r="V56" s="80"/>
      <c r="W56" s="1116"/>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18011.933909250893</v>
      </c>
      <c r="F57" s="111">
        <f t="shared" si="12"/>
        <v>18400.246342926086</v>
      </c>
      <c r="G57" s="111">
        <f t="shared" si="12"/>
        <v>18052.744234250895</v>
      </c>
      <c r="H57" s="111">
        <f t="shared" si="12"/>
        <v>18014.244234250895</v>
      </c>
      <c r="I57" s="111">
        <f t="shared" si="12"/>
        <v>18553.78735125942</v>
      </c>
      <c r="J57" s="111">
        <f t="shared" si="12"/>
        <v>18313.747946985815</v>
      </c>
      <c r="K57" s="111">
        <f t="shared" si="12"/>
        <v>18229.968375841603</v>
      </c>
      <c r="L57" s="111">
        <f t="shared" si="12"/>
        <v>18741.305338652484</v>
      </c>
      <c r="M57" s="111">
        <f t="shared" si="12"/>
        <v>18262.747946985815</v>
      </c>
      <c r="N57" s="111">
        <f t="shared" si="12"/>
        <v>18230.722954697387</v>
      </c>
      <c r="O57" s="111">
        <f t="shared" si="12"/>
        <v>19338.564175874704</v>
      </c>
      <c r="P57" s="80"/>
      <c r="Q57" s="80"/>
      <c r="R57" s="1083"/>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3"/>
      <c r="S58" s="111"/>
      <c r="T58" s="111">
        <f>+R57</f>
        <v>0</v>
      </c>
      <c r="U58" s="111"/>
      <c r="V58" s="966"/>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4"/>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50</v>
      </c>
      <c r="F60" s="299"/>
      <c r="G60" s="300"/>
      <c r="H60" s="3199" t="str">
        <f>""&amp;(A37+6)&amp;". Extrapolated Scenario"</f>
        <v>33. Extrapolated Scenario</v>
      </c>
      <c r="I60" s="3200"/>
      <c r="J60" s="3200"/>
      <c r="K60" s="303">
        <f>SUM(E60+(E62*(12-C5)))</f>
        <v>600</v>
      </c>
      <c r="L60" s="301"/>
      <c r="M60" s="302"/>
      <c r="N60" s="3201"/>
      <c r="O60" s="3194"/>
      <c r="P60" s="3194"/>
      <c r="Q60" s="1085"/>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8">
        <f>VLOOKUP($R$3,AG1:AH12,2,FALSE)</f>
        <v>0</v>
      </c>
      <c r="F61" s="1087"/>
      <c r="G61" s="293"/>
      <c r="H61" s="3202" t="str">
        <f>""&amp;(A37+7)&amp;". Year to Date Trend Scenario"</f>
        <v>34. Year to Date Trend Scenario</v>
      </c>
      <c r="I61" s="3203"/>
      <c r="J61" s="3203"/>
      <c r="K61" s="1088">
        <f>SUM(P37/C5)*12</f>
        <v>600</v>
      </c>
      <c r="L61" s="1089"/>
      <c r="M61" s="294"/>
      <c r="N61" s="3201"/>
      <c r="O61" s="3194"/>
      <c r="P61" s="3194"/>
      <c r="Q61" s="1085"/>
      <c r="R61" s="1084"/>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50</v>
      </c>
      <c r="F62" s="1087"/>
      <c r="G62" s="293"/>
      <c r="H62" s="298"/>
      <c r="I62" s="298"/>
      <c r="J62" s="293"/>
      <c r="K62" s="318"/>
      <c r="L62" s="305"/>
      <c r="M62" s="293"/>
      <c r="N62" s="3193"/>
      <c r="O62" s="3194"/>
      <c r="P62" s="3194"/>
      <c r="Q62" s="1090"/>
      <c r="R62" s="1086"/>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1"/>
      <c r="I63" s="298"/>
      <c r="J63" s="293"/>
      <c r="K63" s="318"/>
      <c r="L63" s="305"/>
      <c r="M63" s="293"/>
      <c r="N63" s="3195"/>
      <c r="O63" s="3196"/>
      <c r="P63" s="3196"/>
      <c r="Q63" s="308"/>
      <c r="R63" s="1086"/>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50</v>
      </c>
      <c r="F64" s="310" t="str">
        <f>IF(E62&lt;E64,"▼",IF(E62&gt;E64,"▲","►"))</f>
        <v>►</v>
      </c>
      <c r="G64" s="293"/>
      <c r="H64" s="3197"/>
      <c r="I64" s="3197"/>
      <c r="J64" s="3197"/>
      <c r="K64" s="311"/>
      <c r="L64" s="311"/>
      <c r="M64" s="293"/>
      <c r="N64" s="312"/>
      <c r="O64" s="80"/>
      <c r="P64" s="80"/>
      <c r="Q64" s="298"/>
      <c r="R64" s="1086"/>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8">
        <f>E60/(12-C5)</f>
        <v>4.5454545454545459</v>
      </c>
      <c r="F65" s="315"/>
      <c r="G65" s="293"/>
      <c r="H65" s="1092"/>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2" t="s">
        <v>1245</v>
      </c>
      <c r="C67" s="80"/>
      <c r="D67" s="80"/>
      <c r="E67" s="80"/>
      <c r="F67" s="80"/>
      <c r="G67" s="293"/>
      <c r="H67" s="1092"/>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3"/>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3"/>
      <c r="D69" s="600" t="s">
        <v>181</v>
      </c>
      <c r="E69" s="601" t="s">
        <v>89</v>
      </c>
      <c r="F69" s="601" t="s">
        <v>90</v>
      </c>
      <c r="G69" s="601" t="s">
        <v>91</v>
      </c>
      <c r="H69" s="601" t="s">
        <v>92</v>
      </c>
      <c r="I69" s="601" t="s">
        <v>93</v>
      </c>
      <c r="J69" s="601" t="s">
        <v>94</v>
      </c>
      <c r="K69" s="601" t="s">
        <v>95</v>
      </c>
      <c r="L69" s="601" t="s">
        <v>96</v>
      </c>
      <c r="M69" s="601" t="s">
        <v>97</v>
      </c>
      <c r="N69" s="601" t="s">
        <v>98</v>
      </c>
      <c r="O69" s="602" t="s">
        <v>99</v>
      </c>
      <c r="P69" s="1059" t="s">
        <v>178</v>
      </c>
      <c r="Q69" s="1059"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2"/>
      <c r="D70" s="603" t="s">
        <v>50</v>
      </c>
      <c r="E70" s="604" t="s">
        <v>50</v>
      </c>
      <c r="F70" s="604" t="s">
        <v>50</v>
      </c>
      <c r="G70" s="604" t="s">
        <v>50</v>
      </c>
      <c r="H70" s="604" t="s">
        <v>50</v>
      </c>
      <c r="I70" s="604" t="s">
        <v>50</v>
      </c>
      <c r="J70" s="604" t="s">
        <v>50</v>
      </c>
      <c r="K70" s="604" t="s">
        <v>50</v>
      </c>
      <c r="L70" s="604" t="s">
        <v>50</v>
      </c>
      <c r="M70" s="604" t="s">
        <v>50</v>
      </c>
      <c r="N70" s="604" t="s">
        <v>50</v>
      </c>
      <c r="O70" s="605" t="s">
        <v>50</v>
      </c>
      <c r="P70" s="1061"/>
      <c r="Q70" s="1061"/>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3" t="s">
        <v>11</v>
      </c>
      <c r="C71" s="1075" t="s">
        <v>289</v>
      </c>
      <c r="D71" s="1135"/>
      <c r="E71" s="1136"/>
      <c r="F71" s="1136"/>
      <c r="G71" s="1136"/>
      <c r="H71" s="1136"/>
      <c r="I71" s="1136"/>
      <c r="J71" s="1136"/>
      <c r="K71" s="1136"/>
      <c r="L71" s="1136"/>
      <c r="M71" s="1136"/>
      <c r="N71" s="1136"/>
      <c r="O71" s="1137"/>
      <c r="P71" s="1094"/>
      <c r="Q71" s="1094"/>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3" customFormat="1" ht="15.5">
      <c r="A72" s="890">
        <v>41</v>
      </c>
      <c r="B72" s="1095" t="s">
        <v>12</v>
      </c>
      <c r="C72" s="1096" t="s">
        <v>288</v>
      </c>
      <c r="D72" s="964">
        <f>283.821</f>
        <v>283.82100000000003</v>
      </c>
      <c r="E72" s="964">
        <f>283.821</f>
        <v>283.82100000000003</v>
      </c>
      <c r="F72" s="964">
        <f t="shared" ref="F72:O72" si="13">283.821</f>
        <v>283.82100000000003</v>
      </c>
      <c r="G72" s="964">
        <f t="shared" si="13"/>
        <v>283.82100000000003</v>
      </c>
      <c r="H72" s="964">
        <f t="shared" si="13"/>
        <v>283.82100000000003</v>
      </c>
      <c r="I72" s="964">
        <f t="shared" si="13"/>
        <v>283.82100000000003</v>
      </c>
      <c r="J72" s="964">
        <f t="shared" si="13"/>
        <v>283.82100000000003</v>
      </c>
      <c r="K72" s="964">
        <f t="shared" si="13"/>
        <v>283.82100000000003</v>
      </c>
      <c r="L72" s="964">
        <f t="shared" si="13"/>
        <v>283.82100000000003</v>
      </c>
      <c r="M72" s="964">
        <f t="shared" si="13"/>
        <v>283.82100000000003</v>
      </c>
      <c r="N72" s="964">
        <f t="shared" si="13"/>
        <v>283.82100000000003</v>
      </c>
      <c r="O72" s="964">
        <f t="shared" si="13"/>
        <v>283.82100000000003</v>
      </c>
      <c r="P72" s="74">
        <f t="shared" ref="P72:P82" si="14">SUMPRODUCT($D$7:$O$7,D72:O72)</f>
        <v>283.82100000000003</v>
      </c>
      <c r="Q72" s="938">
        <f>P72+SUMPRODUCT(1-$D$7:$O$7,D72:O72)</f>
        <v>3405.8519999999994</v>
      </c>
      <c r="R72" s="80"/>
      <c r="S72" s="80"/>
      <c r="T72" s="80"/>
      <c r="U72" s="80"/>
      <c r="V72" s="80"/>
      <c r="W72" s="71"/>
      <c r="X72" s="71"/>
      <c r="Y72" s="71"/>
      <c r="Z72" s="1102"/>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90">
        <f>A72+1</f>
        <v>42</v>
      </c>
      <c r="B73" s="1098" t="s">
        <v>13</v>
      </c>
      <c r="C73" s="93" t="s">
        <v>288</v>
      </c>
      <c r="D73" s="891"/>
      <c r="E73" s="892"/>
      <c r="F73" s="892"/>
      <c r="G73" s="892"/>
      <c r="H73" s="892"/>
      <c r="I73" s="892"/>
      <c r="J73" s="892"/>
      <c r="K73" s="892"/>
      <c r="L73" s="892"/>
      <c r="M73" s="892"/>
      <c r="N73" s="892"/>
      <c r="O73" s="1066"/>
      <c r="P73" s="74">
        <f t="shared" si="14"/>
        <v>0</v>
      </c>
      <c r="Q73" s="1067">
        <f>P73+SUMPRODUCT(1-$D$7:$O$7,D73:O73)</f>
        <v>0</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90">
        <f>A73+1</f>
        <v>43</v>
      </c>
      <c r="B74" s="1098" t="s">
        <v>14</v>
      </c>
      <c r="C74" s="1069" t="s">
        <v>288</v>
      </c>
      <c r="D74" s="1070"/>
      <c r="E74" s="1071"/>
      <c r="F74" s="1071"/>
      <c r="G74" s="1071"/>
      <c r="H74" s="1071"/>
      <c r="I74" s="1071"/>
      <c r="J74" s="1071"/>
      <c r="K74" s="1071"/>
      <c r="L74" s="1071"/>
      <c r="M74" s="1071"/>
      <c r="N74" s="1071"/>
      <c r="O74" s="1072"/>
      <c r="P74" s="1073">
        <f t="shared" si="14"/>
        <v>0</v>
      </c>
      <c r="Q74" s="1067">
        <f t="shared" ref="Q74:Q82" si="15">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90">
        <f>A74+1</f>
        <v>44</v>
      </c>
      <c r="B75" s="1098" t="s">
        <v>15</v>
      </c>
      <c r="C75" s="1069" t="s">
        <v>288</v>
      </c>
      <c r="D75" s="1070"/>
      <c r="E75" s="1071"/>
      <c r="F75" s="1071"/>
      <c r="G75" s="1071"/>
      <c r="H75" s="1071"/>
      <c r="I75" s="1071"/>
      <c r="J75" s="1071"/>
      <c r="K75" s="1071"/>
      <c r="L75" s="1071"/>
      <c r="M75" s="1071"/>
      <c r="N75" s="1071"/>
      <c r="O75" s="1072"/>
      <c r="P75" s="1073">
        <f t="shared" si="14"/>
        <v>0</v>
      </c>
      <c r="Q75" s="1067">
        <f t="shared" si="15"/>
        <v>0</v>
      </c>
      <c r="R75" s="80"/>
      <c r="S75" s="80"/>
      <c r="T75" s="80"/>
      <c r="U75" s="80"/>
      <c r="V75" s="373"/>
      <c r="W75" s="71"/>
      <c r="X75" s="80"/>
      <c r="Y75" s="71"/>
      <c r="Z75" s="783"/>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90">
        <f>A75+1</f>
        <v>45</v>
      </c>
      <c r="B76" s="1106" t="s">
        <v>1226</v>
      </c>
      <c r="C76" s="1069" t="s">
        <v>288</v>
      </c>
      <c r="D76" s="1070"/>
      <c r="E76" s="1071"/>
      <c r="F76" s="1071"/>
      <c r="G76" s="1071"/>
      <c r="H76" s="1071"/>
      <c r="I76" s="1071"/>
      <c r="J76" s="1071"/>
      <c r="K76" s="1071"/>
      <c r="L76" s="1071"/>
      <c r="M76" s="1071"/>
      <c r="N76" s="1071"/>
      <c r="O76" s="1072"/>
      <c r="P76" s="1073">
        <f t="shared" si="14"/>
        <v>0</v>
      </c>
      <c r="Q76" s="1067">
        <f t="shared" si="15"/>
        <v>0</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90">
        <f>A76+1</f>
        <v>46</v>
      </c>
      <c r="B77" s="1099" t="s">
        <v>78</v>
      </c>
      <c r="C77" s="1100" t="s">
        <v>289</v>
      </c>
      <c r="D77" s="1138">
        <f>SUM(D72:D76)</f>
        <v>283.82100000000003</v>
      </c>
      <c r="E77" s="1138">
        <f t="shared" ref="E77:O77" si="16">SUM(E72:E76)</f>
        <v>283.82100000000003</v>
      </c>
      <c r="F77" s="1138">
        <f t="shared" si="16"/>
        <v>283.82100000000003</v>
      </c>
      <c r="G77" s="1138">
        <f t="shared" si="16"/>
        <v>283.82100000000003</v>
      </c>
      <c r="H77" s="1138">
        <f t="shared" si="16"/>
        <v>283.82100000000003</v>
      </c>
      <c r="I77" s="1138">
        <f t="shared" si="16"/>
        <v>283.82100000000003</v>
      </c>
      <c r="J77" s="1138">
        <f t="shared" si="16"/>
        <v>283.82100000000003</v>
      </c>
      <c r="K77" s="1138">
        <f t="shared" si="16"/>
        <v>283.82100000000003</v>
      </c>
      <c r="L77" s="1138">
        <f t="shared" si="16"/>
        <v>283.82100000000003</v>
      </c>
      <c r="M77" s="1138">
        <f t="shared" si="16"/>
        <v>283.82100000000003</v>
      </c>
      <c r="N77" s="1138">
        <f t="shared" si="16"/>
        <v>283.82100000000003</v>
      </c>
      <c r="O77" s="1138">
        <f t="shared" si="16"/>
        <v>283.82100000000003</v>
      </c>
      <c r="P77" s="1101">
        <f t="shared" si="14"/>
        <v>283.82100000000003</v>
      </c>
      <c r="Q77" s="1133">
        <f t="shared" si="15"/>
        <v>3405.8519999999994</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90"/>
      <c r="B78" s="1150" t="s">
        <v>16</v>
      </c>
      <c r="C78" s="1075" t="s">
        <v>289</v>
      </c>
      <c r="D78" s="1135"/>
      <c r="E78" s="1136"/>
      <c r="F78" s="1136"/>
      <c r="G78" s="1136"/>
      <c r="H78" s="1136"/>
      <c r="I78" s="1136"/>
      <c r="J78" s="1136"/>
      <c r="K78" s="1136"/>
      <c r="L78" s="1136"/>
      <c r="M78" s="1136"/>
      <c r="N78" s="1136"/>
      <c r="O78" s="1139"/>
      <c r="P78" s="1094"/>
      <c r="Q78" s="1104"/>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90">
        <f>A77+1</f>
        <v>47</v>
      </c>
      <c r="B79" s="1149" t="s">
        <v>17</v>
      </c>
      <c r="C79" s="82" t="s">
        <v>288</v>
      </c>
      <c r="D79" s="896"/>
      <c r="E79" s="965"/>
      <c r="F79" s="965"/>
      <c r="G79" s="965"/>
      <c r="H79" s="965"/>
      <c r="I79" s="965"/>
      <c r="J79" s="965"/>
      <c r="K79" s="965"/>
      <c r="L79" s="965"/>
      <c r="M79" s="965"/>
      <c r="N79" s="965"/>
      <c r="O79" s="1105"/>
      <c r="P79" s="1081">
        <f t="shared" si="14"/>
        <v>0</v>
      </c>
      <c r="Q79" s="1067">
        <f t="shared" si="15"/>
        <v>0</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90">
        <f>A79+1</f>
        <v>48</v>
      </c>
      <c r="B80" s="1098" t="s">
        <v>1228</v>
      </c>
      <c r="C80" s="1069" t="s">
        <v>288</v>
      </c>
      <c r="D80" s="1070"/>
      <c r="E80" s="1071"/>
      <c r="F80" s="1071"/>
      <c r="G80" s="1071"/>
      <c r="H80" s="1071"/>
      <c r="I80" s="1071"/>
      <c r="J80" s="1071"/>
      <c r="K80" s="1071"/>
      <c r="L80" s="1071"/>
      <c r="M80" s="1071"/>
      <c r="N80" s="1071"/>
      <c r="O80" s="1072"/>
      <c r="P80" s="1073">
        <f t="shared" si="14"/>
        <v>0</v>
      </c>
      <c r="Q80" s="1067">
        <f t="shared" si="15"/>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90">
        <f>A80+1</f>
        <v>49</v>
      </c>
      <c r="B81" s="1106" t="s">
        <v>1227</v>
      </c>
      <c r="C81" s="95" t="s">
        <v>288</v>
      </c>
      <c r="D81" s="1070"/>
      <c r="E81" s="1071"/>
      <c r="F81" s="1071"/>
      <c r="G81" s="1071"/>
      <c r="H81" s="1071"/>
      <c r="I81" s="1071"/>
      <c r="J81" s="1071"/>
      <c r="K81" s="1071"/>
      <c r="L81" s="1071"/>
      <c r="M81" s="1071"/>
      <c r="N81" s="1071"/>
      <c r="O81" s="1072"/>
      <c r="P81" s="1073">
        <f t="shared" si="14"/>
        <v>0</v>
      </c>
      <c r="Q81" s="1067">
        <f t="shared" si="15"/>
        <v>0</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7">
        <f>A81+1</f>
        <v>50</v>
      </c>
      <c r="B82" s="1099" t="s">
        <v>78</v>
      </c>
      <c r="C82" s="1075" t="s">
        <v>289</v>
      </c>
      <c r="D82" s="1138">
        <f>SUM(D79:D81)</f>
        <v>0</v>
      </c>
      <c r="E82" s="1138">
        <f t="shared" ref="E82:O82" si="17">SUM(E79:E81)</f>
        <v>0</v>
      </c>
      <c r="F82" s="1138">
        <f t="shared" si="17"/>
        <v>0</v>
      </c>
      <c r="G82" s="1138">
        <f t="shared" si="17"/>
        <v>0</v>
      </c>
      <c r="H82" s="1138">
        <f t="shared" si="17"/>
        <v>0</v>
      </c>
      <c r="I82" s="1138">
        <f t="shared" si="17"/>
        <v>0</v>
      </c>
      <c r="J82" s="1138">
        <f t="shared" si="17"/>
        <v>0</v>
      </c>
      <c r="K82" s="1138">
        <f t="shared" si="17"/>
        <v>0</v>
      </c>
      <c r="L82" s="1138">
        <f t="shared" si="17"/>
        <v>0</v>
      </c>
      <c r="M82" s="1138">
        <f t="shared" si="17"/>
        <v>0</v>
      </c>
      <c r="N82" s="1138">
        <f t="shared" si="17"/>
        <v>0</v>
      </c>
      <c r="O82" s="1138">
        <f t="shared" si="17"/>
        <v>0</v>
      </c>
      <c r="P82" s="1101">
        <f t="shared" si="14"/>
        <v>0</v>
      </c>
      <c r="Q82" s="1133">
        <f t="shared" si="15"/>
        <v>0</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2"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1"/>
      <c r="D86" s="1538">
        <v>1</v>
      </c>
      <c r="E86" s="1524">
        <v>2</v>
      </c>
      <c r="F86" s="1210">
        <v>3</v>
      </c>
      <c r="G86" s="1524">
        <v>4</v>
      </c>
      <c r="H86" s="1210">
        <v>5</v>
      </c>
      <c r="I86" s="1524">
        <v>6</v>
      </c>
      <c r="J86" s="1539">
        <v>7</v>
      </c>
      <c r="K86" s="1524">
        <v>8</v>
      </c>
      <c r="L86" s="1524">
        <v>9</v>
      </c>
      <c r="M86" s="1524">
        <v>10</v>
      </c>
      <c r="N86" s="1524">
        <v>11</v>
      </c>
      <c r="O86" s="1525">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1"/>
      <c r="D87" s="1540" t="s">
        <v>181</v>
      </c>
      <c r="E87" s="1537" t="s">
        <v>89</v>
      </c>
      <c r="F87" s="1535" t="s">
        <v>90</v>
      </c>
      <c r="G87" s="1537" t="s">
        <v>91</v>
      </c>
      <c r="H87" s="1535" t="s">
        <v>92</v>
      </c>
      <c r="I87" s="1537" t="s">
        <v>93</v>
      </c>
      <c r="J87" s="1536" t="s">
        <v>94</v>
      </c>
      <c r="K87" s="1537" t="s">
        <v>95</v>
      </c>
      <c r="L87" s="1537" t="s">
        <v>96</v>
      </c>
      <c r="M87" s="1537" t="s">
        <v>97</v>
      </c>
      <c r="N87" s="1537" t="s">
        <v>98</v>
      </c>
      <c r="O87" s="1534" t="s">
        <v>99</v>
      </c>
      <c r="P87" s="1532" t="s">
        <v>178</v>
      </c>
      <c r="Q87" s="1059"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60"/>
      <c r="D88" s="1526" t="s">
        <v>50</v>
      </c>
      <c r="E88" s="1527" t="s">
        <v>50</v>
      </c>
      <c r="F88" s="1530" t="s">
        <v>50</v>
      </c>
      <c r="G88" s="1527" t="s">
        <v>50</v>
      </c>
      <c r="H88" s="1530" t="s">
        <v>50</v>
      </c>
      <c r="I88" s="1527" t="s">
        <v>50</v>
      </c>
      <c r="J88" s="1529" t="s">
        <v>50</v>
      </c>
      <c r="K88" s="1527" t="s">
        <v>50</v>
      </c>
      <c r="L88" s="1527" t="s">
        <v>50</v>
      </c>
      <c r="M88" s="1527" t="s">
        <v>50</v>
      </c>
      <c r="N88" s="1527" t="s">
        <v>50</v>
      </c>
      <c r="O88" s="1528" t="s">
        <v>50</v>
      </c>
      <c r="P88" s="1533"/>
      <c r="Q88" s="1061"/>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8" t="s">
        <v>342</v>
      </c>
      <c r="C89" s="1109" t="s">
        <v>288</v>
      </c>
      <c r="D89" s="1577">
        <f>SUMIFS('Table C4 Tracker'!AI$43:AI$1496,'Table C4 Tracker'!$O$43:$O$1496, "&lt;&gt;Red",'Table C4 Tracker'!$R$43:$R$1496,'Table C4 Tracker'!$CQ$3)</f>
        <v>0</v>
      </c>
      <c r="E89" s="1577">
        <f>SUMIFS('Table C4 Tracker'!AJ$43:AJ$1496,'Table C4 Tracker'!$O$43:$O$1496, "&lt;&gt;Red",'Table C4 Tracker'!$R$43:$R$1496,'Table C4 Tracker'!$CQ$3)</f>
        <v>0</v>
      </c>
      <c r="F89" s="1577">
        <f>SUMIFS('Table C4 Tracker'!AK$43:AK$1496,'Table C4 Tracker'!$O$43:$O$1496, "&lt;&gt;Red",'Table C4 Tracker'!$R$43:$R$1496,'Table C4 Tracker'!$CQ$3)</f>
        <v>0</v>
      </c>
      <c r="G89" s="1577">
        <f>SUMIFS('Table C4 Tracker'!AL$43:AL$1496,'Table C4 Tracker'!$O$43:$O$1496, "&lt;&gt;Red",'Table C4 Tracker'!$R$43:$R$1496,'Table C4 Tracker'!$CQ$3)</f>
        <v>0</v>
      </c>
      <c r="H89" s="1578">
        <f>SUMIFS('Table C4 Tracker'!AM$43:AM$1496,'Table C4 Tracker'!$O$43:$O$1496, "&lt;&gt;Red",'Table C4 Tracker'!$R$43:$R$1496,'Table C4 Tracker'!$CQ$3)</f>
        <v>0</v>
      </c>
      <c r="I89" s="1577">
        <f>SUMIFS('Table C4 Tracker'!AN$43:AN$1496,'Table C4 Tracker'!$O$43:$O$1496, "&lt;&gt;Red",'Table C4 Tracker'!$R$43:$R$1496,'Table C4 Tracker'!$CQ$3)</f>
        <v>0</v>
      </c>
      <c r="J89" s="1579">
        <f>SUMIFS('Table C4 Tracker'!AO$43:AO$1496,'Table C4 Tracker'!$O$43:$O$1496, "&lt;&gt;Red",'Table C4 Tracker'!$R$43:$R$1496,'Table C4 Tracker'!$CQ$3)</f>
        <v>0</v>
      </c>
      <c r="K89" s="1577">
        <f>SUMIFS('Table C4 Tracker'!AP$43:AP$1496,'Table C4 Tracker'!$O$43:$O$1496, "&lt;&gt;Red",'Table C4 Tracker'!$R$43:$R$1496,'Table C4 Tracker'!$CQ$3)</f>
        <v>0</v>
      </c>
      <c r="L89" s="1577">
        <f>SUMIFS('Table C4 Tracker'!AQ$43:AQ$1496,'Table C4 Tracker'!$O$43:$O$1496, "&lt;&gt;Red",'Table C4 Tracker'!$R$43:$R$1496,'Table C4 Tracker'!$CQ$3)</f>
        <v>0</v>
      </c>
      <c r="M89" s="1577">
        <f>SUMIFS('Table C4 Tracker'!AR$43:AR$1496,'Table C4 Tracker'!$O$43:$O$1496, "&lt;&gt;Red",'Table C4 Tracker'!$R$43:$R$1496,'Table C4 Tracker'!$CQ$3)</f>
        <v>0</v>
      </c>
      <c r="N89" s="1577">
        <f>SUMIFS('Table C4 Tracker'!AS$43:AS$1496,'Table C4 Tracker'!$O$43:$O$1496, "&lt;&gt;Red",'Table C4 Tracker'!$R$43:$R$1496,'Table C4 Tracker'!$CQ$3)</f>
        <v>0</v>
      </c>
      <c r="O89" s="1577">
        <f>SUMIFS('Table C4 Tracker'!AT$43:AT$1496,'Table C4 Tracker'!$O$43:$O$1496, "&lt;&gt;Red",'Table C4 Tracker'!$R$43:$R$1496,'Table C4 Tracker'!$CQ$3)</f>
        <v>0</v>
      </c>
      <c r="P89" s="1101">
        <f>SUMPRODUCT($D$7:$O$7,D89:O89)</f>
        <v>0</v>
      </c>
      <c r="Q89" s="1133">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2"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1"/>
      <c r="D93" s="1538">
        <v>1</v>
      </c>
      <c r="E93" s="1524">
        <v>2</v>
      </c>
      <c r="F93" s="1210">
        <v>3</v>
      </c>
      <c r="G93" s="1524">
        <v>4</v>
      </c>
      <c r="H93" s="1210">
        <v>5</v>
      </c>
      <c r="I93" s="1524">
        <v>6</v>
      </c>
      <c r="J93" s="1539">
        <v>7</v>
      </c>
      <c r="K93" s="1524">
        <v>8</v>
      </c>
      <c r="L93" s="1524">
        <v>9</v>
      </c>
      <c r="M93" s="1524">
        <v>10</v>
      </c>
      <c r="N93" s="1524">
        <v>11</v>
      </c>
      <c r="O93" s="1525">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1"/>
      <c r="D94" s="1540" t="s">
        <v>181</v>
      </c>
      <c r="E94" s="1537" t="s">
        <v>89</v>
      </c>
      <c r="F94" s="1535" t="s">
        <v>90</v>
      </c>
      <c r="G94" s="1537" t="s">
        <v>91</v>
      </c>
      <c r="H94" s="1535" t="s">
        <v>92</v>
      </c>
      <c r="I94" s="1537" t="s">
        <v>93</v>
      </c>
      <c r="J94" s="1536" t="s">
        <v>94</v>
      </c>
      <c r="K94" s="1537" t="s">
        <v>95</v>
      </c>
      <c r="L94" s="1537" t="s">
        <v>96</v>
      </c>
      <c r="M94" s="1537" t="s">
        <v>97</v>
      </c>
      <c r="N94" s="1537" t="s">
        <v>98</v>
      </c>
      <c r="O94" s="1534" t="s">
        <v>99</v>
      </c>
      <c r="P94" s="1532" t="s">
        <v>178</v>
      </c>
      <c r="Q94" s="1059"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60"/>
      <c r="D95" s="1526" t="s">
        <v>50</v>
      </c>
      <c r="E95" s="1527" t="s">
        <v>50</v>
      </c>
      <c r="F95" s="1530" t="s">
        <v>50</v>
      </c>
      <c r="G95" s="1527" t="s">
        <v>50</v>
      </c>
      <c r="H95" s="1530" t="s">
        <v>50</v>
      </c>
      <c r="I95" s="1527" t="s">
        <v>50</v>
      </c>
      <c r="J95" s="1529" t="s">
        <v>50</v>
      </c>
      <c r="K95" s="1527" t="s">
        <v>50</v>
      </c>
      <c r="L95" s="1527" t="s">
        <v>50</v>
      </c>
      <c r="M95" s="1527" t="s">
        <v>50</v>
      </c>
      <c r="N95" s="1527" t="s">
        <v>50</v>
      </c>
      <c r="O95" s="1528" t="s">
        <v>50</v>
      </c>
      <c r="P95" s="1533"/>
      <c r="Q95" s="1061"/>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2" t="s">
        <v>1393</v>
      </c>
      <c r="C96" s="1109" t="s">
        <v>288</v>
      </c>
      <c r="D96" s="3003">
        <v>75</v>
      </c>
      <c r="E96" s="2502">
        <v>18</v>
      </c>
      <c r="F96" s="2502">
        <v>18</v>
      </c>
      <c r="G96" s="2502">
        <v>18</v>
      </c>
      <c r="H96" s="2502">
        <v>18</v>
      </c>
      <c r="I96" s="2502">
        <v>18</v>
      </c>
      <c r="J96" s="2502">
        <v>18</v>
      </c>
      <c r="K96" s="2502">
        <v>18</v>
      </c>
      <c r="L96" s="2502">
        <v>18</v>
      </c>
      <c r="M96" s="2502">
        <v>18</v>
      </c>
      <c r="N96" s="2502">
        <v>18</v>
      </c>
      <c r="O96" s="2502">
        <v>18</v>
      </c>
      <c r="P96" s="1101">
        <f>SUMPRODUCT($D$7:$O$7,D96:O96)</f>
        <v>75</v>
      </c>
      <c r="Q96" s="1133">
        <f>P96+SUMPRODUCT(1-$D$7:$O$7,D96:O96)</f>
        <v>273</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2" t="s">
        <v>1395</v>
      </c>
      <c r="C100" s="80"/>
      <c r="D100" s="80"/>
      <c r="E100" s="80"/>
      <c r="F100" s="80"/>
      <c r="G100" s="293"/>
      <c r="H100" s="1092"/>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3"/>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3"/>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9" t="s">
        <v>178</v>
      </c>
      <c r="Q102" s="1059"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2"/>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1"/>
      <c r="Q103" s="1061"/>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3" t="s">
        <v>518</v>
      </c>
      <c r="C104" s="1075"/>
      <c r="D104" s="1135"/>
      <c r="E104" s="1136"/>
      <c r="F104" s="1136"/>
      <c r="G104" s="1136"/>
      <c r="H104" s="1136"/>
      <c r="I104" s="1136"/>
      <c r="J104" s="1136"/>
      <c r="K104" s="1136"/>
      <c r="L104" s="1136"/>
      <c r="M104" s="1136"/>
      <c r="N104" s="1136"/>
      <c r="O104" s="1137"/>
      <c r="P104" s="1094"/>
      <c r="Q104" s="1094"/>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90">
        <f>A96+1</f>
        <v>53</v>
      </c>
      <c r="B105" s="1192"/>
      <c r="C105" s="1096" t="s">
        <v>563</v>
      </c>
      <c r="D105" s="893"/>
      <c r="E105" s="964"/>
      <c r="F105" s="964"/>
      <c r="G105" s="964"/>
      <c r="H105" s="964"/>
      <c r="I105" s="964"/>
      <c r="J105" s="964"/>
      <c r="K105" s="964"/>
      <c r="L105" s="964"/>
      <c r="M105" s="964"/>
      <c r="N105" s="964"/>
      <c r="O105" s="1097"/>
      <c r="P105" s="74">
        <f>SUMPRODUCT($D$7:$O$7,D105:O105)</f>
        <v>0</v>
      </c>
      <c r="Q105" s="938">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90">
        <f>A105+1</f>
        <v>54</v>
      </c>
      <c r="B106" s="1193"/>
      <c r="C106" s="1096" t="s">
        <v>563</v>
      </c>
      <c r="D106" s="891"/>
      <c r="E106" s="892"/>
      <c r="F106" s="892"/>
      <c r="G106" s="892"/>
      <c r="H106" s="892"/>
      <c r="I106" s="892"/>
      <c r="J106" s="892"/>
      <c r="K106" s="892"/>
      <c r="L106" s="892"/>
      <c r="M106" s="892"/>
      <c r="N106" s="892"/>
      <c r="O106" s="1066"/>
      <c r="P106" s="74">
        <f t="shared" ref="P106:P111" si="18">SUMPRODUCT($D$7:$O$7,D106:O106)</f>
        <v>0</v>
      </c>
      <c r="Q106" s="1067">
        <f t="shared" ref="Q106:Q111" si="19">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90">
        <f t="shared" ref="A107:A133" si="20">A106+1</f>
        <v>55</v>
      </c>
      <c r="B107" s="1193"/>
      <c r="C107" s="1096" t="s">
        <v>563</v>
      </c>
      <c r="D107" s="891"/>
      <c r="E107" s="892"/>
      <c r="F107" s="892"/>
      <c r="G107" s="892"/>
      <c r="H107" s="892"/>
      <c r="I107" s="892"/>
      <c r="J107" s="892"/>
      <c r="K107" s="892"/>
      <c r="L107" s="892"/>
      <c r="M107" s="892"/>
      <c r="N107" s="892"/>
      <c r="O107" s="1066"/>
      <c r="P107" s="74">
        <f t="shared" si="18"/>
        <v>0</v>
      </c>
      <c r="Q107" s="1067">
        <f t="shared" si="19"/>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90">
        <f t="shared" si="20"/>
        <v>56</v>
      </c>
      <c r="B108" s="1193"/>
      <c r="C108" s="1096" t="s">
        <v>563</v>
      </c>
      <c r="D108" s="891"/>
      <c r="E108" s="892"/>
      <c r="F108" s="892"/>
      <c r="G108" s="892"/>
      <c r="H108" s="892"/>
      <c r="I108" s="892"/>
      <c r="J108" s="892"/>
      <c r="K108" s="892"/>
      <c r="L108" s="892"/>
      <c r="M108" s="892"/>
      <c r="N108" s="892"/>
      <c r="O108" s="1066"/>
      <c r="P108" s="74">
        <f t="shared" si="18"/>
        <v>0</v>
      </c>
      <c r="Q108" s="1067">
        <f t="shared" si="19"/>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90">
        <f t="shared" si="20"/>
        <v>57</v>
      </c>
      <c r="B109" s="1193"/>
      <c r="C109" s="1096" t="s">
        <v>563</v>
      </c>
      <c r="D109" s="891"/>
      <c r="E109" s="892"/>
      <c r="F109" s="892"/>
      <c r="G109" s="892"/>
      <c r="H109" s="892"/>
      <c r="I109" s="892"/>
      <c r="J109" s="892"/>
      <c r="K109" s="892"/>
      <c r="L109" s="892"/>
      <c r="M109" s="892"/>
      <c r="N109" s="892"/>
      <c r="O109" s="1066"/>
      <c r="P109" s="74">
        <f t="shared" si="18"/>
        <v>0</v>
      </c>
      <c r="Q109" s="1067">
        <f t="shared" si="19"/>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90">
        <f t="shared" si="20"/>
        <v>58</v>
      </c>
      <c r="B110" s="1193"/>
      <c r="C110" s="1096" t="s">
        <v>563</v>
      </c>
      <c r="D110" s="891"/>
      <c r="E110" s="892"/>
      <c r="F110" s="892"/>
      <c r="G110" s="892"/>
      <c r="H110" s="892"/>
      <c r="I110" s="892"/>
      <c r="J110" s="892"/>
      <c r="K110" s="892"/>
      <c r="L110" s="892"/>
      <c r="M110" s="892"/>
      <c r="N110" s="892"/>
      <c r="O110" s="1066"/>
      <c r="P110" s="74">
        <f t="shared" si="18"/>
        <v>0</v>
      </c>
      <c r="Q110" s="1067">
        <f t="shared" si="19"/>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90">
        <f t="shared" si="20"/>
        <v>59</v>
      </c>
      <c r="B111" s="1193"/>
      <c r="C111" s="1096" t="s">
        <v>563</v>
      </c>
      <c r="D111" s="891"/>
      <c r="E111" s="892"/>
      <c r="F111" s="892"/>
      <c r="G111" s="892"/>
      <c r="H111" s="892"/>
      <c r="I111" s="892"/>
      <c r="J111" s="892"/>
      <c r="K111" s="892"/>
      <c r="L111" s="892"/>
      <c r="M111" s="892"/>
      <c r="N111" s="892"/>
      <c r="O111" s="1066"/>
      <c r="P111" s="74">
        <f t="shared" si="18"/>
        <v>0</v>
      </c>
      <c r="Q111" s="1067">
        <f t="shared" si="19"/>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90">
        <f t="shared" si="20"/>
        <v>60</v>
      </c>
      <c r="B112" s="1193"/>
      <c r="C112" s="1096" t="s">
        <v>563</v>
      </c>
      <c r="D112" s="891"/>
      <c r="E112" s="892"/>
      <c r="F112" s="892"/>
      <c r="G112" s="892"/>
      <c r="H112" s="892"/>
      <c r="I112" s="892"/>
      <c r="J112" s="892"/>
      <c r="K112" s="892"/>
      <c r="L112" s="892"/>
      <c r="M112" s="892"/>
      <c r="N112" s="892"/>
      <c r="O112" s="1066"/>
      <c r="P112" s="74">
        <f t="shared" ref="P112:P117" si="21">SUMPRODUCT($D$7:$O$7,D112:O112)</f>
        <v>0</v>
      </c>
      <c r="Q112" s="1067">
        <f t="shared" ref="Q112:Q117" si="22">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90">
        <f t="shared" si="20"/>
        <v>61</v>
      </c>
      <c r="B113" s="1193"/>
      <c r="C113" s="1096" t="s">
        <v>563</v>
      </c>
      <c r="D113" s="1070"/>
      <c r="E113" s="1189"/>
      <c r="F113" s="1189"/>
      <c r="G113" s="1189"/>
      <c r="H113" s="1189"/>
      <c r="I113" s="1189"/>
      <c r="J113" s="1189"/>
      <c r="K113" s="1189"/>
      <c r="L113" s="1189"/>
      <c r="M113" s="1189"/>
      <c r="N113" s="1189"/>
      <c r="O113" s="1190"/>
      <c r="P113" s="1073">
        <f t="shared" si="21"/>
        <v>0</v>
      </c>
      <c r="Q113" s="1067">
        <f t="shared" si="22"/>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90">
        <f t="shared" si="20"/>
        <v>62</v>
      </c>
      <c r="B114" s="1193"/>
      <c r="C114" s="1096" t="s">
        <v>563</v>
      </c>
      <c r="D114" s="1070"/>
      <c r="E114" s="1189"/>
      <c r="F114" s="1189"/>
      <c r="G114" s="1189"/>
      <c r="H114" s="1189"/>
      <c r="I114" s="1189"/>
      <c r="J114" s="1189"/>
      <c r="K114" s="1189"/>
      <c r="L114" s="1189"/>
      <c r="M114" s="1189"/>
      <c r="N114" s="1189"/>
      <c r="O114" s="1190"/>
      <c r="P114" s="1073">
        <f t="shared" si="21"/>
        <v>0</v>
      </c>
      <c r="Q114" s="1067">
        <f t="shared" si="22"/>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90">
        <f t="shared" si="20"/>
        <v>63</v>
      </c>
      <c r="B115" s="1193"/>
      <c r="C115" s="1096" t="s">
        <v>563</v>
      </c>
      <c r="D115" s="891"/>
      <c r="E115" s="892"/>
      <c r="F115" s="892"/>
      <c r="G115" s="892"/>
      <c r="H115" s="892"/>
      <c r="I115" s="892"/>
      <c r="J115" s="892"/>
      <c r="K115" s="892"/>
      <c r="L115" s="892"/>
      <c r="M115" s="892"/>
      <c r="N115" s="892"/>
      <c r="O115" s="1066"/>
      <c r="P115" s="74">
        <f t="shared" si="21"/>
        <v>0</v>
      </c>
      <c r="Q115" s="1067">
        <f t="shared" si="22"/>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90">
        <f t="shared" si="20"/>
        <v>64</v>
      </c>
      <c r="B116" s="1193"/>
      <c r="C116" s="1096" t="s">
        <v>563</v>
      </c>
      <c r="D116" s="1070"/>
      <c r="E116" s="1189"/>
      <c r="F116" s="1189"/>
      <c r="G116" s="1189"/>
      <c r="H116" s="1189"/>
      <c r="I116" s="1189"/>
      <c r="J116" s="1189"/>
      <c r="K116" s="1189"/>
      <c r="L116" s="1189"/>
      <c r="M116" s="1189"/>
      <c r="N116" s="1189"/>
      <c r="O116" s="1190"/>
      <c r="P116" s="1073">
        <f t="shared" si="21"/>
        <v>0</v>
      </c>
      <c r="Q116" s="1067">
        <f t="shared" si="22"/>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90">
        <f t="shared" si="20"/>
        <v>65</v>
      </c>
      <c r="B117" s="1193"/>
      <c r="C117" s="1096" t="s">
        <v>563</v>
      </c>
      <c r="D117" s="1070"/>
      <c r="E117" s="1189"/>
      <c r="F117" s="1189"/>
      <c r="G117" s="1189"/>
      <c r="H117" s="1189"/>
      <c r="I117" s="1189"/>
      <c r="J117" s="1189"/>
      <c r="K117" s="1189"/>
      <c r="L117" s="1189"/>
      <c r="M117" s="1189"/>
      <c r="N117" s="1189"/>
      <c r="O117" s="1190"/>
      <c r="P117" s="1073">
        <f t="shared" si="21"/>
        <v>0</v>
      </c>
      <c r="Q117" s="1067">
        <f t="shared" si="22"/>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90">
        <f t="shared" si="20"/>
        <v>66</v>
      </c>
      <c r="B118" s="1193"/>
      <c r="C118" s="1096" t="s">
        <v>563</v>
      </c>
      <c r="D118" s="1070"/>
      <c r="E118" s="1189"/>
      <c r="F118" s="1189"/>
      <c r="G118" s="1189"/>
      <c r="H118" s="1189"/>
      <c r="I118" s="1189"/>
      <c r="J118" s="1189"/>
      <c r="K118" s="1189"/>
      <c r="L118" s="1189"/>
      <c r="M118" s="1189"/>
      <c r="N118" s="1189"/>
      <c r="O118" s="1190"/>
      <c r="P118" s="1073">
        <f t="shared" ref="P118:P131" si="23">SUMPRODUCT($D$7:$O$7,D118:O118)</f>
        <v>0</v>
      </c>
      <c r="Q118" s="1067">
        <f t="shared" ref="Q118:Q131" si="24">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90">
        <f t="shared" si="20"/>
        <v>67</v>
      </c>
      <c r="B119" s="1193"/>
      <c r="C119" s="1096" t="s">
        <v>563</v>
      </c>
      <c r="D119" s="1070"/>
      <c r="E119" s="1189"/>
      <c r="F119" s="1189"/>
      <c r="G119" s="1189"/>
      <c r="H119" s="1189"/>
      <c r="I119" s="1189"/>
      <c r="J119" s="1189"/>
      <c r="K119" s="1189"/>
      <c r="L119" s="1189"/>
      <c r="M119" s="1189"/>
      <c r="N119" s="1189"/>
      <c r="O119" s="1190"/>
      <c r="P119" s="1073">
        <f t="shared" si="23"/>
        <v>0</v>
      </c>
      <c r="Q119" s="1067">
        <f t="shared" si="24"/>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90">
        <f t="shared" si="20"/>
        <v>68</v>
      </c>
      <c r="B120" s="1193"/>
      <c r="C120" s="1096" t="s">
        <v>563</v>
      </c>
      <c r="D120" s="1070"/>
      <c r="E120" s="1189"/>
      <c r="F120" s="1189"/>
      <c r="G120" s="1189"/>
      <c r="H120" s="1189"/>
      <c r="I120" s="1189"/>
      <c r="J120" s="1189"/>
      <c r="K120" s="1189"/>
      <c r="L120" s="1189"/>
      <c r="M120" s="1189"/>
      <c r="N120" s="1189"/>
      <c r="O120" s="1190"/>
      <c r="P120" s="1073">
        <f t="shared" si="23"/>
        <v>0</v>
      </c>
      <c r="Q120" s="1067">
        <f t="shared" si="24"/>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90">
        <f t="shared" si="20"/>
        <v>69</v>
      </c>
      <c r="B121" s="1193"/>
      <c r="C121" s="1096" t="s">
        <v>563</v>
      </c>
      <c r="D121" s="1070"/>
      <c r="E121" s="1189"/>
      <c r="F121" s="1189"/>
      <c r="G121" s="1189"/>
      <c r="H121" s="1189"/>
      <c r="I121" s="1189"/>
      <c r="J121" s="1189"/>
      <c r="K121" s="1189"/>
      <c r="L121" s="1189"/>
      <c r="M121" s="1189"/>
      <c r="N121" s="1189"/>
      <c r="O121" s="1190"/>
      <c r="P121" s="1073">
        <f t="shared" si="23"/>
        <v>0</v>
      </c>
      <c r="Q121" s="1067">
        <f t="shared" si="24"/>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90">
        <f t="shared" si="20"/>
        <v>70</v>
      </c>
      <c r="B122" s="1193"/>
      <c r="C122" s="1096" t="s">
        <v>563</v>
      </c>
      <c r="D122" s="1070"/>
      <c r="E122" s="1189"/>
      <c r="F122" s="1189"/>
      <c r="G122" s="1189"/>
      <c r="H122" s="1189"/>
      <c r="I122" s="1189"/>
      <c r="J122" s="1189"/>
      <c r="K122" s="1189"/>
      <c r="L122" s="1189"/>
      <c r="M122" s="1189"/>
      <c r="N122" s="1189"/>
      <c r="O122" s="1190"/>
      <c r="P122" s="1073">
        <f t="shared" si="23"/>
        <v>0</v>
      </c>
      <c r="Q122" s="1067">
        <f t="shared" si="24"/>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90">
        <f t="shared" si="20"/>
        <v>71</v>
      </c>
      <c r="B123" s="1193"/>
      <c r="C123" s="1096" t="s">
        <v>563</v>
      </c>
      <c r="D123" s="1070"/>
      <c r="E123" s="1189"/>
      <c r="F123" s="1189"/>
      <c r="G123" s="1189"/>
      <c r="H123" s="1189"/>
      <c r="I123" s="1189"/>
      <c r="J123" s="1189"/>
      <c r="K123" s="1189"/>
      <c r="L123" s="1189"/>
      <c r="M123" s="1189"/>
      <c r="N123" s="1189"/>
      <c r="O123" s="1190"/>
      <c r="P123" s="1073">
        <f t="shared" si="23"/>
        <v>0</v>
      </c>
      <c r="Q123" s="1067">
        <f t="shared" si="24"/>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90">
        <f t="shared" si="20"/>
        <v>72</v>
      </c>
      <c r="B124" s="1193"/>
      <c r="C124" s="1096" t="s">
        <v>563</v>
      </c>
      <c r="D124" s="1070"/>
      <c r="E124" s="1189"/>
      <c r="F124" s="1189"/>
      <c r="G124" s="1189"/>
      <c r="H124" s="1189"/>
      <c r="I124" s="1189"/>
      <c r="J124" s="1189"/>
      <c r="K124" s="1189"/>
      <c r="L124" s="1189"/>
      <c r="M124" s="1189"/>
      <c r="N124" s="1189"/>
      <c r="O124" s="1190"/>
      <c r="P124" s="1073">
        <f t="shared" si="23"/>
        <v>0</v>
      </c>
      <c r="Q124" s="1067">
        <f t="shared" si="24"/>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90">
        <f t="shared" si="20"/>
        <v>73</v>
      </c>
      <c r="B125" s="1193"/>
      <c r="C125" s="1096" t="s">
        <v>563</v>
      </c>
      <c r="D125" s="1070"/>
      <c r="E125" s="1189"/>
      <c r="F125" s="1189"/>
      <c r="G125" s="1189"/>
      <c r="H125" s="1189"/>
      <c r="I125" s="1189"/>
      <c r="J125" s="1189"/>
      <c r="K125" s="1189"/>
      <c r="L125" s="1189"/>
      <c r="M125" s="1189"/>
      <c r="N125" s="1189"/>
      <c r="O125" s="1190"/>
      <c r="P125" s="1073">
        <f t="shared" si="23"/>
        <v>0</v>
      </c>
      <c r="Q125" s="1067">
        <f t="shared" si="24"/>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90">
        <f t="shared" si="20"/>
        <v>74</v>
      </c>
      <c r="B126" s="1193"/>
      <c r="C126" s="1096" t="s">
        <v>563</v>
      </c>
      <c r="D126" s="1070"/>
      <c r="E126" s="1189"/>
      <c r="F126" s="1189"/>
      <c r="G126" s="1189"/>
      <c r="H126" s="1189"/>
      <c r="I126" s="1189"/>
      <c r="J126" s="1189"/>
      <c r="K126" s="1189"/>
      <c r="L126" s="1189"/>
      <c r="M126" s="1189"/>
      <c r="N126" s="1189"/>
      <c r="O126" s="1190"/>
      <c r="P126" s="1073">
        <f t="shared" si="23"/>
        <v>0</v>
      </c>
      <c r="Q126" s="1067">
        <f t="shared" si="24"/>
        <v>0</v>
      </c>
      <c r="R126" s="80"/>
      <c r="S126" s="80"/>
      <c r="T126" s="80"/>
      <c r="U126" s="80"/>
      <c r="V126" s="80"/>
      <c r="W126" s="71"/>
      <c r="X126" s="895"/>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90">
        <f t="shared" si="20"/>
        <v>75</v>
      </c>
      <c r="B127" s="1193"/>
      <c r="C127" s="1096" t="s">
        <v>563</v>
      </c>
      <c r="D127" s="1070"/>
      <c r="E127" s="1189"/>
      <c r="F127" s="1189"/>
      <c r="G127" s="1189"/>
      <c r="H127" s="1189"/>
      <c r="I127" s="1189"/>
      <c r="J127" s="1189"/>
      <c r="K127" s="1189"/>
      <c r="L127" s="1189"/>
      <c r="M127" s="1189"/>
      <c r="N127" s="1189"/>
      <c r="O127" s="1190"/>
      <c r="P127" s="1073">
        <f t="shared" si="23"/>
        <v>0</v>
      </c>
      <c r="Q127" s="1067">
        <f t="shared" si="24"/>
        <v>0</v>
      </c>
      <c r="R127" s="80"/>
      <c r="S127" s="80"/>
      <c r="T127" s="80"/>
      <c r="U127" s="80"/>
      <c r="V127" s="80"/>
      <c r="W127" s="71"/>
      <c r="X127" s="895"/>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90">
        <f t="shared" si="20"/>
        <v>76</v>
      </c>
      <c r="B128" s="1193"/>
      <c r="C128" s="1096" t="s">
        <v>563</v>
      </c>
      <c r="D128" s="1070"/>
      <c r="E128" s="1189"/>
      <c r="F128" s="1189"/>
      <c r="G128" s="1189"/>
      <c r="H128" s="1189"/>
      <c r="I128" s="1189"/>
      <c r="J128" s="1189"/>
      <c r="K128" s="1189"/>
      <c r="L128" s="1189"/>
      <c r="M128" s="1189"/>
      <c r="N128" s="1189"/>
      <c r="O128" s="1190"/>
      <c r="P128" s="1073">
        <f t="shared" si="23"/>
        <v>0</v>
      </c>
      <c r="Q128" s="1067">
        <f t="shared" si="24"/>
        <v>0</v>
      </c>
      <c r="R128" s="80"/>
      <c r="S128" s="80"/>
      <c r="T128" s="80"/>
      <c r="U128" s="80"/>
      <c r="V128" s="80"/>
      <c r="W128" s="71"/>
      <c r="X128" s="895"/>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90">
        <f t="shared" si="20"/>
        <v>77</v>
      </c>
      <c r="B129" s="1193"/>
      <c r="C129" s="1096" t="s">
        <v>563</v>
      </c>
      <c r="D129" s="1070"/>
      <c r="E129" s="1189"/>
      <c r="F129" s="1189"/>
      <c r="G129" s="1189"/>
      <c r="H129" s="1189"/>
      <c r="I129" s="1189"/>
      <c r="J129" s="1189"/>
      <c r="K129" s="1189"/>
      <c r="L129" s="1189"/>
      <c r="M129" s="1189"/>
      <c r="N129" s="1189"/>
      <c r="O129" s="1190"/>
      <c r="P129" s="1073">
        <f t="shared" si="23"/>
        <v>0</v>
      </c>
      <c r="Q129" s="1067">
        <f t="shared" si="24"/>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90">
        <f t="shared" si="20"/>
        <v>78</v>
      </c>
      <c r="B130" s="1193"/>
      <c r="C130" s="1096" t="s">
        <v>563</v>
      </c>
      <c r="D130" s="1070"/>
      <c r="E130" s="1189"/>
      <c r="F130" s="1189"/>
      <c r="G130" s="1189"/>
      <c r="H130" s="1189"/>
      <c r="I130" s="1189"/>
      <c r="J130" s="1189"/>
      <c r="K130" s="1189"/>
      <c r="L130" s="1189"/>
      <c r="M130" s="1189"/>
      <c r="N130" s="1189"/>
      <c r="O130" s="1190"/>
      <c r="P130" s="1073">
        <f t="shared" si="23"/>
        <v>0</v>
      </c>
      <c r="Q130" s="1067">
        <f t="shared" si="24"/>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90">
        <f t="shared" si="20"/>
        <v>79</v>
      </c>
      <c r="B131" s="1193"/>
      <c r="C131" s="1096" t="s">
        <v>563</v>
      </c>
      <c r="D131" s="1070"/>
      <c r="E131" s="1189"/>
      <c r="F131" s="1189"/>
      <c r="G131" s="1189"/>
      <c r="H131" s="1189"/>
      <c r="I131" s="1189"/>
      <c r="J131" s="1189"/>
      <c r="K131" s="1189"/>
      <c r="L131" s="1189"/>
      <c r="M131" s="1189"/>
      <c r="N131" s="1189"/>
      <c r="O131" s="1190"/>
      <c r="P131" s="1073">
        <f t="shared" si="23"/>
        <v>0</v>
      </c>
      <c r="Q131" s="1067">
        <f t="shared" si="24"/>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1">
        <f t="shared" si="20"/>
        <v>80</v>
      </c>
      <c r="B132" s="1194"/>
      <c r="C132" s="1096" t="s">
        <v>563</v>
      </c>
      <c r="D132" s="1070"/>
      <c r="E132" s="1189"/>
      <c r="F132" s="1189"/>
      <c r="G132" s="1189"/>
      <c r="H132" s="1189"/>
      <c r="I132" s="1189"/>
      <c r="J132" s="1189"/>
      <c r="K132" s="1189"/>
      <c r="L132" s="1189"/>
      <c r="M132" s="1189"/>
      <c r="N132" s="1189"/>
      <c r="O132" s="1190"/>
      <c r="P132" s="1073">
        <f>SUMPRODUCT($D$7:$O$7,D132:O132)</f>
        <v>0</v>
      </c>
      <c r="Q132" s="1067">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20"/>
        <v>81</v>
      </c>
      <c r="B133" s="1099" t="s">
        <v>78</v>
      </c>
      <c r="C133" s="1100" t="s">
        <v>289</v>
      </c>
      <c r="D133" s="1138">
        <f>SUM(D105:D132)</f>
        <v>0</v>
      </c>
      <c r="E133" s="1138">
        <f t="shared" ref="E133:O133" si="25">SUM(E105:E132)</f>
        <v>0</v>
      </c>
      <c r="F133" s="1138">
        <f t="shared" si="25"/>
        <v>0</v>
      </c>
      <c r="G133" s="1138">
        <f t="shared" si="25"/>
        <v>0</v>
      </c>
      <c r="H133" s="1138">
        <f t="shared" si="25"/>
        <v>0</v>
      </c>
      <c r="I133" s="1138">
        <f t="shared" si="25"/>
        <v>0</v>
      </c>
      <c r="J133" s="1138">
        <f t="shared" si="25"/>
        <v>0</v>
      </c>
      <c r="K133" s="1138">
        <f t="shared" si="25"/>
        <v>0</v>
      </c>
      <c r="L133" s="1138">
        <f t="shared" si="25"/>
        <v>0</v>
      </c>
      <c r="M133" s="1138">
        <f t="shared" si="25"/>
        <v>0</v>
      </c>
      <c r="N133" s="1138">
        <f t="shared" si="25"/>
        <v>0</v>
      </c>
      <c r="O133" s="1138">
        <f t="shared" si="25"/>
        <v>0</v>
      </c>
      <c r="P133" s="1101">
        <f>SUMPRODUCT($D$7:$O$7,D133:O133)</f>
        <v>0</v>
      </c>
      <c r="Q133" s="1133">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8"/>
      <c r="C134" s="1421" t="s">
        <v>562</v>
      </c>
      <c r="D134" s="1419" t="e">
        <f>D133/$Q$133</f>
        <v>#DIV/0!</v>
      </c>
      <c r="E134" s="1419" t="e">
        <f t="shared" ref="E134:O134" si="26">E133/$Q$133</f>
        <v>#DIV/0!</v>
      </c>
      <c r="F134" s="1419" t="e">
        <f t="shared" si="26"/>
        <v>#DIV/0!</v>
      </c>
      <c r="G134" s="1419" t="e">
        <f t="shared" si="26"/>
        <v>#DIV/0!</v>
      </c>
      <c r="H134" s="1419" t="e">
        <f t="shared" si="26"/>
        <v>#DIV/0!</v>
      </c>
      <c r="I134" s="1419" t="e">
        <f t="shared" si="26"/>
        <v>#DIV/0!</v>
      </c>
      <c r="J134" s="1419" t="e">
        <f t="shared" si="26"/>
        <v>#DIV/0!</v>
      </c>
      <c r="K134" s="1419" t="e">
        <f t="shared" si="26"/>
        <v>#DIV/0!</v>
      </c>
      <c r="L134" s="1419" t="e">
        <f t="shared" si="26"/>
        <v>#DIV/0!</v>
      </c>
      <c r="M134" s="1419" t="e">
        <f t="shared" si="26"/>
        <v>#DIV/0!</v>
      </c>
      <c r="N134" s="1419" t="e">
        <f t="shared" si="26"/>
        <v>#DIV/0!</v>
      </c>
      <c r="O134" s="1419" t="e">
        <f t="shared" si="26"/>
        <v>#DIV/0!</v>
      </c>
      <c r="P134" s="1420"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7">IF(E133&lt;&gt;0,IF(E101&lt;=$C$5,1,0),0)</f>
        <v>0</v>
      </c>
      <c r="F135" s="111">
        <f t="shared" si="27"/>
        <v>0</v>
      </c>
      <c r="G135" s="111">
        <f t="shared" si="27"/>
        <v>0</v>
      </c>
      <c r="H135" s="111">
        <f t="shared" si="27"/>
        <v>0</v>
      </c>
      <c r="I135" s="111">
        <f t="shared" si="27"/>
        <v>0</v>
      </c>
      <c r="J135" s="111">
        <f t="shared" si="27"/>
        <v>0</v>
      </c>
      <c r="K135" s="111">
        <f t="shared" si="27"/>
        <v>0</v>
      </c>
      <c r="L135" s="111">
        <f t="shared" si="27"/>
        <v>0</v>
      </c>
      <c r="M135" s="111">
        <f t="shared" si="27"/>
        <v>0</v>
      </c>
      <c r="N135" s="111">
        <f t="shared" si="27"/>
        <v>0</v>
      </c>
      <c r="O135" s="111">
        <f t="shared" si="27"/>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4"/>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4"/>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6"/>
      <c r="X138" s="1116"/>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6"/>
      <c r="X139" s="1116"/>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6"/>
      <c r="X140" s="1116"/>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6"/>
      <c r="W141" s="1116"/>
      <c r="X141" s="1116"/>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6"/>
      <c r="W142" s="1116"/>
      <c r="X142" s="1116"/>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6"/>
      <c r="W143" s="1116"/>
      <c r="X143" s="1116"/>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6"/>
      <c r="W144" s="1116"/>
      <c r="X144" s="1116"/>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6"/>
      <c r="W145" s="1116"/>
      <c r="X145" s="1116"/>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6"/>
      <c r="W146" s="1116"/>
      <c r="X146" s="1116"/>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6"/>
      <c r="W147" s="1116"/>
      <c r="X147" s="1116"/>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6"/>
      <c r="W148" s="1116"/>
      <c r="X148" s="1116"/>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6"/>
      <c r="W149" s="1116"/>
      <c r="X149" s="1116"/>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6"/>
      <c r="W150" s="1116"/>
      <c r="X150" s="1116"/>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6"/>
      <c r="W151" s="1116"/>
      <c r="X151" s="1116"/>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6"/>
      <c r="W152" s="1116"/>
      <c r="X152" s="1116"/>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zoomScale="80" zoomScaleNormal="80" workbookViewId="0">
      <selection activeCell="D25" sqref="D25"/>
    </sheetView>
  </sheetViews>
  <sheetFormatPr defaultColWidth="8.921875" defaultRowHeight="14.5"/>
  <cols>
    <col min="1" max="2" width="8.921875" style="2865"/>
    <col min="3" max="3" width="61.15234375" style="2865" bestFit="1" customWidth="1"/>
    <col min="4" max="15" width="8.3828125" style="2865" customWidth="1"/>
    <col min="16" max="17" width="8.921875" style="2865"/>
    <col min="18" max="18" width="7.07421875" style="2865" customWidth="1"/>
    <col min="19" max="21" width="7.84375" style="2865" customWidth="1"/>
    <col min="22" max="22" width="2.4609375" style="2865" customWidth="1"/>
    <col min="23" max="25" width="7.61328125" style="2865" customWidth="1"/>
    <col min="26" max="26" width="2.4609375" style="2865" customWidth="1"/>
    <col min="27" max="27" width="16.07421875" style="2865" customWidth="1"/>
    <col min="28" max="16384" width="8.921875" style="2865"/>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2"/>
      <c r="X1" s="80"/>
      <c r="Y1" s="80"/>
      <c r="Z1" s="80"/>
      <c r="AA1" s="80"/>
      <c r="AB1" s="111"/>
      <c r="AC1" s="1124" t="str">
        <f>+Summary!$V$3</f>
        <v>Jun 23</v>
      </c>
      <c r="AD1" s="1124" t="str">
        <f>+Summary!$H$1</f>
        <v>Apr 23</v>
      </c>
      <c r="AE1" s="1124">
        <f>IF(AC1=AD1,1,0)</f>
        <v>0</v>
      </c>
      <c r="AF1" s="80"/>
      <c r="AG1" s="80"/>
      <c r="AH1" s="80"/>
      <c r="AI1" s="271" t="str">
        <f>Summary!V1</f>
        <v>Apr 23</v>
      </c>
      <c r="AJ1" s="111">
        <v>0</v>
      </c>
      <c r="AK1" s="80"/>
      <c r="AL1" s="80"/>
    </row>
    <row r="2" spans="1:38" s="9" customFormat="1" ht="23">
      <c r="A2" s="70"/>
      <c r="B2" s="70"/>
      <c r="C2" s="80"/>
      <c r="D2" s="608"/>
      <c r="E2" s="2559"/>
      <c r="F2" s="2560"/>
      <c r="G2" s="2560"/>
      <c r="H2" s="2560"/>
      <c r="I2" s="2560"/>
      <c r="J2" s="2561" t="s">
        <v>969</v>
      </c>
      <c r="K2" s="2561">
        <v>1</v>
      </c>
      <c r="L2" s="99"/>
      <c r="M2" s="99"/>
      <c r="N2" s="99"/>
      <c r="O2" s="99"/>
      <c r="P2" s="99"/>
      <c r="Q2" s="99"/>
      <c r="R2" s="99"/>
      <c r="S2" s="80"/>
      <c r="T2" s="1122"/>
      <c r="U2" s="80"/>
      <c r="V2" s="80"/>
      <c r="W2" s="1122"/>
      <c r="X2" s="80"/>
      <c r="Y2" s="80"/>
      <c r="Z2" s="80"/>
      <c r="AA2" s="80"/>
      <c r="AB2" s="111"/>
      <c r="AC2" s="1124" t="str">
        <f>+Summary!$V$4</f>
        <v>Jul 23</v>
      </c>
      <c r="AD2" s="1124" t="str">
        <f>+Summary!$H$1</f>
        <v>Apr 23</v>
      </c>
      <c r="AE2" s="1124">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2"/>
      <c r="F3" s="2560"/>
      <c r="G3" s="2560"/>
      <c r="H3" s="2560"/>
      <c r="I3" s="2560"/>
      <c r="J3" s="2561" t="s">
        <v>968</v>
      </c>
      <c r="K3" s="2561">
        <v>1</v>
      </c>
      <c r="L3" s="99"/>
      <c r="M3" s="99"/>
      <c r="N3" s="99"/>
      <c r="O3" s="99"/>
      <c r="P3" s="99"/>
      <c r="Q3" s="99"/>
      <c r="R3" s="80"/>
      <c r="S3" s="280" t="s">
        <v>51</v>
      </c>
      <c r="T3" s="2945" t="str">
        <f>+Summary!H1</f>
        <v>Apr 23</v>
      </c>
      <c r="U3" s="80"/>
      <c r="V3" s="80"/>
      <c r="W3" s="1122"/>
      <c r="X3" s="80"/>
      <c r="Y3" s="80"/>
      <c r="Z3" s="80"/>
      <c r="AA3" s="80"/>
      <c r="AB3" s="111"/>
      <c r="AC3" s="1124" t="str">
        <f>+Summary!$V$5</f>
        <v>Aug 23</v>
      </c>
      <c r="AD3" s="1124" t="str">
        <f>+Summary!$H$1</f>
        <v>Apr 23</v>
      </c>
      <c r="AE3" s="1124">
        <f t="shared" si="0"/>
        <v>0</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2"/>
      <c r="X4" s="80"/>
      <c r="Y4" s="80"/>
      <c r="Z4" s="80"/>
      <c r="AA4" s="80"/>
      <c r="AB4" s="111"/>
      <c r="AC4" s="1124" t="str">
        <f>+Summary!$V$6</f>
        <v>Sep 23</v>
      </c>
      <c r="AD4" s="1124" t="str">
        <f>+Summary!$H$1</f>
        <v>Apr 23</v>
      </c>
      <c r="AE4" s="1124">
        <f t="shared" si="0"/>
        <v>0</v>
      </c>
      <c r="AF4" s="80"/>
      <c r="AG4" s="80"/>
      <c r="AH4" s="80"/>
      <c r="AI4" s="271" t="str">
        <f>Summary!V4</f>
        <v>Jul 23</v>
      </c>
      <c r="AJ4" s="111">
        <f>SUM($E$37:$G$37)</f>
        <v>0</v>
      </c>
      <c r="AK4" s="80"/>
      <c r="AL4" s="80"/>
    </row>
    <row r="5" spans="1:38" ht="15.5">
      <c r="A5" s="2560"/>
      <c r="B5" s="844" t="s">
        <v>1416</v>
      </c>
      <c r="C5" s="2560"/>
      <c r="D5" s="2560"/>
      <c r="E5" s="2560"/>
      <c r="F5" s="2560"/>
      <c r="G5" s="2560"/>
      <c r="H5" s="2560"/>
      <c r="I5" s="2560"/>
      <c r="J5" s="2560"/>
      <c r="K5" s="2560"/>
      <c r="L5" s="2560"/>
      <c r="M5" s="2560"/>
      <c r="N5" s="2560"/>
      <c r="O5" s="2560"/>
      <c r="P5" s="2560"/>
      <c r="Q5" s="2560"/>
      <c r="R5" s="2560"/>
      <c r="S5" s="2560"/>
      <c r="T5" s="2560"/>
      <c r="U5" s="2560"/>
      <c r="V5" s="2560"/>
      <c r="W5" s="2560"/>
      <c r="X5" s="2560"/>
      <c r="Y5" s="2560"/>
      <c r="Z5" s="2560"/>
      <c r="AA5" s="2560"/>
      <c r="AB5" s="2560"/>
      <c r="AC5" s="2560"/>
      <c r="AD5" s="2560"/>
      <c r="AE5" s="2560"/>
      <c r="AF5" s="2560"/>
      <c r="AG5" s="2560"/>
      <c r="AH5" s="2560"/>
      <c r="AI5" s="2560"/>
      <c r="AJ5" s="2560"/>
      <c r="AK5" s="2560"/>
      <c r="AL5" s="2560"/>
    </row>
    <row r="6" spans="1:38" ht="15" thickBot="1">
      <c r="A6" s="2560"/>
      <c r="B6" s="2560"/>
      <c r="C6" s="2560"/>
      <c r="D6" s="2946" t="s">
        <v>181</v>
      </c>
      <c r="E6" s="2946" t="s">
        <v>89</v>
      </c>
      <c r="F6" s="2946" t="s">
        <v>90</v>
      </c>
      <c r="G6" s="2946" t="s">
        <v>91</v>
      </c>
      <c r="H6" s="2946" t="s">
        <v>92</v>
      </c>
      <c r="I6" s="2946" t="s">
        <v>93</v>
      </c>
      <c r="J6" s="2946" t="s">
        <v>94</v>
      </c>
      <c r="K6" s="2946" t="s">
        <v>95</v>
      </c>
      <c r="L6" s="2946" t="s">
        <v>96</v>
      </c>
      <c r="M6" s="2946" t="s">
        <v>97</v>
      </c>
      <c r="N6" s="2946" t="s">
        <v>98</v>
      </c>
      <c r="O6" s="2946" t="s">
        <v>99</v>
      </c>
      <c r="P6" s="2560"/>
      <c r="Q6" s="2560"/>
      <c r="R6" s="2560"/>
      <c r="S6" s="2560"/>
      <c r="T6" s="99"/>
      <c r="U6" s="99"/>
      <c r="V6" s="2560"/>
      <c r="W6" s="2560"/>
      <c r="X6" s="2560"/>
      <c r="Y6" s="2560"/>
      <c r="Z6" s="2560"/>
      <c r="AA6" s="2560"/>
      <c r="AB6" s="2560"/>
      <c r="AC6" s="2560"/>
      <c r="AD6" s="2560"/>
      <c r="AE6" s="2560"/>
      <c r="AF6" s="2560"/>
      <c r="AG6" s="2560"/>
      <c r="AH6" s="2560"/>
      <c r="AI6" s="2560"/>
      <c r="AJ6" s="2560"/>
      <c r="AK6" s="2560"/>
      <c r="AL6" s="2560"/>
    </row>
    <row r="7" spans="1:38" ht="15" thickBot="1">
      <c r="A7" s="2560"/>
      <c r="B7" s="2892" t="s">
        <v>785</v>
      </c>
      <c r="C7" s="2560"/>
      <c r="D7" s="2560">
        <v>1</v>
      </c>
      <c r="E7" s="2560">
        <v>2</v>
      </c>
      <c r="F7" s="2560">
        <v>3</v>
      </c>
      <c r="G7" s="2560">
        <v>4</v>
      </c>
      <c r="H7" s="2560">
        <v>5</v>
      </c>
      <c r="I7" s="2560">
        <v>6</v>
      </c>
      <c r="J7" s="2560">
        <v>7</v>
      </c>
      <c r="K7" s="2560">
        <v>8</v>
      </c>
      <c r="L7" s="2560">
        <v>9</v>
      </c>
      <c r="M7" s="2560">
        <v>10</v>
      </c>
      <c r="N7" s="2560">
        <v>11</v>
      </c>
      <c r="O7" s="2560">
        <v>12</v>
      </c>
      <c r="P7" s="2560"/>
      <c r="Q7" s="2560"/>
      <c r="R7" s="2560"/>
      <c r="S7" s="2560"/>
      <c r="T7" s="99"/>
      <c r="U7" s="2560"/>
      <c r="V7" s="2560"/>
      <c r="W7" s="99"/>
      <c r="X7" s="99"/>
      <c r="Y7" s="99"/>
      <c r="Z7" s="2560"/>
      <c r="AA7" s="2560"/>
      <c r="AB7" s="2560"/>
      <c r="AC7" s="2560"/>
      <c r="AD7" s="2560"/>
      <c r="AE7" s="2560"/>
      <c r="AF7" s="2560"/>
      <c r="AG7" s="2560"/>
      <c r="AH7" s="2560"/>
      <c r="AI7" s="2560"/>
      <c r="AJ7" s="2560"/>
      <c r="AK7" s="2560"/>
      <c r="AL7" s="2560"/>
    </row>
    <row r="8" spans="1:38" ht="15" thickBot="1">
      <c r="A8" s="2560"/>
      <c r="B8" s="2892">
        <v>1</v>
      </c>
      <c r="C8" s="3207" t="s">
        <v>1364</v>
      </c>
      <c r="D8" s="3208"/>
      <c r="E8" s="3208"/>
      <c r="F8" s="3208"/>
      <c r="G8" s="3208"/>
      <c r="H8" s="3208"/>
      <c r="I8" s="3208"/>
      <c r="J8" s="3208"/>
      <c r="K8" s="3208"/>
      <c r="L8" s="3208"/>
      <c r="M8" s="3208"/>
      <c r="N8" s="3208"/>
      <c r="O8" s="3208"/>
      <c r="P8" s="3209"/>
      <c r="Q8" s="2560"/>
      <c r="R8" s="2560"/>
      <c r="S8" s="3210" t="s">
        <v>1391</v>
      </c>
      <c r="T8" s="3211"/>
      <c r="U8" s="3212"/>
      <c r="V8" s="2888"/>
      <c r="W8" s="3213" t="s">
        <v>1392</v>
      </c>
      <c r="X8" s="3214"/>
      <c r="Y8" s="3215"/>
      <c r="Z8" s="2888"/>
      <c r="AA8" s="2560"/>
      <c r="AB8" s="2888"/>
      <c r="AC8" s="2888"/>
      <c r="AD8" s="2888"/>
      <c r="AE8" s="2888"/>
      <c r="AF8" s="2888"/>
      <c r="AG8" s="2888"/>
      <c r="AH8" s="2888"/>
      <c r="AI8" s="2888"/>
      <c r="AJ8" s="2888"/>
      <c r="AK8" s="2888"/>
      <c r="AL8" s="2888"/>
    </row>
    <row r="9" spans="1:38" ht="15" thickBot="1">
      <c r="A9" s="2560"/>
      <c r="B9" s="2893">
        <f>+B8+1</f>
        <v>2</v>
      </c>
      <c r="C9" s="2947" t="s">
        <v>1365</v>
      </c>
      <c r="D9" s="2948" t="s">
        <v>1366</v>
      </c>
      <c r="E9" s="2949" t="s">
        <v>1367</v>
      </c>
      <c r="F9" s="2949" t="s">
        <v>1368</v>
      </c>
      <c r="G9" s="2949" t="s">
        <v>1369</v>
      </c>
      <c r="H9" s="2949" t="s">
        <v>1370</v>
      </c>
      <c r="I9" s="2949" t="s">
        <v>1371</v>
      </c>
      <c r="J9" s="2949" t="s">
        <v>1372</v>
      </c>
      <c r="K9" s="2949" t="s">
        <v>1373</v>
      </c>
      <c r="L9" s="2949" t="s">
        <v>1374</v>
      </c>
      <c r="M9" s="2949" t="s">
        <v>1375</v>
      </c>
      <c r="N9" s="2949" t="s">
        <v>1376</v>
      </c>
      <c r="O9" s="2950" t="s">
        <v>1377</v>
      </c>
      <c r="P9" s="2951" t="s">
        <v>78</v>
      </c>
      <c r="Q9" s="2560"/>
      <c r="R9" s="2560"/>
      <c r="S9" s="2964" t="s">
        <v>1378</v>
      </c>
      <c r="T9" s="2965" t="s">
        <v>1379</v>
      </c>
      <c r="U9" s="2966" t="s">
        <v>1380</v>
      </c>
      <c r="V9" s="2888"/>
      <c r="W9" s="2964" t="s">
        <v>1378</v>
      </c>
      <c r="X9" s="2965" t="s">
        <v>1379</v>
      </c>
      <c r="Y9" s="2966" t="s">
        <v>1380</v>
      </c>
      <c r="Z9" s="2888"/>
      <c r="AA9" s="2560"/>
      <c r="AB9" s="2888"/>
      <c r="AC9" s="2888"/>
      <c r="AD9" s="2888"/>
      <c r="AE9" s="2888"/>
      <c r="AF9" s="2888"/>
      <c r="AG9" s="2888"/>
      <c r="AH9" s="2888"/>
      <c r="AI9" s="2888"/>
      <c r="AJ9" s="2888"/>
      <c r="AK9" s="2888"/>
      <c r="AL9" s="2888"/>
    </row>
    <row r="10" spans="1:38">
      <c r="A10" s="2560"/>
      <c r="B10" s="2893">
        <f t="shared" ref="B10:B36" si="1">+B9+1</f>
        <v>3</v>
      </c>
      <c r="C10" s="2941" t="s">
        <v>44</v>
      </c>
      <c r="D10" s="2921">
        <f>D74-D41</f>
        <v>0</v>
      </c>
      <c r="E10" s="2922">
        <f t="shared" ref="D10:P25" si="2">E74-E41</f>
        <v>0</v>
      </c>
      <c r="F10" s="2922">
        <f t="shared" si="2"/>
        <v>0</v>
      </c>
      <c r="G10" s="2922">
        <f t="shared" si="2"/>
        <v>0</v>
      </c>
      <c r="H10" s="2923">
        <f t="shared" si="2"/>
        <v>0</v>
      </c>
      <c r="I10" s="2923">
        <f t="shared" si="2"/>
        <v>0</v>
      </c>
      <c r="J10" s="2923">
        <f t="shared" si="2"/>
        <v>0</v>
      </c>
      <c r="K10" s="2923">
        <f t="shared" si="2"/>
        <v>0</v>
      </c>
      <c r="L10" s="2923">
        <f t="shared" si="2"/>
        <v>0</v>
      </c>
      <c r="M10" s="2923">
        <f t="shared" si="2"/>
        <v>0</v>
      </c>
      <c r="N10" s="2923">
        <f t="shared" si="2"/>
        <v>0</v>
      </c>
      <c r="O10" s="2924">
        <f t="shared" si="2"/>
        <v>0</v>
      </c>
      <c r="P10" s="2937">
        <f>P74-P41</f>
        <v>0</v>
      </c>
      <c r="Q10" s="2560"/>
      <c r="R10" s="2560"/>
      <c r="S10" s="2967">
        <f>IFERROR(
VLOOKUP($C10,$C$72:$P$100,MATCH(LEFT($T$3,3),$C$6:$O$6,0),FALSE)
-VLOOKUP($C10,$C$72:$P$100,MATCH(LEFT($T$3,3),$C$6:$O$6,0)-1,FALSE),0)</f>
        <v>0</v>
      </c>
      <c r="T10" s="2994">
        <f>INDEX($D10:$O10,1,MATCH(LEFT($T$3,3),$D$6:$O$6,0))</f>
        <v>0</v>
      </c>
      <c r="U10" s="2995">
        <f>P10</f>
        <v>0</v>
      </c>
      <c r="V10" s="2888"/>
      <c r="W10" s="2982">
        <f>IFERROR(
S10/VLOOKUP($C10,$C$72:$P$100,MATCH(LEFT($T$3,3),$C$6:$O$6,0)-1,FALSE),0)</f>
        <v>0</v>
      </c>
      <c r="X10" s="2983">
        <f>IFERROR(T10/INDEX($D41:$O41,1,MATCH(LEFT($T$3,3),$D$6:$O$6,0)),0)</f>
        <v>0</v>
      </c>
      <c r="Y10" s="2984">
        <f>IF($Q41=0,0,U10/$Q41)</f>
        <v>0</v>
      </c>
      <c r="Z10" s="2888"/>
      <c r="AA10" s="2560"/>
      <c r="AB10" s="2888"/>
      <c r="AC10" s="2888"/>
      <c r="AD10" s="2888"/>
      <c r="AE10" s="2888"/>
      <c r="AF10" s="2888"/>
      <c r="AG10" s="2888"/>
      <c r="AH10" s="2888"/>
      <c r="AI10" s="2888"/>
      <c r="AJ10" s="2888"/>
      <c r="AK10" s="2888"/>
      <c r="AL10" s="2888"/>
    </row>
    <row r="11" spans="1:38">
      <c r="A11" s="2560"/>
      <c r="B11" s="2893">
        <f t="shared" si="1"/>
        <v>4</v>
      </c>
      <c r="C11" s="2942" t="s">
        <v>1381</v>
      </c>
      <c r="D11" s="2925">
        <f t="shared" si="2"/>
        <v>0</v>
      </c>
      <c r="E11" s="2926">
        <f t="shared" si="2"/>
        <v>0</v>
      </c>
      <c r="F11" s="2926">
        <f t="shared" si="2"/>
        <v>0</v>
      </c>
      <c r="G11" s="2926">
        <f t="shared" si="2"/>
        <v>0</v>
      </c>
      <c r="H11" s="2927">
        <f t="shared" si="2"/>
        <v>0</v>
      </c>
      <c r="I11" s="2927">
        <f t="shared" si="2"/>
        <v>0</v>
      </c>
      <c r="J11" s="2927">
        <f t="shared" si="2"/>
        <v>0</v>
      </c>
      <c r="K11" s="2927">
        <f t="shared" si="2"/>
        <v>0</v>
      </c>
      <c r="L11" s="2927">
        <f t="shared" si="2"/>
        <v>0</v>
      </c>
      <c r="M11" s="2927">
        <f t="shared" si="2"/>
        <v>0</v>
      </c>
      <c r="N11" s="2927">
        <f t="shared" si="2"/>
        <v>0</v>
      </c>
      <c r="O11" s="2928">
        <f t="shared" si="2"/>
        <v>0</v>
      </c>
      <c r="P11" s="2938">
        <f t="shared" si="2"/>
        <v>0</v>
      </c>
      <c r="Q11" s="2560"/>
      <c r="R11" s="2560"/>
      <c r="S11" s="2968">
        <f t="shared" ref="S11:S36" si="3">IFERROR(
VLOOKUP($C11,$C$72:$P$100,MATCH(LEFT($T$3,3),$C$6:$O$6,0),FALSE)
-VLOOKUP($C11,$C$72:$P$100,MATCH(LEFT($T$3,3),$C$6:$O$6,0)-1,FALSE),0)</f>
        <v>0</v>
      </c>
      <c r="T11" s="2996">
        <f t="shared" ref="T11:T36" si="4">INDEX($D11:$O11,1,MATCH(LEFT($T$3,3),$D$6:$O$6,0))</f>
        <v>0</v>
      </c>
      <c r="U11" s="2997">
        <f t="shared" ref="U11:U35" si="5">P11</f>
        <v>0</v>
      </c>
      <c r="V11" s="2888"/>
      <c r="W11" s="2985">
        <f t="shared" ref="W11:W36" si="6">IFERROR(
S11/VLOOKUP($C11,$C$72:$P$100,MATCH(LEFT($T$3,3),$C$6:$O$6,0)-1,FALSE),0)</f>
        <v>0</v>
      </c>
      <c r="X11" s="2986">
        <f t="shared" ref="X11:X36" si="7">IFERROR(T11/INDEX($D42:$O42,1,MATCH(LEFT($T$3,3),$D$6:$O$6,0)),0)</f>
        <v>0</v>
      </c>
      <c r="Y11" s="2987">
        <f t="shared" ref="Y11" si="8">IF($Q42=0,0,U11/$Q42)</f>
        <v>0</v>
      </c>
      <c r="Z11" s="2888"/>
      <c r="AA11" s="2560"/>
      <c r="AB11" s="2888"/>
      <c r="AC11" s="2888"/>
      <c r="AD11" s="2888"/>
      <c r="AE11" s="2888"/>
      <c r="AF11" s="2888"/>
      <c r="AG11" s="2888"/>
      <c r="AH11" s="2888"/>
      <c r="AI11" s="2888"/>
      <c r="AJ11" s="2888"/>
      <c r="AK11" s="2888"/>
      <c r="AL11" s="2888"/>
    </row>
    <row r="12" spans="1:38">
      <c r="A12" s="2560"/>
      <c r="B12" s="2893">
        <f t="shared" si="1"/>
        <v>5</v>
      </c>
      <c r="C12" s="2942" t="s">
        <v>787</v>
      </c>
      <c r="D12" s="2925">
        <f t="shared" si="2"/>
        <v>1922</v>
      </c>
      <c r="E12" s="2926">
        <f t="shared" si="2"/>
        <v>1887</v>
      </c>
      <c r="F12" s="2926">
        <f t="shared" si="2"/>
        <v>1887</v>
      </c>
      <c r="G12" s="2926">
        <f t="shared" si="2"/>
        <v>1887</v>
      </c>
      <c r="H12" s="2927">
        <f t="shared" si="2"/>
        <v>1887</v>
      </c>
      <c r="I12" s="2927">
        <f t="shared" si="2"/>
        <v>1887</v>
      </c>
      <c r="J12" s="2927">
        <f t="shared" si="2"/>
        <v>1887</v>
      </c>
      <c r="K12" s="2927">
        <f t="shared" si="2"/>
        <v>1887</v>
      </c>
      <c r="L12" s="2927">
        <f t="shared" si="2"/>
        <v>1887</v>
      </c>
      <c r="M12" s="2927">
        <f t="shared" si="2"/>
        <v>1887</v>
      </c>
      <c r="N12" s="2927">
        <f t="shared" si="2"/>
        <v>1887</v>
      </c>
      <c r="O12" s="2928">
        <f t="shared" si="2"/>
        <v>1888</v>
      </c>
      <c r="P12" s="2938">
        <f t="shared" si="2"/>
        <v>22680</v>
      </c>
      <c r="Q12" s="2560"/>
      <c r="R12" s="2560"/>
      <c r="S12" s="2968">
        <f t="shared" si="3"/>
        <v>0</v>
      </c>
      <c r="T12" s="2996">
        <f>INDEX($D12:$O12,1,MATCH(LEFT($T$3,3),$D$6:$O$6,0))</f>
        <v>1922</v>
      </c>
      <c r="U12" s="2997">
        <f t="shared" si="5"/>
        <v>22680</v>
      </c>
      <c r="V12" s="2888"/>
      <c r="W12" s="2985">
        <f t="shared" si="6"/>
        <v>0</v>
      </c>
      <c r="X12" s="2986">
        <f t="shared" si="7"/>
        <v>0</v>
      </c>
      <c r="Y12" s="2987">
        <f t="shared" ref="Y12" si="9">IF($Q43=0,0,U12/$Q43)</f>
        <v>0</v>
      </c>
      <c r="Z12" s="2888"/>
      <c r="AA12" s="2560"/>
      <c r="AB12" s="2888"/>
      <c r="AC12" s="2888"/>
      <c r="AD12" s="2888"/>
      <c r="AE12" s="2888"/>
      <c r="AF12" s="2888"/>
      <c r="AG12" s="2888"/>
      <c r="AH12" s="2888"/>
      <c r="AI12" s="2888"/>
      <c r="AJ12" s="2888"/>
      <c r="AK12" s="2888"/>
      <c r="AL12" s="2888"/>
    </row>
    <row r="13" spans="1:38">
      <c r="A13" s="2560"/>
      <c r="B13" s="2893">
        <f t="shared" si="1"/>
        <v>6</v>
      </c>
      <c r="C13" s="2942" t="s">
        <v>788</v>
      </c>
      <c r="D13" s="2925">
        <f t="shared" si="2"/>
        <v>16</v>
      </c>
      <c r="E13" s="2926">
        <f t="shared" si="2"/>
        <v>0</v>
      </c>
      <c r="F13" s="2926">
        <f t="shared" si="2"/>
        <v>0</v>
      </c>
      <c r="G13" s="2926">
        <f t="shared" si="2"/>
        <v>0</v>
      </c>
      <c r="H13" s="2927">
        <f t="shared" si="2"/>
        <v>0</v>
      </c>
      <c r="I13" s="2927">
        <f t="shared" si="2"/>
        <v>0</v>
      </c>
      <c r="J13" s="2927">
        <f t="shared" si="2"/>
        <v>0</v>
      </c>
      <c r="K13" s="2927">
        <f t="shared" si="2"/>
        <v>0</v>
      </c>
      <c r="L13" s="2927">
        <f t="shared" si="2"/>
        <v>0</v>
      </c>
      <c r="M13" s="2927">
        <f t="shared" si="2"/>
        <v>0</v>
      </c>
      <c r="N13" s="2927">
        <f t="shared" si="2"/>
        <v>0</v>
      </c>
      <c r="O13" s="2928">
        <f t="shared" si="2"/>
        <v>0</v>
      </c>
      <c r="P13" s="2938">
        <f t="shared" si="2"/>
        <v>16</v>
      </c>
      <c r="Q13" s="2560"/>
      <c r="R13" s="2560"/>
      <c r="S13" s="2968">
        <f t="shared" si="3"/>
        <v>0</v>
      </c>
      <c r="T13" s="2996">
        <f t="shared" si="4"/>
        <v>16</v>
      </c>
      <c r="U13" s="2997">
        <f t="shared" si="5"/>
        <v>16</v>
      </c>
      <c r="V13" s="2888"/>
      <c r="W13" s="2985">
        <f t="shared" si="6"/>
        <v>0</v>
      </c>
      <c r="X13" s="2986">
        <f t="shared" si="7"/>
        <v>0</v>
      </c>
      <c r="Y13" s="2987">
        <f t="shared" ref="Y13" si="10">IF($Q44=0,0,U13/$Q44)</f>
        <v>0</v>
      </c>
      <c r="Z13" s="2888"/>
      <c r="AA13" s="2560"/>
      <c r="AB13" s="2888"/>
      <c r="AC13" s="2888"/>
      <c r="AD13" s="2888"/>
      <c r="AE13" s="2888"/>
      <c r="AF13" s="2888"/>
      <c r="AG13" s="2888"/>
      <c r="AH13" s="2888"/>
      <c r="AI13" s="2888"/>
      <c r="AJ13" s="2888"/>
      <c r="AK13" s="2888"/>
      <c r="AL13" s="2888"/>
    </row>
    <row r="14" spans="1:38">
      <c r="A14" s="2560"/>
      <c r="B14" s="2893">
        <f t="shared" si="1"/>
        <v>7</v>
      </c>
      <c r="C14" s="2942" t="s">
        <v>790</v>
      </c>
      <c r="D14" s="2925">
        <f t="shared" si="2"/>
        <v>15778</v>
      </c>
      <c r="E14" s="2926">
        <f t="shared" si="2"/>
        <v>15815.933909250894</v>
      </c>
      <c r="F14" s="2926">
        <f t="shared" si="2"/>
        <v>16204.246342926086</v>
      </c>
      <c r="G14" s="2926">
        <f t="shared" si="2"/>
        <v>15856.744234250895</v>
      </c>
      <c r="H14" s="2927">
        <f t="shared" si="2"/>
        <v>15826.244234250895</v>
      </c>
      <c r="I14" s="2927">
        <f t="shared" si="2"/>
        <v>16365.78735125942</v>
      </c>
      <c r="J14" s="2927">
        <f t="shared" si="2"/>
        <v>16125.747946985817</v>
      </c>
      <c r="K14" s="2927">
        <f t="shared" si="2"/>
        <v>16041.968375841603</v>
      </c>
      <c r="L14" s="2927">
        <f t="shared" si="2"/>
        <v>16553.305338652484</v>
      </c>
      <c r="M14" s="2927">
        <f t="shared" si="2"/>
        <v>16074.747946985817</v>
      </c>
      <c r="N14" s="2927">
        <f t="shared" si="2"/>
        <v>16042.722954697387</v>
      </c>
      <c r="O14" s="2928">
        <f t="shared" si="2"/>
        <v>17098.564175874708</v>
      </c>
      <c r="P14" s="2938">
        <f t="shared" si="2"/>
        <v>193784.01281097601</v>
      </c>
      <c r="Q14" s="2560"/>
      <c r="R14" s="2560"/>
      <c r="S14" s="2968">
        <f t="shared" si="3"/>
        <v>0</v>
      </c>
      <c r="T14" s="2996">
        <f t="shared" si="4"/>
        <v>15778</v>
      </c>
      <c r="U14" s="2997">
        <f t="shared" si="5"/>
        <v>193784.01281097601</v>
      </c>
      <c r="V14" s="2888"/>
      <c r="W14" s="2985">
        <f t="shared" si="6"/>
        <v>0</v>
      </c>
      <c r="X14" s="2986">
        <f t="shared" si="7"/>
        <v>0</v>
      </c>
      <c r="Y14" s="2987">
        <f t="shared" ref="Y14" si="11">IF($Q45=0,0,U14/$Q45)</f>
        <v>0</v>
      </c>
      <c r="Z14" s="2888"/>
      <c r="AA14" s="2560"/>
      <c r="AB14" s="2888"/>
      <c r="AC14" s="2888"/>
      <c r="AD14" s="2888"/>
      <c r="AE14" s="2888"/>
      <c r="AF14" s="2888"/>
      <c r="AG14" s="2888"/>
      <c r="AH14" s="2888"/>
      <c r="AI14" s="2888"/>
      <c r="AJ14" s="2888"/>
      <c r="AK14" s="2888"/>
      <c r="AL14" s="2888"/>
    </row>
    <row r="15" spans="1:38">
      <c r="A15" s="2560"/>
      <c r="B15" s="2893">
        <f t="shared" si="1"/>
        <v>8</v>
      </c>
      <c r="C15" s="2943" t="s">
        <v>789</v>
      </c>
      <c r="D15" s="2929">
        <f t="shared" si="2"/>
        <v>481</v>
      </c>
      <c r="E15" s="2930">
        <f t="shared" si="2"/>
        <v>309</v>
      </c>
      <c r="F15" s="2930">
        <f t="shared" si="2"/>
        <v>309</v>
      </c>
      <c r="G15" s="2930">
        <f t="shared" si="2"/>
        <v>309</v>
      </c>
      <c r="H15" s="2931">
        <f t="shared" si="2"/>
        <v>301</v>
      </c>
      <c r="I15" s="2931">
        <f t="shared" si="2"/>
        <v>301</v>
      </c>
      <c r="J15" s="2931">
        <f t="shared" si="2"/>
        <v>301</v>
      </c>
      <c r="K15" s="2931">
        <f t="shared" si="2"/>
        <v>301</v>
      </c>
      <c r="L15" s="2931">
        <f t="shared" si="2"/>
        <v>301</v>
      </c>
      <c r="M15" s="2931">
        <f t="shared" si="2"/>
        <v>301</v>
      </c>
      <c r="N15" s="2931">
        <f t="shared" si="2"/>
        <v>301</v>
      </c>
      <c r="O15" s="2932">
        <f t="shared" si="2"/>
        <v>302</v>
      </c>
      <c r="P15" s="2939">
        <f t="shared" si="2"/>
        <v>3817</v>
      </c>
      <c r="Q15" s="2560"/>
      <c r="R15" s="2560"/>
      <c r="S15" s="2969">
        <f t="shared" si="3"/>
        <v>0</v>
      </c>
      <c r="T15" s="2998">
        <f t="shared" si="4"/>
        <v>481</v>
      </c>
      <c r="U15" s="2999">
        <f t="shared" si="5"/>
        <v>3817</v>
      </c>
      <c r="V15" s="2888"/>
      <c r="W15" s="2988">
        <f t="shared" si="6"/>
        <v>0</v>
      </c>
      <c r="X15" s="2989">
        <f t="shared" si="7"/>
        <v>0</v>
      </c>
      <c r="Y15" s="2990">
        <f t="shared" ref="Y15" si="12">IF($Q46=0,0,U15/$Q46)</f>
        <v>0</v>
      </c>
      <c r="Z15" s="2888"/>
      <c r="AA15" s="2560"/>
      <c r="AB15" s="2888"/>
      <c r="AC15" s="2888"/>
      <c r="AD15" s="2888"/>
      <c r="AE15" s="2888"/>
      <c r="AF15" s="2888"/>
      <c r="AG15" s="2888"/>
      <c r="AH15" s="2888"/>
      <c r="AI15" s="2888"/>
      <c r="AJ15" s="2888"/>
      <c r="AK15" s="2888"/>
      <c r="AL15" s="2888"/>
    </row>
    <row r="16" spans="1:38">
      <c r="A16" s="2560"/>
      <c r="B16" s="2893">
        <f t="shared" si="1"/>
        <v>9</v>
      </c>
      <c r="C16" s="2952" t="s">
        <v>188</v>
      </c>
      <c r="D16" s="2953">
        <f t="shared" si="2"/>
        <v>18197</v>
      </c>
      <c r="E16" s="2954">
        <f t="shared" si="2"/>
        <v>18011.933909250896</v>
      </c>
      <c r="F16" s="2954">
        <f t="shared" si="2"/>
        <v>18400.246342926086</v>
      </c>
      <c r="G16" s="2954">
        <f t="shared" si="2"/>
        <v>18052.744234250895</v>
      </c>
      <c r="H16" s="2955">
        <f t="shared" si="2"/>
        <v>18014.244234250895</v>
      </c>
      <c r="I16" s="2955">
        <f t="shared" si="2"/>
        <v>18553.78735125942</v>
      </c>
      <c r="J16" s="2955">
        <f t="shared" si="2"/>
        <v>18313.747946985815</v>
      </c>
      <c r="K16" s="2955">
        <f t="shared" si="2"/>
        <v>18229.968375841603</v>
      </c>
      <c r="L16" s="2955">
        <f t="shared" si="2"/>
        <v>18741.305338652484</v>
      </c>
      <c r="M16" s="2955">
        <f t="shared" si="2"/>
        <v>18262.747946985815</v>
      </c>
      <c r="N16" s="2955">
        <f t="shared" si="2"/>
        <v>18230.722954697387</v>
      </c>
      <c r="O16" s="2956">
        <f t="shared" si="2"/>
        <v>19288.564175874708</v>
      </c>
      <c r="P16" s="2957">
        <f t="shared" si="2"/>
        <v>220297.01281097601</v>
      </c>
      <c r="Q16" s="2560"/>
      <c r="R16" s="2560"/>
      <c r="S16" s="2970">
        <f t="shared" si="3"/>
        <v>0</v>
      </c>
      <c r="T16" s="2973">
        <f t="shared" si="4"/>
        <v>18197</v>
      </c>
      <c r="U16" s="2957">
        <f t="shared" si="5"/>
        <v>220297.01281097601</v>
      </c>
      <c r="V16" s="2888"/>
      <c r="W16" s="2974">
        <f t="shared" si="6"/>
        <v>0</v>
      </c>
      <c r="X16" s="2975">
        <f t="shared" si="7"/>
        <v>0</v>
      </c>
      <c r="Y16" s="2976">
        <f t="shared" ref="Y16" si="13">IF($Q47=0,0,U16/$Q47)</f>
        <v>0</v>
      </c>
      <c r="Z16" s="2888"/>
      <c r="AA16" s="2560"/>
      <c r="AB16" s="2888"/>
      <c r="AC16" s="2888"/>
      <c r="AD16" s="2888"/>
      <c r="AE16" s="2888"/>
      <c r="AF16" s="2888"/>
      <c r="AG16" s="2888"/>
      <c r="AH16" s="2888"/>
      <c r="AI16" s="2888"/>
      <c r="AJ16" s="2888"/>
      <c r="AK16" s="2888"/>
      <c r="AL16" s="2888"/>
    </row>
    <row r="17" spans="1:38">
      <c r="A17" s="2560"/>
      <c r="B17" s="2893">
        <f t="shared" si="1"/>
        <v>10</v>
      </c>
      <c r="C17" s="2944" t="s">
        <v>1382</v>
      </c>
      <c r="D17" s="2933">
        <f t="shared" si="2"/>
        <v>0</v>
      </c>
      <c r="E17" s="2934">
        <f t="shared" si="2"/>
        <v>0</v>
      </c>
      <c r="F17" s="2934">
        <f t="shared" si="2"/>
        <v>0</v>
      </c>
      <c r="G17" s="2934">
        <f t="shared" si="2"/>
        <v>0</v>
      </c>
      <c r="H17" s="2935">
        <f t="shared" si="2"/>
        <v>0</v>
      </c>
      <c r="I17" s="2935">
        <f t="shared" si="2"/>
        <v>0</v>
      </c>
      <c r="J17" s="2935">
        <f t="shared" si="2"/>
        <v>0</v>
      </c>
      <c r="K17" s="2935">
        <f t="shared" si="2"/>
        <v>0</v>
      </c>
      <c r="L17" s="2935">
        <f t="shared" si="2"/>
        <v>0</v>
      </c>
      <c r="M17" s="2935">
        <f t="shared" si="2"/>
        <v>0</v>
      </c>
      <c r="N17" s="2935">
        <f t="shared" si="2"/>
        <v>0</v>
      </c>
      <c r="O17" s="2936">
        <f t="shared" si="2"/>
        <v>0</v>
      </c>
      <c r="P17" s="2940">
        <f t="shared" si="2"/>
        <v>0</v>
      </c>
      <c r="Q17" s="2560"/>
      <c r="R17" s="2560"/>
      <c r="S17" s="2971">
        <f t="shared" si="3"/>
        <v>0</v>
      </c>
      <c r="T17" s="3000">
        <f t="shared" si="4"/>
        <v>0</v>
      </c>
      <c r="U17" s="3001">
        <f t="shared" si="5"/>
        <v>0</v>
      </c>
      <c r="V17" s="2888"/>
      <c r="W17" s="2991">
        <f t="shared" si="6"/>
        <v>0</v>
      </c>
      <c r="X17" s="2992">
        <f t="shared" si="7"/>
        <v>0</v>
      </c>
      <c r="Y17" s="2993">
        <f t="shared" ref="Y17" si="14">IF($Q48=0,0,U17/$Q48)</f>
        <v>0</v>
      </c>
      <c r="Z17" s="2888"/>
      <c r="AA17" s="2560"/>
      <c r="AB17" s="2888"/>
      <c r="AC17" s="2888"/>
      <c r="AD17" s="2888"/>
      <c r="AE17" s="2888"/>
      <c r="AF17" s="2888"/>
      <c r="AG17" s="2888"/>
      <c r="AH17" s="2888"/>
      <c r="AI17" s="2888"/>
      <c r="AJ17" s="2888"/>
      <c r="AK17" s="2888"/>
      <c r="AL17" s="2888"/>
    </row>
    <row r="18" spans="1:38">
      <c r="A18" s="2560"/>
      <c r="B18" s="2893">
        <f t="shared" si="1"/>
        <v>11</v>
      </c>
      <c r="C18" s="2942" t="s">
        <v>463</v>
      </c>
      <c r="D18" s="2925">
        <f t="shared" si="2"/>
        <v>0</v>
      </c>
      <c r="E18" s="2926">
        <f t="shared" si="2"/>
        <v>0</v>
      </c>
      <c r="F18" s="2926">
        <f t="shared" si="2"/>
        <v>0</v>
      </c>
      <c r="G18" s="2926">
        <f t="shared" si="2"/>
        <v>0</v>
      </c>
      <c r="H18" s="2927">
        <f t="shared" si="2"/>
        <v>0</v>
      </c>
      <c r="I18" s="2927">
        <f t="shared" si="2"/>
        <v>0</v>
      </c>
      <c r="J18" s="2927">
        <f t="shared" si="2"/>
        <v>0</v>
      </c>
      <c r="K18" s="2927">
        <f t="shared" si="2"/>
        <v>0</v>
      </c>
      <c r="L18" s="2927">
        <f t="shared" si="2"/>
        <v>0</v>
      </c>
      <c r="M18" s="2927">
        <f t="shared" si="2"/>
        <v>0</v>
      </c>
      <c r="N18" s="2927">
        <f t="shared" si="2"/>
        <v>0</v>
      </c>
      <c r="O18" s="2928">
        <f t="shared" si="2"/>
        <v>0</v>
      </c>
      <c r="P18" s="2938">
        <f t="shared" si="2"/>
        <v>0</v>
      </c>
      <c r="Q18" s="2560"/>
      <c r="R18" s="2560"/>
      <c r="S18" s="2968">
        <f t="shared" si="3"/>
        <v>0</v>
      </c>
      <c r="T18" s="2996">
        <f t="shared" si="4"/>
        <v>0</v>
      </c>
      <c r="U18" s="2997">
        <f t="shared" si="5"/>
        <v>0</v>
      </c>
      <c r="V18" s="2888"/>
      <c r="W18" s="2985">
        <f t="shared" si="6"/>
        <v>0</v>
      </c>
      <c r="X18" s="2986">
        <f t="shared" si="7"/>
        <v>0</v>
      </c>
      <c r="Y18" s="2987">
        <f t="shared" ref="Y18" si="15">IF($Q49=0,0,U18/$Q49)</f>
        <v>0</v>
      </c>
      <c r="Z18" s="2888"/>
      <c r="AA18" s="2560"/>
      <c r="AB18" s="2888"/>
      <c r="AC18" s="2888"/>
      <c r="AD18" s="2888"/>
      <c r="AE18" s="2888"/>
      <c r="AF18" s="2888"/>
      <c r="AG18" s="2888"/>
      <c r="AH18" s="2888"/>
      <c r="AI18" s="2888"/>
      <c r="AJ18" s="2888"/>
      <c r="AK18" s="2888"/>
      <c r="AL18" s="2888"/>
    </row>
    <row r="19" spans="1:38">
      <c r="A19" s="2560"/>
      <c r="B19" s="2893">
        <f t="shared" si="1"/>
        <v>12</v>
      </c>
      <c r="C19" s="2942" t="s">
        <v>457</v>
      </c>
      <c r="D19" s="2925">
        <f t="shared" si="2"/>
        <v>10151</v>
      </c>
      <c r="E19" s="2926">
        <f t="shared" si="2"/>
        <v>9831.948833333332</v>
      </c>
      <c r="F19" s="2926">
        <f t="shared" si="2"/>
        <v>9872.6593499999999</v>
      </c>
      <c r="G19" s="2926">
        <f t="shared" si="2"/>
        <v>9902.2591583333324</v>
      </c>
      <c r="H19" s="2927">
        <f t="shared" si="2"/>
        <v>9895.2591583333324</v>
      </c>
      <c r="I19" s="2927">
        <f t="shared" si="2"/>
        <v>9904.7003583333335</v>
      </c>
      <c r="J19" s="2927">
        <f t="shared" si="2"/>
        <v>9899.5761133333326</v>
      </c>
      <c r="K19" s="2927">
        <f t="shared" si="2"/>
        <v>9899.5761133333326</v>
      </c>
      <c r="L19" s="2927">
        <f t="shared" si="2"/>
        <v>9888.6128800000006</v>
      </c>
      <c r="M19" s="2927">
        <f t="shared" si="2"/>
        <v>9886.5761133333326</v>
      </c>
      <c r="N19" s="2927">
        <f t="shared" si="2"/>
        <v>9867.2591583333324</v>
      </c>
      <c r="O19" s="2928">
        <f t="shared" si="2"/>
        <v>9878.2622222222217</v>
      </c>
      <c r="P19" s="2938">
        <f t="shared" si="2"/>
        <v>118877.68945888888</v>
      </c>
      <c r="Q19" s="2560"/>
      <c r="R19" s="2560"/>
      <c r="S19" s="2968">
        <f t="shared" si="3"/>
        <v>0</v>
      </c>
      <c r="T19" s="2996">
        <f t="shared" si="4"/>
        <v>10151</v>
      </c>
      <c r="U19" s="2997">
        <f t="shared" si="5"/>
        <v>118877.68945888888</v>
      </c>
      <c r="V19" s="2888"/>
      <c r="W19" s="2985">
        <f t="shared" si="6"/>
        <v>0</v>
      </c>
      <c r="X19" s="2986">
        <f t="shared" si="7"/>
        <v>0</v>
      </c>
      <c r="Y19" s="2987">
        <f t="shared" ref="Y19" si="16">IF($Q50=0,0,U19/$Q50)</f>
        <v>0</v>
      </c>
      <c r="Z19" s="2888"/>
      <c r="AA19" s="2560"/>
      <c r="AB19" s="2888"/>
      <c r="AC19" s="2888"/>
      <c r="AD19" s="2888"/>
      <c r="AE19" s="2888"/>
      <c r="AF19" s="2888"/>
      <c r="AG19" s="2888"/>
      <c r="AH19" s="2888"/>
      <c r="AI19" s="2888"/>
      <c r="AJ19" s="2888"/>
      <c r="AK19" s="2888"/>
      <c r="AL19" s="2888"/>
    </row>
    <row r="20" spans="1:38">
      <c r="A20" s="2560"/>
      <c r="B20" s="2893">
        <f t="shared" si="1"/>
        <v>13</v>
      </c>
      <c r="C20" s="2942" t="s">
        <v>458</v>
      </c>
      <c r="D20" s="2925">
        <f t="shared" si="2"/>
        <v>7712.1790000000001</v>
      </c>
      <c r="E20" s="2926">
        <f t="shared" si="2"/>
        <v>7896.1640759175616</v>
      </c>
      <c r="F20" s="2926">
        <f t="shared" si="2"/>
        <v>8243.7659929260863</v>
      </c>
      <c r="G20" s="2926">
        <f t="shared" si="2"/>
        <v>7866.6640759175616</v>
      </c>
      <c r="H20" s="2927">
        <f t="shared" si="2"/>
        <v>7835.1640759175616</v>
      </c>
      <c r="I20" s="2927">
        <f t="shared" si="2"/>
        <v>8365.2659929260863</v>
      </c>
      <c r="J20" s="2927">
        <f t="shared" si="2"/>
        <v>8130.3508336524837</v>
      </c>
      <c r="K20" s="2927">
        <f t="shared" si="2"/>
        <v>8046.5712625082688</v>
      </c>
      <c r="L20" s="2927">
        <f t="shared" si="2"/>
        <v>8568.8714586524839</v>
      </c>
      <c r="M20" s="2927">
        <f t="shared" si="2"/>
        <v>8092.3508336524837</v>
      </c>
      <c r="N20" s="2927">
        <f t="shared" si="2"/>
        <v>8079.6427963640544</v>
      </c>
      <c r="O20" s="2928">
        <f t="shared" si="2"/>
        <v>9176.4809536524845</v>
      </c>
      <c r="P20" s="2938">
        <f t="shared" si="2"/>
        <v>98013.471352087116</v>
      </c>
      <c r="Q20" s="2560"/>
      <c r="R20" s="2560"/>
      <c r="S20" s="2968">
        <f t="shared" si="3"/>
        <v>0</v>
      </c>
      <c r="T20" s="2996">
        <f t="shared" si="4"/>
        <v>7712.1790000000001</v>
      </c>
      <c r="U20" s="2997">
        <f t="shared" si="5"/>
        <v>98013.471352087116</v>
      </c>
      <c r="V20" s="2888"/>
      <c r="W20" s="2985">
        <f t="shared" si="6"/>
        <v>0</v>
      </c>
      <c r="X20" s="2986">
        <f t="shared" si="7"/>
        <v>0</v>
      </c>
      <c r="Y20" s="2987">
        <f t="shared" ref="Y20" si="17">IF($Q51=0,0,U20/$Q51)</f>
        <v>0</v>
      </c>
      <c r="Z20" s="2888"/>
      <c r="AA20" s="2560"/>
      <c r="AB20" s="2888"/>
      <c r="AC20" s="2888"/>
      <c r="AD20" s="2888"/>
      <c r="AE20" s="2888"/>
      <c r="AF20" s="2888"/>
      <c r="AG20" s="2888"/>
      <c r="AH20" s="2888"/>
      <c r="AI20" s="2888"/>
      <c r="AJ20" s="2888"/>
      <c r="AK20" s="2888"/>
      <c r="AL20" s="2888"/>
    </row>
    <row r="21" spans="1:38">
      <c r="A21" s="2560"/>
      <c r="B21" s="2893">
        <f t="shared" si="1"/>
        <v>14</v>
      </c>
      <c r="C21" s="2942" t="s">
        <v>442</v>
      </c>
      <c r="D21" s="2925">
        <f t="shared" si="2"/>
        <v>0</v>
      </c>
      <c r="E21" s="2926">
        <f t="shared" si="2"/>
        <v>0</v>
      </c>
      <c r="F21" s="2926">
        <f t="shared" si="2"/>
        <v>0</v>
      </c>
      <c r="G21" s="2926">
        <f t="shared" si="2"/>
        <v>0</v>
      </c>
      <c r="H21" s="2927">
        <f t="shared" si="2"/>
        <v>0</v>
      </c>
      <c r="I21" s="2927">
        <f t="shared" si="2"/>
        <v>0</v>
      </c>
      <c r="J21" s="2927">
        <f t="shared" si="2"/>
        <v>0</v>
      </c>
      <c r="K21" s="2927">
        <f t="shared" si="2"/>
        <v>0</v>
      </c>
      <c r="L21" s="2927">
        <f t="shared" si="2"/>
        <v>0</v>
      </c>
      <c r="M21" s="2927">
        <f t="shared" si="2"/>
        <v>0</v>
      </c>
      <c r="N21" s="2927">
        <f t="shared" si="2"/>
        <v>0</v>
      </c>
      <c r="O21" s="2928">
        <f t="shared" si="2"/>
        <v>0</v>
      </c>
      <c r="P21" s="2938">
        <f t="shared" si="2"/>
        <v>0</v>
      </c>
      <c r="Q21" s="2560"/>
      <c r="R21" s="2560"/>
      <c r="S21" s="2968">
        <f t="shared" si="3"/>
        <v>0</v>
      </c>
      <c r="T21" s="2996">
        <f t="shared" si="4"/>
        <v>0</v>
      </c>
      <c r="U21" s="2997">
        <f t="shared" si="5"/>
        <v>0</v>
      </c>
      <c r="V21" s="2888"/>
      <c r="W21" s="2985">
        <f t="shared" si="6"/>
        <v>0</v>
      </c>
      <c r="X21" s="2986">
        <f t="shared" si="7"/>
        <v>0</v>
      </c>
      <c r="Y21" s="2987">
        <f t="shared" ref="Y21" si="18">IF($Q52=0,0,U21/$Q52)</f>
        <v>0</v>
      </c>
      <c r="Z21" s="2888"/>
      <c r="AA21" s="2560"/>
      <c r="AB21" s="2888"/>
      <c r="AC21" s="2888"/>
      <c r="AD21" s="2888"/>
      <c r="AE21" s="2888"/>
      <c r="AF21" s="2888"/>
      <c r="AG21" s="2888"/>
      <c r="AH21" s="2888"/>
      <c r="AI21" s="2888"/>
      <c r="AJ21" s="2888"/>
      <c r="AK21" s="2888"/>
      <c r="AL21" s="2888"/>
    </row>
    <row r="22" spans="1:38">
      <c r="A22" s="2560"/>
      <c r="B22" s="2893">
        <f t="shared" si="1"/>
        <v>15</v>
      </c>
      <c r="C22" s="2942" t="s">
        <v>464</v>
      </c>
      <c r="D22" s="2925">
        <f t="shared" si="2"/>
        <v>0</v>
      </c>
      <c r="E22" s="2926">
        <f t="shared" si="2"/>
        <v>0</v>
      </c>
      <c r="F22" s="2926">
        <f t="shared" si="2"/>
        <v>0</v>
      </c>
      <c r="G22" s="2926">
        <f t="shared" si="2"/>
        <v>0</v>
      </c>
      <c r="H22" s="2927">
        <f t="shared" si="2"/>
        <v>0</v>
      </c>
      <c r="I22" s="2927">
        <f t="shared" si="2"/>
        <v>0</v>
      </c>
      <c r="J22" s="2927">
        <f t="shared" si="2"/>
        <v>0</v>
      </c>
      <c r="K22" s="2927">
        <f t="shared" si="2"/>
        <v>0</v>
      </c>
      <c r="L22" s="2927">
        <f t="shared" si="2"/>
        <v>0</v>
      </c>
      <c r="M22" s="2927">
        <f t="shared" si="2"/>
        <v>0</v>
      </c>
      <c r="N22" s="2927">
        <f t="shared" si="2"/>
        <v>0</v>
      </c>
      <c r="O22" s="2928">
        <f t="shared" si="2"/>
        <v>0</v>
      </c>
      <c r="P22" s="2938">
        <f t="shared" si="2"/>
        <v>0</v>
      </c>
      <c r="Q22" s="2560"/>
      <c r="R22" s="2560"/>
      <c r="S22" s="2968">
        <f t="shared" si="3"/>
        <v>0</v>
      </c>
      <c r="T22" s="2996">
        <f t="shared" si="4"/>
        <v>0</v>
      </c>
      <c r="U22" s="2997">
        <f t="shared" si="5"/>
        <v>0</v>
      </c>
      <c r="V22" s="2888"/>
      <c r="W22" s="2985">
        <f t="shared" si="6"/>
        <v>0</v>
      </c>
      <c r="X22" s="2986">
        <f t="shared" si="7"/>
        <v>0</v>
      </c>
      <c r="Y22" s="2987">
        <f t="shared" ref="Y22" si="19">IF($Q53=0,0,U22/$Q53)</f>
        <v>0</v>
      </c>
      <c r="Z22" s="2888"/>
      <c r="AA22" s="2560"/>
      <c r="AB22" s="2888"/>
      <c r="AC22" s="2888"/>
      <c r="AD22" s="2888"/>
      <c r="AE22" s="2888"/>
      <c r="AF22" s="2888"/>
      <c r="AG22" s="2888"/>
      <c r="AH22" s="2888"/>
      <c r="AI22" s="2888"/>
      <c r="AJ22" s="2888"/>
      <c r="AK22" s="2888"/>
      <c r="AL22" s="2888"/>
    </row>
    <row r="23" spans="1:38">
      <c r="A23" s="2560"/>
      <c r="B23" s="2893">
        <f t="shared" si="1"/>
        <v>16</v>
      </c>
      <c r="C23" s="2942" t="s">
        <v>465</v>
      </c>
      <c r="D23" s="2925">
        <f t="shared" si="2"/>
        <v>0</v>
      </c>
      <c r="E23" s="2926">
        <f t="shared" si="2"/>
        <v>0</v>
      </c>
      <c r="F23" s="2926">
        <f t="shared" si="2"/>
        <v>0</v>
      </c>
      <c r="G23" s="2926">
        <f t="shared" si="2"/>
        <v>0</v>
      </c>
      <c r="H23" s="2927">
        <f t="shared" si="2"/>
        <v>0</v>
      </c>
      <c r="I23" s="2927">
        <f t="shared" si="2"/>
        <v>0</v>
      </c>
      <c r="J23" s="2927">
        <f t="shared" si="2"/>
        <v>0</v>
      </c>
      <c r="K23" s="2927">
        <f t="shared" si="2"/>
        <v>0</v>
      </c>
      <c r="L23" s="2927">
        <f t="shared" si="2"/>
        <v>0</v>
      </c>
      <c r="M23" s="2927">
        <f t="shared" si="2"/>
        <v>0</v>
      </c>
      <c r="N23" s="2927">
        <f t="shared" si="2"/>
        <v>0</v>
      </c>
      <c r="O23" s="2928">
        <f t="shared" si="2"/>
        <v>0</v>
      </c>
      <c r="P23" s="2938">
        <f t="shared" si="2"/>
        <v>0</v>
      </c>
      <c r="Q23" s="2560"/>
      <c r="R23" s="2560"/>
      <c r="S23" s="2968">
        <f t="shared" si="3"/>
        <v>0</v>
      </c>
      <c r="T23" s="2996">
        <f t="shared" si="4"/>
        <v>0</v>
      </c>
      <c r="U23" s="2997">
        <f t="shared" si="5"/>
        <v>0</v>
      </c>
      <c r="V23" s="2888"/>
      <c r="W23" s="2985">
        <f t="shared" si="6"/>
        <v>0</v>
      </c>
      <c r="X23" s="2986">
        <f t="shared" si="7"/>
        <v>0</v>
      </c>
      <c r="Y23" s="2987">
        <f t="shared" ref="Y23" si="20">IF($Q54=0,0,U23/$Q54)</f>
        <v>0</v>
      </c>
      <c r="Z23" s="2888"/>
      <c r="AA23" s="2560"/>
      <c r="AB23" s="2888"/>
      <c r="AC23" s="2888"/>
      <c r="AD23" s="2888"/>
      <c r="AE23" s="2888"/>
      <c r="AF23" s="2888"/>
      <c r="AG23" s="2888"/>
      <c r="AH23" s="2888"/>
      <c r="AI23" s="2888"/>
      <c r="AJ23" s="2888"/>
      <c r="AK23" s="2888"/>
      <c r="AL23" s="2888"/>
    </row>
    <row r="24" spans="1:38">
      <c r="A24" s="2560"/>
      <c r="B24" s="2893">
        <f t="shared" si="1"/>
        <v>17</v>
      </c>
      <c r="C24" s="2942" t="s">
        <v>443</v>
      </c>
      <c r="D24" s="2925">
        <f t="shared" si="2"/>
        <v>0</v>
      </c>
      <c r="E24" s="2926">
        <f t="shared" si="2"/>
        <v>0</v>
      </c>
      <c r="F24" s="2926">
        <f t="shared" si="2"/>
        <v>0</v>
      </c>
      <c r="G24" s="2926">
        <f t="shared" si="2"/>
        <v>0</v>
      </c>
      <c r="H24" s="2927">
        <f t="shared" si="2"/>
        <v>0</v>
      </c>
      <c r="I24" s="2927">
        <f t="shared" si="2"/>
        <v>0</v>
      </c>
      <c r="J24" s="2927">
        <f t="shared" si="2"/>
        <v>0</v>
      </c>
      <c r="K24" s="2927">
        <f t="shared" si="2"/>
        <v>0</v>
      </c>
      <c r="L24" s="2927">
        <f t="shared" si="2"/>
        <v>0</v>
      </c>
      <c r="M24" s="2927">
        <f t="shared" si="2"/>
        <v>0</v>
      </c>
      <c r="N24" s="2927">
        <f t="shared" si="2"/>
        <v>0</v>
      </c>
      <c r="O24" s="2928">
        <f t="shared" si="2"/>
        <v>0</v>
      </c>
      <c r="P24" s="2938">
        <f t="shared" si="2"/>
        <v>0</v>
      </c>
      <c r="Q24" s="2560"/>
      <c r="R24" s="2560"/>
      <c r="S24" s="2968">
        <f t="shared" si="3"/>
        <v>0</v>
      </c>
      <c r="T24" s="2996">
        <f t="shared" si="4"/>
        <v>0</v>
      </c>
      <c r="U24" s="2997">
        <f t="shared" si="5"/>
        <v>0</v>
      </c>
      <c r="V24" s="2888"/>
      <c r="W24" s="2985">
        <f t="shared" si="6"/>
        <v>0</v>
      </c>
      <c r="X24" s="2986">
        <f t="shared" si="7"/>
        <v>0</v>
      </c>
      <c r="Y24" s="2987">
        <f t="shared" ref="Y24" si="21">IF($Q55=0,0,U24/$Q55)</f>
        <v>0</v>
      </c>
      <c r="Z24" s="2888"/>
      <c r="AA24" s="2560"/>
      <c r="AB24" s="2888"/>
      <c r="AC24" s="2888"/>
      <c r="AD24" s="2888"/>
      <c r="AE24" s="2888"/>
      <c r="AF24" s="2888"/>
      <c r="AG24" s="2888"/>
      <c r="AH24" s="2888"/>
      <c r="AI24" s="2888"/>
      <c r="AJ24" s="2888"/>
      <c r="AK24" s="2888"/>
      <c r="AL24" s="2888"/>
    </row>
    <row r="25" spans="1:38">
      <c r="A25" s="2560"/>
      <c r="B25" s="2893">
        <f t="shared" si="1"/>
        <v>18</v>
      </c>
      <c r="C25" s="2942" t="s">
        <v>444</v>
      </c>
      <c r="D25" s="2925">
        <f t="shared" si="2"/>
        <v>0</v>
      </c>
      <c r="E25" s="2926">
        <f t="shared" si="2"/>
        <v>0</v>
      </c>
      <c r="F25" s="2926">
        <f t="shared" si="2"/>
        <v>0</v>
      </c>
      <c r="G25" s="2926">
        <f t="shared" si="2"/>
        <v>0</v>
      </c>
      <c r="H25" s="2927">
        <f t="shared" si="2"/>
        <v>0</v>
      </c>
      <c r="I25" s="2927">
        <f t="shared" si="2"/>
        <v>0</v>
      </c>
      <c r="J25" s="2927">
        <f t="shared" si="2"/>
        <v>0</v>
      </c>
      <c r="K25" s="2927">
        <f t="shared" si="2"/>
        <v>0</v>
      </c>
      <c r="L25" s="2927">
        <f t="shared" si="2"/>
        <v>0</v>
      </c>
      <c r="M25" s="2927">
        <f t="shared" si="2"/>
        <v>0</v>
      </c>
      <c r="N25" s="2927">
        <f t="shared" si="2"/>
        <v>0</v>
      </c>
      <c r="O25" s="2928">
        <f t="shared" si="2"/>
        <v>0</v>
      </c>
      <c r="P25" s="2938">
        <f t="shared" si="2"/>
        <v>0</v>
      </c>
      <c r="Q25" s="2560"/>
      <c r="R25" s="2560"/>
      <c r="S25" s="2968">
        <f t="shared" si="3"/>
        <v>0</v>
      </c>
      <c r="T25" s="2996">
        <f t="shared" si="4"/>
        <v>0</v>
      </c>
      <c r="U25" s="2997">
        <f t="shared" si="5"/>
        <v>0</v>
      </c>
      <c r="V25" s="2888"/>
      <c r="W25" s="2985">
        <f t="shared" si="6"/>
        <v>0</v>
      </c>
      <c r="X25" s="2986">
        <f t="shared" si="7"/>
        <v>0</v>
      </c>
      <c r="Y25" s="2987">
        <f t="shared" ref="Y25" si="22">IF($Q56=0,0,U25/$Q56)</f>
        <v>0</v>
      </c>
      <c r="Z25" s="2888"/>
      <c r="AA25" s="2560"/>
      <c r="AB25" s="2888"/>
      <c r="AC25" s="2888"/>
      <c r="AD25" s="2888"/>
      <c r="AE25" s="2888"/>
      <c r="AF25" s="2888"/>
      <c r="AG25" s="2888"/>
      <c r="AH25" s="2888"/>
      <c r="AI25" s="2888"/>
      <c r="AJ25" s="2888"/>
      <c r="AK25" s="2888"/>
      <c r="AL25" s="2888"/>
    </row>
    <row r="26" spans="1:38">
      <c r="A26" s="2560"/>
      <c r="B26" s="2893">
        <f t="shared" si="1"/>
        <v>19</v>
      </c>
      <c r="C26" s="2942" t="s">
        <v>445</v>
      </c>
      <c r="D26" s="2925">
        <f t="shared" ref="D26:P36" si="23">D90-D57</f>
        <v>0</v>
      </c>
      <c r="E26" s="2926">
        <f t="shared" si="23"/>
        <v>0</v>
      </c>
      <c r="F26" s="2926">
        <f t="shared" si="23"/>
        <v>0</v>
      </c>
      <c r="G26" s="2926">
        <f t="shared" si="23"/>
        <v>0</v>
      </c>
      <c r="H26" s="2927">
        <f t="shared" si="23"/>
        <v>0</v>
      </c>
      <c r="I26" s="2927">
        <f t="shared" si="23"/>
        <v>0</v>
      </c>
      <c r="J26" s="2927">
        <f t="shared" si="23"/>
        <v>0</v>
      </c>
      <c r="K26" s="2927">
        <f t="shared" si="23"/>
        <v>0</v>
      </c>
      <c r="L26" s="2927">
        <f t="shared" si="23"/>
        <v>0</v>
      </c>
      <c r="M26" s="2927">
        <f t="shared" si="23"/>
        <v>0</v>
      </c>
      <c r="N26" s="2927">
        <f t="shared" si="23"/>
        <v>0</v>
      </c>
      <c r="O26" s="2928">
        <f t="shared" si="23"/>
        <v>0</v>
      </c>
      <c r="P26" s="2938">
        <f t="shared" si="23"/>
        <v>0</v>
      </c>
      <c r="Q26" s="2560"/>
      <c r="R26" s="2560"/>
      <c r="S26" s="2968">
        <f t="shared" si="3"/>
        <v>0</v>
      </c>
      <c r="T26" s="2996">
        <f t="shared" si="4"/>
        <v>0</v>
      </c>
      <c r="U26" s="2997">
        <f t="shared" si="5"/>
        <v>0</v>
      </c>
      <c r="V26" s="2888"/>
      <c r="W26" s="2985">
        <f t="shared" si="6"/>
        <v>0</v>
      </c>
      <c r="X26" s="2986">
        <f t="shared" si="7"/>
        <v>0</v>
      </c>
      <c r="Y26" s="2987">
        <f t="shared" ref="Y26" si="24">IF($Q57=0,0,U26/$Q57)</f>
        <v>0</v>
      </c>
      <c r="Z26" s="2888"/>
      <c r="AA26" s="2560"/>
      <c r="AB26" s="2888"/>
      <c r="AC26" s="2888"/>
      <c r="AD26" s="2888"/>
      <c r="AE26" s="2888"/>
      <c r="AF26" s="2888"/>
      <c r="AG26" s="2888"/>
      <c r="AH26" s="2888"/>
      <c r="AI26" s="2888"/>
      <c r="AJ26" s="2888"/>
      <c r="AK26" s="2888"/>
      <c r="AL26" s="2888"/>
    </row>
    <row r="27" spans="1:38">
      <c r="A27" s="2560"/>
      <c r="B27" s="2893">
        <f t="shared" si="1"/>
        <v>20</v>
      </c>
      <c r="C27" s="2942" t="s">
        <v>776</v>
      </c>
      <c r="D27" s="2925">
        <f t="shared" si="23"/>
        <v>0</v>
      </c>
      <c r="E27" s="2926">
        <f t="shared" si="23"/>
        <v>0</v>
      </c>
      <c r="F27" s="2926">
        <f t="shared" si="23"/>
        <v>0</v>
      </c>
      <c r="G27" s="2926">
        <f t="shared" si="23"/>
        <v>0</v>
      </c>
      <c r="H27" s="2927">
        <f t="shared" si="23"/>
        <v>0</v>
      </c>
      <c r="I27" s="2927">
        <f t="shared" si="23"/>
        <v>0</v>
      </c>
      <c r="J27" s="2927">
        <f t="shared" si="23"/>
        <v>0</v>
      </c>
      <c r="K27" s="2927">
        <f t="shared" si="23"/>
        <v>0</v>
      </c>
      <c r="L27" s="2927">
        <f t="shared" si="23"/>
        <v>0</v>
      </c>
      <c r="M27" s="2927">
        <f t="shared" si="23"/>
        <v>0</v>
      </c>
      <c r="N27" s="2927">
        <f t="shared" si="23"/>
        <v>0</v>
      </c>
      <c r="O27" s="2928">
        <f t="shared" si="23"/>
        <v>0</v>
      </c>
      <c r="P27" s="2938">
        <f t="shared" si="23"/>
        <v>0</v>
      </c>
      <c r="Q27" s="2560"/>
      <c r="R27" s="2560"/>
      <c r="S27" s="2968">
        <f t="shared" si="3"/>
        <v>0</v>
      </c>
      <c r="T27" s="2996">
        <f t="shared" si="4"/>
        <v>0</v>
      </c>
      <c r="U27" s="2997">
        <f t="shared" si="5"/>
        <v>0</v>
      </c>
      <c r="V27" s="2888"/>
      <c r="W27" s="2985">
        <f t="shared" si="6"/>
        <v>0</v>
      </c>
      <c r="X27" s="2986">
        <f t="shared" si="7"/>
        <v>0</v>
      </c>
      <c r="Y27" s="2987">
        <f t="shared" ref="Y27" si="25">IF($Q58=0,0,U27/$Q58)</f>
        <v>0</v>
      </c>
      <c r="Z27" s="2888"/>
      <c r="AA27" s="2560"/>
      <c r="AB27" s="2888"/>
      <c r="AC27" s="2888"/>
      <c r="AD27" s="2888"/>
      <c r="AE27" s="2888"/>
      <c r="AF27" s="2888"/>
      <c r="AG27" s="2888"/>
      <c r="AH27" s="2888"/>
      <c r="AI27" s="2888"/>
      <c r="AJ27" s="2888"/>
      <c r="AK27" s="2888"/>
      <c r="AL27" s="2888"/>
    </row>
    <row r="28" spans="1:38">
      <c r="A28" s="2560"/>
      <c r="B28" s="2893">
        <f t="shared" si="1"/>
        <v>21</v>
      </c>
      <c r="C28" s="2942" t="s">
        <v>791</v>
      </c>
      <c r="D28" s="2925">
        <f t="shared" si="23"/>
        <v>0</v>
      </c>
      <c r="E28" s="2926">
        <f t="shared" si="23"/>
        <v>0</v>
      </c>
      <c r="F28" s="2926">
        <f t="shared" si="23"/>
        <v>0</v>
      </c>
      <c r="G28" s="2926">
        <f t="shared" si="23"/>
        <v>0</v>
      </c>
      <c r="H28" s="2927">
        <f t="shared" si="23"/>
        <v>0</v>
      </c>
      <c r="I28" s="2927">
        <f t="shared" si="23"/>
        <v>0</v>
      </c>
      <c r="J28" s="2927">
        <f t="shared" si="23"/>
        <v>0</v>
      </c>
      <c r="K28" s="2927">
        <f t="shared" si="23"/>
        <v>0</v>
      </c>
      <c r="L28" s="2927">
        <f t="shared" si="23"/>
        <v>0</v>
      </c>
      <c r="M28" s="2927">
        <f t="shared" si="23"/>
        <v>0</v>
      </c>
      <c r="N28" s="2927">
        <f t="shared" si="23"/>
        <v>0</v>
      </c>
      <c r="O28" s="2928">
        <f t="shared" si="23"/>
        <v>0</v>
      </c>
      <c r="P28" s="2938">
        <f t="shared" si="23"/>
        <v>0</v>
      </c>
      <c r="Q28" s="2560"/>
      <c r="R28" s="2560"/>
      <c r="S28" s="2968">
        <f t="shared" si="3"/>
        <v>0</v>
      </c>
      <c r="T28" s="2996">
        <f t="shared" si="4"/>
        <v>0</v>
      </c>
      <c r="U28" s="2997">
        <f t="shared" si="5"/>
        <v>0</v>
      </c>
      <c r="V28" s="2888"/>
      <c r="W28" s="2985">
        <f t="shared" si="6"/>
        <v>0</v>
      </c>
      <c r="X28" s="2986">
        <f t="shared" si="7"/>
        <v>0</v>
      </c>
      <c r="Y28" s="2987">
        <f t="shared" ref="Y28" si="26">IF($Q59=0,0,U28/$Q59)</f>
        <v>0</v>
      </c>
      <c r="Z28" s="2888"/>
      <c r="AA28" s="2560"/>
      <c r="AB28" s="2888"/>
      <c r="AC28" s="2888"/>
      <c r="AD28" s="2888"/>
      <c r="AE28" s="2888"/>
      <c r="AF28" s="2888"/>
      <c r="AG28" s="2888"/>
      <c r="AH28" s="2888"/>
      <c r="AI28" s="2888"/>
      <c r="AJ28" s="2888"/>
      <c r="AK28" s="2888"/>
      <c r="AL28" s="2888"/>
    </row>
    <row r="29" spans="1:38">
      <c r="A29" s="2560"/>
      <c r="B29" s="2893">
        <f t="shared" si="1"/>
        <v>22</v>
      </c>
      <c r="C29" s="2942" t="s">
        <v>792</v>
      </c>
      <c r="D29" s="2925">
        <f t="shared" si="23"/>
        <v>0</v>
      </c>
      <c r="E29" s="2926">
        <f t="shared" si="23"/>
        <v>0</v>
      </c>
      <c r="F29" s="2926">
        <f t="shared" si="23"/>
        <v>0</v>
      </c>
      <c r="G29" s="2926">
        <f t="shared" si="23"/>
        <v>0</v>
      </c>
      <c r="H29" s="2927">
        <f t="shared" si="23"/>
        <v>0</v>
      </c>
      <c r="I29" s="2927">
        <f t="shared" si="23"/>
        <v>0</v>
      </c>
      <c r="J29" s="2927">
        <f t="shared" si="23"/>
        <v>0</v>
      </c>
      <c r="K29" s="2927">
        <f t="shared" si="23"/>
        <v>0</v>
      </c>
      <c r="L29" s="2927">
        <f t="shared" si="23"/>
        <v>0</v>
      </c>
      <c r="M29" s="2927">
        <f t="shared" si="23"/>
        <v>0</v>
      </c>
      <c r="N29" s="2927">
        <f t="shared" si="23"/>
        <v>0</v>
      </c>
      <c r="O29" s="2928">
        <f t="shared" si="23"/>
        <v>0</v>
      </c>
      <c r="P29" s="2938">
        <f t="shared" si="23"/>
        <v>0</v>
      </c>
      <c r="Q29" s="2560"/>
      <c r="R29" s="2560"/>
      <c r="S29" s="2968">
        <f t="shared" si="3"/>
        <v>0</v>
      </c>
      <c r="T29" s="2996">
        <f t="shared" si="4"/>
        <v>0</v>
      </c>
      <c r="U29" s="2997">
        <f t="shared" si="5"/>
        <v>0</v>
      </c>
      <c r="V29" s="2888"/>
      <c r="W29" s="2985">
        <f t="shared" si="6"/>
        <v>0</v>
      </c>
      <c r="X29" s="2986">
        <f t="shared" si="7"/>
        <v>0</v>
      </c>
      <c r="Y29" s="2987">
        <f t="shared" ref="Y29" si="27">IF($Q60=0,0,U29/$Q60)</f>
        <v>0</v>
      </c>
      <c r="Z29" s="2888"/>
      <c r="AA29" s="2560"/>
      <c r="AB29" s="2888"/>
      <c r="AC29" s="2888"/>
      <c r="AD29" s="2888"/>
      <c r="AE29" s="2888"/>
      <c r="AF29" s="2888"/>
      <c r="AG29" s="2888"/>
      <c r="AH29" s="2888"/>
      <c r="AI29" s="2888"/>
      <c r="AJ29" s="2888"/>
      <c r="AK29" s="2888"/>
      <c r="AL29" s="2888"/>
    </row>
    <row r="30" spans="1:38">
      <c r="A30" s="2560"/>
      <c r="B30" s="2893">
        <f t="shared" si="1"/>
        <v>23</v>
      </c>
      <c r="C30" s="2942" t="s">
        <v>793</v>
      </c>
      <c r="D30" s="2925">
        <f t="shared" si="23"/>
        <v>0</v>
      </c>
      <c r="E30" s="2926">
        <f t="shared" si="23"/>
        <v>0</v>
      </c>
      <c r="F30" s="2926">
        <f t="shared" si="23"/>
        <v>0</v>
      </c>
      <c r="G30" s="2926">
        <f t="shared" si="23"/>
        <v>0</v>
      </c>
      <c r="H30" s="2927">
        <f t="shared" si="23"/>
        <v>0</v>
      </c>
      <c r="I30" s="2927">
        <f t="shared" si="23"/>
        <v>0</v>
      </c>
      <c r="J30" s="2927">
        <f t="shared" si="23"/>
        <v>0</v>
      </c>
      <c r="K30" s="2927">
        <f t="shared" si="23"/>
        <v>0</v>
      </c>
      <c r="L30" s="2927">
        <f t="shared" si="23"/>
        <v>0</v>
      </c>
      <c r="M30" s="2927">
        <f t="shared" si="23"/>
        <v>0</v>
      </c>
      <c r="N30" s="2927">
        <f t="shared" si="23"/>
        <v>0</v>
      </c>
      <c r="O30" s="2928">
        <f t="shared" si="23"/>
        <v>0</v>
      </c>
      <c r="P30" s="2938">
        <f t="shared" si="23"/>
        <v>0</v>
      </c>
      <c r="Q30" s="2560"/>
      <c r="R30" s="2560"/>
      <c r="S30" s="2968">
        <f t="shared" si="3"/>
        <v>0</v>
      </c>
      <c r="T30" s="2996">
        <f t="shared" si="4"/>
        <v>0</v>
      </c>
      <c r="U30" s="2997">
        <f t="shared" si="5"/>
        <v>0</v>
      </c>
      <c r="V30" s="2888"/>
      <c r="W30" s="2985">
        <f t="shared" si="6"/>
        <v>0</v>
      </c>
      <c r="X30" s="2986">
        <f t="shared" si="7"/>
        <v>0</v>
      </c>
      <c r="Y30" s="2987">
        <f t="shared" ref="Y30" si="28">IF($Q61=0,0,U30/$Q61)</f>
        <v>0</v>
      </c>
      <c r="Z30" s="2888"/>
      <c r="AA30" s="2560"/>
      <c r="AB30" s="2888"/>
      <c r="AC30" s="2888"/>
      <c r="AD30" s="2888"/>
      <c r="AE30" s="2888"/>
      <c r="AF30" s="2888"/>
      <c r="AG30" s="2888"/>
      <c r="AH30" s="2888"/>
      <c r="AI30" s="2888"/>
      <c r="AJ30" s="2888"/>
      <c r="AK30" s="2888"/>
      <c r="AL30" s="2888"/>
    </row>
    <row r="31" spans="1:38">
      <c r="A31" s="2560"/>
      <c r="B31" s="2893">
        <f t="shared" si="1"/>
        <v>24</v>
      </c>
      <c r="C31" s="2942" t="s">
        <v>454</v>
      </c>
      <c r="D31" s="2925">
        <f t="shared" si="23"/>
        <v>283.82100000000003</v>
      </c>
      <c r="E31" s="2926">
        <f t="shared" si="23"/>
        <v>283.82100000000003</v>
      </c>
      <c r="F31" s="2926">
        <f t="shared" si="23"/>
        <v>283.82100000000003</v>
      </c>
      <c r="G31" s="2926">
        <f t="shared" si="23"/>
        <v>283.82100000000003</v>
      </c>
      <c r="H31" s="2927">
        <f t="shared" si="23"/>
        <v>283.82100000000003</v>
      </c>
      <c r="I31" s="2927">
        <f t="shared" si="23"/>
        <v>283.82100000000003</v>
      </c>
      <c r="J31" s="2927">
        <f t="shared" si="23"/>
        <v>283.82100000000003</v>
      </c>
      <c r="K31" s="2927">
        <f t="shared" si="23"/>
        <v>283.82100000000003</v>
      </c>
      <c r="L31" s="2927">
        <f t="shared" si="23"/>
        <v>283.82100000000003</v>
      </c>
      <c r="M31" s="2927">
        <f t="shared" si="23"/>
        <v>283.82100000000003</v>
      </c>
      <c r="N31" s="2927">
        <f t="shared" si="23"/>
        <v>283.82100000000003</v>
      </c>
      <c r="O31" s="2928">
        <f t="shared" si="23"/>
        <v>283.82100000000003</v>
      </c>
      <c r="P31" s="2938">
        <f t="shared" si="23"/>
        <v>3405.8519999999994</v>
      </c>
      <c r="Q31" s="2560"/>
      <c r="R31" s="2560"/>
      <c r="S31" s="2968">
        <f t="shared" si="3"/>
        <v>0</v>
      </c>
      <c r="T31" s="2996">
        <f t="shared" si="4"/>
        <v>283.82100000000003</v>
      </c>
      <c r="U31" s="2997">
        <f t="shared" si="5"/>
        <v>3405.8519999999994</v>
      </c>
      <c r="V31" s="2888"/>
      <c r="W31" s="2985">
        <f t="shared" si="6"/>
        <v>0</v>
      </c>
      <c r="X31" s="2986">
        <f t="shared" si="7"/>
        <v>0</v>
      </c>
      <c r="Y31" s="2987">
        <f t="shared" ref="Y31" si="29">IF($Q62=0,0,U31/$Q62)</f>
        <v>0</v>
      </c>
      <c r="Z31" s="2888"/>
      <c r="AA31" s="2560"/>
      <c r="AB31" s="2888"/>
      <c r="AC31" s="2888"/>
      <c r="AD31" s="2888"/>
      <c r="AE31" s="2888"/>
      <c r="AF31" s="2888"/>
      <c r="AG31" s="2888"/>
      <c r="AH31" s="2888"/>
      <c r="AI31" s="2888"/>
      <c r="AJ31" s="2888"/>
      <c r="AK31" s="2888"/>
      <c r="AL31" s="2888"/>
    </row>
    <row r="32" spans="1:38">
      <c r="A32" s="2560"/>
      <c r="B32" s="2893">
        <f t="shared" si="1"/>
        <v>25</v>
      </c>
      <c r="C32" s="2942" t="s">
        <v>455</v>
      </c>
      <c r="D32" s="2925">
        <f t="shared" si="23"/>
        <v>0</v>
      </c>
      <c r="E32" s="2926">
        <f t="shared" si="23"/>
        <v>0</v>
      </c>
      <c r="F32" s="2926">
        <f t="shared" si="23"/>
        <v>0</v>
      </c>
      <c r="G32" s="2926">
        <f t="shared" si="23"/>
        <v>0</v>
      </c>
      <c r="H32" s="2927">
        <f t="shared" si="23"/>
        <v>0</v>
      </c>
      <c r="I32" s="2927">
        <f t="shared" si="23"/>
        <v>0</v>
      </c>
      <c r="J32" s="2927">
        <f t="shared" si="23"/>
        <v>0</v>
      </c>
      <c r="K32" s="2927">
        <f t="shared" si="23"/>
        <v>0</v>
      </c>
      <c r="L32" s="2927">
        <f t="shared" si="23"/>
        <v>0</v>
      </c>
      <c r="M32" s="2927">
        <f t="shared" si="23"/>
        <v>0</v>
      </c>
      <c r="N32" s="2927">
        <f t="shared" si="23"/>
        <v>0</v>
      </c>
      <c r="O32" s="2928">
        <f t="shared" si="23"/>
        <v>0</v>
      </c>
      <c r="P32" s="2938">
        <f t="shared" si="23"/>
        <v>0</v>
      </c>
      <c r="Q32" s="2560"/>
      <c r="R32" s="2560"/>
      <c r="S32" s="2968">
        <f t="shared" si="3"/>
        <v>0</v>
      </c>
      <c r="T32" s="2996">
        <f t="shared" si="4"/>
        <v>0</v>
      </c>
      <c r="U32" s="2997">
        <f t="shared" si="5"/>
        <v>0</v>
      </c>
      <c r="V32" s="2888"/>
      <c r="W32" s="2985">
        <f t="shared" si="6"/>
        <v>0</v>
      </c>
      <c r="X32" s="2986">
        <f t="shared" si="7"/>
        <v>0</v>
      </c>
      <c r="Y32" s="2987">
        <f t="shared" ref="Y32" si="30">IF($Q63=0,0,U32/$Q63)</f>
        <v>0</v>
      </c>
      <c r="Z32" s="2888"/>
      <c r="AA32" s="2560"/>
      <c r="AB32" s="2888"/>
      <c r="AC32" s="2888"/>
      <c r="AD32" s="2888"/>
      <c r="AE32" s="2888"/>
      <c r="AF32" s="2888"/>
      <c r="AG32" s="2888"/>
      <c r="AH32" s="2888"/>
      <c r="AI32" s="2888"/>
      <c r="AJ32" s="2888"/>
      <c r="AK32" s="2888"/>
      <c r="AL32" s="2888"/>
    </row>
    <row r="33" spans="1:38">
      <c r="A33" s="2560"/>
      <c r="B33" s="2893">
        <f t="shared" si="1"/>
        <v>26</v>
      </c>
      <c r="C33" s="2942" t="s">
        <v>927</v>
      </c>
      <c r="D33" s="2925">
        <f t="shared" si="23"/>
        <v>0</v>
      </c>
      <c r="E33" s="2926">
        <f t="shared" si="23"/>
        <v>0</v>
      </c>
      <c r="F33" s="2926">
        <f t="shared" si="23"/>
        <v>0</v>
      </c>
      <c r="G33" s="2926">
        <f t="shared" si="23"/>
        <v>0</v>
      </c>
      <c r="H33" s="2927">
        <f t="shared" si="23"/>
        <v>0</v>
      </c>
      <c r="I33" s="2927">
        <f t="shared" si="23"/>
        <v>0</v>
      </c>
      <c r="J33" s="2927">
        <f t="shared" si="23"/>
        <v>0</v>
      </c>
      <c r="K33" s="2927">
        <f t="shared" si="23"/>
        <v>0</v>
      </c>
      <c r="L33" s="2927">
        <f t="shared" si="23"/>
        <v>0</v>
      </c>
      <c r="M33" s="2927">
        <f t="shared" si="23"/>
        <v>0</v>
      </c>
      <c r="N33" s="2927">
        <f t="shared" si="23"/>
        <v>0</v>
      </c>
      <c r="O33" s="2928">
        <f t="shared" si="23"/>
        <v>0</v>
      </c>
      <c r="P33" s="2938">
        <f t="shared" si="23"/>
        <v>0</v>
      </c>
      <c r="Q33" s="2560"/>
      <c r="R33" s="2560"/>
      <c r="S33" s="2968">
        <f t="shared" si="3"/>
        <v>0</v>
      </c>
      <c r="T33" s="2996">
        <f t="shared" si="4"/>
        <v>0</v>
      </c>
      <c r="U33" s="2997">
        <f t="shared" si="5"/>
        <v>0</v>
      </c>
      <c r="V33" s="2888"/>
      <c r="W33" s="2985">
        <f t="shared" si="6"/>
        <v>0</v>
      </c>
      <c r="X33" s="2986">
        <f t="shared" si="7"/>
        <v>0</v>
      </c>
      <c r="Y33" s="2987">
        <f t="shared" ref="Y33" si="31">IF($Q64=0,0,U33/$Q64)</f>
        <v>0</v>
      </c>
      <c r="Z33" s="2888"/>
      <c r="AA33" s="2560"/>
      <c r="AB33" s="2888"/>
      <c r="AC33" s="2888"/>
      <c r="AD33" s="2888"/>
      <c r="AE33" s="2888"/>
      <c r="AF33" s="2888"/>
      <c r="AG33" s="2888"/>
      <c r="AH33" s="2888"/>
      <c r="AI33" s="2888"/>
      <c r="AJ33" s="2888"/>
      <c r="AK33" s="2888"/>
      <c r="AL33" s="2888"/>
    </row>
    <row r="34" spans="1:38">
      <c r="A34" s="2560"/>
      <c r="B34" s="2893">
        <f t="shared" si="1"/>
        <v>27</v>
      </c>
      <c r="C34" s="2942" t="s">
        <v>446</v>
      </c>
      <c r="D34" s="2925">
        <f t="shared" si="23"/>
        <v>0</v>
      </c>
      <c r="E34" s="2926">
        <f t="shared" si="23"/>
        <v>0</v>
      </c>
      <c r="F34" s="2926">
        <f t="shared" si="23"/>
        <v>0</v>
      </c>
      <c r="G34" s="2926">
        <f t="shared" si="23"/>
        <v>0</v>
      </c>
      <c r="H34" s="2927">
        <f t="shared" si="23"/>
        <v>0</v>
      </c>
      <c r="I34" s="2927">
        <f t="shared" si="23"/>
        <v>0</v>
      </c>
      <c r="J34" s="2927">
        <f t="shared" si="23"/>
        <v>0</v>
      </c>
      <c r="K34" s="2927">
        <f t="shared" si="23"/>
        <v>0</v>
      </c>
      <c r="L34" s="2927">
        <f t="shared" si="23"/>
        <v>0</v>
      </c>
      <c r="M34" s="2927">
        <f t="shared" si="23"/>
        <v>0</v>
      </c>
      <c r="N34" s="2927">
        <f t="shared" si="23"/>
        <v>0</v>
      </c>
      <c r="O34" s="2928">
        <f t="shared" si="23"/>
        <v>0</v>
      </c>
      <c r="P34" s="2938">
        <f t="shared" si="23"/>
        <v>0</v>
      </c>
      <c r="Q34" s="2560"/>
      <c r="R34" s="2560"/>
      <c r="S34" s="2968">
        <f t="shared" si="3"/>
        <v>0</v>
      </c>
      <c r="T34" s="2996">
        <f t="shared" si="4"/>
        <v>0</v>
      </c>
      <c r="U34" s="2997">
        <f t="shared" si="5"/>
        <v>0</v>
      </c>
      <c r="V34" s="2888"/>
      <c r="W34" s="2985">
        <f t="shared" si="6"/>
        <v>0</v>
      </c>
      <c r="X34" s="2986">
        <f t="shared" si="7"/>
        <v>0</v>
      </c>
      <c r="Y34" s="2987">
        <f t="shared" ref="Y34" si="32">IF($Q65=0,0,U34/$Q65)</f>
        <v>0</v>
      </c>
      <c r="Z34" s="2888"/>
      <c r="AA34" s="2560"/>
      <c r="AB34" s="2888"/>
      <c r="AC34" s="2888"/>
      <c r="AD34" s="2888"/>
      <c r="AE34" s="2888"/>
      <c r="AF34" s="2888"/>
      <c r="AG34" s="2888"/>
      <c r="AH34" s="2888"/>
      <c r="AI34" s="2888"/>
      <c r="AJ34" s="2888"/>
      <c r="AK34" s="2888"/>
      <c r="AL34" s="2888"/>
    </row>
    <row r="35" spans="1:38">
      <c r="A35" s="2560"/>
      <c r="B35" s="2893">
        <f t="shared" si="1"/>
        <v>28</v>
      </c>
      <c r="C35" s="2952" t="s">
        <v>109</v>
      </c>
      <c r="D35" s="2953">
        <f t="shared" si="23"/>
        <v>18147</v>
      </c>
      <c r="E35" s="2954">
        <f t="shared" si="23"/>
        <v>18011.933909250893</v>
      </c>
      <c r="F35" s="2954">
        <f t="shared" si="23"/>
        <v>18400.246342926086</v>
      </c>
      <c r="G35" s="2954">
        <f t="shared" si="23"/>
        <v>18052.744234250895</v>
      </c>
      <c r="H35" s="2955">
        <f t="shared" si="23"/>
        <v>18014.244234250895</v>
      </c>
      <c r="I35" s="2955">
        <f t="shared" si="23"/>
        <v>18553.78735125942</v>
      </c>
      <c r="J35" s="2955">
        <f t="shared" si="23"/>
        <v>18313.747946985815</v>
      </c>
      <c r="K35" s="2955">
        <f t="shared" si="23"/>
        <v>18229.968375841603</v>
      </c>
      <c r="L35" s="2955">
        <f t="shared" si="23"/>
        <v>18741.305338652484</v>
      </c>
      <c r="M35" s="2955">
        <f t="shared" si="23"/>
        <v>18262.747946985815</v>
      </c>
      <c r="N35" s="2955">
        <f t="shared" si="23"/>
        <v>18230.722954697387</v>
      </c>
      <c r="O35" s="2956">
        <f t="shared" si="23"/>
        <v>19338.564175874704</v>
      </c>
      <c r="P35" s="2957">
        <f t="shared" si="23"/>
        <v>220297.01281097595</v>
      </c>
      <c r="Q35" s="2560"/>
      <c r="R35" s="2560"/>
      <c r="S35" s="2970">
        <f t="shared" si="3"/>
        <v>0</v>
      </c>
      <c r="T35" s="2973">
        <f t="shared" si="4"/>
        <v>18147</v>
      </c>
      <c r="U35" s="2957">
        <f t="shared" si="5"/>
        <v>220297.01281097595</v>
      </c>
      <c r="V35" s="2888"/>
      <c r="W35" s="2974">
        <f t="shared" si="6"/>
        <v>0</v>
      </c>
      <c r="X35" s="2975">
        <f t="shared" si="7"/>
        <v>0</v>
      </c>
      <c r="Y35" s="2976">
        <f t="shared" ref="Y35" si="33">IF($Q66=0,0,U35/$Q66)</f>
        <v>0</v>
      </c>
      <c r="Z35" s="2888"/>
      <c r="AA35" s="2560"/>
      <c r="AB35" s="2888"/>
      <c r="AC35" s="2888"/>
      <c r="AD35" s="2888"/>
      <c r="AE35" s="2888"/>
      <c r="AF35" s="2888"/>
      <c r="AG35" s="2888"/>
      <c r="AH35" s="2888"/>
      <c r="AI35" s="2888"/>
      <c r="AJ35" s="2888"/>
      <c r="AK35" s="2888"/>
      <c r="AL35" s="2888"/>
    </row>
    <row r="36" spans="1:38" ht="15" thickBot="1">
      <c r="A36" s="2560"/>
      <c r="B36" s="2894">
        <f t="shared" si="1"/>
        <v>29</v>
      </c>
      <c r="C36" s="2958" t="s">
        <v>200</v>
      </c>
      <c r="D36" s="2959">
        <f t="shared" si="23"/>
        <v>50</v>
      </c>
      <c r="E36" s="2960">
        <f t="shared" si="23"/>
        <v>3.637978807091713E-12</v>
      </c>
      <c r="F36" s="2960">
        <f t="shared" si="23"/>
        <v>0</v>
      </c>
      <c r="G36" s="2960">
        <f t="shared" si="23"/>
        <v>0</v>
      </c>
      <c r="H36" s="2961">
        <f t="shared" si="23"/>
        <v>0</v>
      </c>
      <c r="I36" s="2961">
        <f t="shared" si="23"/>
        <v>0</v>
      </c>
      <c r="J36" s="2961">
        <f t="shared" si="23"/>
        <v>0</v>
      </c>
      <c r="K36" s="2961">
        <f t="shared" si="23"/>
        <v>0</v>
      </c>
      <c r="L36" s="2961">
        <f t="shared" si="23"/>
        <v>0</v>
      </c>
      <c r="M36" s="2961">
        <f t="shared" si="23"/>
        <v>0</v>
      </c>
      <c r="N36" s="2961">
        <f t="shared" si="23"/>
        <v>0</v>
      </c>
      <c r="O36" s="2962">
        <f t="shared" si="23"/>
        <v>-49.999999999996362</v>
      </c>
      <c r="P36" s="2963">
        <f t="shared" si="23"/>
        <v>7.2759576141834259E-12</v>
      </c>
      <c r="Q36" s="2560"/>
      <c r="R36" s="2560"/>
      <c r="S36" s="2972">
        <f t="shared" si="3"/>
        <v>0</v>
      </c>
      <c r="T36" s="2977">
        <f t="shared" si="4"/>
        <v>50</v>
      </c>
      <c r="U36" s="2978">
        <f>P36</f>
        <v>7.2759576141834259E-12</v>
      </c>
      <c r="V36" s="2888"/>
      <c r="W36" s="2979">
        <f t="shared" si="6"/>
        <v>0</v>
      </c>
      <c r="X36" s="2980">
        <f t="shared" si="7"/>
        <v>0</v>
      </c>
      <c r="Y36" s="2981">
        <f t="shared" ref="Y36" si="34">IF($Q67=0,0,U36/$Q67)</f>
        <v>0</v>
      </c>
      <c r="Z36" s="2888"/>
      <c r="AA36" s="2560"/>
      <c r="AB36" s="2888"/>
      <c r="AC36" s="2888"/>
      <c r="AD36" s="2888"/>
      <c r="AE36" s="2888"/>
      <c r="AF36" s="2888"/>
      <c r="AG36" s="2888"/>
      <c r="AH36" s="2888"/>
      <c r="AI36" s="2888"/>
      <c r="AJ36" s="2888"/>
      <c r="AK36" s="2888"/>
      <c r="AL36" s="2888"/>
    </row>
    <row r="37" spans="1:38">
      <c r="A37" s="2560"/>
      <c r="B37" s="99"/>
      <c r="C37" s="2560"/>
      <c r="D37" s="2560"/>
      <c r="E37" s="2560"/>
      <c r="F37" s="2560"/>
      <c r="G37" s="2560"/>
      <c r="H37" s="2560"/>
      <c r="I37" s="2560"/>
      <c r="J37" s="2560"/>
      <c r="K37" s="2560"/>
      <c r="L37" s="2560"/>
      <c r="M37" s="2560"/>
      <c r="N37" s="2560"/>
      <c r="O37" s="2560"/>
      <c r="P37" s="2560"/>
      <c r="Q37" s="2560"/>
      <c r="R37" s="2560"/>
      <c r="S37" s="2888"/>
      <c r="T37" s="2888"/>
      <c r="U37" s="2888"/>
      <c r="V37" s="2888"/>
      <c r="W37" s="2888"/>
      <c r="X37" s="2888"/>
      <c r="Y37" s="2888"/>
      <c r="Z37" s="2888"/>
      <c r="AA37" s="2560"/>
      <c r="AB37" s="2888"/>
      <c r="AC37" s="2888"/>
      <c r="AD37" s="2888"/>
      <c r="AE37" s="2888"/>
      <c r="AF37" s="2888"/>
      <c r="AG37" s="2888"/>
      <c r="AH37" s="2888"/>
      <c r="AI37" s="2888"/>
      <c r="AJ37" s="2888"/>
      <c r="AK37" s="2888"/>
      <c r="AL37" s="2888"/>
    </row>
    <row r="38" spans="1:38" ht="15" thickBot="1">
      <c r="A38" s="2560"/>
      <c r="B38" s="99"/>
      <c r="C38" s="2560"/>
      <c r="D38" s="2560"/>
      <c r="E38" s="2560"/>
      <c r="F38" s="2560"/>
      <c r="G38" s="2560"/>
      <c r="H38" s="2560"/>
      <c r="I38" s="2560"/>
      <c r="J38" s="2560"/>
      <c r="K38" s="2560"/>
      <c r="L38" s="2560"/>
      <c r="M38" s="2560"/>
      <c r="N38" s="2560"/>
      <c r="O38" s="2560"/>
      <c r="P38" s="2560"/>
      <c r="Q38" s="2560"/>
      <c r="R38" s="2560"/>
      <c r="S38" s="2890" t="s">
        <v>1383</v>
      </c>
      <c r="T38" s="2888"/>
      <c r="U38" s="2888"/>
      <c r="V38" s="2888"/>
      <c r="W38" s="2888"/>
      <c r="X38" s="2888"/>
      <c r="Y38" s="2888"/>
      <c r="Z38" s="2888"/>
      <c r="AA38" s="2560"/>
      <c r="AB38" s="2888"/>
      <c r="AC38" s="2888"/>
      <c r="AD38" s="2888"/>
      <c r="AE38" s="2888"/>
      <c r="AF38" s="2888"/>
      <c r="AG38" s="2888"/>
      <c r="AH38" s="2888"/>
      <c r="AI38" s="2888"/>
      <c r="AJ38" s="2888"/>
      <c r="AK38" s="2888"/>
      <c r="AL38" s="2888"/>
    </row>
    <row r="39" spans="1:38" ht="16" thickBot="1">
      <c r="A39" s="2560"/>
      <c r="B39" s="2892">
        <f>+B36+1</f>
        <v>30</v>
      </c>
      <c r="C39" s="3204" t="s">
        <v>1384</v>
      </c>
      <c r="D39" s="3205"/>
      <c r="E39" s="3205"/>
      <c r="F39" s="3205"/>
      <c r="G39" s="3205"/>
      <c r="H39" s="3205"/>
      <c r="I39" s="3205"/>
      <c r="J39" s="3205"/>
      <c r="K39" s="3205"/>
      <c r="L39" s="3205"/>
      <c r="M39" s="3205"/>
      <c r="N39" s="3205"/>
      <c r="O39" s="3205"/>
      <c r="P39" s="3205"/>
      <c r="Q39" s="3206"/>
      <c r="R39" s="2560"/>
      <c r="S39" s="2890" t="s">
        <v>1385</v>
      </c>
      <c r="T39" s="2888"/>
      <c r="U39" s="2888"/>
      <c r="V39" s="2888"/>
      <c r="W39" s="2888"/>
      <c r="X39" s="2888"/>
      <c r="Y39" s="2888"/>
      <c r="Z39" s="2888"/>
      <c r="AA39" s="2560"/>
      <c r="AB39" s="2888"/>
      <c r="AC39" s="2888"/>
      <c r="AD39" s="2888"/>
      <c r="AE39" s="2888"/>
      <c r="AF39" s="2888"/>
      <c r="AG39" s="2888"/>
      <c r="AH39" s="2888"/>
      <c r="AI39" s="2888"/>
      <c r="AJ39" s="2888"/>
      <c r="AK39" s="2888"/>
      <c r="AL39" s="2888"/>
    </row>
    <row r="40" spans="1:38" ht="15" thickBot="1">
      <c r="A40" s="2560"/>
      <c r="B40" s="2893">
        <f>+B39+1</f>
        <v>31</v>
      </c>
      <c r="C40" s="2866" t="s">
        <v>1365</v>
      </c>
      <c r="D40" s="2867" t="s">
        <v>1366</v>
      </c>
      <c r="E40" s="2868" t="s">
        <v>1367</v>
      </c>
      <c r="F40" s="2868" t="s">
        <v>1368</v>
      </c>
      <c r="G40" s="2868" t="s">
        <v>1369</v>
      </c>
      <c r="H40" s="2868" t="s">
        <v>1370</v>
      </c>
      <c r="I40" s="2868" t="s">
        <v>1371</v>
      </c>
      <c r="J40" s="2868" t="s">
        <v>1372</v>
      </c>
      <c r="K40" s="2868" t="s">
        <v>1373</v>
      </c>
      <c r="L40" s="2868" t="s">
        <v>1374</v>
      </c>
      <c r="M40" s="2868" t="s">
        <v>1375</v>
      </c>
      <c r="N40" s="2868" t="s">
        <v>1376</v>
      </c>
      <c r="O40" s="2869" t="s">
        <v>1377</v>
      </c>
      <c r="P40" s="2870" t="s">
        <v>78</v>
      </c>
      <c r="Q40" s="2870" t="s">
        <v>39</v>
      </c>
      <c r="R40" s="2560"/>
      <c r="S40" s="2890" t="s">
        <v>1386</v>
      </c>
      <c r="T40" s="2888"/>
      <c r="U40" s="2888"/>
      <c r="V40" s="2888"/>
      <c r="W40" s="2888"/>
      <c r="X40" s="2888"/>
      <c r="Y40" s="2888"/>
      <c r="Z40" s="2888"/>
      <c r="AA40" s="2560"/>
      <c r="AB40" s="2888"/>
      <c r="AC40" s="2888"/>
      <c r="AD40" s="2888"/>
      <c r="AE40" s="2888"/>
      <c r="AF40" s="2888"/>
      <c r="AG40" s="2888"/>
      <c r="AH40" s="2888"/>
      <c r="AI40" s="2888"/>
      <c r="AJ40" s="2888"/>
      <c r="AK40" s="2888"/>
      <c r="AL40" s="2888"/>
    </row>
    <row r="41" spans="1:38">
      <c r="A41" s="2560"/>
      <c r="B41" s="2893">
        <f t="shared" ref="B41:B67" si="35">+B40+1</f>
        <v>32</v>
      </c>
      <c r="C41" s="2871" t="s">
        <v>44</v>
      </c>
      <c r="D41" s="2901"/>
      <c r="E41" s="2902"/>
      <c r="F41" s="2902"/>
      <c r="G41" s="2902"/>
      <c r="H41" s="2903"/>
      <c r="I41" s="2903"/>
      <c r="J41" s="2903"/>
      <c r="K41" s="2903"/>
      <c r="L41" s="2903"/>
      <c r="M41" s="2903"/>
      <c r="N41" s="2903"/>
      <c r="O41" s="2904"/>
      <c r="P41" s="2937">
        <f t="shared" ref="P41:P67" si="36">SUM(D41:O41)</f>
        <v>0</v>
      </c>
      <c r="Q41" s="2937">
        <f>IF(LEFT($T$3,3)="Mar",0,SUM(INDEX($D41:$O41,1,MATCH(LEFT($T$3,3),$D$6:$O$6,0)+1):$O41))</f>
        <v>0</v>
      </c>
      <c r="R41" s="2560"/>
      <c r="S41" s="2888"/>
      <c r="T41" s="2888"/>
      <c r="U41" s="2888"/>
      <c r="V41" s="2888"/>
      <c r="W41" s="2888"/>
      <c r="X41" s="2888"/>
      <c r="Y41" s="2888"/>
      <c r="Z41" s="2888"/>
      <c r="AA41" s="2560"/>
      <c r="AB41" s="2888"/>
      <c r="AC41" s="2888"/>
      <c r="AD41" s="2888"/>
      <c r="AE41" s="2888"/>
      <c r="AF41" s="2888"/>
      <c r="AG41" s="2888"/>
      <c r="AH41" s="2888"/>
      <c r="AI41" s="2888"/>
      <c r="AJ41" s="2888"/>
      <c r="AK41" s="2888"/>
      <c r="AL41" s="2888"/>
    </row>
    <row r="42" spans="1:38">
      <c r="A42" s="2560"/>
      <c r="B42" s="2893">
        <f t="shared" si="35"/>
        <v>33</v>
      </c>
      <c r="C42" s="2872" t="s">
        <v>1381</v>
      </c>
      <c r="D42" s="2905"/>
      <c r="E42" s="2906"/>
      <c r="F42" s="2906"/>
      <c r="G42" s="2906"/>
      <c r="H42" s="2907"/>
      <c r="I42" s="2907"/>
      <c r="J42" s="2907"/>
      <c r="K42" s="2907"/>
      <c r="L42" s="2907"/>
      <c r="M42" s="2907"/>
      <c r="N42" s="2907"/>
      <c r="O42" s="2908"/>
      <c r="P42" s="2938">
        <f t="shared" si="36"/>
        <v>0</v>
      </c>
      <c r="Q42" s="2938">
        <f>IF(LEFT($T$3,3)="Mar",0,SUM(INDEX($D42:$O42,1,MATCH(LEFT($T$3,3),$D$6:$O$6,0)+1):$O42))</f>
        <v>0</v>
      </c>
      <c r="R42" s="2560"/>
      <c r="S42" s="2888"/>
      <c r="T42" s="2888"/>
      <c r="U42" s="2888"/>
      <c r="V42" s="2888"/>
      <c r="W42" s="2888"/>
      <c r="X42" s="2888"/>
      <c r="Y42" s="2888"/>
      <c r="Z42" s="2888"/>
      <c r="AA42" s="2560"/>
      <c r="AB42" s="2888"/>
      <c r="AC42" s="2888"/>
      <c r="AD42" s="2888"/>
      <c r="AE42" s="2888"/>
      <c r="AF42" s="2888"/>
      <c r="AG42" s="2888"/>
      <c r="AH42" s="2888"/>
      <c r="AI42" s="2888"/>
      <c r="AJ42" s="2888"/>
      <c r="AK42" s="2888"/>
      <c r="AL42" s="2888"/>
    </row>
    <row r="43" spans="1:38">
      <c r="A43" s="2560"/>
      <c r="B43" s="2893">
        <f t="shared" si="35"/>
        <v>34</v>
      </c>
      <c r="C43" s="2872" t="s">
        <v>787</v>
      </c>
      <c r="D43" s="2905"/>
      <c r="E43" s="2906"/>
      <c r="F43" s="2906"/>
      <c r="G43" s="2906"/>
      <c r="H43" s="2907"/>
      <c r="I43" s="2907"/>
      <c r="J43" s="2907"/>
      <c r="K43" s="2907"/>
      <c r="L43" s="2907"/>
      <c r="M43" s="2907"/>
      <c r="N43" s="2907"/>
      <c r="O43" s="2908"/>
      <c r="P43" s="2938">
        <f t="shared" si="36"/>
        <v>0</v>
      </c>
      <c r="Q43" s="2938">
        <f>IF(LEFT($T$3,3)="Mar",0,SUM(INDEX($D43:$O43,1,MATCH(LEFT($T$3,3),$D$6:$O$6,0)+1):$O43))</f>
        <v>0</v>
      </c>
      <c r="R43" s="2560"/>
      <c r="S43" s="2888"/>
      <c r="T43" s="2888"/>
      <c r="U43" s="2888"/>
      <c r="V43" s="2888"/>
      <c r="W43" s="2888"/>
      <c r="X43" s="2888"/>
      <c r="Y43" s="2888"/>
      <c r="Z43" s="2888"/>
      <c r="AA43" s="2560"/>
      <c r="AB43" s="2888"/>
      <c r="AC43" s="2888"/>
      <c r="AD43" s="2888"/>
      <c r="AE43" s="2888"/>
      <c r="AF43" s="2888"/>
      <c r="AG43" s="2888"/>
      <c r="AH43" s="2888"/>
      <c r="AI43" s="2888"/>
      <c r="AJ43" s="2888"/>
      <c r="AK43" s="2888"/>
      <c r="AL43" s="2888"/>
    </row>
    <row r="44" spans="1:38">
      <c r="A44" s="2560"/>
      <c r="B44" s="2893">
        <f t="shared" si="35"/>
        <v>35</v>
      </c>
      <c r="C44" s="2872" t="s">
        <v>788</v>
      </c>
      <c r="D44" s="2905"/>
      <c r="E44" s="2906"/>
      <c r="F44" s="2906"/>
      <c r="G44" s="2906"/>
      <c r="H44" s="2907"/>
      <c r="I44" s="2907"/>
      <c r="J44" s="2907"/>
      <c r="K44" s="2907"/>
      <c r="L44" s="2907"/>
      <c r="M44" s="2907"/>
      <c r="N44" s="2907"/>
      <c r="O44" s="2908"/>
      <c r="P44" s="2938">
        <f t="shared" si="36"/>
        <v>0</v>
      </c>
      <c r="Q44" s="2938">
        <f>IF(LEFT($T$3,3)="Mar",0,SUM(INDEX($D44:$O44,1,MATCH(LEFT($T$3,3),$D$6:$O$6,0)+1):$O44))</f>
        <v>0</v>
      </c>
      <c r="R44" s="2560"/>
      <c r="S44" s="2888"/>
      <c r="T44" s="2888"/>
      <c r="U44" s="2888"/>
      <c r="V44" s="2888"/>
      <c r="W44" s="2888"/>
      <c r="X44" s="2888"/>
      <c r="Y44" s="2888"/>
      <c r="Z44" s="2888"/>
      <c r="AA44" s="2888"/>
      <c r="AB44" s="2888"/>
      <c r="AC44" s="2888"/>
      <c r="AD44" s="2888"/>
      <c r="AE44" s="2888"/>
      <c r="AF44" s="2888"/>
      <c r="AG44" s="2888"/>
      <c r="AH44" s="2888"/>
      <c r="AI44" s="2888"/>
      <c r="AJ44" s="2888"/>
      <c r="AK44" s="2888"/>
      <c r="AL44" s="2888"/>
    </row>
    <row r="45" spans="1:38">
      <c r="A45" s="2560"/>
      <c r="B45" s="2893">
        <f t="shared" si="35"/>
        <v>36</v>
      </c>
      <c r="C45" s="2872" t="s">
        <v>790</v>
      </c>
      <c r="D45" s="2905"/>
      <c r="E45" s="2906"/>
      <c r="F45" s="2906"/>
      <c r="G45" s="2906"/>
      <c r="H45" s="2907"/>
      <c r="I45" s="2907"/>
      <c r="J45" s="2907"/>
      <c r="K45" s="2907"/>
      <c r="L45" s="2907"/>
      <c r="M45" s="2907"/>
      <c r="N45" s="2907"/>
      <c r="O45" s="2908"/>
      <c r="P45" s="2938">
        <f t="shared" si="36"/>
        <v>0</v>
      </c>
      <c r="Q45" s="2938">
        <f>IF(LEFT($T$3,3)="Mar",0,SUM(INDEX($D45:$O45,1,MATCH(LEFT($T$3,3),$D$6:$O$6,0)+1):$O45))</f>
        <v>0</v>
      </c>
      <c r="R45" s="2560"/>
      <c r="S45" s="2888"/>
      <c r="T45" s="2888"/>
      <c r="U45" s="2888"/>
      <c r="V45" s="2888"/>
      <c r="W45" s="2888"/>
      <c r="X45" s="2888"/>
      <c r="Y45" s="2888"/>
      <c r="Z45" s="2888"/>
      <c r="AA45" s="2888"/>
      <c r="AB45" s="2888"/>
      <c r="AC45" s="2888"/>
      <c r="AD45" s="2888"/>
      <c r="AE45" s="2888"/>
      <c r="AF45" s="2888"/>
      <c r="AG45" s="2888"/>
      <c r="AH45" s="2888"/>
      <c r="AI45" s="2888"/>
      <c r="AJ45" s="2888"/>
      <c r="AK45" s="2888"/>
      <c r="AL45" s="2888"/>
    </row>
    <row r="46" spans="1:38">
      <c r="A46" s="2560"/>
      <c r="B46" s="2893">
        <f t="shared" si="35"/>
        <v>37</v>
      </c>
      <c r="C46" s="2873" t="s">
        <v>789</v>
      </c>
      <c r="D46" s="2909"/>
      <c r="E46" s="2910"/>
      <c r="F46" s="2910"/>
      <c r="G46" s="2910"/>
      <c r="H46" s="2911"/>
      <c r="I46" s="2911"/>
      <c r="J46" s="2911"/>
      <c r="K46" s="2911"/>
      <c r="L46" s="2911"/>
      <c r="M46" s="2911"/>
      <c r="N46" s="2911"/>
      <c r="O46" s="2912"/>
      <c r="P46" s="2939">
        <f t="shared" si="36"/>
        <v>0</v>
      </c>
      <c r="Q46" s="2939">
        <f>IF(LEFT($T$3,3)="Mar",0,SUM(INDEX($D46:$O46,1,MATCH(LEFT($T$3,3),$D$6:$O$6,0)+1):$O46))</f>
        <v>0</v>
      </c>
      <c r="R46" s="2560"/>
      <c r="S46" s="2888"/>
      <c r="T46" s="2888"/>
      <c r="U46" s="2888"/>
      <c r="V46" s="2888"/>
      <c r="W46" s="2888"/>
      <c r="X46" s="2888"/>
      <c r="Y46" s="2888"/>
      <c r="Z46" s="2888"/>
      <c r="AA46" s="2888"/>
      <c r="AB46" s="2888"/>
      <c r="AC46" s="2888"/>
      <c r="AD46" s="2888"/>
      <c r="AE46" s="2888"/>
      <c r="AF46" s="2888"/>
      <c r="AG46" s="2888"/>
      <c r="AH46" s="2888"/>
      <c r="AI46" s="2888"/>
      <c r="AJ46" s="2888"/>
      <c r="AK46" s="2888"/>
      <c r="AL46" s="2888"/>
    </row>
    <row r="47" spans="1:38">
      <c r="A47" s="2560"/>
      <c r="B47" s="2893">
        <f t="shared" si="35"/>
        <v>38</v>
      </c>
      <c r="C47" s="2874" t="s">
        <v>188</v>
      </c>
      <c r="D47" s="2875">
        <f>SUM(D41:D46)</f>
        <v>0</v>
      </c>
      <c r="E47" s="2876">
        <f t="shared" ref="E47:N47" si="37">SUM(E41:E46)</f>
        <v>0</v>
      </c>
      <c r="F47" s="2876">
        <f t="shared" si="37"/>
        <v>0</v>
      </c>
      <c r="G47" s="2876">
        <f t="shared" si="37"/>
        <v>0</v>
      </c>
      <c r="H47" s="2877">
        <f t="shared" si="37"/>
        <v>0</v>
      </c>
      <c r="I47" s="2877">
        <f t="shared" si="37"/>
        <v>0</v>
      </c>
      <c r="J47" s="2877">
        <f t="shared" si="37"/>
        <v>0</v>
      </c>
      <c r="K47" s="2877">
        <f t="shared" si="37"/>
        <v>0</v>
      </c>
      <c r="L47" s="2877">
        <f t="shared" si="37"/>
        <v>0</v>
      </c>
      <c r="M47" s="2877">
        <f t="shared" si="37"/>
        <v>0</v>
      </c>
      <c r="N47" s="2877">
        <f t="shared" si="37"/>
        <v>0</v>
      </c>
      <c r="O47" s="2878">
        <f>SUM(O41:O46)</f>
        <v>0</v>
      </c>
      <c r="P47" s="2879">
        <f t="shared" si="36"/>
        <v>0</v>
      </c>
      <c r="Q47" s="2879">
        <f>IF(LEFT($T$3,3)="Mar",0,SUM(INDEX($D47:$O47,1,MATCH(LEFT($T$3,3),$D$6:$O$6,0)+1):$O47))</f>
        <v>0</v>
      </c>
      <c r="R47" s="2560"/>
      <c r="S47" s="2888"/>
      <c r="T47" s="2888"/>
      <c r="U47" s="2888"/>
      <c r="V47" s="2888"/>
      <c r="W47" s="2888"/>
      <c r="X47" s="2888"/>
      <c r="Y47" s="2888"/>
      <c r="Z47" s="2888"/>
      <c r="AA47" s="2888"/>
      <c r="AB47" s="2888"/>
      <c r="AC47" s="2888"/>
      <c r="AD47" s="2888"/>
      <c r="AE47" s="2888"/>
      <c r="AF47" s="2888"/>
      <c r="AG47" s="2888"/>
      <c r="AH47" s="2888"/>
      <c r="AI47" s="2888"/>
      <c r="AJ47" s="2888"/>
      <c r="AK47" s="2888"/>
      <c r="AL47" s="2888"/>
    </row>
    <row r="48" spans="1:38">
      <c r="A48" s="2560"/>
      <c r="B48" s="2893">
        <f t="shared" si="35"/>
        <v>39</v>
      </c>
      <c r="C48" s="2880" t="s">
        <v>1382</v>
      </c>
      <c r="D48" s="2913"/>
      <c r="E48" s="2914"/>
      <c r="F48" s="2914"/>
      <c r="G48" s="2914"/>
      <c r="H48" s="2915"/>
      <c r="I48" s="2915"/>
      <c r="J48" s="2915"/>
      <c r="K48" s="2915"/>
      <c r="L48" s="2915"/>
      <c r="M48" s="2915"/>
      <c r="N48" s="2915"/>
      <c r="O48" s="2916"/>
      <c r="P48" s="2940">
        <f t="shared" si="36"/>
        <v>0</v>
      </c>
      <c r="Q48" s="2940">
        <f>IF(LEFT($T$3,3)="Mar",0,SUM(INDEX($D48:$O48,1,MATCH(LEFT($T$3,3),$D$6:$O$6,0)+1):$O48))</f>
        <v>0</v>
      </c>
      <c r="R48" s="2560"/>
      <c r="S48" s="2888"/>
      <c r="T48" s="2888"/>
      <c r="U48" s="2888"/>
      <c r="V48" s="2888"/>
      <c r="W48" s="2888"/>
      <c r="X48" s="2888"/>
      <c r="Y48" s="2888"/>
      <c r="Z48" s="2888"/>
      <c r="AA48" s="2888"/>
      <c r="AB48" s="2888"/>
      <c r="AC48" s="2888"/>
      <c r="AD48" s="2888"/>
      <c r="AE48" s="2888"/>
      <c r="AF48" s="2888"/>
      <c r="AG48" s="2888"/>
      <c r="AH48" s="2888"/>
      <c r="AI48" s="2888"/>
      <c r="AJ48" s="2888"/>
      <c r="AK48" s="2888"/>
      <c r="AL48" s="2888"/>
    </row>
    <row r="49" spans="1:38">
      <c r="A49" s="2560"/>
      <c r="B49" s="2893">
        <f t="shared" si="35"/>
        <v>40</v>
      </c>
      <c r="C49" s="2872" t="s">
        <v>463</v>
      </c>
      <c r="D49" s="2905"/>
      <c r="E49" s="2906"/>
      <c r="F49" s="2906"/>
      <c r="G49" s="2906"/>
      <c r="H49" s="2907"/>
      <c r="I49" s="2907"/>
      <c r="J49" s="2907"/>
      <c r="K49" s="2907"/>
      <c r="L49" s="2907"/>
      <c r="M49" s="2907"/>
      <c r="N49" s="2907"/>
      <c r="O49" s="2908"/>
      <c r="P49" s="2938">
        <f t="shared" si="36"/>
        <v>0</v>
      </c>
      <c r="Q49" s="2938">
        <f>IF(LEFT($T$3,3)="Mar",0,SUM(INDEX($D49:$O49,1,MATCH(LEFT($T$3,3),$D$6:$O$6,0)+1):$O49))</f>
        <v>0</v>
      </c>
      <c r="R49" s="2560"/>
      <c r="S49" s="2888"/>
      <c r="T49" s="2888"/>
      <c r="U49" s="2888"/>
      <c r="V49" s="2888"/>
      <c r="W49" s="2888"/>
      <c r="X49" s="2888"/>
      <c r="Y49" s="2888"/>
      <c r="Z49" s="2888"/>
      <c r="AA49" s="2888"/>
      <c r="AB49" s="2888"/>
      <c r="AC49" s="2888"/>
      <c r="AD49" s="2888"/>
      <c r="AE49" s="2888"/>
      <c r="AF49" s="2888"/>
      <c r="AG49" s="2888"/>
      <c r="AH49" s="2888"/>
      <c r="AI49" s="2888"/>
      <c r="AJ49" s="2888"/>
      <c r="AK49" s="2888"/>
      <c r="AL49" s="2888"/>
    </row>
    <row r="50" spans="1:38">
      <c r="A50" s="2560"/>
      <c r="B50" s="2893">
        <f t="shared" si="35"/>
        <v>41</v>
      </c>
      <c r="C50" s="2872" t="s">
        <v>457</v>
      </c>
      <c r="D50" s="2905"/>
      <c r="E50" s="2906"/>
      <c r="F50" s="2906"/>
      <c r="G50" s="2906"/>
      <c r="H50" s="2907"/>
      <c r="I50" s="2907"/>
      <c r="J50" s="2907"/>
      <c r="K50" s="2907"/>
      <c r="L50" s="2907"/>
      <c r="M50" s="2907"/>
      <c r="N50" s="2907"/>
      <c r="O50" s="2908"/>
      <c r="P50" s="2938">
        <f t="shared" si="36"/>
        <v>0</v>
      </c>
      <c r="Q50" s="2938">
        <f>IF(LEFT($T$3,3)="Mar",0,SUM(INDEX($D50:$O50,1,MATCH(LEFT($T$3,3),$D$6:$O$6,0)+1):$O50))</f>
        <v>0</v>
      </c>
      <c r="R50" s="2560"/>
      <c r="S50" s="2888"/>
      <c r="T50" s="2888"/>
      <c r="U50" s="2888"/>
      <c r="V50" s="2888"/>
      <c r="W50" s="2888"/>
      <c r="X50" s="2888"/>
      <c r="Y50" s="2888"/>
      <c r="Z50" s="2888"/>
      <c r="AA50" s="2888"/>
      <c r="AB50" s="2888"/>
      <c r="AC50" s="2888"/>
      <c r="AD50" s="2888"/>
      <c r="AE50" s="2888"/>
      <c r="AF50" s="2888"/>
      <c r="AG50" s="2888"/>
      <c r="AH50" s="2888"/>
      <c r="AI50" s="2888"/>
      <c r="AJ50" s="2888"/>
      <c r="AK50" s="2888"/>
      <c r="AL50" s="2888"/>
    </row>
    <row r="51" spans="1:38">
      <c r="A51" s="2560"/>
      <c r="B51" s="2893">
        <f t="shared" si="35"/>
        <v>42</v>
      </c>
      <c r="C51" s="2872" t="s">
        <v>458</v>
      </c>
      <c r="D51" s="2905"/>
      <c r="E51" s="2906"/>
      <c r="F51" s="2906"/>
      <c r="G51" s="2906"/>
      <c r="H51" s="2907"/>
      <c r="I51" s="2907"/>
      <c r="J51" s="2907"/>
      <c r="K51" s="2907"/>
      <c r="L51" s="2907"/>
      <c r="M51" s="2907"/>
      <c r="N51" s="2907"/>
      <c r="O51" s="2908"/>
      <c r="P51" s="2938">
        <f t="shared" si="36"/>
        <v>0</v>
      </c>
      <c r="Q51" s="2938">
        <f>IF(LEFT($T$3,3)="Mar",0,SUM(INDEX($D51:$O51,1,MATCH(LEFT($T$3,3),$D$6:$O$6,0)+1):$O51))</f>
        <v>0</v>
      </c>
      <c r="R51" s="2560"/>
      <c r="S51" s="2888"/>
      <c r="T51" s="2888"/>
      <c r="U51" s="2888"/>
      <c r="V51" s="2888"/>
      <c r="W51" s="2888"/>
      <c r="X51" s="2888"/>
      <c r="Y51" s="2888"/>
      <c r="Z51" s="2888"/>
      <c r="AA51" s="2888"/>
      <c r="AB51" s="2888"/>
      <c r="AC51" s="2888"/>
      <c r="AD51" s="2888"/>
      <c r="AE51" s="2888"/>
      <c r="AF51" s="2888"/>
      <c r="AG51" s="2888"/>
      <c r="AH51" s="2888"/>
      <c r="AI51" s="2888"/>
      <c r="AJ51" s="2888"/>
      <c r="AK51" s="2888"/>
      <c r="AL51" s="2888"/>
    </row>
    <row r="52" spans="1:38">
      <c r="A52" s="2560"/>
      <c r="B52" s="2893">
        <f t="shared" si="35"/>
        <v>43</v>
      </c>
      <c r="C52" s="2872" t="s">
        <v>442</v>
      </c>
      <c r="D52" s="2905"/>
      <c r="E52" s="2906"/>
      <c r="F52" s="2906"/>
      <c r="G52" s="2906"/>
      <c r="H52" s="2907"/>
      <c r="I52" s="2907"/>
      <c r="J52" s="2907"/>
      <c r="K52" s="2907"/>
      <c r="L52" s="2907"/>
      <c r="M52" s="2907"/>
      <c r="N52" s="2907"/>
      <c r="O52" s="2908"/>
      <c r="P52" s="2938">
        <f t="shared" si="36"/>
        <v>0</v>
      </c>
      <c r="Q52" s="2938">
        <f>IF(LEFT($T$3,3)="Mar",0,SUM(INDEX($D52:$O52,1,MATCH(LEFT($T$3,3),$D$6:$O$6,0)+1):$O52))</f>
        <v>0</v>
      </c>
      <c r="R52" s="2560"/>
      <c r="S52" s="2888"/>
      <c r="T52" s="2888"/>
      <c r="U52" s="2888"/>
      <c r="V52" s="2888"/>
      <c r="W52" s="2888"/>
      <c r="X52" s="2888"/>
      <c r="Y52" s="2888"/>
      <c r="Z52" s="2888"/>
      <c r="AA52" s="2888"/>
      <c r="AB52" s="2888"/>
      <c r="AC52" s="2888"/>
      <c r="AD52" s="2888"/>
      <c r="AE52" s="2888"/>
      <c r="AF52" s="2888"/>
      <c r="AG52" s="2888"/>
      <c r="AH52" s="2888"/>
      <c r="AI52" s="2888"/>
      <c r="AJ52" s="2888"/>
      <c r="AK52" s="2888"/>
      <c r="AL52" s="2888"/>
    </row>
    <row r="53" spans="1:38">
      <c r="A53" s="2560"/>
      <c r="B53" s="2893">
        <f t="shared" si="35"/>
        <v>44</v>
      </c>
      <c r="C53" s="2872" t="s">
        <v>464</v>
      </c>
      <c r="D53" s="2905"/>
      <c r="E53" s="2906"/>
      <c r="F53" s="2906"/>
      <c r="G53" s="2906"/>
      <c r="H53" s="2907"/>
      <c r="I53" s="2907"/>
      <c r="J53" s="2907"/>
      <c r="K53" s="2907"/>
      <c r="L53" s="2907"/>
      <c r="M53" s="2907"/>
      <c r="N53" s="2907"/>
      <c r="O53" s="2908"/>
      <c r="P53" s="2938">
        <f t="shared" si="36"/>
        <v>0</v>
      </c>
      <c r="Q53" s="2938">
        <f>IF(LEFT($T$3,3)="Mar",0,SUM(INDEX($D53:$O53,1,MATCH(LEFT($T$3,3),$D$6:$O$6,0)+1):$O53))</f>
        <v>0</v>
      </c>
      <c r="R53" s="2560"/>
      <c r="S53" s="2888"/>
      <c r="T53" s="2888"/>
      <c r="U53" s="2888"/>
      <c r="V53" s="2888"/>
      <c r="W53" s="2888"/>
      <c r="X53" s="2888"/>
      <c r="Y53" s="2888"/>
      <c r="Z53" s="2888"/>
      <c r="AA53" s="2888"/>
      <c r="AB53" s="2888"/>
      <c r="AC53" s="2888"/>
      <c r="AD53" s="2888"/>
      <c r="AE53" s="2888"/>
      <c r="AF53" s="2888"/>
      <c r="AG53" s="2888"/>
      <c r="AH53" s="2888"/>
      <c r="AI53" s="2888"/>
      <c r="AJ53" s="2888"/>
      <c r="AK53" s="2888"/>
      <c r="AL53" s="2888"/>
    </row>
    <row r="54" spans="1:38">
      <c r="A54" s="2560"/>
      <c r="B54" s="2893">
        <f t="shared" si="35"/>
        <v>45</v>
      </c>
      <c r="C54" s="2872" t="s">
        <v>465</v>
      </c>
      <c r="D54" s="2905"/>
      <c r="E54" s="2906"/>
      <c r="F54" s="2906"/>
      <c r="G54" s="2906"/>
      <c r="H54" s="2907"/>
      <c r="I54" s="2907"/>
      <c r="J54" s="2907"/>
      <c r="K54" s="2907"/>
      <c r="L54" s="2907"/>
      <c r="M54" s="2907"/>
      <c r="N54" s="2907"/>
      <c r="O54" s="2908"/>
      <c r="P54" s="2938">
        <f t="shared" si="36"/>
        <v>0</v>
      </c>
      <c r="Q54" s="2938">
        <f>IF(LEFT($T$3,3)="Mar",0,SUM(INDEX($D54:$O54,1,MATCH(LEFT($T$3,3),$D$6:$O$6,0)+1):$O54))</f>
        <v>0</v>
      </c>
      <c r="R54" s="2560"/>
      <c r="S54" s="2888"/>
      <c r="T54" s="2888"/>
      <c r="U54" s="2888"/>
      <c r="V54" s="2888"/>
      <c r="W54" s="2888"/>
      <c r="X54" s="2888"/>
      <c r="Y54" s="2888"/>
      <c r="Z54" s="2888"/>
      <c r="AA54" s="2888"/>
      <c r="AB54" s="2888"/>
      <c r="AC54" s="2888"/>
      <c r="AD54" s="2888"/>
      <c r="AE54" s="2888"/>
      <c r="AF54" s="2888"/>
      <c r="AG54" s="2888"/>
      <c r="AH54" s="2888"/>
      <c r="AI54" s="2888"/>
      <c r="AJ54" s="2888"/>
      <c r="AK54" s="2888"/>
      <c r="AL54" s="2888"/>
    </row>
    <row r="55" spans="1:38">
      <c r="A55" s="2560"/>
      <c r="B55" s="2893">
        <f t="shared" si="35"/>
        <v>46</v>
      </c>
      <c r="C55" s="2872" t="s">
        <v>443</v>
      </c>
      <c r="D55" s="2905"/>
      <c r="E55" s="2906"/>
      <c r="F55" s="2906"/>
      <c r="G55" s="2906"/>
      <c r="H55" s="2907"/>
      <c r="I55" s="2907"/>
      <c r="J55" s="2907"/>
      <c r="K55" s="2907"/>
      <c r="L55" s="2907"/>
      <c r="M55" s="2907"/>
      <c r="N55" s="2907"/>
      <c r="O55" s="2908"/>
      <c r="P55" s="2938">
        <f t="shared" si="36"/>
        <v>0</v>
      </c>
      <c r="Q55" s="2938">
        <f>IF(LEFT($T$3,3)="Mar",0,SUM(INDEX($D55:$O55,1,MATCH(LEFT($T$3,3),$D$6:$O$6,0)+1):$O55))</f>
        <v>0</v>
      </c>
      <c r="R55" s="2560"/>
      <c r="S55" s="2888"/>
      <c r="T55" s="2888"/>
      <c r="U55" s="2888"/>
      <c r="V55" s="2888"/>
      <c r="W55" s="2888"/>
      <c r="X55" s="2888"/>
      <c r="Y55" s="2888"/>
      <c r="Z55" s="2888"/>
      <c r="AA55" s="2888"/>
      <c r="AB55" s="2888"/>
      <c r="AC55" s="2888"/>
      <c r="AD55" s="2888"/>
      <c r="AE55" s="2888"/>
      <c r="AF55" s="2888"/>
      <c r="AG55" s="2888"/>
      <c r="AH55" s="2888"/>
      <c r="AI55" s="2888"/>
      <c r="AJ55" s="2888"/>
      <c r="AK55" s="2888"/>
      <c r="AL55" s="2888"/>
    </row>
    <row r="56" spans="1:38">
      <c r="A56" s="2560"/>
      <c r="B56" s="2893">
        <f t="shared" si="35"/>
        <v>47</v>
      </c>
      <c r="C56" s="2872" t="s">
        <v>444</v>
      </c>
      <c r="D56" s="2905"/>
      <c r="E56" s="2906"/>
      <c r="F56" s="2906"/>
      <c r="G56" s="2906"/>
      <c r="H56" s="2907"/>
      <c r="I56" s="2907"/>
      <c r="J56" s="2907"/>
      <c r="K56" s="2907"/>
      <c r="L56" s="2907"/>
      <c r="M56" s="2907"/>
      <c r="N56" s="2907"/>
      <c r="O56" s="2908"/>
      <c r="P56" s="2938">
        <f t="shared" si="36"/>
        <v>0</v>
      </c>
      <c r="Q56" s="2938">
        <f>IF(LEFT($T$3,3)="Mar",0,SUM(INDEX($D56:$O56,1,MATCH(LEFT($T$3,3),$D$6:$O$6,0)+1):$O56))</f>
        <v>0</v>
      </c>
      <c r="R56" s="2560"/>
      <c r="S56" s="2888"/>
      <c r="T56" s="2888"/>
      <c r="U56" s="2888"/>
      <c r="V56" s="2888"/>
      <c r="W56" s="2888"/>
      <c r="X56" s="2888"/>
      <c r="Y56" s="2888"/>
      <c r="Z56" s="2888"/>
      <c r="AA56" s="2888"/>
      <c r="AB56" s="2888"/>
      <c r="AC56" s="2888"/>
      <c r="AD56" s="2888"/>
      <c r="AE56" s="2888"/>
      <c r="AF56" s="2888"/>
      <c r="AG56" s="2888"/>
      <c r="AH56" s="2888"/>
      <c r="AI56" s="2888"/>
      <c r="AJ56" s="2888"/>
      <c r="AK56" s="2888"/>
      <c r="AL56" s="2888"/>
    </row>
    <row r="57" spans="1:38">
      <c r="A57" s="2560"/>
      <c r="B57" s="2893">
        <f t="shared" si="35"/>
        <v>48</v>
      </c>
      <c r="C57" s="2872" t="s">
        <v>445</v>
      </c>
      <c r="D57" s="2905"/>
      <c r="E57" s="2906"/>
      <c r="F57" s="2906"/>
      <c r="G57" s="2906"/>
      <c r="H57" s="2907"/>
      <c r="I57" s="2907"/>
      <c r="J57" s="2907"/>
      <c r="K57" s="2907"/>
      <c r="L57" s="2907"/>
      <c r="M57" s="2907"/>
      <c r="N57" s="2907"/>
      <c r="O57" s="2908"/>
      <c r="P57" s="2938">
        <f t="shared" si="36"/>
        <v>0</v>
      </c>
      <c r="Q57" s="2938">
        <f>IF(LEFT($T$3,3)="Mar",0,SUM(INDEX($D57:$O57,1,MATCH(LEFT($T$3,3),$D$6:$O$6,0)+1):$O57))</f>
        <v>0</v>
      </c>
      <c r="R57" s="2560"/>
      <c r="S57" s="2888"/>
      <c r="T57" s="2888"/>
      <c r="U57" s="2888"/>
      <c r="V57" s="2888"/>
      <c r="W57" s="2888"/>
      <c r="X57" s="2888"/>
      <c r="Y57" s="2888"/>
      <c r="Z57" s="2888"/>
      <c r="AA57" s="2888"/>
      <c r="AB57" s="2888"/>
      <c r="AC57" s="2888"/>
      <c r="AD57" s="2888"/>
      <c r="AE57" s="2888"/>
      <c r="AF57" s="2888"/>
      <c r="AG57" s="2888"/>
      <c r="AH57" s="2888"/>
      <c r="AI57" s="2888"/>
      <c r="AJ57" s="2888"/>
      <c r="AK57" s="2888"/>
      <c r="AL57" s="2888"/>
    </row>
    <row r="58" spans="1:38">
      <c r="A58" s="2560"/>
      <c r="B58" s="2893">
        <f t="shared" si="35"/>
        <v>49</v>
      </c>
      <c r="C58" s="2881" t="s">
        <v>776</v>
      </c>
      <c r="D58" s="2917"/>
      <c r="E58" s="2918"/>
      <c r="F58" s="2918"/>
      <c r="G58" s="2918"/>
      <c r="H58" s="2919"/>
      <c r="I58" s="2919"/>
      <c r="J58" s="2919"/>
      <c r="K58" s="2919"/>
      <c r="L58" s="2919"/>
      <c r="M58" s="2919"/>
      <c r="N58" s="2919"/>
      <c r="O58" s="2920"/>
      <c r="P58" s="2938">
        <f t="shared" si="36"/>
        <v>0</v>
      </c>
      <c r="Q58" s="2938">
        <f>IF(LEFT($T$3,3)="Mar",0,SUM(INDEX($D58:$O58,1,MATCH(LEFT($T$3,3),$D$6:$O$6,0)+1):$O58))</f>
        <v>0</v>
      </c>
      <c r="R58" s="2560"/>
      <c r="S58" s="2888"/>
      <c r="T58" s="2888"/>
      <c r="U58" s="2888"/>
      <c r="V58" s="2888"/>
      <c r="W58" s="2888"/>
      <c r="X58" s="2888"/>
      <c r="Y58" s="2888"/>
      <c r="Z58" s="2888"/>
      <c r="AA58" s="2888"/>
      <c r="AB58" s="2888"/>
      <c r="AC58" s="2888"/>
      <c r="AD58" s="2888"/>
      <c r="AE58" s="2888"/>
      <c r="AF58" s="2888"/>
      <c r="AG58" s="2888"/>
      <c r="AH58" s="2888"/>
      <c r="AI58" s="2888"/>
      <c r="AJ58" s="2888"/>
      <c r="AK58" s="2888"/>
      <c r="AL58" s="2888"/>
    </row>
    <row r="59" spans="1:38">
      <c r="A59" s="2560"/>
      <c r="B59" s="2893">
        <f t="shared" si="35"/>
        <v>50</v>
      </c>
      <c r="C59" s="2881" t="s">
        <v>791</v>
      </c>
      <c r="D59" s="2917"/>
      <c r="E59" s="2918"/>
      <c r="F59" s="2918"/>
      <c r="G59" s="2918"/>
      <c r="H59" s="2919"/>
      <c r="I59" s="2919"/>
      <c r="J59" s="2919"/>
      <c r="K59" s="2919"/>
      <c r="L59" s="2919"/>
      <c r="M59" s="2919"/>
      <c r="N59" s="2919"/>
      <c r="O59" s="2920"/>
      <c r="P59" s="2938">
        <f t="shared" si="36"/>
        <v>0</v>
      </c>
      <c r="Q59" s="2938">
        <f>IF(LEFT($T$3,3)="Mar",0,SUM(INDEX($D59:$O59,1,MATCH(LEFT($T$3,3),$D$6:$O$6,0)+1):$O59))</f>
        <v>0</v>
      </c>
      <c r="R59" s="2560"/>
      <c r="S59" s="2888"/>
      <c r="T59" s="2888"/>
      <c r="U59" s="2888"/>
      <c r="V59" s="2888"/>
      <c r="W59" s="2888"/>
      <c r="X59" s="2888"/>
      <c r="Y59" s="2888"/>
      <c r="Z59" s="2888"/>
      <c r="AA59" s="2888"/>
      <c r="AB59" s="2888"/>
      <c r="AC59" s="2888"/>
      <c r="AD59" s="2888"/>
      <c r="AE59" s="2888"/>
      <c r="AF59" s="2888"/>
      <c r="AG59" s="2888"/>
      <c r="AH59" s="2888"/>
      <c r="AI59" s="2888"/>
      <c r="AJ59" s="2888"/>
      <c r="AK59" s="2888"/>
      <c r="AL59" s="2888"/>
    </row>
    <row r="60" spans="1:38">
      <c r="A60" s="2560"/>
      <c r="B60" s="2893">
        <f t="shared" si="35"/>
        <v>51</v>
      </c>
      <c r="C60" s="2881" t="s">
        <v>792</v>
      </c>
      <c r="D60" s="2917"/>
      <c r="E60" s="2918"/>
      <c r="F60" s="2918"/>
      <c r="G60" s="2918"/>
      <c r="H60" s="2919"/>
      <c r="I60" s="2919"/>
      <c r="J60" s="2919"/>
      <c r="K60" s="2919"/>
      <c r="L60" s="2919"/>
      <c r="M60" s="2919"/>
      <c r="N60" s="2919"/>
      <c r="O60" s="2920"/>
      <c r="P60" s="2938">
        <f t="shared" si="36"/>
        <v>0</v>
      </c>
      <c r="Q60" s="2938">
        <f>IF(LEFT($T$3,3)="Mar",0,SUM(INDEX($D60:$O60,1,MATCH(LEFT($T$3,3),$D$6:$O$6,0)+1):$O60))</f>
        <v>0</v>
      </c>
      <c r="R60" s="2560"/>
      <c r="S60" s="2888"/>
      <c r="T60" s="2888"/>
      <c r="U60" s="2888"/>
      <c r="V60" s="2888"/>
      <c r="W60" s="2888"/>
      <c r="X60" s="2888"/>
      <c r="Y60" s="2888"/>
      <c r="Z60" s="2888"/>
      <c r="AA60" s="2888"/>
      <c r="AB60" s="2888"/>
      <c r="AC60" s="2888"/>
      <c r="AD60" s="2888"/>
      <c r="AE60" s="2888"/>
      <c r="AF60" s="2888"/>
      <c r="AG60" s="2888"/>
      <c r="AH60" s="2888"/>
      <c r="AI60" s="2888"/>
      <c r="AJ60" s="2888"/>
      <c r="AK60" s="2888"/>
      <c r="AL60" s="2888"/>
    </row>
    <row r="61" spans="1:38">
      <c r="A61" s="2560"/>
      <c r="B61" s="2893">
        <f t="shared" si="35"/>
        <v>52</v>
      </c>
      <c r="C61" s="2881" t="s">
        <v>793</v>
      </c>
      <c r="D61" s="2917"/>
      <c r="E61" s="2918"/>
      <c r="F61" s="2918"/>
      <c r="G61" s="2918"/>
      <c r="H61" s="2919"/>
      <c r="I61" s="2919"/>
      <c r="J61" s="2919"/>
      <c r="K61" s="2919"/>
      <c r="L61" s="2919"/>
      <c r="M61" s="2919"/>
      <c r="N61" s="2919"/>
      <c r="O61" s="2920"/>
      <c r="P61" s="2938">
        <f t="shared" si="36"/>
        <v>0</v>
      </c>
      <c r="Q61" s="2938">
        <f>IF(LEFT($T$3,3)="Mar",0,SUM(INDEX($D61:$O61,1,MATCH(LEFT($T$3,3),$D$6:$O$6,0)+1):$O61))</f>
        <v>0</v>
      </c>
      <c r="R61" s="2560"/>
      <c r="S61" s="2888"/>
      <c r="T61" s="2888"/>
      <c r="U61" s="2888"/>
      <c r="V61" s="2888"/>
      <c r="W61" s="2888"/>
      <c r="X61" s="2888"/>
      <c r="Y61" s="2888"/>
      <c r="Z61" s="2888"/>
      <c r="AA61" s="2888"/>
      <c r="AB61" s="2888"/>
      <c r="AC61" s="2888"/>
      <c r="AD61" s="2888"/>
      <c r="AE61" s="2888"/>
      <c r="AF61" s="2888"/>
      <c r="AG61" s="2888"/>
      <c r="AH61" s="2888"/>
      <c r="AI61" s="2888"/>
      <c r="AJ61" s="2888"/>
      <c r="AK61" s="2888"/>
      <c r="AL61" s="2888"/>
    </row>
    <row r="62" spans="1:38">
      <c r="A62" s="2560"/>
      <c r="B62" s="2893">
        <f t="shared" si="35"/>
        <v>53</v>
      </c>
      <c r="C62" s="2881" t="s">
        <v>454</v>
      </c>
      <c r="D62" s="2917"/>
      <c r="E62" s="2918"/>
      <c r="F62" s="2918"/>
      <c r="G62" s="2918"/>
      <c r="H62" s="2919"/>
      <c r="I62" s="2919"/>
      <c r="J62" s="2919"/>
      <c r="K62" s="2919"/>
      <c r="L62" s="2919"/>
      <c r="M62" s="2919"/>
      <c r="N62" s="2919"/>
      <c r="O62" s="2920"/>
      <c r="P62" s="2938">
        <f t="shared" si="36"/>
        <v>0</v>
      </c>
      <c r="Q62" s="2938">
        <f>IF(LEFT($T$3,3)="Mar",0,SUM(INDEX($D62:$O62,1,MATCH(LEFT($T$3,3),$D$6:$O$6,0)+1):$O62))</f>
        <v>0</v>
      </c>
      <c r="R62" s="2560"/>
      <c r="S62" s="2888"/>
      <c r="T62" s="2888"/>
      <c r="U62" s="2888"/>
      <c r="V62" s="2888"/>
      <c r="W62" s="2888"/>
      <c r="X62" s="2888"/>
      <c r="Y62" s="2888"/>
      <c r="Z62" s="2888"/>
      <c r="AA62" s="2888"/>
      <c r="AB62" s="2888"/>
      <c r="AC62" s="2888"/>
      <c r="AD62" s="2888"/>
      <c r="AE62" s="2888"/>
      <c r="AF62" s="2888"/>
      <c r="AG62" s="2888"/>
      <c r="AH62" s="2888"/>
      <c r="AI62" s="2888"/>
      <c r="AJ62" s="2888"/>
      <c r="AK62" s="2888"/>
      <c r="AL62" s="2888"/>
    </row>
    <row r="63" spans="1:38">
      <c r="A63" s="2560"/>
      <c r="B63" s="2893">
        <f t="shared" si="35"/>
        <v>54</v>
      </c>
      <c r="C63" s="2881" t="s">
        <v>455</v>
      </c>
      <c r="D63" s="2917"/>
      <c r="E63" s="2918"/>
      <c r="F63" s="2918"/>
      <c r="G63" s="2918"/>
      <c r="H63" s="2919"/>
      <c r="I63" s="2919"/>
      <c r="J63" s="2919"/>
      <c r="K63" s="2919"/>
      <c r="L63" s="2919"/>
      <c r="M63" s="2919"/>
      <c r="N63" s="2919"/>
      <c r="O63" s="2920"/>
      <c r="P63" s="2938">
        <f t="shared" si="36"/>
        <v>0</v>
      </c>
      <c r="Q63" s="2938">
        <f>IF(LEFT($T$3,3)="Mar",0,SUM(INDEX($D63:$O63,1,MATCH(LEFT($T$3,3),$D$6:$O$6,0)+1):$O63))</f>
        <v>0</v>
      </c>
      <c r="R63" s="2560"/>
      <c r="S63" s="2888"/>
      <c r="T63" s="2888"/>
      <c r="U63" s="2888"/>
      <c r="V63" s="2888"/>
      <c r="W63" s="2888"/>
      <c r="X63" s="2888"/>
      <c r="Y63" s="2888"/>
      <c r="Z63" s="2888"/>
      <c r="AA63" s="2888"/>
      <c r="AB63" s="2888"/>
      <c r="AC63" s="2888"/>
      <c r="AD63" s="2888"/>
      <c r="AE63" s="2888"/>
      <c r="AF63" s="2888"/>
      <c r="AG63" s="2888"/>
      <c r="AH63" s="2888"/>
      <c r="AI63" s="2888"/>
      <c r="AJ63" s="2888"/>
      <c r="AK63" s="2888"/>
      <c r="AL63" s="2888"/>
    </row>
    <row r="64" spans="1:38">
      <c r="A64" s="2560"/>
      <c r="B64" s="2893">
        <f t="shared" si="35"/>
        <v>55</v>
      </c>
      <c r="C64" s="2881" t="s">
        <v>927</v>
      </c>
      <c r="D64" s="2917"/>
      <c r="E64" s="2918"/>
      <c r="F64" s="2918"/>
      <c r="G64" s="2918"/>
      <c r="H64" s="2919"/>
      <c r="I64" s="2919"/>
      <c r="J64" s="2919"/>
      <c r="K64" s="2919"/>
      <c r="L64" s="2919"/>
      <c r="M64" s="2919"/>
      <c r="N64" s="2919"/>
      <c r="O64" s="2920"/>
      <c r="P64" s="2938">
        <f t="shared" si="36"/>
        <v>0</v>
      </c>
      <c r="Q64" s="2938">
        <f>IF(LEFT($T$3,3)="Mar",0,SUM(INDEX($D64:$O64,1,MATCH(LEFT($T$3,3),$D$6:$O$6,0)+1):$O64))</f>
        <v>0</v>
      </c>
      <c r="R64" s="2560"/>
      <c r="S64" s="2888"/>
      <c r="T64" s="2888"/>
      <c r="U64" s="2888"/>
      <c r="V64" s="2888"/>
      <c r="W64" s="2888"/>
      <c r="X64" s="2888"/>
      <c r="Y64" s="2888"/>
      <c r="Z64" s="2888"/>
      <c r="AA64" s="2888"/>
      <c r="AB64" s="2888"/>
      <c r="AC64" s="2888"/>
      <c r="AD64" s="2888"/>
      <c r="AE64" s="2888"/>
      <c r="AF64" s="2888"/>
      <c r="AG64" s="2888"/>
      <c r="AH64" s="2888"/>
      <c r="AI64" s="2888"/>
      <c r="AJ64" s="2888"/>
      <c r="AK64" s="2888"/>
      <c r="AL64" s="2888"/>
    </row>
    <row r="65" spans="1:38">
      <c r="A65" s="2560"/>
      <c r="B65" s="2893">
        <f t="shared" si="35"/>
        <v>56</v>
      </c>
      <c r="C65" s="2881" t="s">
        <v>446</v>
      </c>
      <c r="D65" s="2917"/>
      <c r="E65" s="2918"/>
      <c r="F65" s="2918"/>
      <c r="G65" s="2918"/>
      <c r="H65" s="2919"/>
      <c r="I65" s="2919"/>
      <c r="J65" s="2919"/>
      <c r="K65" s="2919"/>
      <c r="L65" s="2919"/>
      <c r="M65" s="2919"/>
      <c r="N65" s="2919"/>
      <c r="O65" s="2920"/>
      <c r="P65" s="2938">
        <f t="shared" si="36"/>
        <v>0</v>
      </c>
      <c r="Q65" s="2938">
        <f>IF(LEFT($T$3,3)="Mar",0,SUM(INDEX($D65:$O65,1,MATCH(LEFT($T$3,3),$D$6:$O$6,0)+1):$O65))</f>
        <v>0</v>
      </c>
      <c r="R65" s="2560"/>
      <c r="S65" s="2888"/>
      <c r="T65" s="2888"/>
      <c r="U65" s="2888"/>
      <c r="V65" s="2888"/>
      <c r="W65" s="2888"/>
      <c r="X65" s="2888"/>
      <c r="Y65" s="2888"/>
      <c r="Z65" s="2888"/>
      <c r="AA65" s="2888"/>
      <c r="AB65" s="2888"/>
      <c r="AC65" s="2888"/>
      <c r="AD65" s="2888"/>
      <c r="AE65" s="2888"/>
      <c r="AF65" s="2888"/>
      <c r="AG65" s="2888"/>
      <c r="AH65" s="2888"/>
      <c r="AI65" s="2888"/>
      <c r="AJ65" s="2888"/>
      <c r="AK65" s="2888"/>
      <c r="AL65" s="2888"/>
    </row>
    <row r="66" spans="1:38">
      <c r="A66" s="2560"/>
      <c r="B66" s="2893">
        <f t="shared" si="35"/>
        <v>57</v>
      </c>
      <c r="C66" s="2874" t="s">
        <v>109</v>
      </c>
      <c r="D66" s="2875">
        <f>SUM(D48:D65)</f>
        <v>0</v>
      </c>
      <c r="E66" s="2876">
        <f t="shared" ref="E66:O66" si="38">SUM(E48:E65)</f>
        <v>0</v>
      </c>
      <c r="F66" s="2876">
        <f t="shared" si="38"/>
        <v>0</v>
      </c>
      <c r="G66" s="2876">
        <f t="shared" si="38"/>
        <v>0</v>
      </c>
      <c r="H66" s="2877">
        <f t="shared" si="38"/>
        <v>0</v>
      </c>
      <c r="I66" s="2877">
        <f t="shared" si="38"/>
        <v>0</v>
      </c>
      <c r="J66" s="2877">
        <f t="shared" si="38"/>
        <v>0</v>
      </c>
      <c r="K66" s="2877">
        <f t="shared" si="38"/>
        <v>0</v>
      </c>
      <c r="L66" s="2877">
        <f t="shared" si="38"/>
        <v>0</v>
      </c>
      <c r="M66" s="2877">
        <f t="shared" si="38"/>
        <v>0</v>
      </c>
      <c r="N66" s="2877">
        <f t="shared" si="38"/>
        <v>0</v>
      </c>
      <c r="O66" s="2878">
        <f t="shared" si="38"/>
        <v>0</v>
      </c>
      <c r="P66" s="2879">
        <f t="shared" si="36"/>
        <v>0</v>
      </c>
      <c r="Q66" s="2879">
        <f>IF(LEFT($T$3,3)="Mar",0,SUM(INDEX($D66:$O66,1,MATCH(LEFT($T$3,3),$D$6:$O$6,0)+1):$O66))</f>
        <v>0</v>
      </c>
      <c r="R66" s="2560"/>
      <c r="S66" s="2888"/>
      <c r="T66" s="2888"/>
      <c r="U66" s="2888"/>
      <c r="V66" s="2888"/>
      <c r="W66" s="2888"/>
      <c r="X66" s="2888"/>
      <c r="Y66" s="2888"/>
      <c r="Z66" s="2888"/>
      <c r="AA66" s="2888"/>
      <c r="AB66" s="2888"/>
      <c r="AC66" s="2888"/>
      <c r="AD66" s="2888"/>
      <c r="AE66" s="2888"/>
      <c r="AF66" s="2888"/>
      <c r="AG66" s="2888"/>
      <c r="AH66" s="2888"/>
      <c r="AI66" s="2888"/>
      <c r="AJ66" s="2888"/>
      <c r="AK66" s="2888"/>
      <c r="AL66" s="2888"/>
    </row>
    <row r="67" spans="1:38" ht="15" thickBot="1">
      <c r="A67" s="2560"/>
      <c r="B67" s="2894">
        <f t="shared" si="35"/>
        <v>58</v>
      </c>
      <c r="C67" s="2882" t="s">
        <v>200</v>
      </c>
      <c r="D67" s="2883">
        <f>D47-D66</f>
        <v>0</v>
      </c>
      <c r="E67" s="2884">
        <f t="shared" ref="E67:O67" si="39">E47-E66</f>
        <v>0</v>
      </c>
      <c r="F67" s="2884">
        <f t="shared" si="39"/>
        <v>0</v>
      </c>
      <c r="G67" s="2884">
        <f t="shared" si="39"/>
        <v>0</v>
      </c>
      <c r="H67" s="2885">
        <f t="shared" si="39"/>
        <v>0</v>
      </c>
      <c r="I67" s="2885">
        <f t="shared" si="39"/>
        <v>0</v>
      </c>
      <c r="J67" s="2885">
        <f t="shared" si="39"/>
        <v>0</v>
      </c>
      <c r="K67" s="2885">
        <f t="shared" si="39"/>
        <v>0</v>
      </c>
      <c r="L67" s="2885">
        <f t="shared" si="39"/>
        <v>0</v>
      </c>
      <c r="M67" s="2885">
        <f t="shared" si="39"/>
        <v>0</v>
      </c>
      <c r="N67" s="2885">
        <f t="shared" si="39"/>
        <v>0</v>
      </c>
      <c r="O67" s="2886">
        <f t="shared" si="39"/>
        <v>0</v>
      </c>
      <c r="P67" s="2887">
        <f t="shared" si="36"/>
        <v>0</v>
      </c>
      <c r="Q67" s="2887">
        <f>IF(LEFT($T$3,3)="Mar",0,SUM(INDEX($D67:$O67,1,MATCH(LEFT($T$3,3),$D$6:$O$6,0)+1):$O67))</f>
        <v>0</v>
      </c>
      <c r="R67" s="2560"/>
      <c r="S67" s="2888"/>
      <c r="T67" s="2888"/>
      <c r="U67" s="2888"/>
      <c r="V67" s="2888"/>
      <c r="W67" s="2888"/>
      <c r="X67" s="2888"/>
      <c r="Y67" s="2888"/>
      <c r="Z67" s="2888"/>
      <c r="AA67" s="2888"/>
      <c r="AB67" s="2888"/>
      <c r="AC67" s="2888"/>
      <c r="AD67" s="2888"/>
      <c r="AE67" s="2888"/>
      <c r="AF67" s="2888"/>
      <c r="AG67" s="2888"/>
      <c r="AH67" s="2888"/>
      <c r="AI67" s="2888"/>
      <c r="AJ67" s="2888"/>
      <c r="AK67" s="2888"/>
      <c r="AL67" s="2888"/>
    </row>
    <row r="68" spans="1:38">
      <c r="A68" s="2560"/>
      <c r="B68" s="99"/>
      <c r="C68" s="2888"/>
      <c r="D68" s="2888"/>
      <c r="E68" s="2888"/>
      <c r="F68" s="2888"/>
      <c r="G68" s="2888"/>
      <c r="H68" s="2888"/>
      <c r="I68" s="2888"/>
      <c r="J68" s="2888"/>
      <c r="K68" s="2888"/>
      <c r="L68" s="2888"/>
      <c r="M68" s="2888"/>
      <c r="N68" s="2888"/>
      <c r="O68" s="2888"/>
      <c r="P68" s="2888"/>
      <c r="Q68" s="2888"/>
      <c r="R68" s="2560"/>
      <c r="S68" s="2888"/>
      <c r="T68" s="2888"/>
      <c r="U68" s="2888"/>
      <c r="V68" s="2888"/>
      <c r="W68" s="2888"/>
      <c r="X68" s="2888"/>
      <c r="Y68" s="2888"/>
      <c r="Z68" s="2888"/>
      <c r="AA68" s="2888"/>
      <c r="AB68" s="2888"/>
      <c r="AC68" s="2888"/>
      <c r="AD68" s="2888"/>
      <c r="AE68" s="2888"/>
      <c r="AF68" s="2888"/>
      <c r="AG68" s="2888"/>
      <c r="AH68" s="2888"/>
      <c r="AI68" s="2888"/>
      <c r="AJ68" s="2888"/>
      <c r="AK68" s="2888"/>
      <c r="AL68" s="2888"/>
    </row>
    <row r="69" spans="1:38">
      <c r="A69" s="2560"/>
      <c r="B69" s="99"/>
      <c r="C69" s="2888"/>
      <c r="D69" s="2888"/>
      <c r="E69" s="2888"/>
      <c r="F69" s="2888"/>
      <c r="G69" s="2888"/>
      <c r="H69" s="2888"/>
      <c r="I69" s="2888"/>
      <c r="J69" s="2888"/>
      <c r="K69" s="2888"/>
      <c r="L69" s="2888"/>
      <c r="M69" s="2888"/>
      <c r="N69" s="2888"/>
      <c r="O69" s="2888"/>
      <c r="P69" s="2888"/>
      <c r="Q69" s="2888"/>
      <c r="R69" s="2560"/>
      <c r="S69" s="2888"/>
      <c r="T69" s="2888"/>
      <c r="U69" s="2888"/>
      <c r="V69" s="2888"/>
      <c r="W69" s="2888"/>
      <c r="X69" s="2888"/>
      <c r="Y69" s="2888"/>
      <c r="Z69" s="2888"/>
      <c r="AA69" s="2888"/>
      <c r="AB69" s="2888"/>
      <c r="AC69" s="2888"/>
      <c r="AD69" s="2888"/>
      <c r="AE69" s="2888"/>
      <c r="AF69" s="2888"/>
      <c r="AG69" s="2888"/>
      <c r="AH69" s="2888"/>
      <c r="AI69" s="2888"/>
      <c r="AJ69" s="2888"/>
      <c r="AK69" s="2888"/>
      <c r="AL69" s="2888"/>
    </row>
    <row r="70" spans="1:38" ht="15.5">
      <c r="A70" s="2560"/>
      <c r="B70" s="99"/>
      <c r="C70" s="2889" t="s">
        <v>1388</v>
      </c>
      <c r="D70" s="2888"/>
      <c r="E70" s="2888"/>
      <c r="F70" s="2888"/>
      <c r="G70" s="2888"/>
      <c r="H70" s="2888"/>
      <c r="I70" s="2888"/>
      <c r="J70" s="2888"/>
      <c r="K70" s="2888"/>
      <c r="L70" s="2888"/>
      <c r="M70" s="2888"/>
      <c r="N70" s="2888"/>
      <c r="O70" s="2888"/>
      <c r="P70" s="2888"/>
      <c r="Q70" s="2888"/>
      <c r="R70" s="2560"/>
      <c r="S70" s="2888"/>
      <c r="T70" s="2888"/>
      <c r="U70" s="2888"/>
      <c r="V70" s="2888"/>
      <c r="W70" s="2888"/>
      <c r="X70" s="2888"/>
      <c r="Y70" s="2888"/>
      <c r="Z70" s="2888"/>
      <c r="AA70" s="2888"/>
      <c r="AB70" s="2888"/>
      <c r="AC70" s="2888"/>
      <c r="AD70" s="2888"/>
      <c r="AE70" s="2888"/>
      <c r="AF70" s="2888"/>
      <c r="AG70" s="2888"/>
      <c r="AH70" s="2888"/>
      <c r="AI70" s="2888"/>
      <c r="AJ70" s="2888"/>
      <c r="AK70" s="2888"/>
      <c r="AL70" s="2888"/>
    </row>
    <row r="71" spans="1:38" ht="15" thickBot="1">
      <c r="A71" s="2560"/>
      <c r="B71" s="99"/>
      <c r="C71" s="2888"/>
      <c r="D71" s="2888"/>
      <c r="E71" s="2888"/>
      <c r="F71" s="2888"/>
      <c r="G71" s="2888"/>
      <c r="H71" s="2888"/>
      <c r="I71" s="2888"/>
      <c r="J71" s="2888"/>
      <c r="K71" s="2888"/>
      <c r="L71" s="2888"/>
      <c r="M71" s="2888"/>
      <c r="N71" s="2888"/>
      <c r="O71" s="2888"/>
      <c r="P71" s="2888"/>
      <c r="Q71" s="2888"/>
      <c r="R71" s="2560"/>
      <c r="S71" s="2888"/>
      <c r="T71" s="2888"/>
      <c r="U71" s="2888"/>
      <c r="V71" s="2888"/>
      <c r="W71" s="2888"/>
      <c r="X71" s="2888"/>
      <c r="Y71" s="2888"/>
      <c r="Z71" s="2888"/>
      <c r="AA71" s="2888"/>
      <c r="AB71" s="2888"/>
      <c r="AC71" s="2888"/>
      <c r="AD71" s="2888"/>
      <c r="AE71" s="2888"/>
      <c r="AF71" s="2888"/>
      <c r="AG71" s="2888"/>
      <c r="AH71" s="2888"/>
      <c r="AI71" s="2888"/>
      <c r="AJ71" s="2888"/>
      <c r="AK71" s="2888"/>
      <c r="AL71" s="2888"/>
    </row>
    <row r="72" spans="1:38" ht="15" thickBot="1">
      <c r="A72" s="2560"/>
      <c r="B72" s="2892">
        <f>+B67+1</f>
        <v>59</v>
      </c>
      <c r="C72" s="3207" t="s">
        <v>1387</v>
      </c>
      <c r="D72" s="3208"/>
      <c r="E72" s="3208"/>
      <c r="F72" s="3208"/>
      <c r="G72" s="3208"/>
      <c r="H72" s="3208"/>
      <c r="I72" s="3208"/>
      <c r="J72" s="3208"/>
      <c r="K72" s="3208"/>
      <c r="L72" s="3208"/>
      <c r="M72" s="3208"/>
      <c r="N72" s="3208"/>
      <c r="O72" s="3208"/>
      <c r="P72" s="3209"/>
      <c r="Q72" s="2888"/>
      <c r="R72" s="2560"/>
      <c r="S72" s="2888"/>
      <c r="T72" s="2888"/>
      <c r="U72" s="2888"/>
      <c r="V72" s="2888"/>
      <c r="W72" s="2888"/>
      <c r="X72" s="2888"/>
      <c r="Y72" s="2888"/>
      <c r="Z72" s="2888"/>
      <c r="AA72" s="2888"/>
      <c r="AB72" s="2888"/>
      <c r="AC72" s="2888"/>
      <c r="AD72" s="2888"/>
      <c r="AE72" s="2888"/>
      <c r="AF72" s="2888"/>
      <c r="AG72" s="2888"/>
      <c r="AH72" s="2888"/>
      <c r="AI72" s="2888"/>
      <c r="AJ72" s="2888"/>
      <c r="AK72" s="2888"/>
      <c r="AL72" s="2888"/>
    </row>
    <row r="73" spans="1:38" ht="15" thickBot="1">
      <c r="A73" s="2560"/>
      <c r="B73" s="2893">
        <f>+B72+1</f>
        <v>60</v>
      </c>
      <c r="C73" s="2947" t="s">
        <v>1365</v>
      </c>
      <c r="D73" s="2948" t="s">
        <v>1366</v>
      </c>
      <c r="E73" s="2949" t="s">
        <v>1367</v>
      </c>
      <c r="F73" s="2949" t="s">
        <v>1368</v>
      </c>
      <c r="G73" s="2949" t="s">
        <v>1369</v>
      </c>
      <c r="H73" s="2949" t="s">
        <v>1370</v>
      </c>
      <c r="I73" s="2949" t="s">
        <v>1371</v>
      </c>
      <c r="J73" s="2949" t="s">
        <v>1372</v>
      </c>
      <c r="K73" s="2949" t="s">
        <v>1373</v>
      </c>
      <c r="L73" s="2949" t="s">
        <v>1374</v>
      </c>
      <c r="M73" s="2949" t="s">
        <v>1375</v>
      </c>
      <c r="N73" s="2949" t="s">
        <v>1376</v>
      </c>
      <c r="O73" s="2950" t="s">
        <v>1377</v>
      </c>
      <c r="P73" s="2951" t="s">
        <v>78</v>
      </c>
      <c r="Q73" s="2888"/>
      <c r="R73" s="2560"/>
      <c r="S73" s="2888"/>
      <c r="T73" s="2888"/>
      <c r="U73" s="2888"/>
      <c r="V73" s="2888"/>
      <c r="W73" s="2888"/>
      <c r="X73" s="2888"/>
      <c r="Y73" s="2888"/>
      <c r="Z73" s="2888"/>
      <c r="AA73" s="2888"/>
      <c r="AB73" s="2888"/>
      <c r="AC73" s="2888"/>
      <c r="AD73" s="2888"/>
      <c r="AE73" s="2888"/>
      <c r="AF73" s="2888"/>
      <c r="AG73" s="2888"/>
      <c r="AH73" s="2888"/>
      <c r="AI73" s="2888"/>
      <c r="AJ73" s="2888"/>
      <c r="AK73" s="2888"/>
      <c r="AL73" s="2888"/>
    </row>
    <row r="74" spans="1:38">
      <c r="A74" s="2560"/>
      <c r="B74" s="2893">
        <f t="shared" ref="B74:B100" si="40">+B73+1</f>
        <v>61</v>
      </c>
      <c r="C74" s="2941" t="s">
        <v>44</v>
      </c>
      <c r="D74" s="2921">
        <f>'B - Monthly Positions'!D11</f>
        <v>0</v>
      </c>
      <c r="E74" s="2922">
        <f>'B - Monthly Positions'!E11</f>
        <v>0</v>
      </c>
      <c r="F74" s="2922">
        <f>'B - Monthly Positions'!F11</f>
        <v>0</v>
      </c>
      <c r="G74" s="2922">
        <f>'B - Monthly Positions'!G11</f>
        <v>0</v>
      </c>
      <c r="H74" s="2923">
        <f>'B - Monthly Positions'!H11</f>
        <v>0</v>
      </c>
      <c r="I74" s="2923">
        <f>'B - Monthly Positions'!I11</f>
        <v>0</v>
      </c>
      <c r="J74" s="2923">
        <f>'B - Monthly Positions'!J11</f>
        <v>0</v>
      </c>
      <c r="K74" s="2923">
        <f>'B - Monthly Positions'!K11</f>
        <v>0</v>
      </c>
      <c r="L74" s="2923">
        <f>'B - Monthly Positions'!L11</f>
        <v>0</v>
      </c>
      <c r="M74" s="2923">
        <f>'B - Monthly Positions'!M11</f>
        <v>0</v>
      </c>
      <c r="N74" s="2923">
        <f>'B - Monthly Positions'!N11</f>
        <v>0</v>
      </c>
      <c r="O74" s="2924">
        <f>'B - Monthly Positions'!O11</f>
        <v>0</v>
      </c>
      <c r="P74" s="2937">
        <f>SUM(D74:O74)</f>
        <v>0</v>
      </c>
      <c r="Q74" s="2888"/>
      <c r="R74" s="2560"/>
      <c r="S74" s="2888"/>
      <c r="T74" s="2888"/>
      <c r="U74" s="2888"/>
      <c r="V74" s="2888"/>
      <c r="W74" s="2888"/>
      <c r="X74" s="2888"/>
      <c r="Y74" s="2888"/>
      <c r="Z74" s="2888"/>
      <c r="AA74" s="2888"/>
      <c r="AB74" s="2888"/>
      <c r="AC74" s="2888"/>
      <c r="AD74" s="2888"/>
      <c r="AE74" s="2888"/>
      <c r="AF74" s="2888"/>
      <c r="AG74" s="2888"/>
      <c r="AH74" s="2888"/>
      <c r="AI74" s="2888"/>
      <c r="AJ74" s="2888"/>
      <c r="AK74" s="2888"/>
      <c r="AL74" s="2888"/>
    </row>
    <row r="75" spans="1:38">
      <c r="A75" s="2560"/>
      <c r="B75" s="2893">
        <f t="shared" si="40"/>
        <v>62</v>
      </c>
      <c r="C75" s="2942" t="s">
        <v>1381</v>
      </c>
      <c r="D75" s="2925">
        <f>'B - Monthly Positions'!D12</f>
        <v>0</v>
      </c>
      <c r="E75" s="2926">
        <f>'B - Monthly Positions'!E12</f>
        <v>0</v>
      </c>
      <c r="F75" s="2926">
        <f>'B - Monthly Positions'!F12</f>
        <v>0</v>
      </c>
      <c r="G75" s="2926">
        <f>'B - Monthly Positions'!G12</f>
        <v>0</v>
      </c>
      <c r="H75" s="2927">
        <f>'B - Monthly Positions'!H12</f>
        <v>0</v>
      </c>
      <c r="I75" s="2927">
        <f>'B - Monthly Positions'!I12</f>
        <v>0</v>
      </c>
      <c r="J75" s="2927">
        <f>'B - Monthly Positions'!J12</f>
        <v>0</v>
      </c>
      <c r="K75" s="2927">
        <f>'B - Monthly Positions'!K12</f>
        <v>0</v>
      </c>
      <c r="L75" s="2927">
        <f>'B - Monthly Positions'!L12</f>
        <v>0</v>
      </c>
      <c r="M75" s="2927">
        <f>'B - Monthly Positions'!M12</f>
        <v>0</v>
      </c>
      <c r="N75" s="2927">
        <f>'B - Monthly Positions'!N12</f>
        <v>0</v>
      </c>
      <c r="O75" s="2928">
        <f>'B - Monthly Positions'!O12</f>
        <v>0</v>
      </c>
      <c r="P75" s="2938">
        <f t="shared" ref="P75:P100" si="41">SUM(D75:O75)</f>
        <v>0</v>
      </c>
      <c r="Q75" s="2888"/>
      <c r="R75" s="2560"/>
      <c r="S75" s="2888"/>
      <c r="T75" s="2888"/>
      <c r="U75" s="2888"/>
      <c r="V75" s="2888"/>
      <c r="W75" s="2888"/>
      <c r="X75" s="2888"/>
      <c r="Y75" s="2888"/>
      <c r="Z75" s="2888"/>
      <c r="AA75" s="2888"/>
      <c r="AB75" s="2888"/>
      <c r="AC75" s="2888"/>
      <c r="AD75" s="2888"/>
      <c r="AE75" s="2888"/>
      <c r="AF75" s="2888"/>
      <c r="AG75" s="2888"/>
      <c r="AH75" s="2888"/>
      <c r="AI75" s="2888"/>
      <c r="AJ75" s="2888"/>
      <c r="AK75" s="2888"/>
      <c r="AL75" s="2888"/>
    </row>
    <row r="76" spans="1:38">
      <c r="A76" s="2560"/>
      <c r="B76" s="2893">
        <f t="shared" si="40"/>
        <v>63</v>
      </c>
      <c r="C76" s="2942" t="s">
        <v>787</v>
      </c>
      <c r="D76" s="2925">
        <f>'B - Monthly Positions'!D13</f>
        <v>1922</v>
      </c>
      <c r="E76" s="2926">
        <f>'B - Monthly Positions'!E13</f>
        <v>1887</v>
      </c>
      <c r="F76" s="2926">
        <f>'B - Monthly Positions'!F13</f>
        <v>1887</v>
      </c>
      <c r="G76" s="2926">
        <f>'B - Monthly Positions'!G13</f>
        <v>1887</v>
      </c>
      <c r="H76" s="2927">
        <f>'B - Monthly Positions'!H13</f>
        <v>1887</v>
      </c>
      <c r="I76" s="2927">
        <f>'B - Monthly Positions'!I13</f>
        <v>1887</v>
      </c>
      <c r="J76" s="2927">
        <f>'B - Monthly Positions'!J13</f>
        <v>1887</v>
      </c>
      <c r="K76" s="2927">
        <f>'B - Monthly Positions'!K13</f>
        <v>1887</v>
      </c>
      <c r="L76" s="2927">
        <f>'B - Monthly Positions'!L13</f>
        <v>1887</v>
      </c>
      <c r="M76" s="2927">
        <f>'B - Monthly Positions'!M13</f>
        <v>1887</v>
      </c>
      <c r="N76" s="2927">
        <f>'B - Monthly Positions'!N13</f>
        <v>1887</v>
      </c>
      <c r="O76" s="2928">
        <f>'B - Monthly Positions'!O13</f>
        <v>1888</v>
      </c>
      <c r="P76" s="2938">
        <f t="shared" si="41"/>
        <v>22680</v>
      </c>
      <c r="Q76" s="2888"/>
      <c r="R76" s="2560"/>
      <c r="S76" s="2888"/>
      <c r="T76" s="2888"/>
      <c r="U76" s="2888"/>
      <c r="V76" s="2888"/>
      <c r="W76" s="2888"/>
      <c r="X76" s="2888"/>
      <c r="Y76" s="2888"/>
      <c r="Z76" s="2888"/>
      <c r="AA76" s="2888"/>
      <c r="AB76" s="2888"/>
      <c r="AC76" s="2888"/>
      <c r="AD76" s="2888"/>
      <c r="AE76" s="2888"/>
      <c r="AF76" s="2888"/>
      <c r="AG76" s="2888"/>
      <c r="AH76" s="2888"/>
      <c r="AI76" s="2888"/>
      <c r="AJ76" s="2888"/>
      <c r="AK76" s="2888"/>
      <c r="AL76" s="2888"/>
    </row>
    <row r="77" spans="1:38">
      <c r="A77" s="2560"/>
      <c r="B77" s="2893">
        <f t="shared" si="40"/>
        <v>64</v>
      </c>
      <c r="C77" s="2942" t="s">
        <v>788</v>
      </c>
      <c r="D77" s="2925">
        <f>'B - Monthly Positions'!D14</f>
        <v>16</v>
      </c>
      <c r="E77" s="2926">
        <f>'B - Monthly Positions'!E14</f>
        <v>0</v>
      </c>
      <c r="F77" s="2926">
        <f>'B - Monthly Positions'!F14</f>
        <v>0</v>
      </c>
      <c r="G77" s="2926">
        <f>'B - Monthly Positions'!G14</f>
        <v>0</v>
      </c>
      <c r="H77" s="2927">
        <f>'B - Monthly Positions'!H14</f>
        <v>0</v>
      </c>
      <c r="I77" s="2927">
        <f>'B - Monthly Positions'!I14</f>
        <v>0</v>
      </c>
      <c r="J77" s="2927">
        <f>'B - Monthly Positions'!J14</f>
        <v>0</v>
      </c>
      <c r="K77" s="2927">
        <f>'B - Monthly Positions'!K14</f>
        <v>0</v>
      </c>
      <c r="L77" s="2927">
        <f>'B - Monthly Positions'!L14</f>
        <v>0</v>
      </c>
      <c r="M77" s="2927">
        <f>'B - Monthly Positions'!M14</f>
        <v>0</v>
      </c>
      <c r="N77" s="2927">
        <f>'B - Monthly Positions'!N14</f>
        <v>0</v>
      </c>
      <c r="O77" s="2928">
        <f>'B - Monthly Positions'!O14</f>
        <v>0</v>
      </c>
      <c r="P77" s="2938">
        <f t="shared" si="41"/>
        <v>16</v>
      </c>
      <c r="Q77" s="2888"/>
      <c r="R77" s="2560"/>
      <c r="S77" s="2888"/>
      <c r="T77" s="2888"/>
      <c r="U77" s="2888"/>
      <c r="V77" s="2888"/>
      <c r="W77" s="2888"/>
      <c r="X77" s="2888"/>
      <c r="Y77" s="2888"/>
      <c r="Z77" s="2888"/>
      <c r="AA77" s="2888"/>
      <c r="AB77" s="2888"/>
      <c r="AC77" s="2888"/>
      <c r="AD77" s="2888"/>
      <c r="AE77" s="2888"/>
      <c r="AF77" s="2888"/>
      <c r="AG77" s="2888"/>
      <c r="AH77" s="2888"/>
      <c r="AI77" s="2888"/>
      <c r="AJ77" s="2888"/>
      <c r="AK77" s="2888"/>
      <c r="AL77" s="2888"/>
    </row>
    <row r="78" spans="1:38">
      <c r="A78" s="2560"/>
      <c r="B78" s="2893">
        <f t="shared" si="40"/>
        <v>65</v>
      </c>
      <c r="C78" s="2942" t="s">
        <v>790</v>
      </c>
      <c r="D78" s="2925">
        <f>'B - Monthly Positions'!D15</f>
        <v>15778</v>
      </c>
      <c r="E78" s="2926">
        <f>'B - Monthly Positions'!E15</f>
        <v>15815.933909250894</v>
      </c>
      <c r="F78" s="2926">
        <f>'B - Monthly Positions'!F15</f>
        <v>16204.246342926086</v>
      </c>
      <c r="G78" s="2926">
        <f>'B - Monthly Positions'!G15</f>
        <v>15856.744234250895</v>
      </c>
      <c r="H78" s="2927">
        <f>'B - Monthly Positions'!H15</f>
        <v>15826.244234250895</v>
      </c>
      <c r="I78" s="2927">
        <f>'B - Monthly Positions'!I15</f>
        <v>16365.78735125942</v>
      </c>
      <c r="J78" s="2927">
        <f>'B - Monthly Positions'!J15</f>
        <v>16125.747946985817</v>
      </c>
      <c r="K78" s="2927">
        <f>'B - Monthly Positions'!K15</f>
        <v>16041.968375841603</v>
      </c>
      <c r="L78" s="2927">
        <f>'B - Monthly Positions'!L15</f>
        <v>16553.305338652484</v>
      </c>
      <c r="M78" s="2927">
        <f>'B - Monthly Positions'!M15</f>
        <v>16074.747946985817</v>
      </c>
      <c r="N78" s="2927">
        <f>'B - Monthly Positions'!N15</f>
        <v>16042.722954697387</v>
      </c>
      <c r="O78" s="2928">
        <f>'B - Monthly Positions'!O15</f>
        <v>17098.564175874708</v>
      </c>
      <c r="P78" s="2938">
        <f t="shared" si="41"/>
        <v>193784.01281097601</v>
      </c>
      <c r="Q78" s="2888"/>
      <c r="R78" s="2560"/>
      <c r="S78" s="2888"/>
      <c r="T78" s="2888"/>
      <c r="U78" s="2888"/>
      <c r="V78" s="2888"/>
      <c r="W78" s="2888"/>
      <c r="X78" s="2888"/>
      <c r="Y78" s="2888"/>
      <c r="Z78" s="2888"/>
      <c r="AA78" s="2888"/>
      <c r="AB78" s="2888"/>
      <c r="AC78" s="2888"/>
      <c r="AD78" s="2888"/>
      <c r="AE78" s="2888"/>
      <c r="AF78" s="2888"/>
      <c r="AG78" s="2888"/>
      <c r="AH78" s="2888"/>
      <c r="AI78" s="2888"/>
      <c r="AJ78" s="2888"/>
      <c r="AK78" s="2888"/>
      <c r="AL78" s="2888"/>
    </row>
    <row r="79" spans="1:38">
      <c r="A79" s="2560"/>
      <c r="B79" s="2893">
        <f t="shared" si="40"/>
        <v>66</v>
      </c>
      <c r="C79" s="2943" t="s">
        <v>789</v>
      </c>
      <c r="D79" s="2929">
        <f>'B - Monthly Positions'!D16</f>
        <v>481</v>
      </c>
      <c r="E79" s="2930">
        <f>'B - Monthly Positions'!E16</f>
        <v>309</v>
      </c>
      <c r="F79" s="2930">
        <f>'B - Monthly Positions'!F16</f>
        <v>309</v>
      </c>
      <c r="G79" s="2930">
        <f>'B - Monthly Positions'!G16</f>
        <v>309</v>
      </c>
      <c r="H79" s="2931">
        <f>'B - Monthly Positions'!H16</f>
        <v>301</v>
      </c>
      <c r="I79" s="2931">
        <f>'B - Monthly Positions'!I16</f>
        <v>301</v>
      </c>
      <c r="J79" s="2931">
        <f>'B - Monthly Positions'!J16</f>
        <v>301</v>
      </c>
      <c r="K79" s="2931">
        <f>'B - Monthly Positions'!K16</f>
        <v>301</v>
      </c>
      <c r="L79" s="2931">
        <f>'B - Monthly Positions'!L16</f>
        <v>301</v>
      </c>
      <c r="M79" s="2931">
        <f>'B - Monthly Positions'!M16</f>
        <v>301</v>
      </c>
      <c r="N79" s="2931">
        <f>'B - Monthly Positions'!N16</f>
        <v>301</v>
      </c>
      <c r="O79" s="2932">
        <f>'B - Monthly Positions'!O16</f>
        <v>302</v>
      </c>
      <c r="P79" s="2939">
        <f t="shared" si="41"/>
        <v>3817</v>
      </c>
      <c r="Q79" s="2888"/>
      <c r="R79" s="2560"/>
      <c r="S79" s="2888"/>
      <c r="T79" s="2888"/>
      <c r="U79" s="2888"/>
      <c r="V79" s="2888"/>
      <c r="W79" s="2888"/>
      <c r="X79" s="2888"/>
      <c r="Y79" s="2888"/>
      <c r="Z79" s="2888"/>
      <c r="AA79" s="2888"/>
      <c r="AB79" s="2888"/>
      <c r="AC79" s="2888"/>
      <c r="AD79" s="2888"/>
      <c r="AE79" s="2888"/>
      <c r="AF79" s="2888"/>
      <c r="AG79" s="2888"/>
      <c r="AH79" s="2888"/>
      <c r="AI79" s="2888"/>
      <c r="AJ79" s="2888"/>
      <c r="AK79" s="2888"/>
      <c r="AL79" s="2888"/>
    </row>
    <row r="80" spans="1:38">
      <c r="A80" s="2560"/>
      <c r="B80" s="2893">
        <f t="shared" si="40"/>
        <v>67</v>
      </c>
      <c r="C80" s="2952" t="s">
        <v>188</v>
      </c>
      <c r="D80" s="2953">
        <f>'B - Monthly Positions'!D17</f>
        <v>18197</v>
      </c>
      <c r="E80" s="2954">
        <f>'B - Monthly Positions'!E17</f>
        <v>18011.933909250896</v>
      </c>
      <c r="F80" s="2954">
        <f>'B - Monthly Positions'!F17</f>
        <v>18400.246342926086</v>
      </c>
      <c r="G80" s="2954">
        <f>'B - Monthly Positions'!G17</f>
        <v>18052.744234250895</v>
      </c>
      <c r="H80" s="2955">
        <f>'B - Monthly Positions'!H17</f>
        <v>18014.244234250895</v>
      </c>
      <c r="I80" s="2955">
        <f>'B - Monthly Positions'!I17</f>
        <v>18553.78735125942</v>
      </c>
      <c r="J80" s="2955">
        <f>'B - Monthly Positions'!J17</f>
        <v>18313.747946985815</v>
      </c>
      <c r="K80" s="2955">
        <f>'B - Monthly Positions'!K17</f>
        <v>18229.968375841603</v>
      </c>
      <c r="L80" s="2955">
        <f>'B - Monthly Positions'!L17</f>
        <v>18741.305338652484</v>
      </c>
      <c r="M80" s="2955">
        <f>'B - Monthly Positions'!M17</f>
        <v>18262.747946985815</v>
      </c>
      <c r="N80" s="2955">
        <f>'B - Monthly Positions'!N17</f>
        <v>18230.722954697387</v>
      </c>
      <c r="O80" s="2956">
        <f>'B - Monthly Positions'!O17</f>
        <v>19288.564175874708</v>
      </c>
      <c r="P80" s="2957">
        <f t="shared" si="41"/>
        <v>220297.01281097601</v>
      </c>
      <c r="Q80" s="2888"/>
      <c r="R80" s="2560"/>
      <c r="S80" s="2888"/>
      <c r="T80" s="2888"/>
      <c r="U80" s="2888"/>
      <c r="V80" s="2888"/>
      <c r="W80" s="2888"/>
      <c r="X80" s="2888"/>
      <c r="Y80" s="2888"/>
      <c r="Z80" s="2888"/>
      <c r="AA80" s="2888"/>
      <c r="AB80" s="2888"/>
      <c r="AC80" s="2888"/>
      <c r="AD80" s="2888"/>
      <c r="AE80" s="2888"/>
      <c r="AF80" s="2888"/>
      <c r="AG80" s="2888"/>
      <c r="AH80" s="2888"/>
      <c r="AI80" s="2888"/>
      <c r="AJ80" s="2888"/>
      <c r="AK80" s="2888"/>
      <c r="AL80" s="2888"/>
    </row>
    <row r="81" spans="1:38">
      <c r="A81" s="2560"/>
      <c r="B81" s="2893">
        <f t="shared" si="40"/>
        <v>68</v>
      </c>
      <c r="C81" s="2944" t="s">
        <v>1382</v>
      </c>
      <c r="D81" s="2933">
        <f>'B - Monthly Positions'!D18</f>
        <v>0</v>
      </c>
      <c r="E81" s="2934">
        <f>'B - Monthly Positions'!E18</f>
        <v>0</v>
      </c>
      <c r="F81" s="2934">
        <f>'B - Monthly Positions'!F18</f>
        <v>0</v>
      </c>
      <c r="G81" s="2934">
        <f>'B - Monthly Positions'!G18</f>
        <v>0</v>
      </c>
      <c r="H81" s="2935">
        <f>'B - Monthly Positions'!H18</f>
        <v>0</v>
      </c>
      <c r="I81" s="2935">
        <f>'B - Monthly Positions'!I18</f>
        <v>0</v>
      </c>
      <c r="J81" s="2935">
        <f>'B - Monthly Positions'!J18</f>
        <v>0</v>
      </c>
      <c r="K81" s="2935">
        <f>'B - Monthly Positions'!K18</f>
        <v>0</v>
      </c>
      <c r="L81" s="2935">
        <f>'B - Monthly Positions'!L18</f>
        <v>0</v>
      </c>
      <c r="M81" s="2935">
        <f>'B - Monthly Positions'!M18</f>
        <v>0</v>
      </c>
      <c r="N81" s="2935">
        <f>'B - Monthly Positions'!N18</f>
        <v>0</v>
      </c>
      <c r="O81" s="2936">
        <f>'B - Monthly Positions'!O18</f>
        <v>0</v>
      </c>
      <c r="P81" s="2940">
        <f t="shared" si="41"/>
        <v>0</v>
      </c>
      <c r="Q81" s="2888"/>
      <c r="R81" s="2560"/>
      <c r="S81" s="2888"/>
      <c r="T81" s="2888"/>
      <c r="U81" s="2888"/>
      <c r="V81" s="2888"/>
      <c r="W81" s="2888"/>
      <c r="X81" s="2888"/>
      <c r="Y81" s="2888"/>
      <c r="Z81" s="2888"/>
      <c r="AA81" s="2888"/>
      <c r="AB81" s="2888"/>
      <c r="AC81" s="2888"/>
      <c r="AD81" s="2888"/>
      <c r="AE81" s="2888"/>
      <c r="AF81" s="2888"/>
      <c r="AG81" s="2888"/>
      <c r="AH81" s="2888"/>
      <c r="AI81" s="2888"/>
      <c r="AJ81" s="2888"/>
      <c r="AK81" s="2888"/>
      <c r="AL81" s="2888"/>
    </row>
    <row r="82" spans="1:38">
      <c r="A82" s="2560"/>
      <c r="B82" s="2893">
        <f t="shared" si="40"/>
        <v>69</v>
      </c>
      <c r="C82" s="2942" t="s">
        <v>463</v>
      </c>
      <c r="D82" s="2925">
        <f>'B - Monthly Positions'!D19</f>
        <v>0</v>
      </c>
      <c r="E82" s="2926">
        <f>'B - Monthly Positions'!E19</f>
        <v>0</v>
      </c>
      <c r="F82" s="2926">
        <f>'B - Monthly Positions'!F19</f>
        <v>0</v>
      </c>
      <c r="G82" s="2926">
        <f>'B - Monthly Positions'!G19</f>
        <v>0</v>
      </c>
      <c r="H82" s="2927">
        <f>'B - Monthly Positions'!H19</f>
        <v>0</v>
      </c>
      <c r="I82" s="2927">
        <f>'B - Monthly Positions'!I19</f>
        <v>0</v>
      </c>
      <c r="J82" s="2927">
        <f>'B - Monthly Positions'!J19</f>
        <v>0</v>
      </c>
      <c r="K82" s="2927">
        <f>'B - Monthly Positions'!K19</f>
        <v>0</v>
      </c>
      <c r="L82" s="2927">
        <f>'B - Monthly Positions'!L19</f>
        <v>0</v>
      </c>
      <c r="M82" s="2927">
        <f>'B - Monthly Positions'!M19</f>
        <v>0</v>
      </c>
      <c r="N82" s="2927">
        <f>'B - Monthly Positions'!N19</f>
        <v>0</v>
      </c>
      <c r="O82" s="2928">
        <f>'B - Monthly Positions'!O19</f>
        <v>0</v>
      </c>
      <c r="P82" s="2938">
        <f t="shared" si="41"/>
        <v>0</v>
      </c>
      <c r="Q82" s="2888"/>
      <c r="R82" s="2560"/>
      <c r="S82" s="2888"/>
      <c r="T82" s="2888"/>
      <c r="U82" s="2888"/>
      <c r="V82" s="2888"/>
      <c r="W82" s="2888"/>
      <c r="X82" s="2888"/>
      <c r="Y82" s="2888"/>
      <c r="Z82" s="2888"/>
      <c r="AA82" s="2888"/>
      <c r="AB82" s="2888"/>
      <c r="AC82" s="2888"/>
      <c r="AD82" s="2888"/>
      <c r="AE82" s="2888"/>
      <c r="AF82" s="2888"/>
      <c r="AG82" s="2888"/>
      <c r="AH82" s="2888"/>
      <c r="AI82" s="2888"/>
      <c r="AJ82" s="2888"/>
      <c r="AK82" s="2888"/>
      <c r="AL82" s="2888"/>
    </row>
    <row r="83" spans="1:38">
      <c r="A83" s="2560"/>
      <c r="B83" s="2893">
        <f t="shared" si="40"/>
        <v>70</v>
      </c>
      <c r="C83" s="2942" t="s">
        <v>457</v>
      </c>
      <c r="D83" s="2925">
        <f>'B - Monthly Positions'!D20</f>
        <v>10151</v>
      </c>
      <c r="E83" s="2926">
        <f>'B - Monthly Positions'!E20</f>
        <v>9831.948833333332</v>
      </c>
      <c r="F83" s="2926">
        <f>'B - Monthly Positions'!F20</f>
        <v>9872.6593499999999</v>
      </c>
      <c r="G83" s="2926">
        <f>'B - Monthly Positions'!G20</f>
        <v>9902.2591583333324</v>
      </c>
      <c r="H83" s="2927">
        <f>'B - Monthly Positions'!H20</f>
        <v>9895.2591583333324</v>
      </c>
      <c r="I83" s="2927">
        <f>'B - Monthly Positions'!I20</f>
        <v>9904.7003583333335</v>
      </c>
      <c r="J83" s="2927">
        <f>'B - Monthly Positions'!J20</f>
        <v>9899.5761133333326</v>
      </c>
      <c r="K83" s="2927">
        <f>'B - Monthly Positions'!K20</f>
        <v>9899.5761133333326</v>
      </c>
      <c r="L83" s="2927">
        <f>'B - Monthly Positions'!L20</f>
        <v>9888.6128800000006</v>
      </c>
      <c r="M83" s="2927">
        <f>'B - Monthly Positions'!M20</f>
        <v>9886.5761133333326</v>
      </c>
      <c r="N83" s="2927">
        <f>'B - Monthly Positions'!N20</f>
        <v>9867.2591583333324</v>
      </c>
      <c r="O83" s="2928">
        <f>'B - Monthly Positions'!O20</f>
        <v>9878.2622222222217</v>
      </c>
      <c r="P83" s="2938">
        <f t="shared" si="41"/>
        <v>118877.68945888888</v>
      </c>
      <c r="Q83" s="2888"/>
      <c r="R83" s="2560"/>
      <c r="S83" s="2888"/>
      <c r="T83" s="2888"/>
      <c r="U83" s="2888"/>
      <c r="V83" s="2888"/>
      <c r="W83" s="2888"/>
      <c r="X83" s="2888"/>
      <c r="Y83" s="2888"/>
      <c r="Z83" s="2888"/>
      <c r="AA83" s="2888"/>
      <c r="AB83" s="2888"/>
      <c r="AC83" s="2888"/>
      <c r="AD83" s="2888"/>
      <c r="AE83" s="2888"/>
      <c r="AF83" s="2888"/>
      <c r="AG83" s="2888"/>
      <c r="AH83" s="2888"/>
      <c r="AI83" s="2888"/>
      <c r="AJ83" s="2888"/>
      <c r="AK83" s="2888"/>
      <c r="AL83" s="2888"/>
    </row>
    <row r="84" spans="1:38">
      <c r="A84" s="2560"/>
      <c r="B84" s="2893">
        <f t="shared" si="40"/>
        <v>71</v>
      </c>
      <c r="C84" s="2942" t="s">
        <v>458</v>
      </c>
      <c r="D84" s="2925">
        <f>'B - Monthly Positions'!D21</f>
        <v>7712.1790000000001</v>
      </c>
      <c r="E84" s="2926">
        <f>'B - Monthly Positions'!E21</f>
        <v>7896.1640759175616</v>
      </c>
      <c r="F84" s="2926">
        <f>'B - Monthly Positions'!F21</f>
        <v>8243.7659929260863</v>
      </c>
      <c r="G84" s="2926">
        <f>'B - Monthly Positions'!G21</f>
        <v>7866.6640759175616</v>
      </c>
      <c r="H84" s="2927">
        <f>'B - Monthly Positions'!H21</f>
        <v>7835.1640759175616</v>
      </c>
      <c r="I84" s="2927">
        <f>'B - Monthly Positions'!I21</f>
        <v>8365.2659929260863</v>
      </c>
      <c r="J84" s="2927">
        <f>'B - Monthly Positions'!J21</f>
        <v>8130.3508336524837</v>
      </c>
      <c r="K84" s="2927">
        <f>'B - Monthly Positions'!K21</f>
        <v>8046.5712625082688</v>
      </c>
      <c r="L84" s="2927">
        <f>'B - Monthly Positions'!L21</f>
        <v>8568.8714586524839</v>
      </c>
      <c r="M84" s="2927">
        <f>'B - Monthly Positions'!M21</f>
        <v>8092.3508336524837</v>
      </c>
      <c r="N84" s="2927">
        <f>'B - Monthly Positions'!N21</f>
        <v>8079.6427963640544</v>
      </c>
      <c r="O84" s="2928">
        <f>'B - Monthly Positions'!O21</f>
        <v>9176.4809536524845</v>
      </c>
      <c r="P84" s="2938">
        <f t="shared" si="41"/>
        <v>98013.471352087116</v>
      </c>
      <c r="Q84" s="2888"/>
      <c r="R84" s="2560"/>
      <c r="S84" s="2888"/>
      <c r="T84" s="2888"/>
      <c r="U84" s="2888"/>
      <c r="V84" s="2888"/>
      <c r="W84" s="2888"/>
      <c r="X84" s="2888"/>
      <c r="Y84" s="2888"/>
      <c r="Z84" s="2888"/>
      <c r="AA84" s="2888"/>
      <c r="AB84" s="2888"/>
      <c r="AC84" s="2888"/>
      <c r="AD84" s="2888"/>
      <c r="AE84" s="2888"/>
      <c r="AF84" s="2888"/>
      <c r="AG84" s="2888"/>
      <c r="AH84" s="2888"/>
      <c r="AI84" s="2888"/>
      <c r="AJ84" s="2888"/>
      <c r="AK84" s="2888"/>
      <c r="AL84" s="2888"/>
    </row>
    <row r="85" spans="1:38">
      <c r="A85" s="2560"/>
      <c r="B85" s="2893">
        <f t="shared" si="40"/>
        <v>72</v>
      </c>
      <c r="C85" s="2942" t="s">
        <v>442</v>
      </c>
      <c r="D85" s="2925">
        <f>'B - Monthly Positions'!D22</f>
        <v>0</v>
      </c>
      <c r="E85" s="2926">
        <f>'B - Monthly Positions'!E22</f>
        <v>0</v>
      </c>
      <c r="F85" s="2926">
        <f>'B - Monthly Positions'!F22</f>
        <v>0</v>
      </c>
      <c r="G85" s="2926">
        <f>'B - Monthly Positions'!G22</f>
        <v>0</v>
      </c>
      <c r="H85" s="2927">
        <f>'B - Monthly Positions'!H22</f>
        <v>0</v>
      </c>
      <c r="I85" s="2927">
        <f>'B - Monthly Positions'!I22</f>
        <v>0</v>
      </c>
      <c r="J85" s="2927">
        <f>'B - Monthly Positions'!J22</f>
        <v>0</v>
      </c>
      <c r="K85" s="2927">
        <f>'B - Monthly Positions'!K22</f>
        <v>0</v>
      </c>
      <c r="L85" s="2927">
        <f>'B - Monthly Positions'!L22</f>
        <v>0</v>
      </c>
      <c r="M85" s="2927">
        <f>'B - Monthly Positions'!M22</f>
        <v>0</v>
      </c>
      <c r="N85" s="2927">
        <f>'B - Monthly Positions'!N22</f>
        <v>0</v>
      </c>
      <c r="O85" s="2928">
        <f>'B - Monthly Positions'!O22</f>
        <v>0</v>
      </c>
      <c r="P85" s="2938">
        <f t="shared" si="41"/>
        <v>0</v>
      </c>
      <c r="Q85" s="2888"/>
      <c r="R85" s="2560"/>
      <c r="S85" s="2888"/>
      <c r="T85" s="2888"/>
      <c r="U85" s="2888"/>
      <c r="V85" s="2888"/>
      <c r="W85" s="2888"/>
      <c r="X85" s="2888"/>
      <c r="Y85" s="2888"/>
      <c r="Z85" s="2888"/>
      <c r="AA85" s="2888"/>
      <c r="AB85" s="2888"/>
      <c r="AC85" s="2888"/>
      <c r="AD85" s="2888"/>
      <c r="AE85" s="2888"/>
      <c r="AF85" s="2888"/>
      <c r="AG85" s="2888"/>
      <c r="AH85" s="2888"/>
      <c r="AI85" s="2888"/>
      <c r="AJ85" s="2888"/>
      <c r="AK85" s="2888"/>
      <c r="AL85" s="2888"/>
    </row>
    <row r="86" spans="1:38">
      <c r="A86" s="2560"/>
      <c r="B86" s="2893">
        <f t="shared" si="40"/>
        <v>73</v>
      </c>
      <c r="C86" s="2942" t="s">
        <v>464</v>
      </c>
      <c r="D86" s="2925">
        <f>'B - Monthly Positions'!D23</f>
        <v>0</v>
      </c>
      <c r="E86" s="2926">
        <f>'B - Monthly Positions'!E23</f>
        <v>0</v>
      </c>
      <c r="F86" s="2926">
        <f>'B - Monthly Positions'!F23</f>
        <v>0</v>
      </c>
      <c r="G86" s="2926">
        <f>'B - Monthly Positions'!G23</f>
        <v>0</v>
      </c>
      <c r="H86" s="2927">
        <f>'B - Monthly Positions'!H23</f>
        <v>0</v>
      </c>
      <c r="I86" s="2927">
        <f>'B - Monthly Positions'!I23</f>
        <v>0</v>
      </c>
      <c r="J86" s="2927">
        <f>'B - Monthly Positions'!J23</f>
        <v>0</v>
      </c>
      <c r="K86" s="2927">
        <f>'B - Monthly Positions'!K23</f>
        <v>0</v>
      </c>
      <c r="L86" s="2927">
        <f>'B - Monthly Positions'!L23</f>
        <v>0</v>
      </c>
      <c r="M86" s="2927">
        <f>'B - Monthly Positions'!M23</f>
        <v>0</v>
      </c>
      <c r="N86" s="2927">
        <f>'B - Monthly Positions'!N23</f>
        <v>0</v>
      </c>
      <c r="O86" s="2928">
        <f>'B - Monthly Positions'!O23</f>
        <v>0</v>
      </c>
      <c r="P86" s="2938">
        <f t="shared" si="41"/>
        <v>0</v>
      </c>
      <c r="Q86" s="2888"/>
      <c r="R86" s="2560"/>
      <c r="S86" s="2888"/>
      <c r="T86" s="2888"/>
      <c r="U86" s="2888"/>
      <c r="V86" s="2888"/>
      <c r="W86" s="2888"/>
      <c r="X86" s="2888"/>
      <c r="Y86" s="2888"/>
      <c r="Z86" s="2888"/>
      <c r="AA86" s="2888"/>
      <c r="AB86" s="2888"/>
      <c r="AC86" s="2888"/>
      <c r="AD86" s="2888"/>
      <c r="AE86" s="2888"/>
      <c r="AF86" s="2888"/>
      <c r="AG86" s="2888"/>
      <c r="AH86" s="2888"/>
      <c r="AI86" s="2888"/>
      <c r="AJ86" s="2888"/>
      <c r="AK86" s="2888"/>
      <c r="AL86" s="2888"/>
    </row>
    <row r="87" spans="1:38">
      <c r="A87" s="2560"/>
      <c r="B87" s="2893">
        <f t="shared" si="40"/>
        <v>74</v>
      </c>
      <c r="C87" s="2942" t="s">
        <v>465</v>
      </c>
      <c r="D87" s="2925">
        <f>'B - Monthly Positions'!D24</f>
        <v>0</v>
      </c>
      <c r="E87" s="2926">
        <f>'B - Monthly Positions'!E24</f>
        <v>0</v>
      </c>
      <c r="F87" s="2926">
        <f>'B - Monthly Positions'!F24</f>
        <v>0</v>
      </c>
      <c r="G87" s="2926">
        <f>'B - Monthly Positions'!G24</f>
        <v>0</v>
      </c>
      <c r="H87" s="2927">
        <f>'B - Monthly Positions'!H24</f>
        <v>0</v>
      </c>
      <c r="I87" s="2927">
        <f>'B - Monthly Positions'!I24</f>
        <v>0</v>
      </c>
      <c r="J87" s="2927">
        <f>'B - Monthly Positions'!J24</f>
        <v>0</v>
      </c>
      <c r="K87" s="2927">
        <f>'B - Monthly Positions'!K24</f>
        <v>0</v>
      </c>
      <c r="L87" s="2927">
        <f>'B - Monthly Positions'!L24</f>
        <v>0</v>
      </c>
      <c r="M87" s="2927">
        <f>'B - Monthly Positions'!M24</f>
        <v>0</v>
      </c>
      <c r="N87" s="2927">
        <f>'B - Monthly Positions'!N24</f>
        <v>0</v>
      </c>
      <c r="O87" s="2928">
        <f>'B - Monthly Positions'!O24</f>
        <v>0</v>
      </c>
      <c r="P87" s="2938">
        <f t="shared" si="41"/>
        <v>0</v>
      </c>
      <c r="Q87" s="2888"/>
      <c r="R87" s="2560"/>
      <c r="S87" s="2888"/>
      <c r="T87" s="2888"/>
      <c r="U87" s="2888"/>
      <c r="V87" s="2888"/>
      <c r="W87" s="2888"/>
      <c r="X87" s="2888"/>
      <c r="Y87" s="2888"/>
      <c r="Z87" s="2888"/>
      <c r="AA87" s="2888"/>
      <c r="AB87" s="2888"/>
      <c r="AC87" s="2888"/>
      <c r="AD87" s="2888"/>
      <c r="AE87" s="2888"/>
      <c r="AF87" s="2888"/>
      <c r="AG87" s="2888"/>
      <c r="AH87" s="2888"/>
      <c r="AI87" s="2888"/>
      <c r="AJ87" s="2888"/>
      <c r="AK87" s="2888"/>
      <c r="AL87" s="2888"/>
    </row>
    <row r="88" spans="1:38">
      <c r="A88" s="2560"/>
      <c r="B88" s="2893">
        <f t="shared" si="40"/>
        <v>75</v>
      </c>
      <c r="C88" s="2942" t="s">
        <v>443</v>
      </c>
      <c r="D88" s="2925">
        <f>'B - Monthly Positions'!D25</f>
        <v>0</v>
      </c>
      <c r="E88" s="2926">
        <f>'B - Monthly Positions'!E25</f>
        <v>0</v>
      </c>
      <c r="F88" s="2926">
        <f>'B - Monthly Positions'!F25</f>
        <v>0</v>
      </c>
      <c r="G88" s="2926">
        <f>'B - Monthly Positions'!G25</f>
        <v>0</v>
      </c>
      <c r="H88" s="2927">
        <f>'B - Monthly Positions'!H25</f>
        <v>0</v>
      </c>
      <c r="I88" s="2927">
        <f>'B - Monthly Positions'!I25</f>
        <v>0</v>
      </c>
      <c r="J88" s="2927">
        <f>'B - Monthly Positions'!J25</f>
        <v>0</v>
      </c>
      <c r="K88" s="2927">
        <f>'B - Monthly Positions'!K25</f>
        <v>0</v>
      </c>
      <c r="L88" s="2927">
        <f>'B - Monthly Positions'!L25</f>
        <v>0</v>
      </c>
      <c r="M88" s="2927">
        <f>'B - Monthly Positions'!M25</f>
        <v>0</v>
      </c>
      <c r="N88" s="2927">
        <f>'B - Monthly Positions'!N25</f>
        <v>0</v>
      </c>
      <c r="O88" s="2928">
        <f>'B - Monthly Positions'!O25</f>
        <v>0</v>
      </c>
      <c r="P88" s="2938">
        <f t="shared" si="41"/>
        <v>0</v>
      </c>
      <c r="Q88" s="2888"/>
      <c r="R88" s="2560"/>
      <c r="S88" s="2888"/>
      <c r="T88" s="2888"/>
      <c r="U88" s="2888"/>
      <c r="V88" s="2888"/>
      <c r="W88" s="2888"/>
      <c r="X88" s="2888"/>
      <c r="Y88" s="2888"/>
      <c r="Z88" s="2888"/>
      <c r="AA88" s="2888"/>
      <c r="AB88" s="2888"/>
      <c r="AC88" s="2888"/>
      <c r="AD88" s="2888"/>
      <c r="AE88" s="2888"/>
      <c r="AF88" s="2888"/>
      <c r="AG88" s="2888"/>
      <c r="AH88" s="2888"/>
      <c r="AI88" s="2888"/>
      <c r="AJ88" s="2888"/>
      <c r="AK88" s="2888"/>
      <c r="AL88" s="2888"/>
    </row>
    <row r="89" spans="1:38">
      <c r="A89" s="2560"/>
      <c r="B89" s="2893">
        <f t="shared" si="40"/>
        <v>76</v>
      </c>
      <c r="C89" s="2942" t="s">
        <v>444</v>
      </c>
      <c r="D89" s="2925">
        <f>'B - Monthly Positions'!D26</f>
        <v>0</v>
      </c>
      <c r="E89" s="2926">
        <f>'B - Monthly Positions'!E26</f>
        <v>0</v>
      </c>
      <c r="F89" s="2926">
        <f>'B - Monthly Positions'!F26</f>
        <v>0</v>
      </c>
      <c r="G89" s="2926">
        <f>'B - Monthly Positions'!G26</f>
        <v>0</v>
      </c>
      <c r="H89" s="2927">
        <f>'B - Monthly Positions'!H26</f>
        <v>0</v>
      </c>
      <c r="I89" s="2927">
        <f>'B - Monthly Positions'!I26</f>
        <v>0</v>
      </c>
      <c r="J89" s="2927">
        <f>'B - Monthly Positions'!J26</f>
        <v>0</v>
      </c>
      <c r="K89" s="2927">
        <f>'B - Monthly Positions'!K26</f>
        <v>0</v>
      </c>
      <c r="L89" s="2927">
        <f>'B - Monthly Positions'!L26</f>
        <v>0</v>
      </c>
      <c r="M89" s="2927">
        <f>'B - Monthly Positions'!M26</f>
        <v>0</v>
      </c>
      <c r="N89" s="2927">
        <f>'B - Monthly Positions'!N26</f>
        <v>0</v>
      </c>
      <c r="O89" s="2928">
        <f>'B - Monthly Positions'!O26</f>
        <v>0</v>
      </c>
      <c r="P89" s="2938">
        <f t="shared" si="41"/>
        <v>0</v>
      </c>
      <c r="Q89" s="2888"/>
      <c r="R89" s="2560"/>
      <c r="S89" s="2888"/>
      <c r="T89" s="2888"/>
      <c r="U89" s="2888"/>
      <c r="V89" s="2888"/>
      <c r="W89" s="2888"/>
      <c r="X89" s="2888"/>
      <c r="Y89" s="2888"/>
      <c r="Z89" s="2888"/>
      <c r="AA89" s="2888"/>
      <c r="AB89" s="2888"/>
      <c r="AC89" s="2888"/>
      <c r="AD89" s="2888"/>
      <c r="AE89" s="2888"/>
      <c r="AF89" s="2888"/>
      <c r="AG89" s="2888"/>
      <c r="AH89" s="2888"/>
      <c r="AI89" s="2888"/>
      <c r="AJ89" s="2888"/>
      <c r="AK89" s="2888"/>
      <c r="AL89" s="2888"/>
    </row>
    <row r="90" spans="1:38">
      <c r="A90" s="2560"/>
      <c r="B90" s="2893">
        <f t="shared" si="40"/>
        <v>77</v>
      </c>
      <c r="C90" s="2942" t="s">
        <v>445</v>
      </c>
      <c r="D90" s="2925">
        <f>'B - Monthly Positions'!D27</f>
        <v>0</v>
      </c>
      <c r="E90" s="2926">
        <f>'B - Monthly Positions'!E27</f>
        <v>0</v>
      </c>
      <c r="F90" s="2926">
        <f>'B - Monthly Positions'!F27</f>
        <v>0</v>
      </c>
      <c r="G90" s="2926">
        <f>'B - Monthly Positions'!G27</f>
        <v>0</v>
      </c>
      <c r="H90" s="2927">
        <f>'B - Monthly Positions'!H27</f>
        <v>0</v>
      </c>
      <c r="I90" s="2927">
        <f>'B - Monthly Positions'!I27</f>
        <v>0</v>
      </c>
      <c r="J90" s="2927">
        <f>'B - Monthly Positions'!J27</f>
        <v>0</v>
      </c>
      <c r="K90" s="2927">
        <f>'B - Monthly Positions'!K27</f>
        <v>0</v>
      </c>
      <c r="L90" s="2927">
        <f>'B - Monthly Positions'!L27</f>
        <v>0</v>
      </c>
      <c r="M90" s="2927">
        <f>'B - Monthly Positions'!M27</f>
        <v>0</v>
      </c>
      <c r="N90" s="2927">
        <f>'B - Monthly Positions'!N27</f>
        <v>0</v>
      </c>
      <c r="O90" s="2928">
        <f>'B - Monthly Positions'!O27</f>
        <v>0</v>
      </c>
      <c r="P90" s="2938">
        <f t="shared" si="41"/>
        <v>0</v>
      </c>
      <c r="Q90" s="2888"/>
      <c r="R90" s="2560"/>
      <c r="S90" s="2888"/>
      <c r="T90" s="2888"/>
      <c r="U90" s="2888"/>
      <c r="V90" s="2888"/>
      <c r="W90" s="2888"/>
      <c r="X90" s="2888"/>
      <c r="Y90" s="2888"/>
      <c r="Z90" s="2888"/>
      <c r="AA90" s="2888"/>
      <c r="AB90" s="2888"/>
      <c r="AC90" s="2888"/>
      <c r="AD90" s="2888"/>
      <c r="AE90" s="2888"/>
      <c r="AF90" s="2888"/>
      <c r="AG90" s="2888"/>
      <c r="AH90" s="2888"/>
      <c r="AI90" s="2888"/>
      <c r="AJ90" s="2888"/>
      <c r="AK90" s="2888"/>
      <c r="AL90" s="2888"/>
    </row>
    <row r="91" spans="1:38">
      <c r="A91" s="2560"/>
      <c r="B91" s="2893">
        <f t="shared" si="40"/>
        <v>78</v>
      </c>
      <c r="C91" s="2942" t="s">
        <v>776</v>
      </c>
      <c r="D91" s="2925">
        <f>'B - Monthly Positions'!D28</f>
        <v>0</v>
      </c>
      <c r="E91" s="2926">
        <f>'B - Monthly Positions'!E28</f>
        <v>0</v>
      </c>
      <c r="F91" s="2926">
        <f>'B - Monthly Positions'!F28</f>
        <v>0</v>
      </c>
      <c r="G91" s="2926">
        <f>'B - Monthly Positions'!G28</f>
        <v>0</v>
      </c>
      <c r="H91" s="2927">
        <f>'B - Monthly Positions'!H28</f>
        <v>0</v>
      </c>
      <c r="I91" s="2927">
        <f>'B - Monthly Positions'!I28</f>
        <v>0</v>
      </c>
      <c r="J91" s="2927">
        <f>'B - Monthly Positions'!J28</f>
        <v>0</v>
      </c>
      <c r="K91" s="2927">
        <f>'B - Monthly Positions'!K28</f>
        <v>0</v>
      </c>
      <c r="L91" s="2927">
        <f>'B - Monthly Positions'!L28</f>
        <v>0</v>
      </c>
      <c r="M91" s="2927">
        <f>'B - Monthly Positions'!M28</f>
        <v>0</v>
      </c>
      <c r="N91" s="2927">
        <f>'B - Monthly Positions'!N28</f>
        <v>0</v>
      </c>
      <c r="O91" s="2928">
        <f>'B - Monthly Positions'!O28</f>
        <v>0</v>
      </c>
      <c r="P91" s="2938">
        <f t="shared" si="41"/>
        <v>0</v>
      </c>
      <c r="Q91" s="2888"/>
      <c r="R91" s="2560"/>
      <c r="S91" s="2888"/>
      <c r="T91" s="2888"/>
      <c r="U91" s="2888"/>
      <c r="V91" s="2888"/>
      <c r="W91" s="2888"/>
      <c r="X91" s="2888"/>
      <c r="Y91" s="2888"/>
      <c r="Z91" s="2888"/>
      <c r="AA91" s="2888"/>
      <c r="AB91" s="2888"/>
      <c r="AC91" s="2888"/>
      <c r="AD91" s="2888"/>
      <c r="AE91" s="2888"/>
      <c r="AF91" s="2888"/>
      <c r="AG91" s="2888"/>
      <c r="AH91" s="2888"/>
      <c r="AI91" s="2888"/>
      <c r="AJ91" s="2888"/>
      <c r="AK91" s="2888"/>
      <c r="AL91" s="2888"/>
    </row>
    <row r="92" spans="1:38">
      <c r="A92" s="2560"/>
      <c r="B92" s="2893">
        <f t="shared" si="40"/>
        <v>79</v>
      </c>
      <c r="C92" s="2942" t="s">
        <v>791</v>
      </c>
      <c r="D92" s="2925">
        <f>'B - Monthly Positions'!D29</f>
        <v>0</v>
      </c>
      <c r="E92" s="2926">
        <f>'B - Monthly Positions'!E29</f>
        <v>0</v>
      </c>
      <c r="F92" s="2926">
        <f>'B - Monthly Positions'!F29</f>
        <v>0</v>
      </c>
      <c r="G92" s="2926">
        <f>'B - Monthly Positions'!G29</f>
        <v>0</v>
      </c>
      <c r="H92" s="2927">
        <f>'B - Monthly Positions'!H29</f>
        <v>0</v>
      </c>
      <c r="I92" s="2927">
        <f>'B - Monthly Positions'!I29</f>
        <v>0</v>
      </c>
      <c r="J92" s="2927">
        <f>'B - Monthly Positions'!J29</f>
        <v>0</v>
      </c>
      <c r="K92" s="2927">
        <f>'B - Monthly Positions'!K29</f>
        <v>0</v>
      </c>
      <c r="L92" s="2927">
        <f>'B - Monthly Positions'!L29</f>
        <v>0</v>
      </c>
      <c r="M92" s="2927">
        <f>'B - Monthly Positions'!M29</f>
        <v>0</v>
      </c>
      <c r="N92" s="2927">
        <f>'B - Monthly Positions'!N29</f>
        <v>0</v>
      </c>
      <c r="O92" s="2928">
        <f>'B - Monthly Positions'!O29</f>
        <v>0</v>
      </c>
      <c r="P92" s="2938">
        <f t="shared" si="41"/>
        <v>0</v>
      </c>
      <c r="Q92" s="2888"/>
      <c r="R92" s="2560"/>
      <c r="S92" s="2888"/>
      <c r="T92" s="2888"/>
      <c r="U92" s="2888"/>
      <c r="V92" s="2888"/>
      <c r="W92" s="2888"/>
      <c r="X92" s="2888"/>
      <c r="Y92" s="2888"/>
      <c r="Z92" s="2888"/>
      <c r="AA92" s="2888"/>
      <c r="AB92" s="2888"/>
      <c r="AC92" s="2888"/>
      <c r="AD92" s="2888"/>
      <c r="AE92" s="2888"/>
      <c r="AF92" s="2888"/>
      <c r="AG92" s="2888"/>
      <c r="AH92" s="2888"/>
      <c r="AI92" s="2888"/>
      <c r="AJ92" s="2888"/>
      <c r="AK92" s="2888"/>
      <c r="AL92" s="2888"/>
    </row>
    <row r="93" spans="1:38">
      <c r="A93" s="2560"/>
      <c r="B93" s="2893">
        <f t="shared" si="40"/>
        <v>80</v>
      </c>
      <c r="C93" s="2942" t="s">
        <v>792</v>
      </c>
      <c r="D93" s="2925">
        <f>'B - Monthly Positions'!D30</f>
        <v>0</v>
      </c>
      <c r="E93" s="2926">
        <f>'B - Monthly Positions'!E30</f>
        <v>0</v>
      </c>
      <c r="F93" s="2926">
        <f>'B - Monthly Positions'!F30</f>
        <v>0</v>
      </c>
      <c r="G93" s="2926">
        <f>'B - Monthly Positions'!G30</f>
        <v>0</v>
      </c>
      <c r="H93" s="2927">
        <f>'B - Monthly Positions'!H30</f>
        <v>0</v>
      </c>
      <c r="I93" s="2927">
        <f>'B - Monthly Positions'!I30</f>
        <v>0</v>
      </c>
      <c r="J93" s="2927">
        <f>'B - Monthly Positions'!J30</f>
        <v>0</v>
      </c>
      <c r="K93" s="2927">
        <f>'B - Monthly Positions'!K30</f>
        <v>0</v>
      </c>
      <c r="L93" s="2927">
        <f>'B - Monthly Positions'!L30</f>
        <v>0</v>
      </c>
      <c r="M93" s="2927">
        <f>'B - Monthly Positions'!M30</f>
        <v>0</v>
      </c>
      <c r="N93" s="2927">
        <f>'B - Monthly Positions'!N30</f>
        <v>0</v>
      </c>
      <c r="O93" s="2928">
        <f>'B - Monthly Positions'!O30</f>
        <v>0</v>
      </c>
      <c r="P93" s="2938">
        <f t="shared" si="41"/>
        <v>0</v>
      </c>
      <c r="Q93" s="2888"/>
      <c r="R93" s="2560"/>
      <c r="S93" s="2888"/>
      <c r="T93" s="2888"/>
      <c r="U93" s="2888"/>
      <c r="V93" s="2888"/>
      <c r="W93" s="2888"/>
      <c r="X93" s="2888"/>
      <c r="Y93" s="2888"/>
      <c r="Z93" s="2888"/>
      <c r="AA93" s="2888"/>
      <c r="AB93" s="2888"/>
      <c r="AC93" s="2888"/>
      <c r="AD93" s="2888"/>
      <c r="AE93" s="2888"/>
      <c r="AF93" s="2888"/>
      <c r="AG93" s="2888"/>
      <c r="AH93" s="2888"/>
      <c r="AI93" s="2888"/>
      <c r="AJ93" s="2888"/>
      <c r="AK93" s="2888"/>
      <c r="AL93" s="2888"/>
    </row>
    <row r="94" spans="1:38">
      <c r="A94" s="2560"/>
      <c r="B94" s="2893">
        <f t="shared" si="40"/>
        <v>81</v>
      </c>
      <c r="C94" s="2942" t="s">
        <v>793</v>
      </c>
      <c r="D94" s="2925">
        <f>'B - Monthly Positions'!D31</f>
        <v>0</v>
      </c>
      <c r="E94" s="2926">
        <f>'B - Monthly Positions'!E31</f>
        <v>0</v>
      </c>
      <c r="F94" s="2926">
        <f>'B - Monthly Positions'!F31</f>
        <v>0</v>
      </c>
      <c r="G94" s="2926">
        <f>'B - Monthly Positions'!G31</f>
        <v>0</v>
      </c>
      <c r="H94" s="2927">
        <f>'B - Monthly Positions'!H31</f>
        <v>0</v>
      </c>
      <c r="I94" s="2927">
        <f>'B - Monthly Positions'!I31</f>
        <v>0</v>
      </c>
      <c r="J94" s="2927">
        <f>'B - Monthly Positions'!J31</f>
        <v>0</v>
      </c>
      <c r="K94" s="2927">
        <f>'B - Monthly Positions'!K31</f>
        <v>0</v>
      </c>
      <c r="L94" s="2927">
        <f>'B - Monthly Positions'!L31</f>
        <v>0</v>
      </c>
      <c r="M94" s="2927">
        <f>'B - Monthly Positions'!M31</f>
        <v>0</v>
      </c>
      <c r="N94" s="2927">
        <f>'B - Monthly Positions'!N31</f>
        <v>0</v>
      </c>
      <c r="O94" s="2928">
        <f>'B - Monthly Positions'!O31</f>
        <v>0</v>
      </c>
      <c r="P94" s="2938">
        <f t="shared" si="41"/>
        <v>0</v>
      </c>
      <c r="Q94" s="2888"/>
      <c r="R94" s="2560"/>
      <c r="S94" s="2888"/>
      <c r="T94" s="2888"/>
      <c r="U94" s="2888"/>
      <c r="V94" s="2888"/>
      <c r="W94" s="2888"/>
      <c r="X94" s="2888"/>
      <c r="Y94" s="2888"/>
      <c r="Z94" s="2888"/>
      <c r="AA94" s="2888"/>
      <c r="AB94" s="2888"/>
      <c r="AC94" s="2888"/>
      <c r="AD94" s="2888"/>
      <c r="AE94" s="2888"/>
      <c r="AF94" s="2888"/>
      <c r="AG94" s="2888"/>
      <c r="AH94" s="2888"/>
      <c r="AI94" s="2888"/>
      <c r="AJ94" s="2888"/>
      <c r="AK94" s="2888"/>
      <c r="AL94" s="2888"/>
    </row>
    <row r="95" spans="1:38">
      <c r="A95" s="2560"/>
      <c r="B95" s="2893">
        <f t="shared" si="40"/>
        <v>82</v>
      </c>
      <c r="C95" s="2942" t="s">
        <v>454</v>
      </c>
      <c r="D95" s="2925">
        <f>'B - Monthly Positions'!D32</f>
        <v>283.82100000000003</v>
      </c>
      <c r="E95" s="2926">
        <f>'B - Monthly Positions'!E32</f>
        <v>283.82100000000003</v>
      </c>
      <c r="F95" s="2926">
        <f>'B - Monthly Positions'!F32</f>
        <v>283.82100000000003</v>
      </c>
      <c r="G95" s="2926">
        <f>'B - Monthly Positions'!G32</f>
        <v>283.82100000000003</v>
      </c>
      <c r="H95" s="2927">
        <f>'B - Monthly Positions'!H32</f>
        <v>283.82100000000003</v>
      </c>
      <c r="I95" s="2927">
        <f>'B - Monthly Positions'!I32</f>
        <v>283.82100000000003</v>
      </c>
      <c r="J95" s="2927">
        <f>'B - Monthly Positions'!J32</f>
        <v>283.82100000000003</v>
      </c>
      <c r="K95" s="2927">
        <f>'B - Monthly Positions'!K32</f>
        <v>283.82100000000003</v>
      </c>
      <c r="L95" s="2927">
        <f>'B - Monthly Positions'!L32</f>
        <v>283.82100000000003</v>
      </c>
      <c r="M95" s="2927">
        <f>'B - Monthly Positions'!M32</f>
        <v>283.82100000000003</v>
      </c>
      <c r="N95" s="2927">
        <f>'B - Monthly Positions'!N32</f>
        <v>283.82100000000003</v>
      </c>
      <c r="O95" s="2928">
        <f>'B - Monthly Positions'!O32</f>
        <v>283.82100000000003</v>
      </c>
      <c r="P95" s="2938">
        <f t="shared" si="41"/>
        <v>3405.8519999999994</v>
      </c>
      <c r="Q95" s="2888"/>
      <c r="R95" s="2560"/>
      <c r="S95" s="2888"/>
      <c r="T95" s="2888"/>
      <c r="U95" s="2888"/>
      <c r="V95" s="2888"/>
      <c r="W95" s="2888"/>
      <c r="X95" s="2888"/>
      <c r="Y95" s="2888"/>
      <c r="Z95" s="2888"/>
      <c r="AA95" s="2888"/>
      <c r="AB95" s="2888"/>
      <c r="AC95" s="2888"/>
      <c r="AD95" s="2888"/>
      <c r="AE95" s="2888"/>
      <c r="AF95" s="2888"/>
      <c r="AG95" s="2888"/>
      <c r="AH95" s="2888"/>
      <c r="AI95" s="2888"/>
      <c r="AJ95" s="2888"/>
      <c r="AK95" s="2888"/>
      <c r="AL95" s="2888"/>
    </row>
    <row r="96" spans="1:38">
      <c r="A96" s="2560"/>
      <c r="B96" s="2893">
        <f t="shared" si="40"/>
        <v>83</v>
      </c>
      <c r="C96" s="2942" t="s">
        <v>455</v>
      </c>
      <c r="D96" s="2925">
        <f>'B - Monthly Positions'!D33</f>
        <v>0</v>
      </c>
      <c r="E96" s="2926">
        <f>'B - Monthly Positions'!E33</f>
        <v>0</v>
      </c>
      <c r="F96" s="2926">
        <f>'B - Monthly Positions'!F33</f>
        <v>0</v>
      </c>
      <c r="G96" s="2926">
        <f>'B - Monthly Positions'!G33</f>
        <v>0</v>
      </c>
      <c r="H96" s="2927">
        <f>'B - Monthly Positions'!H33</f>
        <v>0</v>
      </c>
      <c r="I96" s="2927">
        <f>'B - Monthly Positions'!I33</f>
        <v>0</v>
      </c>
      <c r="J96" s="2927">
        <f>'B - Monthly Positions'!J33</f>
        <v>0</v>
      </c>
      <c r="K96" s="2927">
        <f>'B - Monthly Positions'!K33</f>
        <v>0</v>
      </c>
      <c r="L96" s="2927">
        <f>'B - Monthly Positions'!L33</f>
        <v>0</v>
      </c>
      <c r="M96" s="2927">
        <f>'B - Monthly Positions'!M33</f>
        <v>0</v>
      </c>
      <c r="N96" s="2927">
        <f>'B - Monthly Positions'!N33</f>
        <v>0</v>
      </c>
      <c r="O96" s="2928">
        <f>'B - Monthly Positions'!O33</f>
        <v>0</v>
      </c>
      <c r="P96" s="2938">
        <f t="shared" si="41"/>
        <v>0</v>
      </c>
      <c r="Q96" s="2888"/>
      <c r="R96" s="2560"/>
      <c r="S96" s="2888"/>
      <c r="T96" s="2888"/>
      <c r="U96" s="2888"/>
      <c r="V96" s="2888"/>
      <c r="W96" s="2888"/>
      <c r="X96" s="2888"/>
      <c r="Y96" s="2888"/>
      <c r="Z96" s="2888"/>
      <c r="AA96" s="2888"/>
      <c r="AB96" s="2888"/>
      <c r="AC96" s="2888"/>
      <c r="AD96" s="2888"/>
      <c r="AE96" s="2888"/>
      <c r="AF96" s="2888"/>
      <c r="AG96" s="2888"/>
      <c r="AH96" s="2888"/>
      <c r="AI96" s="2888"/>
      <c r="AJ96" s="2888"/>
      <c r="AK96" s="2888"/>
      <c r="AL96" s="2888"/>
    </row>
    <row r="97" spans="1:38">
      <c r="A97" s="2560"/>
      <c r="B97" s="2893">
        <f t="shared" si="40"/>
        <v>84</v>
      </c>
      <c r="C97" s="2942" t="s">
        <v>927</v>
      </c>
      <c r="D97" s="2925">
        <f>'B - Monthly Positions'!D34</f>
        <v>0</v>
      </c>
      <c r="E97" s="2926">
        <f>'B - Monthly Positions'!E34</f>
        <v>0</v>
      </c>
      <c r="F97" s="2926">
        <f>'B - Monthly Positions'!F34</f>
        <v>0</v>
      </c>
      <c r="G97" s="2926">
        <f>'B - Monthly Positions'!G34</f>
        <v>0</v>
      </c>
      <c r="H97" s="2927">
        <f>'B - Monthly Positions'!H34</f>
        <v>0</v>
      </c>
      <c r="I97" s="2927">
        <f>'B - Monthly Positions'!I34</f>
        <v>0</v>
      </c>
      <c r="J97" s="2927">
        <f>'B - Monthly Positions'!J34</f>
        <v>0</v>
      </c>
      <c r="K97" s="2927">
        <f>'B - Monthly Positions'!K34</f>
        <v>0</v>
      </c>
      <c r="L97" s="2927">
        <f>'B - Monthly Positions'!L34</f>
        <v>0</v>
      </c>
      <c r="M97" s="2927">
        <f>'B - Monthly Positions'!M34</f>
        <v>0</v>
      </c>
      <c r="N97" s="2927">
        <f>'B - Monthly Positions'!N34</f>
        <v>0</v>
      </c>
      <c r="O97" s="2928">
        <f>'B - Monthly Positions'!O34</f>
        <v>0</v>
      </c>
      <c r="P97" s="2938">
        <f t="shared" si="41"/>
        <v>0</v>
      </c>
      <c r="Q97" s="2888"/>
      <c r="R97" s="2560"/>
      <c r="S97" s="2888"/>
      <c r="T97" s="2888"/>
      <c r="U97" s="2888"/>
      <c r="V97" s="2888"/>
      <c r="W97" s="2888"/>
      <c r="X97" s="2888"/>
      <c r="Y97" s="2888"/>
      <c r="Z97" s="2888"/>
      <c r="AA97" s="2888"/>
      <c r="AB97" s="2888"/>
      <c r="AC97" s="2888"/>
      <c r="AD97" s="2888"/>
      <c r="AE97" s="2888"/>
      <c r="AF97" s="2888"/>
      <c r="AG97" s="2888"/>
      <c r="AH97" s="2888"/>
      <c r="AI97" s="2888"/>
      <c r="AJ97" s="2888"/>
      <c r="AK97" s="2888"/>
      <c r="AL97" s="2888"/>
    </row>
    <row r="98" spans="1:38">
      <c r="A98" s="2560"/>
      <c r="B98" s="2893">
        <f t="shared" si="40"/>
        <v>85</v>
      </c>
      <c r="C98" s="2942" t="s">
        <v>446</v>
      </c>
      <c r="D98" s="2925">
        <f>'B - Monthly Positions'!D35</f>
        <v>0</v>
      </c>
      <c r="E98" s="2926">
        <f>'B - Monthly Positions'!E35</f>
        <v>0</v>
      </c>
      <c r="F98" s="2926">
        <f>'B - Monthly Positions'!F35</f>
        <v>0</v>
      </c>
      <c r="G98" s="2926">
        <f>'B - Monthly Positions'!G35</f>
        <v>0</v>
      </c>
      <c r="H98" s="2927">
        <f>'B - Monthly Positions'!H35</f>
        <v>0</v>
      </c>
      <c r="I98" s="2927">
        <f>'B - Monthly Positions'!I35</f>
        <v>0</v>
      </c>
      <c r="J98" s="2927">
        <f>'B - Monthly Positions'!J35</f>
        <v>0</v>
      </c>
      <c r="K98" s="2927">
        <f>'B - Monthly Positions'!K35</f>
        <v>0</v>
      </c>
      <c r="L98" s="2927">
        <f>'B - Monthly Positions'!L35</f>
        <v>0</v>
      </c>
      <c r="M98" s="2927">
        <f>'B - Monthly Positions'!M35</f>
        <v>0</v>
      </c>
      <c r="N98" s="2927">
        <f>'B - Monthly Positions'!N35</f>
        <v>0</v>
      </c>
      <c r="O98" s="2928">
        <f>'B - Monthly Positions'!O35</f>
        <v>0</v>
      </c>
      <c r="P98" s="2938">
        <f t="shared" si="41"/>
        <v>0</v>
      </c>
      <c r="Q98" s="2888"/>
      <c r="R98" s="2560"/>
      <c r="S98" s="2888"/>
      <c r="T98" s="2888"/>
      <c r="U98" s="2888"/>
      <c r="V98" s="2888"/>
      <c r="W98" s="2888"/>
      <c r="X98" s="2888"/>
      <c r="Y98" s="2888"/>
      <c r="Z98" s="2888"/>
      <c r="AA98" s="2888"/>
      <c r="AB98" s="2888"/>
      <c r="AC98" s="2888"/>
      <c r="AD98" s="2888"/>
      <c r="AE98" s="2888"/>
      <c r="AF98" s="2888"/>
      <c r="AG98" s="2888"/>
      <c r="AH98" s="2888"/>
      <c r="AI98" s="2888"/>
      <c r="AJ98" s="2888"/>
      <c r="AK98" s="2888"/>
      <c r="AL98" s="2888"/>
    </row>
    <row r="99" spans="1:38">
      <c r="A99" s="2560"/>
      <c r="B99" s="2893">
        <f t="shared" si="40"/>
        <v>86</v>
      </c>
      <c r="C99" s="2952" t="s">
        <v>109</v>
      </c>
      <c r="D99" s="2953">
        <f>'B - Monthly Positions'!D36</f>
        <v>18147</v>
      </c>
      <c r="E99" s="2954">
        <f>'B - Monthly Positions'!E36</f>
        <v>18011.933909250893</v>
      </c>
      <c r="F99" s="2954">
        <f>'B - Monthly Positions'!F36</f>
        <v>18400.246342926086</v>
      </c>
      <c r="G99" s="2954">
        <f>'B - Monthly Positions'!G36</f>
        <v>18052.744234250895</v>
      </c>
      <c r="H99" s="2955">
        <f>'B - Monthly Positions'!H36</f>
        <v>18014.244234250895</v>
      </c>
      <c r="I99" s="2955">
        <f>'B - Monthly Positions'!I36</f>
        <v>18553.78735125942</v>
      </c>
      <c r="J99" s="2955">
        <f>'B - Monthly Positions'!J36</f>
        <v>18313.747946985815</v>
      </c>
      <c r="K99" s="2955">
        <f>'B - Monthly Positions'!K36</f>
        <v>18229.968375841603</v>
      </c>
      <c r="L99" s="2955">
        <f>'B - Monthly Positions'!L36</f>
        <v>18741.305338652484</v>
      </c>
      <c r="M99" s="2955">
        <f>'B - Monthly Positions'!M36</f>
        <v>18262.747946985815</v>
      </c>
      <c r="N99" s="2955">
        <f>'B - Monthly Positions'!N36</f>
        <v>18230.722954697387</v>
      </c>
      <c r="O99" s="2956">
        <f>'B - Monthly Positions'!O36</f>
        <v>19338.564175874704</v>
      </c>
      <c r="P99" s="2957">
        <f t="shared" si="41"/>
        <v>220297.01281097595</v>
      </c>
      <c r="Q99" s="2888"/>
      <c r="R99" s="2560"/>
      <c r="S99" s="2888"/>
      <c r="T99" s="2888"/>
      <c r="U99" s="2888"/>
      <c r="V99" s="2888"/>
      <c r="W99" s="2888"/>
      <c r="X99" s="2888"/>
      <c r="Y99" s="2888"/>
      <c r="Z99" s="2888"/>
      <c r="AA99" s="2888"/>
      <c r="AB99" s="2888"/>
      <c r="AC99" s="2888"/>
      <c r="AD99" s="2888"/>
      <c r="AE99" s="2888"/>
      <c r="AF99" s="2888"/>
      <c r="AG99" s="2888"/>
      <c r="AH99" s="2888"/>
      <c r="AI99" s="2888"/>
      <c r="AJ99" s="2888"/>
      <c r="AK99" s="2888"/>
      <c r="AL99" s="2888"/>
    </row>
    <row r="100" spans="1:38" ht="15" thickBot="1">
      <c r="A100" s="2560"/>
      <c r="B100" s="2894">
        <f t="shared" si="40"/>
        <v>87</v>
      </c>
      <c r="C100" s="2958" t="s">
        <v>200</v>
      </c>
      <c r="D100" s="2959">
        <f>'B - Monthly Positions'!D37</f>
        <v>50</v>
      </c>
      <c r="E100" s="2960">
        <f>'B - Monthly Positions'!E37</f>
        <v>3.637978807091713E-12</v>
      </c>
      <c r="F100" s="2960">
        <f>'B - Monthly Positions'!F37</f>
        <v>0</v>
      </c>
      <c r="G100" s="2960">
        <f>'B - Monthly Positions'!G37</f>
        <v>0</v>
      </c>
      <c r="H100" s="2961">
        <f>'B - Monthly Positions'!H37</f>
        <v>0</v>
      </c>
      <c r="I100" s="2961">
        <f>'B - Monthly Positions'!I37</f>
        <v>0</v>
      </c>
      <c r="J100" s="2961">
        <f>'B - Monthly Positions'!J37</f>
        <v>0</v>
      </c>
      <c r="K100" s="2961">
        <f>'B - Monthly Positions'!K37</f>
        <v>0</v>
      </c>
      <c r="L100" s="2961">
        <f>'B - Monthly Positions'!L37</f>
        <v>0</v>
      </c>
      <c r="M100" s="2961">
        <f>'B - Monthly Positions'!M37</f>
        <v>0</v>
      </c>
      <c r="N100" s="2961">
        <f>'B - Monthly Positions'!N37</f>
        <v>0</v>
      </c>
      <c r="O100" s="2962">
        <f>'B - Monthly Positions'!O37</f>
        <v>-49.999999999996362</v>
      </c>
      <c r="P100" s="2963">
        <f t="shared" si="41"/>
        <v>7.2759576141834259E-12</v>
      </c>
      <c r="Q100" s="2888"/>
      <c r="R100" s="2560"/>
      <c r="S100" s="2888"/>
      <c r="T100" s="2888"/>
      <c r="U100" s="2888"/>
      <c r="V100" s="2888"/>
      <c r="W100" s="2888"/>
      <c r="X100" s="2888"/>
      <c r="Y100" s="2888"/>
      <c r="Z100" s="2888"/>
      <c r="AA100" s="2888"/>
      <c r="AB100" s="2888"/>
      <c r="AC100" s="2888"/>
      <c r="AD100" s="2888"/>
      <c r="AE100" s="2888"/>
      <c r="AF100" s="2888"/>
      <c r="AG100" s="2888"/>
      <c r="AH100" s="2888"/>
      <c r="AI100" s="2888"/>
      <c r="AJ100" s="2888"/>
      <c r="AK100" s="2888"/>
      <c r="AL100" s="2888"/>
    </row>
    <row r="101" spans="1:38">
      <c r="A101" s="2560"/>
      <c r="B101" s="2560"/>
      <c r="C101" s="2560"/>
      <c r="D101" s="2560"/>
      <c r="E101" s="2560"/>
      <c r="F101" s="2560"/>
      <c r="G101" s="2560"/>
      <c r="H101" s="2560"/>
      <c r="I101" s="2560"/>
      <c r="J101" s="2560"/>
      <c r="K101" s="2560"/>
      <c r="L101" s="2560"/>
      <c r="M101" s="2560"/>
      <c r="N101" s="2560"/>
      <c r="O101" s="2560"/>
      <c r="P101" s="2560"/>
      <c r="Q101" s="2888"/>
      <c r="R101" s="2560"/>
      <c r="S101" s="2560"/>
      <c r="T101" s="2560"/>
      <c r="U101" s="2560"/>
      <c r="V101" s="2891"/>
      <c r="W101" s="2891"/>
      <c r="X101" s="2891"/>
      <c r="Y101" s="2891"/>
      <c r="Z101" s="2891"/>
      <c r="AA101" s="2560"/>
      <c r="AB101" s="2891"/>
      <c r="AC101" s="2891"/>
      <c r="AD101" s="2891"/>
      <c r="AE101" s="2891"/>
      <c r="AF101" s="2891"/>
      <c r="AG101" s="2888"/>
      <c r="AH101" s="2888"/>
      <c r="AI101" s="2888"/>
      <c r="AJ101" s="2888"/>
      <c r="AK101" s="2888"/>
      <c r="AL101" s="2888"/>
    </row>
    <row r="102" spans="1:38">
      <c r="A102" s="2560"/>
      <c r="B102" s="2560"/>
      <c r="C102" s="2560"/>
      <c r="D102" s="2560"/>
      <c r="E102" s="2560"/>
      <c r="F102" s="2560"/>
      <c r="G102" s="2560"/>
      <c r="H102" s="2560"/>
      <c r="I102" s="2560"/>
      <c r="J102" s="2560"/>
      <c r="K102" s="2560"/>
      <c r="L102" s="2560"/>
      <c r="M102" s="2560"/>
      <c r="N102" s="2560"/>
      <c r="O102" s="2560"/>
      <c r="P102" s="2560"/>
      <c r="Q102" s="2560"/>
      <c r="R102" s="2560"/>
      <c r="S102" s="2560"/>
      <c r="T102" s="2560"/>
      <c r="U102" s="2560"/>
      <c r="V102" s="2891"/>
      <c r="W102" s="2891"/>
      <c r="X102" s="2891"/>
      <c r="Y102" s="2891"/>
      <c r="Z102" s="2891"/>
      <c r="AA102" s="2560"/>
      <c r="AB102" s="2891"/>
      <c r="AC102" s="2891"/>
      <c r="AD102" s="2891"/>
      <c r="AE102" s="2891"/>
      <c r="AF102" s="2891"/>
      <c r="AG102" s="2888"/>
      <c r="AH102" s="2888"/>
      <c r="AI102" s="2888"/>
      <c r="AJ102" s="2888"/>
      <c r="AK102" s="2888"/>
      <c r="AL102" s="2888"/>
    </row>
    <row r="103" spans="1:38">
      <c r="A103" s="2560"/>
      <c r="B103" s="2560"/>
      <c r="C103" s="2560"/>
      <c r="D103" s="2560"/>
      <c r="E103" s="2560"/>
      <c r="F103" s="2560"/>
      <c r="G103" s="2560"/>
      <c r="H103" s="2560"/>
      <c r="I103" s="2560"/>
      <c r="J103" s="2560"/>
      <c r="K103" s="2560"/>
      <c r="L103" s="2560"/>
      <c r="M103" s="2560"/>
      <c r="N103" s="2560"/>
      <c r="O103" s="2560"/>
      <c r="P103" s="2560"/>
      <c r="Q103" s="2560"/>
      <c r="R103" s="2560"/>
      <c r="S103" s="2560"/>
      <c r="T103" s="2560"/>
      <c r="U103" s="2560"/>
      <c r="V103" s="2891"/>
      <c r="W103" s="2891"/>
      <c r="X103" s="2891"/>
      <c r="Y103" s="2891"/>
      <c r="Z103" s="2891"/>
      <c r="AA103" s="2560"/>
      <c r="AB103" s="2891"/>
      <c r="AC103" s="2891"/>
      <c r="AD103" s="2891"/>
      <c r="AE103" s="2891"/>
      <c r="AF103" s="2891"/>
      <c r="AG103" s="2888"/>
      <c r="AH103" s="2888"/>
      <c r="AI103" s="2888"/>
      <c r="AJ103" s="2888"/>
      <c r="AK103" s="2888"/>
      <c r="AL103" s="2888"/>
    </row>
    <row r="104" spans="1:38">
      <c r="A104" s="2560"/>
      <c r="B104" s="2560"/>
      <c r="C104" s="2560"/>
      <c r="D104" s="2560"/>
      <c r="E104" s="2560"/>
      <c r="F104" s="2560"/>
      <c r="G104" s="2560"/>
      <c r="H104" s="2560"/>
      <c r="I104" s="2560"/>
      <c r="J104" s="2560"/>
      <c r="K104" s="2560"/>
      <c r="L104" s="2560"/>
      <c r="M104" s="2560"/>
      <c r="N104" s="2560"/>
      <c r="O104" s="2560"/>
      <c r="P104" s="2560"/>
      <c r="Q104" s="2560"/>
      <c r="R104" s="2560"/>
      <c r="S104" s="2560"/>
      <c r="T104" s="2560"/>
      <c r="U104" s="2560"/>
      <c r="V104" s="2891"/>
      <c r="W104" s="2891"/>
      <c r="X104" s="2891"/>
      <c r="Y104" s="2891"/>
      <c r="Z104" s="2891"/>
      <c r="AA104" s="2560"/>
      <c r="AB104" s="2891"/>
      <c r="AC104" s="2891"/>
      <c r="AD104" s="2891"/>
      <c r="AE104" s="2891"/>
      <c r="AF104" s="2891"/>
      <c r="AG104" s="2888"/>
      <c r="AH104" s="2888"/>
      <c r="AI104" s="2888"/>
      <c r="AJ104" s="2888"/>
      <c r="AK104" s="2888"/>
      <c r="AL104" s="2888"/>
    </row>
    <row r="105" spans="1:38">
      <c r="A105" s="2560"/>
      <c r="B105" s="2560"/>
      <c r="C105" s="2560"/>
      <c r="D105" s="2560"/>
      <c r="E105" s="2560"/>
      <c r="F105" s="2560"/>
      <c r="G105" s="2560"/>
      <c r="H105" s="2560"/>
      <c r="I105" s="2560"/>
      <c r="J105" s="2560"/>
      <c r="K105" s="2560"/>
      <c r="L105" s="2560"/>
      <c r="M105" s="2560"/>
      <c r="N105" s="2560"/>
      <c r="O105" s="2560"/>
      <c r="P105" s="2560"/>
      <c r="Q105" s="2560"/>
      <c r="R105" s="2560"/>
      <c r="S105" s="2560"/>
      <c r="T105" s="2560"/>
      <c r="U105" s="2560"/>
      <c r="V105" s="2891"/>
      <c r="W105" s="2891"/>
      <c r="X105" s="2891"/>
      <c r="Y105" s="2891"/>
      <c r="Z105" s="2891"/>
      <c r="AA105" s="2560"/>
      <c r="AB105" s="2891"/>
      <c r="AC105" s="2891"/>
      <c r="AD105" s="2891"/>
      <c r="AE105" s="2891"/>
      <c r="AF105" s="2891"/>
      <c r="AG105" s="2888"/>
      <c r="AH105" s="2888"/>
      <c r="AI105" s="2888"/>
      <c r="AJ105" s="2888"/>
      <c r="AK105" s="2888"/>
      <c r="AL105" s="2888"/>
    </row>
    <row r="106" spans="1:38">
      <c r="A106" s="2560"/>
      <c r="B106" s="2560"/>
      <c r="C106" s="2560"/>
      <c r="D106" s="2560"/>
      <c r="E106" s="2560"/>
      <c r="F106" s="2560"/>
      <c r="G106" s="2560"/>
      <c r="H106" s="2560"/>
      <c r="I106" s="2560"/>
      <c r="J106" s="2560"/>
      <c r="K106" s="2560"/>
      <c r="L106" s="2560"/>
      <c r="M106" s="2560"/>
      <c r="N106" s="2560"/>
      <c r="O106" s="2560"/>
      <c r="P106" s="2560"/>
      <c r="Q106" s="2560"/>
      <c r="R106" s="2560"/>
      <c r="S106" s="2560"/>
      <c r="T106" s="2560"/>
      <c r="U106" s="2560"/>
      <c r="V106" s="2891"/>
      <c r="W106" s="2891"/>
      <c r="X106" s="2891"/>
      <c r="Y106" s="2891"/>
      <c r="Z106" s="2891"/>
      <c r="AA106" s="2560"/>
      <c r="AB106" s="2891"/>
      <c r="AC106" s="2891"/>
      <c r="AD106" s="2891"/>
      <c r="AE106" s="2891"/>
      <c r="AF106" s="2891"/>
      <c r="AG106" s="2888"/>
      <c r="AH106" s="2888"/>
      <c r="AI106" s="2888"/>
      <c r="AJ106" s="2888"/>
      <c r="AK106" s="2888"/>
      <c r="AL106" s="2888"/>
    </row>
    <row r="107" spans="1:38">
      <c r="A107" s="2560"/>
      <c r="B107" s="2560"/>
      <c r="C107" s="2560"/>
      <c r="D107" s="2560"/>
      <c r="E107" s="2560"/>
      <c r="F107" s="2560"/>
      <c r="G107" s="2560"/>
      <c r="H107" s="2560"/>
      <c r="I107" s="2560"/>
      <c r="J107" s="2560"/>
      <c r="K107" s="2560"/>
      <c r="L107" s="2560"/>
      <c r="M107" s="2560"/>
      <c r="N107" s="2560"/>
      <c r="O107" s="2560"/>
      <c r="P107" s="2560"/>
      <c r="Q107" s="2560"/>
      <c r="R107" s="2560"/>
      <c r="S107" s="2560"/>
      <c r="T107" s="2560"/>
      <c r="U107" s="2560"/>
      <c r="V107" s="2891"/>
      <c r="W107" s="2891"/>
      <c r="X107" s="2891"/>
      <c r="Y107" s="2891"/>
      <c r="Z107" s="2891"/>
      <c r="AA107" s="2560"/>
      <c r="AB107" s="2891"/>
      <c r="AC107" s="2891"/>
      <c r="AD107" s="2891"/>
      <c r="AE107" s="2891"/>
      <c r="AF107" s="2891"/>
      <c r="AG107" s="2888"/>
      <c r="AH107" s="2888"/>
      <c r="AI107" s="2888"/>
      <c r="AJ107" s="2888"/>
      <c r="AK107" s="2888"/>
      <c r="AL107" s="2888"/>
    </row>
    <row r="108" spans="1:38">
      <c r="A108" s="2560"/>
      <c r="B108" s="2560"/>
      <c r="C108" s="2560"/>
      <c r="D108" s="2560"/>
      <c r="E108" s="2560"/>
      <c r="F108" s="2560"/>
      <c r="G108" s="2560"/>
      <c r="H108" s="2560"/>
      <c r="I108" s="2560"/>
      <c r="J108" s="2560"/>
      <c r="K108" s="2560"/>
      <c r="L108" s="2560"/>
      <c r="M108" s="2560"/>
      <c r="N108" s="2560"/>
      <c r="O108" s="2560"/>
      <c r="P108" s="2560"/>
      <c r="Q108" s="2560"/>
      <c r="R108" s="2560"/>
      <c r="S108" s="2560"/>
      <c r="T108" s="2560"/>
      <c r="U108" s="2560"/>
      <c r="V108" s="2891"/>
      <c r="W108" s="2891"/>
      <c r="X108" s="2891"/>
      <c r="Y108" s="2891"/>
      <c r="Z108" s="2891"/>
      <c r="AA108" s="2560"/>
      <c r="AB108" s="2891"/>
      <c r="AC108" s="2891"/>
      <c r="AD108" s="2891"/>
      <c r="AE108" s="2891"/>
      <c r="AF108" s="2891"/>
      <c r="AG108" s="2888"/>
      <c r="AH108" s="2888"/>
      <c r="AI108" s="2888"/>
      <c r="AJ108" s="2888"/>
      <c r="AK108" s="2888"/>
      <c r="AL108" s="2888"/>
    </row>
    <row r="109" spans="1:38">
      <c r="A109" s="2560"/>
      <c r="B109" s="2560"/>
      <c r="C109" s="2560"/>
      <c r="D109" s="2560"/>
      <c r="E109" s="2560"/>
      <c r="F109" s="2560"/>
      <c r="G109" s="2560"/>
      <c r="H109" s="2560"/>
      <c r="I109" s="2560"/>
      <c r="J109" s="2560"/>
      <c r="K109" s="2560"/>
      <c r="L109" s="2560"/>
      <c r="M109" s="2560"/>
      <c r="N109" s="2560"/>
      <c r="O109" s="2560"/>
      <c r="P109" s="2560"/>
      <c r="Q109" s="2560"/>
      <c r="R109" s="2560"/>
      <c r="S109" s="2560"/>
      <c r="T109" s="2560"/>
      <c r="U109" s="2560"/>
      <c r="V109" s="2891"/>
      <c r="W109" s="2891"/>
      <c r="X109" s="2891"/>
      <c r="Y109" s="2891"/>
      <c r="Z109" s="2891"/>
      <c r="AA109" s="2560"/>
      <c r="AB109" s="2891"/>
      <c r="AC109" s="2891"/>
      <c r="AD109" s="2891"/>
      <c r="AE109" s="2891"/>
      <c r="AF109" s="2891"/>
      <c r="AG109" s="2888"/>
      <c r="AH109" s="2888"/>
      <c r="AI109" s="2888"/>
      <c r="AJ109" s="2888"/>
      <c r="AK109" s="2888"/>
      <c r="AL109" s="2888"/>
    </row>
    <row r="110" spans="1:38">
      <c r="A110" s="2560"/>
      <c r="B110" s="2560"/>
      <c r="C110" s="2560"/>
      <c r="D110" s="2560"/>
      <c r="E110" s="2560"/>
      <c r="F110" s="2560"/>
      <c r="G110" s="2560"/>
      <c r="H110" s="2560"/>
      <c r="I110" s="2560"/>
      <c r="J110" s="2560"/>
      <c r="K110" s="2560"/>
      <c r="L110" s="2560"/>
      <c r="M110" s="2560"/>
      <c r="N110" s="2560"/>
      <c r="O110" s="2560"/>
      <c r="P110" s="2560"/>
      <c r="Q110" s="2560"/>
      <c r="R110" s="2560"/>
      <c r="S110" s="2560"/>
      <c r="T110" s="2560"/>
      <c r="U110" s="2560"/>
      <c r="V110" s="2891"/>
      <c r="W110" s="2891"/>
      <c r="X110" s="2891"/>
      <c r="Y110" s="2891"/>
      <c r="Z110" s="2891"/>
      <c r="AA110" s="2560"/>
      <c r="AB110" s="2891"/>
      <c r="AC110" s="2891"/>
      <c r="AD110" s="2891"/>
      <c r="AE110" s="2891"/>
      <c r="AF110" s="2891"/>
      <c r="AG110" s="2888"/>
      <c r="AH110" s="2888"/>
      <c r="AI110" s="2888"/>
      <c r="AJ110" s="2888"/>
      <c r="AK110" s="2888"/>
      <c r="AL110" s="2888"/>
    </row>
    <row r="111" spans="1:38">
      <c r="A111" s="2560"/>
      <c r="B111" s="2560"/>
      <c r="C111" s="2560"/>
      <c r="D111" s="2560"/>
      <c r="E111" s="2560"/>
      <c r="F111" s="2560"/>
      <c r="G111" s="2560"/>
      <c r="H111" s="2560"/>
      <c r="I111" s="2560"/>
      <c r="J111" s="2560"/>
      <c r="K111" s="2560"/>
      <c r="L111" s="2560"/>
      <c r="M111" s="2560"/>
      <c r="N111" s="2560"/>
      <c r="O111" s="2560"/>
      <c r="P111" s="2560"/>
      <c r="Q111" s="2560"/>
      <c r="R111" s="2560"/>
      <c r="S111" s="2560"/>
      <c r="T111" s="2560"/>
      <c r="U111" s="2560"/>
      <c r="V111" s="2891"/>
      <c r="W111" s="2891"/>
      <c r="X111" s="2891"/>
      <c r="Y111" s="2891"/>
      <c r="Z111" s="2891"/>
      <c r="AA111" s="2560"/>
      <c r="AB111" s="2891"/>
      <c r="AC111" s="2891"/>
      <c r="AD111" s="2891"/>
      <c r="AE111" s="2891"/>
      <c r="AF111" s="2891"/>
      <c r="AG111" s="2888"/>
      <c r="AH111" s="2888"/>
      <c r="AI111" s="2888"/>
      <c r="AJ111" s="2888"/>
      <c r="AK111" s="2888"/>
      <c r="AL111" s="2888"/>
    </row>
    <row r="112" spans="1:38">
      <c r="A112" s="2560"/>
      <c r="B112" s="2560"/>
      <c r="C112" s="2560"/>
      <c r="D112" s="2560"/>
      <c r="E112" s="2560"/>
      <c r="F112" s="2560"/>
      <c r="G112" s="2560"/>
      <c r="H112" s="2560"/>
      <c r="I112" s="2560"/>
      <c r="J112" s="2560"/>
      <c r="K112" s="2560"/>
      <c r="L112" s="2560"/>
      <c r="M112" s="2560"/>
      <c r="N112" s="2560"/>
      <c r="O112" s="2560"/>
      <c r="P112" s="2560"/>
      <c r="Q112" s="2560"/>
      <c r="R112" s="2560"/>
      <c r="S112" s="2560"/>
      <c r="T112" s="2560"/>
      <c r="U112" s="2560"/>
      <c r="V112" s="2891"/>
      <c r="W112" s="2891"/>
      <c r="X112" s="2891"/>
      <c r="Y112" s="2891"/>
      <c r="Z112" s="2891"/>
      <c r="AA112" s="2560"/>
      <c r="AB112" s="2891"/>
      <c r="AC112" s="2891"/>
      <c r="AD112" s="2891"/>
      <c r="AE112" s="2891"/>
      <c r="AF112" s="2891"/>
      <c r="AG112" s="2888"/>
      <c r="AH112" s="2888"/>
      <c r="AI112" s="2888"/>
      <c r="AJ112" s="2888"/>
      <c r="AK112" s="2888"/>
      <c r="AL112" s="2888"/>
    </row>
    <row r="113" spans="1:38">
      <c r="A113" s="2560"/>
      <c r="B113" s="2560"/>
      <c r="C113" s="2560"/>
      <c r="D113" s="2560"/>
      <c r="E113" s="2560"/>
      <c r="F113" s="2560"/>
      <c r="G113" s="2560"/>
      <c r="H113" s="2560"/>
      <c r="I113" s="2560"/>
      <c r="J113" s="2560"/>
      <c r="K113" s="2560"/>
      <c r="L113" s="2560"/>
      <c r="M113" s="2560"/>
      <c r="N113" s="2560"/>
      <c r="O113" s="2560"/>
      <c r="P113" s="2560"/>
      <c r="Q113" s="2560"/>
      <c r="R113" s="2560"/>
      <c r="S113" s="2560"/>
      <c r="T113" s="2560"/>
      <c r="U113" s="2560"/>
      <c r="V113" s="2891"/>
      <c r="W113" s="2891"/>
      <c r="X113" s="2891"/>
      <c r="Y113" s="2891"/>
      <c r="Z113" s="2891"/>
      <c r="AA113" s="2560"/>
      <c r="AB113" s="2891"/>
      <c r="AC113" s="2891"/>
      <c r="AD113" s="2891"/>
      <c r="AE113" s="2891"/>
      <c r="AF113" s="2891"/>
      <c r="AG113" s="2888"/>
      <c r="AH113" s="2888"/>
      <c r="AI113" s="2888"/>
      <c r="AJ113" s="2888"/>
      <c r="AK113" s="2888"/>
      <c r="AL113" s="2888"/>
    </row>
    <row r="114" spans="1:38">
      <c r="A114" s="2560"/>
      <c r="B114" s="2560"/>
      <c r="C114" s="2560"/>
      <c r="D114" s="2560"/>
      <c r="E114" s="2560"/>
      <c r="F114" s="2560"/>
      <c r="G114" s="2560"/>
      <c r="H114" s="2560"/>
      <c r="I114" s="2560"/>
      <c r="J114" s="2560"/>
      <c r="K114" s="2560"/>
      <c r="L114" s="2560"/>
      <c r="M114" s="2560"/>
      <c r="N114" s="2560"/>
      <c r="O114" s="2560"/>
      <c r="P114" s="2560"/>
      <c r="Q114" s="2560"/>
      <c r="R114" s="2560"/>
      <c r="S114" s="2560"/>
      <c r="T114" s="2560"/>
      <c r="U114" s="2560"/>
      <c r="V114" s="2891"/>
      <c r="W114" s="2891"/>
      <c r="X114" s="2891"/>
      <c r="Y114" s="2891"/>
      <c r="Z114" s="2891"/>
      <c r="AA114" s="2560"/>
      <c r="AB114" s="2891"/>
      <c r="AC114" s="2891"/>
      <c r="AD114" s="2891"/>
      <c r="AE114" s="2891"/>
      <c r="AF114" s="2891"/>
      <c r="AG114" s="2888"/>
      <c r="AH114" s="2888"/>
      <c r="AI114" s="2888"/>
      <c r="AJ114" s="2888"/>
      <c r="AK114" s="2888"/>
      <c r="AL114" s="2888"/>
    </row>
    <row r="115" spans="1:38">
      <c r="A115" s="2560"/>
      <c r="B115" s="2560"/>
      <c r="C115" s="2560"/>
      <c r="D115" s="2560"/>
      <c r="E115" s="2560"/>
      <c r="F115" s="2560"/>
      <c r="G115" s="2560"/>
      <c r="H115" s="2560"/>
      <c r="I115" s="2560"/>
      <c r="J115" s="2560"/>
      <c r="K115" s="2560"/>
      <c r="L115" s="2560"/>
      <c r="M115" s="2560"/>
      <c r="N115" s="2560"/>
      <c r="O115" s="2560"/>
      <c r="P115" s="2560"/>
      <c r="Q115" s="2560"/>
      <c r="R115" s="2560"/>
      <c r="S115" s="2560"/>
      <c r="T115" s="2560"/>
      <c r="U115" s="2560"/>
      <c r="V115" s="2891"/>
      <c r="W115" s="2891"/>
      <c r="X115" s="2891"/>
      <c r="Y115" s="2891"/>
      <c r="Z115" s="2891"/>
      <c r="AA115" s="2560"/>
      <c r="AB115" s="2891"/>
      <c r="AC115" s="2891"/>
      <c r="AD115" s="2891"/>
      <c r="AE115" s="2891"/>
      <c r="AF115" s="2891"/>
      <c r="AG115" s="2888"/>
      <c r="AH115" s="2888"/>
      <c r="AI115" s="2888"/>
      <c r="AJ115" s="2888"/>
      <c r="AK115" s="2888"/>
      <c r="AL115" s="2888"/>
    </row>
    <row r="116" spans="1:38">
      <c r="A116" s="2560"/>
      <c r="B116" s="2560"/>
      <c r="C116" s="2560"/>
      <c r="D116" s="2560"/>
      <c r="E116" s="2560"/>
      <c r="F116" s="2560"/>
      <c r="G116" s="2560"/>
      <c r="H116" s="2560"/>
      <c r="I116" s="2560"/>
      <c r="J116" s="2560"/>
      <c r="K116" s="2560"/>
      <c r="L116" s="2560"/>
      <c r="M116" s="2560"/>
      <c r="N116" s="2560"/>
      <c r="O116" s="2560"/>
      <c r="P116" s="2560"/>
      <c r="Q116" s="2560"/>
      <c r="R116" s="2560"/>
      <c r="S116" s="2560"/>
      <c r="T116" s="2560"/>
      <c r="U116" s="2560"/>
      <c r="V116" s="2891"/>
      <c r="W116" s="2891"/>
      <c r="X116" s="2891"/>
      <c r="Y116" s="2891"/>
      <c r="Z116" s="2891"/>
      <c r="AA116" s="2560"/>
      <c r="AB116" s="2891"/>
      <c r="AC116" s="2891"/>
      <c r="AD116" s="2891"/>
      <c r="AE116" s="2891"/>
      <c r="AF116" s="2891"/>
      <c r="AG116" s="2888"/>
      <c r="AH116" s="2888"/>
      <c r="AI116" s="2888"/>
      <c r="AJ116" s="2888"/>
      <c r="AK116" s="2888"/>
      <c r="AL116" s="2888"/>
    </row>
    <row r="117" spans="1:38">
      <c r="A117" s="2560"/>
      <c r="B117" s="2560"/>
      <c r="C117" s="2560"/>
      <c r="D117" s="2560"/>
      <c r="E117" s="2560"/>
      <c r="F117" s="2560"/>
      <c r="G117" s="2560"/>
      <c r="H117" s="2560"/>
      <c r="I117" s="2560"/>
      <c r="J117" s="2560"/>
      <c r="K117" s="2560"/>
      <c r="L117" s="2560"/>
      <c r="M117" s="2560"/>
      <c r="N117" s="2560"/>
      <c r="O117" s="2560"/>
      <c r="P117" s="2560"/>
      <c r="Q117" s="2560"/>
      <c r="R117" s="2560"/>
      <c r="S117" s="2560"/>
      <c r="T117" s="2560"/>
      <c r="U117" s="2560"/>
      <c r="V117" s="2891"/>
      <c r="W117" s="2891"/>
      <c r="X117" s="2891"/>
      <c r="Y117" s="2891"/>
      <c r="Z117" s="2891"/>
      <c r="AA117" s="2560"/>
      <c r="AB117" s="2891"/>
      <c r="AC117" s="2891"/>
      <c r="AD117" s="2891"/>
      <c r="AE117" s="2891"/>
      <c r="AF117" s="2891"/>
      <c r="AG117" s="2888"/>
      <c r="AH117" s="2888"/>
      <c r="AI117" s="2888"/>
      <c r="AJ117" s="2888"/>
      <c r="AK117" s="2888"/>
      <c r="AL117" s="2888"/>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31D1E98B3209D4493493866D5B8328A" ma:contentTypeVersion="12" ma:contentTypeDescription="Create a new document." ma:contentTypeScope="" ma:versionID="617b419252076c19e87c5769b9761d63">
  <xsd:schema xmlns:xsd="http://www.w3.org/2001/XMLSchema" xmlns:xs="http://www.w3.org/2001/XMLSchema" xmlns:p="http://schemas.microsoft.com/office/2006/metadata/properties" xmlns:ns3="fad5256b-9034-4098-a484-2992d39a629e" xmlns:ns4="27233c93-c413-4fbb-a11c-d69fcc6dbe32" targetNamespace="http://schemas.microsoft.com/office/2006/metadata/properties" ma:root="true" ma:fieldsID="2855e2aa175a6fd87ad256f5aeb7a1cc" ns3:_="" ns4:_="">
    <xsd:import namespace="fad5256b-9034-4098-a484-2992d39a629e"/>
    <xsd:import namespace="27233c93-c413-4fbb-a11c-d69fcc6dbe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5256b-9034-4098-a484-2992d39a6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233c93-c413-4fbb-a11c-d69fcc6dbe3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F69A4F43-A788-46F5-A2BD-1FE0696CC49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7233c93-c413-4fbb-a11c-d69fcc6dbe32"/>
    <ds:schemaRef ds:uri="http://purl.org/dc/elements/1.1/"/>
    <ds:schemaRef ds:uri="http://schemas.microsoft.com/office/2006/metadata/properties"/>
    <ds:schemaRef ds:uri="fad5256b-9034-4098-a484-2992d39a629e"/>
    <ds:schemaRef ds:uri="http://www.w3.org/XML/1998/namespace"/>
    <ds:schemaRef ds:uri="http://purl.org/dc/dcmitype/"/>
  </ds:schemaRefs>
</ds:datastoreItem>
</file>

<file path=customXml/itemProps3.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4.xml><?xml version="1.0" encoding="utf-8"?>
<ds:datastoreItem xmlns:ds="http://schemas.openxmlformats.org/officeDocument/2006/customXml" ds:itemID="{7ABE1B7F-E18D-4230-9083-28FBD8127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5256b-9034-4098-a484-2992d39a629e"/>
    <ds:schemaRef ds:uri="27233c93-c413-4fbb-a11c-d69fcc6d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E - Resource Limits</vt:lpstr>
      <vt:lpstr>E1 - Invoiced Income</vt:lpstr>
      <vt:lpstr>F - SoFP</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2023-04-25T11:34:50Z</cp:lastPrinted>
  <dcterms:created xsi:type="dcterms:W3CDTF">2009-08-27T15:29:26Z</dcterms:created>
  <dcterms:modified xsi:type="dcterms:W3CDTF">2024-03-04T11:50:09Z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0x010100031D1E98B3209D4493493866D5B8328A</vt:lpwstr>
  </property>
</Properties>
</file>